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0.xml" ContentType="application/vnd.openxmlformats-officedocument.drawing+xml"/>
  <Override PartName="/xl/comments11.xml" ContentType="application/vnd.openxmlformats-officedocument.spreadsheetml.comments+xml"/>
  <Override PartName="/xl/charts/chart11.xml" ContentType="application/vnd.openxmlformats-officedocument.drawingml.chart+xml"/>
  <Override PartName="/xl/drawings/drawing11.xml" ContentType="application/vnd.openxmlformats-officedocument.drawing+xml"/>
  <Override PartName="/xl/comments12.xml" ContentType="application/vnd.openxmlformats-officedocument.spreadsheetml.comments+xml"/>
  <Override PartName="/xl/charts/chart1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2.xml" ContentType="application/vnd.openxmlformats-officedocument.drawing+xml"/>
  <Override PartName="/xl/comments13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3.xml" ContentType="application/vnd.openxmlformats-officedocument.drawing+xml"/>
  <Override PartName="/xl/comments14.xml" ContentType="application/vnd.openxmlformats-officedocument.spreadsheetml.comments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4.xml" ContentType="application/vnd.openxmlformats-officedocument.drawing+xml"/>
  <Override PartName="/xl/comments15.xml" ContentType="application/vnd.openxmlformats-officedocument.spreadsheetml.comments+xml"/>
  <Override PartName="/xl/charts/chart1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5.xml" ContentType="application/vnd.openxmlformats-officedocument.drawing+xml"/>
  <Override PartName="/xl/comments16.xml" ContentType="application/vnd.openxmlformats-officedocument.spreadsheetml.comments+xml"/>
  <Override PartName="/xl/charts/chart1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6.xml" ContentType="application/vnd.openxmlformats-officedocument.drawing+xml"/>
  <Override PartName="/xl/comments17.xml" ContentType="application/vnd.openxmlformats-officedocument.spreadsheetml.comments+xml"/>
  <Override PartName="/xl/charts/chart1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7.xml" ContentType="application/vnd.openxmlformats-officedocument.drawing+xml"/>
  <Override PartName="/xl/comments18.xml" ContentType="application/vnd.openxmlformats-officedocument.spreadsheetml.comments+xml"/>
  <Override PartName="/xl/charts/chart2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8.xml" ContentType="application/vnd.openxmlformats-officedocument.drawing+xml"/>
  <Override PartName="/xl/comments19.xml" ContentType="application/vnd.openxmlformats-officedocument.spreadsheetml.comments+xml"/>
  <Override PartName="/xl/charts/chart2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9.xml" ContentType="application/vnd.openxmlformats-officedocument.drawing+xml"/>
  <Override PartName="/xl/comments20.xml" ContentType="application/vnd.openxmlformats-officedocument.spreadsheetml.comments+xml"/>
  <Override PartName="/xl/charts/chart2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0.xml" ContentType="application/vnd.openxmlformats-officedocument.drawing+xml"/>
  <Override PartName="/xl/comments21.xml" ContentType="application/vnd.openxmlformats-officedocument.spreadsheetml.comments+xml"/>
  <Override PartName="/xl/charts/chart2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1.xml" ContentType="application/vnd.openxmlformats-officedocument.drawing+xml"/>
  <Override PartName="/xl/comments22.xml" ContentType="application/vnd.openxmlformats-officedocument.spreadsheetml.comments+xml"/>
  <Override PartName="/xl/charts/chart2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2.xml" ContentType="application/vnd.openxmlformats-officedocument.drawing+xml"/>
  <Override PartName="/xl/comments23.xml" ContentType="application/vnd.openxmlformats-officedocument.spreadsheetml.comments+xml"/>
  <Override PartName="/xl/charts/chart2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+xml"/>
  <Override PartName="/xl/comments24.xml" ContentType="application/vnd.openxmlformats-officedocument.spreadsheetml.comments+xml"/>
  <Override PartName="/xl/charts/chart3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+xml"/>
  <Override PartName="/xl/comments25.xml" ContentType="application/vnd.openxmlformats-officedocument.spreadsheetml.comments+xml"/>
  <Override PartName="/xl/charts/chart3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5.xml" ContentType="application/vnd.openxmlformats-officedocument.drawing+xml"/>
  <Override PartName="/xl/comments26.xml" ContentType="application/vnd.openxmlformats-officedocument.spreadsheetml.comments+xml"/>
  <Override PartName="/xl/charts/chart3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6.xml" ContentType="application/vnd.openxmlformats-officedocument.drawing+xml"/>
  <Override PartName="/xl/comments27.xml" ContentType="application/vnd.openxmlformats-officedocument.spreadsheetml.comments+xml"/>
  <Override PartName="/xl/charts/chart3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+xml"/>
  <Override PartName="/xl/comments28.xml" ContentType="application/vnd.openxmlformats-officedocument.spreadsheetml.comments+xml"/>
  <Override PartName="/xl/charts/chart3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+xml"/>
  <Override PartName="/xl/comments29.xml" ContentType="application/vnd.openxmlformats-officedocument.spreadsheetml.comments+xml"/>
  <Override PartName="/xl/charts/chart3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9.xml" ContentType="application/vnd.openxmlformats-officedocument.drawing+xml"/>
  <Override PartName="/xl/comments30.xml" ContentType="application/vnd.openxmlformats-officedocument.spreadsheetml.comments+xml"/>
  <Override PartName="/xl/charts/chart3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0.xml" ContentType="application/vnd.openxmlformats-officedocument.drawing+xml"/>
  <Override PartName="/xl/comments31.xml" ContentType="application/vnd.openxmlformats-officedocument.spreadsheetml.comments+xml"/>
  <Override PartName="/xl/charts/chart3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omments32.xml" ContentType="application/vnd.openxmlformats-officedocument.spreadsheetml.comments+xml"/>
  <Override PartName="/xl/charts/chart4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/>
  <mc:AlternateContent xmlns:mc="http://schemas.openxmlformats.org/markup-compatibility/2006">
    <mc:Choice Requires="x15">
      <x15ac:absPath xmlns:x15ac="http://schemas.microsoft.com/office/spreadsheetml/2010/11/ac" url="C:\Users\Shyamal\Vivid Economics Ltd\171211HSB - Low Carbon Portfolio - Documents\6 - analysis\Data_cleaning\1_Scenarios\"/>
    </mc:Choice>
  </mc:AlternateContent>
  <xr:revisionPtr revIDLastSave="1369" documentId="14_{7F01114C-87B5-4E7F-9090-9D4B9C498777}" xr6:coauthVersionLast="40" xr6:coauthVersionMax="40" xr10:uidLastSave="{BAD60E4E-E07E-4BE1-8718-7685B43E1845}"/>
  <bookViews>
    <workbookView xWindow="-108" yWindow="-108" windowWidth="23256" windowHeight="12576" firstSheet="37" activeTab="41" xr2:uid="{24493234-D7CA-4DC5-BC4A-F090A8AC1B08}"/>
  </bookViews>
  <sheets>
    <sheet name="Report figures &gt;&gt;&gt;" sheetId="182" r:id="rId1"/>
    <sheet name="O1. Output summary" sheetId="183" r:id="rId2"/>
    <sheet name="O2. Carbon prices" sheetId="184" r:id="rId3"/>
    <sheet name="02a. Carbon prices reg var" sheetId="244" r:id="rId4"/>
    <sheet name="O3. Oil output" sheetId="185" r:id="rId5"/>
    <sheet name="O4. Gas output" sheetId="186" r:id="rId6"/>
    <sheet name="O5. Coal output" sheetId="187" r:id="rId7"/>
    <sheet name="O6. Total ren capacity" sheetId="188" r:id="rId8"/>
    <sheet name="O7. EV fleet" sheetId="189" r:id="rId9"/>
    <sheet name="O8. TPES mix" sheetId="190" r:id="rId10"/>
    <sheet name="O9. Generation mix" sheetId="191" r:id="rId11"/>
    <sheet name="OReserve. Wind, solar capacity" sheetId="193" r:id="rId12"/>
    <sheet name="O10. Generation capacity mix" sheetId="192" r:id="rId13"/>
    <sheet name="O11. EV deployment" sheetId="243" r:id="rId14"/>
    <sheet name="TIAM scenario processing &gt;&gt;&gt;" sheetId="194" r:id="rId15"/>
    <sheet name="W1. Vehicle oil new cap" sheetId="31" r:id="rId16"/>
    <sheet name="W2. Total CO2 Net" sheetId="33" r:id="rId17"/>
    <sheet name="W3. Road Transport Fossil" sheetId="35" r:id="rId18"/>
    <sheet name="W4. Road Transport Electricity" sheetId="36" r:id="rId19"/>
    <sheet name="W5. Road Transport Biofuels" sheetId="37" r:id="rId20"/>
    <sheet name="W6. Prim Energy Cons" sheetId="38" r:id="rId21"/>
    <sheet name="W7. Primary Energy Prod" sheetId="39" r:id="rId22"/>
    <sheet name="W8. Power New Cap" sheetId="41" r:id="rId23"/>
    <sheet name="W9. Power Total Gen" sheetId="40" r:id="rId24"/>
    <sheet name="W10. Power Total Cap" sheetId="42" r:id="rId25"/>
    <sheet name="W11. Iron Steel Demand" sheetId="44" r:id="rId26"/>
    <sheet name="W12. Heat Pump New Cap" sheetId="43" r:id="rId27"/>
    <sheet name="W13. EV New Cap" sheetId="45" r:id="rId28"/>
    <sheet name="W14. CO2 Captured" sheetId="46" r:id="rId29"/>
    <sheet name="W15. Carbon Prices" sheetId="34" r:id="rId30"/>
    <sheet name="W16. Transport new capacity" sheetId="139" r:id="rId31"/>
    <sheet name="W17. Transport service output" sheetId="159" r:id="rId32"/>
    <sheet name="W18. Transport energy consump" sheetId="160" r:id="rId33"/>
    <sheet name="W19. Transport total capacity" sheetId="161" r:id="rId34"/>
    <sheet name="Public scenario processing &gt;&gt;&gt;" sheetId="214" r:id="rId35"/>
    <sheet name="W20. Fossil fuel prod" sheetId="215" r:id="rId36"/>
    <sheet name="W21. Total generation capacity" sheetId="216" r:id="rId37"/>
    <sheet name="W22. Carbon prices" sheetId="217" r:id="rId38"/>
    <sheet name="W23. TPES" sheetId="218" r:id="rId39"/>
    <sheet name="W24. Total generation" sheetId="219" r:id="rId40"/>
    <sheet name="Specs and units &gt;&gt;&gt;" sheetId="220" r:id="rId41"/>
    <sheet name="R1. Scenario specifications" sheetId="30" r:id="rId42"/>
    <sheet name="R2. Unit conversion factors" sheetId="222" r:id="rId43"/>
    <sheet name="R2a. Carbon price reg weights" sheetId="245" r:id="rId44"/>
    <sheet name="Public scenario data &gt;&gt;&gt;" sheetId="223" r:id="rId45"/>
    <sheet name="R3. WEO18 Fossil fuel prod" sheetId="224" r:id="rId46"/>
    <sheet name="R4. WEO16 Fossil fuel prod" sheetId="225" r:id="rId47"/>
    <sheet name="R5. ETP17 Summary" sheetId="226" r:id="rId48"/>
    <sheet name="R6. Sky Summary" sheetId="227" r:id="rId49"/>
    <sheet name="R7. WEO18 Balance" sheetId="228" r:id="rId50"/>
    <sheet name="R8. WEO16 Balance" sheetId="229" r:id="rId51"/>
    <sheet name="R9. WEO18 Electricity" sheetId="230" r:id="rId52"/>
    <sheet name="R10. WEO16 Electricity" sheetId="231" r:id="rId53"/>
    <sheet name="R11. WEO16 CO2 prices" sheetId="232" r:id="rId54"/>
    <sheet name="R12. EVO 17 hist stock" sheetId="233" r:id="rId55"/>
    <sheet name="R13. EVO 17 hist sales" sheetId="234" r:id="rId56"/>
    <sheet name="R14. EVO 17 scenario stock" sheetId="235" r:id="rId57"/>
    <sheet name="R15. EVO 18 hist stock" sheetId="236" r:id="rId58"/>
    <sheet name="R16. EVO 18 hist sales" sheetId="237" r:id="rId59"/>
    <sheet name="R17. BPStat 18 oil prod" sheetId="238" r:id="rId60"/>
    <sheet name="R18. BPStat 18 gas prod" sheetId="239" r:id="rId61"/>
    <sheet name="R19. BPStat 18 coal prod" sheetId="240" r:id="rId62"/>
    <sheet name="TIAM raw data &gt;&gt;&gt;" sheetId="242" r:id="rId63"/>
  </sheets>
  <definedNames>
    <definedName name="_xlnm._FilterDatabase" localSheetId="41" hidden="1">'R1. Scenario specifications'!$A$10:$J$49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1" i="244" l="1"/>
  <c r="G11" i="244"/>
  <c r="H11" i="244"/>
  <c r="F12" i="244"/>
  <c r="G12" i="244"/>
  <c r="H12" i="244"/>
  <c r="F13" i="244"/>
  <c r="G13" i="244"/>
  <c r="H13" i="244"/>
  <c r="F14" i="244"/>
  <c r="G14" i="244"/>
  <c r="H14" i="244"/>
  <c r="F15" i="244"/>
  <c r="G15" i="244"/>
  <c r="H15" i="244"/>
  <c r="F16" i="244"/>
  <c r="G16" i="244"/>
  <c r="H16" i="244"/>
  <c r="E12" i="244"/>
  <c r="E13" i="244"/>
  <c r="E14" i="244"/>
  <c r="E15" i="244"/>
  <c r="E16" i="244"/>
  <c r="E11" i="244"/>
  <c r="C21" i="244"/>
  <c r="D21" i="244"/>
  <c r="E21" i="244"/>
  <c r="F21" i="244"/>
  <c r="C22" i="244"/>
  <c r="D22" i="244"/>
  <c r="E22" i="244"/>
  <c r="F22" i="244"/>
  <c r="C23" i="244"/>
  <c r="D23" i="244"/>
  <c r="E23" i="244"/>
  <c r="F23" i="244"/>
  <c r="C24" i="244"/>
  <c r="D24" i="244"/>
  <c r="E24" i="244"/>
  <c r="F24" i="244"/>
  <c r="C25" i="244"/>
  <c r="D25" i="244"/>
  <c r="E25" i="244"/>
  <c r="F25" i="244"/>
  <c r="C26" i="244"/>
  <c r="D26" i="244"/>
  <c r="E26" i="244"/>
  <c r="F26" i="244"/>
  <c r="B22" i="244"/>
  <c r="B23" i="244"/>
  <c r="B24" i="244"/>
  <c r="B25" i="244"/>
  <c r="B26" i="244"/>
  <c r="B21" i="244"/>
  <c r="E12" i="245"/>
  <c r="F12" i="245"/>
  <c r="G12" i="245"/>
  <c r="H12" i="245"/>
  <c r="I12" i="245"/>
  <c r="E13" i="245"/>
  <c r="F13" i="245"/>
  <c r="G13" i="245"/>
  <c r="H13" i="245"/>
  <c r="I13" i="245"/>
  <c r="E14" i="245"/>
  <c r="F14" i="245"/>
  <c r="G14" i="245"/>
  <c r="H14" i="245"/>
  <c r="I14" i="245"/>
  <c r="E15" i="245"/>
  <c r="F15" i="245"/>
  <c r="G15" i="245"/>
  <c r="H15" i="245"/>
  <c r="I15" i="245"/>
  <c r="E16" i="245"/>
  <c r="F16" i="245"/>
  <c r="G16" i="245"/>
  <c r="H16" i="245"/>
  <c r="I16" i="245"/>
  <c r="E17" i="245"/>
  <c r="F17" i="245"/>
  <c r="G17" i="245"/>
  <c r="H17" i="245"/>
  <c r="I17" i="245"/>
  <c r="E18" i="245"/>
  <c r="F18" i="245"/>
  <c r="G18" i="245"/>
  <c r="H18" i="245"/>
  <c r="I18" i="245"/>
  <c r="D13" i="245"/>
  <c r="D14" i="245"/>
  <c r="D15" i="245"/>
  <c r="D16" i="245"/>
  <c r="D17" i="245"/>
  <c r="D18" i="245"/>
  <c r="D12" i="245"/>
  <c r="C13" i="245"/>
  <c r="C14" i="245"/>
  <c r="C15" i="245"/>
  <c r="C16" i="245"/>
  <c r="C17" i="245"/>
  <c r="C18" i="245"/>
  <c r="C12" i="245"/>
  <c r="E10" i="244" l="1"/>
  <c r="F10" i="244"/>
  <c r="G10" i="244"/>
  <c r="H10" i="244"/>
  <c r="B10" i="244"/>
  <c r="E55" i="244"/>
  <c r="D55" i="244"/>
  <c r="C55" i="244"/>
  <c r="B55" i="244"/>
  <c r="E54" i="244"/>
  <c r="D54" i="244"/>
  <c r="C54" i="244"/>
  <c r="B54" i="244"/>
  <c r="E53" i="244"/>
  <c r="D53" i="244"/>
  <c r="C53" i="244"/>
  <c r="B53" i="244"/>
  <c r="E48" i="244"/>
  <c r="D48" i="244"/>
  <c r="C48" i="244"/>
  <c r="B48" i="244"/>
  <c r="E47" i="244"/>
  <c r="D47" i="244"/>
  <c r="C47" i="244"/>
  <c r="B47" i="244"/>
  <c r="E46" i="244"/>
  <c r="D46" i="244"/>
  <c r="C46" i="244"/>
  <c r="B46" i="244"/>
  <c r="E45" i="244"/>
  <c r="D45" i="244"/>
  <c r="C45" i="244"/>
  <c r="B45" i="244"/>
  <c r="E44" i="244"/>
  <c r="D44" i="244"/>
  <c r="C44" i="244"/>
  <c r="B44" i="244"/>
  <c r="E43" i="244"/>
  <c r="D43" i="244"/>
  <c r="C43" i="244"/>
  <c r="B43" i="244"/>
  <c r="E42" i="244"/>
  <c r="D42" i="244"/>
  <c r="C42" i="244"/>
  <c r="B42" i="244"/>
  <c r="E41" i="244"/>
  <c r="D41" i="244"/>
  <c r="C41" i="244"/>
  <c r="B41" i="244"/>
  <c r="E40" i="244"/>
  <c r="D40" i="244"/>
  <c r="C40" i="244"/>
  <c r="B40" i="244"/>
  <c r="D11" i="34" l="1"/>
  <c r="D11" i="33"/>
  <c r="D11" i="31"/>
  <c r="D11" i="161" l="1"/>
  <c r="D11" i="160"/>
  <c r="D11" i="159"/>
  <c r="D11" i="139"/>
  <c r="D11" i="46"/>
  <c r="D11" i="45"/>
  <c r="D11" i="43"/>
  <c r="D11" i="44"/>
  <c r="D11" i="37"/>
  <c r="D11" i="36"/>
  <c r="B114" i="243" l="1"/>
  <c r="B113" i="243"/>
  <c r="B112" i="243"/>
  <c r="B111" i="243"/>
  <c r="B102" i="243"/>
  <c r="B101" i="243"/>
  <c r="B100" i="243"/>
  <c r="B99" i="243"/>
  <c r="B90" i="243"/>
  <c r="B89" i="243"/>
  <c r="B88" i="243"/>
  <c r="B87" i="243"/>
  <c r="F70" i="243"/>
  <c r="G70" i="243"/>
  <c r="H70" i="243"/>
  <c r="I70" i="243"/>
  <c r="J70" i="243"/>
  <c r="K70" i="243"/>
  <c r="L70" i="243"/>
  <c r="M70" i="243"/>
  <c r="N70" i="243"/>
  <c r="O70" i="243"/>
  <c r="P70" i="243"/>
  <c r="Q70" i="243"/>
  <c r="R70" i="243"/>
  <c r="S70" i="243"/>
  <c r="T70" i="243"/>
  <c r="U70" i="243"/>
  <c r="V70" i="243"/>
  <c r="W70" i="243"/>
  <c r="X70" i="243"/>
  <c r="Y70" i="243"/>
  <c r="Z70" i="243"/>
  <c r="AA70" i="243"/>
  <c r="AB70" i="243"/>
  <c r="AC70" i="243"/>
  <c r="AD70" i="243"/>
  <c r="AE70" i="243"/>
  <c r="AF70" i="243"/>
  <c r="AG70" i="243"/>
  <c r="AH70" i="243"/>
  <c r="AI70" i="243"/>
  <c r="AJ70" i="243"/>
  <c r="AK70" i="243"/>
  <c r="F71" i="243"/>
  <c r="G71" i="243"/>
  <c r="H71" i="243"/>
  <c r="I71" i="243"/>
  <c r="J71" i="243"/>
  <c r="K71" i="243"/>
  <c r="L71" i="243"/>
  <c r="M71" i="243"/>
  <c r="N71" i="243"/>
  <c r="O71" i="243"/>
  <c r="P71" i="243"/>
  <c r="Q71" i="243"/>
  <c r="R71" i="243"/>
  <c r="S71" i="243"/>
  <c r="T71" i="243"/>
  <c r="U71" i="243"/>
  <c r="V71" i="243"/>
  <c r="W71" i="243"/>
  <c r="X71" i="243"/>
  <c r="Y71" i="243"/>
  <c r="Z71" i="243"/>
  <c r="AA71" i="243"/>
  <c r="AB71" i="243"/>
  <c r="AC71" i="243"/>
  <c r="AD71" i="243"/>
  <c r="AE71" i="243"/>
  <c r="AF71" i="243"/>
  <c r="AG71" i="243"/>
  <c r="AH71" i="243"/>
  <c r="AI71" i="243"/>
  <c r="AJ71" i="243"/>
  <c r="AK71" i="243"/>
  <c r="E71" i="243"/>
  <c r="E70" i="243"/>
  <c r="B78" i="243"/>
  <c r="B77" i="243"/>
  <c r="B76" i="243"/>
  <c r="B75" i="243"/>
  <c r="H67" i="243"/>
  <c r="G67" i="243"/>
  <c r="H66" i="243"/>
  <c r="G66" i="243"/>
  <c r="E24" i="243" s="1"/>
  <c r="H65" i="243"/>
  <c r="G65" i="243"/>
  <c r="E23" i="243" s="1"/>
  <c r="E21" i="243" s="1"/>
  <c r="H64" i="243"/>
  <c r="F22" i="243" s="1"/>
  <c r="G64" i="243"/>
  <c r="F63" i="243"/>
  <c r="D23" i="243" s="1"/>
  <c r="E63" i="243"/>
  <c r="D63" i="243"/>
  <c r="E62" i="243"/>
  <c r="D62" i="243"/>
  <c r="A57" i="243"/>
  <c r="A56" i="243"/>
  <c r="A55" i="243"/>
  <c r="A54" i="243"/>
  <c r="A53" i="243"/>
  <c r="A52" i="243"/>
  <c r="A51" i="243"/>
  <c r="A50" i="243"/>
  <c r="A49" i="243"/>
  <c r="F24" i="243"/>
  <c r="E22" i="243"/>
  <c r="B18" i="243"/>
  <c r="B17" i="243"/>
  <c r="B16" i="243"/>
  <c r="B15" i="243"/>
  <c r="B14" i="243"/>
  <c r="B13" i="243"/>
  <c r="I5" i="243"/>
  <c r="D94" i="243" l="1"/>
  <c r="D93" i="243"/>
  <c r="V15" i="243"/>
  <c r="D92" i="243"/>
  <c r="D91" i="243"/>
  <c r="D90" i="243"/>
  <c r="D87" i="243"/>
  <c r="D89" i="243"/>
  <c r="D96" i="243"/>
  <c r="D88" i="243"/>
  <c r="D95" i="243"/>
  <c r="J64" i="243"/>
  <c r="I65" i="243"/>
  <c r="G23" i="243" s="1"/>
  <c r="AA83" i="243" s="1"/>
  <c r="U15" i="243"/>
  <c r="U17" i="243" s="1"/>
  <c r="D24" i="243"/>
  <c r="E84" i="243" s="1"/>
  <c r="E83" i="243"/>
  <c r="M82" i="243"/>
  <c r="J67" i="243"/>
  <c r="L84" i="243"/>
  <c r="M84" i="243"/>
  <c r="I66" i="243"/>
  <c r="G24" i="243" s="1"/>
  <c r="R84" i="243" s="1"/>
  <c r="K84" i="243"/>
  <c r="K82" i="243"/>
  <c r="L82" i="243"/>
  <c r="J84" i="243"/>
  <c r="J82" i="243"/>
  <c r="Q84" i="243"/>
  <c r="I84" i="243"/>
  <c r="Q82" i="243"/>
  <c r="I82" i="243"/>
  <c r="P84" i="243"/>
  <c r="H84" i="243"/>
  <c r="P82" i="243"/>
  <c r="H82" i="243"/>
  <c r="O84" i="243"/>
  <c r="G84" i="243"/>
  <c r="G83" i="243"/>
  <c r="O82" i="243"/>
  <c r="G82" i="243"/>
  <c r="G81" i="243"/>
  <c r="N84" i="243"/>
  <c r="F83" i="243"/>
  <c r="N82" i="243"/>
  <c r="J66" i="243"/>
  <c r="H24" i="243" s="1"/>
  <c r="AK84" i="243" s="1"/>
  <c r="E15" i="243"/>
  <c r="E20" i="243"/>
  <c r="I67" i="243"/>
  <c r="E13" i="243"/>
  <c r="E18" i="243"/>
  <c r="E14" i="243"/>
  <c r="E19" i="243"/>
  <c r="E16" i="243"/>
  <c r="J65" i="243"/>
  <c r="F23" i="243"/>
  <c r="E17" i="243"/>
  <c r="W15" i="243"/>
  <c r="I64" i="243"/>
  <c r="G22" i="243" s="1"/>
  <c r="T82" i="243" s="1"/>
  <c r="D76" i="243"/>
  <c r="D84" i="243"/>
  <c r="D77" i="243"/>
  <c r="D75" i="243"/>
  <c r="D78" i="243"/>
  <c r="D79" i="243"/>
  <c r="D80" i="243"/>
  <c r="D81" i="243"/>
  <c r="D83" i="243"/>
  <c r="D82" i="243"/>
  <c r="D16" i="243"/>
  <c r="D18" i="243"/>
  <c r="D20" i="243"/>
  <c r="D15" i="243"/>
  <c r="E75" i="243" s="1"/>
  <c r="D19" i="243"/>
  <c r="D22" i="243"/>
  <c r="E82" i="243" s="1"/>
  <c r="D17" i="243"/>
  <c r="F77" i="243" s="1"/>
  <c r="D21" i="243"/>
  <c r="E81" i="243" s="1"/>
  <c r="A57" i="189"/>
  <c r="I5" i="189"/>
  <c r="F78" i="243" l="1"/>
  <c r="S83" i="243"/>
  <c r="O107" i="243"/>
  <c r="O100" i="243"/>
  <c r="O105" i="243"/>
  <c r="O108" i="243"/>
  <c r="O106" i="243"/>
  <c r="O101" i="243"/>
  <c r="O99" i="243"/>
  <c r="O102" i="243"/>
  <c r="O103" i="243"/>
  <c r="O104" i="243"/>
  <c r="F80" i="243"/>
  <c r="D102" i="243"/>
  <c r="D114" i="243" s="1"/>
  <c r="J102" i="243"/>
  <c r="K102" i="243"/>
  <c r="L102" i="243"/>
  <c r="E102" i="243"/>
  <c r="M102" i="243"/>
  <c r="F102" i="243"/>
  <c r="N102" i="243"/>
  <c r="G102" i="243"/>
  <c r="I102" i="243"/>
  <c r="H102" i="243"/>
  <c r="D99" i="243"/>
  <c r="D111" i="243" s="1"/>
  <c r="K99" i="243"/>
  <c r="L99" i="243"/>
  <c r="E99" i="243"/>
  <c r="M99" i="243"/>
  <c r="F99" i="243"/>
  <c r="N99" i="243"/>
  <c r="G99" i="243"/>
  <c r="H99" i="243"/>
  <c r="J99" i="243"/>
  <c r="I99" i="243"/>
  <c r="D103" i="243"/>
  <c r="D115" i="243" s="1"/>
  <c r="G103" i="243"/>
  <c r="H103" i="243"/>
  <c r="I103" i="243"/>
  <c r="J103" i="243"/>
  <c r="K103" i="243"/>
  <c r="L103" i="243"/>
  <c r="F103" i="243"/>
  <c r="N103" i="243"/>
  <c r="E103" i="243"/>
  <c r="M103" i="243"/>
  <c r="F76" i="243"/>
  <c r="D101" i="243"/>
  <c r="D113" i="243" s="1"/>
  <c r="E101" i="243"/>
  <c r="M101" i="243"/>
  <c r="F101" i="243"/>
  <c r="N101" i="243"/>
  <c r="G101" i="243"/>
  <c r="H101" i="243"/>
  <c r="I101" i="243"/>
  <c r="J101" i="243"/>
  <c r="L101" i="243"/>
  <c r="K101" i="243"/>
  <c r="D106" i="243"/>
  <c r="D118" i="243" s="1"/>
  <c r="F106" i="243"/>
  <c r="N106" i="243"/>
  <c r="G106" i="243"/>
  <c r="H106" i="243"/>
  <c r="I106" i="243"/>
  <c r="J106" i="243"/>
  <c r="K106" i="243"/>
  <c r="E106" i="243"/>
  <c r="M106" i="243"/>
  <c r="L106" i="243"/>
  <c r="D108" i="243"/>
  <c r="D120" i="243" s="1"/>
  <c r="H108" i="243"/>
  <c r="I108" i="243"/>
  <c r="J108" i="243"/>
  <c r="K108" i="243"/>
  <c r="L108" i="243"/>
  <c r="E108" i="243"/>
  <c r="M108" i="243"/>
  <c r="G108" i="243"/>
  <c r="F108" i="243"/>
  <c r="N108" i="243"/>
  <c r="D107" i="243"/>
  <c r="D119" i="243" s="1"/>
  <c r="K107" i="243"/>
  <c r="L107" i="243"/>
  <c r="E107" i="243"/>
  <c r="M107" i="243"/>
  <c r="F107" i="243"/>
  <c r="N107" i="243"/>
  <c r="G107" i="243"/>
  <c r="H107" i="243"/>
  <c r="J107" i="243"/>
  <c r="I107" i="243"/>
  <c r="D100" i="243"/>
  <c r="D112" i="243" s="1"/>
  <c r="H100" i="243"/>
  <c r="I100" i="243"/>
  <c r="J100" i="243"/>
  <c r="K100" i="243"/>
  <c r="L100" i="243"/>
  <c r="E100" i="243"/>
  <c r="M100" i="243"/>
  <c r="G100" i="243"/>
  <c r="F100" i="243"/>
  <c r="N100" i="243"/>
  <c r="D105" i="243"/>
  <c r="D117" i="243" s="1"/>
  <c r="I105" i="243"/>
  <c r="J105" i="243"/>
  <c r="K105" i="243"/>
  <c r="L105" i="243"/>
  <c r="E105" i="243"/>
  <c r="M105" i="243"/>
  <c r="F105" i="243"/>
  <c r="N105" i="243"/>
  <c r="H105" i="243"/>
  <c r="G105" i="243"/>
  <c r="E79" i="243"/>
  <c r="E91" i="243" s="1"/>
  <c r="D104" i="243"/>
  <c r="D116" i="243" s="1"/>
  <c r="L104" i="243"/>
  <c r="E104" i="243"/>
  <c r="M104" i="243"/>
  <c r="F104" i="243"/>
  <c r="N104" i="243"/>
  <c r="G104" i="243"/>
  <c r="H104" i="243"/>
  <c r="I104" i="243"/>
  <c r="K104" i="243"/>
  <c r="J104" i="243"/>
  <c r="Z84" i="243"/>
  <c r="H22" i="243"/>
  <c r="AK82" i="243" s="1"/>
  <c r="AE15" i="243"/>
  <c r="F84" i="243"/>
  <c r="I94" i="243"/>
  <c r="E93" i="243"/>
  <c r="V84" i="243"/>
  <c r="W84" i="243"/>
  <c r="Y84" i="243"/>
  <c r="E87" i="243"/>
  <c r="F95" i="243"/>
  <c r="X84" i="243"/>
  <c r="G95" i="243"/>
  <c r="J96" i="243"/>
  <c r="M96" i="243"/>
  <c r="R96" i="243"/>
  <c r="L96" i="243"/>
  <c r="N96" i="243"/>
  <c r="O96" i="243"/>
  <c r="Z108" i="243" s="1"/>
  <c r="Q94" i="243"/>
  <c r="Y82" i="243"/>
  <c r="L94" i="243"/>
  <c r="M94" i="243"/>
  <c r="E94" i="243"/>
  <c r="E96" i="243"/>
  <c r="H94" i="243"/>
  <c r="I96" i="243"/>
  <c r="K94" i="243"/>
  <c r="P94" i="243"/>
  <c r="Q96" i="243"/>
  <c r="E95" i="243"/>
  <c r="N94" i="243"/>
  <c r="H96" i="243"/>
  <c r="K96" i="243"/>
  <c r="V82" i="243"/>
  <c r="O94" i="243"/>
  <c r="Z106" i="243" s="1"/>
  <c r="P96" i="243"/>
  <c r="J94" i="243"/>
  <c r="G77" i="243"/>
  <c r="G79" i="243"/>
  <c r="E77" i="243"/>
  <c r="X83" i="243"/>
  <c r="J83" i="243"/>
  <c r="E80" i="243"/>
  <c r="U84" i="243"/>
  <c r="AB84" i="243"/>
  <c r="AC84" i="243"/>
  <c r="AJ84" i="243"/>
  <c r="T84" i="243"/>
  <c r="F75" i="243"/>
  <c r="G75" i="243"/>
  <c r="F16" i="243"/>
  <c r="N76" i="243" s="1"/>
  <c r="M83" i="243"/>
  <c r="U83" i="243"/>
  <c r="T83" i="243"/>
  <c r="L83" i="243"/>
  <c r="O83" i="243"/>
  <c r="R83" i="243"/>
  <c r="AD84" i="243"/>
  <c r="W83" i="243"/>
  <c r="AG84" i="243"/>
  <c r="Z83" i="243"/>
  <c r="F79" i="243"/>
  <c r="F81" i="243"/>
  <c r="I83" i="243"/>
  <c r="N83" i="243"/>
  <c r="G76" i="243"/>
  <c r="G78" i="243"/>
  <c r="G80" i="243"/>
  <c r="X82" i="243"/>
  <c r="Q83" i="243"/>
  <c r="S82" i="243"/>
  <c r="S84" i="243"/>
  <c r="E76" i="243"/>
  <c r="U82" i="243"/>
  <c r="V83" i="243"/>
  <c r="AF84" i="243"/>
  <c r="Y83" i="243"/>
  <c r="R82" i="243"/>
  <c r="AA82" i="243"/>
  <c r="AA84" i="243"/>
  <c r="W82" i="243"/>
  <c r="H83" i="243"/>
  <c r="E78" i="243"/>
  <c r="Z82" i="243"/>
  <c r="AI84" i="243"/>
  <c r="F82" i="243"/>
  <c r="AE84" i="243"/>
  <c r="P83" i="243"/>
  <c r="I76" i="243"/>
  <c r="AH84" i="243"/>
  <c r="K83" i="243"/>
  <c r="AF15" i="243"/>
  <c r="H23" i="243"/>
  <c r="C10" i="183"/>
  <c r="C11" i="183"/>
  <c r="C12" i="183"/>
  <c r="C13" i="183"/>
  <c r="C14" i="183"/>
  <c r="C9" i="183"/>
  <c r="AF82" i="243" l="1"/>
  <c r="AA108" i="243"/>
  <c r="AA106" i="243"/>
  <c r="P107" i="243"/>
  <c r="E119" i="243"/>
  <c r="Y108" i="243"/>
  <c r="N120" i="243"/>
  <c r="P99" i="243"/>
  <c r="E111" i="243"/>
  <c r="Y106" i="243"/>
  <c r="N118" i="243"/>
  <c r="S106" i="243"/>
  <c r="H118" i="243"/>
  <c r="O120" i="243"/>
  <c r="Q107" i="243"/>
  <c r="F119" i="243"/>
  <c r="AH82" i="243"/>
  <c r="AI82" i="243"/>
  <c r="AD82" i="243"/>
  <c r="U106" i="243"/>
  <c r="J118" i="243"/>
  <c r="P106" i="243"/>
  <c r="P118" i="243" s="1"/>
  <c r="E118" i="243"/>
  <c r="W108" i="243"/>
  <c r="L120" i="243"/>
  <c r="AB82" i="243"/>
  <c r="P108" i="243"/>
  <c r="P120" i="243" s="1"/>
  <c r="E120" i="243"/>
  <c r="O118" i="243"/>
  <c r="X106" i="243"/>
  <c r="M118" i="243"/>
  <c r="X108" i="243"/>
  <c r="M120" i="243"/>
  <c r="AJ82" i="243"/>
  <c r="AK94" i="243" s="1"/>
  <c r="W106" i="243"/>
  <c r="L118" i="243"/>
  <c r="U108" i="243"/>
  <c r="J120" i="243"/>
  <c r="P105" i="243"/>
  <c r="E117" i="243"/>
  <c r="AE82" i="243"/>
  <c r="AC82" i="243"/>
  <c r="V108" i="243"/>
  <c r="K120" i="243"/>
  <c r="V106" i="243"/>
  <c r="K118" i="243"/>
  <c r="R107" i="243"/>
  <c r="G119" i="243"/>
  <c r="T106" i="243"/>
  <c r="I118" i="243"/>
  <c r="P103" i="243"/>
  <c r="E115" i="243"/>
  <c r="AG82" i="243"/>
  <c r="AG94" i="243" s="1"/>
  <c r="S108" i="243"/>
  <c r="H120" i="243"/>
  <c r="T108" i="243"/>
  <c r="I120" i="243"/>
  <c r="P76" i="243"/>
  <c r="O76" i="243"/>
  <c r="O88" i="243" s="1"/>
  <c r="Z100" i="243" s="1"/>
  <c r="L76" i="243"/>
  <c r="M76" i="243"/>
  <c r="N88" i="243" s="1"/>
  <c r="K76" i="243"/>
  <c r="H76" i="243"/>
  <c r="I88" i="243" s="1"/>
  <c r="F96" i="243"/>
  <c r="AB108" i="243" s="1"/>
  <c r="G96" i="243"/>
  <c r="AC108" i="243" s="1"/>
  <c r="F94" i="243"/>
  <c r="AB106" i="243" s="1"/>
  <c r="E89" i="243"/>
  <c r="Y96" i="243"/>
  <c r="AJ108" i="243" s="1"/>
  <c r="I95" i="243"/>
  <c r="G92" i="243"/>
  <c r="G89" i="243"/>
  <c r="W96" i="243"/>
  <c r="AH108" i="243" s="1"/>
  <c r="G90" i="243"/>
  <c r="F93" i="243"/>
  <c r="Z96" i="243"/>
  <c r="AK108" i="243" s="1"/>
  <c r="G88" i="243"/>
  <c r="F91" i="243"/>
  <c r="V96" i="243"/>
  <c r="AG108" i="243" s="1"/>
  <c r="X96" i="243"/>
  <c r="AI108" i="243" s="1"/>
  <c r="E88" i="243"/>
  <c r="E92" i="243"/>
  <c r="E90" i="243"/>
  <c r="G87" i="243"/>
  <c r="H95" i="243"/>
  <c r="F87" i="243"/>
  <c r="AI96" i="243"/>
  <c r="X94" i="243"/>
  <c r="AI106" i="243" s="1"/>
  <c r="T96" i="243"/>
  <c r="AE108" i="243" s="1"/>
  <c r="AH96" i="243"/>
  <c r="S96" i="243"/>
  <c r="AD108" i="243" s="1"/>
  <c r="Z95" i="243"/>
  <c r="G93" i="243"/>
  <c r="F89" i="243"/>
  <c r="R94" i="243"/>
  <c r="S94" i="243"/>
  <c r="AD106" i="243" s="1"/>
  <c r="R95" i="243"/>
  <c r="AC107" i="243" s="1"/>
  <c r="J95" i="243"/>
  <c r="Y94" i="243"/>
  <c r="AJ106" i="243" s="1"/>
  <c r="W94" i="243"/>
  <c r="AH106" i="243" s="1"/>
  <c r="AG96" i="243"/>
  <c r="Y95" i="243"/>
  <c r="AB94" i="243"/>
  <c r="Q95" i="243"/>
  <c r="AB107" i="243" s="1"/>
  <c r="O95" i="243"/>
  <c r="Z107" i="243" s="1"/>
  <c r="T94" i="243"/>
  <c r="AE106" i="243" s="1"/>
  <c r="X95" i="243"/>
  <c r="AA95" i="243"/>
  <c r="P95" i="243"/>
  <c r="AA107" i="243" s="1"/>
  <c r="W95" i="243"/>
  <c r="T95" i="243"/>
  <c r="AJ96" i="243"/>
  <c r="AE96" i="243"/>
  <c r="AD96" i="243"/>
  <c r="U95" i="243"/>
  <c r="AC96" i="243"/>
  <c r="G91" i="243"/>
  <c r="V94" i="243"/>
  <c r="AG106" i="243" s="1"/>
  <c r="U94" i="243"/>
  <c r="AF106" i="243" s="1"/>
  <c r="L95" i="243"/>
  <c r="Z94" i="243"/>
  <c r="AK106" i="243" s="1"/>
  <c r="AA96" i="243"/>
  <c r="AA120" i="243" s="1"/>
  <c r="V95" i="243"/>
  <c r="M95" i="243"/>
  <c r="AB96" i="243"/>
  <c r="F92" i="243"/>
  <c r="G94" i="243"/>
  <c r="F88" i="243"/>
  <c r="S95" i="243"/>
  <c r="AF96" i="243"/>
  <c r="K95" i="243"/>
  <c r="AA94" i="243"/>
  <c r="AA118" i="243" s="1"/>
  <c r="N95" i="243"/>
  <c r="U96" i="243"/>
  <c r="AF108" i="243" s="1"/>
  <c r="AK96" i="243"/>
  <c r="F90" i="243"/>
  <c r="AK83" i="243"/>
  <c r="AG83" i="243"/>
  <c r="AD83" i="243"/>
  <c r="AB83" i="243"/>
  <c r="AH83" i="243"/>
  <c r="AE83" i="243"/>
  <c r="AI83" i="243"/>
  <c r="AJ83" i="243"/>
  <c r="AC83" i="243"/>
  <c r="AF83" i="243"/>
  <c r="Q76" i="243"/>
  <c r="J76" i="243"/>
  <c r="B5" i="190"/>
  <c r="B18" i="189"/>
  <c r="B17" i="189"/>
  <c r="B16" i="189"/>
  <c r="B15" i="189"/>
  <c r="B14" i="189"/>
  <c r="B13" i="189"/>
  <c r="AE94" i="243" l="1"/>
  <c r="AI94" i="243"/>
  <c r="AK107" i="243"/>
  <c r="P88" i="243"/>
  <c r="AA100" i="243" s="1"/>
  <c r="AD107" i="243"/>
  <c r="AF94" i="243"/>
  <c r="AF118" i="243" s="1"/>
  <c r="AD94" i="243"/>
  <c r="AD118" i="243" s="1"/>
  <c r="AG107" i="243"/>
  <c r="AI107" i="243"/>
  <c r="AE107" i="243"/>
  <c r="AC106" i="243"/>
  <c r="AF107" i="243"/>
  <c r="AH107" i="243"/>
  <c r="AB120" i="243"/>
  <c r="AJ107" i="243"/>
  <c r="AJ94" i="243"/>
  <c r="AH94" i="243"/>
  <c r="AH118" i="243" s="1"/>
  <c r="AC94" i="243"/>
  <c r="Y100" i="243"/>
  <c r="N112" i="243"/>
  <c r="X107" i="243"/>
  <c r="X119" i="243" s="1"/>
  <c r="M119" i="243"/>
  <c r="W107" i="243"/>
  <c r="L119" i="243"/>
  <c r="O112" i="243"/>
  <c r="S118" i="243"/>
  <c r="AD120" i="243"/>
  <c r="S120" i="243"/>
  <c r="R99" i="243"/>
  <c r="G111" i="243"/>
  <c r="AK120" i="243"/>
  <c r="Z120" i="243"/>
  <c r="T118" i="243"/>
  <c r="P102" i="243"/>
  <c r="E114" i="243"/>
  <c r="U120" i="243"/>
  <c r="AF120" i="243"/>
  <c r="AG118" i="243"/>
  <c r="V118" i="243"/>
  <c r="O119" i="243"/>
  <c r="W118" i="243"/>
  <c r="Q101" i="243"/>
  <c r="F113" i="243"/>
  <c r="AE120" i="243"/>
  <c r="T120" i="243"/>
  <c r="P104" i="243"/>
  <c r="E116" i="243"/>
  <c r="R102" i="243"/>
  <c r="G114" i="243"/>
  <c r="P101" i="243"/>
  <c r="E113" i="243"/>
  <c r="M88" i="243"/>
  <c r="V107" i="243"/>
  <c r="V119" i="243" s="1"/>
  <c r="K119" i="243"/>
  <c r="U118" i="243"/>
  <c r="AH120" i="243"/>
  <c r="Q105" i="243"/>
  <c r="F117" i="243"/>
  <c r="Y120" i="243"/>
  <c r="R103" i="243"/>
  <c r="G115" i="243"/>
  <c r="R105" i="243"/>
  <c r="G117" i="243"/>
  <c r="AI118" i="243"/>
  <c r="X118" i="243"/>
  <c r="P100" i="243"/>
  <c r="E112" i="243"/>
  <c r="W120" i="243"/>
  <c r="Q106" i="243"/>
  <c r="Q118" i="243" s="1"/>
  <c r="F118" i="243"/>
  <c r="Q100" i="243"/>
  <c r="F112" i="243"/>
  <c r="AC120" i="243"/>
  <c r="Q119" i="243"/>
  <c r="Y118" i="243"/>
  <c r="AI120" i="243"/>
  <c r="X120" i="243"/>
  <c r="R101" i="243"/>
  <c r="G113" i="243"/>
  <c r="R108" i="243"/>
  <c r="R120" i="243" s="1"/>
  <c r="G120" i="243"/>
  <c r="Y107" i="243"/>
  <c r="Y119" i="243" s="1"/>
  <c r="N119" i="243"/>
  <c r="R106" i="243"/>
  <c r="R118" i="243" s="1"/>
  <c r="G118" i="243"/>
  <c r="AK118" i="243"/>
  <c r="Z118" i="243"/>
  <c r="AJ120" i="243"/>
  <c r="AB118" i="243"/>
  <c r="Q99" i="243"/>
  <c r="F111" i="243"/>
  <c r="AG120" i="243"/>
  <c r="V120" i="243"/>
  <c r="R104" i="243"/>
  <c r="G116" i="243"/>
  <c r="Q108" i="243"/>
  <c r="Q120" i="243" s="1"/>
  <c r="F120" i="243"/>
  <c r="Q104" i="243"/>
  <c r="F116" i="243"/>
  <c r="AE118" i="243"/>
  <c r="AA119" i="243"/>
  <c r="P119" i="243"/>
  <c r="U107" i="243"/>
  <c r="U119" i="243" s="1"/>
  <c r="J119" i="243"/>
  <c r="Z119" i="243"/>
  <c r="Q103" i="243"/>
  <c r="F115" i="243"/>
  <c r="Q102" i="243"/>
  <c r="F114" i="243"/>
  <c r="W119" i="243"/>
  <c r="R119" i="243"/>
  <c r="S107" i="243"/>
  <c r="S119" i="243" s="1"/>
  <c r="H119" i="243"/>
  <c r="R100" i="243"/>
  <c r="G112" i="243"/>
  <c r="T107" i="243"/>
  <c r="T119" i="243" s="1"/>
  <c r="I119" i="243"/>
  <c r="T100" i="243"/>
  <c r="I112" i="243"/>
  <c r="L88" i="243"/>
  <c r="H88" i="243"/>
  <c r="J88" i="243"/>
  <c r="AI95" i="243"/>
  <c r="AE95" i="243"/>
  <c r="AH95" i="243"/>
  <c r="AB95" i="243"/>
  <c r="Q88" i="243"/>
  <c r="AB100" i="243" s="1"/>
  <c r="AD95" i="243"/>
  <c r="AD119" i="243" s="1"/>
  <c r="AF95" i="243"/>
  <c r="AG95" i="243"/>
  <c r="AC95" i="243"/>
  <c r="AC119" i="243" s="1"/>
  <c r="AK95" i="243"/>
  <c r="AK119" i="243" s="1"/>
  <c r="AJ95" i="243"/>
  <c r="AJ119" i="243" s="1"/>
  <c r="K88" i="243"/>
  <c r="B17" i="193"/>
  <c r="B16" i="193"/>
  <c r="B15" i="193"/>
  <c r="B14" i="193"/>
  <c r="B13" i="193"/>
  <c r="B12" i="193"/>
  <c r="W12" i="192"/>
  <c r="V12" i="192"/>
  <c r="R12" i="192"/>
  <c r="Q12" i="192"/>
  <c r="M12" i="192"/>
  <c r="L12" i="192"/>
  <c r="H12" i="192"/>
  <c r="G12" i="192"/>
  <c r="W12" i="191"/>
  <c r="V12" i="191"/>
  <c r="R12" i="191"/>
  <c r="Q12" i="191"/>
  <c r="M12" i="191"/>
  <c r="L12" i="191"/>
  <c r="H12" i="191"/>
  <c r="G12" i="191"/>
  <c r="T12" i="190"/>
  <c r="S12" i="190"/>
  <c r="R12" i="190"/>
  <c r="Q12" i="190"/>
  <c r="J12" i="190"/>
  <c r="I12" i="190"/>
  <c r="H12" i="190"/>
  <c r="G12" i="190"/>
  <c r="B18" i="188"/>
  <c r="B17" i="188"/>
  <c r="B16" i="188"/>
  <c r="B15" i="188"/>
  <c r="B14" i="188"/>
  <c r="B13" i="188"/>
  <c r="B18" i="187"/>
  <c r="B17" i="187"/>
  <c r="B16" i="187"/>
  <c r="B15" i="187"/>
  <c r="B14" i="187"/>
  <c r="B13" i="187"/>
  <c r="B18" i="186"/>
  <c r="B17" i="186"/>
  <c r="B16" i="186"/>
  <c r="B15" i="186"/>
  <c r="B14" i="186"/>
  <c r="B13" i="186"/>
  <c r="B18" i="185"/>
  <c r="B17" i="185"/>
  <c r="B16" i="185"/>
  <c r="B15" i="185"/>
  <c r="B14" i="185"/>
  <c r="B13" i="185"/>
  <c r="B14" i="184"/>
  <c r="B13" i="184"/>
  <c r="B12" i="184"/>
  <c r="B11" i="184"/>
  <c r="B10" i="184"/>
  <c r="AA334" i="227"/>
  <c r="Z334" i="227"/>
  <c r="Y334" i="227"/>
  <c r="X334" i="227"/>
  <c r="W334" i="227"/>
  <c r="V334" i="227"/>
  <c r="U334" i="227"/>
  <c r="T334" i="227"/>
  <c r="S334" i="227"/>
  <c r="R334" i="227"/>
  <c r="Q334" i="227"/>
  <c r="P334" i="227"/>
  <c r="O334" i="227"/>
  <c r="N334" i="227"/>
  <c r="M334" i="227"/>
  <c r="L334" i="227"/>
  <c r="K334" i="227"/>
  <c r="J334" i="227"/>
  <c r="I334" i="227"/>
  <c r="H334" i="227"/>
  <c r="G334" i="227"/>
  <c r="F334" i="227"/>
  <c r="E334" i="227"/>
  <c r="D334" i="227"/>
  <c r="C334" i="227"/>
  <c r="AA324" i="227"/>
  <c r="Z324" i="227"/>
  <c r="Y324" i="227"/>
  <c r="X324" i="227"/>
  <c r="W324" i="227"/>
  <c r="V324" i="227"/>
  <c r="U324" i="227"/>
  <c r="T324" i="227"/>
  <c r="S324" i="227"/>
  <c r="R324" i="227"/>
  <c r="Q324" i="227"/>
  <c r="P324" i="227"/>
  <c r="O324" i="227"/>
  <c r="N324" i="227"/>
  <c r="M324" i="227"/>
  <c r="L324" i="227"/>
  <c r="K324" i="227"/>
  <c r="J324" i="227"/>
  <c r="I324" i="227"/>
  <c r="H324" i="227"/>
  <c r="G324" i="227"/>
  <c r="F324" i="227"/>
  <c r="E324" i="227"/>
  <c r="D324" i="227"/>
  <c r="C324" i="227"/>
  <c r="AA302" i="227"/>
  <c r="Z302" i="227"/>
  <c r="Y302" i="227"/>
  <c r="X302" i="227"/>
  <c r="W302" i="227"/>
  <c r="V302" i="227"/>
  <c r="U302" i="227"/>
  <c r="T302" i="227"/>
  <c r="S302" i="227"/>
  <c r="R302" i="227"/>
  <c r="Q302" i="227"/>
  <c r="P302" i="227"/>
  <c r="O302" i="227"/>
  <c r="N302" i="227"/>
  <c r="M302" i="227"/>
  <c r="L302" i="227"/>
  <c r="K302" i="227"/>
  <c r="J302" i="227"/>
  <c r="I302" i="227"/>
  <c r="H302" i="227"/>
  <c r="G302" i="227"/>
  <c r="F302" i="227"/>
  <c r="E302" i="227"/>
  <c r="D302" i="227"/>
  <c r="C302" i="227"/>
  <c r="AA289" i="227"/>
  <c r="Z289" i="227"/>
  <c r="Y289" i="227"/>
  <c r="X289" i="227"/>
  <c r="W289" i="227"/>
  <c r="V289" i="227"/>
  <c r="U289" i="227"/>
  <c r="T289" i="227"/>
  <c r="S289" i="227"/>
  <c r="R289" i="227"/>
  <c r="Q289" i="227"/>
  <c r="P289" i="227"/>
  <c r="O289" i="227"/>
  <c r="N289" i="227"/>
  <c r="M289" i="227"/>
  <c r="L289" i="227"/>
  <c r="K289" i="227"/>
  <c r="J289" i="227"/>
  <c r="I289" i="227"/>
  <c r="H289" i="227"/>
  <c r="G289" i="227"/>
  <c r="F289" i="227"/>
  <c r="E289" i="227"/>
  <c r="D289" i="227"/>
  <c r="C289" i="227"/>
  <c r="AA274" i="227"/>
  <c r="Z274" i="227"/>
  <c r="Y274" i="227"/>
  <c r="X274" i="227"/>
  <c r="W274" i="227"/>
  <c r="V274" i="227"/>
  <c r="U274" i="227"/>
  <c r="T274" i="227"/>
  <c r="S274" i="227"/>
  <c r="R274" i="227"/>
  <c r="Q274" i="227"/>
  <c r="P274" i="227"/>
  <c r="O274" i="227"/>
  <c r="N274" i="227"/>
  <c r="M274" i="227"/>
  <c r="L274" i="227"/>
  <c r="K274" i="227"/>
  <c r="J274" i="227"/>
  <c r="I274" i="227"/>
  <c r="H274" i="227"/>
  <c r="G274" i="227"/>
  <c r="F274" i="227"/>
  <c r="E274" i="227"/>
  <c r="D274" i="227"/>
  <c r="C274" i="227"/>
  <c r="AA265" i="227"/>
  <c r="Z265" i="227"/>
  <c r="Y265" i="227"/>
  <c r="X265" i="227"/>
  <c r="W265" i="227"/>
  <c r="V265" i="227"/>
  <c r="U265" i="227"/>
  <c r="T265" i="227"/>
  <c r="S265" i="227"/>
  <c r="R265" i="227"/>
  <c r="Q265" i="227"/>
  <c r="P265" i="227"/>
  <c r="O265" i="227"/>
  <c r="N265" i="227"/>
  <c r="M265" i="227"/>
  <c r="L265" i="227"/>
  <c r="K265" i="227"/>
  <c r="J265" i="227"/>
  <c r="I265" i="227"/>
  <c r="H265" i="227"/>
  <c r="G265" i="227"/>
  <c r="F265" i="227"/>
  <c r="E265" i="227"/>
  <c r="D265" i="227"/>
  <c r="C265" i="227"/>
  <c r="AA260" i="227"/>
  <c r="Z260" i="227"/>
  <c r="Y260" i="227"/>
  <c r="X260" i="227"/>
  <c r="W260" i="227"/>
  <c r="V260" i="227"/>
  <c r="U260" i="227"/>
  <c r="T260" i="227"/>
  <c r="S260" i="227"/>
  <c r="R260" i="227"/>
  <c r="Q260" i="227"/>
  <c r="P260" i="227"/>
  <c r="O260" i="227"/>
  <c r="N260" i="227"/>
  <c r="M260" i="227"/>
  <c r="L260" i="227"/>
  <c r="K260" i="227"/>
  <c r="J260" i="227"/>
  <c r="I260" i="227"/>
  <c r="H260" i="227"/>
  <c r="G260" i="227"/>
  <c r="F260" i="227"/>
  <c r="E260" i="227"/>
  <c r="D260" i="227"/>
  <c r="C260" i="227"/>
  <c r="AA252" i="227"/>
  <c r="Z252" i="227"/>
  <c r="Y252" i="227"/>
  <c r="X252" i="227"/>
  <c r="W252" i="227"/>
  <c r="V252" i="227"/>
  <c r="U252" i="227"/>
  <c r="T252" i="227"/>
  <c r="S252" i="227"/>
  <c r="R252" i="227"/>
  <c r="Q252" i="227"/>
  <c r="P252" i="227"/>
  <c r="O252" i="227"/>
  <c r="N252" i="227"/>
  <c r="M252" i="227"/>
  <c r="L252" i="227"/>
  <c r="K252" i="227"/>
  <c r="J252" i="227"/>
  <c r="I252" i="227"/>
  <c r="H252" i="227"/>
  <c r="G252" i="227"/>
  <c r="F252" i="227"/>
  <c r="E252" i="227"/>
  <c r="D252" i="227"/>
  <c r="C252" i="227"/>
  <c r="AA247" i="227"/>
  <c r="Z247" i="227"/>
  <c r="Y247" i="227"/>
  <c r="X247" i="227"/>
  <c r="W247" i="227"/>
  <c r="V247" i="227"/>
  <c r="U247" i="227"/>
  <c r="T247" i="227"/>
  <c r="S247" i="227"/>
  <c r="R247" i="227"/>
  <c r="Q247" i="227"/>
  <c r="P247" i="227"/>
  <c r="O247" i="227"/>
  <c r="N247" i="227"/>
  <c r="M247" i="227"/>
  <c r="L247" i="227"/>
  <c r="K247" i="227"/>
  <c r="J247" i="227"/>
  <c r="I247" i="227"/>
  <c r="H247" i="227"/>
  <c r="G247" i="227"/>
  <c r="F247" i="227"/>
  <c r="E247" i="227"/>
  <c r="D247" i="227"/>
  <c r="C247" i="227"/>
  <c r="AA241" i="227"/>
  <c r="Z241" i="227"/>
  <c r="Y241" i="227"/>
  <c r="X241" i="227"/>
  <c r="W241" i="227"/>
  <c r="V241" i="227"/>
  <c r="U241" i="227"/>
  <c r="T241" i="227"/>
  <c r="S241" i="227"/>
  <c r="R241" i="227"/>
  <c r="Q241" i="227"/>
  <c r="P241" i="227"/>
  <c r="O241" i="227"/>
  <c r="N241" i="227"/>
  <c r="M241" i="227"/>
  <c r="L241" i="227"/>
  <c r="K241" i="227"/>
  <c r="J241" i="227"/>
  <c r="I241" i="227"/>
  <c r="H241" i="227"/>
  <c r="G241" i="227"/>
  <c r="F241" i="227"/>
  <c r="E241" i="227"/>
  <c r="D241" i="227"/>
  <c r="C241" i="227"/>
  <c r="AA232" i="227"/>
  <c r="Z232" i="227"/>
  <c r="Y232" i="227"/>
  <c r="X232" i="227"/>
  <c r="W232" i="227"/>
  <c r="V232" i="227"/>
  <c r="U232" i="227"/>
  <c r="T232" i="227"/>
  <c r="S232" i="227"/>
  <c r="R232" i="227"/>
  <c r="Q232" i="227"/>
  <c r="P232" i="227"/>
  <c r="O232" i="227"/>
  <c r="N232" i="227"/>
  <c r="M232" i="227"/>
  <c r="L232" i="227"/>
  <c r="K232" i="227"/>
  <c r="J232" i="227"/>
  <c r="I232" i="227"/>
  <c r="H232" i="227"/>
  <c r="G232" i="227"/>
  <c r="F232" i="227"/>
  <c r="E232" i="227"/>
  <c r="D232" i="227"/>
  <c r="C232" i="227"/>
  <c r="AA224" i="227"/>
  <c r="Z224" i="227"/>
  <c r="Y224" i="227"/>
  <c r="X224" i="227"/>
  <c r="W224" i="227"/>
  <c r="V224" i="227"/>
  <c r="U224" i="227"/>
  <c r="T224" i="227"/>
  <c r="S224" i="227"/>
  <c r="R224" i="227"/>
  <c r="Q224" i="227"/>
  <c r="P224" i="227"/>
  <c r="O224" i="227"/>
  <c r="N224" i="227"/>
  <c r="M224" i="227"/>
  <c r="L224" i="227"/>
  <c r="K224" i="227"/>
  <c r="J224" i="227"/>
  <c r="I224" i="227"/>
  <c r="H224" i="227"/>
  <c r="G224" i="227"/>
  <c r="F224" i="227"/>
  <c r="E224" i="227"/>
  <c r="D224" i="227"/>
  <c r="C224" i="227"/>
  <c r="AA218" i="227"/>
  <c r="Z218" i="227"/>
  <c r="Y218" i="227"/>
  <c r="X218" i="227"/>
  <c r="W218" i="227"/>
  <c r="V218" i="227"/>
  <c r="U218" i="227"/>
  <c r="T218" i="227"/>
  <c r="S218" i="227"/>
  <c r="R218" i="227"/>
  <c r="Q218" i="227"/>
  <c r="P218" i="227"/>
  <c r="O218" i="227"/>
  <c r="N218" i="227"/>
  <c r="M218" i="227"/>
  <c r="L218" i="227"/>
  <c r="K218" i="227"/>
  <c r="J218" i="227"/>
  <c r="I218" i="227"/>
  <c r="H218" i="227"/>
  <c r="G218" i="227"/>
  <c r="F218" i="227"/>
  <c r="E218" i="227"/>
  <c r="D218" i="227"/>
  <c r="C218" i="227"/>
  <c r="AA209" i="227"/>
  <c r="Z209" i="227"/>
  <c r="Y209" i="227"/>
  <c r="X209" i="227"/>
  <c r="W209" i="227"/>
  <c r="V209" i="227"/>
  <c r="U209" i="227"/>
  <c r="T209" i="227"/>
  <c r="S209" i="227"/>
  <c r="R209" i="227"/>
  <c r="Q209" i="227"/>
  <c r="P209" i="227"/>
  <c r="O209" i="227"/>
  <c r="N209" i="227"/>
  <c r="M209" i="227"/>
  <c r="L209" i="227"/>
  <c r="K209" i="227"/>
  <c r="J209" i="227"/>
  <c r="I209" i="227"/>
  <c r="H209" i="227"/>
  <c r="G209" i="227"/>
  <c r="F209" i="227"/>
  <c r="E209" i="227"/>
  <c r="D209" i="227"/>
  <c r="C209" i="227"/>
  <c r="AA202" i="227"/>
  <c r="Z202" i="227"/>
  <c r="Y202" i="227"/>
  <c r="X202" i="227"/>
  <c r="W202" i="227"/>
  <c r="V202" i="227"/>
  <c r="U202" i="227"/>
  <c r="T202" i="227"/>
  <c r="S202" i="227"/>
  <c r="R202" i="227"/>
  <c r="Q202" i="227"/>
  <c r="P202" i="227"/>
  <c r="O202" i="227"/>
  <c r="N202" i="227"/>
  <c r="M202" i="227"/>
  <c r="L202" i="227"/>
  <c r="K202" i="227"/>
  <c r="J202" i="227"/>
  <c r="I202" i="227"/>
  <c r="H202" i="227"/>
  <c r="G202" i="227"/>
  <c r="F202" i="227"/>
  <c r="E202" i="227"/>
  <c r="D202" i="227"/>
  <c r="C202" i="227"/>
  <c r="AA196" i="227"/>
  <c r="Z196" i="227"/>
  <c r="Y196" i="227"/>
  <c r="X196" i="227"/>
  <c r="W196" i="227"/>
  <c r="V196" i="227"/>
  <c r="U196" i="227"/>
  <c r="T196" i="227"/>
  <c r="S196" i="227"/>
  <c r="R196" i="227"/>
  <c r="Q196" i="227"/>
  <c r="P196" i="227"/>
  <c r="O196" i="227"/>
  <c r="N196" i="227"/>
  <c r="M196" i="227"/>
  <c r="L196" i="227"/>
  <c r="K196" i="227"/>
  <c r="J196" i="227"/>
  <c r="I196" i="227"/>
  <c r="H196" i="227"/>
  <c r="G196" i="227"/>
  <c r="F196" i="227"/>
  <c r="E196" i="227"/>
  <c r="D196" i="227"/>
  <c r="C196" i="227"/>
  <c r="AA183" i="227"/>
  <c r="Z183" i="227"/>
  <c r="Y183" i="227"/>
  <c r="X183" i="227"/>
  <c r="W183" i="227"/>
  <c r="V183" i="227"/>
  <c r="U183" i="227"/>
  <c r="T183" i="227"/>
  <c r="S183" i="227"/>
  <c r="R183" i="227"/>
  <c r="Q183" i="227"/>
  <c r="P183" i="227"/>
  <c r="O183" i="227"/>
  <c r="N183" i="227"/>
  <c r="M183" i="227"/>
  <c r="L183" i="227"/>
  <c r="K183" i="227"/>
  <c r="J183" i="227"/>
  <c r="I183" i="227"/>
  <c r="H183" i="227"/>
  <c r="G183" i="227"/>
  <c r="F183" i="227"/>
  <c r="E183" i="227"/>
  <c r="D183" i="227"/>
  <c r="C183" i="227"/>
  <c r="AA178" i="227"/>
  <c r="Z178" i="227"/>
  <c r="Y178" i="227"/>
  <c r="X178" i="227"/>
  <c r="W178" i="227"/>
  <c r="V178" i="227"/>
  <c r="U178" i="227"/>
  <c r="T178" i="227"/>
  <c r="S178" i="227"/>
  <c r="R178" i="227"/>
  <c r="Q178" i="227"/>
  <c r="P178" i="227"/>
  <c r="O178" i="227"/>
  <c r="N178" i="227"/>
  <c r="M178" i="227"/>
  <c r="L178" i="227"/>
  <c r="K178" i="227"/>
  <c r="J178" i="227"/>
  <c r="I178" i="227"/>
  <c r="H178" i="227"/>
  <c r="G178" i="227"/>
  <c r="F178" i="227"/>
  <c r="E178" i="227"/>
  <c r="D178" i="227"/>
  <c r="C178" i="227"/>
  <c r="AA171" i="227"/>
  <c r="Z171" i="227"/>
  <c r="Y171" i="227"/>
  <c r="X171" i="227"/>
  <c r="W171" i="227"/>
  <c r="V171" i="227"/>
  <c r="U171" i="227"/>
  <c r="T171" i="227"/>
  <c r="S171" i="227"/>
  <c r="R171" i="227"/>
  <c r="Q171" i="227"/>
  <c r="P171" i="227"/>
  <c r="O171" i="227"/>
  <c r="N171" i="227"/>
  <c r="M171" i="227"/>
  <c r="L171" i="227"/>
  <c r="K171" i="227"/>
  <c r="J171" i="227"/>
  <c r="I171" i="227"/>
  <c r="H171" i="227"/>
  <c r="G171" i="227"/>
  <c r="F171" i="227"/>
  <c r="E171" i="227"/>
  <c r="D171" i="227"/>
  <c r="C171" i="227"/>
  <c r="AA163" i="227"/>
  <c r="Z163" i="227"/>
  <c r="Y163" i="227"/>
  <c r="X163" i="227"/>
  <c r="W163" i="227"/>
  <c r="V163" i="227"/>
  <c r="U163" i="227"/>
  <c r="T163" i="227"/>
  <c r="S163" i="227"/>
  <c r="R163" i="227"/>
  <c r="Q163" i="227"/>
  <c r="P163" i="227"/>
  <c r="O163" i="227"/>
  <c r="N163" i="227"/>
  <c r="M163" i="227"/>
  <c r="L163" i="227"/>
  <c r="K163" i="227"/>
  <c r="J163" i="227"/>
  <c r="I163" i="227"/>
  <c r="H163" i="227"/>
  <c r="G163" i="227"/>
  <c r="F163" i="227"/>
  <c r="E163" i="227"/>
  <c r="D163" i="227"/>
  <c r="C163" i="227"/>
  <c r="AA155" i="227"/>
  <c r="Z155" i="227"/>
  <c r="Y155" i="227"/>
  <c r="X155" i="227"/>
  <c r="W155" i="227"/>
  <c r="V155" i="227"/>
  <c r="U155" i="227"/>
  <c r="T155" i="227"/>
  <c r="S155" i="227"/>
  <c r="R155" i="227"/>
  <c r="Q155" i="227"/>
  <c r="P155" i="227"/>
  <c r="O155" i="227"/>
  <c r="N155" i="227"/>
  <c r="M155" i="227"/>
  <c r="L155" i="227"/>
  <c r="K155" i="227"/>
  <c r="J155" i="227"/>
  <c r="I155" i="227"/>
  <c r="H155" i="227"/>
  <c r="G155" i="227"/>
  <c r="F155" i="227"/>
  <c r="E155" i="227"/>
  <c r="D155" i="227"/>
  <c r="C155" i="227"/>
  <c r="AA150" i="227"/>
  <c r="Z150" i="227"/>
  <c r="Y150" i="227"/>
  <c r="X150" i="227"/>
  <c r="W150" i="227"/>
  <c r="V150" i="227"/>
  <c r="U150" i="227"/>
  <c r="T150" i="227"/>
  <c r="S150" i="227"/>
  <c r="R150" i="227"/>
  <c r="Q150" i="227"/>
  <c r="P150" i="227"/>
  <c r="O150" i="227"/>
  <c r="N150" i="227"/>
  <c r="M150" i="227"/>
  <c r="L150" i="227"/>
  <c r="K150" i="227"/>
  <c r="J150" i="227"/>
  <c r="I150" i="227"/>
  <c r="H150" i="227"/>
  <c r="G150" i="227"/>
  <c r="F150" i="227"/>
  <c r="E150" i="227"/>
  <c r="D150" i="227"/>
  <c r="C150" i="227"/>
  <c r="AA143" i="227"/>
  <c r="Z143" i="227"/>
  <c r="Y143" i="227"/>
  <c r="X143" i="227"/>
  <c r="W143" i="227"/>
  <c r="V143" i="227"/>
  <c r="U143" i="227"/>
  <c r="T143" i="227"/>
  <c r="S143" i="227"/>
  <c r="R143" i="227"/>
  <c r="Q143" i="227"/>
  <c r="P143" i="227"/>
  <c r="O143" i="227"/>
  <c r="N143" i="227"/>
  <c r="M143" i="227"/>
  <c r="L143" i="227"/>
  <c r="K143" i="227"/>
  <c r="J143" i="227"/>
  <c r="I143" i="227"/>
  <c r="H143" i="227"/>
  <c r="G143" i="227"/>
  <c r="F143" i="227"/>
  <c r="E143" i="227"/>
  <c r="D143" i="227"/>
  <c r="C143" i="227"/>
  <c r="AA135" i="227"/>
  <c r="Z135" i="227"/>
  <c r="Y135" i="227"/>
  <c r="X135" i="227"/>
  <c r="W135" i="227"/>
  <c r="V135" i="227"/>
  <c r="U135" i="227"/>
  <c r="T135" i="227"/>
  <c r="S135" i="227"/>
  <c r="R135" i="227"/>
  <c r="Q135" i="227"/>
  <c r="P135" i="227"/>
  <c r="O135" i="227"/>
  <c r="N135" i="227"/>
  <c r="M135" i="227"/>
  <c r="L135" i="227"/>
  <c r="K135" i="227"/>
  <c r="J135" i="227"/>
  <c r="I135" i="227"/>
  <c r="H135" i="227"/>
  <c r="G135" i="227"/>
  <c r="F135" i="227"/>
  <c r="E135" i="227"/>
  <c r="D135" i="227"/>
  <c r="C135" i="227"/>
  <c r="AA128" i="227"/>
  <c r="Z128" i="227"/>
  <c r="Y128" i="227"/>
  <c r="X128" i="227"/>
  <c r="W128" i="227"/>
  <c r="V128" i="227"/>
  <c r="U128" i="227"/>
  <c r="T128" i="227"/>
  <c r="S128" i="227"/>
  <c r="R128" i="227"/>
  <c r="Q128" i="227"/>
  <c r="P128" i="227"/>
  <c r="O128" i="227"/>
  <c r="N128" i="227"/>
  <c r="M128" i="227"/>
  <c r="L128" i="227"/>
  <c r="K128" i="227"/>
  <c r="J128" i="227"/>
  <c r="I128" i="227"/>
  <c r="H128" i="227"/>
  <c r="G128" i="227"/>
  <c r="F128" i="227"/>
  <c r="E128" i="227"/>
  <c r="D128" i="227"/>
  <c r="C128" i="227"/>
  <c r="AA116" i="227"/>
  <c r="Z116" i="227"/>
  <c r="Y116" i="227"/>
  <c r="X116" i="227"/>
  <c r="W116" i="227"/>
  <c r="V116" i="227"/>
  <c r="U116" i="227"/>
  <c r="T116" i="227"/>
  <c r="S116" i="227"/>
  <c r="R116" i="227"/>
  <c r="Q116" i="227"/>
  <c r="P116" i="227"/>
  <c r="O116" i="227"/>
  <c r="N116" i="227"/>
  <c r="M116" i="227"/>
  <c r="L116" i="227"/>
  <c r="K116" i="227"/>
  <c r="J116" i="227"/>
  <c r="I116" i="227"/>
  <c r="H116" i="227"/>
  <c r="G116" i="227"/>
  <c r="F116" i="227"/>
  <c r="E116" i="227"/>
  <c r="D116" i="227"/>
  <c r="C116" i="227"/>
  <c r="AA104" i="227"/>
  <c r="Z104" i="227"/>
  <c r="Y104" i="227"/>
  <c r="X104" i="227"/>
  <c r="W104" i="227"/>
  <c r="V104" i="227"/>
  <c r="U104" i="227"/>
  <c r="T104" i="227"/>
  <c r="S104" i="227"/>
  <c r="R104" i="227"/>
  <c r="Q104" i="227"/>
  <c r="P104" i="227"/>
  <c r="O104" i="227"/>
  <c r="N104" i="227"/>
  <c r="M104" i="227"/>
  <c r="L104" i="227"/>
  <c r="K104" i="227"/>
  <c r="J104" i="227"/>
  <c r="I104" i="227"/>
  <c r="H104" i="227"/>
  <c r="G104" i="227"/>
  <c r="F104" i="227"/>
  <c r="E104" i="227"/>
  <c r="D104" i="227"/>
  <c r="C104" i="227"/>
  <c r="AA94" i="227"/>
  <c r="Z94" i="227"/>
  <c r="Y94" i="227"/>
  <c r="X94" i="227"/>
  <c r="W94" i="227"/>
  <c r="V94" i="227"/>
  <c r="U94" i="227"/>
  <c r="T94" i="227"/>
  <c r="S94" i="227"/>
  <c r="R94" i="227"/>
  <c r="Q94" i="227"/>
  <c r="P94" i="227"/>
  <c r="O94" i="227"/>
  <c r="N94" i="227"/>
  <c r="M94" i="227"/>
  <c r="L94" i="227"/>
  <c r="K94" i="227"/>
  <c r="J94" i="227"/>
  <c r="I94" i="227"/>
  <c r="H94" i="227"/>
  <c r="G94" i="227"/>
  <c r="F94" i="227"/>
  <c r="E94" i="227"/>
  <c r="D94" i="227"/>
  <c r="C94" i="227"/>
  <c r="AA87" i="227"/>
  <c r="Z87" i="227"/>
  <c r="Y87" i="227"/>
  <c r="X87" i="227"/>
  <c r="W87" i="227"/>
  <c r="V87" i="227"/>
  <c r="U87" i="227"/>
  <c r="T87" i="227"/>
  <c r="S87" i="227"/>
  <c r="R87" i="227"/>
  <c r="Q87" i="227"/>
  <c r="P87" i="227"/>
  <c r="O87" i="227"/>
  <c r="N87" i="227"/>
  <c r="M87" i="227"/>
  <c r="L87" i="227"/>
  <c r="K87" i="227"/>
  <c r="J87" i="227"/>
  <c r="I87" i="227"/>
  <c r="H87" i="227"/>
  <c r="G87" i="227"/>
  <c r="F87" i="227"/>
  <c r="E87" i="227"/>
  <c r="D87" i="227"/>
  <c r="C87" i="227"/>
  <c r="AA80" i="227"/>
  <c r="Z80" i="227"/>
  <c r="Y80" i="227"/>
  <c r="X80" i="227"/>
  <c r="W80" i="227"/>
  <c r="V80" i="227"/>
  <c r="U80" i="227"/>
  <c r="T80" i="227"/>
  <c r="S80" i="227"/>
  <c r="R80" i="227"/>
  <c r="Q80" i="227"/>
  <c r="P80" i="227"/>
  <c r="O80" i="227"/>
  <c r="N80" i="227"/>
  <c r="M80" i="227"/>
  <c r="L80" i="227"/>
  <c r="K80" i="227"/>
  <c r="J80" i="227"/>
  <c r="I80" i="227"/>
  <c r="H80" i="227"/>
  <c r="G80" i="227"/>
  <c r="F80" i="227"/>
  <c r="E80" i="227"/>
  <c r="D80" i="227"/>
  <c r="C80" i="227"/>
  <c r="AA64" i="227"/>
  <c r="Z64" i="227"/>
  <c r="Y64" i="227"/>
  <c r="X64" i="227"/>
  <c r="W64" i="227"/>
  <c r="V64" i="227"/>
  <c r="U64" i="227"/>
  <c r="T64" i="227"/>
  <c r="S64" i="227"/>
  <c r="R64" i="227"/>
  <c r="Q64" i="227"/>
  <c r="P64" i="227"/>
  <c r="O64" i="227"/>
  <c r="N64" i="227"/>
  <c r="M64" i="227"/>
  <c r="L64" i="227"/>
  <c r="K64" i="227"/>
  <c r="J64" i="227"/>
  <c r="I64" i="227"/>
  <c r="H64" i="227"/>
  <c r="G64" i="227"/>
  <c r="F64" i="227"/>
  <c r="E64" i="227"/>
  <c r="D64" i="227"/>
  <c r="C64" i="227"/>
  <c r="AA53" i="227"/>
  <c r="Z53" i="227"/>
  <c r="Y53" i="227"/>
  <c r="X53" i="227"/>
  <c r="W53" i="227"/>
  <c r="V53" i="227"/>
  <c r="U53" i="227"/>
  <c r="T53" i="227"/>
  <c r="S53" i="227"/>
  <c r="R53" i="227"/>
  <c r="Q53" i="227"/>
  <c r="P53" i="227"/>
  <c r="O53" i="227"/>
  <c r="N53" i="227"/>
  <c r="M53" i="227"/>
  <c r="L53" i="227"/>
  <c r="K53" i="227"/>
  <c r="J53" i="227"/>
  <c r="I53" i="227"/>
  <c r="H53" i="227"/>
  <c r="G53" i="227"/>
  <c r="F53" i="227"/>
  <c r="E53" i="227"/>
  <c r="D53" i="227"/>
  <c r="C53" i="227"/>
  <c r="AA36" i="227"/>
  <c r="Z36" i="227"/>
  <c r="Y36" i="227"/>
  <c r="X36" i="227"/>
  <c r="W36" i="227"/>
  <c r="V36" i="227"/>
  <c r="U36" i="227"/>
  <c r="T36" i="227"/>
  <c r="S36" i="227"/>
  <c r="R36" i="227"/>
  <c r="Q36" i="227"/>
  <c r="P36" i="227"/>
  <c r="O36" i="227"/>
  <c r="N36" i="227"/>
  <c r="M36" i="227"/>
  <c r="L36" i="227"/>
  <c r="K36" i="227"/>
  <c r="J36" i="227"/>
  <c r="I36" i="227"/>
  <c r="H36" i="227"/>
  <c r="G36" i="227"/>
  <c r="F36" i="227"/>
  <c r="E36" i="227"/>
  <c r="D36" i="227"/>
  <c r="C36" i="227"/>
  <c r="AA22" i="227"/>
  <c r="Z22" i="227"/>
  <c r="Y22" i="227"/>
  <c r="X22" i="227"/>
  <c r="W22" i="227"/>
  <c r="V22" i="227"/>
  <c r="U22" i="227"/>
  <c r="T22" i="227"/>
  <c r="S22" i="227"/>
  <c r="R22" i="227"/>
  <c r="Q22" i="227"/>
  <c r="P22" i="227"/>
  <c r="O22" i="227"/>
  <c r="N22" i="227"/>
  <c r="M22" i="227"/>
  <c r="L22" i="227"/>
  <c r="K22" i="227"/>
  <c r="J22" i="227"/>
  <c r="I22" i="227"/>
  <c r="H22" i="227"/>
  <c r="G22" i="227"/>
  <c r="F22" i="227"/>
  <c r="E22" i="227"/>
  <c r="D22" i="227"/>
  <c r="C22" i="227"/>
  <c r="S207" i="219"/>
  <c r="R207" i="219"/>
  <c r="Q207" i="219"/>
  <c r="P207" i="219"/>
  <c r="O207" i="219"/>
  <c r="N207" i="219"/>
  <c r="M207" i="219"/>
  <c r="L207" i="219"/>
  <c r="K207" i="219"/>
  <c r="J207" i="219"/>
  <c r="I207" i="219"/>
  <c r="H207" i="219"/>
  <c r="G207" i="219"/>
  <c r="S206" i="219"/>
  <c r="R206" i="219"/>
  <c r="Q206" i="219"/>
  <c r="P206" i="219"/>
  <c r="O206" i="219"/>
  <c r="N206" i="219"/>
  <c r="M206" i="219"/>
  <c r="L206" i="219"/>
  <c r="K206" i="219"/>
  <c r="J206" i="219"/>
  <c r="I206" i="219"/>
  <c r="H206" i="219"/>
  <c r="G206" i="219"/>
  <c r="S205" i="219"/>
  <c r="R205" i="219"/>
  <c r="Q205" i="219"/>
  <c r="P205" i="219"/>
  <c r="O205" i="219"/>
  <c r="N205" i="219"/>
  <c r="M205" i="219"/>
  <c r="L205" i="219"/>
  <c r="K205" i="219"/>
  <c r="J205" i="219"/>
  <c r="I205" i="219"/>
  <c r="H205" i="219"/>
  <c r="G205" i="219"/>
  <c r="S204" i="219"/>
  <c r="R204" i="219"/>
  <c r="Q204" i="219"/>
  <c r="P204" i="219"/>
  <c r="O204" i="219"/>
  <c r="N204" i="219"/>
  <c r="M204" i="219"/>
  <c r="L204" i="219"/>
  <c r="K204" i="219"/>
  <c r="J204" i="219"/>
  <c r="I204" i="219"/>
  <c r="H204" i="219"/>
  <c r="G204" i="219"/>
  <c r="S203" i="219"/>
  <c r="R203" i="219"/>
  <c r="Q203" i="219"/>
  <c r="P203" i="219"/>
  <c r="O203" i="219"/>
  <c r="N203" i="219"/>
  <c r="M203" i="219"/>
  <c r="L203" i="219"/>
  <c r="K203" i="219"/>
  <c r="J203" i="219"/>
  <c r="I203" i="219"/>
  <c r="H203" i="219"/>
  <c r="G203" i="219"/>
  <c r="S202" i="219"/>
  <c r="R202" i="219"/>
  <c r="Q202" i="219"/>
  <c r="P202" i="219"/>
  <c r="O202" i="219"/>
  <c r="N202" i="219"/>
  <c r="M202" i="219"/>
  <c r="L202" i="219"/>
  <c r="K202" i="219"/>
  <c r="J202" i="219"/>
  <c r="I202" i="219"/>
  <c r="H202" i="219"/>
  <c r="G202" i="219"/>
  <c r="S201" i="219"/>
  <c r="R201" i="219"/>
  <c r="Q201" i="219"/>
  <c r="P201" i="219"/>
  <c r="O201" i="219"/>
  <c r="N201" i="219"/>
  <c r="M201" i="219"/>
  <c r="L201" i="219"/>
  <c r="K201" i="219"/>
  <c r="J201" i="219"/>
  <c r="I201" i="219"/>
  <c r="H201" i="219"/>
  <c r="G201" i="219"/>
  <c r="S200" i="219"/>
  <c r="R200" i="219"/>
  <c r="Q200" i="219"/>
  <c r="P200" i="219"/>
  <c r="O200" i="219"/>
  <c r="N200" i="219"/>
  <c r="M200" i="219"/>
  <c r="L200" i="219"/>
  <c r="K200" i="219"/>
  <c r="J200" i="219"/>
  <c r="I200" i="219"/>
  <c r="H200" i="219"/>
  <c r="G200" i="219"/>
  <c r="S199" i="219"/>
  <c r="R199" i="219"/>
  <c r="Q199" i="219"/>
  <c r="P199" i="219"/>
  <c r="O199" i="219"/>
  <c r="N199" i="219"/>
  <c r="M199" i="219"/>
  <c r="K84" i="219" s="1"/>
  <c r="L199" i="219"/>
  <c r="K199" i="219"/>
  <c r="J199" i="219"/>
  <c r="I199" i="219"/>
  <c r="H199" i="219"/>
  <c r="G199" i="219"/>
  <c r="S198" i="219"/>
  <c r="R198" i="219"/>
  <c r="Q198" i="219"/>
  <c r="P198" i="219"/>
  <c r="O198" i="219"/>
  <c r="N198" i="219"/>
  <c r="M198" i="219"/>
  <c r="L198" i="219"/>
  <c r="K198" i="219"/>
  <c r="J198" i="219"/>
  <c r="I198" i="219"/>
  <c r="H198" i="219"/>
  <c r="G198" i="219"/>
  <c r="S197" i="219"/>
  <c r="R197" i="219"/>
  <c r="Q197" i="219"/>
  <c r="P197" i="219"/>
  <c r="O197" i="219"/>
  <c r="N197" i="219"/>
  <c r="M197" i="219"/>
  <c r="L197" i="219"/>
  <c r="K197" i="219"/>
  <c r="J197" i="219"/>
  <c r="I197" i="219"/>
  <c r="H197" i="219"/>
  <c r="G197" i="219"/>
  <c r="S196" i="219"/>
  <c r="R196" i="219"/>
  <c r="Q196" i="219"/>
  <c r="P196" i="219"/>
  <c r="O196" i="219"/>
  <c r="N196" i="219"/>
  <c r="M196" i="219"/>
  <c r="L196" i="219"/>
  <c r="K196" i="219"/>
  <c r="J196" i="219"/>
  <c r="I196" i="219"/>
  <c r="H196" i="219"/>
  <c r="G196" i="219"/>
  <c r="S195" i="219"/>
  <c r="R195" i="219"/>
  <c r="Q195" i="219"/>
  <c r="P195" i="219"/>
  <c r="N87" i="219" s="1"/>
  <c r="O195" i="219"/>
  <c r="N195" i="219"/>
  <c r="M195" i="219"/>
  <c r="L195" i="219"/>
  <c r="K195" i="219"/>
  <c r="J195" i="219"/>
  <c r="I195" i="219"/>
  <c r="H195" i="219"/>
  <c r="F87" i="219" s="1"/>
  <c r="G195" i="219"/>
  <c r="S194" i="219"/>
  <c r="R194" i="219"/>
  <c r="Q194" i="219"/>
  <c r="P194" i="219"/>
  <c r="O194" i="219"/>
  <c r="N194" i="219"/>
  <c r="L90" i="219" s="1"/>
  <c r="M194" i="219"/>
  <c r="L194" i="219"/>
  <c r="K194" i="219"/>
  <c r="J194" i="219"/>
  <c r="I194" i="219"/>
  <c r="H194" i="219"/>
  <c r="G194" i="219"/>
  <c r="S193" i="219"/>
  <c r="R193" i="219"/>
  <c r="Q193" i="219"/>
  <c r="P193" i="219"/>
  <c r="O193" i="219"/>
  <c r="N193" i="219"/>
  <c r="M193" i="219"/>
  <c r="L193" i="219"/>
  <c r="J89" i="219" s="1"/>
  <c r="K193" i="219"/>
  <c r="J193" i="219"/>
  <c r="I193" i="219"/>
  <c r="H193" i="219"/>
  <c r="G193" i="219"/>
  <c r="S192" i="219"/>
  <c r="R192" i="219"/>
  <c r="P88" i="219" s="1"/>
  <c r="Q192" i="219"/>
  <c r="P192" i="219"/>
  <c r="O192" i="219"/>
  <c r="N192" i="219"/>
  <c r="M192" i="219"/>
  <c r="L192" i="219"/>
  <c r="K192" i="219"/>
  <c r="J192" i="219"/>
  <c r="H88" i="219" s="1"/>
  <c r="I192" i="219"/>
  <c r="H192" i="219"/>
  <c r="G192" i="219"/>
  <c r="S191" i="219"/>
  <c r="R191" i="219"/>
  <c r="Q191" i="219"/>
  <c r="P191" i="219"/>
  <c r="O191" i="219"/>
  <c r="N191" i="219"/>
  <c r="M191" i="219"/>
  <c r="L191" i="219"/>
  <c r="K191" i="219"/>
  <c r="J191" i="219"/>
  <c r="I191" i="219"/>
  <c r="H191" i="219"/>
  <c r="G191" i="219"/>
  <c r="S190" i="219"/>
  <c r="R190" i="219"/>
  <c r="Q190" i="219"/>
  <c r="P190" i="219"/>
  <c r="O190" i="219"/>
  <c r="N190" i="219"/>
  <c r="M190" i="219"/>
  <c r="L190" i="219"/>
  <c r="K190" i="219"/>
  <c r="J190" i="219"/>
  <c r="I190" i="219"/>
  <c r="H190" i="219"/>
  <c r="G190" i="219"/>
  <c r="S189" i="219"/>
  <c r="R189" i="219"/>
  <c r="Q189" i="219"/>
  <c r="P189" i="219"/>
  <c r="O189" i="219"/>
  <c r="N189" i="219"/>
  <c r="M189" i="219"/>
  <c r="L189" i="219"/>
  <c r="K189" i="219"/>
  <c r="J189" i="219"/>
  <c r="I189" i="219"/>
  <c r="H189" i="219"/>
  <c r="G189" i="219"/>
  <c r="S188" i="219"/>
  <c r="R188" i="219"/>
  <c r="Q188" i="219"/>
  <c r="P188" i="219"/>
  <c r="O188" i="219"/>
  <c r="N188" i="219"/>
  <c r="M188" i="219"/>
  <c r="L188" i="219"/>
  <c r="K188" i="219"/>
  <c r="J188" i="219"/>
  <c r="I188" i="219"/>
  <c r="H188" i="219"/>
  <c r="G188" i="219"/>
  <c r="S187" i="219"/>
  <c r="R187" i="219"/>
  <c r="Q187" i="219"/>
  <c r="P187" i="219"/>
  <c r="O187" i="219"/>
  <c r="N187" i="219"/>
  <c r="M187" i="219"/>
  <c r="L187" i="219"/>
  <c r="K187" i="219"/>
  <c r="J187" i="219"/>
  <c r="I187" i="219"/>
  <c r="H187" i="219"/>
  <c r="G187" i="219"/>
  <c r="S186" i="219"/>
  <c r="R186" i="219"/>
  <c r="Q186" i="219"/>
  <c r="P186" i="219"/>
  <c r="O186" i="219"/>
  <c r="N186" i="219"/>
  <c r="M186" i="219"/>
  <c r="L186" i="219"/>
  <c r="K186" i="219"/>
  <c r="J186" i="219"/>
  <c r="I186" i="219"/>
  <c r="H186" i="219"/>
  <c r="G186" i="219"/>
  <c r="S185" i="219"/>
  <c r="R185" i="219"/>
  <c r="Q185" i="219"/>
  <c r="P185" i="219"/>
  <c r="O185" i="219"/>
  <c r="N185" i="219"/>
  <c r="M185" i="219"/>
  <c r="L185" i="219"/>
  <c r="K185" i="219"/>
  <c r="J185" i="219"/>
  <c r="I185" i="219"/>
  <c r="H185" i="219"/>
  <c r="G185" i="219"/>
  <c r="S184" i="219"/>
  <c r="R184" i="219"/>
  <c r="Q184" i="219"/>
  <c r="P184" i="219"/>
  <c r="O184" i="219"/>
  <c r="N184" i="219"/>
  <c r="M184" i="219"/>
  <c r="L184" i="219"/>
  <c r="K184" i="219"/>
  <c r="J184" i="219"/>
  <c r="I184" i="219"/>
  <c r="H184" i="219"/>
  <c r="G184" i="219"/>
  <c r="S183" i="219"/>
  <c r="R183" i="219"/>
  <c r="Q183" i="219"/>
  <c r="P183" i="219"/>
  <c r="O183" i="219"/>
  <c r="N183" i="219"/>
  <c r="M183" i="219"/>
  <c r="K75" i="219" s="1"/>
  <c r="L183" i="219"/>
  <c r="K183" i="219"/>
  <c r="J183" i="219"/>
  <c r="I183" i="219"/>
  <c r="H183" i="219"/>
  <c r="G183" i="219"/>
  <c r="S182" i="219"/>
  <c r="R182" i="219"/>
  <c r="Q182" i="219"/>
  <c r="P182" i="219"/>
  <c r="O182" i="219"/>
  <c r="N182" i="219"/>
  <c r="M182" i="219"/>
  <c r="L182" i="219"/>
  <c r="K182" i="219"/>
  <c r="J182" i="219"/>
  <c r="I182" i="219"/>
  <c r="H182" i="219"/>
  <c r="G182" i="219"/>
  <c r="S181" i="219"/>
  <c r="R181" i="219"/>
  <c r="Q181" i="219"/>
  <c r="P181" i="219"/>
  <c r="O181" i="219"/>
  <c r="N181" i="219"/>
  <c r="M181" i="219"/>
  <c r="L181" i="219"/>
  <c r="K181" i="219"/>
  <c r="J181" i="219"/>
  <c r="I181" i="219"/>
  <c r="H181" i="219"/>
  <c r="G181" i="219"/>
  <c r="S180" i="219"/>
  <c r="R180" i="219"/>
  <c r="Q180" i="219"/>
  <c r="P180" i="219"/>
  <c r="O180" i="219"/>
  <c r="N180" i="219"/>
  <c r="M180" i="219"/>
  <c r="L180" i="219"/>
  <c r="K180" i="219"/>
  <c r="J180" i="219"/>
  <c r="I180" i="219"/>
  <c r="H180" i="219"/>
  <c r="G180" i="219"/>
  <c r="S179" i="219"/>
  <c r="R179" i="219"/>
  <c r="Q179" i="219"/>
  <c r="P179" i="219"/>
  <c r="N79" i="219" s="1"/>
  <c r="O179" i="219"/>
  <c r="N179" i="219"/>
  <c r="M179" i="219"/>
  <c r="L179" i="219"/>
  <c r="K179" i="219"/>
  <c r="J179" i="219"/>
  <c r="I179" i="219"/>
  <c r="H179" i="219"/>
  <c r="F79" i="219" s="1"/>
  <c r="G179" i="219"/>
  <c r="S178" i="219"/>
  <c r="R178" i="219"/>
  <c r="Q178" i="219"/>
  <c r="P178" i="219"/>
  <c r="O178" i="219"/>
  <c r="N178" i="219"/>
  <c r="L78" i="219" s="1"/>
  <c r="M178" i="219"/>
  <c r="L178" i="219"/>
  <c r="K178" i="219"/>
  <c r="J178" i="219"/>
  <c r="I178" i="219"/>
  <c r="H178" i="219"/>
  <c r="G178" i="219"/>
  <c r="S177" i="219"/>
  <c r="R177" i="219"/>
  <c r="Q177" i="219"/>
  <c r="P177" i="219"/>
  <c r="O177" i="219"/>
  <c r="N177" i="219"/>
  <c r="M177" i="219"/>
  <c r="L177" i="219"/>
  <c r="J81" i="219" s="1"/>
  <c r="K177" i="219"/>
  <c r="J177" i="219"/>
  <c r="I177" i="219"/>
  <c r="H177" i="219"/>
  <c r="G177" i="219"/>
  <c r="S176" i="219"/>
  <c r="R176" i="219"/>
  <c r="P80" i="219" s="1"/>
  <c r="Q176" i="219"/>
  <c r="P176" i="219"/>
  <c r="O176" i="219"/>
  <c r="M79" i="219" s="1"/>
  <c r="N176" i="219"/>
  <c r="M176" i="219"/>
  <c r="L176" i="219"/>
  <c r="K176" i="219"/>
  <c r="J176" i="219"/>
  <c r="H80" i="219" s="1"/>
  <c r="I176" i="219"/>
  <c r="H176" i="219"/>
  <c r="G176" i="219"/>
  <c r="E79" i="219" s="1"/>
  <c r="S175" i="219"/>
  <c r="R175" i="219"/>
  <c r="Q175" i="219"/>
  <c r="P175" i="219"/>
  <c r="O175" i="219"/>
  <c r="N175" i="219"/>
  <c r="M175" i="219"/>
  <c r="K71" i="219" s="1"/>
  <c r="L175" i="219"/>
  <c r="K175" i="219"/>
  <c r="J175" i="219"/>
  <c r="I175" i="219"/>
  <c r="H175" i="219"/>
  <c r="G175" i="219"/>
  <c r="S174" i="219"/>
  <c r="R174" i="219"/>
  <c r="Q174" i="219"/>
  <c r="P174" i="219"/>
  <c r="O174" i="219"/>
  <c r="N174" i="219"/>
  <c r="M174" i="219"/>
  <c r="L174" i="219"/>
  <c r="K174" i="219"/>
  <c r="J174" i="219"/>
  <c r="I174" i="219"/>
  <c r="H174" i="219"/>
  <c r="G174" i="219"/>
  <c r="S173" i="219"/>
  <c r="R173" i="219"/>
  <c r="Q173" i="219"/>
  <c r="P173" i="219"/>
  <c r="O173" i="219"/>
  <c r="N173" i="219"/>
  <c r="M173" i="219"/>
  <c r="L173" i="219"/>
  <c r="K173" i="219"/>
  <c r="J173" i="219"/>
  <c r="I173" i="219"/>
  <c r="H173" i="219"/>
  <c r="G173" i="219"/>
  <c r="S172" i="219"/>
  <c r="R172" i="219"/>
  <c r="Q172" i="219"/>
  <c r="P172" i="219"/>
  <c r="O172" i="219"/>
  <c r="N172" i="219"/>
  <c r="M172" i="219"/>
  <c r="L172" i="219"/>
  <c r="K172" i="219"/>
  <c r="J172" i="219"/>
  <c r="I172" i="219"/>
  <c r="H172" i="219"/>
  <c r="G172" i="219"/>
  <c r="S171" i="219"/>
  <c r="R171" i="219"/>
  <c r="Q171" i="219"/>
  <c r="P171" i="219"/>
  <c r="O171" i="219"/>
  <c r="N171" i="219"/>
  <c r="M171" i="219"/>
  <c r="L171" i="219"/>
  <c r="K171" i="219"/>
  <c r="J171" i="219"/>
  <c r="I171" i="219"/>
  <c r="H171" i="219"/>
  <c r="G171" i="219"/>
  <c r="S170" i="219"/>
  <c r="R170" i="219"/>
  <c r="Q170" i="219"/>
  <c r="P170" i="219"/>
  <c r="O170" i="219"/>
  <c r="N170" i="219"/>
  <c r="M170" i="219"/>
  <c r="L170" i="219"/>
  <c r="K170" i="219"/>
  <c r="J170" i="219"/>
  <c r="I170" i="219"/>
  <c r="H170" i="219"/>
  <c r="G170" i="219"/>
  <c r="S169" i="219"/>
  <c r="R169" i="219"/>
  <c r="Q169" i="219"/>
  <c r="P169" i="219"/>
  <c r="O169" i="219"/>
  <c r="N169" i="219"/>
  <c r="M169" i="219"/>
  <c r="L169" i="219"/>
  <c r="K169" i="219"/>
  <c r="J169" i="219"/>
  <c r="I169" i="219"/>
  <c r="H169" i="219"/>
  <c r="G169" i="219"/>
  <c r="S168" i="219"/>
  <c r="R168" i="219"/>
  <c r="P70" i="219" s="1"/>
  <c r="Q168" i="219"/>
  <c r="P168" i="219"/>
  <c r="O168" i="219"/>
  <c r="N168" i="219"/>
  <c r="M168" i="219"/>
  <c r="L168" i="219"/>
  <c r="K168" i="219"/>
  <c r="J168" i="219"/>
  <c r="H70" i="219" s="1"/>
  <c r="I168" i="219"/>
  <c r="H168" i="219"/>
  <c r="G168" i="219"/>
  <c r="S167" i="219"/>
  <c r="R167" i="219"/>
  <c r="Q167" i="219"/>
  <c r="P167" i="219"/>
  <c r="O167" i="219"/>
  <c r="N167" i="219"/>
  <c r="M167" i="219"/>
  <c r="L167" i="219"/>
  <c r="K167" i="219"/>
  <c r="J167" i="219"/>
  <c r="I167" i="219"/>
  <c r="H167" i="219"/>
  <c r="G167" i="219"/>
  <c r="S166" i="219"/>
  <c r="R166" i="219"/>
  <c r="Q166" i="219"/>
  <c r="P166" i="219"/>
  <c r="O166" i="219"/>
  <c r="N166" i="219"/>
  <c r="M166" i="219"/>
  <c r="L166" i="219"/>
  <c r="K166" i="219"/>
  <c r="J166" i="219"/>
  <c r="I166" i="219"/>
  <c r="H166" i="219"/>
  <c r="G166" i="219"/>
  <c r="S165" i="219"/>
  <c r="R165" i="219"/>
  <c r="Q165" i="219"/>
  <c r="P165" i="219"/>
  <c r="O165" i="219"/>
  <c r="N165" i="219"/>
  <c r="M165" i="219"/>
  <c r="L165" i="219"/>
  <c r="K165" i="219"/>
  <c r="J165" i="219"/>
  <c r="I165" i="219"/>
  <c r="H165" i="219"/>
  <c r="G165" i="219"/>
  <c r="S164" i="219"/>
  <c r="R164" i="219"/>
  <c r="Q164" i="219"/>
  <c r="P164" i="219"/>
  <c r="O164" i="219"/>
  <c r="M72" i="219" s="1"/>
  <c r="N164" i="219"/>
  <c r="M164" i="219"/>
  <c r="L164" i="219"/>
  <c r="K164" i="219"/>
  <c r="J164" i="219"/>
  <c r="I164" i="219"/>
  <c r="H164" i="219"/>
  <c r="G164" i="219"/>
  <c r="E72" i="219" s="1"/>
  <c r="S163" i="219"/>
  <c r="R163" i="219"/>
  <c r="Q163" i="219"/>
  <c r="P163" i="219"/>
  <c r="O163" i="219"/>
  <c r="N163" i="219"/>
  <c r="M163" i="219"/>
  <c r="L163" i="219"/>
  <c r="K163" i="219"/>
  <c r="J163" i="219"/>
  <c r="I163" i="219"/>
  <c r="H163" i="219"/>
  <c r="G163" i="219"/>
  <c r="S162" i="219"/>
  <c r="R162" i="219"/>
  <c r="Q162" i="219"/>
  <c r="P162" i="219"/>
  <c r="O162" i="219"/>
  <c r="N162" i="219"/>
  <c r="M162" i="219"/>
  <c r="L162" i="219"/>
  <c r="K162" i="219"/>
  <c r="J162" i="219"/>
  <c r="I162" i="219"/>
  <c r="H162" i="219"/>
  <c r="G162" i="219"/>
  <c r="S161" i="219"/>
  <c r="R161" i="219"/>
  <c r="Q161" i="219"/>
  <c r="P161" i="219"/>
  <c r="O161" i="219"/>
  <c r="N161" i="219"/>
  <c r="M161" i="219"/>
  <c r="L161" i="219"/>
  <c r="K161" i="219"/>
  <c r="J161" i="219"/>
  <c r="I161" i="219"/>
  <c r="H161" i="219"/>
  <c r="G161" i="219"/>
  <c r="S160" i="219"/>
  <c r="R160" i="219"/>
  <c r="Q160" i="219"/>
  <c r="P160" i="219"/>
  <c r="O160" i="219"/>
  <c r="N160" i="219"/>
  <c r="M160" i="219"/>
  <c r="L160" i="219"/>
  <c r="K160" i="219"/>
  <c r="J160" i="219"/>
  <c r="I160" i="219"/>
  <c r="H160" i="219"/>
  <c r="G160" i="219"/>
  <c r="P159" i="219"/>
  <c r="O159" i="219"/>
  <c r="R159" i="219" s="1"/>
  <c r="M159" i="219"/>
  <c r="S159" i="219" s="1"/>
  <c r="K159" i="219"/>
  <c r="G159" i="219"/>
  <c r="O158" i="219"/>
  <c r="M158" i="219"/>
  <c r="Q158" i="219" s="1"/>
  <c r="K158" i="219"/>
  <c r="G158" i="219"/>
  <c r="R157" i="219"/>
  <c r="O157" i="219"/>
  <c r="M157" i="219"/>
  <c r="K157" i="219"/>
  <c r="G157" i="219"/>
  <c r="S156" i="219"/>
  <c r="Q156" i="219"/>
  <c r="P156" i="219"/>
  <c r="O156" i="219"/>
  <c r="M156" i="219"/>
  <c r="R156" i="219" s="1"/>
  <c r="K156" i="219"/>
  <c r="G156" i="219"/>
  <c r="R155" i="219"/>
  <c r="Q155" i="219"/>
  <c r="O155" i="219"/>
  <c r="P155" i="219" s="1"/>
  <c r="M155" i="219"/>
  <c r="K155" i="219"/>
  <c r="G155" i="219"/>
  <c r="S154" i="219"/>
  <c r="R154" i="219"/>
  <c r="O154" i="219"/>
  <c r="M154" i="219"/>
  <c r="Q154" i="219" s="1"/>
  <c r="K154" i="219"/>
  <c r="G154" i="219"/>
  <c r="S153" i="219"/>
  <c r="O153" i="219"/>
  <c r="R153" i="219" s="1"/>
  <c r="M153" i="219"/>
  <c r="K153" i="219"/>
  <c r="G153" i="219"/>
  <c r="O152" i="219"/>
  <c r="M152" i="219"/>
  <c r="K152" i="219"/>
  <c r="G152" i="219"/>
  <c r="P151" i="219"/>
  <c r="O151" i="219"/>
  <c r="R151" i="219" s="1"/>
  <c r="M151" i="219"/>
  <c r="S151" i="219" s="1"/>
  <c r="K151" i="219"/>
  <c r="G151" i="219"/>
  <c r="Q150" i="219"/>
  <c r="O150" i="219"/>
  <c r="S150" i="219" s="1"/>
  <c r="M150" i="219"/>
  <c r="K150" i="219"/>
  <c r="G150" i="219"/>
  <c r="O149" i="219"/>
  <c r="M149" i="219"/>
  <c r="K149" i="219"/>
  <c r="G149" i="219"/>
  <c r="S148" i="219"/>
  <c r="Q148" i="219"/>
  <c r="P148" i="219"/>
  <c r="O148" i="219"/>
  <c r="N148" i="219"/>
  <c r="R148" i="219" s="1"/>
  <c r="M148" i="219"/>
  <c r="L148" i="219"/>
  <c r="K148" i="219"/>
  <c r="G148" i="219"/>
  <c r="O147" i="219"/>
  <c r="N147" i="219"/>
  <c r="M147" i="219"/>
  <c r="L147" i="219"/>
  <c r="K147" i="219"/>
  <c r="G147" i="219"/>
  <c r="Q146" i="219"/>
  <c r="O146" i="219"/>
  <c r="N146" i="219"/>
  <c r="M146" i="219"/>
  <c r="L146" i="219"/>
  <c r="K146" i="219"/>
  <c r="G146" i="219"/>
  <c r="R145" i="219"/>
  <c r="Q145" i="219"/>
  <c r="O145" i="219"/>
  <c r="P145" i="219" s="1"/>
  <c r="N145" i="219"/>
  <c r="M145" i="219"/>
  <c r="L145" i="219"/>
  <c r="K145" i="219"/>
  <c r="G145" i="219"/>
  <c r="O144" i="219"/>
  <c r="N144" i="219"/>
  <c r="S144" i="219" s="1"/>
  <c r="M144" i="219"/>
  <c r="L144" i="219"/>
  <c r="K144" i="219"/>
  <c r="G144" i="219"/>
  <c r="R143" i="219"/>
  <c r="O143" i="219"/>
  <c r="N143" i="219"/>
  <c r="M143" i="219"/>
  <c r="L143" i="219"/>
  <c r="K143" i="219"/>
  <c r="G143" i="219"/>
  <c r="S142" i="219"/>
  <c r="R142" i="219"/>
  <c r="O142" i="219"/>
  <c r="N142" i="219"/>
  <c r="Q142" i="219" s="1"/>
  <c r="M142" i="219"/>
  <c r="L142" i="219"/>
  <c r="K142" i="219"/>
  <c r="G142" i="219"/>
  <c r="P141" i="219"/>
  <c r="O141" i="219"/>
  <c r="N141" i="219"/>
  <c r="S141" i="219" s="1"/>
  <c r="M141" i="219"/>
  <c r="L141" i="219"/>
  <c r="K141" i="219"/>
  <c r="G141" i="219"/>
  <c r="S140" i="219"/>
  <c r="Q140" i="219"/>
  <c r="P140" i="219"/>
  <c r="O140" i="219"/>
  <c r="N140" i="219"/>
  <c r="R140" i="219" s="1"/>
  <c r="M140" i="219"/>
  <c r="L140" i="219"/>
  <c r="K140" i="219"/>
  <c r="G140" i="219"/>
  <c r="S139" i="219"/>
  <c r="O139" i="219"/>
  <c r="N139" i="219"/>
  <c r="M139" i="219"/>
  <c r="L139" i="219"/>
  <c r="K139" i="219"/>
  <c r="G139" i="219"/>
  <c r="O138" i="219"/>
  <c r="N138" i="219"/>
  <c r="Q138" i="219" s="1"/>
  <c r="M138" i="219"/>
  <c r="L138" i="219"/>
  <c r="K138" i="219"/>
  <c r="G138" i="219"/>
  <c r="R137" i="219"/>
  <c r="Q137" i="219"/>
  <c r="O137" i="219"/>
  <c r="P137" i="219" s="1"/>
  <c r="M137" i="219"/>
  <c r="K137" i="219"/>
  <c r="G137" i="219"/>
  <c r="S136" i="219"/>
  <c r="R136" i="219"/>
  <c r="O136" i="219"/>
  <c r="Q136" i="219" s="1"/>
  <c r="M136" i="219"/>
  <c r="P136" i="219" s="1"/>
  <c r="K136" i="219"/>
  <c r="G136" i="219"/>
  <c r="O135" i="219"/>
  <c r="M135" i="219"/>
  <c r="S135" i="219" s="1"/>
  <c r="K135" i="219"/>
  <c r="G135" i="219"/>
  <c r="O134" i="219"/>
  <c r="M134" i="219"/>
  <c r="K134" i="219"/>
  <c r="G134" i="219"/>
  <c r="P133" i="219"/>
  <c r="O133" i="219"/>
  <c r="R133" i="219" s="1"/>
  <c r="M133" i="219"/>
  <c r="S133" i="219" s="1"/>
  <c r="K133" i="219"/>
  <c r="G133" i="219"/>
  <c r="Q132" i="219"/>
  <c r="O132" i="219"/>
  <c r="M132" i="219"/>
  <c r="K132" i="219"/>
  <c r="G132" i="219"/>
  <c r="O131" i="219"/>
  <c r="M131" i="219"/>
  <c r="K131" i="219"/>
  <c r="G131" i="219"/>
  <c r="S130" i="219"/>
  <c r="Q130" i="219"/>
  <c r="P130" i="219"/>
  <c r="O130" i="219"/>
  <c r="M130" i="219"/>
  <c r="R130" i="219" s="1"/>
  <c r="K130" i="219"/>
  <c r="G130" i="219"/>
  <c r="R129" i="219"/>
  <c r="Q129" i="219"/>
  <c r="O129" i="219"/>
  <c r="P129" i="219" s="1"/>
  <c r="M129" i="219"/>
  <c r="K129" i="219"/>
  <c r="G129" i="219"/>
  <c r="S128" i="219"/>
  <c r="R128" i="219"/>
  <c r="O128" i="219"/>
  <c r="Q128" i="219" s="1"/>
  <c r="M128" i="219"/>
  <c r="P128" i="219" s="1"/>
  <c r="K128" i="219"/>
  <c r="G128" i="219"/>
  <c r="S127" i="219"/>
  <c r="O127" i="219"/>
  <c r="R127" i="219" s="1"/>
  <c r="M127" i="219"/>
  <c r="K127" i="219"/>
  <c r="G127" i="219"/>
  <c r="O126" i="219"/>
  <c r="N126" i="219"/>
  <c r="S126" i="219" s="1"/>
  <c r="M126" i="219"/>
  <c r="L126" i="219"/>
  <c r="J126" i="219"/>
  <c r="I126" i="219"/>
  <c r="S125" i="219"/>
  <c r="Q125" i="219"/>
  <c r="P125" i="219"/>
  <c r="O125" i="219"/>
  <c r="N125" i="219"/>
  <c r="R125" i="219" s="1"/>
  <c r="M125" i="219"/>
  <c r="L125" i="219"/>
  <c r="K125" i="219"/>
  <c r="J125" i="219"/>
  <c r="I125" i="219"/>
  <c r="O124" i="219"/>
  <c r="N124" i="219"/>
  <c r="S124" i="219" s="1"/>
  <c r="M124" i="219"/>
  <c r="L124" i="219"/>
  <c r="J124" i="219"/>
  <c r="I124" i="219"/>
  <c r="S123" i="219"/>
  <c r="Q123" i="219"/>
  <c r="P123" i="219"/>
  <c r="O123" i="219"/>
  <c r="N123" i="219"/>
  <c r="R123" i="219" s="1"/>
  <c r="M123" i="219"/>
  <c r="L123" i="219"/>
  <c r="K123" i="219"/>
  <c r="J123" i="219"/>
  <c r="I123" i="219"/>
  <c r="O122" i="219"/>
  <c r="N122" i="219"/>
  <c r="M122" i="219"/>
  <c r="L122" i="219"/>
  <c r="J122" i="219"/>
  <c r="K122" i="219" s="1"/>
  <c r="I122" i="219"/>
  <c r="S121" i="219"/>
  <c r="Q121" i="219"/>
  <c r="P121" i="219"/>
  <c r="O121" i="219"/>
  <c r="N121" i="219"/>
  <c r="R121" i="219" s="1"/>
  <c r="M121" i="219"/>
  <c r="L121" i="219"/>
  <c r="K121" i="219"/>
  <c r="J121" i="219"/>
  <c r="I121" i="219"/>
  <c r="O120" i="219"/>
  <c r="N120" i="219"/>
  <c r="M120" i="219"/>
  <c r="L120" i="219"/>
  <c r="J120" i="219"/>
  <c r="K120" i="219" s="1"/>
  <c r="I120" i="219"/>
  <c r="S119" i="219"/>
  <c r="Q119" i="219"/>
  <c r="P119" i="219"/>
  <c r="O119" i="219"/>
  <c r="N119" i="219"/>
  <c r="R119" i="219" s="1"/>
  <c r="M119" i="219"/>
  <c r="L119" i="219"/>
  <c r="K119" i="219"/>
  <c r="J119" i="219"/>
  <c r="I119" i="219"/>
  <c r="O118" i="219"/>
  <c r="N118" i="219"/>
  <c r="M118" i="219"/>
  <c r="L118" i="219"/>
  <c r="J118" i="219"/>
  <c r="K118" i="219" s="1"/>
  <c r="I118" i="219"/>
  <c r="S117" i="219"/>
  <c r="Q117" i="219"/>
  <c r="P117" i="219"/>
  <c r="O117" i="219"/>
  <c r="N117" i="219"/>
  <c r="R117" i="219" s="1"/>
  <c r="M117" i="219"/>
  <c r="L117" i="219"/>
  <c r="K117" i="219"/>
  <c r="J117" i="219"/>
  <c r="I117" i="219"/>
  <c r="O116" i="219"/>
  <c r="N116" i="219"/>
  <c r="S116" i="219" s="1"/>
  <c r="M116" i="219"/>
  <c r="L116" i="219"/>
  <c r="J116" i="219"/>
  <c r="K116" i="219" s="1"/>
  <c r="I116" i="219"/>
  <c r="S115" i="219"/>
  <c r="Q115" i="219"/>
  <c r="P115" i="219"/>
  <c r="O115" i="219"/>
  <c r="N115" i="219"/>
  <c r="R115" i="219" s="1"/>
  <c r="M115" i="219"/>
  <c r="L115" i="219"/>
  <c r="K115" i="219"/>
  <c r="J115" i="219"/>
  <c r="I115" i="219"/>
  <c r="O114" i="219"/>
  <c r="N114" i="219"/>
  <c r="S114" i="219" s="1"/>
  <c r="M114" i="219"/>
  <c r="L114" i="219"/>
  <c r="J114" i="219"/>
  <c r="K114" i="219" s="1"/>
  <c r="I114" i="219"/>
  <c r="S113" i="219"/>
  <c r="Q113" i="219"/>
  <c r="P113" i="219"/>
  <c r="O113" i="219"/>
  <c r="N113" i="219"/>
  <c r="R113" i="219" s="1"/>
  <c r="M113" i="219"/>
  <c r="L113" i="219"/>
  <c r="K113" i="219"/>
  <c r="J113" i="219"/>
  <c r="I113" i="219"/>
  <c r="O112" i="219"/>
  <c r="N112" i="219"/>
  <c r="S112" i="219" s="1"/>
  <c r="M112" i="219"/>
  <c r="L112" i="219"/>
  <c r="J112" i="219"/>
  <c r="I112" i="219"/>
  <c r="S111" i="219"/>
  <c r="Q111" i="219"/>
  <c r="P111" i="219"/>
  <c r="O111" i="219"/>
  <c r="N111" i="219"/>
  <c r="R111" i="219" s="1"/>
  <c r="M111" i="219"/>
  <c r="L111" i="219"/>
  <c r="K111" i="219"/>
  <c r="J111" i="219"/>
  <c r="I111" i="219"/>
  <c r="O110" i="219"/>
  <c r="N110" i="219"/>
  <c r="S110" i="219" s="1"/>
  <c r="M110" i="219"/>
  <c r="L110" i="219"/>
  <c r="J110" i="219"/>
  <c r="I110" i="219"/>
  <c r="S109" i="219"/>
  <c r="Q109" i="219"/>
  <c r="P109" i="219"/>
  <c r="O109" i="219"/>
  <c r="N109" i="219"/>
  <c r="R109" i="219" s="1"/>
  <c r="M109" i="219"/>
  <c r="L109" i="219"/>
  <c r="K109" i="219"/>
  <c r="J109" i="219"/>
  <c r="I109" i="219"/>
  <c r="O108" i="219"/>
  <c r="N108" i="219"/>
  <c r="S108" i="219" s="1"/>
  <c r="M108" i="219"/>
  <c r="L108" i="219"/>
  <c r="J108" i="219"/>
  <c r="I108" i="219"/>
  <c r="S107" i="219"/>
  <c r="Q107" i="219"/>
  <c r="P107" i="219"/>
  <c r="O107" i="219"/>
  <c r="N107" i="219"/>
  <c r="R107" i="219" s="1"/>
  <c r="M107" i="219"/>
  <c r="L107" i="219"/>
  <c r="K107" i="219"/>
  <c r="J107" i="219"/>
  <c r="I107" i="219"/>
  <c r="O106" i="219"/>
  <c r="N106" i="219"/>
  <c r="M106" i="219"/>
  <c r="L106" i="219"/>
  <c r="J106" i="219"/>
  <c r="K106" i="219" s="1"/>
  <c r="I106" i="219"/>
  <c r="S105" i="219"/>
  <c r="Q105" i="219"/>
  <c r="P105" i="219"/>
  <c r="O105" i="219"/>
  <c r="N105" i="219"/>
  <c r="R105" i="219" s="1"/>
  <c r="M105" i="219"/>
  <c r="L105" i="219"/>
  <c r="K105" i="219"/>
  <c r="J105" i="219"/>
  <c r="I105" i="219"/>
  <c r="O104" i="219"/>
  <c r="N104" i="219"/>
  <c r="M104" i="219"/>
  <c r="L104" i="219"/>
  <c r="J104" i="219"/>
  <c r="I104" i="219"/>
  <c r="S103" i="219"/>
  <c r="Q103" i="219"/>
  <c r="P103" i="219"/>
  <c r="O103" i="219"/>
  <c r="N103" i="219"/>
  <c r="R103" i="219" s="1"/>
  <c r="M103" i="219"/>
  <c r="L103" i="219"/>
  <c r="K103" i="219"/>
  <c r="J103" i="219"/>
  <c r="I103" i="219"/>
  <c r="O102" i="219"/>
  <c r="N102" i="219"/>
  <c r="M102" i="219"/>
  <c r="L102" i="219"/>
  <c r="J102" i="219"/>
  <c r="K102" i="219" s="1"/>
  <c r="I102" i="219"/>
  <c r="S101" i="219"/>
  <c r="Q101" i="219"/>
  <c r="P101" i="219"/>
  <c r="O101" i="219"/>
  <c r="N101" i="219"/>
  <c r="R101" i="219" s="1"/>
  <c r="M101" i="219"/>
  <c r="L101" i="219"/>
  <c r="K101" i="219"/>
  <c r="J101" i="219"/>
  <c r="I101" i="219"/>
  <c r="O100" i="219"/>
  <c r="N100" i="219"/>
  <c r="S100" i="219" s="1"/>
  <c r="M100" i="219"/>
  <c r="L100" i="219"/>
  <c r="J100" i="219"/>
  <c r="K100" i="219" s="1"/>
  <c r="I100" i="219"/>
  <c r="S99" i="219"/>
  <c r="Q99" i="219"/>
  <c r="P99" i="219"/>
  <c r="O99" i="219"/>
  <c r="N99" i="219"/>
  <c r="R99" i="219" s="1"/>
  <c r="M99" i="219"/>
  <c r="L99" i="219"/>
  <c r="K99" i="219"/>
  <c r="J99" i="219"/>
  <c r="I99" i="219"/>
  <c r="O98" i="219"/>
  <c r="N98" i="219"/>
  <c r="M98" i="219"/>
  <c r="L98" i="219"/>
  <c r="J98" i="219"/>
  <c r="K98" i="219" s="1"/>
  <c r="I98" i="219"/>
  <c r="S97" i="219"/>
  <c r="Q97" i="219"/>
  <c r="P97" i="219"/>
  <c r="O97" i="219"/>
  <c r="N97" i="219"/>
  <c r="R97" i="219" s="1"/>
  <c r="M97" i="219"/>
  <c r="L97" i="219"/>
  <c r="K97" i="219"/>
  <c r="J97" i="219"/>
  <c r="I97" i="219"/>
  <c r="O96" i="219"/>
  <c r="N96" i="219"/>
  <c r="S96" i="219" s="1"/>
  <c r="M96" i="219"/>
  <c r="L96" i="219"/>
  <c r="J96" i="219"/>
  <c r="I96" i="219"/>
  <c r="S95" i="219"/>
  <c r="Q95" i="219"/>
  <c r="P95" i="219"/>
  <c r="O95" i="219"/>
  <c r="N95" i="219"/>
  <c r="R95" i="219" s="1"/>
  <c r="M95" i="219"/>
  <c r="L95" i="219"/>
  <c r="K95" i="219"/>
  <c r="J95" i="219"/>
  <c r="I95" i="219"/>
  <c r="O94" i="219"/>
  <c r="N94" i="219"/>
  <c r="S94" i="219" s="1"/>
  <c r="M94" i="219"/>
  <c r="L94" i="219"/>
  <c r="J94" i="219"/>
  <c r="I94" i="219"/>
  <c r="Q90" i="219"/>
  <c r="N90" i="219"/>
  <c r="I90" i="219"/>
  <c r="F90" i="219"/>
  <c r="O89" i="219"/>
  <c r="L89" i="219"/>
  <c r="G89" i="219"/>
  <c r="M88" i="219"/>
  <c r="J88" i="219"/>
  <c r="E88" i="219"/>
  <c r="P87" i="219"/>
  <c r="K87" i="219"/>
  <c r="I87" i="219"/>
  <c r="H87" i="219"/>
  <c r="Q86" i="219"/>
  <c r="O86" i="219"/>
  <c r="N86" i="219"/>
  <c r="I86" i="219"/>
  <c r="G86" i="219"/>
  <c r="F86" i="219"/>
  <c r="O85" i="219"/>
  <c r="M85" i="219"/>
  <c r="L85" i="219"/>
  <c r="G85" i="219"/>
  <c r="E85" i="219"/>
  <c r="N84" i="219"/>
  <c r="M84" i="219"/>
  <c r="J84" i="219"/>
  <c r="F84" i="219"/>
  <c r="E84" i="219"/>
  <c r="Q83" i="219"/>
  <c r="P83" i="219"/>
  <c r="L83" i="219"/>
  <c r="K83" i="219"/>
  <c r="I83" i="219"/>
  <c r="H83" i="219"/>
  <c r="Q82" i="219"/>
  <c r="O82" i="219"/>
  <c r="N82" i="219"/>
  <c r="J82" i="219"/>
  <c r="I82" i="219"/>
  <c r="G82" i="219"/>
  <c r="F82" i="219"/>
  <c r="P81" i="219"/>
  <c r="O81" i="219"/>
  <c r="M81" i="219"/>
  <c r="L81" i="219"/>
  <c r="H81" i="219"/>
  <c r="G81" i="219"/>
  <c r="E81" i="219"/>
  <c r="N80" i="219"/>
  <c r="M80" i="219"/>
  <c r="J80" i="219"/>
  <c r="F80" i="219"/>
  <c r="E80" i="219"/>
  <c r="Q79" i="219"/>
  <c r="P79" i="219"/>
  <c r="L79" i="219"/>
  <c r="I79" i="219"/>
  <c r="H79" i="219"/>
  <c r="G79" i="219"/>
  <c r="Q78" i="219"/>
  <c r="O78" i="219"/>
  <c r="N78" i="219"/>
  <c r="M78" i="219"/>
  <c r="J78" i="219"/>
  <c r="I78" i="219"/>
  <c r="G78" i="219"/>
  <c r="F78" i="219"/>
  <c r="E78" i="219"/>
  <c r="P77" i="219"/>
  <c r="O77" i="219"/>
  <c r="M77" i="219"/>
  <c r="L77" i="219"/>
  <c r="J77" i="219"/>
  <c r="I77" i="219"/>
  <c r="H77" i="219"/>
  <c r="G77" i="219"/>
  <c r="F77" i="219"/>
  <c r="E77" i="219"/>
  <c r="Q76" i="219"/>
  <c r="P76" i="219"/>
  <c r="O76" i="219"/>
  <c r="N76" i="219"/>
  <c r="M76" i="219"/>
  <c r="L76" i="219"/>
  <c r="J76" i="219"/>
  <c r="I76" i="219"/>
  <c r="H76" i="219"/>
  <c r="G76" i="219"/>
  <c r="F76" i="219"/>
  <c r="E76" i="219"/>
  <c r="Q75" i="219"/>
  <c r="P75" i="219"/>
  <c r="O75" i="219"/>
  <c r="N75" i="219"/>
  <c r="M75" i="219"/>
  <c r="L75" i="219"/>
  <c r="J75" i="219"/>
  <c r="I75" i="219"/>
  <c r="H75" i="219"/>
  <c r="G75" i="219"/>
  <c r="F75" i="219"/>
  <c r="E75" i="219"/>
  <c r="Q74" i="219"/>
  <c r="P74" i="219"/>
  <c r="O74" i="219"/>
  <c r="N74" i="219"/>
  <c r="M74" i="219"/>
  <c r="L74" i="219"/>
  <c r="K74" i="219"/>
  <c r="J74" i="219"/>
  <c r="I74" i="219"/>
  <c r="H74" i="219"/>
  <c r="G74" i="219"/>
  <c r="F74" i="219"/>
  <c r="E74" i="219"/>
  <c r="Q73" i="219"/>
  <c r="P73" i="219"/>
  <c r="O73" i="219"/>
  <c r="N73" i="219"/>
  <c r="M73" i="219"/>
  <c r="L73" i="219"/>
  <c r="J73" i="219"/>
  <c r="I73" i="219"/>
  <c r="H73" i="219"/>
  <c r="G73" i="219"/>
  <c r="F73" i="219"/>
  <c r="E73" i="219"/>
  <c r="Q72" i="219"/>
  <c r="O72" i="219"/>
  <c r="N72" i="219"/>
  <c r="L72" i="219"/>
  <c r="K72" i="219"/>
  <c r="J72" i="219"/>
  <c r="I72" i="219"/>
  <c r="G72" i="219"/>
  <c r="F72" i="219"/>
  <c r="Q71" i="219"/>
  <c r="P71" i="219"/>
  <c r="O71" i="219"/>
  <c r="N71" i="219"/>
  <c r="M71" i="219"/>
  <c r="L71" i="219"/>
  <c r="J71" i="219"/>
  <c r="I71" i="219"/>
  <c r="H71" i="219"/>
  <c r="G71" i="219"/>
  <c r="F71" i="219"/>
  <c r="E71" i="219"/>
  <c r="Q70" i="219"/>
  <c r="O70" i="219"/>
  <c r="N70" i="219"/>
  <c r="L70" i="219"/>
  <c r="K70" i="219"/>
  <c r="J70" i="219"/>
  <c r="I70" i="219"/>
  <c r="G70" i="219"/>
  <c r="F70" i="219"/>
  <c r="Q69" i="219"/>
  <c r="P69" i="219"/>
  <c r="O69" i="219"/>
  <c r="N69" i="219"/>
  <c r="M69" i="219"/>
  <c r="L69" i="219"/>
  <c r="J69" i="219"/>
  <c r="I69" i="219"/>
  <c r="H69" i="219"/>
  <c r="G69" i="219"/>
  <c r="F69" i="219"/>
  <c r="E69" i="219"/>
  <c r="Q68" i="219"/>
  <c r="O68" i="219"/>
  <c r="N68" i="219"/>
  <c r="L68" i="219"/>
  <c r="K68" i="219"/>
  <c r="J68" i="219"/>
  <c r="I68" i="219"/>
  <c r="G68" i="219"/>
  <c r="F68" i="219"/>
  <c r="Q67" i="219"/>
  <c r="P67" i="219"/>
  <c r="O67" i="219"/>
  <c r="N67" i="219"/>
  <c r="M67" i="219"/>
  <c r="L67" i="219"/>
  <c r="J67" i="219"/>
  <c r="I67" i="219"/>
  <c r="H67" i="219"/>
  <c r="G67" i="219"/>
  <c r="F67" i="219"/>
  <c r="E67" i="219"/>
  <c r="Q66" i="219"/>
  <c r="O66" i="219"/>
  <c r="N66" i="219"/>
  <c r="M66" i="219"/>
  <c r="L66" i="219"/>
  <c r="K66" i="219"/>
  <c r="J66" i="219"/>
  <c r="I66" i="219"/>
  <c r="G66" i="219"/>
  <c r="F66" i="219"/>
  <c r="E66" i="219"/>
  <c r="Q65" i="219"/>
  <c r="P65" i="219"/>
  <c r="O65" i="219"/>
  <c r="N65" i="219"/>
  <c r="M65" i="219"/>
  <c r="L65" i="219"/>
  <c r="K65" i="219"/>
  <c r="J65" i="219"/>
  <c r="I65" i="219"/>
  <c r="H65" i="219"/>
  <c r="G65" i="219"/>
  <c r="F65" i="219"/>
  <c r="E65" i="219"/>
  <c r="Q64" i="219"/>
  <c r="P64" i="219"/>
  <c r="O64" i="219"/>
  <c r="N64" i="219"/>
  <c r="L64" i="219"/>
  <c r="K64" i="219"/>
  <c r="J64" i="219"/>
  <c r="I64" i="219"/>
  <c r="H64" i="219"/>
  <c r="G64" i="219"/>
  <c r="F64" i="219"/>
  <c r="M63" i="219"/>
  <c r="L63" i="219"/>
  <c r="K63" i="219"/>
  <c r="J63" i="219"/>
  <c r="I63" i="219"/>
  <c r="H63" i="219"/>
  <c r="G63" i="219"/>
  <c r="F63" i="219"/>
  <c r="E63" i="219"/>
  <c r="M62" i="219"/>
  <c r="L62" i="219"/>
  <c r="K62" i="219"/>
  <c r="J62" i="219"/>
  <c r="I62" i="219"/>
  <c r="H62" i="219"/>
  <c r="G62" i="219"/>
  <c r="F62" i="219"/>
  <c r="E62" i="219"/>
  <c r="M61" i="219"/>
  <c r="L61" i="219"/>
  <c r="K61" i="219"/>
  <c r="J61" i="219"/>
  <c r="I61" i="219"/>
  <c r="H61" i="219"/>
  <c r="G61" i="219"/>
  <c r="F61" i="219"/>
  <c r="E61" i="219"/>
  <c r="M60" i="219"/>
  <c r="L60" i="219"/>
  <c r="K60" i="219"/>
  <c r="J60" i="219"/>
  <c r="I60" i="219"/>
  <c r="H60" i="219"/>
  <c r="G60" i="219"/>
  <c r="F60" i="219"/>
  <c r="E60" i="219"/>
  <c r="M59" i="219"/>
  <c r="L59" i="219"/>
  <c r="K59" i="219"/>
  <c r="J59" i="219"/>
  <c r="I59" i="219"/>
  <c r="H59" i="219"/>
  <c r="G59" i="219"/>
  <c r="F59" i="219"/>
  <c r="E59" i="219"/>
  <c r="M58" i="219"/>
  <c r="L58" i="219"/>
  <c r="K58" i="219"/>
  <c r="J58" i="219"/>
  <c r="I58" i="219"/>
  <c r="H58" i="219"/>
  <c r="G58" i="219"/>
  <c r="F58" i="219"/>
  <c r="E58" i="219"/>
  <c r="M57" i="219"/>
  <c r="L57" i="219"/>
  <c r="K57" i="219"/>
  <c r="J57" i="219"/>
  <c r="I57" i="219"/>
  <c r="H57" i="219"/>
  <c r="G57" i="219"/>
  <c r="F57" i="219"/>
  <c r="E57" i="219"/>
  <c r="M56" i="219"/>
  <c r="L56" i="219"/>
  <c r="K56" i="219"/>
  <c r="J56" i="219"/>
  <c r="I56" i="219"/>
  <c r="H56" i="219"/>
  <c r="G56" i="219"/>
  <c r="F56" i="219"/>
  <c r="E56" i="219"/>
  <c r="M55" i="219"/>
  <c r="L55" i="219"/>
  <c r="K55" i="219"/>
  <c r="J55" i="219"/>
  <c r="I55" i="219"/>
  <c r="H55" i="219"/>
  <c r="G55" i="219"/>
  <c r="F55" i="219"/>
  <c r="E55" i="219"/>
  <c r="M54" i="219"/>
  <c r="L54" i="219"/>
  <c r="K54" i="219"/>
  <c r="J54" i="219"/>
  <c r="I54" i="219"/>
  <c r="H54" i="219"/>
  <c r="G54" i="219"/>
  <c r="F54" i="219"/>
  <c r="E54" i="219"/>
  <c r="M53" i="219"/>
  <c r="L53" i="219"/>
  <c r="K53" i="219"/>
  <c r="J53" i="219"/>
  <c r="I53" i="219"/>
  <c r="H53" i="219"/>
  <c r="G53" i="219"/>
  <c r="F53" i="219"/>
  <c r="E53" i="219"/>
  <c r="M52" i="219"/>
  <c r="L52" i="219"/>
  <c r="K52" i="219"/>
  <c r="J52" i="219"/>
  <c r="I52" i="219"/>
  <c r="H52" i="219"/>
  <c r="G52" i="219"/>
  <c r="F52" i="219"/>
  <c r="E52" i="219"/>
  <c r="M51" i="219"/>
  <c r="L51" i="219"/>
  <c r="K51" i="219"/>
  <c r="J51" i="219"/>
  <c r="I51" i="219"/>
  <c r="H51" i="219"/>
  <c r="G51" i="219"/>
  <c r="F51" i="219"/>
  <c r="E51" i="219"/>
  <c r="M50" i="219"/>
  <c r="L50" i="219"/>
  <c r="K50" i="219"/>
  <c r="J50" i="219"/>
  <c r="I50" i="219"/>
  <c r="H50" i="219"/>
  <c r="G50" i="219"/>
  <c r="F50" i="219"/>
  <c r="E50" i="219"/>
  <c r="M49" i="219"/>
  <c r="L49" i="219"/>
  <c r="K49" i="219"/>
  <c r="J49" i="219"/>
  <c r="I49" i="219"/>
  <c r="H49" i="219"/>
  <c r="G49" i="219"/>
  <c r="F49" i="219"/>
  <c r="E49" i="219"/>
  <c r="M48" i="219"/>
  <c r="L48" i="219"/>
  <c r="K48" i="219"/>
  <c r="J48" i="219"/>
  <c r="I48" i="219"/>
  <c r="H48" i="219"/>
  <c r="G48" i="219"/>
  <c r="F48" i="219"/>
  <c r="E48" i="219"/>
  <c r="M47" i="219"/>
  <c r="L47" i="219"/>
  <c r="K47" i="219"/>
  <c r="J47" i="219"/>
  <c r="I47" i="219"/>
  <c r="H47" i="219"/>
  <c r="G47" i="219"/>
  <c r="F47" i="219"/>
  <c r="E47" i="219"/>
  <c r="M46" i="219"/>
  <c r="L46" i="219"/>
  <c r="K46" i="219"/>
  <c r="J46" i="219"/>
  <c r="I46" i="219"/>
  <c r="H46" i="219"/>
  <c r="G46" i="219"/>
  <c r="F46" i="219"/>
  <c r="E46" i="219"/>
  <c r="M45" i="219"/>
  <c r="L45" i="219"/>
  <c r="K45" i="219"/>
  <c r="J45" i="219"/>
  <c r="I45" i="219"/>
  <c r="H45" i="219"/>
  <c r="G45" i="219"/>
  <c r="F45" i="219"/>
  <c r="E45" i="219"/>
  <c r="M44" i="219"/>
  <c r="L44" i="219"/>
  <c r="K44" i="219"/>
  <c r="J44" i="219"/>
  <c r="I44" i="219"/>
  <c r="H44" i="219"/>
  <c r="G44" i="219"/>
  <c r="F44" i="219"/>
  <c r="E44" i="219"/>
  <c r="M43" i="219"/>
  <c r="L43" i="219"/>
  <c r="K43" i="219"/>
  <c r="J43" i="219"/>
  <c r="I43" i="219"/>
  <c r="H43" i="219"/>
  <c r="G43" i="219"/>
  <c r="F43" i="219"/>
  <c r="E43" i="219"/>
  <c r="M42" i="219"/>
  <c r="L42" i="219"/>
  <c r="K42" i="219"/>
  <c r="J42" i="219"/>
  <c r="I42" i="219"/>
  <c r="H42" i="219"/>
  <c r="G42" i="219"/>
  <c r="F42" i="219"/>
  <c r="E42" i="219"/>
  <c r="M41" i="219"/>
  <c r="L41" i="219"/>
  <c r="K41" i="219"/>
  <c r="J41" i="219"/>
  <c r="I41" i="219"/>
  <c r="H41" i="219"/>
  <c r="G41" i="219"/>
  <c r="F41" i="219"/>
  <c r="E41" i="219"/>
  <c r="M40" i="219"/>
  <c r="L40" i="219"/>
  <c r="K40" i="219"/>
  <c r="J40" i="219"/>
  <c r="I40" i="219"/>
  <c r="H40" i="219"/>
  <c r="G40" i="219"/>
  <c r="F40" i="219"/>
  <c r="E40" i="219"/>
  <c r="M39" i="219"/>
  <c r="L39" i="219"/>
  <c r="K39" i="219"/>
  <c r="J39" i="219"/>
  <c r="I39" i="219"/>
  <c r="H39" i="219"/>
  <c r="G39" i="219"/>
  <c r="F39" i="219"/>
  <c r="E39" i="219"/>
  <c r="M38" i="219"/>
  <c r="L38" i="219"/>
  <c r="K38" i="219"/>
  <c r="J38" i="219"/>
  <c r="I38" i="219"/>
  <c r="H38" i="219"/>
  <c r="G38" i="219"/>
  <c r="F38" i="219"/>
  <c r="E38" i="219"/>
  <c r="M37" i="219"/>
  <c r="L37" i="219"/>
  <c r="K37" i="219"/>
  <c r="J37" i="219"/>
  <c r="I37" i="219"/>
  <c r="H37" i="219"/>
  <c r="G37" i="219"/>
  <c r="F37" i="219"/>
  <c r="E37" i="219"/>
  <c r="M36" i="219"/>
  <c r="L36" i="219"/>
  <c r="K36" i="219"/>
  <c r="J36" i="219"/>
  <c r="H36" i="219"/>
  <c r="G36" i="219"/>
  <c r="F36" i="219"/>
  <c r="E36" i="219"/>
  <c r="M35" i="219"/>
  <c r="L35" i="219"/>
  <c r="K35" i="219"/>
  <c r="J35" i="219"/>
  <c r="H35" i="219"/>
  <c r="G35" i="219"/>
  <c r="F35" i="219"/>
  <c r="E35" i="219"/>
  <c r="M34" i="219"/>
  <c r="L34" i="219"/>
  <c r="K34" i="219"/>
  <c r="J34" i="219"/>
  <c r="H34" i="219"/>
  <c r="G34" i="219"/>
  <c r="F34" i="219"/>
  <c r="E34" i="219"/>
  <c r="M33" i="219"/>
  <c r="L33" i="219"/>
  <c r="K33" i="219"/>
  <c r="J33" i="219"/>
  <c r="H33" i="219"/>
  <c r="G33" i="219"/>
  <c r="F33" i="219"/>
  <c r="E33" i="219"/>
  <c r="M32" i="219"/>
  <c r="L32" i="219"/>
  <c r="K32" i="219"/>
  <c r="J32" i="219"/>
  <c r="H32" i="219"/>
  <c r="G32" i="219"/>
  <c r="F32" i="219"/>
  <c r="E32" i="219"/>
  <c r="M31" i="219"/>
  <c r="L31" i="219"/>
  <c r="K31" i="219"/>
  <c r="J31" i="219"/>
  <c r="H31" i="219"/>
  <c r="G31" i="219"/>
  <c r="F31" i="219"/>
  <c r="E31" i="219"/>
  <c r="M30" i="219"/>
  <c r="L30" i="219"/>
  <c r="K30" i="219"/>
  <c r="J30" i="219"/>
  <c r="H30" i="219"/>
  <c r="G30" i="219"/>
  <c r="F30" i="219"/>
  <c r="E30" i="219"/>
  <c r="M29" i="219"/>
  <c r="L29" i="219"/>
  <c r="K29" i="219"/>
  <c r="J29" i="219"/>
  <c r="H29" i="219"/>
  <c r="G29" i="219"/>
  <c r="F29" i="219"/>
  <c r="E29" i="219"/>
  <c r="M28" i="219"/>
  <c r="L28" i="219"/>
  <c r="K28" i="219"/>
  <c r="J28" i="219"/>
  <c r="H28" i="219"/>
  <c r="G28" i="219"/>
  <c r="F28" i="219"/>
  <c r="E28" i="219"/>
  <c r="M27" i="219"/>
  <c r="L27" i="219"/>
  <c r="K27" i="219"/>
  <c r="J27" i="219"/>
  <c r="H27" i="219"/>
  <c r="G27" i="219"/>
  <c r="F27" i="219"/>
  <c r="E27" i="219"/>
  <c r="M26" i="219"/>
  <c r="L26" i="219"/>
  <c r="K26" i="219"/>
  <c r="J26" i="219"/>
  <c r="H26" i="219"/>
  <c r="G26" i="219"/>
  <c r="F26" i="219"/>
  <c r="E26" i="219"/>
  <c r="M25" i="219"/>
  <c r="L25" i="219"/>
  <c r="K25" i="219"/>
  <c r="J25" i="219"/>
  <c r="H25" i="219"/>
  <c r="G25" i="219"/>
  <c r="F25" i="219"/>
  <c r="E25" i="219"/>
  <c r="M24" i="219"/>
  <c r="L24" i="219"/>
  <c r="K24" i="219"/>
  <c r="J24" i="219"/>
  <c r="H24" i="219"/>
  <c r="G24" i="219"/>
  <c r="F24" i="219"/>
  <c r="E24" i="219"/>
  <c r="M23" i="219"/>
  <c r="L23" i="219"/>
  <c r="K23" i="219"/>
  <c r="J23" i="219"/>
  <c r="H23" i="219"/>
  <c r="G23" i="219"/>
  <c r="F23" i="219"/>
  <c r="E23" i="219"/>
  <c r="M22" i="219"/>
  <c r="L22" i="219"/>
  <c r="K22" i="219"/>
  <c r="J22" i="219"/>
  <c r="H22" i="219"/>
  <c r="G22" i="219"/>
  <c r="F22" i="219"/>
  <c r="E22" i="219"/>
  <c r="M21" i="219"/>
  <c r="L21" i="219"/>
  <c r="K21" i="219"/>
  <c r="J21" i="219"/>
  <c r="H21" i="219"/>
  <c r="G21" i="219"/>
  <c r="F21" i="219"/>
  <c r="E21" i="219"/>
  <c r="M20" i="219"/>
  <c r="L20" i="219"/>
  <c r="K20" i="219"/>
  <c r="J20" i="219"/>
  <c r="H20" i="219"/>
  <c r="G20" i="219"/>
  <c r="F20" i="219"/>
  <c r="E20" i="219"/>
  <c r="M19" i="219"/>
  <c r="L19" i="219"/>
  <c r="K19" i="219"/>
  <c r="J19" i="219"/>
  <c r="H19" i="219"/>
  <c r="G19" i="219"/>
  <c r="F19" i="219"/>
  <c r="E19" i="219"/>
  <c r="M18" i="219"/>
  <c r="L18" i="219"/>
  <c r="K18" i="219"/>
  <c r="J18" i="219"/>
  <c r="H18" i="219"/>
  <c r="G18" i="219"/>
  <c r="F18" i="219"/>
  <c r="E18" i="219"/>
  <c r="M17" i="219"/>
  <c r="L17" i="219"/>
  <c r="K17" i="219"/>
  <c r="J17" i="219"/>
  <c r="H17" i="219"/>
  <c r="G17" i="219"/>
  <c r="F17" i="219"/>
  <c r="E17" i="219"/>
  <c r="M16" i="219"/>
  <c r="L16" i="219"/>
  <c r="K16" i="219"/>
  <c r="J16" i="219"/>
  <c r="H16" i="219"/>
  <c r="G16" i="219"/>
  <c r="F16" i="219"/>
  <c r="E16" i="219"/>
  <c r="M15" i="219"/>
  <c r="L15" i="219"/>
  <c r="K15" i="219"/>
  <c r="J15" i="219"/>
  <c r="H15" i="219"/>
  <c r="G15" i="219"/>
  <c r="F15" i="219"/>
  <c r="E15" i="219"/>
  <c r="M14" i="219"/>
  <c r="L14" i="219"/>
  <c r="K14" i="219"/>
  <c r="J14" i="219"/>
  <c r="H14" i="219"/>
  <c r="G14" i="219"/>
  <c r="F14" i="219"/>
  <c r="E14" i="219"/>
  <c r="M13" i="219"/>
  <c r="L13" i="219"/>
  <c r="K13" i="219"/>
  <c r="J13" i="219"/>
  <c r="H13" i="219"/>
  <c r="G13" i="219"/>
  <c r="F13" i="219"/>
  <c r="E13" i="219"/>
  <c r="M12" i="219"/>
  <c r="L12" i="219"/>
  <c r="K12" i="219"/>
  <c r="J12" i="219"/>
  <c r="H12" i="219"/>
  <c r="G12" i="219"/>
  <c r="F12" i="219"/>
  <c r="E12" i="219"/>
  <c r="M11" i="219"/>
  <c r="L11" i="219"/>
  <c r="K11" i="219"/>
  <c r="J11" i="219"/>
  <c r="H11" i="219"/>
  <c r="G11" i="219"/>
  <c r="F11" i="219"/>
  <c r="E11" i="219"/>
  <c r="M10" i="219"/>
  <c r="L10" i="219"/>
  <c r="K10" i="219"/>
  <c r="J10" i="219"/>
  <c r="H10" i="219"/>
  <c r="G10" i="219"/>
  <c r="F10" i="219"/>
  <c r="E10" i="219"/>
  <c r="S161" i="218"/>
  <c r="R161" i="218"/>
  <c r="Q161" i="218"/>
  <c r="P161" i="218"/>
  <c r="O161" i="218"/>
  <c r="N161" i="218"/>
  <c r="M161" i="218"/>
  <c r="L161" i="218"/>
  <c r="K161" i="218"/>
  <c r="J161" i="218"/>
  <c r="I161" i="218"/>
  <c r="H161" i="218"/>
  <c r="G161" i="218"/>
  <c r="S160" i="218"/>
  <c r="R160" i="218"/>
  <c r="Q160" i="218"/>
  <c r="P160" i="218"/>
  <c r="O160" i="218"/>
  <c r="N160" i="218"/>
  <c r="M160" i="218"/>
  <c r="L160" i="218"/>
  <c r="K160" i="218"/>
  <c r="J160" i="218"/>
  <c r="I160" i="218"/>
  <c r="H160" i="218"/>
  <c r="G160" i="218"/>
  <c r="S159" i="218"/>
  <c r="R159" i="218"/>
  <c r="Q159" i="218"/>
  <c r="P159" i="218"/>
  <c r="O159" i="218"/>
  <c r="N159" i="218"/>
  <c r="M159" i="218"/>
  <c r="L159" i="218"/>
  <c r="K159" i="218"/>
  <c r="J159" i="218"/>
  <c r="I159" i="218"/>
  <c r="H159" i="218"/>
  <c r="G159" i="218"/>
  <c r="S158" i="218"/>
  <c r="R158" i="218"/>
  <c r="Q158" i="218"/>
  <c r="P158" i="218"/>
  <c r="O158" i="218"/>
  <c r="N158" i="218"/>
  <c r="M158" i="218"/>
  <c r="L158" i="218"/>
  <c r="K158" i="218"/>
  <c r="J158" i="218"/>
  <c r="I158" i="218"/>
  <c r="H158" i="218"/>
  <c r="G158" i="218"/>
  <c r="S157" i="218"/>
  <c r="R157" i="218"/>
  <c r="Q157" i="218"/>
  <c r="P157" i="218"/>
  <c r="O157" i="218"/>
  <c r="N157" i="218"/>
  <c r="M157" i="218"/>
  <c r="L157" i="218"/>
  <c r="K157" i="218"/>
  <c r="J157" i="218"/>
  <c r="I157" i="218"/>
  <c r="H157" i="218"/>
  <c r="G157" i="218"/>
  <c r="S156" i="218"/>
  <c r="R156" i="218"/>
  <c r="Q156" i="218"/>
  <c r="P156" i="218"/>
  <c r="O156" i="218"/>
  <c r="N156" i="218"/>
  <c r="M156" i="218"/>
  <c r="L156" i="218"/>
  <c r="K156" i="218"/>
  <c r="J156" i="218"/>
  <c r="I156" i="218"/>
  <c r="H156" i="218"/>
  <c r="G156" i="218"/>
  <c r="S155" i="218"/>
  <c r="R155" i="218"/>
  <c r="Q155" i="218"/>
  <c r="P155" i="218"/>
  <c r="O155" i="218"/>
  <c r="N155" i="218"/>
  <c r="M155" i="218"/>
  <c r="L155" i="218"/>
  <c r="K155" i="218"/>
  <c r="J155" i="218"/>
  <c r="I155" i="218"/>
  <c r="H155" i="218"/>
  <c r="G155" i="218"/>
  <c r="S154" i="218"/>
  <c r="R154" i="218"/>
  <c r="Q154" i="218"/>
  <c r="P154" i="218"/>
  <c r="O154" i="218"/>
  <c r="N154" i="218"/>
  <c r="M154" i="218"/>
  <c r="L154" i="218"/>
  <c r="K154" i="218"/>
  <c r="J154" i="218"/>
  <c r="I154" i="218"/>
  <c r="H154" i="218"/>
  <c r="G154" i="218"/>
  <c r="S153" i="218"/>
  <c r="R153" i="218"/>
  <c r="Q153" i="218"/>
  <c r="P153" i="218"/>
  <c r="O153" i="218"/>
  <c r="N153" i="218"/>
  <c r="M153" i="218"/>
  <c r="L153" i="218"/>
  <c r="K153" i="218"/>
  <c r="J153" i="218"/>
  <c r="I153" i="218"/>
  <c r="H153" i="218"/>
  <c r="G153" i="218"/>
  <c r="S152" i="218"/>
  <c r="R152" i="218"/>
  <c r="Q152" i="218"/>
  <c r="P152" i="218"/>
  <c r="O152" i="218"/>
  <c r="N152" i="218"/>
  <c r="M152" i="218"/>
  <c r="L152" i="218"/>
  <c r="K152" i="218"/>
  <c r="J152" i="218"/>
  <c r="I152" i="218"/>
  <c r="H152" i="218"/>
  <c r="G152" i="218"/>
  <c r="S151" i="218"/>
  <c r="R151" i="218"/>
  <c r="Q151" i="218"/>
  <c r="P151" i="218"/>
  <c r="O151" i="218"/>
  <c r="N151" i="218"/>
  <c r="M151" i="218"/>
  <c r="L151" i="218"/>
  <c r="K151" i="218"/>
  <c r="J151" i="218"/>
  <c r="I82" i="218" s="1" a="1"/>
  <c r="I82" i="218" s="1"/>
  <c r="I151" i="218"/>
  <c r="H151" i="218"/>
  <c r="G151" i="218"/>
  <c r="S150" i="218"/>
  <c r="R150" i="218"/>
  <c r="Q150" i="218"/>
  <c r="P150" i="218"/>
  <c r="O150" i="218"/>
  <c r="N150" i="218"/>
  <c r="M150" i="218"/>
  <c r="L150" i="218"/>
  <c r="K150" i="218"/>
  <c r="J150" i="218"/>
  <c r="I150" i="218"/>
  <c r="H150" i="218"/>
  <c r="G150" i="218"/>
  <c r="S149" i="218"/>
  <c r="R149" i="218"/>
  <c r="Q149" i="218"/>
  <c r="P149" i="218"/>
  <c r="O149" i="218"/>
  <c r="N149" i="218"/>
  <c r="M149" i="218"/>
  <c r="L149" i="218"/>
  <c r="K149" i="218"/>
  <c r="J149" i="218"/>
  <c r="I81" i="218" s="1" a="1"/>
  <c r="I81" i="218" s="1"/>
  <c r="I149" i="218"/>
  <c r="H82" i="218" s="1" a="1"/>
  <c r="H82" i="218" s="1"/>
  <c r="H149" i="218"/>
  <c r="G149" i="218"/>
  <c r="F79" i="218" s="1" a="1"/>
  <c r="F79" i="218" s="1"/>
  <c r="S148" i="218"/>
  <c r="R148" i="218"/>
  <c r="Q148" i="218"/>
  <c r="P148" i="218"/>
  <c r="O148" i="218"/>
  <c r="N148" i="218"/>
  <c r="M148" i="218"/>
  <c r="L148" i="218"/>
  <c r="K148" i="218" s="1"/>
  <c r="J148" i="218"/>
  <c r="I148" i="218"/>
  <c r="H148" i="218"/>
  <c r="G148" i="218"/>
  <c r="S147" i="218"/>
  <c r="R147" i="218"/>
  <c r="Q147" i="218"/>
  <c r="P147" i="218"/>
  <c r="O147" i="218"/>
  <c r="N147" i="218"/>
  <c r="M147" i="218"/>
  <c r="L147" i="218"/>
  <c r="K147" i="218"/>
  <c r="J147" i="218"/>
  <c r="I147" i="218"/>
  <c r="H147" i="218"/>
  <c r="G147" i="218"/>
  <c r="S146" i="218"/>
  <c r="R146" i="218"/>
  <c r="Q146" i="218"/>
  <c r="P146" i="218"/>
  <c r="O146" i="218"/>
  <c r="N146" i="218"/>
  <c r="M146" i="218"/>
  <c r="L146" i="218"/>
  <c r="J146" i="218"/>
  <c r="I146" i="218"/>
  <c r="H146" i="218"/>
  <c r="G146" i="218"/>
  <c r="K146" i="218" s="1"/>
  <c r="S145" i="218"/>
  <c r="R145" i="218"/>
  <c r="Q145" i="218"/>
  <c r="P145" i="218"/>
  <c r="O145" i="218"/>
  <c r="N145" i="218"/>
  <c r="M145" i="218"/>
  <c r="L145" i="218"/>
  <c r="J145" i="218"/>
  <c r="I145" i="218"/>
  <c r="H145" i="218"/>
  <c r="G145" i="218"/>
  <c r="K145" i="218" s="1"/>
  <c r="S144" i="218"/>
  <c r="R144" i="218"/>
  <c r="Q144" i="218"/>
  <c r="P144" i="218"/>
  <c r="O144" i="218"/>
  <c r="N144" i="218"/>
  <c r="M144" i="218"/>
  <c r="L75" i="218" s="1" a="1"/>
  <c r="L75" i="218" s="1"/>
  <c r="L144" i="218"/>
  <c r="J144" i="218"/>
  <c r="I144" i="218"/>
  <c r="H144" i="218"/>
  <c r="G144" i="218"/>
  <c r="S143" i="218"/>
  <c r="R143" i="218"/>
  <c r="Q143" i="218"/>
  <c r="P143" i="218"/>
  <c r="O143" i="218"/>
  <c r="N143" i="218"/>
  <c r="M143" i="218"/>
  <c r="L143" i="218"/>
  <c r="K143" i="218"/>
  <c r="J143" i="218"/>
  <c r="I143" i="218"/>
  <c r="H143" i="218"/>
  <c r="G143" i="218"/>
  <c r="S142" i="218"/>
  <c r="R142" i="218"/>
  <c r="Q142" i="218"/>
  <c r="P142" i="218"/>
  <c r="O142" i="218"/>
  <c r="N142" i="218"/>
  <c r="M142" i="218"/>
  <c r="L142" i="218"/>
  <c r="J142" i="218"/>
  <c r="I142" i="218"/>
  <c r="H75" i="218" s="1" a="1"/>
  <c r="H142" i="218"/>
  <c r="G142" i="218"/>
  <c r="K142" i="218" s="1"/>
  <c r="S141" i="218"/>
  <c r="R141" i="218"/>
  <c r="Q141" i="218"/>
  <c r="P141" i="218"/>
  <c r="O141" i="218"/>
  <c r="N141" i="218"/>
  <c r="M141" i="218"/>
  <c r="L141" i="218"/>
  <c r="J141" i="218"/>
  <c r="I141" i="218"/>
  <c r="H141" i="218"/>
  <c r="G141" i="218"/>
  <c r="K141" i="218" s="1"/>
  <c r="S140" i="218"/>
  <c r="R140" i="218"/>
  <c r="Q140" i="218"/>
  <c r="P140" i="218"/>
  <c r="O140" i="218"/>
  <c r="N140" i="218"/>
  <c r="M140" i="218"/>
  <c r="L140" i="218"/>
  <c r="K140" i="218" s="1"/>
  <c r="J140" i="218"/>
  <c r="I140" i="218"/>
  <c r="H140" i="218"/>
  <c r="G140" i="218"/>
  <c r="S139" i="218"/>
  <c r="R139" i="218"/>
  <c r="Q139" i="218"/>
  <c r="P139" i="218"/>
  <c r="O139" i="218"/>
  <c r="N139" i="218"/>
  <c r="M139" i="218"/>
  <c r="L139" i="218"/>
  <c r="K139" i="218"/>
  <c r="J139" i="218"/>
  <c r="I139" i="218"/>
  <c r="H139" i="218"/>
  <c r="G139" i="218"/>
  <c r="S138" i="218"/>
  <c r="R138" i="218"/>
  <c r="Q138" i="218"/>
  <c r="P138" i="218"/>
  <c r="O138" i="218"/>
  <c r="N138" i="218"/>
  <c r="M138" i="218"/>
  <c r="L138" i="218"/>
  <c r="J138" i="218"/>
  <c r="I138" i="218"/>
  <c r="H138" i="218"/>
  <c r="G138" i="218"/>
  <c r="K138" i="218" s="1"/>
  <c r="S137" i="218"/>
  <c r="R137" i="218"/>
  <c r="Q137" i="218"/>
  <c r="P137" i="218"/>
  <c r="O137" i="218"/>
  <c r="N137" i="218"/>
  <c r="M137" i="218"/>
  <c r="L137" i="218"/>
  <c r="J137" i="218"/>
  <c r="I137" i="218"/>
  <c r="H137" i="218"/>
  <c r="G137" i="218"/>
  <c r="K137" i="218" s="1"/>
  <c r="S136" i="218"/>
  <c r="R136" i="218"/>
  <c r="Q136" i="218"/>
  <c r="P136" i="218"/>
  <c r="O136" i="218"/>
  <c r="N136" i="218"/>
  <c r="M136" i="218"/>
  <c r="L136" i="218"/>
  <c r="K136" i="218" s="1"/>
  <c r="J136" i="218"/>
  <c r="I136" i="218"/>
  <c r="H136" i="218"/>
  <c r="G136" i="218"/>
  <c r="S135" i="218"/>
  <c r="R135" i="218"/>
  <c r="Q135" i="218"/>
  <c r="P135" i="218"/>
  <c r="O135" i="218"/>
  <c r="N135" i="218"/>
  <c r="M135" i="218"/>
  <c r="L135" i="218"/>
  <c r="K135" i="218"/>
  <c r="J135" i="218"/>
  <c r="I135" i="218"/>
  <c r="H135" i="218"/>
  <c r="G135" i="218"/>
  <c r="S134" i="218"/>
  <c r="R134" i="218"/>
  <c r="Q134" i="218"/>
  <c r="P134" i="218"/>
  <c r="O134" i="218"/>
  <c r="N134" i="218"/>
  <c r="M134" i="218"/>
  <c r="L134" i="218"/>
  <c r="J134" i="218"/>
  <c r="I134" i="218"/>
  <c r="H134" i="218"/>
  <c r="G134" i="218"/>
  <c r="K134" i="218" s="1"/>
  <c r="S133" i="218"/>
  <c r="R133" i="218"/>
  <c r="Q133" i="218"/>
  <c r="P133" i="218"/>
  <c r="O133" i="218"/>
  <c r="N133" i="218"/>
  <c r="M133" i="218"/>
  <c r="L133" i="218"/>
  <c r="J133" i="218"/>
  <c r="I133" i="218"/>
  <c r="H133" i="218"/>
  <c r="G133" i="218"/>
  <c r="K133" i="218" s="1"/>
  <c r="S132" i="218"/>
  <c r="R132" i="218"/>
  <c r="Q132" i="218"/>
  <c r="P132" i="218"/>
  <c r="O132" i="218"/>
  <c r="N132" i="218"/>
  <c r="M132" i="218"/>
  <c r="L132" i="218"/>
  <c r="J132" i="218"/>
  <c r="I132" i="218"/>
  <c r="H132" i="218"/>
  <c r="G132" i="218"/>
  <c r="S131" i="218"/>
  <c r="R131" i="218"/>
  <c r="Q131" i="218"/>
  <c r="P131" i="218"/>
  <c r="O131" i="218"/>
  <c r="N131" i="218"/>
  <c r="M131" i="218"/>
  <c r="L131" i="218"/>
  <c r="K131" i="218"/>
  <c r="J131" i="218"/>
  <c r="I131" i="218"/>
  <c r="H131" i="218"/>
  <c r="G131" i="218"/>
  <c r="S130" i="218"/>
  <c r="R130" i="218"/>
  <c r="Q130" i="218"/>
  <c r="P130" i="218"/>
  <c r="O130" i="218"/>
  <c r="N130" i="218"/>
  <c r="M130" i="218"/>
  <c r="L130" i="218"/>
  <c r="J130" i="218"/>
  <c r="I130" i="218"/>
  <c r="H130" i="218"/>
  <c r="G130" i="218"/>
  <c r="K130" i="218" s="1"/>
  <c r="S129" i="218"/>
  <c r="R129" i="218"/>
  <c r="Q129" i="218"/>
  <c r="P129" i="218"/>
  <c r="O129" i="218"/>
  <c r="N129" i="218"/>
  <c r="M129" i="218"/>
  <c r="L129" i="218"/>
  <c r="J129" i="218"/>
  <c r="I129" i="218"/>
  <c r="H129" i="218"/>
  <c r="G129" i="218"/>
  <c r="K129" i="218" s="1"/>
  <c r="S128" i="218"/>
  <c r="R128" i="218"/>
  <c r="Q128" i="218"/>
  <c r="P128" i="218"/>
  <c r="O128" i="218"/>
  <c r="N128" i="218"/>
  <c r="M128" i="218"/>
  <c r="L128" i="218"/>
  <c r="K128" i="218" s="1"/>
  <c r="J128" i="218"/>
  <c r="I128" i="218"/>
  <c r="H128" i="218"/>
  <c r="G128" i="218"/>
  <c r="S127" i="218"/>
  <c r="R127" i="218"/>
  <c r="Q127" i="218"/>
  <c r="O127" i="218"/>
  <c r="M127" i="218"/>
  <c r="K127" i="218"/>
  <c r="G127" i="218"/>
  <c r="S126" i="218"/>
  <c r="R126" i="218"/>
  <c r="P126" i="218"/>
  <c r="O126" i="218"/>
  <c r="M126" i="218"/>
  <c r="K126" i="218"/>
  <c r="G126" i="218"/>
  <c r="S125" i="218"/>
  <c r="Q125" i="218"/>
  <c r="P125" i="218"/>
  <c r="O125" i="218"/>
  <c r="R125" i="218" s="1"/>
  <c r="M125" i="218"/>
  <c r="K125" i="218"/>
  <c r="G125" i="218"/>
  <c r="R124" i="218"/>
  <c r="Q124" i="218"/>
  <c r="P124" i="218"/>
  <c r="O124" i="218"/>
  <c r="M124" i="218"/>
  <c r="S124" i="218" s="1"/>
  <c r="K124" i="218"/>
  <c r="G124" i="218"/>
  <c r="S123" i="218"/>
  <c r="R123" i="218"/>
  <c r="Q123" i="218"/>
  <c r="O123" i="218"/>
  <c r="M123" i="218"/>
  <c r="K123" i="218"/>
  <c r="G123" i="218"/>
  <c r="S122" i="218"/>
  <c r="R122" i="218"/>
  <c r="P122" i="218"/>
  <c r="O122" i="218"/>
  <c r="M122" i="218"/>
  <c r="K122" i="218"/>
  <c r="G122" i="218"/>
  <c r="S121" i="218"/>
  <c r="Q121" i="218"/>
  <c r="P121" i="218"/>
  <c r="O121" i="218"/>
  <c r="R121" i="218" s="1"/>
  <c r="M121" i="218"/>
  <c r="K121" i="218"/>
  <c r="G121" i="218"/>
  <c r="R120" i="218"/>
  <c r="Q120" i="218"/>
  <c r="P120" i="218"/>
  <c r="O120" i="218"/>
  <c r="N120" i="218"/>
  <c r="S120" i="218" s="1"/>
  <c r="M120" i="218"/>
  <c r="L120" i="218"/>
  <c r="K120" i="218"/>
  <c r="G120" i="218"/>
  <c r="O119" i="218"/>
  <c r="R119" i="218" s="1"/>
  <c r="N119" i="218"/>
  <c r="M119" i="218"/>
  <c r="L119" i="218"/>
  <c r="K119" i="218"/>
  <c r="G119" i="218"/>
  <c r="O118" i="218"/>
  <c r="N118" i="218"/>
  <c r="Q118" i="218" s="1"/>
  <c r="M118" i="218"/>
  <c r="L118" i="218"/>
  <c r="K118" i="218"/>
  <c r="G118" i="218"/>
  <c r="O117" i="218"/>
  <c r="Q117" i="218" s="1"/>
  <c r="N117" i="218"/>
  <c r="S117" i="218" s="1"/>
  <c r="M117" i="218"/>
  <c r="L117" i="218"/>
  <c r="K117" i="218"/>
  <c r="G117" i="218"/>
  <c r="R116" i="218"/>
  <c r="Q116" i="218"/>
  <c r="P116" i="218"/>
  <c r="O116" i="218"/>
  <c r="N116" i="218"/>
  <c r="S116" i="218" s="1"/>
  <c r="M116" i="218"/>
  <c r="L116" i="218"/>
  <c r="K116" i="218"/>
  <c r="G116" i="218"/>
  <c r="O115" i="218"/>
  <c r="S115" i="218" s="1"/>
  <c r="N115" i="218"/>
  <c r="M115" i="218"/>
  <c r="L115" i="218"/>
  <c r="K115" i="218"/>
  <c r="G115" i="218"/>
  <c r="O114" i="218"/>
  <c r="N114" i="218"/>
  <c r="Q114" i="218" s="1"/>
  <c r="M114" i="218"/>
  <c r="L114" i="218"/>
  <c r="K114" i="218"/>
  <c r="G114" i="218"/>
  <c r="O113" i="218"/>
  <c r="M113" i="218"/>
  <c r="K113" i="218"/>
  <c r="G113" i="218"/>
  <c r="O112" i="218"/>
  <c r="M112" i="218"/>
  <c r="K112" i="218"/>
  <c r="G112" i="218"/>
  <c r="O111" i="218"/>
  <c r="M111" i="218"/>
  <c r="K111" i="218"/>
  <c r="G111" i="218"/>
  <c r="O110" i="218"/>
  <c r="M110" i="218"/>
  <c r="K110" i="218"/>
  <c r="G110" i="218"/>
  <c r="Q109" i="218"/>
  <c r="P109" i="218"/>
  <c r="O109" i="218"/>
  <c r="S109" i="218" s="1"/>
  <c r="M109" i="218"/>
  <c r="K109" i="218"/>
  <c r="G109" i="218"/>
  <c r="R108" i="218"/>
  <c r="Q108" i="218"/>
  <c r="P108" i="218"/>
  <c r="O108" i="218"/>
  <c r="S108" i="218" s="1"/>
  <c r="M108" i="218"/>
  <c r="K108" i="218"/>
  <c r="G108" i="218"/>
  <c r="S107" i="218"/>
  <c r="R107" i="218"/>
  <c r="Q107" i="218"/>
  <c r="O107" i="218"/>
  <c r="P107" i="218" s="1"/>
  <c r="M107" i="218"/>
  <c r="K107" i="218"/>
  <c r="G107" i="218"/>
  <c r="S106" i="218"/>
  <c r="R106" i="218"/>
  <c r="O106" i="218"/>
  <c r="N106" i="218"/>
  <c r="Q106" i="218" s="1"/>
  <c r="M106" i="218"/>
  <c r="L106" i="218"/>
  <c r="K106" i="218"/>
  <c r="J106" i="218"/>
  <c r="I106" i="218"/>
  <c r="O105" i="218"/>
  <c r="N105" i="218"/>
  <c r="M105" i="218"/>
  <c r="L105" i="218"/>
  <c r="J105" i="218"/>
  <c r="K105" i="218" s="1"/>
  <c r="I105" i="218"/>
  <c r="R104" i="218"/>
  <c r="Q104" i="218"/>
  <c r="P104" i="218"/>
  <c r="O104" i="218"/>
  <c r="N104" i="218"/>
  <c r="S104" i="218" s="1"/>
  <c r="M104" i="218"/>
  <c r="L104" i="218"/>
  <c r="J104" i="218"/>
  <c r="K104" i="218" s="1"/>
  <c r="I104" i="218"/>
  <c r="P103" i="218"/>
  <c r="O103" i="218"/>
  <c r="Q103" i="218" s="1"/>
  <c r="N103" i="218"/>
  <c r="M103" i="218"/>
  <c r="L103" i="218"/>
  <c r="J103" i="218"/>
  <c r="I103" i="218"/>
  <c r="S102" i="218"/>
  <c r="P102" i="218"/>
  <c r="O102" i="218"/>
  <c r="N102" i="218"/>
  <c r="R102" i="218" s="1"/>
  <c r="M102" i="218"/>
  <c r="L102" i="218"/>
  <c r="K102" i="218"/>
  <c r="J102" i="218"/>
  <c r="I102" i="218"/>
  <c r="R101" i="218"/>
  <c r="O101" i="218"/>
  <c r="N101" i="218"/>
  <c r="S101" i="218" s="1"/>
  <c r="M101" i="218"/>
  <c r="L101" i="218"/>
  <c r="J101" i="218"/>
  <c r="K101" i="218" s="1"/>
  <c r="I101" i="218"/>
  <c r="O100" i="218"/>
  <c r="N100" i="218"/>
  <c r="M100" i="218"/>
  <c r="L100" i="218"/>
  <c r="J100" i="218"/>
  <c r="K100" i="218" s="1"/>
  <c r="I100" i="218"/>
  <c r="Q99" i="218"/>
  <c r="P99" i="218"/>
  <c r="O99" i="218"/>
  <c r="R99" i="218" s="1"/>
  <c r="N99" i="218"/>
  <c r="M99" i="218"/>
  <c r="L99" i="218"/>
  <c r="J99" i="218"/>
  <c r="I99" i="218"/>
  <c r="S98" i="218"/>
  <c r="R98" i="218"/>
  <c r="O98" i="218"/>
  <c r="N98" i="218"/>
  <c r="Q98" i="218" s="1"/>
  <c r="M98" i="218"/>
  <c r="L98" i="218"/>
  <c r="K98" i="218"/>
  <c r="J98" i="218"/>
  <c r="I98" i="218"/>
  <c r="O97" i="218"/>
  <c r="N97" i="218"/>
  <c r="M97" i="218"/>
  <c r="L97" i="218"/>
  <c r="J97" i="218"/>
  <c r="K97" i="218" s="1"/>
  <c r="I97" i="218"/>
  <c r="R96" i="218"/>
  <c r="Q96" i="218"/>
  <c r="P96" i="218"/>
  <c r="O96" i="218"/>
  <c r="N96" i="218"/>
  <c r="S96" i="218" s="1"/>
  <c r="M96" i="218"/>
  <c r="L96" i="218"/>
  <c r="J96" i="218"/>
  <c r="K96" i="218" s="1"/>
  <c r="I96" i="218"/>
  <c r="P95" i="218"/>
  <c r="O95" i="218"/>
  <c r="Q95" i="218" s="1"/>
  <c r="N95" i="218"/>
  <c r="M95" i="218"/>
  <c r="L95" i="218"/>
  <c r="J95" i="218"/>
  <c r="I95" i="218"/>
  <c r="S94" i="218"/>
  <c r="P94" i="218"/>
  <c r="O94" i="218"/>
  <c r="N94" i="218"/>
  <c r="R94" i="218" s="1"/>
  <c r="M94" i="218"/>
  <c r="L94" i="218"/>
  <c r="K94" i="218"/>
  <c r="J94" i="218"/>
  <c r="I94" i="218"/>
  <c r="R93" i="218"/>
  <c r="O93" i="218"/>
  <c r="N93" i="218"/>
  <c r="S93" i="218" s="1"/>
  <c r="M93" i="218"/>
  <c r="L93" i="218"/>
  <c r="J93" i="218"/>
  <c r="K93" i="218" s="1"/>
  <c r="I93" i="218"/>
  <c r="O92" i="218"/>
  <c r="N92" i="218"/>
  <c r="M92" i="218"/>
  <c r="L92" i="218"/>
  <c r="J92" i="218"/>
  <c r="K92" i="218" s="1"/>
  <c r="I92" i="218"/>
  <c r="Q91" i="218"/>
  <c r="P91" i="218"/>
  <c r="O91" i="218"/>
  <c r="R91" i="218" s="1"/>
  <c r="N91" i="218"/>
  <c r="M91" i="218"/>
  <c r="L91" i="218"/>
  <c r="J91" i="218"/>
  <c r="I91" i="218"/>
  <c r="S90" i="218"/>
  <c r="R90" i="218"/>
  <c r="O90" i="218"/>
  <c r="N90" i="218"/>
  <c r="Q90" i="218" s="1"/>
  <c r="M90" i="218"/>
  <c r="L90" i="218"/>
  <c r="K90" i="218" s="1"/>
  <c r="J90" i="218"/>
  <c r="I90" i="218"/>
  <c r="O89" i="218"/>
  <c r="N89" i="218"/>
  <c r="M89" i="218"/>
  <c r="L89" i="218"/>
  <c r="J89" i="218"/>
  <c r="K89" i="218" s="1"/>
  <c r="I89" i="218"/>
  <c r="R88" i="218"/>
  <c r="Q88" i="218"/>
  <c r="P88" i="218"/>
  <c r="O88" i="218"/>
  <c r="N88" i="218"/>
  <c r="S88" i="218" s="1"/>
  <c r="M88" i="218"/>
  <c r="L88" i="218"/>
  <c r="J88" i="218"/>
  <c r="K88" i="218" s="1"/>
  <c r="I88" i="218"/>
  <c r="P87" i="218"/>
  <c r="O87" i="218"/>
  <c r="Q87" i="218" s="1"/>
  <c r="N87" i="218"/>
  <c r="M87" i="218"/>
  <c r="L87" i="218"/>
  <c r="J87" i="218"/>
  <c r="I87" i="218"/>
  <c r="S86" i="218"/>
  <c r="P86" i="218"/>
  <c r="O86" i="218"/>
  <c r="N86" i="218"/>
  <c r="R86" i="218" s="1"/>
  <c r="M86" i="218"/>
  <c r="L86" i="218"/>
  <c r="K86" i="218"/>
  <c r="J86" i="218"/>
  <c r="I86" i="218"/>
  <c r="F82" i="218" a="1"/>
  <c r="F82" i="218" s="1"/>
  <c r="D82" i="218" a="1"/>
  <c r="D82" i="218" s="1"/>
  <c r="H81" i="218" a="1"/>
  <c r="H81" i="218" s="1"/>
  <c r="F81" i="218"/>
  <c r="F81" i="218" a="1"/>
  <c r="D81" i="218"/>
  <c r="D81" i="218" a="1"/>
  <c r="I80" i="218" a="1"/>
  <c r="I80" i="218" s="1"/>
  <c r="H80" i="218"/>
  <c r="H80" i="218" a="1"/>
  <c r="F80" i="218" a="1"/>
  <c r="F80" i="218" s="1"/>
  <c r="D80" i="218" a="1"/>
  <c r="D80" i="218" s="1"/>
  <c r="D79" i="218" a="1"/>
  <c r="D79" i="218" s="1"/>
  <c r="I78" i="218"/>
  <c r="I78" i="218" a="1"/>
  <c r="H78" i="218" a="1"/>
  <c r="H78" i="218" s="1"/>
  <c r="F78" i="218" a="1"/>
  <c r="F78" i="218" s="1"/>
  <c r="D78" i="218"/>
  <c r="D78" i="218" a="1"/>
  <c r="H77" i="218"/>
  <c r="H77" i="218" a="1"/>
  <c r="F77" i="218" a="1"/>
  <c r="F77" i="218" s="1"/>
  <c r="D77" i="218"/>
  <c r="D77" i="218" a="1"/>
  <c r="I76" i="218" a="1"/>
  <c r="I76" i="218" s="1"/>
  <c r="H76" i="218" a="1"/>
  <c r="H76" i="218" s="1"/>
  <c r="F76" i="218" a="1"/>
  <c r="F76" i="218" s="1"/>
  <c r="D76" i="218" a="1"/>
  <c r="D76" i="218" s="1"/>
  <c r="M75" i="218"/>
  <c r="M75" i="218" a="1"/>
  <c r="H75" i="218"/>
  <c r="G75" i="218"/>
  <c r="G75" i="218" a="1"/>
  <c r="D75" i="218"/>
  <c r="K75" i="218" s="1" a="1"/>
  <c r="K75" i="218" s="1"/>
  <c r="D75" i="218" a="1"/>
  <c r="H74" i="218" a="1"/>
  <c r="H74" i="218" s="1"/>
  <c r="G74" i="218"/>
  <c r="G74" i="218" a="1"/>
  <c r="D74" i="218" a="1"/>
  <c r="D74" i="218" s="1"/>
  <c r="N73" i="218"/>
  <c r="L73" i="218" a="1"/>
  <c r="L73" i="218" s="1"/>
  <c r="H73" i="218"/>
  <c r="H73" i="218" a="1"/>
  <c r="F73" i="218"/>
  <c r="F73" i="218" a="1"/>
  <c r="D73" i="218"/>
  <c r="N73" i="218" s="1" a="1"/>
  <c r="D73" i="218" a="1"/>
  <c r="N72" i="218" a="1"/>
  <c r="N72" i="218" s="1"/>
  <c r="K72" i="218" a="1"/>
  <c r="K72" i="218" s="1"/>
  <c r="H72" i="218"/>
  <c r="H72" i="218" a="1"/>
  <c r="G72" i="218" a="1"/>
  <c r="G72" i="218" s="1"/>
  <c r="F72" i="218" a="1"/>
  <c r="F72" i="218" s="1"/>
  <c r="D72" i="218" a="1"/>
  <c r="D72" i="218" s="1"/>
  <c r="M72" i="218" s="1" a="1"/>
  <c r="M72" i="218" s="1"/>
  <c r="G71" i="218" a="1"/>
  <c r="G71" i="218" s="1"/>
  <c r="D71" i="218" a="1"/>
  <c r="D71" i="218" s="1"/>
  <c r="P70" i="218" a="1"/>
  <c r="P70" i="218" s="1"/>
  <c r="K70" i="218" a="1"/>
  <c r="K70" i="218" s="1"/>
  <c r="H70" i="218" a="1"/>
  <c r="H70" i="218" s="1"/>
  <c r="G70" i="218"/>
  <c r="G70" i="218" a="1"/>
  <c r="D70" i="218"/>
  <c r="D70" i="218" a="1"/>
  <c r="R69" i="218" a="1"/>
  <c r="R69" i="218" s="1"/>
  <c r="L69" i="218" a="1"/>
  <c r="L69" i="218" s="1"/>
  <c r="H69" i="218" a="1"/>
  <c r="H69" i="218" s="1"/>
  <c r="F69" i="218"/>
  <c r="F69" i="218" a="1"/>
  <c r="D69" i="218"/>
  <c r="N69" i="218" s="1" a="1"/>
  <c r="N69" i="218" s="1"/>
  <c r="D69" i="218" a="1"/>
  <c r="Q68" i="218" a="1"/>
  <c r="Q68" i="218" s="1"/>
  <c r="L68" i="218" a="1"/>
  <c r="L68" i="218" s="1"/>
  <c r="K68" i="218" a="1"/>
  <c r="K68" i="218" s="1"/>
  <c r="I68" i="218" a="1"/>
  <c r="I68" i="218" s="1"/>
  <c r="H68" i="218"/>
  <c r="H68" i="218" a="1"/>
  <c r="G68" i="218" a="1"/>
  <c r="G68" i="218" s="1"/>
  <c r="F68" i="218" a="1"/>
  <c r="F68" i="218" s="1"/>
  <c r="D68" i="218" a="1"/>
  <c r="D68" i="218" s="1"/>
  <c r="N68" i="218" s="1" a="1"/>
  <c r="N68" i="218" s="1"/>
  <c r="O67" i="218" a="1"/>
  <c r="O67" i="218" s="1"/>
  <c r="M67" i="218" a="1"/>
  <c r="M67" i="218" s="1"/>
  <c r="J67" i="218" a="1"/>
  <c r="J67" i="218" s="1"/>
  <c r="I67" i="218"/>
  <c r="I67" i="218" a="1"/>
  <c r="H67" i="218"/>
  <c r="H67" i="218" a="1"/>
  <c r="G67" i="218" a="1"/>
  <c r="G67" i="218" s="1"/>
  <c r="F67" i="218" a="1"/>
  <c r="F67" i="218" s="1"/>
  <c r="D67" i="218"/>
  <c r="D67" i="218" a="1"/>
  <c r="O66" i="218" a="1"/>
  <c r="O66" i="218" s="1"/>
  <c r="K66" i="218" a="1"/>
  <c r="K66" i="218" s="1"/>
  <c r="I66" i="218" a="1"/>
  <c r="I66" i="218" s="1"/>
  <c r="H66" i="218"/>
  <c r="H66" i="218" a="1"/>
  <c r="G66" i="218" a="1"/>
  <c r="G66" i="218" s="1"/>
  <c r="D66" i="218" a="1"/>
  <c r="D66" i="218" s="1"/>
  <c r="I65" i="218"/>
  <c r="I65" i="218" a="1"/>
  <c r="H65" i="218" a="1"/>
  <c r="H65" i="218" s="1"/>
  <c r="G65" i="218" a="1"/>
  <c r="G65" i="218" s="1"/>
  <c r="D65" i="218"/>
  <c r="D65" i="218" a="1"/>
  <c r="I64" i="218"/>
  <c r="I64" i="218" a="1"/>
  <c r="H64" i="218" a="1"/>
  <c r="H64" i="218" s="1"/>
  <c r="G64" i="218" a="1"/>
  <c r="G64" i="218" s="1"/>
  <c r="D64" i="218"/>
  <c r="P64" i="218" s="1" a="1"/>
  <c r="P64" i="218" s="1"/>
  <c r="D64" i="218" a="1"/>
  <c r="P63" i="218" a="1"/>
  <c r="P63" i="218" s="1"/>
  <c r="I63" i="218" a="1"/>
  <c r="I63" i="218" s="1"/>
  <c r="H63" i="218" a="1"/>
  <c r="H63" i="218" s="1"/>
  <c r="G63" i="218"/>
  <c r="G63" i="218" a="1"/>
  <c r="D63" i="218" a="1"/>
  <c r="D63" i="218" s="1"/>
  <c r="I62" i="218" a="1"/>
  <c r="I62" i="218" s="1"/>
  <c r="H62" i="218" a="1"/>
  <c r="H62" i="218" s="1"/>
  <c r="G62" i="218" a="1"/>
  <c r="G62" i="218" s="1"/>
  <c r="D62" i="218" a="1"/>
  <c r="D62" i="218" s="1"/>
  <c r="I61" i="218"/>
  <c r="I61" i="218" a="1"/>
  <c r="H61" i="218"/>
  <c r="H61" i="218" a="1"/>
  <c r="G61" i="218"/>
  <c r="G61" i="218" a="1"/>
  <c r="D61" i="218"/>
  <c r="D61" i="218" a="1"/>
  <c r="L60" i="218" a="1"/>
  <c r="L60" i="218" s="1"/>
  <c r="I60" i="218" a="1"/>
  <c r="I60" i="218" s="1"/>
  <c r="H60" i="218" a="1"/>
  <c r="H60" i="218" s="1"/>
  <c r="G60" i="218"/>
  <c r="G60" i="218" a="1"/>
  <c r="F60" i="218" a="1"/>
  <c r="F60" i="218" s="1"/>
  <c r="D60" i="218" a="1"/>
  <c r="D60" i="218" s="1"/>
  <c r="R59" i="218" a="1"/>
  <c r="R59" i="218" s="1"/>
  <c r="N59" i="218" a="1"/>
  <c r="N59" i="218" s="1"/>
  <c r="I59" i="218"/>
  <c r="I59" i="218" a="1"/>
  <c r="H59" i="218"/>
  <c r="H59" i="218" a="1"/>
  <c r="G59" i="218"/>
  <c r="G59" i="218" a="1"/>
  <c r="F59" i="218" a="1"/>
  <c r="F59" i="218" s="1"/>
  <c r="D59" i="218"/>
  <c r="D59" i="218" a="1"/>
  <c r="Q58" i="218" a="1"/>
  <c r="Q58" i="218" s="1"/>
  <c r="I58" i="218" a="1"/>
  <c r="I58" i="218" s="1"/>
  <c r="H58" i="218"/>
  <c r="H58" i="218" a="1"/>
  <c r="G58" i="218" a="1"/>
  <c r="G58" i="218" s="1"/>
  <c r="D58" i="218" a="1"/>
  <c r="D58" i="218" s="1"/>
  <c r="L58" i="218" s="1" a="1"/>
  <c r="L58" i="218" s="1"/>
  <c r="O57" i="218"/>
  <c r="O57" i="218" a="1"/>
  <c r="I57" i="218"/>
  <c r="I57" i="218" a="1"/>
  <c r="H57" i="218"/>
  <c r="H57" i="218" a="1"/>
  <c r="G57" i="218" a="1"/>
  <c r="G57" i="218" s="1"/>
  <c r="D57" i="218"/>
  <c r="D57" i="218" a="1"/>
  <c r="I56" i="218"/>
  <c r="I56" i="218" a="1"/>
  <c r="H56" i="218" a="1"/>
  <c r="H56" i="218" s="1"/>
  <c r="G56" i="218" a="1"/>
  <c r="G56" i="218" s="1"/>
  <c r="D56" i="218" a="1"/>
  <c r="D56" i="218" s="1"/>
  <c r="R56" i="218" s="1" a="1"/>
  <c r="R56" i="218" s="1"/>
  <c r="P55" i="218" a="1"/>
  <c r="P55" i="218" s="1"/>
  <c r="L55" i="218" a="1"/>
  <c r="L55" i="218" s="1"/>
  <c r="I55" i="218"/>
  <c r="I55" i="218" a="1"/>
  <c r="H55" i="218" a="1"/>
  <c r="H55" i="218" s="1"/>
  <c r="G55" i="218"/>
  <c r="G55" i="218" a="1"/>
  <c r="D55" i="218" a="1"/>
  <c r="D55" i="218" s="1"/>
  <c r="M54" i="218" a="1"/>
  <c r="M54" i="218" s="1"/>
  <c r="K54" i="218" a="1"/>
  <c r="K54" i="218" s="1"/>
  <c r="I54" i="218" a="1"/>
  <c r="I54" i="218" s="1"/>
  <c r="H54" i="218" a="1"/>
  <c r="H54" i="218" s="1"/>
  <c r="G54" i="218" a="1"/>
  <c r="G54" i="218" s="1"/>
  <c r="D54" i="218" a="1"/>
  <c r="D54" i="218" s="1"/>
  <c r="M53" i="218"/>
  <c r="M53" i="218" a="1"/>
  <c r="K53" i="218"/>
  <c r="K53" i="218" a="1"/>
  <c r="I53" i="218"/>
  <c r="I53" i="218" a="1"/>
  <c r="H53" i="218"/>
  <c r="H53" i="218" a="1"/>
  <c r="G53" i="218"/>
  <c r="G53" i="218" a="1"/>
  <c r="D53" i="218"/>
  <c r="D53" i="218" a="1"/>
  <c r="M52" i="218" a="1"/>
  <c r="M52" i="218" s="1"/>
  <c r="K52" i="218" a="1"/>
  <c r="K52" i="218" s="1"/>
  <c r="I52" i="218" a="1"/>
  <c r="I52" i="218" s="1"/>
  <c r="H52" i="218"/>
  <c r="H52" i="218" a="1"/>
  <c r="G52" i="218"/>
  <c r="G52" i="218" a="1"/>
  <c r="D52" i="218" a="1"/>
  <c r="D52" i="218" s="1"/>
  <c r="M51" i="218"/>
  <c r="M51" i="218" a="1"/>
  <c r="K51" i="218" a="1"/>
  <c r="K51" i="218" s="1"/>
  <c r="I51" i="218" a="1"/>
  <c r="I51" i="218" s="1"/>
  <c r="H51" i="218"/>
  <c r="H51" i="218" a="1"/>
  <c r="G51" i="218" a="1"/>
  <c r="G51" i="218" s="1"/>
  <c r="D51" i="218" a="1"/>
  <c r="D51" i="218" s="1"/>
  <c r="M50" i="218" a="1"/>
  <c r="M50" i="218" s="1"/>
  <c r="K50" i="218"/>
  <c r="K50" i="218" a="1"/>
  <c r="I50" i="218" a="1"/>
  <c r="I50" i="218" s="1"/>
  <c r="H50" i="218"/>
  <c r="H50" i="218" a="1"/>
  <c r="G50" i="218"/>
  <c r="G50" i="218" a="1"/>
  <c r="D50" i="218"/>
  <c r="D50" i="218" a="1"/>
  <c r="M49" i="218" a="1"/>
  <c r="M49" i="218" s="1"/>
  <c r="K49" i="218"/>
  <c r="K49" i="218" a="1"/>
  <c r="I49" i="218" a="1"/>
  <c r="I49" i="218" s="1"/>
  <c r="H49" i="218" a="1"/>
  <c r="H49" i="218" s="1"/>
  <c r="G49" i="218"/>
  <c r="G49" i="218" a="1"/>
  <c r="D49" i="218" a="1"/>
  <c r="D49" i="218" s="1"/>
  <c r="M48" i="218"/>
  <c r="M48" i="218" a="1"/>
  <c r="K48" i="218"/>
  <c r="K48" i="218" a="1"/>
  <c r="I48" i="218"/>
  <c r="I48" i="218" a="1"/>
  <c r="H48" i="218"/>
  <c r="H48" i="218" a="1"/>
  <c r="G48" i="218"/>
  <c r="G48" i="218" a="1"/>
  <c r="D48" i="218"/>
  <c r="D48" i="218" a="1"/>
  <c r="I47" i="218" a="1"/>
  <c r="I47" i="218" s="1"/>
  <c r="H47" i="218"/>
  <c r="H47" i="218" a="1"/>
  <c r="G47" i="218" a="1"/>
  <c r="G47" i="218" s="1"/>
  <c r="D47" i="218" a="1"/>
  <c r="D47" i="218" s="1"/>
  <c r="I46" i="218"/>
  <c r="I46" i="218" a="1"/>
  <c r="H46" i="218"/>
  <c r="H46" i="218" a="1"/>
  <c r="G46" i="218" a="1"/>
  <c r="G46" i="218" s="1"/>
  <c r="D46" i="218"/>
  <c r="D46" i="218" a="1"/>
  <c r="I45" i="218"/>
  <c r="I45" i="218" a="1"/>
  <c r="H45" i="218" a="1"/>
  <c r="H45" i="218" s="1"/>
  <c r="G45" i="218" a="1"/>
  <c r="G45" i="218" s="1"/>
  <c r="D45" i="218"/>
  <c r="D45" i="218" a="1"/>
  <c r="I44" i="218"/>
  <c r="I44" i="218" a="1"/>
  <c r="H44" i="218" a="1"/>
  <c r="H44" i="218" s="1"/>
  <c r="G44" i="218"/>
  <c r="G44" i="218" a="1"/>
  <c r="D44" i="218"/>
  <c r="D44" i="218" a="1"/>
  <c r="I43" i="218" a="1"/>
  <c r="I43" i="218" s="1"/>
  <c r="H43" i="218" a="1"/>
  <c r="H43" i="218" s="1"/>
  <c r="G43" i="218" a="1"/>
  <c r="G43" i="218" s="1"/>
  <c r="D43" i="218" a="1"/>
  <c r="D43" i="218" s="1"/>
  <c r="I42" i="218" a="1"/>
  <c r="I42" i="218" s="1"/>
  <c r="H42" i="218"/>
  <c r="H42" i="218" a="1"/>
  <c r="G42" i="218"/>
  <c r="G42" i="218" a="1"/>
  <c r="D42" i="218"/>
  <c r="D42" i="218" a="1"/>
  <c r="I41" i="218" a="1"/>
  <c r="I41" i="218" s="1"/>
  <c r="H41" i="218" a="1"/>
  <c r="H41" i="218" s="1"/>
  <c r="G41" i="218"/>
  <c r="G41" i="218" a="1"/>
  <c r="D41" i="218" a="1"/>
  <c r="D41" i="218" s="1"/>
  <c r="M40" i="218"/>
  <c r="M40" i="218" a="1"/>
  <c r="K40" i="218"/>
  <c r="K40" i="218" a="1"/>
  <c r="I40" i="218"/>
  <c r="I40" i="218" a="1"/>
  <c r="H40" i="218"/>
  <c r="H40" i="218" a="1"/>
  <c r="G40" i="218"/>
  <c r="G40" i="218" a="1"/>
  <c r="D40" i="218"/>
  <c r="D40" i="218" a="1"/>
  <c r="M39" i="218" a="1"/>
  <c r="M39" i="218" s="1"/>
  <c r="K39" i="218" a="1"/>
  <c r="K39" i="218" s="1"/>
  <c r="I39" i="218" a="1"/>
  <c r="I39" i="218" s="1"/>
  <c r="H39" i="218"/>
  <c r="H39" i="218" a="1"/>
  <c r="G39" i="218" a="1"/>
  <c r="G39" i="218" s="1"/>
  <c r="D39" i="218" a="1"/>
  <c r="D39" i="218" s="1"/>
  <c r="M38" i="218"/>
  <c r="M38" i="218" a="1"/>
  <c r="K38" i="218" a="1"/>
  <c r="K38" i="218" s="1"/>
  <c r="I38" i="218"/>
  <c r="I38" i="218" a="1"/>
  <c r="H38" i="218"/>
  <c r="H38" i="218" a="1"/>
  <c r="G38" i="218" a="1"/>
  <c r="G38" i="218" s="1"/>
  <c r="D38" i="218"/>
  <c r="D38" i="218" a="1"/>
  <c r="M37" i="218"/>
  <c r="M37" i="218" a="1"/>
  <c r="K37" i="218" a="1"/>
  <c r="K37" i="218" s="1"/>
  <c r="I37" i="218"/>
  <c r="I37" i="218" a="1"/>
  <c r="H37" i="218" a="1"/>
  <c r="H37" i="218" s="1"/>
  <c r="G37" i="218" a="1"/>
  <c r="G37" i="218" s="1"/>
  <c r="D37" i="218"/>
  <c r="D37" i="218" a="1"/>
  <c r="M36" i="218"/>
  <c r="M36" i="218" a="1"/>
  <c r="K36" i="218"/>
  <c r="K36" i="218" a="1"/>
  <c r="I36" i="218"/>
  <c r="I36" i="218" a="1"/>
  <c r="H36" i="218" a="1"/>
  <c r="H36" i="218" s="1"/>
  <c r="G36" i="218"/>
  <c r="G36" i="218" a="1"/>
  <c r="D36" i="218"/>
  <c r="D36" i="218" a="1"/>
  <c r="M35" i="218" a="1"/>
  <c r="M35" i="218" s="1"/>
  <c r="K35" i="218" a="1"/>
  <c r="K35" i="218" s="1"/>
  <c r="I35" i="218" a="1"/>
  <c r="I35" i="218" s="1"/>
  <c r="H35" i="218" a="1"/>
  <c r="H35" i="218" s="1"/>
  <c r="G35" i="218" a="1"/>
  <c r="G35" i="218" s="1"/>
  <c r="D35" i="218" a="1"/>
  <c r="D35" i="218" s="1"/>
  <c r="M34" i="218" a="1"/>
  <c r="M34" i="218" s="1"/>
  <c r="K34" i="218"/>
  <c r="K34" i="218" a="1"/>
  <c r="I34" i="218"/>
  <c r="I34" i="218" a="1"/>
  <c r="H34" i="218"/>
  <c r="H34" i="218" a="1"/>
  <c r="G34" i="218" a="1"/>
  <c r="G34" i="218" s="1"/>
  <c r="D34" i="218" a="1"/>
  <c r="D34" i="218" s="1"/>
  <c r="G33" i="218"/>
  <c r="G33" i="218" a="1"/>
  <c r="F33" i="218" a="1"/>
  <c r="F33" i="218" s="1"/>
  <c r="D33" i="218"/>
  <c r="D33" i="218" a="1"/>
  <c r="G32" i="218" a="1"/>
  <c r="G32" i="218" s="1"/>
  <c r="F32" i="218"/>
  <c r="F32" i="218" a="1"/>
  <c r="D32" i="218"/>
  <c r="D32" i="218" a="1"/>
  <c r="G31" i="218" a="1"/>
  <c r="G31" i="218" s="1"/>
  <c r="F31" i="218" a="1"/>
  <c r="F31" i="218" s="1"/>
  <c r="D31" i="218" a="1"/>
  <c r="D31" i="218" s="1"/>
  <c r="G30" i="218" a="1"/>
  <c r="G30" i="218" s="1"/>
  <c r="F30" i="218" a="1"/>
  <c r="F30" i="218" s="1"/>
  <c r="D30" i="218" a="1"/>
  <c r="D30" i="218" s="1"/>
  <c r="G29" i="218" a="1"/>
  <c r="G29" i="218" s="1"/>
  <c r="F29" i="218" a="1"/>
  <c r="F29" i="218" s="1"/>
  <c r="D29" i="218"/>
  <c r="D29" i="218" a="1"/>
  <c r="G28" i="218" a="1"/>
  <c r="G28" i="218" s="1"/>
  <c r="F28" i="218" a="1"/>
  <c r="F28" i="218" s="1"/>
  <c r="D28" i="218"/>
  <c r="D28" i="218" a="1"/>
  <c r="G27" i="218" a="1"/>
  <c r="G27" i="218" s="1"/>
  <c r="F27" i="218"/>
  <c r="F27" i="218" a="1"/>
  <c r="D27" i="218"/>
  <c r="D27" i="218" a="1"/>
  <c r="G26" i="218" a="1"/>
  <c r="G26" i="218" s="1"/>
  <c r="F26" i="218"/>
  <c r="F26" i="218" a="1"/>
  <c r="D26" i="218" a="1"/>
  <c r="D26" i="218" s="1"/>
  <c r="M26" i="218" s="1" a="1"/>
  <c r="M26" i="218" s="1"/>
  <c r="G25" i="218"/>
  <c r="G25" i="218" a="1"/>
  <c r="F25" i="218"/>
  <c r="F25" i="218" a="1"/>
  <c r="D25" i="218" a="1"/>
  <c r="D25" i="218" s="1"/>
  <c r="I25" i="218" s="1" a="1"/>
  <c r="I25" i="218" s="1"/>
  <c r="G24" i="218"/>
  <c r="G24" i="218" a="1"/>
  <c r="F24" i="218" a="1"/>
  <c r="F24" i="218" s="1"/>
  <c r="D24" i="218" a="1"/>
  <c r="D24" i="218" s="1"/>
  <c r="G23" i="218"/>
  <c r="G23" i="218" a="1"/>
  <c r="F23" i="218" a="1"/>
  <c r="F23" i="218" s="1"/>
  <c r="D23" i="218" a="1"/>
  <c r="D23" i="218" s="1"/>
  <c r="G22" i="218" a="1"/>
  <c r="G22" i="218" s="1"/>
  <c r="F22" i="218" a="1"/>
  <c r="F22" i="218" s="1"/>
  <c r="D22" i="218" a="1"/>
  <c r="D22" i="218" s="1"/>
  <c r="K21" i="218" a="1"/>
  <c r="K21" i="218" s="1"/>
  <c r="G21" i="218" a="1"/>
  <c r="G21" i="218" s="1"/>
  <c r="F21" i="218" a="1"/>
  <c r="F21" i="218" s="1"/>
  <c r="D21" i="218"/>
  <c r="D21" i="218" a="1"/>
  <c r="H20" i="218" a="1"/>
  <c r="H20" i="218" s="1"/>
  <c r="G20" i="218" a="1"/>
  <c r="G20" i="218" s="1"/>
  <c r="F20" i="218" a="1"/>
  <c r="F20" i="218" s="1"/>
  <c r="D20" i="218"/>
  <c r="D20" i="218" a="1"/>
  <c r="H19" i="218" a="1"/>
  <c r="H19" i="218" s="1"/>
  <c r="G19" i="218" a="1"/>
  <c r="G19" i="218" s="1"/>
  <c r="F19" i="218"/>
  <c r="F19" i="218" a="1"/>
  <c r="D19" i="218"/>
  <c r="K19" i="218" s="1" a="1"/>
  <c r="K19" i="218" s="1"/>
  <c r="D19" i="218" a="1"/>
  <c r="G18" i="218" a="1"/>
  <c r="G18" i="218" s="1"/>
  <c r="F18" i="218"/>
  <c r="F18" i="218" a="1"/>
  <c r="D18" i="218" a="1"/>
  <c r="D18" i="218" s="1"/>
  <c r="G17" i="218"/>
  <c r="G17" i="218" a="1"/>
  <c r="F17" i="218"/>
  <c r="F17" i="218" a="1"/>
  <c r="D17" i="218" a="1"/>
  <c r="D17" i="218" s="1"/>
  <c r="I17" i="218" s="1" a="1"/>
  <c r="I17" i="218" s="1"/>
  <c r="M16" i="218" a="1"/>
  <c r="M16" i="218" s="1"/>
  <c r="G16" i="218"/>
  <c r="G16" i="218" a="1"/>
  <c r="F16" i="218" a="1"/>
  <c r="F16" i="218" s="1"/>
  <c r="D16" i="218" a="1"/>
  <c r="D16" i="218" s="1"/>
  <c r="N15" i="218" a="1"/>
  <c r="N15" i="218" s="1"/>
  <c r="M15" i="218" a="1"/>
  <c r="M15" i="218" s="1"/>
  <c r="I15" i="218" a="1"/>
  <c r="I15" i="218" s="1"/>
  <c r="G15" i="218"/>
  <c r="G15" i="218" a="1"/>
  <c r="F15" i="218" a="1"/>
  <c r="F15" i="218" s="1"/>
  <c r="D15" i="218" a="1"/>
  <c r="D15" i="218" s="1"/>
  <c r="N14" i="218" a="1"/>
  <c r="N14" i="218" s="1"/>
  <c r="L14" i="218" a="1"/>
  <c r="L14" i="218" s="1"/>
  <c r="K14" i="218" a="1"/>
  <c r="K14" i="218" s="1"/>
  <c r="H14" i="218" a="1"/>
  <c r="H14" i="218" s="1"/>
  <c r="G14" i="218"/>
  <c r="G14" i="218" a="1"/>
  <c r="F14" i="218" a="1"/>
  <c r="F14" i="218" s="1"/>
  <c r="D14" i="218" a="1"/>
  <c r="D14" i="218" s="1"/>
  <c r="N13" i="218" a="1"/>
  <c r="N13" i="218" s="1"/>
  <c r="K13" i="218" a="1"/>
  <c r="K13" i="218" s="1"/>
  <c r="G13" i="218" a="1"/>
  <c r="G13" i="218" s="1"/>
  <c r="F13" i="218"/>
  <c r="F13" i="218" a="1"/>
  <c r="D13" i="218"/>
  <c r="D13" i="218" a="1"/>
  <c r="B9" i="218"/>
  <c r="N21" i="218" s="1" a="1"/>
  <c r="N21" i="218" s="1"/>
  <c r="B7" i="218"/>
  <c r="H29" i="217"/>
  <c r="I29" i="217" s="1"/>
  <c r="G29" i="217"/>
  <c r="F29" i="217"/>
  <c r="E29" i="217"/>
  <c r="D29" i="217"/>
  <c r="H28" i="217"/>
  <c r="G28" i="217"/>
  <c r="F13" i="217" s="1"/>
  <c r="F28" i="217"/>
  <c r="E28" i="217"/>
  <c r="D28" i="217"/>
  <c r="H27" i="217"/>
  <c r="G27" i="217"/>
  <c r="I27" i="217" s="1"/>
  <c r="F27" i="217"/>
  <c r="E13" i="217" s="1"/>
  <c r="E27" i="217"/>
  <c r="D27" i="217"/>
  <c r="I26" i="217"/>
  <c r="H26" i="217"/>
  <c r="G26" i="217"/>
  <c r="F26" i="217"/>
  <c r="E26" i="217"/>
  <c r="D26" i="217"/>
  <c r="H25" i="217"/>
  <c r="G25" i="217"/>
  <c r="I25" i="217" s="1"/>
  <c r="F25" i="217"/>
  <c r="E25" i="217"/>
  <c r="D25" i="217"/>
  <c r="H24" i="217"/>
  <c r="G24" i="217"/>
  <c r="I24" i="217" s="1"/>
  <c r="F24" i="217"/>
  <c r="E24" i="217"/>
  <c r="D24" i="217"/>
  <c r="H23" i="217"/>
  <c r="I23" i="217" s="1"/>
  <c r="G23" i="217"/>
  <c r="F23" i="217"/>
  <c r="E23" i="217"/>
  <c r="D23" i="217"/>
  <c r="I22" i="217"/>
  <c r="H22" i="217"/>
  <c r="G22" i="217"/>
  <c r="F22" i="217"/>
  <c r="E22" i="217"/>
  <c r="D22" i="217"/>
  <c r="H21" i="217"/>
  <c r="I21" i="217" s="1"/>
  <c r="G21" i="217"/>
  <c r="F21" i="217"/>
  <c r="E21" i="217"/>
  <c r="D21" i="217"/>
  <c r="H20" i="217"/>
  <c r="G20" i="217"/>
  <c r="I20" i="217" s="1"/>
  <c r="F20" i="217"/>
  <c r="E20" i="217"/>
  <c r="D20" i="217"/>
  <c r="H19" i="217"/>
  <c r="G19" i="217"/>
  <c r="I19" i="217" s="1"/>
  <c r="F19" i="217"/>
  <c r="E11" i="217" s="1"/>
  <c r="E19" i="217"/>
  <c r="D19" i="217"/>
  <c r="I18" i="217"/>
  <c r="H18" i="217"/>
  <c r="G18" i="217"/>
  <c r="F18" i="217"/>
  <c r="E18" i="217"/>
  <c r="D18" i="217"/>
  <c r="H17" i="217"/>
  <c r="G11" i="217" s="1"/>
  <c r="G17" i="217"/>
  <c r="I17" i="217" s="1"/>
  <c r="H11" i="217" s="1"/>
  <c r="F17" i="217"/>
  <c r="E17" i="217"/>
  <c r="D17" i="217"/>
  <c r="G12" i="217"/>
  <c r="E12" i="217"/>
  <c r="B7" i="217"/>
  <c r="G13" i="217" s="1"/>
  <c r="S207" i="216"/>
  <c r="R207" i="216"/>
  <c r="Q207" i="216"/>
  <c r="P207" i="216"/>
  <c r="O207" i="216"/>
  <c r="N207" i="216"/>
  <c r="M207" i="216"/>
  <c r="L207" i="216"/>
  <c r="K207" i="216"/>
  <c r="J207" i="216"/>
  <c r="I207" i="216"/>
  <c r="H207" i="216"/>
  <c r="G207" i="216"/>
  <c r="S206" i="216"/>
  <c r="R206" i="216"/>
  <c r="Q206" i="216"/>
  <c r="P206" i="216"/>
  <c r="O206" i="216"/>
  <c r="N206" i="216"/>
  <c r="M206" i="216"/>
  <c r="L206" i="216"/>
  <c r="K206" i="216"/>
  <c r="J206" i="216"/>
  <c r="I206" i="216"/>
  <c r="H206" i="216"/>
  <c r="G206" i="216"/>
  <c r="S205" i="216"/>
  <c r="R205" i="216"/>
  <c r="Q205" i="216"/>
  <c r="P205" i="216"/>
  <c r="O205" i="216"/>
  <c r="N205" i="216"/>
  <c r="M205" i="216"/>
  <c r="L205" i="216"/>
  <c r="J205" i="216"/>
  <c r="I205" i="216"/>
  <c r="H205" i="216"/>
  <c r="G205" i="216"/>
  <c r="K205" i="216" s="1"/>
  <c r="S204" i="216"/>
  <c r="R204" i="216"/>
  <c r="Q204" i="216"/>
  <c r="P204" i="216"/>
  <c r="O204" i="216"/>
  <c r="N204" i="216"/>
  <c r="M204" i="216"/>
  <c r="L204" i="216"/>
  <c r="J204" i="216"/>
  <c r="I204" i="216"/>
  <c r="H204" i="216"/>
  <c r="G204" i="216"/>
  <c r="K204" i="216" s="1"/>
  <c r="S203" i="216"/>
  <c r="R203" i="216"/>
  <c r="Q203" i="216"/>
  <c r="P203" i="216"/>
  <c r="O203" i="216"/>
  <c r="N203" i="216"/>
  <c r="M203" i="216"/>
  <c r="L203" i="216"/>
  <c r="K203" i="216"/>
  <c r="J203" i="216"/>
  <c r="I203" i="216"/>
  <c r="H203" i="216"/>
  <c r="G203" i="216"/>
  <c r="S202" i="216"/>
  <c r="R202" i="216"/>
  <c r="Q202" i="216"/>
  <c r="P202" i="216"/>
  <c r="O202" i="216"/>
  <c r="N202" i="216"/>
  <c r="M202" i="216"/>
  <c r="L202" i="216"/>
  <c r="K202" i="216"/>
  <c r="J202" i="216"/>
  <c r="I202" i="216"/>
  <c r="H202" i="216"/>
  <c r="G202" i="216"/>
  <c r="S201" i="216"/>
  <c r="R201" i="216"/>
  <c r="Q201" i="216"/>
  <c r="P201" i="216"/>
  <c r="O201" i="216"/>
  <c r="N201" i="216"/>
  <c r="M201" i="216"/>
  <c r="L201" i="216"/>
  <c r="J201" i="216"/>
  <c r="I201" i="216"/>
  <c r="H201" i="216"/>
  <c r="G201" i="216"/>
  <c r="K201" i="216" s="1"/>
  <c r="S200" i="216"/>
  <c r="R200" i="216"/>
  <c r="Q200" i="216"/>
  <c r="P200" i="216"/>
  <c r="O200" i="216"/>
  <c r="N200" i="216"/>
  <c r="M200" i="216"/>
  <c r="L200" i="216"/>
  <c r="J200" i="216"/>
  <c r="I200" i="216"/>
  <c r="H200" i="216"/>
  <c r="G200" i="216"/>
  <c r="K200" i="216" s="1"/>
  <c r="S199" i="216"/>
  <c r="R199" i="216"/>
  <c r="Q199" i="216"/>
  <c r="P199" i="216"/>
  <c r="O199" i="216"/>
  <c r="N199" i="216"/>
  <c r="M199" i="216"/>
  <c r="L199" i="216"/>
  <c r="K199" i="216"/>
  <c r="J199" i="216"/>
  <c r="I199" i="216"/>
  <c r="H199" i="216"/>
  <c r="G199" i="216"/>
  <c r="S198" i="216"/>
  <c r="R198" i="216"/>
  <c r="Q198" i="216"/>
  <c r="P198" i="216"/>
  <c r="O198" i="216"/>
  <c r="N198" i="216"/>
  <c r="M198" i="216"/>
  <c r="L198" i="216"/>
  <c r="K198" i="216"/>
  <c r="J198" i="216"/>
  <c r="I198" i="216"/>
  <c r="H198" i="216"/>
  <c r="G198" i="216"/>
  <c r="S197" i="216"/>
  <c r="R197" i="216"/>
  <c r="Q197" i="216"/>
  <c r="P197" i="216"/>
  <c r="O197" i="216"/>
  <c r="N197" i="216"/>
  <c r="M197" i="216"/>
  <c r="L197" i="216"/>
  <c r="J197" i="216"/>
  <c r="I197" i="216"/>
  <c r="H197" i="216"/>
  <c r="G197" i="216"/>
  <c r="K197" i="216" s="1"/>
  <c r="S196" i="216"/>
  <c r="R196" i="216"/>
  <c r="Q196" i="216"/>
  <c r="P196" i="216"/>
  <c r="O196" i="216"/>
  <c r="N196" i="216"/>
  <c r="M196" i="216"/>
  <c r="L196" i="216"/>
  <c r="J196" i="216"/>
  <c r="I196" i="216"/>
  <c r="H196" i="216"/>
  <c r="G196" i="216"/>
  <c r="K196" i="216" s="1"/>
  <c r="S195" i="216"/>
  <c r="R195" i="216"/>
  <c r="Q195" i="216"/>
  <c r="P195" i="216"/>
  <c r="O195" i="216"/>
  <c r="N195" i="216"/>
  <c r="M195" i="216"/>
  <c r="L195" i="216"/>
  <c r="K195" i="216"/>
  <c r="J195" i="216"/>
  <c r="I195" i="216"/>
  <c r="H195" i="216"/>
  <c r="G195" i="216"/>
  <c r="S194" i="216"/>
  <c r="R194" i="216"/>
  <c r="Q194" i="216"/>
  <c r="P194" i="216"/>
  <c r="O194" i="216"/>
  <c r="N194" i="216"/>
  <c r="M194" i="216"/>
  <c r="L194" i="216"/>
  <c r="K194" i="216"/>
  <c r="J194" i="216"/>
  <c r="I194" i="216"/>
  <c r="H194" i="216"/>
  <c r="G194" i="216"/>
  <c r="S193" i="216"/>
  <c r="R193" i="216"/>
  <c r="Q193" i="216"/>
  <c r="P193" i="216"/>
  <c r="O193" i="216"/>
  <c r="N193" i="216"/>
  <c r="M193" i="216"/>
  <c r="L193" i="216"/>
  <c r="J193" i="216"/>
  <c r="I193" i="216"/>
  <c r="H193" i="216"/>
  <c r="G193" i="216"/>
  <c r="K193" i="216" s="1"/>
  <c r="S192" i="216"/>
  <c r="R192" i="216"/>
  <c r="Q192" i="216"/>
  <c r="P192" i="216"/>
  <c r="O192" i="216"/>
  <c r="N192" i="216"/>
  <c r="M192" i="216"/>
  <c r="L192" i="216"/>
  <c r="J192" i="216"/>
  <c r="I192" i="216"/>
  <c r="H192" i="216"/>
  <c r="G192" i="216"/>
  <c r="K192" i="216" s="1"/>
  <c r="S191" i="216"/>
  <c r="R191" i="216"/>
  <c r="Q191" i="216"/>
  <c r="P191" i="216"/>
  <c r="O191" i="216"/>
  <c r="N191" i="216"/>
  <c r="M191" i="216"/>
  <c r="L191" i="216"/>
  <c r="K191" i="216"/>
  <c r="J191" i="216"/>
  <c r="I191" i="216"/>
  <c r="H191" i="216"/>
  <c r="G191" i="216"/>
  <c r="S190" i="216"/>
  <c r="R190" i="216"/>
  <c r="Q190" i="216"/>
  <c r="P190" i="216"/>
  <c r="O190" i="216"/>
  <c r="N190" i="216"/>
  <c r="M190" i="216"/>
  <c r="L190" i="216"/>
  <c r="K190" i="216"/>
  <c r="J190" i="216"/>
  <c r="I190" i="216"/>
  <c r="H190" i="216"/>
  <c r="G190" i="216"/>
  <c r="S189" i="216"/>
  <c r="R189" i="216"/>
  <c r="Q189" i="216"/>
  <c r="P189" i="216"/>
  <c r="O189" i="216"/>
  <c r="N189" i="216"/>
  <c r="M189" i="216"/>
  <c r="L189" i="216"/>
  <c r="J189" i="216"/>
  <c r="I189" i="216"/>
  <c r="H189" i="216"/>
  <c r="G189" i="216"/>
  <c r="K189" i="216" s="1"/>
  <c r="S188" i="216"/>
  <c r="R188" i="216"/>
  <c r="Q188" i="216"/>
  <c r="P188" i="216"/>
  <c r="O188" i="216"/>
  <c r="N188" i="216"/>
  <c r="M188" i="216"/>
  <c r="L188" i="216"/>
  <c r="J188" i="216"/>
  <c r="I188" i="216"/>
  <c r="H188" i="216"/>
  <c r="G188" i="216"/>
  <c r="K188" i="216" s="1"/>
  <c r="S187" i="216"/>
  <c r="R187" i="216"/>
  <c r="Q187" i="216"/>
  <c r="P187" i="216"/>
  <c r="O187" i="216"/>
  <c r="N187" i="216"/>
  <c r="M187" i="216"/>
  <c r="L187" i="216"/>
  <c r="K187" i="216"/>
  <c r="J187" i="216"/>
  <c r="I187" i="216"/>
  <c r="H187" i="216"/>
  <c r="G187" i="216"/>
  <c r="S186" i="216"/>
  <c r="R186" i="216"/>
  <c r="Q186" i="216"/>
  <c r="P186" i="216"/>
  <c r="O186" i="216"/>
  <c r="N186" i="216"/>
  <c r="M186" i="216"/>
  <c r="L186" i="216"/>
  <c r="K186" i="216"/>
  <c r="J186" i="216"/>
  <c r="I186" i="216"/>
  <c r="H186" i="216"/>
  <c r="G186" i="216"/>
  <c r="S185" i="216"/>
  <c r="R185" i="216"/>
  <c r="Q185" i="216"/>
  <c r="P185" i="216"/>
  <c r="O185" i="216"/>
  <c r="N185" i="216"/>
  <c r="M185" i="216"/>
  <c r="L185" i="216"/>
  <c r="J185" i="216"/>
  <c r="I185" i="216"/>
  <c r="H185" i="216"/>
  <c r="G185" i="216"/>
  <c r="K185" i="216" s="1"/>
  <c r="S184" i="216"/>
  <c r="R184" i="216"/>
  <c r="Q184" i="216"/>
  <c r="P184" i="216"/>
  <c r="O184" i="216"/>
  <c r="N184" i="216"/>
  <c r="M184" i="216"/>
  <c r="L184" i="216"/>
  <c r="J184" i="216"/>
  <c r="I184" i="216"/>
  <c r="H184" i="216"/>
  <c r="G184" i="216"/>
  <c r="K184" i="216" s="1"/>
  <c r="S183" i="216"/>
  <c r="R183" i="216"/>
  <c r="Q183" i="216"/>
  <c r="P183" i="216"/>
  <c r="O183" i="216"/>
  <c r="N183" i="216"/>
  <c r="M183" i="216"/>
  <c r="L183" i="216"/>
  <c r="K183" i="216"/>
  <c r="J183" i="216"/>
  <c r="I183" i="216"/>
  <c r="H183" i="216"/>
  <c r="G183" i="216"/>
  <c r="S182" i="216"/>
  <c r="R182" i="216"/>
  <c r="Q182" i="216"/>
  <c r="P182" i="216"/>
  <c r="O182" i="216"/>
  <c r="N182" i="216"/>
  <c r="M182" i="216"/>
  <c r="L182" i="216"/>
  <c r="K182" i="216"/>
  <c r="J182" i="216"/>
  <c r="I182" i="216"/>
  <c r="H182" i="216"/>
  <c r="G182" i="216"/>
  <c r="S181" i="216"/>
  <c r="R181" i="216"/>
  <c r="Q181" i="216"/>
  <c r="P181" i="216"/>
  <c r="O181" i="216"/>
  <c r="N181" i="216"/>
  <c r="M181" i="216"/>
  <c r="L181" i="216"/>
  <c r="J181" i="216"/>
  <c r="I181" i="216"/>
  <c r="H181" i="216"/>
  <c r="G181" i="216"/>
  <c r="K181" i="216" s="1"/>
  <c r="S180" i="216"/>
  <c r="R180" i="216"/>
  <c r="Q180" i="216"/>
  <c r="P180" i="216"/>
  <c r="O180" i="216"/>
  <c r="N180" i="216"/>
  <c r="M180" i="216"/>
  <c r="L180" i="216"/>
  <c r="J180" i="216"/>
  <c r="I180" i="216"/>
  <c r="H180" i="216"/>
  <c r="G180" i="216"/>
  <c r="K180" i="216" s="1"/>
  <c r="S179" i="216"/>
  <c r="R179" i="216"/>
  <c r="Q179" i="216"/>
  <c r="P179" i="216"/>
  <c r="O179" i="216"/>
  <c r="N179" i="216"/>
  <c r="M179" i="216"/>
  <c r="L179" i="216"/>
  <c r="K179" i="216"/>
  <c r="J179" i="216"/>
  <c r="I179" i="216"/>
  <c r="H179" i="216"/>
  <c r="G179" i="216"/>
  <c r="S178" i="216"/>
  <c r="R178" i="216"/>
  <c r="Q178" i="216"/>
  <c r="P178" i="216"/>
  <c r="O178" i="216"/>
  <c r="N178" i="216"/>
  <c r="M178" i="216"/>
  <c r="L178" i="216"/>
  <c r="K178" i="216"/>
  <c r="J178" i="216"/>
  <c r="I178" i="216"/>
  <c r="H178" i="216"/>
  <c r="G178" i="216"/>
  <c r="S177" i="216"/>
  <c r="R177" i="216"/>
  <c r="Q177" i="216"/>
  <c r="P177" i="216"/>
  <c r="O177" i="216"/>
  <c r="N177" i="216"/>
  <c r="M177" i="216"/>
  <c r="L177" i="216"/>
  <c r="J177" i="216"/>
  <c r="I177" i="216"/>
  <c r="H177" i="216"/>
  <c r="G177" i="216"/>
  <c r="K177" i="216" s="1"/>
  <c r="S176" i="216"/>
  <c r="R176" i="216"/>
  <c r="Q176" i="216"/>
  <c r="P176" i="216"/>
  <c r="O176" i="216"/>
  <c r="N176" i="216"/>
  <c r="M176" i="216"/>
  <c r="L176" i="216"/>
  <c r="J176" i="216"/>
  <c r="I176" i="216"/>
  <c r="H176" i="216"/>
  <c r="G176" i="216"/>
  <c r="K176" i="216" s="1"/>
  <c r="S175" i="216"/>
  <c r="R175" i="216"/>
  <c r="Q175" i="216"/>
  <c r="P175" i="216"/>
  <c r="O175" i="216"/>
  <c r="N175" i="216"/>
  <c r="M175" i="216"/>
  <c r="L175" i="216"/>
  <c r="K175" i="216"/>
  <c r="J175" i="216"/>
  <c r="I175" i="216"/>
  <c r="H175" i="216"/>
  <c r="G175" i="216"/>
  <c r="S174" i="216"/>
  <c r="R174" i="216"/>
  <c r="Q174" i="216"/>
  <c r="P174" i="216"/>
  <c r="O174" i="216"/>
  <c r="N174" i="216"/>
  <c r="M174" i="216"/>
  <c r="L174" i="216"/>
  <c r="K174" i="216"/>
  <c r="J174" i="216"/>
  <c r="I174" i="216"/>
  <c r="H174" i="216"/>
  <c r="G174" i="216"/>
  <c r="S173" i="216"/>
  <c r="R173" i="216"/>
  <c r="Q173" i="216"/>
  <c r="P173" i="216"/>
  <c r="O173" i="216"/>
  <c r="N173" i="216"/>
  <c r="M173" i="216"/>
  <c r="L173" i="216"/>
  <c r="J173" i="216"/>
  <c r="I173" i="216"/>
  <c r="H173" i="216"/>
  <c r="G173" i="216"/>
  <c r="K173" i="216" s="1"/>
  <c r="S172" i="216"/>
  <c r="R172" i="216"/>
  <c r="Q172" i="216"/>
  <c r="P172" i="216"/>
  <c r="O172" i="216"/>
  <c r="N172" i="216"/>
  <c r="M172" i="216"/>
  <c r="L172" i="216"/>
  <c r="J172" i="216"/>
  <c r="I172" i="216"/>
  <c r="H172" i="216"/>
  <c r="G172" i="216"/>
  <c r="K172" i="216" s="1"/>
  <c r="S171" i="216"/>
  <c r="R171" i="216"/>
  <c r="Q171" i="216"/>
  <c r="P171" i="216"/>
  <c r="O171" i="216"/>
  <c r="N171" i="216"/>
  <c r="M171" i="216"/>
  <c r="L171" i="216"/>
  <c r="K171" i="216"/>
  <c r="J171" i="216"/>
  <c r="I171" i="216"/>
  <c r="H171" i="216"/>
  <c r="G171" i="216"/>
  <c r="S170" i="216"/>
  <c r="R170" i="216"/>
  <c r="Q170" i="216"/>
  <c r="P170" i="216"/>
  <c r="O170" i="216"/>
  <c r="N170" i="216"/>
  <c r="M170" i="216"/>
  <c r="L170" i="216"/>
  <c r="K170" i="216"/>
  <c r="J170" i="216"/>
  <c r="I170" i="216"/>
  <c r="H170" i="216"/>
  <c r="G170" i="216"/>
  <c r="S169" i="216"/>
  <c r="R169" i="216"/>
  <c r="Q169" i="216"/>
  <c r="P169" i="216"/>
  <c r="O169" i="216"/>
  <c r="N169" i="216"/>
  <c r="M169" i="216"/>
  <c r="L169" i="216"/>
  <c r="J169" i="216"/>
  <c r="I169" i="216"/>
  <c r="H169" i="216"/>
  <c r="G169" i="216"/>
  <c r="K169" i="216" s="1"/>
  <c r="S168" i="216"/>
  <c r="R168" i="216"/>
  <c r="Q168" i="216"/>
  <c r="P168" i="216"/>
  <c r="O168" i="216"/>
  <c r="N168" i="216"/>
  <c r="M168" i="216"/>
  <c r="L168" i="216"/>
  <c r="J168" i="216"/>
  <c r="I168" i="216"/>
  <c r="H168" i="216"/>
  <c r="G168" i="216"/>
  <c r="K168" i="216" s="1"/>
  <c r="S167" i="216"/>
  <c r="R167" i="216"/>
  <c r="Q167" i="216"/>
  <c r="P167" i="216"/>
  <c r="O167" i="216"/>
  <c r="N167" i="216"/>
  <c r="M167" i="216"/>
  <c r="L167" i="216"/>
  <c r="K167" i="216"/>
  <c r="J167" i="216"/>
  <c r="I167" i="216"/>
  <c r="H167" i="216"/>
  <c r="G167" i="216"/>
  <c r="S166" i="216"/>
  <c r="R166" i="216"/>
  <c r="Q166" i="216"/>
  <c r="P166" i="216"/>
  <c r="O166" i="216"/>
  <c r="N166" i="216"/>
  <c r="M166" i="216"/>
  <c r="L166" i="216"/>
  <c r="K166" i="216"/>
  <c r="J166" i="216"/>
  <c r="I166" i="216"/>
  <c r="H166" i="216"/>
  <c r="G166" i="216"/>
  <c r="S165" i="216"/>
  <c r="R165" i="216"/>
  <c r="Q165" i="216"/>
  <c r="P165" i="216"/>
  <c r="O165" i="216"/>
  <c r="N165" i="216"/>
  <c r="M165" i="216"/>
  <c r="L165" i="216"/>
  <c r="J165" i="216"/>
  <c r="I165" i="216"/>
  <c r="H165" i="216"/>
  <c r="G165" i="216"/>
  <c r="K165" i="216" s="1"/>
  <c r="S164" i="216"/>
  <c r="R164" i="216"/>
  <c r="Q164" i="216"/>
  <c r="P164" i="216"/>
  <c r="O164" i="216"/>
  <c r="N164" i="216"/>
  <c r="M164" i="216"/>
  <c r="L164" i="216"/>
  <c r="J164" i="216"/>
  <c r="I164" i="216"/>
  <c r="H164" i="216"/>
  <c r="G164" i="216"/>
  <c r="K164" i="216" s="1"/>
  <c r="S163" i="216"/>
  <c r="R163" i="216"/>
  <c r="Q163" i="216"/>
  <c r="P163" i="216"/>
  <c r="O163" i="216"/>
  <c r="N163" i="216"/>
  <c r="M163" i="216"/>
  <c r="L163" i="216"/>
  <c r="K163" i="216"/>
  <c r="J163" i="216"/>
  <c r="I163" i="216"/>
  <c r="H163" i="216"/>
  <c r="G163" i="216"/>
  <c r="S162" i="216"/>
  <c r="R162" i="216"/>
  <c r="Q162" i="216"/>
  <c r="P162" i="216"/>
  <c r="O162" i="216"/>
  <c r="N162" i="216"/>
  <c r="M162" i="216"/>
  <c r="L162" i="216"/>
  <c r="K162" i="216"/>
  <c r="J162" i="216"/>
  <c r="I162" i="216"/>
  <c r="H162" i="216"/>
  <c r="G162" i="216"/>
  <c r="S161" i="216"/>
  <c r="R161" i="216"/>
  <c r="Q161" i="216"/>
  <c r="P161" i="216"/>
  <c r="O161" i="216"/>
  <c r="N161" i="216"/>
  <c r="M161" i="216"/>
  <c r="L161" i="216"/>
  <c r="J161" i="216"/>
  <c r="I161" i="216"/>
  <c r="H161" i="216"/>
  <c r="G161" i="216"/>
  <c r="K161" i="216" s="1"/>
  <c r="S160" i="216"/>
  <c r="R160" i="216"/>
  <c r="Q160" i="216"/>
  <c r="P160" i="216"/>
  <c r="O160" i="216"/>
  <c r="N160" i="216"/>
  <c r="M160" i="216"/>
  <c r="L160" i="216"/>
  <c r="J160" i="216"/>
  <c r="I160" i="216"/>
  <c r="H160" i="216"/>
  <c r="G160" i="216"/>
  <c r="K160" i="216" s="1"/>
  <c r="S159" i="216"/>
  <c r="Q159" i="216"/>
  <c r="O159" i="216"/>
  <c r="M159" i="216"/>
  <c r="R159" i="216" s="1"/>
  <c r="K159" i="216"/>
  <c r="G159" i="216"/>
  <c r="O158" i="216"/>
  <c r="S158" i="216" s="1"/>
  <c r="M158" i="216"/>
  <c r="R158" i="216" s="1"/>
  <c r="K158" i="216"/>
  <c r="G158" i="216"/>
  <c r="O157" i="216"/>
  <c r="S157" i="216" s="1"/>
  <c r="M157" i="216"/>
  <c r="K157" i="216"/>
  <c r="G157" i="216"/>
  <c r="O156" i="216"/>
  <c r="R156" i="216" s="1"/>
  <c r="M156" i="216"/>
  <c r="S156" i="216" s="1"/>
  <c r="K156" i="216"/>
  <c r="G156" i="216"/>
  <c r="O155" i="216"/>
  <c r="S155" i="216" s="1"/>
  <c r="M155" i="216"/>
  <c r="K155" i="216"/>
  <c r="G155" i="216"/>
  <c r="R154" i="216"/>
  <c r="P154" i="216"/>
  <c r="O154" i="216"/>
  <c r="M154" i="216"/>
  <c r="S154" i="216" s="1"/>
  <c r="K154" i="216"/>
  <c r="G154" i="216"/>
  <c r="S153" i="216"/>
  <c r="Q153" i="216"/>
  <c r="O153" i="216"/>
  <c r="P153" i="216" s="1"/>
  <c r="M153" i="216"/>
  <c r="K153" i="216"/>
  <c r="G153" i="216"/>
  <c r="R152" i="216"/>
  <c r="P152" i="216"/>
  <c r="O152" i="216"/>
  <c r="Q152" i="216" s="1"/>
  <c r="M152" i="216"/>
  <c r="K152" i="216"/>
  <c r="G152" i="216"/>
  <c r="S151" i="216"/>
  <c r="Q151" i="216"/>
  <c r="O151" i="216"/>
  <c r="M151" i="216"/>
  <c r="R151" i="216" s="1"/>
  <c r="K151" i="216"/>
  <c r="G151" i="216"/>
  <c r="O150" i="216"/>
  <c r="S150" i="216" s="1"/>
  <c r="M150" i="216"/>
  <c r="R150" i="216" s="1"/>
  <c r="K150" i="216"/>
  <c r="G150" i="216"/>
  <c r="O149" i="216"/>
  <c r="S149" i="216" s="1"/>
  <c r="M149" i="216"/>
  <c r="K149" i="216"/>
  <c r="G149" i="216"/>
  <c r="O148" i="216"/>
  <c r="N148" i="216"/>
  <c r="S148" i="216" s="1"/>
  <c r="M148" i="216"/>
  <c r="L148" i="216"/>
  <c r="K148" i="216"/>
  <c r="G148" i="216"/>
  <c r="S147" i="216"/>
  <c r="Q147" i="216"/>
  <c r="O147" i="216"/>
  <c r="N147" i="216"/>
  <c r="P147" i="216" s="1"/>
  <c r="M147" i="216"/>
  <c r="L147" i="216"/>
  <c r="K147" i="216"/>
  <c r="G147" i="216"/>
  <c r="O146" i="216"/>
  <c r="N146" i="216"/>
  <c r="S146" i="216" s="1"/>
  <c r="M146" i="216"/>
  <c r="L146" i="216"/>
  <c r="K146" i="216"/>
  <c r="G146" i="216"/>
  <c r="O145" i="216"/>
  <c r="R145" i="216" s="1"/>
  <c r="N145" i="216"/>
  <c r="S145" i="216" s="1"/>
  <c r="M145" i="216"/>
  <c r="L145" i="216"/>
  <c r="K145" i="216"/>
  <c r="G145" i="216"/>
  <c r="R144" i="216"/>
  <c r="P144" i="216"/>
  <c r="O144" i="216"/>
  <c r="Q144" i="216" s="1"/>
  <c r="N144" i="216"/>
  <c r="M144" i="216"/>
  <c r="L144" i="216"/>
  <c r="K144" i="216"/>
  <c r="G144" i="216"/>
  <c r="O143" i="216"/>
  <c r="S143" i="216" s="1"/>
  <c r="N143" i="216"/>
  <c r="Q143" i="216" s="1"/>
  <c r="M143" i="216"/>
  <c r="L143" i="216"/>
  <c r="K143" i="216"/>
  <c r="G143" i="216"/>
  <c r="R142" i="216"/>
  <c r="P142" i="216"/>
  <c r="O142" i="216"/>
  <c r="N142" i="216"/>
  <c r="S142" i="216" s="1"/>
  <c r="M142" i="216"/>
  <c r="L142" i="216"/>
  <c r="K142" i="216"/>
  <c r="G142" i="216"/>
  <c r="S141" i="216"/>
  <c r="Q141" i="216"/>
  <c r="O141" i="216"/>
  <c r="N141" i="216"/>
  <c r="R141" i="216" s="1"/>
  <c r="M141" i="216"/>
  <c r="L141" i="216"/>
  <c r="K141" i="216"/>
  <c r="G141" i="216"/>
  <c r="O140" i="216"/>
  <c r="N140" i="216"/>
  <c r="S140" i="216" s="1"/>
  <c r="M140" i="216"/>
  <c r="L140" i="216"/>
  <c r="K140" i="216"/>
  <c r="G140" i="216"/>
  <c r="S139" i="216"/>
  <c r="Q139" i="216"/>
  <c r="O139" i="216"/>
  <c r="N139" i="216"/>
  <c r="P139" i="216" s="1"/>
  <c r="M139" i="216"/>
  <c r="L139" i="216"/>
  <c r="K139" i="216"/>
  <c r="G139" i="216"/>
  <c r="O138" i="216"/>
  <c r="N138" i="216"/>
  <c r="S138" i="216" s="1"/>
  <c r="M138" i="216"/>
  <c r="L138" i="216"/>
  <c r="K138" i="216"/>
  <c r="G138" i="216"/>
  <c r="O137" i="216"/>
  <c r="S137" i="216" s="1"/>
  <c r="M137" i="216"/>
  <c r="K137" i="216"/>
  <c r="G137" i="216"/>
  <c r="R136" i="216"/>
  <c r="P136" i="216"/>
  <c r="O136" i="216"/>
  <c r="M136" i="216"/>
  <c r="S136" i="216" s="1"/>
  <c r="K136" i="216"/>
  <c r="G136" i="216"/>
  <c r="S135" i="216"/>
  <c r="Q135" i="216"/>
  <c r="O135" i="216"/>
  <c r="P135" i="216" s="1"/>
  <c r="M135" i="216"/>
  <c r="K135" i="216"/>
  <c r="G135" i="216"/>
  <c r="R134" i="216"/>
  <c r="P134" i="216"/>
  <c r="O134" i="216"/>
  <c r="Q134" i="216" s="1"/>
  <c r="M134" i="216"/>
  <c r="K134" i="216"/>
  <c r="G134" i="216"/>
  <c r="S133" i="216"/>
  <c r="Q133" i="216"/>
  <c r="O133" i="216"/>
  <c r="M133" i="216"/>
  <c r="R133" i="216" s="1"/>
  <c r="K133" i="216"/>
  <c r="G133" i="216"/>
  <c r="O132" i="216"/>
  <c r="S132" i="216" s="1"/>
  <c r="M132" i="216"/>
  <c r="R132" i="216" s="1"/>
  <c r="K132" i="216"/>
  <c r="G132" i="216"/>
  <c r="O131" i="216"/>
  <c r="S131" i="216" s="1"/>
  <c r="M131" i="216"/>
  <c r="K131" i="216"/>
  <c r="G131" i="216"/>
  <c r="O130" i="216"/>
  <c r="R130" i="216" s="1"/>
  <c r="M130" i="216"/>
  <c r="S130" i="216" s="1"/>
  <c r="K130" i="216"/>
  <c r="G130" i="216"/>
  <c r="O129" i="216"/>
  <c r="S129" i="216" s="1"/>
  <c r="M129" i="216"/>
  <c r="K129" i="216"/>
  <c r="G129" i="216"/>
  <c r="R128" i="216"/>
  <c r="P128" i="216"/>
  <c r="O128" i="216"/>
  <c r="M128" i="216"/>
  <c r="S128" i="216" s="1"/>
  <c r="K128" i="216"/>
  <c r="G128" i="216"/>
  <c r="S127" i="216"/>
  <c r="Q127" i="216"/>
  <c r="O127" i="216"/>
  <c r="P127" i="216" s="1"/>
  <c r="M127" i="216"/>
  <c r="K127" i="216"/>
  <c r="G127" i="216"/>
  <c r="R126" i="216"/>
  <c r="P126" i="216"/>
  <c r="O126" i="216"/>
  <c r="Q126" i="216" s="1"/>
  <c r="N126" i="216"/>
  <c r="M126" i="216"/>
  <c r="L126" i="216"/>
  <c r="J126" i="216"/>
  <c r="K126" i="216" s="1"/>
  <c r="I126" i="216"/>
  <c r="O125" i="216"/>
  <c r="N125" i="216"/>
  <c r="S125" i="216" s="1"/>
  <c r="M125" i="216"/>
  <c r="L125" i="216"/>
  <c r="K125" i="216" s="1"/>
  <c r="J125" i="216"/>
  <c r="I125" i="216"/>
  <c r="R124" i="216"/>
  <c r="P124" i="216"/>
  <c r="O124" i="216"/>
  <c r="Q124" i="216" s="1"/>
  <c r="N124" i="216"/>
  <c r="M124" i="216"/>
  <c r="L124" i="216"/>
  <c r="J124" i="216"/>
  <c r="K124" i="216" s="1"/>
  <c r="I124" i="216"/>
  <c r="O123" i="216"/>
  <c r="N123" i="216"/>
  <c r="S123" i="216" s="1"/>
  <c r="M123" i="216"/>
  <c r="L123" i="216"/>
  <c r="K123" i="216" s="1"/>
  <c r="J123" i="216"/>
  <c r="I123" i="216"/>
  <c r="R122" i="216"/>
  <c r="P122" i="216"/>
  <c r="O122" i="216"/>
  <c r="Q122" i="216" s="1"/>
  <c r="N122" i="216"/>
  <c r="M122" i="216"/>
  <c r="L122" i="216"/>
  <c r="J122" i="216"/>
  <c r="K122" i="216" s="1"/>
  <c r="I122" i="216"/>
  <c r="O121" i="216"/>
  <c r="N121" i="216"/>
  <c r="S121" i="216" s="1"/>
  <c r="M121" i="216"/>
  <c r="L121" i="216"/>
  <c r="K121" i="216" s="1"/>
  <c r="J121" i="216"/>
  <c r="I121" i="216"/>
  <c r="R120" i="216"/>
  <c r="P120" i="216"/>
  <c r="O120" i="216"/>
  <c r="Q120" i="216" s="1"/>
  <c r="N120" i="216"/>
  <c r="M120" i="216"/>
  <c r="L120" i="216"/>
  <c r="J120" i="216"/>
  <c r="K120" i="216" s="1"/>
  <c r="I120" i="216"/>
  <c r="O119" i="216"/>
  <c r="N119" i="216"/>
  <c r="S119" i="216" s="1"/>
  <c r="M119" i="216"/>
  <c r="L119" i="216"/>
  <c r="K119" i="216" s="1"/>
  <c r="J119" i="216"/>
  <c r="I119" i="216"/>
  <c r="R118" i="216"/>
  <c r="P118" i="216"/>
  <c r="O118" i="216"/>
  <c r="Q118" i="216" s="1"/>
  <c r="N118" i="216"/>
  <c r="M118" i="216"/>
  <c r="L118" i="216"/>
  <c r="J118" i="216"/>
  <c r="K118" i="216" s="1"/>
  <c r="I118" i="216"/>
  <c r="O117" i="216"/>
  <c r="N117" i="216"/>
  <c r="S117" i="216" s="1"/>
  <c r="M117" i="216"/>
  <c r="L117" i="216"/>
  <c r="K117" i="216" s="1"/>
  <c r="J117" i="216"/>
  <c r="I117" i="216"/>
  <c r="R116" i="216"/>
  <c r="P116" i="216"/>
  <c r="O116" i="216"/>
  <c r="Q116" i="216" s="1"/>
  <c r="N116" i="216"/>
  <c r="S116" i="216" s="1"/>
  <c r="M116" i="216"/>
  <c r="L116" i="216"/>
  <c r="J116" i="216"/>
  <c r="K116" i="216" s="1"/>
  <c r="I116" i="216"/>
  <c r="O115" i="216"/>
  <c r="N115" i="216"/>
  <c r="S115" i="216" s="1"/>
  <c r="M115" i="216"/>
  <c r="L115" i="216"/>
  <c r="K115" i="216" s="1"/>
  <c r="J115" i="216"/>
  <c r="I115" i="216"/>
  <c r="R114" i="216"/>
  <c r="P114" i="216"/>
  <c r="O114" i="216"/>
  <c r="Q114" i="216" s="1"/>
  <c r="N114" i="216"/>
  <c r="S114" i="216" s="1"/>
  <c r="M114" i="216"/>
  <c r="L114" i="216"/>
  <c r="J114" i="216"/>
  <c r="K114" i="216" s="1"/>
  <c r="I114" i="216"/>
  <c r="O113" i="216"/>
  <c r="N113" i="216"/>
  <c r="S113" i="216" s="1"/>
  <c r="M113" i="216"/>
  <c r="L113" i="216"/>
  <c r="K113" i="216" s="1"/>
  <c r="J113" i="216"/>
  <c r="I113" i="216"/>
  <c r="R112" i="216"/>
  <c r="P112" i="216"/>
  <c r="O112" i="216"/>
  <c r="Q112" i="216" s="1"/>
  <c r="N112" i="216"/>
  <c r="S112" i="216" s="1"/>
  <c r="M112" i="216"/>
  <c r="L112" i="216"/>
  <c r="J112" i="216"/>
  <c r="K112" i="216" s="1"/>
  <c r="I112" i="216"/>
  <c r="O111" i="216"/>
  <c r="N111" i="216"/>
  <c r="S111" i="216" s="1"/>
  <c r="M111" i="216"/>
  <c r="L111" i="216"/>
  <c r="K111" i="216" s="1"/>
  <c r="J111" i="216"/>
  <c r="I111" i="216"/>
  <c r="R110" i="216"/>
  <c r="P110" i="216"/>
  <c r="O110" i="216"/>
  <c r="Q110" i="216" s="1"/>
  <c r="N110" i="216"/>
  <c r="S110" i="216" s="1"/>
  <c r="M110" i="216"/>
  <c r="L110" i="216"/>
  <c r="J110" i="216"/>
  <c r="K110" i="216" s="1"/>
  <c r="I110" i="216"/>
  <c r="O109" i="216"/>
  <c r="N109" i="216"/>
  <c r="S109" i="216" s="1"/>
  <c r="M109" i="216"/>
  <c r="L109" i="216"/>
  <c r="K109" i="216" s="1"/>
  <c r="J109" i="216"/>
  <c r="I109" i="216"/>
  <c r="R108" i="216"/>
  <c r="P108" i="216"/>
  <c r="O108" i="216"/>
  <c r="N108" i="216"/>
  <c r="Q108" i="216" s="1"/>
  <c r="M108" i="216"/>
  <c r="L108" i="216"/>
  <c r="J108" i="216"/>
  <c r="K108" i="216" s="1"/>
  <c r="I108" i="216"/>
  <c r="O107" i="216"/>
  <c r="N107" i="216"/>
  <c r="S107" i="216" s="1"/>
  <c r="M107" i="216"/>
  <c r="L107" i="216"/>
  <c r="K107" i="216" s="1"/>
  <c r="J107" i="216"/>
  <c r="I107" i="216"/>
  <c r="R106" i="216"/>
  <c r="P106" i="216"/>
  <c r="O106" i="216"/>
  <c r="N106" i="216"/>
  <c r="Q106" i="216" s="1"/>
  <c r="M106" i="216"/>
  <c r="L106" i="216"/>
  <c r="J106" i="216"/>
  <c r="K106" i="216" s="1"/>
  <c r="I106" i="216"/>
  <c r="O105" i="216"/>
  <c r="N105" i="216"/>
  <c r="S105" i="216" s="1"/>
  <c r="M105" i="216"/>
  <c r="L105" i="216"/>
  <c r="K105" i="216" s="1"/>
  <c r="J105" i="216"/>
  <c r="I105" i="216"/>
  <c r="R104" i="216"/>
  <c r="P104" i="216"/>
  <c r="O104" i="216"/>
  <c r="N104" i="216"/>
  <c r="Q104" i="216" s="1"/>
  <c r="M104" i="216"/>
  <c r="L104" i="216"/>
  <c r="J104" i="216"/>
  <c r="K104" i="216" s="1"/>
  <c r="I104" i="216"/>
  <c r="O103" i="216"/>
  <c r="N103" i="216"/>
  <c r="S103" i="216" s="1"/>
  <c r="M103" i="216"/>
  <c r="L103" i="216"/>
  <c r="K103" i="216" s="1"/>
  <c r="J103" i="216"/>
  <c r="I103" i="216"/>
  <c r="R102" i="216"/>
  <c r="P102" i="216"/>
  <c r="O102" i="216"/>
  <c r="N102" i="216"/>
  <c r="Q102" i="216" s="1"/>
  <c r="M102" i="216"/>
  <c r="L102" i="216"/>
  <c r="J102" i="216"/>
  <c r="K102" i="216" s="1"/>
  <c r="I102" i="216"/>
  <c r="O101" i="216"/>
  <c r="N101" i="216"/>
  <c r="S101" i="216" s="1"/>
  <c r="M101" i="216"/>
  <c r="L101" i="216"/>
  <c r="K101" i="216" s="1"/>
  <c r="J101" i="216"/>
  <c r="I101" i="216"/>
  <c r="R100" i="216"/>
  <c r="P100" i="216"/>
  <c r="O100" i="216"/>
  <c r="N100" i="216"/>
  <c r="Q100" i="216" s="1"/>
  <c r="M100" i="216"/>
  <c r="L100" i="216"/>
  <c r="J100" i="216"/>
  <c r="K100" i="216" s="1"/>
  <c r="I100" i="216"/>
  <c r="O99" i="216"/>
  <c r="N99" i="216"/>
  <c r="S99" i="216" s="1"/>
  <c r="M99" i="216"/>
  <c r="L99" i="216"/>
  <c r="K99" i="216" s="1"/>
  <c r="J99" i="216"/>
  <c r="I99" i="216"/>
  <c r="R98" i="216"/>
  <c r="P98" i="216"/>
  <c r="O98" i="216"/>
  <c r="N98" i="216"/>
  <c r="Q98" i="216" s="1"/>
  <c r="M98" i="216"/>
  <c r="L98" i="216"/>
  <c r="J98" i="216"/>
  <c r="K98" i="216" s="1"/>
  <c r="I98" i="216"/>
  <c r="O97" i="216"/>
  <c r="N97" i="216"/>
  <c r="S97" i="216" s="1"/>
  <c r="M97" i="216"/>
  <c r="L97" i="216"/>
  <c r="K97" i="216" s="1"/>
  <c r="J97" i="216"/>
  <c r="I97" i="216"/>
  <c r="R96" i="216"/>
  <c r="P96" i="216"/>
  <c r="O96" i="216"/>
  <c r="N96" i="216"/>
  <c r="Q96" i="216" s="1"/>
  <c r="M96" i="216"/>
  <c r="L96" i="216"/>
  <c r="J96" i="216"/>
  <c r="K96" i="216" s="1"/>
  <c r="I96" i="216"/>
  <c r="O95" i="216"/>
  <c r="N95" i="216"/>
  <c r="S95" i="216" s="1"/>
  <c r="M95" i="216"/>
  <c r="L95" i="216"/>
  <c r="K95" i="216" s="1"/>
  <c r="J95" i="216"/>
  <c r="I95" i="216"/>
  <c r="R94" i="216"/>
  <c r="P94" i="216"/>
  <c r="O94" i="216"/>
  <c r="N94" i="216"/>
  <c r="Q94" i="216" s="1"/>
  <c r="M94" i="216"/>
  <c r="L94" i="216"/>
  <c r="J94" i="216"/>
  <c r="K94" i="216" s="1"/>
  <c r="I94" i="216"/>
  <c r="Q90" i="216"/>
  <c r="P90" i="216"/>
  <c r="O90" i="216"/>
  <c r="N90" i="216"/>
  <c r="M90" i="216"/>
  <c r="L90" i="216"/>
  <c r="K90" i="216"/>
  <c r="J90" i="216"/>
  <c r="H90" i="216"/>
  <c r="G90" i="216"/>
  <c r="F90" i="216"/>
  <c r="E90" i="216"/>
  <c r="Q89" i="216"/>
  <c r="P89" i="216"/>
  <c r="O89" i="216"/>
  <c r="N89" i="216"/>
  <c r="M89" i="216"/>
  <c r="L89" i="216"/>
  <c r="K89" i="216"/>
  <c r="J89" i="216"/>
  <c r="H89" i="216"/>
  <c r="G89" i="216"/>
  <c r="F89" i="216"/>
  <c r="E89" i="216"/>
  <c r="Q88" i="216"/>
  <c r="P88" i="216"/>
  <c r="O88" i="216"/>
  <c r="N88" i="216"/>
  <c r="M88" i="216"/>
  <c r="L88" i="216"/>
  <c r="K88" i="216"/>
  <c r="J88" i="216"/>
  <c r="H88" i="216"/>
  <c r="G88" i="216"/>
  <c r="F88" i="216"/>
  <c r="E88" i="216"/>
  <c r="Q87" i="216"/>
  <c r="P87" i="216"/>
  <c r="O87" i="216"/>
  <c r="N87" i="216"/>
  <c r="M87" i="216"/>
  <c r="L87" i="216"/>
  <c r="K87" i="216"/>
  <c r="J87" i="216"/>
  <c r="H87" i="216"/>
  <c r="G87" i="216"/>
  <c r="F87" i="216"/>
  <c r="E87" i="216"/>
  <c r="Q86" i="216"/>
  <c r="P86" i="216"/>
  <c r="O86" i="216"/>
  <c r="N86" i="216"/>
  <c r="M86" i="216"/>
  <c r="L86" i="216"/>
  <c r="K86" i="216"/>
  <c r="J86" i="216"/>
  <c r="H86" i="216"/>
  <c r="G86" i="216"/>
  <c r="F86" i="216"/>
  <c r="E86" i="216"/>
  <c r="Q85" i="216"/>
  <c r="P85" i="216"/>
  <c r="O85" i="216"/>
  <c r="N85" i="216"/>
  <c r="M85" i="216"/>
  <c r="L85" i="216"/>
  <c r="K85" i="216"/>
  <c r="J85" i="216"/>
  <c r="H85" i="216"/>
  <c r="G85" i="216"/>
  <c r="F85" i="216"/>
  <c r="E85" i="216"/>
  <c r="Q84" i="216"/>
  <c r="P84" i="216"/>
  <c r="O84" i="216"/>
  <c r="N84" i="216"/>
  <c r="M84" i="216"/>
  <c r="L84" i="216"/>
  <c r="K84" i="216"/>
  <c r="J84" i="216"/>
  <c r="H84" i="216"/>
  <c r="G84" i="216"/>
  <c r="F84" i="216"/>
  <c r="E84" i="216"/>
  <c r="Q83" i="216"/>
  <c r="P83" i="216"/>
  <c r="O83" i="216"/>
  <c r="N83" i="216"/>
  <c r="M83" i="216"/>
  <c r="L83" i="216"/>
  <c r="K83" i="216"/>
  <c r="J83" i="216"/>
  <c r="H83" i="216"/>
  <c r="G83" i="216"/>
  <c r="F83" i="216"/>
  <c r="E83" i="216"/>
  <c r="Q82" i="216"/>
  <c r="P82" i="216"/>
  <c r="O82" i="216"/>
  <c r="N82" i="216"/>
  <c r="M82" i="216"/>
  <c r="L82" i="216"/>
  <c r="K82" i="216"/>
  <c r="J82" i="216"/>
  <c r="H82" i="216"/>
  <c r="G82" i="216"/>
  <c r="F82" i="216"/>
  <c r="E82" i="216"/>
  <c r="Q81" i="216"/>
  <c r="P81" i="216"/>
  <c r="O81" i="216"/>
  <c r="N81" i="216"/>
  <c r="M81" i="216"/>
  <c r="L81" i="216"/>
  <c r="K81" i="216"/>
  <c r="J81" i="216"/>
  <c r="H81" i="216"/>
  <c r="G81" i="216"/>
  <c r="F81" i="216"/>
  <c r="E81" i="216"/>
  <c r="Q80" i="216"/>
  <c r="P80" i="216"/>
  <c r="O80" i="216"/>
  <c r="N80" i="216"/>
  <c r="M80" i="216"/>
  <c r="L80" i="216"/>
  <c r="K80" i="216"/>
  <c r="J80" i="216"/>
  <c r="H80" i="216"/>
  <c r="G80" i="216"/>
  <c r="F80" i="216"/>
  <c r="E80" i="216"/>
  <c r="Q79" i="216"/>
  <c r="P79" i="216"/>
  <c r="O79" i="216"/>
  <c r="N79" i="216"/>
  <c r="M79" i="216"/>
  <c r="L79" i="216"/>
  <c r="K79" i="216"/>
  <c r="J79" i="216"/>
  <c r="H79" i="216"/>
  <c r="G79" i="216"/>
  <c r="F79" i="216"/>
  <c r="E79" i="216"/>
  <c r="Q78" i="216"/>
  <c r="P78" i="216"/>
  <c r="O78" i="216"/>
  <c r="N78" i="216"/>
  <c r="M78" i="216"/>
  <c r="L78" i="216"/>
  <c r="K78" i="216"/>
  <c r="J78" i="216"/>
  <c r="H78" i="216"/>
  <c r="G78" i="216"/>
  <c r="F78" i="216"/>
  <c r="E78" i="216"/>
  <c r="Q77" i="216"/>
  <c r="P77" i="216"/>
  <c r="O77" i="216"/>
  <c r="N77" i="216"/>
  <c r="M77" i="216"/>
  <c r="L77" i="216"/>
  <c r="K77" i="216"/>
  <c r="J77" i="216"/>
  <c r="H77" i="216"/>
  <c r="G77" i="216"/>
  <c r="F77" i="216"/>
  <c r="E77" i="216"/>
  <c r="Q76" i="216"/>
  <c r="P76" i="216"/>
  <c r="O76" i="216"/>
  <c r="N76" i="216"/>
  <c r="M76" i="216"/>
  <c r="L76" i="216"/>
  <c r="K76" i="216"/>
  <c r="J76" i="216"/>
  <c r="H76" i="216"/>
  <c r="G76" i="216"/>
  <c r="F76" i="216"/>
  <c r="E76" i="216"/>
  <c r="Q75" i="216"/>
  <c r="P75" i="216"/>
  <c r="O75" i="216"/>
  <c r="N75" i="216"/>
  <c r="M75" i="216"/>
  <c r="L75" i="216"/>
  <c r="K75" i="216"/>
  <c r="J75" i="216"/>
  <c r="H75" i="216"/>
  <c r="G75" i="216"/>
  <c r="F75" i="216"/>
  <c r="E75" i="216"/>
  <c r="Q74" i="216"/>
  <c r="P74" i="216"/>
  <c r="O74" i="216"/>
  <c r="N74" i="216"/>
  <c r="M74" i="216"/>
  <c r="L74" i="216"/>
  <c r="K74" i="216"/>
  <c r="J74" i="216"/>
  <c r="H74" i="216"/>
  <c r="G74" i="216"/>
  <c r="F74" i="216"/>
  <c r="E74" i="216"/>
  <c r="Q73" i="216"/>
  <c r="P73" i="216"/>
  <c r="O73" i="216"/>
  <c r="N73" i="216"/>
  <c r="M73" i="216"/>
  <c r="L73" i="216"/>
  <c r="K73" i="216"/>
  <c r="J73" i="216"/>
  <c r="H73" i="216"/>
  <c r="G73" i="216"/>
  <c r="F73" i="216"/>
  <c r="E73" i="216"/>
  <c r="Q72" i="216"/>
  <c r="P72" i="216"/>
  <c r="O72" i="216"/>
  <c r="N72" i="216"/>
  <c r="M72" i="216"/>
  <c r="L72" i="216"/>
  <c r="K72" i="216"/>
  <c r="J72" i="216"/>
  <c r="H72" i="216"/>
  <c r="G72" i="216"/>
  <c r="F72" i="216"/>
  <c r="E72" i="216"/>
  <c r="Q71" i="216"/>
  <c r="P71" i="216"/>
  <c r="O71" i="216"/>
  <c r="N71" i="216"/>
  <c r="M71" i="216"/>
  <c r="L71" i="216"/>
  <c r="K71" i="216"/>
  <c r="J71" i="216"/>
  <c r="H71" i="216"/>
  <c r="G71" i="216"/>
  <c r="F71" i="216"/>
  <c r="E71" i="216"/>
  <c r="Q70" i="216"/>
  <c r="P70" i="216"/>
  <c r="O70" i="216"/>
  <c r="N70" i="216"/>
  <c r="M70" i="216"/>
  <c r="L70" i="216"/>
  <c r="K70" i="216"/>
  <c r="J70" i="216"/>
  <c r="H70" i="216"/>
  <c r="G70" i="216"/>
  <c r="F70" i="216"/>
  <c r="E70" i="216"/>
  <c r="Q69" i="216"/>
  <c r="P69" i="216"/>
  <c r="O69" i="216"/>
  <c r="N69" i="216"/>
  <c r="M69" i="216"/>
  <c r="L69" i="216"/>
  <c r="K69" i="216"/>
  <c r="J69" i="216"/>
  <c r="H69" i="216"/>
  <c r="G69" i="216"/>
  <c r="F69" i="216"/>
  <c r="E69" i="216"/>
  <c r="Q68" i="216"/>
  <c r="P68" i="216"/>
  <c r="O68" i="216"/>
  <c r="N68" i="216"/>
  <c r="M68" i="216"/>
  <c r="L68" i="216"/>
  <c r="K68" i="216"/>
  <c r="J68" i="216"/>
  <c r="H68" i="216"/>
  <c r="G68" i="216"/>
  <c r="F68" i="216"/>
  <c r="E68" i="216"/>
  <c r="Q67" i="216"/>
  <c r="P67" i="216"/>
  <c r="O67" i="216"/>
  <c r="N67" i="216"/>
  <c r="M67" i="216"/>
  <c r="L67" i="216"/>
  <c r="K67" i="216"/>
  <c r="J67" i="216"/>
  <c r="H67" i="216"/>
  <c r="G67" i="216"/>
  <c r="F67" i="216"/>
  <c r="E67" i="216"/>
  <c r="Q66" i="216"/>
  <c r="P66" i="216"/>
  <c r="O66" i="216"/>
  <c r="N66" i="216"/>
  <c r="M66" i="216"/>
  <c r="L66" i="216"/>
  <c r="K66" i="216"/>
  <c r="J66" i="216"/>
  <c r="H66" i="216"/>
  <c r="G66" i="216"/>
  <c r="F66" i="216"/>
  <c r="E66" i="216"/>
  <c r="Q65" i="216"/>
  <c r="P65" i="216"/>
  <c r="O65" i="216"/>
  <c r="N65" i="216"/>
  <c r="M65" i="216"/>
  <c r="L65" i="216"/>
  <c r="K65" i="216"/>
  <c r="J65" i="216"/>
  <c r="H65" i="216"/>
  <c r="G65" i="216"/>
  <c r="F65" i="216"/>
  <c r="E65" i="216"/>
  <c r="Q64" i="216"/>
  <c r="P64" i="216"/>
  <c r="O64" i="216"/>
  <c r="N64" i="216"/>
  <c r="M64" i="216"/>
  <c r="L64" i="216"/>
  <c r="K64" i="216"/>
  <c r="J64" i="216"/>
  <c r="H64" i="216"/>
  <c r="G64" i="216"/>
  <c r="F64" i="216"/>
  <c r="E64" i="216"/>
  <c r="M63" i="216"/>
  <c r="L63" i="216"/>
  <c r="K63" i="216"/>
  <c r="J63" i="216"/>
  <c r="I63" i="216"/>
  <c r="H63" i="216"/>
  <c r="G63" i="216"/>
  <c r="F63" i="216"/>
  <c r="E63" i="216"/>
  <c r="M62" i="216"/>
  <c r="L62" i="216"/>
  <c r="K62" i="216"/>
  <c r="J62" i="216"/>
  <c r="I62" i="216"/>
  <c r="H62" i="216"/>
  <c r="G62" i="216"/>
  <c r="F62" i="216"/>
  <c r="E62" i="216"/>
  <c r="M61" i="216"/>
  <c r="L61" i="216"/>
  <c r="K61" i="216"/>
  <c r="J61" i="216"/>
  <c r="I61" i="216"/>
  <c r="H61" i="216"/>
  <c r="G61" i="216"/>
  <c r="F61" i="216"/>
  <c r="E61" i="216"/>
  <c r="M60" i="216"/>
  <c r="L60" i="216"/>
  <c r="K60" i="216"/>
  <c r="J60" i="216"/>
  <c r="I60" i="216"/>
  <c r="H60" i="216"/>
  <c r="G60" i="216"/>
  <c r="F60" i="216"/>
  <c r="E60" i="216"/>
  <c r="M59" i="216"/>
  <c r="L59" i="216"/>
  <c r="K59" i="216"/>
  <c r="J59" i="216"/>
  <c r="I59" i="216"/>
  <c r="H59" i="216"/>
  <c r="G59" i="216"/>
  <c r="F59" i="216"/>
  <c r="E59" i="216"/>
  <c r="M58" i="216"/>
  <c r="L58" i="216"/>
  <c r="K58" i="216"/>
  <c r="J58" i="216"/>
  <c r="I58" i="216"/>
  <c r="H58" i="216"/>
  <c r="G58" i="216"/>
  <c r="F58" i="216"/>
  <c r="E58" i="216"/>
  <c r="M57" i="216"/>
  <c r="L57" i="216"/>
  <c r="K57" i="216"/>
  <c r="J57" i="216"/>
  <c r="I57" i="216"/>
  <c r="H57" i="216"/>
  <c r="G57" i="216"/>
  <c r="F57" i="216"/>
  <c r="E57" i="216"/>
  <c r="M56" i="216"/>
  <c r="L56" i="216"/>
  <c r="K56" i="216"/>
  <c r="J56" i="216"/>
  <c r="I56" i="216"/>
  <c r="H56" i="216"/>
  <c r="G56" i="216"/>
  <c r="F56" i="216"/>
  <c r="E56" i="216"/>
  <c r="M55" i="216"/>
  <c r="L55" i="216"/>
  <c r="K55" i="216"/>
  <c r="J55" i="216"/>
  <c r="I55" i="216"/>
  <c r="H55" i="216"/>
  <c r="G55" i="216"/>
  <c r="F55" i="216"/>
  <c r="E55" i="216"/>
  <c r="M54" i="216"/>
  <c r="L54" i="216"/>
  <c r="K54" i="216"/>
  <c r="J54" i="216"/>
  <c r="I54" i="216"/>
  <c r="H54" i="216"/>
  <c r="G54" i="216"/>
  <c r="F54" i="216"/>
  <c r="E54" i="216"/>
  <c r="M53" i="216"/>
  <c r="L53" i="216"/>
  <c r="K53" i="216"/>
  <c r="J53" i="216"/>
  <c r="I53" i="216"/>
  <c r="H53" i="216"/>
  <c r="G53" i="216"/>
  <c r="F53" i="216"/>
  <c r="E53" i="216"/>
  <c r="M52" i="216"/>
  <c r="L52" i="216"/>
  <c r="K52" i="216"/>
  <c r="J52" i="216"/>
  <c r="I52" i="216"/>
  <c r="H52" i="216"/>
  <c r="G52" i="216"/>
  <c r="F52" i="216"/>
  <c r="E52" i="216"/>
  <c r="M51" i="216"/>
  <c r="L51" i="216"/>
  <c r="K51" i="216"/>
  <c r="J51" i="216"/>
  <c r="I51" i="216"/>
  <c r="H51" i="216"/>
  <c r="G51" i="216"/>
  <c r="F51" i="216"/>
  <c r="E51" i="216"/>
  <c r="M50" i="216"/>
  <c r="L50" i="216"/>
  <c r="K50" i="216"/>
  <c r="J50" i="216"/>
  <c r="I50" i="216"/>
  <c r="H50" i="216"/>
  <c r="G50" i="216"/>
  <c r="F50" i="216"/>
  <c r="E50" i="216"/>
  <c r="M49" i="216"/>
  <c r="L49" i="216"/>
  <c r="K49" i="216"/>
  <c r="J49" i="216"/>
  <c r="I49" i="216"/>
  <c r="H49" i="216"/>
  <c r="G49" i="216"/>
  <c r="F49" i="216"/>
  <c r="E49" i="216"/>
  <c r="M48" i="216"/>
  <c r="L48" i="216"/>
  <c r="K48" i="216"/>
  <c r="J48" i="216"/>
  <c r="I48" i="216"/>
  <c r="H48" i="216"/>
  <c r="G48" i="216"/>
  <c r="F48" i="216"/>
  <c r="E48" i="216"/>
  <c r="M47" i="216"/>
  <c r="L47" i="216"/>
  <c r="K47" i="216"/>
  <c r="J47" i="216"/>
  <c r="I47" i="216"/>
  <c r="H47" i="216"/>
  <c r="G47" i="216"/>
  <c r="F47" i="216"/>
  <c r="E47" i="216"/>
  <c r="M46" i="216"/>
  <c r="L46" i="216"/>
  <c r="K46" i="216"/>
  <c r="J46" i="216"/>
  <c r="I46" i="216"/>
  <c r="H46" i="216"/>
  <c r="G46" i="216"/>
  <c r="F46" i="216"/>
  <c r="E46" i="216"/>
  <c r="M45" i="216"/>
  <c r="L45" i="216"/>
  <c r="K45" i="216"/>
  <c r="J45" i="216"/>
  <c r="I45" i="216"/>
  <c r="H45" i="216"/>
  <c r="G45" i="216"/>
  <c r="F45" i="216"/>
  <c r="E45" i="216"/>
  <c r="M44" i="216"/>
  <c r="L44" i="216"/>
  <c r="K44" i="216"/>
  <c r="J44" i="216"/>
  <c r="I44" i="216"/>
  <c r="H44" i="216"/>
  <c r="G44" i="216"/>
  <c r="F44" i="216"/>
  <c r="E44" i="216"/>
  <c r="M43" i="216"/>
  <c r="L43" i="216"/>
  <c r="K43" i="216"/>
  <c r="J43" i="216"/>
  <c r="I43" i="216"/>
  <c r="H43" i="216"/>
  <c r="G43" i="216"/>
  <c r="F43" i="216"/>
  <c r="E43" i="216"/>
  <c r="M42" i="216"/>
  <c r="L42" i="216"/>
  <c r="K42" i="216"/>
  <c r="J42" i="216"/>
  <c r="I42" i="216"/>
  <c r="H42" i="216"/>
  <c r="G42" i="216"/>
  <c r="F42" i="216"/>
  <c r="E42" i="216"/>
  <c r="M41" i="216"/>
  <c r="L41" i="216"/>
  <c r="K41" i="216"/>
  <c r="J41" i="216"/>
  <c r="I41" i="216"/>
  <c r="H41" i="216"/>
  <c r="G41" i="216"/>
  <c r="F41" i="216"/>
  <c r="E41" i="216"/>
  <c r="M40" i="216"/>
  <c r="L40" i="216"/>
  <c r="K40" i="216"/>
  <c r="J40" i="216"/>
  <c r="I40" i="216"/>
  <c r="H40" i="216"/>
  <c r="G40" i="216"/>
  <c r="F40" i="216"/>
  <c r="E40" i="216"/>
  <c r="M39" i="216"/>
  <c r="L39" i="216"/>
  <c r="K39" i="216"/>
  <c r="J39" i="216"/>
  <c r="I39" i="216"/>
  <c r="H39" i="216"/>
  <c r="G39" i="216"/>
  <c r="F39" i="216"/>
  <c r="E39" i="216"/>
  <c r="M38" i="216"/>
  <c r="L38" i="216"/>
  <c r="K38" i="216"/>
  <c r="J38" i="216"/>
  <c r="I38" i="216"/>
  <c r="H38" i="216"/>
  <c r="G38" i="216"/>
  <c r="F38" i="216"/>
  <c r="E38" i="216"/>
  <c r="M37" i="216"/>
  <c r="L37" i="216"/>
  <c r="K37" i="216"/>
  <c r="J37" i="216"/>
  <c r="I37" i="216"/>
  <c r="H37" i="216"/>
  <c r="G37" i="216"/>
  <c r="F37" i="216"/>
  <c r="E37" i="216"/>
  <c r="M36" i="216"/>
  <c r="L36" i="216"/>
  <c r="K36" i="216"/>
  <c r="J36" i="216"/>
  <c r="I36" i="216"/>
  <c r="H36" i="216"/>
  <c r="G36" i="216"/>
  <c r="F36" i="216"/>
  <c r="E36" i="216"/>
  <c r="M35" i="216"/>
  <c r="L35" i="216"/>
  <c r="K35" i="216"/>
  <c r="J35" i="216"/>
  <c r="I35" i="216"/>
  <c r="H35" i="216"/>
  <c r="G35" i="216"/>
  <c r="F35" i="216"/>
  <c r="E35" i="216"/>
  <c r="M34" i="216"/>
  <c r="L34" i="216"/>
  <c r="K34" i="216"/>
  <c r="J34" i="216"/>
  <c r="I34" i="216"/>
  <c r="H34" i="216"/>
  <c r="G34" i="216"/>
  <c r="F34" i="216"/>
  <c r="E34" i="216"/>
  <c r="M33" i="216"/>
  <c r="L33" i="216"/>
  <c r="K33" i="216"/>
  <c r="J33" i="216"/>
  <c r="I33" i="216"/>
  <c r="H33" i="216"/>
  <c r="G33" i="216"/>
  <c r="F33" i="216"/>
  <c r="E33" i="216"/>
  <c r="M32" i="216"/>
  <c r="L32" i="216"/>
  <c r="K32" i="216"/>
  <c r="J32" i="216"/>
  <c r="I32" i="216"/>
  <c r="H32" i="216"/>
  <c r="G32" i="216"/>
  <c r="F32" i="216"/>
  <c r="E32" i="216"/>
  <c r="M31" i="216"/>
  <c r="L31" i="216"/>
  <c r="K31" i="216"/>
  <c r="J31" i="216"/>
  <c r="I31" i="216"/>
  <c r="H31" i="216"/>
  <c r="G31" i="216"/>
  <c r="F31" i="216"/>
  <c r="E31" i="216"/>
  <c r="M30" i="216"/>
  <c r="L30" i="216"/>
  <c r="K30" i="216"/>
  <c r="J30" i="216"/>
  <c r="I30" i="216"/>
  <c r="H30" i="216"/>
  <c r="G30" i="216"/>
  <c r="F30" i="216"/>
  <c r="E30" i="216"/>
  <c r="M29" i="216"/>
  <c r="L29" i="216"/>
  <c r="K29" i="216"/>
  <c r="J29" i="216"/>
  <c r="I29" i="216"/>
  <c r="H29" i="216"/>
  <c r="G29" i="216"/>
  <c r="F29" i="216"/>
  <c r="E29" i="216"/>
  <c r="M28" i="216"/>
  <c r="L28" i="216"/>
  <c r="K28" i="216"/>
  <c r="J28" i="216"/>
  <c r="I28" i="216"/>
  <c r="H28" i="216"/>
  <c r="G28" i="216"/>
  <c r="F28" i="216"/>
  <c r="E28" i="216"/>
  <c r="M27" i="216"/>
  <c r="L27" i="216"/>
  <c r="K27" i="216"/>
  <c r="J27" i="216"/>
  <c r="I27" i="216"/>
  <c r="H27" i="216"/>
  <c r="G27" i="216"/>
  <c r="F27" i="216"/>
  <c r="E27" i="216"/>
  <c r="M26" i="216"/>
  <c r="L26" i="216"/>
  <c r="K26" i="216"/>
  <c r="J26" i="216"/>
  <c r="I26" i="216"/>
  <c r="H26" i="216"/>
  <c r="G26" i="216"/>
  <c r="F26" i="216"/>
  <c r="E26" i="216"/>
  <c r="M25" i="216"/>
  <c r="L25" i="216"/>
  <c r="K25" i="216"/>
  <c r="J25" i="216"/>
  <c r="I25" i="216"/>
  <c r="H25" i="216"/>
  <c r="G25" i="216"/>
  <c r="F25" i="216"/>
  <c r="E25" i="216"/>
  <c r="M24" i="216"/>
  <c r="L24" i="216"/>
  <c r="K24" i="216"/>
  <c r="J24" i="216"/>
  <c r="I24" i="216"/>
  <c r="H24" i="216"/>
  <c r="G24" i="216"/>
  <c r="F24" i="216"/>
  <c r="E24" i="216"/>
  <c r="M23" i="216"/>
  <c r="L23" i="216"/>
  <c r="K23" i="216"/>
  <c r="J23" i="216"/>
  <c r="I23" i="216"/>
  <c r="H23" i="216"/>
  <c r="G23" i="216"/>
  <c r="F23" i="216"/>
  <c r="E23" i="216"/>
  <c r="M22" i="216"/>
  <c r="L22" i="216"/>
  <c r="K22" i="216"/>
  <c r="J22" i="216"/>
  <c r="I22" i="216"/>
  <c r="H22" i="216"/>
  <c r="G22" i="216"/>
  <c r="F22" i="216"/>
  <c r="E22" i="216"/>
  <c r="M21" i="216"/>
  <c r="L21" i="216"/>
  <c r="K21" i="216"/>
  <c r="J21" i="216"/>
  <c r="I21" i="216"/>
  <c r="H21" i="216"/>
  <c r="G21" i="216"/>
  <c r="F21" i="216"/>
  <c r="E21" i="216"/>
  <c r="M20" i="216"/>
  <c r="L20" i="216"/>
  <c r="K20" i="216"/>
  <c r="J20" i="216"/>
  <c r="I20" i="216"/>
  <c r="H20" i="216"/>
  <c r="G20" i="216"/>
  <c r="F20" i="216"/>
  <c r="E20" i="216"/>
  <c r="M19" i="216"/>
  <c r="L19" i="216"/>
  <c r="K19" i="216"/>
  <c r="J19" i="216"/>
  <c r="I19" i="216"/>
  <c r="H19" i="216"/>
  <c r="G19" i="216"/>
  <c r="F19" i="216"/>
  <c r="E19" i="216"/>
  <c r="M18" i="216"/>
  <c r="L18" i="216"/>
  <c r="K18" i="216"/>
  <c r="J18" i="216"/>
  <c r="I18" i="216"/>
  <c r="H18" i="216"/>
  <c r="G18" i="216"/>
  <c r="F18" i="216"/>
  <c r="E18" i="216"/>
  <c r="M17" i="216"/>
  <c r="L17" i="216"/>
  <c r="K17" i="216"/>
  <c r="J17" i="216"/>
  <c r="I17" i="216"/>
  <c r="H17" i="216"/>
  <c r="G17" i="216"/>
  <c r="F17" i="216"/>
  <c r="E17" i="216"/>
  <c r="M16" i="216"/>
  <c r="L16" i="216"/>
  <c r="K16" i="216"/>
  <c r="J16" i="216"/>
  <c r="I16" i="216"/>
  <c r="H16" i="216"/>
  <c r="G16" i="216"/>
  <c r="F16" i="216"/>
  <c r="E16" i="216"/>
  <c r="M15" i="216"/>
  <c r="L15" i="216"/>
  <c r="K15" i="216"/>
  <c r="J15" i="216"/>
  <c r="I15" i="216"/>
  <c r="H15" i="216"/>
  <c r="G15" i="216"/>
  <c r="F15" i="216"/>
  <c r="E15" i="216"/>
  <c r="M14" i="216"/>
  <c r="L14" i="216"/>
  <c r="K14" i="216"/>
  <c r="J14" i="216"/>
  <c r="I14" i="216"/>
  <c r="H14" i="216"/>
  <c r="G14" i="216"/>
  <c r="F14" i="216"/>
  <c r="E14" i="216"/>
  <c r="M13" i="216"/>
  <c r="L13" i="216"/>
  <c r="K13" i="216"/>
  <c r="J13" i="216"/>
  <c r="I13" i="216"/>
  <c r="H13" i="216"/>
  <c r="G13" i="216"/>
  <c r="F13" i="216"/>
  <c r="E13" i="216"/>
  <c r="M12" i="216"/>
  <c r="L12" i="216"/>
  <c r="K12" i="216"/>
  <c r="J12" i="216"/>
  <c r="I12" i="216"/>
  <c r="H12" i="216"/>
  <c r="G12" i="216"/>
  <c r="F12" i="216"/>
  <c r="E12" i="216"/>
  <c r="M11" i="216"/>
  <c r="L11" i="216"/>
  <c r="K11" i="216"/>
  <c r="J11" i="216"/>
  <c r="I11" i="216"/>
  <c r="H11" i="216"/>
  <c r="G11" i="216"/>
  <c r="F11" i="216"/>
  <c r="E11" i="216"/>
  <c r="M10" i="216"/>
  <c r="L10" i="216"/>
  <c r="K10" i="216"/>
  <c r="J10" i="216"/>
  <c r="I10" i="216"/>
  <c r="H10" i="216"/>
  <c r="G10" i="216"/>
  <c r="F10" i="216"/>
  <c r="E10" i="216"/>
  <c r="S90" i="215"/>
  <c r="R90" i="215"/>
  <c r="Q90" i="215"/>
  <c r="P90" i="215"/>
  <c r="O90" i="215"/>
  <c r="N90" i="215"/>
  <c r="M90" i="215"/>
  <c r="L90" i="215"/>
  <c r="K90" i="215"/>
  <c r="J90" i="215"/>
  <c r="I90" i="215"/>
  <c r="H90" i="215"/>
  <c r="G90" i="215"/>
  <c r="C90" i="215"/>
  <c r="S89" i="215"/>
  <c r="R89" i="215"/>
  <c r="Q89" i="215"/>
  <c r="P89" i="215"/>
  <c r="O89" i="215"/>
  <c r="N89" i="215"/>
  <c r="M89" i="215"/>
  <c r="L89" i="215"/>
  <c r="K89" i="215"/>
  <c r="J89" i="215"/>
  <c r="I89" i="215"/>
  <c r="H89" i="215"/>
  <c r="G89" i="215"/>
  <c r="C89" i="215"/>
  <c r="S88" i="215"/>
  <c r="R88" i="215"/>
  <c r="Q88" i="215"/>
  <c r="P88" i="215"/>
  <c r="O88" i="215"/>
  <c r="N88" i="215"/>
  <c r="M88" i="215"/>
  <c r="L88" i="215"/>
  <c r="K88" i="215"/>
  <c r="J88" i="215"/>
  <c r="I88" i="215"/>
  <c r="H88" i="215"/>
  <c r="G88" i="215"/>
  <c r="C88" i="215"/>
  <c r="S87" i="215"/>
  <c r="R87" i="215"/>
  <c r="Q87" i="215"/>
  <c r="P87" i="215"/>
  <c r="O87" i="215"/>
  <c r="N87" i="215"/>
  <c r="M87" i="215"/>
  <c r="L87" i="215"/>
  <c r="J87" i="215"/>
  <c r="I87" i="215"/>
  <c r="H87" i="215"/>
  <c r="G87" i="215"/>
  <c r="K87" i="215" s="1"/>
  <c r="C87" i="215"/>
  <c r="S86" i="215"/>
  <c r="R86" i="215"/>
  <c r="Q86" i="215"/>
  <c r="P86" i="215"/>
  <c r="O86" i="215"/>
  <c r="N86" i="215"/>
  <c r="M86" i="215"/>
  <c r="L86" i="215"/>
  <c r="K86" i="215"/>
  <c r="J86" i="215"/>
  <c r="I86" i="215"/>
  <c r="H86" i="215"/>
  <c r="G86" i="215"/>
  <c r="C86" i="215"/>
  <c r="S85" i="215"/>
  <c r="R85" i="215"/>
  <c r="Q85" i="215"/>
  <c r="P85" i="215"/>
  <c r="O85" i="215"/>
  <c r="N85" i="215"/>
  <c r="M85" i="215"/>
  <c r="L85" i="215"/>
  <c r="K85" i="215"/>
  <c r="J85" i="215"/>
  <c r="I85" i="215"/>
  <c r="H85" i="215"/>
  <c r="G85" i="215"/>
  <c r="C85" i="215"/>
  <c r="S84" i="215"/>
  <c r="R84" i="215"/>
  <c r="Q84" i="215"/>
  <c r="P84" i="215"/>
  <c r="O84" i="215"/>
  <c r="N84" i="215"/>
  <c r="M84" i="215"/>
  <c r="L84" i="215"/>
  <c r="J84" i="215"/>
  <c r="I84" i="215"/>
  <c r="H84" i="215"/>
  <c r="G84" i="215"/>
  <c r="K84" i="215" s="1"/>
  <c r="C84" i="215"/>
  <c r="S83" i="215"/>
  <c r="R83" i="215"/>
  <c r="Q83" i="215"/>
  <c r="P83" i="215"/>
  <c r="O83" i="215"/>
  <c r="N83" i="215"/>
  <c r="M83" i="215"/>
  <c r="L83" i="215"/>
  <c r="K83" i="215"/>
  <c r="J83" i="215"/>
  <c r="I83" i="215"/>
  <c r="H83" i="215"/>
  <c r="G83" i="215"/>
  <c r="C83" i="215"/>
  <c r="S82" i="215"/>
  <c r="R82" i="215"/>
  <c r="Q82" i="215"/>
  <c r="P82" i="215"/>
  <c r="O82" i="215"/>
  <c r="N82" i="215"/>
  <c r="M82" i="215"/>
  <c r="L82" i="215"/>
  <c r="K82" i="215"/>
  <c r="J82" i="215"/>
  <c r="I82" i="215"/>
  <c r="H82" i="215"/>
  <c r="G82" i="215"/>
  <c r="C82" i="215"/>
  <c r="S81" i="215"/>
  <c r="R81" i="215"/>
  <c r="Q81" i="215"/>
  <c r="P81" i="215"/>
  <c r="O81" i="215"/>
  <c r="N81" i="215"/>
  <c r="M81" i="215"/>
  <c r="L81" i="215"/>
  <c r="J81" i="215"/>
  <c r="I81" i="215"/>
  <c r="H81" i="215"/>
  <c r="G81" i="215"/>
  <c r="K81" i="215" s="1"/>
  <c r="C81" i="215"/>
  <c r="S80" i="215"/>
  <c r="R80" i="215"/>
  <c r="Q80" i="215"/>
  <c r="P80" i="215"/>
  <c r="O80" i="215"/>
  <c r="N80" i="215"/>
  <c r="M80" i="215"/>
  <c r="L80" i="215"/>
  <c r="J80" i="215"/>
  <c r="I80" i="215"/>
  <c r="H80" i="215"/>
  <c r="G80" i="215"/>
  <c r="K80" i="215" s="1"/>
  <c r="C80" i="215"/>
  <c r="S79" i="215"/>
  <c r="R79" i="215"/>
  <c r="Q79" i="215"/>
  <c r="P79" i="215"/>
  <c r="O79" i="215"/>
  <c r="N79" i="215"/>
  <c r="M79" i="215"/>
  <c r="L79" i="215"/>
  <c r="K79" i="215"/>
  <c r="J79" i="215"/>
  <c r="I79" i="215"/>
  <c r="H79" i="215"/>
  <c r="G79" i="215"/>
  <c r="C79" i="215"/>
  <c r="S78" i="215"/>
  <c r="R78" i="215"/>
  <c r="Q78" i="215"/>
  <c r="P78" i="215"/>
  <c r="O78" i="215"/>
  <c r="M78" i="215"/>
  <c r="K78" i="215"/>
  <c r="G78" i="215"/>
  <c r="C78" i="215"/>
  <c r="O77" i="215"/>
  <c r="P77" i="215" s="1"/>
  <c r="M77" i="215"/>
  <c r="K77" i="215"/>
  <c r="G77" i="215"/>
  <c r="C77" i="215"/>
  <c r="S76" i="215"/>
  <c r="O76" i="215"/>
  <c r="M76" i="215"/>
  <c r="K76" i="215"/>
  <c r="G76" i="215"/>
  <c r="C76" i="215"/>
  <c r="S75" i="215"/>
  <c r="P75" i="215"/>
  <c r="O75" i="215"/>
  <c r="R75" i="215" s="1"/>
  <c r="M75" i="215"/>
  <c r="Q75" i="215" s="1"/>
  <c r="K75" i="215"/>
  <c r="G75" i="215"/>
  <c r="C75" i="215"/>
  <c r="Q74" i="215"/>
  <c r="O74" i="215"/>
  <c r="S74" i="215" s="1"/>
  <c r="M74" i="215"/>
  <c r="K74" i="215"/>
  <c r="G74" i="215"/>
  <c r="C74" i="215"/>
  <c r="R73" i="215"/>
  <c r="O73" i="215"/>
  <c r="N73" i="215"/>
  <c r="M73" i="215"/>
  <c r="L73" i="215"/>
  <c r="K73" i="215"/>
  <c r="G73" i="215"/>
  <c r="C73" i="215"/>
  <c r="S72" i="215"/>
  <c r="R72" i="215"/>
  <c r="Q72" i="215"/>
  <c r="P72" i="215"/>
  <c r="O72" i="215"/>
  <c r="N72" i="215"/>
  <c r="M72" i="215"/>
  <c r="L72" i="215"/>
  <c r="K72" i="215"/>
  <c r="G72" i="215"/>
  <c r="C72" i="215"/>
  <c r="S71" i="215"/>
  <c r="P71" i="215"/>
  <c r="O71" i="215"/>
  <c r="N71" i="215"/>
  <c r="R71" i="215" s="1"/>
  <c r="M71" i="215"/>
  <c r="L71" i="215"/>
  <c r="K71" i="215"/>
  <c r="G71" i="215"/>
  <c r="C71" i="215"/>
  <c r="O70" i="215"/>
  <c r="P70" i="215" s="1"/>
  <c r="N70" i="215"/>
  <c r="M70" i="215"/>
  <c r="L70" i="215"/>
  <c r="K70" i="215"/>
  <c r="G70" i="215"/>
  <c r="C70" i="215"/>
  <c r="O69" i="215"/>
  <c r="N69" i="215"/>
  <c r="M69" i="215"/>
  <c r="L69" i="215"/>
  <c r="K69" i="215"/>
  <c r="G69" i="215"/>
  <c r="C69" i="215"/>
  <c r="Q68" i="215"/>
  <c r="O68" i="215"/>
  <c r="S68" i="215" s="1"/>
  <c r="M68" i="215"/>
  <c r="K68" i="215"/>
  <c r="G68" i="215"/>
  <c r="C68" i="215"/>
  <c r="R67" i="215"/>
  <c r="O67" i="215"/>
  <c r="S67" i="215" s="1"/>
  <c r="M67" i="215"/>
  <c r="K67" i="215"/>
  <c r="G67" i="215"/>
  <c r="C67" i="215"/>
  <c r="S66" i="215"/>
  <c r="O66" i="215"/>
  <c r="M66" i="215"/>
  <c r="K66" i="215"/>
  <c r="G66" i="215"/>
  <c r="C66" i="215"/>
  <c r="Q65" i="215"/>
  <c r="P65" i="215"/>
  <c r="O65" i="215"/>
  <c r="S65" i="215" s="1"/>
  <c r="M65" i="215"/>
  <c r="K65" i="215"/>
  <c r="G65" i="215"/>
  <c r="C65" i="215"/>
  <c r="S64" i="215"/>
  <c r="R64" i="215"/>
  <c r="Q64" i="215"/>
  <c r="P64" i="215"/>
  <c r="O64" i="215"/>
  <c r="M64" i="215"/>
  <c r="K64" i="215"/>
  <c r="G64" i="215"/>
  <c r="C64" i="215"/>
  <c r="O63" i="215"/>
  <c r="N63" i="215"/>
  <c r="M63" i="215"/>
  <c r="L63" i="215"/>
  <c r="J63" i="215"/>
  <c r="K63" i="215" s="1"/>
  <c r="I63" i="215"/>
  <c r="C63" i="215"/>
  <c r="O62" i="215"/>
  <c r="N62" i="215"/>
  <c r="M62" i="215"/>
  <c r="L62" i="215"/>
  <c r="J62" i="215"/>
  <c r="K62" i="215" s="1"/>
  <c r="I62" i="215"/>
  <c r="C62" i="215"/>
  <c r="O61" i="215"/>
  <c r="N61" i="215"/>
  <c r="M61" i="215"/>
  <c r="L61" i="215"/>
  <c r="J61" i="215"/>
  <c r="K61" i="215" s="1"/>
  <c r="I61" i="215"/>
  <c r="C61" i="215"/>
  <c r="O60" i="215"/>
  <c r="N60" i="215"/>
  <c r="M60" i="215"/>
  <c r="L60" i="215"/>
  <c r="J60" i="215"/>
  <c r="K60" i="215" s="1"/>
  <c r="I60" i="215"/>
  <c r="C60" i="215"/>
  <c r="O59" i="215"/>
  <c r="N59" i="215"/>
  <c r="M59" i="215"/>
  <c r="L59" i="215"/>
  <c r="J59" i="215"/>
  <c r="K59" i="215" s="1"/>
  <c r="I59" i="215"/>
  <c r="C59" i="215"/>
  <c r="O58" i="215"/>
  <c r="N58" i="215"/>
  <c r="M58" i="215"/>
  <c r="L58" i="215"/>
  <c r="J58" i="215"/>
  <c r="K58" i="215" s="1"/>
  <c r="I58" i="215"/>
  <c r="C58" i="215"/>
  <c r="O57" i="215"/>
  <c r="N57" i="215"/>
  <c r="M57" i="215"/>
  <c r="L57" i="215"/>
  <c r="J57" i="215"/>
  <c r="K57" i="215" s="1"/>
  <c r="I57" i="215"/>
  <c r="C57" i="215"/>
  <c r="O56" i="215"/>
  <c r="N56" i="215"/>
  <c r="M56" i="215"/>
  <c r="L56" i="215"/>
  <c r="J56" i="215"/>
  <c r="K56" i="215" s="1"/>
  <c r="I56" i="215"/>
  <c r="C56" i="215"/>
  <c r="O55" i="215"/>
  <c r="N55" i="215"/>
  <c r="M55" i="215"/>
  <c r="L55" i="215"/>
  <c r="J55" i="215"/>
  <c r="K55" i="215" s="1"/>
  <c r="I55" i="215"/>
  <c r="C55" i="215"/>
  <c r="O54" i="215"/>
  <c r="N54" i="215"/>
  <c r="M54" i="215"/>
  <c r="L54" i="215"/>
  <c r="J54" i="215"/>
  <c r="K54" i="215" s="1"/>
  <c r="I54" i="215"/>
  <c r="C54" i="215"/>
  <c r="O53" i="215"/>
  <c r="N53" i="215"/>
  <c r="M53" i="215"/>
  <c r="L53" i="215"/>
  <c r="J53" i="215"/>
  <c r="K53" i="215" s="1"/>
  <c r="I53" i="215"/>
  <c r="C53" i="215"/>
  <c r="O52" i="215"/>
  <c r="N52" i="215"/>
  <c r="M52" i="215"/>
  <c r="L52" i="215"/>
  <c r="J52" i="215"/>
  <c r="K52" i="215" s="1"/>
  <c r="I52" i="215"/>
  <c r="C52" i="215"/>
  <c r="O51" i="215"/>
  <c r="N51" i="215"/>
  <c r="M51" i="215"/>
  <c r="L51" i="215"/>
  <c r="J51" i="215"/>
  <c r="K51" i="215" s="1"/>
  <c r="I51" i="215"/>
  <c r="C51" i="215"/>
  <c r="O50" i="215"/>
  <c r="N50" i="215"/>
  <c r="M50" i="215"/>
  <c r="L50" i="215"/>
  <c r="J50" i="215"/>
  <c r="K50" i="215" s="1"/>
  <c r="I50" i="215"/>
  <c r="C50" i="215"/>
  <c r="O49" i="215"/>
  <c r="N49" i="215"/>
  <c r="M49" i="215"/>
  <c r="L49" i="215"/>
  <c r="J49" i="215"/>
  <c r="I49" i="215"/>
  <c r="C49" i="215"/>
  <c r="E45" i="215"/>
  <c r="D45" i="215"/>
  <c r="D45" i="215" a="1"/>
  <c r="E44" i="215"/>
  <c r="D44" i="215"/>
  <c r="D44" i="215" a="1"/>
  <c r="E43" i="215"/>
  <c r="D43" i="215"/>
  <c r="D43" i="215" a="1"/>
  <c r="E42" i="215"/>
  <c r="D42" i="215"/>
  <c r="D42" i="215" a="1"/>
  <c r="E41" i="215"/>
  <c r="D41" i="215"/>
  <c r="D41" i="215" a="1"/>
  <c r="E40" i="215"/>
  <c r="D40" i="215"/>
  <c r="D40" i="215" a="1"/>
  <c r="E39" i="215"/>
  <c r="D39" i="215"/>
  <c r="D39" i="215" a="1"/>
  <c r="E38" i="215"/>
  <c r="D38" i="215"/>
  <c r="D38" i="215" a="1"/>
  <c r="E37" i="215"/>
  <c r="D37" i="215"/>
  <c r="D37" i="215" a="1"/>
  <c r="E36" i="215"/>
  <c r="D36" i="215"/>
  <c r="D36" i="215" a="1"/>
  <c r="E35" i="215"/>
  <c r="D35" i="215"/>
  <c r="D35" i="215" a="1"/>
  <c r="E34" i="215"/>
  <c r="D34" i="215"/>
  <c r="D34" i="215" a="1"/>
  <c r="E33" i="215"/>
  <c r="D33" i="215"/>
  <c r="D33" i="215" a="1"/>
  <c r="E32" i="215"/>
  <c r="D32" i="215"/>
  <c r="D32" i="215" a="1"/>
  <c r="E31" i="215"/>
  <c r="D31" i="215"/>
  <c r="D31" i="215" a="1"/>
  <c r="E30" i="215"/>
  <c r="D30" i="215"/>
  <c r="D30" i="215" a="1"/>
  <c r="E29" i="215"/>
  <c r="D29" i="215" a="1"/>
  <c r="D29" i="215" s="1"/>
  <c r="E28" i="215"/>
  <c r="D28" i="215"/>
  <c r="D28" i="215" a="1"/>
  <c r="E27" i="215"/>
  <c r="D27" i="215"/>
  <c r="D27" i="215" a="1"/>
  <c r="E26" i="215"/>
  <c r="D26" i="215"/>
  <c r="D26" i="215" a="1"/>
  <c r="E25" i="215"/>
  <c r="D25" i="215" a="1"/>
  <c r="D25" i="215" s="1"/>
  <c r="E24" i="215"/>
  <c r="D24" i="215"/>
  <c r="D24" i="215" a="1"/>
  <c r="E23" i="215"/>
  <c r="D23" i="215"/>
  <c r="D23" i="215" a="1"/>
  <c r="E22" i="215"/>
  <c r="D22" i="215" a="1"/>
  <c r="D22" i="215" s="1"/>
  <c r="E21" i="215"/>
  <c r="D21" i="215"/>
  <c r="D21" i="215" a="1"/>
  <c r="E20" i="215"/>
  <c r="D20" i="215"/>
  <c r="D20" i="215" a="1"/>
  <c r="E19" i="215"/>
  <c r="D19" i="215"/>
  <c r="D19" i="215" a="1"/>
  <c r="E18" i="215"/>
  <c r="D18" i="215" a="1"/>
  <c r="D18" i="215" s="1"/>
  <c r="E17" i="215"/>
  <c r="D17" i="215"/>
  <c r="D17" i="215" a="1"/>
  <c r="E16" i="215"/>
  <c r="D16" i="215"/>
  <c r="D16" i="215" a="1"/>
  <c r="B11" i="215"/>
  <c r="B10" i="215"/>
  <c r="B9" i="215"/>
  <c r="B12" i="215" s="1"/>
  <c r="B8" i="215"/>
  <c r="B7" i="215"/>
  <c r="A56" i="193"/>
  <c r="A55" i="193"/>
  <c r="A54" i="193"/>
  <c r="A53" i="193"/>
  <c r="A52" i="193"/>
  <c r="A51" i="193"/>
  <c r="A50" i="193"/>
  <c r="A49" i="193"/>
  <c r="A48" i="193"/>
  <c r="B5" i="193"/>
  <c r="J157" i="192" a="1"/>
  <c r="J157" i="192" s="1"/>
  <c r="I157" i="192" a="1"/>
  <c r="I157" i="192" s="1"/>
  <c r="H157" i="192" a="1"/>
  <c r="H157" i="192" s="1"/>
  <c r="F157" i="192" a="1"/>
  <c r="F157" i="192" s="1"/>
  <c r="E157" i="192" a="1"/>
  <c r="E157" i="192" s="1"/>
  <c r="D157" i="192" a="1"/>
  <c r="D157" i="192" s="1"/>
  <c r="C157" i="192" a="1"/>
  <c r="C157" i="192" s="1"/>
  <c r="J156" i="192" a="1"/>
  <c r="J156" i="192" s="1"/>
  <c r="I156" i="192" a="1"/>
  <c r="I156" i="192" s="1"/>
  <c r="H156" i="192" a="1"/>
  <c r="H156" i="192" s="1"/>
  <c r="F156" i="192" a="1"/>
  <c r="F156" i="192" s="1"/>
  <c r="E156" i="192" a="1"/>
  <c r="E156" i="192" s="1"/>
  <c r="D156" i="192" a="1"/>
  <c r="D156" i="192" s="1"/>
  <c r="C156" i="192" a="1"/>
  <c r="C156" i="192" s="1"/>
  <c r="J155" i="192" a="1"/>
  <c r="J155" i="192" s="1"/>
  <c r="I155" i="192" a="1"/>
  <c r="I155" i="192" s="1"/>
  <c r="H155" i="192" a="1"/>
  <c r="H155" i="192" s="1"/>
  <c r="F155" i="192" a="1"/>
  <c r="F155" i="192" s="1"/>
  <c r="E155" i="192" a="1"/>
  <c r="E155" i="192" s="1"/>
  <c r="D155" i="192" a="1"/>
  <c r="D155" i="192" s="1"/>
  <c r="C155" i="192" a="1"/>
  <c r="C155" i="192" s="1"/>
  <c r="J154" i="192" a="1"/>
  <c r="J154" i="192" s="1"/>
  <c r="I154" i="192" a="1"/>
  <c r="I154" i="192" s="1"/>
  <c r="H154" i="192" a="1"/>
  <c r="H154" i="192" s="1"/>
  <c r="F154" i="192" a="1"/>
  <c r="F154" i="192" s="1"/>
  <c r="E154" i="192" a="1"/>
  <c r="E154" i="192" s="1"/>
  <c r="D154" i="192" a="1"/>
  <c r="D154" i="192" s="1"/>
  <c r="C154" i="192" a="1"/>
  <c r="C154" i="192" s="1"/>
  <c r="J153" i="192" a="1"/>
  <c r="J153" i="192" s="1"/>
  <c r="I153" i="192" a="1"/>
  <c r="I153" i="192" s="1"/>
  <c r="H153" i="192" a="1"/>
  <c r="H153" i="192" s="1"/>
  <c r="F153" i="192" a="1"/>
  <c r="F153" i="192" s="1"/>
  <c r="E153" i="192" a="1"/>
  <c r="E153" i="192" s="1"/>
  <c r="D153" i="192" a="1"/>
  <c r="D153" i="192" s="1"/>
  <c r="C153" i="192" a="1"/>
  <c r="C153" i="192" s="1"/>
  <c r="J152" i="192" a="1"/>
  <c r="J152" i="192" s="1"/>
  <c r="I152" i="192" a="1"/>
  <c r="I152" i="192" s="1"/>
  <c r="H152" i="192" a="1"/>
  <c r="H152" i="192" s="1"/>
  <c r="F152" i="192" a="1"/>
  <c r="F152" i="192" s="1"/>
  <c r="E152" i="192" a="1"/>
  <c r="E152" i="192" s="1"/>
  <c r="D152" i="192" a="1"/>
  <c r="D152" i="192" s="1"/>
  <c r="C152" i="192" a="1"/>
  <c r="C152" i="192" s="1"/>
  <c r="J151" i="192" a="1"/>
  <c r="J151" i="192" s="1"/>
  <c r="I151" i="192" a="1"/>
  <c r="I151" i="192" s="1"/>
  <c r="H151" i="192" a="1"/>
  <c r="H151" i="192" s="1"/>
  <c r="F151" i="192" a="1"/>
  <c r="F151" i="192" s="1"/>
  <c r="E151" i="192" a="1"/>
  <c r="E151" i="192" s="1"/>
  <c r="D151" i="192" a="1"/>
  <c r="D151" i="192" s="1"/>
  <c r="C151" i="192" a="1"/>
  <c r="C151" i="192" s="1"/>
  <c r="J150" i="192" a="1"/>
  <c r="J150" i="192" s="1"/>
  <c r="I150" i="192" a="1"/>
  <c r="I150" i="192" s="1"/>
  <c r="H150" i="192" a="1"/>
  <c r="H150" i="192" s="1"/>
  <c r="F150" i="192" a="1"/>
  <c r="F150" i="192" s="1"/>
  <c r="E150" i="192" a="1"/>
  <c r="E150" i="192" s="1"/>
  <c r="D150" i="192" a="1"/>
  <c r="D150" i="192" s="1"/>
  <c r="C150" i="192" a="1"/>
  <c r="C150" i="192" s="1"/>
  <c r="J149" i="192" a="1"/>
  <c r="J149" i="192" s="1"/>
  <c r="I149" i="192" a="1"/>
  <c r="I149" i="192" s="1"/>
  <c r="H149" i="192" a="1"/>
  <c r="H149" i="192" s="1"/>
  <c r="F149" i="192" a="1"/>
  <c r="F149" i="192" s="1"/>
  <c r="E149" i="192" a="1"/>
  <c r="E149" i="192" s="1"/>
  <c r="D149" i="192" a="1"/>
  <c r="D149" i="192" s="1"/>
  <c r="C149" i="192" a="1"/>
  <c r="C149" i="192" s="1"/>
  <c r="J148" i="192" a="1"/>
  <c r="J148" i="192" s="1"/>
  <c r="I148" i="192" a="1"/>
  <c r="I148" i="192" s="1"/>
  <c r="H148" i="192" a="1"/>
  <c r="H148" i="192" s="1"/>
  <c r="F148" i="192" a="1"/>
  <c r="F148" i="192" s="1"/>
  <c r="E148" i="192" a="1"/>
  <c r="E148" i="192" s="1"/>
  <c r="D148" i="192" a="1"/>
  <c r="D148" i="192" s="1"/>
  <c r="C148" i="192" a="1"/>
  <c r="C148" i="192" s="1"/>
  <c r="J147" i="192" a="1"/>
  <c r="J147" i="192" s="1"/>
  <c r="I147" i="192" a="1"/>
  <c r="I147" i="192" s="1"/>
  <c r="H147" i="192" a="1"/>
  <c r="H147" i="192" s="1"/>
  <c r="F147" i="192" a="1"/>
  <c r="F147" i="192" s="1"/>
  <c r="E147" i="192" a="1"/>
  <c r="E147" i="192" s="1"/>
  <c r="D147" i="192" a="1"/>
  <c r="D147" i="192" s="1"/>
  <c r="C147" i="192" a="1"/>
  <c r="C147" i="192" s="1"/>
  <c r="J146" i="192" a="1"/>
  <c r="J146" i="192" s="1"/>
  <c r="I146" i="192" a="1"/>
  <c r="I146" i="192" s="1"/>
  <c r="H146" i="192" a="1"/>
  <c r="H146" i="192" s="1"/>
  <c r="F146" i="192" a="1"/>
  <c r="F146" i="192" s="1"/>
  <c r="E146" i="192" a="1"/>
  <c r="E146" i="192" s="1"/>
  <c r="D146" i="192" a="1"/>
  <c r="D146" i="192" s="1"/>
  <c r="C146" i="192" a="1"/>
  <c r="C146" i="192" s="1"/>
  <c r="J145" i="192" a="1"/>
  <c r="J145" i="192" s="1"/>
  <c r="I145" i="192" a="1"/>
  <c r="I145" i="192" s="1"/>
  <c r="H145" i="192" a="1"/>
  <c r="H145" i="192" s="1"/>
  <c r="F145" i="192" a="1"/>
  <c r="F145" i="192" s="1"/>
  <c r="E145" i="192" a="1"/>
  <c r="E145" i="192" s="1"/>
  <c r="D145" i="192" a="1"/>
  <c r="D145" i="192" s="1"/>
  <c r="C145" i="192" a="1"/>
  <c r="C145" i="192" s="1"/>
  <c r="J144" i="192" a="1"/>
  <c r="J144" i="192" s="1"/>
  <c r="I144" i="192" a="1"/>
  <c r="I144" i="192" s="1"/>
  <c r="H144" i="192" a="1"/>
  <c r="H144" i="192" s="1"/>
  <c r="F144" i="192" a="1"/>
  <c r="F144" i="192" s="1"/>
  <c r="E144" i="192" a="1"/>
  <c r="E144" i="192" s="1"/>
  <c r="D144" i="192" a="1"/>
  <c r="D144" i="192" s="1"/>
  <c r="C144" i="192" a="1"/>
  <c r="C144" i="192" s="1"/>
  <c r="J143" i="192" a="1"/>
  <c r="J143" i="192" s="1"/>
  <c r="I143" i="192" a="1"/>
  <c r="I143" i="192" s="1"/>
  <c r="H143" i="192" a="1"/>
  <c r="H143" i="192" s="1"/>
  <c r="F143" i="192" a="1"/>
  <c r="F143" i="192" s="1"/>
  <c r="E143" i="192" a="1"/>
  <c r="E143" i="192" s="1"/>
  <c r="D143" i="192" a="1"/>
  <c r="D143" i="192" s="1"/>
  <c r="C143" i="192" a="1"/>
  <c r="C143" i="192" s="1"/>
  <c r="J142" i="192" a="1"/>
  <c r="J142" i="192" s="1"/>
  <c r="I142" i="192" a="1"/>
  <c r="I142" i="192" s="1"/>
  <c r="H142" i="192" a="1"/>
  <c r="H142" i="192" s="1"/>
  <c r="F142" i="192" a="1"/>
  <c r="F142" i="192" s="1"/>
  <c r="E142" i="192" a="1"/>
  <c r="E142" i="192" s="1"/>
  <c r="D142" i="192" a="1"/>
  <c r="D142" i="192" s="1"/>
  <c r="C142" i="192" a="1"/>
  <c r="C142" i="192" s="1"/>
  <c r="J141" i="192" a="1"/>
  <c r="J141" i="192" s="1"/>
  <c r="I141" i="192" a="1"/>
  <c r="I141" i="192" s="1"/>
  <c r="H141" i="192" a="1"/>
  <c r="H141" i="192" s="1"/>
  <c r="F141" i="192" a="1"/>
  <c r="F141" i="192" s="1"/>
  <c r="E141" i="192" a="1"/>
  <c r="E141" i="192" s="1"/>
  <c r="D141" i="192" a="1"/>
  <c r="D141" i="192" s="1"/>
  <c r="C141" i="192" a="1"/>
  <c r="C141" i="192" s="1"/>
  <c r="J140" i="192" a="1"/>
  <c r="J140" i="192" s="1"/>
  <c r="I140" i="192" a="1"/>
  <c r="I140" i="192" s="1"/>
  <c r="H140" i="192" a="1"/>
  <c r="H140" i="192" s="1"/>
  <c r="F140" i="192" a="1"/>
  <c r="F140" i="192" s="1"/>
  <c r="E140" i="192" a="1"/>
  <c r="E140" i="192" s="1"/>
  <c r="D140" i="192" a="1"/>
  <c r="D140" i="192" s="1"/>
  <c r="C140" i="192" a="1"/>
  <c r="C140" i="192" s="1"/>
  <c r="J139" i="192" a="1"/>
  <c r="J139" i="192" s="1"/>
  <c r="I139" i="192" a="1"/>
  <c r="I139" i="192" s="1"/>
  <c r="H139" i="192" a="1"/>
  <c r="H139" i="192" s="1"/>
  <c r="F139" i="192" a="1"/>
  <c r="F139" i="192" s="1"/>
  <c r="E139" i="192" a="1"/>
  <c r="E139" i="192" s="1"/>
  <c r="D139" i="192" a="1"/>
  <c r="D139" i="192" s="1"/>
  <c r="C139" i="192" a="1"/>
  <c r="C139" i="192" s="1"/>
  <c r="J138" i="192" a="1"/>
  <c r="J138" i="192" s="1"/>
  <c r="I138" i="192" a="1"/>
  <c r="I138" i="192" s="1"/>
  <c r="H138" i="192" a="1"/>
  <c r="H138" i="192" s="1"/>
  <c r="F138" i="192" a="1"/>
  <c r="F138" i="192" s="1"/>
  <c r="E138" i="192" a="1"/>
  <c r="E138" i="192" s="1"/>
  <c r="D138" i="192" a="1"/>
  <c r="D138" i="192" s="1"/>
  <c r="C138" i="192" a="1"/>
  <c r="C138" i="192" s="1"/>
  <c r="J137" i="192" a="1"/>
  <c r="J137" i="192" s="1"/>
  <c r="I137" i="192" a="1"/>
  <c r="I137" i="192" s="1"/>
  <c r="H137" i="192" a="1"/>
  <c r="H137" i="192" s="1"/>
  <c r="F137" i="192" a="1"/>
  <c r="F137" i="192" s="1"/>
  <c r="E137" i="192" a="1"/>
  <c r="E137" i="192" s="1"/>
  <c r="D137" i="192" a="1"/>
  <c r="D137" i="192" s="1"/>
  <c r="C137" i="192" a="1"/>
  <c r="C137" i="192" s="1"/>
  <c r="J136" i="192" a="1"/>
  <c r="J136" i="192" s="1"/>
  <c r="I136" i="192" a="1"/>
  <c r="I136" i="192" s="1"/>
  <c r="H136" i="192" a="1"/>
  <c r="H136" i="192" s="1"/>
  <c r="F136" i="192" a="1"/>
  <c r="F136" i="192" s="1"/>
  <c r="E136" i="192" a="1"/>
  <c r="E136" i="192" s="1"/>
  <c r="D136" i="192" a="1"/>
  <c r="D136" i="192" s="1"/>
  <c r="C136" i="192" a="1"/>
  <c r="C136" i="192" s="1"/>
  <c r="J135" i="192" a="1"/>
  <c r="J135" i="192" s="1"/>
  <c r="I135" i="192" a="1"/>
  <c r="I135" i="192" s="1"/>
  <c r="H135" i="192" a="1"/>
  <c r="H135" i="192" s="1"/>
  <c r="F135" i="192" a="1"/>
  <c r="F135" i="192" s="1"/>
  <c r="E135" i="192" a="1"/>
  <c r="E135" i="192" s="1"/>
  <c r="D135" i="192" a="1"/>
  <c r="D135" i="192" s="1"/>
  <c r="C135" i="192" a="1"/>
  <c r="C135" i="192" s="1"/>
  <c r="J134" i="192" a="1"/>
  <c r="J134" i="192" s="1"/>
  <c r="I134" i="192" a="1"/>
  <c r="I134" i="192" s="1"/>
  <c r="H134" i="192" a="1"/>
  <c r="H134" i="192" s="1"/>
  <c r="F134" i="192" a="1"/>
  <c r="F134" i="192" s="1"/>
  <c r="E134" i="192" a="1"/>
  <c r="E134" i="192" s="1"/>
  <c r="D134" i="192" a="1"/>
  <c r="D134" i="192" s="1"/>
  <c r="C134" i="192" a="1"/>
  <c r="C134" i="192" s="1"/>
  <c r="J133" i="192" a="1"/>
  <c r="J133" i="192" s="1"/>
  <c r="I133" i="192" a="1"/>
  <c r="I133" i="192" s="1"/>
  <c r="H133" i="192" a="1"/>
  <c r="H133" i="192" s="1"/>
  <c r="F133" i="192" a="1"/>
  <c r="F133" i="192" s="1"/>
  <c r="E133" i="192" a="1"/>
  <c r="E133" i="192" s="1"/>
  <c r="D133" i="192" a="1"/>
  <c r="D133" i="192" s="1"/>
  <c r="C133" i="192" a="1"/>
  <c r="C133" i="192" s="1"/>
  <c r="J132" i="192" a="1"/>
  <c r="J132" i="192" s="1"/>
  <c r="I132" i="192" a="1"/>
  <c r="I132" i="192" s="1"/>
  <c r="H132" i="192" a="1"/>
  <c r="H132" i="192" s="1"/>
  <c r="F132" i="192" a="1"/>
  <c r="F132" i="192" s="1"/>
  <c r="E132" i="192" a="1"/>
  <c r="E132" i="192" s="1"/>
  <c r="D132" i="192" a="1"/>
  <c r="D132" i="192" s="1"/>
  <c r="C132" i="192" a="1"/>
  <c r="C132" i="192" s="1"/>
  <c r="J131" i="192" a="1"/>
  <c r="J131" i="192" s="1"/>
  <c r="I131" i="192" a="1"/>
  <c r="I131" i="192" s="1"/>
  <c r="H131" i="192" a="1"/>
  <c r="H131" i="192" s="1"/>
  <c r="F131" i="192" a="1"/>
  <c r="F131" i="192" s="1"/>
  <c r="E131" i="192" a="1"/>
  <c r="E131" i="192" s="1"/>
  <c r="D131" i="192" a="1"/>
  <c r="D131" i="192" s="1"/>
  <c r="C131" i="192" a="1"/>
  <c r="C131" i="192" s="1"/>
  <c r="I130" i="192" a="1"/>
  <c r="I130" i="192" s="1"/>
  <c r="H130" i="192" a="1"/>
  <c r="H130" i="192" s="1"/>
  <c r="G130" i="192" a="1"/>
  <c r="G130" i="192" s="1"/>
  <c r="F130" i="192" a="1"/>
  <c r="F130" i="192" s="1"/>
  <c r="E130" i="192" a="1"/>
  <c r="E130" i="192" s="1"/>
  <c r="D130" i="192" a="1"/>
  <c r="D130" i="192" s="1"/>
  <c r="C130" i="192" a="1"/>
  <c r="C130" i="192" s="1"/>
  <c r="I129" i="192" a="1"/>
  <c r="I129" i="192" s="1"/>
  <c r="H129" i="192" a="1"/>
  <c r="H129" i="192" s="1"/>
  <c r="G129" i="192" a="1"/>
  <c r="G129" i="192" s="1"/>
  <c r="F129" i="192" a="1"/>
  <c r="F129" i="192" s="1"/>
  <c r="E129" i="192" a="1"/>
  <c r="E129" i="192" s="1"/>
  <c r="D129" i="192" a="1"/>
  <c r="D129" i="192" s="1"/>
  <c r="C129" i="192" a="1"/>
  <c r="C129" i="192" s="1"/>
  <c r="I128" i="192" a="1"/>
  <c r="I128" i="192" s="1"/>
  <c r="H128" i="192" a="1"/>
  <c r="H128" i="192" s="1"/>
  <c r="G128" i="192" a="1"/>
  <c r="G128" i="192" s="1"/>
  <c r="F128" i="192" a="1"/>
  <c r="F128" i="192" s="1"/>
  <c r="E128" i="192" a="1"/>
  <c r="E128" i="192" s="1"/>
  <c r="D128" i="192" a="1"/>
  <c r="D128" i="192" s="1"/>
  <c r="C128" i="192" a="1"/>
  <c r="C128" i="192" s="1"/>
  <c r="I127" i="192" a="1"/>
  <c r="I127" i="192" s="1"/>
  <c r="H127" i="192" a="1"/>
  <c r="H127" i="192" s="1"/>
  <c r="G127" i="192" a="1"/>
  <c r="G127" i="192" s="1"/>
  <c r="F127" i="192" a="1"/>
  <c r="F127" i="192" s="1"/>
  <c r="E127" i="192" a="1"/>
  <c r="E127" i="192" s="1"/>
  <c r="D127" i="192" a="1"/>
  <c r="D127" i="192" s="1"/>
  <c r="C127" i="192" a="1"/>
  <c r="C127" i="192" s="1"/>
  <c r="I126" i="192" a="1"/>
  <c r="I126" i="192" s="1"/>
  <c r="H126" i="192" a="1"/>
  <c r="H126" i="192" s="1"/>
  <c r="G126" i="192" a="1"/>
  <c r="G126" i="192" s="1"/>
  <c r="F126" i="192" a="1"/>
  <c r="F126" i="192" s="1"/>
  <c r="E126" i="192" a="1"/>
  <c r="E126" i="192" s="1"/>
  <c r="D126" i="192" a="1"/>
  <c r="D126" i="192" s="1"/>
  <c r="C126" i="192" a="1"/>
  <c r="C126" i="192" s="1"/>
  <c r="I125" i="192" a="1"/>
  <c r="I125" i="192" s="1"/>
  <c r="H125" i="192" a="1"/>
  <c r="H125" i="192" s="1"/>
  <c r="G125" i="192" a="1"/>
  <c r="G125" i="192" s="1"/>
  <c r="F125" i="192" a="1"/>
  <c r="F125" i="192" s="1"/>
  <c r="E125" i="192" a="1"/>
  <c r="E125" i="192" s="1"/>
  <c r="D125" i="192" a="1"/>
  <c r="D125" i="192" s="1"/>
  <c r="C125" i="192" a="1"/>
  <c r="C125" i="192" s="1"/>
  <c r="I124" i="192" a="1"/>
  <c r="I124" i="192" s="1"/>
  <c r="H124" i="192" a="1"/>
  <c r="H124" i="192" s="1"/>
  <c r="G124" i="192" a="1"/>
  <c r="G124" i="192" s="1"/>
  <c r="F124" i="192" a="1"/>
  <c r="F124" i="192" s="1"/>
  <c r="E124" i="192" a="1"/>
  <c r="E124" i="192" s="1"/>
  <c r="D124" i="192" a="1"/>
  <c r="D124" i="192" s="1"/>
  <c r="C124" i="192" a="1"/>
  <c r="C124" i="192" s="1"/>
  <c r="I123" i="192" a="1"/>
  <c r="I123" i="192" s="1"/>
  <c r="H123" i="192" a="1"/>
  <c r="H123" i="192" s="1"/>
  <c r="G123" i="192" a="1"/>
  <c r="G123" i="192" s="1"/>
  <c r="F123" i="192" a="1"/>
  <c r="F123" i="192" s="1"/>
  <c r="E123" i="192" a="1"/>
  <c r="E123" i="192" s="1"/>
  <c r="D123" i="192" a="1"/>
  <c r="D123" i="192" s="1"/>
  <c r="C123" i="192" a="1"/>
  <c r="C123" i="192" s="1"/>
  <c r="I122" i="192" a="1"/>
  <c r="I122" i="192" s="1"/>
  <c r="H122" i="192" a="1"/>
  <c r="H122" i="192" s="1"/>
  <c r="G122" i="192" a="1"/>
  <c r="G122" i="192" s="1"/>
  <c r="F122" i="192" a="1"/>
  <c r="F122" i="192" s="1"/>
  <c r="E122" i="192" a="1"/>
  <c r="E122" i="192" s="1"/>
  <c r="D122" i="192" a="1"/>
  <c r="D122" i="192" s="1"/>
  <c r="C122" i="192" a="1"/>
  <c r="C122" i="192" s="1"/>
  <c r="I121" i="192" a="1"/>
  <c r="I121" i="192" s="1"/>
  <c r="H121" i="192" a="1"/>
  <c r="H121" i="192" s="1"/>
  <c r="G121" i="192" a="1"/>
  <c r="G121" i="192" s="1"/>
  <c r="F121" i="192" a="1"/>
  <c r="F121" i="192" s="1"/>
  <c r="E121" i="192" a="1"/>
  <c r="E121" i="192" s="1"/>
  <c r="D121" i="192" a="1"/>
  <c r="D121" i="192" s="1"/>
  <c r="C121" i="192" a="1"/>
  <c r="C121" i="192" s="1"/>
  <c r="I120" i="192" a="1"/>
  <c r="I120" i="192" s="1"/>
  <c r="H120" i="192" a="1"/>
  <c r="H120" i="192" s="1"/>
  <c r="G120" i="192" a="1"/>
  <c r="G120" i="192" s="1"/>
  <c r="F120" i="192" a="1"/>
  <c r="F120" i="192" s="1"/>
  <c r="E120" i="192" a="1"/>
  <c r="E120" i="192" s="1"/>
  <c r="D120" i="192" a="1"/>
  <c r="D120" i="192" s="1"/>
  <c r="C120" i="192" a="1"/>
  <c r="C120" i="192" s="1"/>
  <c r="I119" i="192" a="1"/>
  <c r="I119" i="192" s="1"/>
  <c r="H119" i="192" a="1"/>
  <c r="H119" i="192" s="1"/>
  <c r="G119" i="192" a="1"/>
  <c r="G119" i="192" s="1"/>
  <c r="F119" i="192" a="1"/>
  <c r="F119" i="192" s="1"/>
  <c r="E119" i="192" a="1"/>
  <c r="E119" i="192" s="1"/>
  <c r="D119" i="192" a="1"/>
  <c r="D119" i="192" s="1"/>
  <c r="C119" i="192" a="1"/>
  <c r="C119" i="192" s="1"/>
  <c r="I118" i="192" a="1"/>
  <c r="I118" i="192" s="1"/>
  <c r="H118" i="192" a="1"/>
  <c r="H118" i="192" s="1"/>
  <c r="G118" i="192" a="1"/>
  <c r="G118" i="192" s="1"/>
  <c r="F118" i="192" a="1"/>
  <c r="F118" i="192" s="1"/>
  <c r="E118" i="192" a="1"/>
  <c r="E118" i="192" s="1"/>
  <c r="D118" i="192" a="1"/>
  <c r="D118" i="192" s="1"/>
  <c r="C118" i="192" a="1"/>
  <c r="C118" i="192" s="1"/>
  <c r="I117" i="192" a="1"/>
  <c r="I117" i="192" s="1"/>
  <c r="H117" i="192" a="1"/>
  <c r="H117" i="192" s="1"/>
  <c r="G117" i="192" a="1"/>
  <c r="G117" i="192" s="1"/>
  <c r="F117" i="192" a="1"/>
  <c r="F117" i="192" s="1"/>
  <c r="E117" i="192" a="1"/>
  <c r="E117" i="192" s="1"/>
  <c r="D117" i="192" a="1"/>
  <c r="D117" i="192" s="1"/>
  <c r="C117" i="192" a="1"/>
  <c r="C117" i="192" s="1"/>
  <c r="I116" i="192" a="1"/>
  <c r="I116" i="192" s="1"/>
  <c r="H116" i="192" a="1"/>
  <c r="H116" i="192" s="1"/>
  <c r="G116" i="192" a="1"/>
  <c r="G116" i="192" s="1"/>
  <c r="F116" i="192" a="1"/>
  <c r="F116" i="192" s="1"/>
  <c r="E116" i="192" a="1"/>
  <c r="E116" i="192" s="1"/>
  <c r="D116" i="192" a="1"/>
  <c r="D116" i="192" s="1"/>
  <c r="C116" i="192" a="1"/>
  <c r="C116" i="192" s="1"/>
  <c r="I115" i="192" a="1"/>
  <c r="I115" i="192" s="1"/>
  <c r="H115" i="192" a="1"/>
  <c r="H115" i="192" s="1"/>
  <c r="G115" i="192" a="1"/>
  <c r="G115" i="192" s="1"/>
  <c r="F115" i="192" a="1"/>
  <c r="F115" i="192" s="1"/>
  <c r="E115" i="192" a="1"/>
  <c r="E115" i="192" s="1"/>
  <c r="D115" i="192" a="1"/>
  <c r="D115" i="192" s="1"/>
  <c r="C115" i="192" a="1"/>
  <c r="C115" i="192" s="1"/>
  <c r="I114" i="192" a="1"/>
  <c r="I114" i="192" s="1"/>
  <c r="H114" i="192" a="1"/>
  <c r="H114" i="192" s="1"/>
  <c r="G114" i="192" a="1"/>
  <c r="G114" i="192" s="1"/>
  <c r="F114" i="192" a="1"/>
  <c r="F114" i="192" s="1"/>
  <c r="E114" i="192" a="1"/>
  <c r="E114" i="192" s="1"/>
  <c r="D114" i="192" a="1"/>
  <c r="D114" i="192" s="1"/>
  <c r="C114" i="192" a="1"/>
  <c r="C114" i="192" s="1"/>
  <c r="I113" i="192" a="1"/>
  <c r="I113" i="192" s="1"/>
  <c r="H113" i="192" a="1"/>
  <c r="H113" i="192" s="1"/>
  <c r="G113" i="192" a="1"/>
  <c r="G113" i="192" s="1"/>
  <c r="F113" i="192" a="1"/>
  <c r="F113" i="192" s="1"/>
  <c r="E113" i="192" a="1"/>
  <c r="E113" i="192" s="1"/>
  <c r="D113" i="192" a="1"/>
  <c r="D113" i="192" s="1"/>
  <c r="C113" i="192" a="1"/>
  <c r="C113" i="192" s="1"/>
  <c r="I112" i="192" a="1"/>
  <c r="I112" i="192" s="1"/>
  <c r="H112" i="192" a="1"/>
  <c r="H112" i="192" s="1"/>
  <c r="G112" i="192" a="1"/>
  <c r="G112" i="192" s="1"/>
  <c r="F112" i="192" a="1"/>
  <c r="F112" i="192" s="1"/>
  <c r="E112" i="192" a="1"/>
  <c r="E112" i="192" s="1"/>
  <c r="D112" i="192" a="1"/>
  <c r="D112" i="192" s="1"/>
  <c r="C112" i="192" a="1"/>
  <c r="C112" i="192" s="1"/>
  <c r="I111" i="192" a="1"/>
  <c r="I111" i="192" s="1"/>
  <c r="H111" i="192" a="1"/>
  <c r="H111" i="192" s="1"/>
  <c r="G111" i="192" a="1"/>
  <c r="G111" i="192" s="1"/>
  <c r="F111" i="192" a="1"/>
  <c r="F111" i="192" s="1"/>
  <c r="E111" i="192" a="1"/>
  <c r="E111" i="192" s="1"/>
  <c r="D111" i="192" a="1"/>
  <c r="D111" i="192" s="1"/>
  <c r="C111" i="192" a="1"/>
  <c r="C111" i="192" s="1"/>
  <c r="I110" i="192" a="1"/>
  <c r="I110" i="192" s="1"/>
  <c r="H110" i="192" a="1"/>
  <c r="H110" i="192" s="1"/>
  <c r="G110" i="192" a="1"/>
  <c r="G110" i="192" s="1"/>
  <c r="F110" i="192" a="1"/>
  <c r="F110" i="192" s="1"/>
  <c r="E110" i="192" a="1"/>
  <c r="E110" i="192" s="1"/>
  <c r="D110" i="192" a="1"/>
  <c r="D110" i="192" s="1"/>
  <c r="C110" i="192" a="1"/>
  <c r="C110" i="192" s="1"/>
  <c r="I109" i="192" a="1"/>
  <c r="I109" i="192" s="1"/>
  <c r="H109" i="192" a="1"/>
  <c r="H109" i="192" s="1"/>
  <c r="G109" i="192" a="1"/>
  <c r="G109" i="192" s="1"/>
  <c r="F109" i="192" a="1"/>
  <c r="F109" i="192" s="1"/>
  <c r="E109" i="192" a="1"/>
  <c r="E109" i="192" s="1"/>
  <c r="D109" i="192" a="1"/>
  <c r="D109" i="192" s="1"/>
  <c r="C109" i="192" a="1"/>
  <c r="C109" i="192" s="1"/>
  <c r="I108" i="192" a="1"/>
  <c r="I108" i="192" s="1"/>
  <c r="H108" i="192" a="1"/>
  <c r="H108" i="192" s="1"/>
  <c r="G108" i="192" a="1"/>
  <c r="G108" i="192" s="1"/>
  <c r="F108" i="192" a="1"/>
  <c r="F108" i="192" s="1"/>
  <c r="E108" i="192" a="1"/>
  <c r="E108" i="192" s="1"/>
  <c r="D108" i="192" a="1"/>
  <c r="D108" i="192" s="1"/>
  <c r="C108" i="192" a="1"/>
  <c r="C108" i="192" s="1"/>
  <c r="I107" i="192" a="1"/>
  <c r="I107" i="192" s="1"/>
  <c r="H107" i="192" a="1"/>
  <c r="H107" i="192" s="1"/>
  <c r="G107" i="192" a="1"/>
  <c r="G107" i="192" s="1"/>
  <c r="F107" i="192" a="1"/>
  <c r="F107" i="192" s="1"/>
  <c r="E107" i="192" a="1"/>
  <c r="E107" i="192" s="1"/>
  <c r="D107" i="192" a="1"/>
  <c r="D107" i="192" s="1"/>
  <c r="C107" i="192" a="1"/>
  <c r="C107" i="192" s="1"/>
  <c r="I106" i="192" a="1"/>
  <c r="I106" i="192" s="1"/>
  <c r="H106" i="192" a="1"/>
  <c r="H106" i="192" s="1"/>
  <c r="G106" i="192" a="1"/>
  <c r="G106" i="192" s="1"/>
  <c r="F106" i="192" a="1"/>
  <c r="F106" i="192" s="1"/>
  <c r="E106" i="192" a="1"/>
  <c r="E106" i="192" s="1"/>
  <c r="D106" i="192" a="1"/>
  <c r="D106" i="192" s="1"/>
  <c r="C106" i="192" a="1"/>
  <c r="C106" i="192" s="1"/>
  <c r="I105" i="192" a="1"/>
  <c r="I105" i="192" s="1"/>
  <c r="H105" i="192" a="1"/>
  <c r="H105" i="192" s="1"/>
  <c r="G105" i="192" a="1"/>
  <c r="G105" i="192" s="1"/>
  <c r="F105" i="192" a="1"/>
  <c r="F105" i="192" s="1"/>
  <c r="E105" i="192" a="1"/>
  <c r="E105" i="192" s="1"/>
  <c r="D105" i="192" a="1"/>
  <c r="D105" i="192" s="1"/>
  <c r="C105" i="192" a="1"/>
  <c r="C105" i="192" s="1"/>
  <c r="I104" i="192" a="1"/>
  <c r="I104" i="192" s="1"/>
  <c r="H104" i="192" a="1"/>
  <c r="H104" i="192" s="1"/>
  <c r="G104" i="192" a="1"/>
  <c r="G104" i="192" s="1"/>
  <c r="F104" i="192" a="1"/>
  <c r="F104" i="192" s="1"/>
  <c r="E104" i="192" a="1"/>
  <c r="E104" i="192" s="1"/>
  <c r="D104" i="192" a="1"/>
  <c r="D104" i="192" s="1"/>
  <c r="C104" i="192" a="1"/>
  <c r="C104" i="192" s="1"/>
  <c r="I103" i="192" a="1"/>
  <c r="I103" i="192" s="1"/>
  <c r="H103" i="192" a="1"/>
  <c r="H103" i="192" s="1"/>
  <c r="F24" i="192" s="1" a="1"/>
  <c r="F24" i="192" s="1"/>
  <c r="G103" i="192" a="1"/>
  <c r="G103" i="192" s="1"/>
  <c r="F103" i="192" a="1"/>
  <c r="F103" i="192" s="1"/>
  <c r="E103" i="192" a="1"/>
  <c r="E103" i="192" s="1"/>
  <c r="D103" i="192" a="1"/>
  <c r="D103" i="192" s="1"/>
  <c r="C103" i="192" a="1"/>
  <c r="C103" i="192" s="1"/>
  <c r="I102" i="192" a="1"/>
  <c r="I102" i="192" s="1"/>
  <c r="H102" i="192" a="1"/>
  <c r="H102" i="192" s="1"/>
  <c r="G102" i="192" a="1"/>
  <c r="G102" i="192" s="1"/>
  <c r="F102" i="192" a="1"/>
  <c r="F102" i="192" s="1"/>
  <c r="E102" i="192" a="1"/>
  <c r="E102" i="192" s="1"/>
  <c r="D102" i="192" a="1"/>
  <c r="D102" i="192" s="1"/>
  <c r="C102" i="192" a="1"/>
  <c r="C102" i="192" s="1"/>
  <c r="I101" i="192" a="1"/>
  <c r="I101" i="192" s="1"/>
  <c r="H101" i="192" a="1"/>
  <c r="H101" i="192" s="1"/>
  <c r="G101" i="192" a="1"/>
  <c r="G101" i="192" s="1"/>
  <c r="F101" i="192" a="1"/>
  <c r="F101" i="192" s="1"/>
  <c r="E101" i="192" a="1"/>
  <c r="E101" i="192" s="1"/>
  <c r="D101" i="192" a="1"/>
  <c r="D101" i="192" s="1"/>
  <c r="C101" i="192" a="1"/>
  <c r="C101" i="192" s="1"/>
  <c r="I100" i="192" a="1"/>
  <c r="I100" i="192" s="1"/>
  <c r="H100" i="192" a="1"/>
  <c r="H100" i="192" s="1"/>
  <c r="G100" i="192" a="1"/>
  <c r="G100" i="192" s="1"/>
  <c r="F100" i="192" a="1"/>
  <c r="F100" i="192" s="1"/>
  <c r="E100" i="192"/>
  <c r="E100" i="192" a="1"/>
  <c r="D100" i="192" a="1"/>
  <c r="D100" i="192" s="1"/>
  <c r="C100" i="192" a="1"/>
  <c r="C100" i="192" s="1"/>
  <c r="I99" i="192" a="1"/>
  <c r="I99" i="192" s="1"/>
  <c r="H99" i="192" a="1"/>
  <c r="H99" i="192" s="1"/>
  <c r="G99" i="192" a="1"/>
  <c r="G99" i="192" s="1"/>
  <c r="F99" i="192" a="1"/>
  <c r="F99" i="192" s="1"/>
  <c r="E99" i="192" a="1"/>
  <c r="E99" i="192" s="1"/>
  <c r="D99" i="192" a="1"/>
  <c r="D99" i="192" s="1"/>
  <c r="C99" i="192" a="1"/>
  <c r="C99" i="192" s="1"/>
  <c r="I98" i="192" a="1"/>
  <c r="I98" i="192" s="1"/>
  <c r="H98" i="192" a="1"/>
  <c r="H98" i="192" s="1"/>
  <c r="F19" i="192" s="1" a="1"/>
  <c r="G98" i="192" a="1"/>
  <c r="G98" i="192" s="1"/>
  <c r="F98" i="192" a="1"/>
  <c r="F98" i="192" s="1"/>
  <c r="E98" i="192" a="1"/>
  <c r="E98" i="192" s="1"/>
  <c r="D98" i="192" a="1"/>
  <c r="D98" i="192" s="1"/>
  <c r="C98" i="192" a="1"/>
  <c r="C98" i="192" s="1"/>
  <c r="I97" i="192" a="1"/>
  <c r="I97" i="192" s="1"/>
  <c r="H97" i="192" a="1"/>
  <c r="H97" i="192" s="1"/>
  <c r="F18" i="192" s="1" a="1"/>
  <c r="F18" i="192" s="1"/>
  <c r="G97" i="192" a="1"/>
  <c r="G97" i="192" s="1"/>
  <c r="F97" i="192" a="1"/>
  <c r="F97" i="192" s="1"/>
  <c r="E97" i="192" a="1"/>
  <c r="E97" i="192" s="1"/>
  <c r="D97" i="192" a="1"/>
  <c r="D97" i="192" s="1"/>
  <c r="C97" i="192" a="1"/>
  <c r="C97" i="192" s="1"/>
  <c r="I96" i="192" a="1"/>
  <c r="I96" i="192" s="1"/>
  <c r="H96" i="192" a="1"/>
  <c r="H96" i="192" s="1"/>
  <c r="F17" i="192" s="1" a="1"/>
  <c r="F17" i="192" s="1"/>
  <c r="G96" i="192" a="1"/>
  <c r="G96" i="192" s="1"/>
  <c r="F96" i="192" a="1"/>
  <c r="F96" i="192" s="1"/>
  <c r="E96" i="192" a="1"/>
  <c r="E96" i="192" s="1"/>
  <c r="D96" i="192" a="1"/>
  <c r="D96" i="192" s="1"/>
  <c r="C96" i="192" a="1"/>
  <c r="C96" i="192" s="1"/>
  <c r="I95" i="192" a="1"/>
  <c r="I95" i="192" s="1"/>
  <c r="H95" i="192" a="1"/>
  <c r="H95" i="192" s="1"/>
  <c r="F16" i="192" s="1" a="1"/>
  <c r="F16" i="192" s="1"/>
  <c r="G95" i="192" a="1"/>
  <c r="G95" i="192" s="1"/>
  <c r="F95" i="192" a="1"/>
  <c r="F95" i="192" s="1"/>
  <c r="E95" i="192" a="1"/>
  <c r="E95" i="192" s="1"/>
  <c r="D95" i="192" a="1"/>
  <c r="D95" i="192" s="1"/>
  <c r="C95" i="192" a="1"/>
  <c r="C95" i="192" s="1"/>
  <c r="I94" i="192" a="1"/>
  <c r="I94" i="192" s="1"/>
  <c r="H94" i="192" a="1"/>
  <c r="H94" i="192" s="1"/>
  <c r="E24" i="192" s="1" a="1"/>
  <c r="E24" i="192" s="1"/>
  <c r="H24" i="192" s="1"/>
  <c r="G94" i="192" a="1"/>
  <c r="G94" i="192" s="1"/>
  <c r="F94" i="192" a="1"/>
  <c r="F94" i="192" s="1"/>
  <c r="E94" i="192" a="1"/>
  <c r="E94" i="192" s="1"/>
  <c r="D94" i="192" a="1"/>
  <c r="D94" i="192" s="1"/>
  <c r="C94" i="192" a="1"/>
  <c r="C94" i="192" s="1"/>
  <c r="I93" i="192" a="1"/>
  <c r="I93" i="192" s="1"/>
  <c r="H93" i="192" a="1"/>
  <c r="H93" i="192" s="1"/>
  <c r="G93" i="192" a="1"/>
  <c r="G93" i="192" s="1"/>
  <c r="F93" i="192" a="1"/>
  <c r="F93" i="192" s="1"/>
  <c r="E93" i="192" a="1"/>
  <c r="E93" i="192" s="1"/>
  <c r="D93" i="192" a="1"/>
  <c r="D93" i="192" s="1"/>
  <c r="C93" i="192" a="1"/>
  <c r="C93" i="192" s="1"/>
  <c r="I92" i="192" a="1"/>
  <c r="I92" i="192" s="1"/>
  <c r="H92" i="192" a="1"/>
  <c r="H92" i="192" s="1"/>
  <c r="E22" i="192" s="1" a="1"/>
  <c r="E22" i="192" s="1"/>
  <c r="H22" i="192" s="1"/>
  <c r="G92" i="192" a="1"/>
  <c r="G92" i="192" s="1"/>
  <c r="F92" i="192" a="1"/>
  <c r="F92" i="192" s="1"/>
  <c r="E92" i="192" a="1"/>
  <c r="E92" i="192" s="1"/>
  <c r="D92" i="192" a="1"/>
  <c r="D92" i="192" s="1"/>
  <c r="C92" i="192" a="1"/>
  <c r="C92" i="192" s="1"/>
  <c r="I91" i="192" a="1"/>
  <c r="I91" i="192" s="1"/>
  <c r="H91" i="192" a="1"/>
  <c r="H91" i="192" s="1"/>
  <c r="E21" i="192" s="1" a="1"/>
  <c r="E21" i="192" s="1"/>
  <c r="H21" i="192" s="1"/>
  <c r="G91" i="192" a="1"/>
  <c r="G91" i="192" s="1"/>
  <c r="F91" i="192" a="1"/>
  <c r="F91" i="192" s="1"/>
  <c r="E91" i="192" a="1"/>
  <c r="E91" i="192" s="1"/>
  <c r="D91" i="192" a="1"/>
  <c r="D91" i="192" s="1"/>
  <c r="C91" i="192" a="1"/>
  <c r="C91" i="192" s="1"/>
  <c r="I90" i="192" a="1"/>
  <c r="I90" i="192" s="1"/>
  <c r="H90" i="192" a="1"/>
  <c r="H90" i="192" s="1"/>
  <c r="E20" i="192" s="1" a="1"/>
  <c r="E20" i="192" s="1"/>
  <c r="H20" i="192" s="1"/>
  <c r="G90" i="192" a="1"/>
  <c r="G90" i="192" s="1"/>
  <c r="F90" i="192" a="1"/>
  <c r="F90" i="192" s="1"/>
  <c r="E90" i="192" a="1"/>
  <c r="E90" i="192" s="1"/>
  <c r="D90" i="192" a="1"/>
  <c r="D90" i="192" s="1"/>
  <c r="C90" i="192" a="1"/>
  <c r="C90" i="192" s="1"/>
  <c r="I89" i="192" a="1"/>
  <c r="I89" i="192" s="1"/>
  <c r="H89" i="192" a="1"/>
  <c r="H89" i="192" s="1"/>
  <c r="E19" i="192" s="1" a="1"/>
  <c r="G89" i="192" a="1"/>
  <c r="G89" i="192" s="1"/>
  <c r="F89" i="192" a="1"/>
  <c r="F89" i="192" s="1"/>
  <c r="E89" i="192" a="1"/>
  <c r="E89" i="192" s="1"/>
  <c r="D89" i="192" a="1"/>
  <c r="D89" i="192" s="1"/>
  <c r="C89" i="192" a="1"/>
  <c r="C89" i="192" s="1"/>
  <c r="I88" i="192" a="1"/>
  <c r="I88" i="192" s="1"/>
  <c r="H88" i="192" a="1"/>
  <c r="H88" i="192" s="1"/>
  <c r="E18" i="192" s="1" a="1"/>
  <c r="E18" i="192" s="1"/>
  <c r="H18" i="192" s="1"/>
  <c r="G88" i="192" a="1"/>
  <c r="G88" i="192" s="1"/>
  <c r="F88" i="192" a="1"/>
  <c r="F88" i="192" s="1"/>
  <c r="E88" i="192" a="1"/>
  <c r="E88" i="192" s="1"/>
  <c r="D88" i="192" a="1"/>
  <c r="D88" i="192" s="1"/>
  <c r="C88" i="192" a="1"/>
  <c r="C88" i="192" s="1"/>
  <c r="I87" i="192" a="1"/>
  <c r="I87" i="192" s="1"/>
  <c r="H87" i="192" a="1"/>
  <c r="H87" i="192" s="1"/>
  <c r="E17" i="192" s="1" a="1"/>
  <c r="E17" i="192" s="1"/>
  <c r="H17" i="192" s="1"/>
  <c r="G87" i="192" a="1"/>
  <c r="G87" i="192" s="1"/>
  <c r="F87" i="192" a="1"/>
  <c r="F87" i="192" s="1"/>
  <c r="E87" i="192" a="1"/>
  <c r="E87" i="192" s="1"/>
  <c r="D87" i="192" a="1"/>
  <c r="D87" i="192" s="1"/>
  <c r="C87" i="192" a="1"/>
  <c r="C87" i="192" s="1"/>
  <c r="I86" i="192" a="1"/>
  <c r="I86" i="192" s="1"/>
  <c r="H86" i="192" a="1"/>
  <c r="H86" i="192" s="1"/>
  <c r="G86" i="192" a="1"/>
  <c r="G86" i="192" s="1"/>
  <c r="F86" i="192" a="1"/>
  <c r="F86" i="192" s="1"/>
  <c r="E86" i="192" a="1"/>
  <c r="E86" i="192" s="1"/>
  <c r="D86" i="192" a="1"/>
  <c r="D86" i="192" s="1"/>
  <c r="C86" i="192" a="1"/>
  <c r="C86" i="192" s="1"/>
  <c r="I85" i="192" a="1"/>
  <c r="I85" i="192" s="1"/>
  <c r="H85" i="192" a="1"/>
  <c r="H85" i="192" s="1"/>
  <c r="D24" i="192" s="1" a="1"/>
  <c r="D24" i="192" s="1"/>
  <c r="G85" i="192" a="1"/>
  <c r="G85" i="192" s="1"/>
  <c r="F85" i="192" a="1"/>
  <c r="F85" i="192" s="1"/>
  <c r="C24" i="192" s="1" a="1"/>
  <c r="C24" i="192" s="1"/>
  <c r="E85" i="192" a="1"/>
  <c r="E85" i="192" s="1"/>
  <c r="D85" i="192" a="1"/>
  <c r="D85" i="192" s="1"/>
  <c r="C85" i="192" a="1"/>
  <c r="C85" i="192" s="1"/>
  <c r="I84" i="192" a="1"/>
  <c r="I84" i="192" s="1"/>
  <c r="H84" i="192" a="1"/>
  <c r="H84" i="192" s="1"/>
  <c r="G84" i="192" a="1"/>
  <c r="G84" i="192" s="1"/>
  <c r="F84" i="192" a="1"/>
  <c r="F84" i="192" s="1"/>
  <c r="C23" i="192" s="1" a="1"/>
  <c r="C23" i="192" s="1"/>
  <c r="E84" i="192" a="1"/>
  <c r="E84" i="192" s="1"/>
  <c r="D84" i="192" a="1"/>
  <c r="D84" i="192" s="1"/>
  <c r="C84" i="192" a="1"/>
  <c r="C84" i="192" s="1"/>
  <c r="I83" i="192" a="1"/>
  <c r="I83" i="192" s="1"/>
  <c r="H83" i="192" a="1"/>
  <c r="H83" i="192" s="1"/>
  <c r="D22" i="192" s="1" a="1"/>
  <c r="D22" i="192" s="1"/>
  <c r="G83" i="192" a="1"/>
  <c r="G83" i="192" s="1"/>
  <c r="F83" i="192" a="1"/>
  <c r="F83" i="192" s="1"/>
  <c r="C22" i="192" s="1" a="1"/>
  <c r="C22" i="192" s="1"/>
  <c r="E83" i="192" a="1"/>
  <c r="E83" i="192" s="1"/>
  <c r="D83" i="192" a="1"/>
  <c r="D83" i="192" s="1"/>
  <c r="C83" i="192" a="1"/>
  <c r="C83" i="192" s="1"/>
  <c r="I82" i="192" a="1"/>
  <c r="I82" i="192" s="1"/>
  <c r="H82" i="192" a="1"/>
  <c r="H82" i="192" s="1"/>
  <c r="D21" i="192" s="1" a="1"/>
  <c r="D21" i="192" s="1"/>
  <c r="G82" i="192" a="1"/>
  <c r="G82" i="192" s="1"/>
  <c r="F82" i="192" a="1"/>
  <c r="F82" i="192" s="1"/>
  <c r="C21" i="192" s="1" a="1"/>
  <c r="C21" i="192" s="1"/>
  <c r="E82" i="192" a="1"/>
  <c r="E82" i="192" s="1"/>
  <c r="D82" i="192" a="1"/>
  <c r="D82" i="192" s="1"/>
  <c r="C82" i="192" a="1"/>
  <c r="C82" i="192" s="1"/>
  <c r="I81" i="192" a="1"/>
  <c r="I81" i="192" s="1"/>
  <c r="H81" i="192" a="1"/>
  <c r="H81" i="192" s="1"/>
  <c r="D20" i="192" s="1" a="1"/>
  <c r="D20" i="192" s="1"/>
  <c r="G81" i="192" a="1"/>
  <c r="G81" i="192" s="1"/>
  <c r="F81" i="192" a="1"/>
  <c r="F81" i="192" s="1"/>
  <c r="C20" i="192" s="1" a="1"/>
  <c r="C20" i="192" s="1"/>
  <c r="E81" i="192" a="1"/>
  <c r="E81" i="192" s="1"/>
  <c r="D81" i="192" a="1"/>
  <c r="D81" i="192" s="1"/>
  <c r="C81" i="192" a="1"/>
  <c r="C81" i="192" s="1"/>
  <c r="I80" i="192" a="1"/>
  <c r="I80" i="192" s="1"/>
  <c r="H80" i="192" a="1"/>
  <c r="H80" i="192" s="1"/>
  <c r="D19" i="192" s="1" a="1"/>
  <c r="D19" i="192" s="1"/>
  <c r="G80" i="192" a="1"/>
  <c r="G80" i="192" s="1"/>
  <c r="F80" i="192" a="1"/>
  <c r="F80" i="192" s="1"/>
  <c r="C19" i="192" s="1" a="1"/>
  <c r="C19" i="192" s="1"/>
  <c r="E80" i="192" a="1"/>
  <c r="E80" i="192" s="1"/>
  <c r="D80" i="192" a="1"/>
  <c r="D80" i="192" s="1"/>
  <c r="C80" i="192" a="1"/>
  <c r="C80" i="192" s="1"/>
  <c r="I79" i="192" a="1"/>
  <c r="I79" i="192" s="1"/>
  <c r="H79" i="192" a="1"/>
  <c r="H79" i="192" s="1"/>
  <c r="D18" i="192" s="1" a="1"/>
  <c r="D18" i="192" s="1"/>
  <c r="G79" i="192" a="1"/>
  <c r="G79" i="192" s="1"/>
  <c r="F79" i="192" a="1"/>
  <c r="F79" i="192" s="1"/>
  <c r="C18" i="192" s="1" a="1"/>
  <c r="C18" i="192" s="1"/>
  <c r="E79" i="192" a="1"/>
  <c r="E79" i="192" s="1"/>
  <c r="D79" i="192" a="1"/>
  <c r="D79" i="192" s="1"/>
  <c r="C79" i="192" a="1"/>
  <c r="C79" i="192" s="1"/>
  <c r="I78" i="192" a="1"/>
  <c r="I78" i="192" s="1"/>
  <c r="H78" i="192" a="1"/>
  <c r="H78" i="192" s="1"/>
  <c r="D17" i="192" s="1" a="1"/>
  <c r="D17" i="192" s="1"/>
  <c r="G78" i="192" a="1"/>
  <c r="G78" i="192" s="1"/>
  <c r="F78" i="192" a="1"/>
  <c r="F78" i="192" s="1"/>
  <c r="C17" i="192" s="1" a="1"/>
  <c r="C17" i="192" s="1"/>
  <c r="E78" i="192" a="1"/>
  <c r="E78" i="192" s="1"/>
  <c r="D78" i="192" a="1"/>
  <c r="D78" i="192" s="1"/>
  <c r="C78" i="192" a="1"/>
  <c r="C78" i="192" s="1"/>
  <c r="I77" i="192" a="1"/>
  <c r="I77" i="192" s="1"/>
  <c r="H77" i="192" a="1"/>
  <c r="H77" i="192" s="1"/>
  <c r="G77" i="192" a="1"/>
  <c r="G77" i="192" s="1"/>
  <c r="F77" i="192" a="1"/>
  <c r="F77" i="192" s="1"/>
  <c r="C16" i="192" s="1" a="1"/>
  <c r="C16" i="192" s="1"/>
  <c r="E77" i="192" a="1"/>
  <c r="E77" i="192" s="1"/>
  <c r="D77" i="192" a="1"/>
  <c r="D77" i="192" s="1"/>
  <c r="C77" i="192" a="1"/>
  <c r="C77" i="192" s="1"/>
  <c r="F23" i="192" a="1"/>
  <c r="F23" i="192" s="1"/>
  <c r="E23" i="192" a="1"/>
  <c r="E23" i="192" s="1"/>
  <c r="H23" i="192" s="1"/>
  <c r="D23" i="192" a="1"/>
  <c r="D23" i="192" s="1"/>
  <c r="F22" i="192" a="1"/>
  <c r="F22" i="192" s="1"/>
  <c r="F21" i="192" a="1"/>
  <c r="F21" i="192" s="1"/>
  <c r="F20" i="192" a="1"/>
  <c r="F20" i="192" s="1"/>
  <c r="F19" i="192"/>
  <c r="E19" i="192"/>
  <c r="H19" i="192" s="1"/>
  <c r="E16" i="192" a="1"/>
  <c r="E16" i="192" s="1"/>
  <c r="H16" i="192" s="1"/>
  <c r="D16" i="192" a="1"/>
  <c r="D16" i="192" s="1"/>
  <c r="B5" i="192"/>
  <c r="G157" i="191" a="1"/>
  <c r="G157" i="191" s="1"/>
  <c r="D157" i="191" a="1"/>
  <c r="D157" i="191" s="1"/>
  <c r="I156" i="191"/>
  <c r="I156" i="191" a="1"/>
  <c r="F156" i="191" a="1"/>
  <c r="F156" i="191" s="1"/>
  <c r="C156" i="191" a="1"/>
  <c r="C156" i="191" s="1"/>
  <c r="J155" i="191" a="1"/>
  <c r="J155" i="191" s="1"/>
  <c r="E155" i="191" a="1"/>
  <c r="E155" i="191" s="1"/>
  <c r="J154" i="191" a="1"/>
  <c r="J154" i="191" s="1"/>
  <c r="G154" i="191" a="1"/>
  <c r="G154" i="191" s="1"/>
  <c r="E154" i="191" a="1"/>
  <c r="E154" i="191" s="1"/>
  <c r="D154" i="191" a="1"/>
  <c r="D154" i="191" s="1"/>
  <c r="H153" i="191" a="1"/>
  <c r="H153" i="191" s="1"/>
  <c r="G153" i="191" a="1"/>
  <c r="G153" i="191" s="1"/>
  <c r="F153" i="191" a="1"/>
  <c r="F153" i="191" s="1"/>
  <c r="D153" i="191" a="1"/>
  <c r="D153" i="191" s="1"/>
  <c r="J152" i="191" a="1"/>
  <c r="J152" i="191" s="1"/>
  <c r="I152" i="191" a="1"/>
  <c r="I152" i="191" s="1"/>
  <c r="E152" i="191" a="1"/>
  <c r="E152" i="191" s="1"/>
  <c r="C152" i="191" a="1"/>
  <c r="C152" i="191" s="1"/>
  <c r="I151" i="191" a="1"/>
  <c r="I151" i="191" s="1"/>
  <c r="H151" i="191" a="1"/>
  <c r="H151" i="191" s="1"/>
  <c r="D151" i="191" a="1"/>
  <c r="D151" i="191" s="1"/>
  <c r="C151" i="191" a="1"/>
  <c r="C151" i="191" s="1"/>
  <c r="J150" i="191" a="1"/>
  <c r="J150" i="191" s="1"/>
  <c r="G150" i="191" a="1"/>
  <c r="G150" i="191" s="1"/>
  <c r="E150" i="191" a="1"/>
  <c r="E150" i="191" s="1"/>
  <c r="D150" i="191" a="1"/>
  <c r="D150" i="191" s="1"/>
  <c r="H149" i="191" a="1"/>
  <c r="H149" i="191" s="1"/>
  <c r="G149" i="191" a="1"/>
  <c r="G149" i="191" s="1"/>
  <c r="F149" i="191" a="1"/>
  <c r="F149" i="191" s="1"/>
  <c r="J148" i="191" a="1"/>
  <c r="J148" i="191" s="1"/>
  <c r="I148" i="191" a="1"/>
  <c r="I148" i="191" s="1"/>
  <c r="F148" i="191" a="1"/>
  <c r="F148" i="191" s="1"/>
  <c r="E148" i="191" a="1"/>
  <c r="E148" i="191" s="1"/>
  <c r="C148" i="191" a="1"/>
  <c r="C148" i="191" s="1"/>
  <c r="I147" i="191" a="1"/>
  <c r="I147" i="191" s="1"/>
  <c r="G147" i="191" a="1"/>
  <c r="G147" i="191" s="1"/>
  <c r="F147" i="191" a="1"/>
  <c r="F147" i="191" s="1"/>
  <c r="E147" i="191" a="1"/>
  <c r="E147" i="191" s="1"/>
  <c r="D147" i="191" a="1"/>
  <c r="D147" i="191" s="1"/>
  <c r="C147" i="191" a="1"/>
  <c r="C147" i="191" s="1"/>
  <c r="I146" i="191" a="1"/>
  <c r="I146" i="191" s="1"/>
  <c r="F146" i="191" a="1"/>
  <c r="F146" i="191" s="1"/>
  <c r="D146" i="191" a="1"/>
  <c r="D146" i="191" s="1"/>
  <c r="C146" i="191" a="1"/>
  <c r="C146" i="191" s="1"/>
  <c r="J145" i="191" a="1"/>
  <c r="J145" i="191" s="1"/>
  <c r="I145" i="191" a="1"/>
  <c r="I145" i="191" s="1"/>
  <c r="G145" i="191" a="1"/>
  <c r="G145" i="191" s="1"/>
  <c r="F145" i="191" a="1"/>
  <c r="F145" i="191" s="1"/>
  <c r="E145" i="191" a="1"/>
  <c r="E145" i="191" s="1"/>
  <c r="D145" i="191" a="1"/>
  <c r="D145" i="191" s="1"/>
  <c r="C145" i="191" a="1"/>
  <c r="C145" i="191" s="1"/>
  <c r="J144" i="191" a="1"/>
  <c r="J144" i="191" s="1"/>
  <c r="I144" i="191" a="1"/>
  <c r="I144" i="191" s="1"/>
  <c r="G144" i="191" a="1"/>
  <c r="G144" i="191" s="1"/>
  <c r="E144" i="191" a="1"/>
  <c r="E144" i="191" s="1"/>
  <c r="D144" i="191" a="1"/>
  <c r="D144" i="191" s="1"/>
  <c r="C144" i="191" a="1"/>
  <c r="C144" i="191" s="1"/>
  <c r="J143" i="191" a="1"/>
  <c r="J143" i="191" s="1"/>
  <c r="I143" i="191" a="1"/>
  <c r="I143" i="191" s="1"/>
  <c r="G143" i="191" a="1"/>
  <c r="G143" i="191" s="1"/>
  <c r="F143" i="191" a="1"/>
  <c r="F143" i="191" s="1"/>
  <c r="E143" i="191" a="1"/>
  <c r="E143" i="191" s="1"/>
  <c r="D143" i="191" a="1"/>
  <c r="D143" i="191" s="1"/>
  <c r="C143" i="191" a="1"/>
  <c r="C143" i="191" s="1"/>
  <c r="J142" i="191" a="1"/>
  <c r="J142" i="191" s="1"/>
  <c r="I142" i="191" a="1"/>
  <c r="I142" i="191" s="1"/>
  <c r="H142" i="191" a="1"/>
  <c r="H142" i="191" s="1"/>
  <c r="G142" i="191" a="1"/>
  <c r="G142" i="191" s="1"/>
  <c r="F142" i="191" a="1"/>
  <c r="F142" i="191" s="1"/>
  <c r="E142" i="191" a="1"/>
  <c r="E142" i="191" s="1"/>
  <c r="D142" i="191" a="1"/>
  <c r="D142" i="191" s="1"/>
  <c r="C142" i="191" a="1"/>
  <c r="C142" i="191" s="1"/>
  <c r="J141" i="191" a="1"/>
  <c r="J141" i="191" s="1"/>
  <c r="I141" i="191" a="1"/>
  <c r="I141" i="191" s="1"/>
  <c r="G141" i="191" a="1"/>
  <c r="G141" i="191" s="1"/>
  <c r="F141" i="191" a="1"/>
  <c r="F141" i="191" s="1"/>
  <c r="E141" i="191" a="1"/>
  <c r="E141" i="191" s="1"/>
  <c r="D141" i="191" a="1"/>
  <c r="D141" i="191" s="1"/>
  <c r="C141" i="191" a="1"/>
  <c r="C141" i="191" s="1"/>
  <c r="J140" i="191" a="1"/>
  <c r="J140" i="191" s="1"/>
  <c r="I140" i="191" a="1"/>
  <c r="I140" i="191" s="1"/>
  <c r="H140" i="191" a="1"/>
  <c r="H140" i="191" s="1"/>
  <c r="G140" i="191" a="1"/>
  <c r="G140" i="191" s="1"/>
  <c r="F140" i="191" a="1"/>
  <c r="F140" i="191" s="1"/>
  <c r="E140" i="191" a="1"/>
  <c r="E140" i="191" s="1"/>
  <c r="D140" i="191" a="1"/>
  <c r="D140" i="191" s="1"/>
  <c r="C140" i="191" a="1"/>
  <c r="C140" i="191" s="1"/>
  <c r="J139" i="191" a="1"/>
  <c r="J139" i="191" s="1"/>
  <c r="I139" i="191" a="1"/>
  <c r="I139" i="191" s="1"/>
  <c r="H139" i="191" a="1"/>
  <c r="H139" i="191" s="1"/>
  <c r="G139" i="191" a="1"/>
  <c r="G139" i="191" s="1"/>
  <c r="E139" i="191" a="1"/>
  <c r="E139" i="191" s="1"/>
  <c r="D139" i="191" a="1"/>
  <c r="D139" i="191" s="1"/>
  <c r="C139" i="191" a="1"/>
  <c r="C139" i="191" s="1"/>
  <c r="J138" i="191" a="1"/>
  <c r="J138" i="191" s="1"/>
  <c r="H138" i="191" a="1"/>
  <c r="H138" i="191" s="1"/>
  <c r="G138" i="191" a="1"/>
  <c r="G138" i="191" s="1"/>
  <c r="F138" i="191" a="1"/>
  <c r="F138" i="191" s="1"/>
  <c r="E138" i="191" a="1"/>
  <c r="E138" i="191" s="1"/>
  <c r="D138" i="191" a="1"/>
  <c r="D138" i="191" s="1"/>
  <c r="J137" i="191" a="1"/>
  <c r="J137" i="191" s="1"/>
  <c r="I137" i="191" a="1"/>
  <c r="I137" i="191" s="1"/>
  <c r="H137" i="191" a="1"/>
  <c r="H137" i="191" s="1"/>
  <c r="G137" i="191" a="1"/>
  <c r="G137" i="191" s="1"/>
  <c r="F137" i="191" a="1"/>
  <c r="F137" i="191" s="1"/>
  <c r="E137" i="191" a="1"/>
  <c r="E137" i="191" s="1"/>
  <c r="D137" i="191" a="1"/>
  <c r="D137" i="191" s="1"/>
  <c r="C137" i="191" a="1"/>
  <c r="C137" i="191" s="1"/>
  <c r="J136" i="191" a="1"/>
  <c r="J136" i="191" s="1"/>
  <c r="H136" i="191" a="1"/>
  <c r="H136" i="191" s="1"/>
  <c r="G136" i="191" a="1"/>
  <c r="G136" i="191" s="1"/>
  <c r="E136" i="191" a="1"/>
  <c r="E136" i="191" s="1"/>
  <c r="D136" i="191" a="1"/>
  <c r="D136" i="191" s="1"/>
  <c r="J135" i="191" a="1"/>
  <c r="J135" i="191" s="1"/>
  <c r="I135" i="191" a="1"/>
  <c r="I135" i="191" s="1"/>
  <c r="G135" i="191" a="1"/>
  <c r="G135" i="191" s="1"/>
  <c r="F135" i="191" a="1"/>
  <c r="F135" i="191" s="1"/>
  <c r="E135" i="191" a="1"/>
  <c r="E135" i="191" s="1"/>
  <c r="D135" i="191" a="1"/>
  <c r="D135" i="191" s="1"/>
  <c r="C135" i="191" a="1"/>
  <c r="C135" i="191" s="1"/>
  <c r="J134" i="191" a="1"/>
  <c r="J134" i="191" s="1"/>
  <c r="I134" i="191" a="1"/>
  <c r="I134" i="191" s="1"/>
  <c r="G134" i="191" a="1"/>
  <c r="G134" i="191" s="1"/>
  <c r="F134" i="191" a="1"/>
  <c r="F134" i="191" s="1"/>
  <c r="E134" i="191" a="1"/>
  <c r="E134" i="191" s="1"/>
  <c r="D134" i="191" a="1"/>
  <c r="D134" i="191" s="1"/>
  <c r="C134" i="191" a="1"/>
  <c r="C134" i="191" s="1"/>
  <c r="J133" i="191" a="1"/>
  <c r="J133" i="191" s="1"/>
  <c r="I133" i="191" a="1"/>
  <c r="I133" i="191" s="1"/>
  <c r="H133" i="191" a="1"/>
  <c r="H133" i="191" s="1"/>
  <c r="G133" i="191" a="1"/>
  <c r="G133" i="191" s="1"/>
  <c r="E133" i="191" a="1"/>
  <c r="E133" i="191" s="1"/>
  <c r="D133" i="191" a="1"/>
  <c r="D133" i="191" s="1"/>
  <c r="C133" i="191" a="1"/>
  <c r="C133" i="191" s="1"/>
  <c r="J132" i="191" a="1"/>
  <c r="J132" i="191" s="1"/>
  <c r="H132" i="191" a="1"/>
  <c r="H132" i="191" s="1"/>
  <c r="G132" i="191" a="1"/>
  <c r="G132" i="191" s="1"/>
  <c r="F132" i="191" a="1"/>
  <c r="F132" i="191" s="1"/>
  <c r="E132" i="191" a="1"/>
  <c r="E132" i="191" s="1"/>
  <c r="D132" i="191" a="1"/>
  <c r="D132" i="191" s="1"/>
  <c r="J131" i="191" a="1"/>
  <c r="J131" i="191" s="1"/>
  <c r="I131" i="191" a="1"/>
  <c r="I131" i="191" s="1"/>
  <c r="H131" i="191" a="1"/>
  <c r="H131" i="191" s="1"/>
  <c r="G131" i="191" a="1"/>
  <c r="G131" i="191" s="1"/>
  <c r="F131" i="191" a="1"/>
  <c r="F131" i="191" s="1"/>
  <c r="E131" i="191" a="1"/>
  <c r="E131" i="191" s="1"/>
  <c r="D131" i="191" a="1"/>
  <c r="D131" i="191" s="1"/>
  <c r="C131" i="191" a="1"/>
  <c r="C131" i="191" s="1"/>
  <c r="I130" i="191" a="1"/>
  <c r="I130" i="191" s="1"/>
  <c r="H130" i="191" a="1"/>
  <c r="H130" i="191" s="1"/>
  <c r="G130" i="191" a="1"/>
  <c r="G130" i="191" s="1"/>
  <c r="F130" i="191" a="1"/>
  <c r="F130" i="191" s="1"/>
  <c r="E130" i="191" a="1"/>
  <c r="E130" i="191" s="1"/>
  <c r="D130" i="191" a="1"/>
  <c r="D130" i="191" s="1"/>
  <c r="C130" i="191" a="1"/>
  <c r="C130" i="191" s="1"/>
  <c r="I129" i="191" a="1"/>
  <c r="I129" i="191" s="1"/>
  <c r="H129" i="191" a="1"/>
  <c r="H129" i="191" s="1"/>
  <c r="G129" i="191" a="1"/>
  <c r="G129" i="191" s="1"/>
  <c r="F129" i="191" a="1"/>
  <c r="F129" i="191" s="1"/>
  <c r="E129" i="191" a="1"/>
  <c r="E129" i="191" s="1"/>
  <c r="D129" i="191" a="1"/>
  <c r="D129" i="191" s="1"/>
  <c r="C129" i="191" a="1"/>
  <c r="C129" i="191" s="1"/>
  <c r="I128" i="191" a="1"/>
  <c r="I128" i="191" s="1"/>
  <c r="H128" i="191" a="1"/>
  <c r="H128" i="191" s="1"/>
  <c r="G128" i="191" a="1"/>
  <c r="G128" i="191" s="1"/>
  <c r="F128" i="191" a="1"/>
  <c r="F128" i="191" s="1"/>
  <c r="E128" i="191" a="1"/>
  <c r="E128" i="191" s="1"/>
  <c r="D128" i="191" a="1"/>
  <c r="D128" i="191" s="1"/>
  <c r="C128" i="191" a="1"/>
  <c r="C128" i="191" s="1"/>
  <c r="I127" i="191" a="1"/>
  <c r="I127" i="191" s="1"/>
  <c r="H127" i="191" a="1"/>
  <c r="H127" i="191" s="1"/>
  <c r="G127" i="191" a="1"/>
  <c r="G127" i="191" s="1"/>
  <c r="F127" i="191" a="1"/>
  <c r="F127" i="191" s="1"/>
  <c r="E127" i="191" a="1"/>
  <c r="E127" i="191" s="1"/>
  <c r="D127" i="191" a="1"/>
  <c r="D127" i="191" s="1"/>
  <c r="C127" i="191" a="1"/>
  <c r="C127" i="191" s="1"/>
  <c r="I126" i="191" a="1"/>
  <c r="I126" i="191" s="1"/>
  <c r="H126" i="191" a="1"/>
  <c r="H126" i="191" s="1"/>
  <c r="G126" i="191" a="1"/>
  <c r="G126" i="191" s="1"/>
  <c r="F126" i="191" a="1"/>
  <c r="F126" i="191" s="1"/>
  <c r="E126" i="191" a="1"/>
  <c r="E126" i="191" s="1"/>
  <c r="D126" i="191" a="1"/>
  <c r="D126" i="191" s="1"/>
  <c r="C126" i="191" a="1"/>
  <c r="C126" i="191" s="1"/>
  <c r="I125" i="191" a="1"/>
  <c r="I125" i="191" s="1"/>
  <c r="H125" i="191" a="1"/>
  <c r="H125" i="191" s="1"/>
  <c r="G125" i="191" a="1"/>
  <c r="G125" i="191" s="1"/>
  <c r="F125" i="191" a="1"/>
  <c r="F125" i="191" s="1"/>
  <c r="E125" i="191" a="1"/>
  <c r="E125" i="191" s="1"/>
  <c r="D125" i="191" a="1"/>
  <c r="D125" i="191" s="1"/>
  <c r="C125" i="191" a="1"/>
  <c r="C125" i="191" s="1"/>
  <c r="I124" i="191" a="1"/>
  <c r="I124" i="191" s="1"/>
  <c r="H124" i="191" a="1"/>
  <c r="H124" i="191" s="1"/>
  <c r="G124" i="191" a="1"/>
  <c r="G124" i="191" s="1"/>
  <c r="F124" i="191" a="1"/>
  <c r="F124" i="191" s="1"/>
  <c r="E124" i="191" a="1"/>
  <c r="E124" i="191" s="1"/>
  <c r="D124" i="191" a="1"/>
  <c r="D124" i="191" s="1"/>
  <c r="C124" i="191" a="1"/>
  <c r="C124" i="191" s="1"/>
  <c r="I123" i="191" a="1"/>
  <c r="I123" i="191" s="1"/>
  <c r="H123" i="191" a="1"/>
  <c r="H123" i="191" s="1"/>
  <c r="G123" i="191" a="1"/>
  <c r="G123" i="191" s="1"/>
  <c r="F123" i="191" a="1"/>
  <c r="F123" i="191" s="1"/>
  <c r="E123" i="191" a="1"/>
  <c r="E123" i="191" s="1"/>
  <c r="D123" i="191" a="1"/>
  <c r="D123" i="191" s="1"/>
  <c r="C123" i="191" a="1"/>
  <c r="C123" i="191" s="1"/>
  <c r="I122" i="191" a="1"/>
  <c r="I122" i="191" s="1"/>
  <c r="H122" i="191" a="1"/>
  <c r="H122" i="191" s="1"/>
  <c r="G122" i="191" a="1"/>
  <c r="G122" i="191" s="1"/>
  <c r="F122" i="191" a="1"/>
  <c r="F122" i="191" s="1"/>
  <c r="E122" i="191" a="1"/>
  <c r="E122" i="191" s="1"/>
  <c r="D122" i="191" a="1"/>
  <c r="D122" i="191" s="1"/>
  <c r="C122" i="191" a="1"/>
  <c r="C122" i="191" s="1"/>
  <c r="I121" i="191" a="1"/>
  <c r="I121" i="191" s="1"/>
  <c r="H121" i="191" a="1"/>
  <c r="H121" i="191" s="1"/>
  <c r="G121" i="191" a="1"/>
  <c r="G121" i="191" s="1"/>
  <c r="F121" i="191" a="1"/>
  <c r="F121" i="191" s="1"/>
  <c r="E121" i="191" a="1"/>
  <c r="E121" i="191" s="1"/>
  <c r="D121" i="191" a="1"/>
  <c r="D121" i="191" s="1"/>
  <c r="C121" i="191" a="1"/>
  <c r="C121" i="191" s="1"/>
  <c r="I120" i="191" a="1"/>
  <c r="I120" i="191" s="1"/>
  <c r="H120" i="191" a="1"/>
  <c r="H120" i="191" s="1"/>
  <c r="G120" i="191" a="1"/>
  <c r="G120" i="191" s="1"/>
  <c r="F120" i="191" a="1"/>
  <c r="F120" i="191" s="1"/>
  <c r="E120" i="191" a="1"/>
  <c r="E120" i="191" s="1"/>
  <c r="D120" i="191" a="1"/>
  <c r="D120" i="191" s="1"/>
  <c r="C120" i="191" a="1"/>
  <c r="C120" i="191" s="1"/>
  <c r="I119" i="191" a="1"/>
  <c r="I119" i="191" s="1"/>
  <c r="H119" i="191" a="1"/>
  <c r="H119" i="191" s="1"/>
  <c r="G119" i="191" a="1"/>
  <c r="G119" i="191" s="1"/>
  <c r="F119" i="191" a="1"/>
  <c r="F119" i="191" s="1"/>
  <c r="E119" i="191" a="1"/>
  <c r="E119" i="191" s="1"/>
  <c r="D119" i="191" a="1"/>
  <c r="D119" i="191" s="1"/>
  <c r="C119" i="191" a="1"/>
  <c r="C119" i="191" s="1"/>
  <c r="I118" i="191" a="1"/>
  <c r="I118" i="191" s="1"/>
  <c r="H118" i="191" a="1"/>
  <c r="H118" i="191" s="1"/>
  <c r="G118" i="191" a="1"/>
  <c r="G118" i="191" s="1"/>
  <c r="F118" i="191" a="1"/>
  <c r="F118" i="191" s="1"/>
  <c r="E118" i="191" a="1"/>
  <c r="E118" i="191" s="1"/>
  <c r="D118" i="191" a="1"/>
  <c r="D118" i="191" s="1"/>
  <c r="C118" i="191" a="1"/>
  <c r="C118" i="191" s="1"/>
  <c r="I117" i="191" a="1"/>
  <c r="I117" i="191" s="1"/>
  <c r="H117" i="191" a="1"/>
  <c r="H117" i="191" s="1"/>
  <c r="G117" i="191" a="1"/>
  <c r="G117" i="191" s="1"/>
  <c r="F117" i="191" a="1"/>
  <c r="F117" i="191" s="1"/>
  <c r="E117" i="191" a="1"/>
  <c r="E117" i="191" s="1"/>
  <c r="D117" i="191" a="1"/>
  <c r="D117" i="191" s="1"/>
  <c r="C117" i="191" a="1"/>
  <c r="C117" i="191" s="1"/>
  <c r="I116" i="191" a="1"/>
  <c r="I116" i="191" s="1"/>
  <c r="H116" i="191" a="1"/>
  <c r="H116" i="191" s="1"/>
  <c r="G116" i="191" a="1"/>
  <c r="G116" i="191" s="1"/>
  <c r="F116" i="191" a="1"/>
  <c r="F116" i="191" s="1"/>
  <c r="E116" i="191" a="1"/>
  <c r="E116" i="191" s="1"/>
  <c r="D116" i="191" a="1"/>
  <c r="D116" i="191" s="1"/>
  <c r="C116" i="191" a="1"/>
  <c r="C116" i="191" s="1"/>
  <c r="I115" i="191" a="1"/>
  <c r="I115" i="191" s="1"/>
  <c r="H115" i="191" a="1"/>
  <c r="H115" i="191" s="1"/>
  <c r="G115" i="191" a="1"/>
  <c r="G115" i="191" s="1"/>
  <c r="F115" i="191" a="1"/>
  <c r="F115" i="191" s="1"/>
  <c r="E115" i="191" a="1"/>
  <c r="E115" i="191" s="1"/>
  <c r="D115" i="191" a="1"/>
  <c r="D115" i="191" s="1"/>
  <c r="C115" i="191" a="1"/>
  <c r="C115" i="191" s="1"/>
  <c r="I114" i="191" a="1"/>
  <c r="I114" i="191" s="1"/>
  <c r="H114" i="191" a="1"/>
  <c r="H114" i="191" s="1"/>
  <c r="G114" i="191" a="1"/>
  <c r="G114" i="191" s="1"/>
  <c r="F114" i="191" a="1"/>
  <c r="F114" i="191" s="1"/>
  <c r="E114" i="191" a="1"/>
  <c r="E114" i="191" s="1"/>
  <c r="D114" i="191" a="1"/>
  <c r="D114" i="191" s="1"/>
  <c r="C114" i="191" a="1"/>
  <c r="C114" i="191" s="1"/>
  <c r="I113" i="191" a="1"/>
  <c r="I113" i="191" s="1"/>
  <c r="H113" i="191" a="1"/>
  <c r="H113" i="191" s="1"/>
  <c r="G113" i="191" a="1"/>
  <c r="G113" i="191" s="1"/>
  <c r="F113" i="191" a="1"/>
  <c r="F113" i="191" s="1"/>
  <c r="E113" i="191" a="1"/>
  <c r="E113" i="191" s="1"/>
  <c r="D113" i="191" a="1"/>
  <c r="D113" i="191" s="1"/>
  <c r="C113" i="191" a="1"/>
  <c r="C113" i="191" s="1"/>
  <c r="I112" i="191" a="1"/>
  <c r="I112" i="191" s="1"/>
  <c r="H112" i="191" a="1"/>
  <c r="H112" i="191" s="1"/>
  <c r="G112" i="191" a="1"/>
  <c r="G112" i="191" s="1"/>
  <c r="F112" i="191" a="1"/>
  <c r="F112" i="191" s="1"/>
  <c r="E112" i="191" a="1"/>
  <c r="E112" i="191" s="1"/>
  <c r="D112" i="191" a="1"/>
  <c r="D112" i="191" s="1"/>
  <c r="C112" i="191" a="1"/>
  <c r="C112" i="191" s="1"/>
  <c r="I111" i="191" a="1"/>
  <c r="I111" i="191" s="1"/>
  <c r="H111" i="191" a="1"/>
  <c r="H111" i="191" s="1"/>
  <c r="G111" i="191" a="1"/>
  <c r="G111" i="191" s="1"/>
  <c r="F111" i="191" a="1"/>
  <c r="F111" i="191" s="1"/>
  <c r="E111" i="191" a="1"/>
  <c r="E111" i="191" s="1"/>
  <c r="D111" i="191" a="1"/>
  <c r="D111" i="191" s="1"/>
  <c r="C111" i="191" a="1"/>
  <c r="C111" i="191" s="1"/>
  <c r="I110" i="191" a="1"/>
  <c r="I110" i="191" s="1"/>
  <c r="H110" i="191" a="1"/>
  <c r="H110" i="191" s="1"/>
  <c r="G110" i="191" a="1"/>
  <c r="G110" i="191" s="1"/>
  <c r="F110" i="191" a="1"/>
  <c r="F110" i="191" s="1"/>
  <c r="E110" i="191" a="1"/>
  <c r="E110" i="191" s="1"/>
  <c r="D110" i="191" a="1"/>
  <c r="D110" i="191" s="1"/>
  <c r="C110" i="191" a="1"/>
  <c r="C110" i="191" s="1"/>
  <c r="I109" i="191" a="1"/>
  <c r="I109" i="191" s="1"/>
  <c r="H109" i="191" a="1"/>
  <c r="H109" i="191" s="1"/>
  <c r="G109" i="191" a="1"/>
  <c r="G109" i="191" s="1"/>
  <c r="F109" i="191" a="1"/>
  <c r="F109" i="191" s="1"/>
  <c r="E109" i="191" a="1"/>
  <c r="E109" i="191" s="1"/>
  <c r="D109" i="191" a="1"/>
  <c r="D109" i="191" s="1"/>
  <c r="C109" i="191" a="1"/>
  <c r="C109" i="191" s="1"/>
  <c r="I108" i="191" a="1"/>
  <c r="I108" i="191" s="1"/>
  <c r="H108" i="191" a="1"/>
  <c r="H108" i="191" s="1"/>
  <c r="G108" i="191" a="1"/>
  <c r="G108" i="191" s="1"/>
  <c r="F108" i="191" a="1"/>
  <c r="F108" i="191" s="1"/>
  <c r="E108" i="191" a="1"/>
  <c r="E108" i="191" s="1"/>
  <c r="D108" i="191" a="1"/>
  <c r="D108" i="191" s="1"/>
  <c r="C108" i="191" a="1"/>
  <c r="C108" i="191" s="1"/>
  <c r="I107" i="191" a="1"/>
  <c r="I107" i="191" s="1"/>
  <c r="H107" i="191" a="1"/>
  <c r="H107" i="191" s="1"/>
  <c r="G107" i="191" a="1"/>
  <c r="G107" i="191" s="1"/>
  <c r="F107" i="191" a="1"/>
  <c r="F107" i="191" s="1"/>
  <c r="E107" i="191" a="1"/>
  <c r="E107" i="191" s="1"/>
  <c r="D107" i="191" a="1"/>
  <c r="D107" i="191" s="1"/>
  <c r="C107" i="191" a="1"/>
  <c r="C107" i="191" s="1"/>
  <c r="I106" i="191" a="1"/>
  <c r="I106" i="191" s="1"/>
  <c r="H106" i="191" a="1"/>
  <c r="H106" i="191" s="1"/>
  <c r="G106" i="191" a="1"/>
  <c r="G106" i="191" s="1"/>
  <c r="F106" i="191" a="1"/>
  <c r="F106" i="191" s="1"/>
  <c r="E106" i="191" a="1"/>
  <c r="E106" i="191" s="1"/>
  <c r="D106" i="191" a="1"/>
  <c r="D106" i="191" s="1"/>
  <c r="C106" i="191" a="1"/>
  <c r="C106" i="191" s="1"/>
  <c r="I105" i="191" a="1"/>
  <c r="I105" i="191" s="1"/>
  <c r="H105" i="191" a="1"/>
  <c r="H105" i="191" s="1"/>
  <c r="G105" i="191" a="1"/>
  <c r="G105" i="191" s="1"/>
  <c r="F105" i="191" a="1"/>
  <c r="F105" i="191" s="1"/>
  <c r="E105" i="191" a="1"/>
  <c r="E105" i="191" s="1"/>
  <c r="D105" i="191" a="1"/>
  <c r="D105" i="191" s="1"/>
  <c r="C105" i="191" a="1"/>
  <c r="C105" i="191" s="1"/>
  <c r="I104" i="191" a="1"/>
  <c r="I104" i="191" s="1"/>
  <c r="H104" i="191" a="1"/>
  <c r="H104" i="191" s="1"/>
  <c r="G104" i="191" a="1"/>
  <c r="G104" i="191" s="1"/>
  <c r="F104" i="191" a="1"/>
  <c r="F104" i="191" s="1"/>
  <c r="E104" i="191" a="1"/>
  <c r="E104" i="191" s="1"/>
  <c r="D104" i="191" a="1"/>
  <c r="D104" i="191" s="1"/>
  <c r="C104" i="191" a="1"/>
  <c r="C104" i="191" s="1"/>
  <c r="I103" i="191" a="1"/>
  <c r="I103" i="191" s="1"/>
  <c r="H103" i="191" a="1"/>
  <c r="H103" i="191" s="1"/>
  <c r="F23" i="191" s="1" a="1"/>
  <c r="F23" i="191" s="1"/>
  <c r="F103" i="191" a="1"/>
  <c r="F103" i="191" s="1"/>
  <c r="E103" i="191" a="1"/>
  <c r="E103" i="191" s="1"/>
  <c r="D103" i="191" a="1"/>
  <c r="D103" i="191" s="1"/>
  <c r="C103" i="191" a="1"/>
  <c r="C103" i="191" s="1"/>
  <c r="I102" i="191" a="1"/>
  <c r="I102" i="191" s="1"/>
  <c r="H102" i="191" a="1"/>
  <c r="H102" i="191" s="1"/>
  <c r="F19" i="191" s="1" a="1"/>
  <c r="F19" i="191" s="1"/>
  <c r="F102" i="191" a="1"/>
  <c r="F102" i="191" s="1"/>
  <c r="E102" i="191" a="1"/>
  <c r="E102" i="191" s="1"/>
  <c r="D102" i="191" a="1"/>
  <c r="D102" i="191" s="1"/>
  <c r="C102" i="191" a="1"/>
  <c r="C102" i="191" s="1"/>
  <c r="I101" i="191" a="1"/>
  <c r="I101" i="191" s="1"/>
  <c r="H101" i="191" a="1"/>
  <c r="H101" i="191" s="1"/>
  <c r="F101" i="191" a="1"/>
  <c r="F101" i="191" s="1"/>
  <c r="E101" i="191" a="1"/>
  <c r="E101" i="191" s="1"/>
  <c r="D101" i="191" a="1"/>
  <c r="D101" i="191" s="1"/>
  <c r="C101" i="191" a="1"/>
  <c r="C101" i="191" s="1"/>
  <c r="I100" i="191" a="1"/>
  <c r="I100" i="191" s="1"/>
  <c r="H100" i="191" a="1"/>
  <c r="H100" i="191" s="1"/>
  <c r="F16" i="191" s="1" a="1"/>
  <c r="F16" i="191" s="1"/>
  <c r="F100" i="191" a="1"/>
  <c r="F100" i="191" s="1"/>
  <c r="E100" i="191" a="1"/>
  <c r="E100" i="191" s="1"/>
  <c r="D100" i="191" a="1"/>
  <c r="D100" i="191" s="1"/>
  <c r="C100" i="191" a="1"/>
  <c r="C100" i="191" s="1"/>
  <c r="I99" i="191" a="1"/>
  <c r="I99" i="191" s="1"/>
  <c r="H99" i="191" a="1"/>
  <c r="H99" i="191" s="1"/>
  <c r="F20" i="191" s="1" a="1"/>
  <c r="F20" i="191" s="1"/>
  <c r="F99" i="191" a="1"/>
  <c r="F99" i="191" s="1"/>
  <c r="E99" i="191" a="1"/>
  <c r="E99" i="191" s="1"/>
  <c r="D99" i="191" a="1"/>
  <c r="D99" i="191" s="1"/>
  <c r="C99" i="191" a="1"/>
  <c r="C99" i="191" s="1"/>
  <c r="I98" i="191" a="1"/>
  <c r="I98" i="191" s="1"/>
  <c r="H98" i="191" a="1"/>
  <c r="H98" i="191" s="1"/>
  <c r="F21" i="191" s="1" a="1"/>
  <c r="F21" i="191" s="1"/>
  <c r="F98" i="191" a="1"/>
  <c r="F98" i="191" s="1"/>
  <c r="E98" i="191" a="1"/>
  <c r="E98" i="191" s="1"/>
  <c r="D98" i="191" a="1"/>
  <c r="D98" i="191" s="1"/>
  <c r="C98" i="191" a="1"/>
  <c r="C98" i="191" s="1"/>
  <c r="I97" i="191" a="1"/>
  <c r="I97" i="191" s="1"/>
  <c r="H97" i="191" a="1"/>
  <c r="H97" i="191" s="1"/>
  <c r="F18" i="191" s="1" a="1"/>
  <c r="F18" i="191" s="1"/>
  <c r="F97" i="191" a="1"/>
  <c r="F97" i="191" s="1"/>
  <c r="E97" i="191" a="1"/>
  <c r="E97" i="191" s="1"/>
  <c r="D97" i="191" a="1"/>
  <c r="D97" i="191" s="1"/>
  <c r="C97" i="191" a="1"/>
  <c r="C97" i="191" s="1"/>
  <c r="I96" i="191" a="1"/>
  <c r="I96" i="191" s="1"/>
  <c r="H96" i="191" a="1"/>
  <c r="H96" i="191" s="1"/>
  <c r="F22" i="191" s="1" a="1"/>
  <c r="F22" i="191" s="1"/>
  <c r="F96" i="191" a="1"/>
  <c r="F96" i="191" s="1"/>
  <c r="E96" i="191" a="1"/>
  <c r="E96" i="191" s="1"/>
  <c r="D96" i="191" a="1"/>
  <c r="D96" i="191" s="1"/>
  <c r="C96" i="191" a="1"/>
  <c r="C96" i="191" s="1"/>
  <c r="I95" i="191" a="1"/>
  <c r="I95" i="191" s="1"/>
  <c r="H95" i="191" a="1"/>
  <c r="H95" i="191" s="1"/>
  <c r="F17" i="191" s="1" a="1"/>
  <c r="F17" i="191" s="1"/>
  <c r="F95" i="191" a="1"/>
  <c r="F95" i="191" s="1"/>
  <c r="E95" i="191" a="1"/>
  <c r="E95" i="191" s="1"/>
  <c r="D95" i="191" a="1"/>
  <c r="D95" i="191" s="1"/>
  <c r="C95" i="191" a="1"/>
  <c r="C95" i="191" s="1"/>
  <c r="I94" i="191" a="1"/>
  <c r="I94" i="191" s="1"/>
  <c r="H94" i="191" a="1"/>
  <c r="H94" i="191" s="1"/>
  <c r="E23" i="191" s="1" a="1"/>
  <c r="E23" i="191" s="1"/>
  <c r="H23" i="191" s="1"/>
  <c r="F94" i="191" a="1"/>
  <c r="F94" i="191" s="1"/>
  <c r="E94" i="191" a="1"/>
  <c r="E94" i="191" s="1"/>
  <c r="D94" i="191" a="1"/>
  <c r="D94" i="191" s="1"/>
  <c r="C94" i="191" a="1"/>
  <c r="C94" i="191" s="1"/>
  <c r="I93" i="191" a="1"/>
  <c r="I93" i="191" s="1"/>
  <c r="H93" i="191" a="1"/>
  <c r="H93" i="191" s="1"/>
  <c r="F93" i="191" a="1"/>
  <c r="F93" i="191" s="1"/>
  <c r="E93" i="191" a="1"/>
  <c r="E93" i="191" s="1"/>
  <c r="D93" i="191" a="1"/>
  <c r="D93" i="191" s="1"/>
  <c r="C93" i="191" a="1"/>
  <c r="C93" i="191" s="1"/>
  <c r="I92" i="191" a="1"/>
  <c r="I92" i="191" s="1"/>
  <c r="H92" i="191" a="1"/>
  <c r="H92" i="191" s="1"/>
  <c r="E24" i="191" s="1" a="1"/>
  <c r="E24" i="191" s="1"/>
  <c r="H24" i="191" s="1"/>
  <c r="F92" i="191" a="1"/>
  <c r="F92" i="191" s="1"/>
  <c r="E92" i="191" a="1"/>
  <c r="E92" i="191" s="1"/>
  <c r="D92" i="191" a="1"/>
  <c r="D92" i="191" s="1"/>
  <c r="C92" i="191" a="1"/>
  <c r="C92" i="191" s="1"/>
  <c r="I91" i="191" a="1"/>
  <c r="I91" i="191" s="1"/>
  <c r="H91" i="191" a="1"/>
  <c r="H91" i="191" s="1"/>
  <c r="E16" i="191" s="1" a="1"/>
  <c r="E16" i="191" s="1"/>
  <c r="H16" i="191" s="1"/>
  <c r="F91" i="191" a="1"/>
  <c r="F91" i="191" s="1"/>
  <c r="E91" i="191" a="1"/>
  <c r="E91" i="191" s="1"/>
  <c r="D91" i="191" a="1"/>
  <c r="D91" i="191" s="1"/>
  <c r="C91" i="191" a="1"/>
  <c r="C91" i="191" s="1"/>
  <c r="I90" i="191" a="1"/>
  <c r="I90" i="191" s="1"/>
  <c r="H90" i="191" a="1"/>
  <c r="H90" i="191" s="1"/>
  <c r="E20" i="191" s="1" a="1"/>
  <c r="E20" i="191" s="1"/>
  <c r="H20" i="191" s="1"/>
  <c r="F90" i="191" a="1"/>
  <c r="F90" i="191" s="1"/>
  <c r="E90" i="191" a="1"/>
  <c r="E90" i="191" s="1"/>
  <c r="D90" i="191" a="1"/>
  <c r="D90" i="191" s="1"/>
  <c r="C90" i="191" a="1"/>
  <c r="C90" i="191" s="1"/>
  <c r="I89" i="191" a="1"/>
  <c r="I89" i="191" s="1"/>
  <c r="H89" i="191" a="1"/>
  <c r="H89" i="191" s="1"/>
  <c r="E21" i="191" s="1" a="1"/>
  <c r="E21" i="191" s="1"/>
  <c r="H21" i="191" s="1"/>
  <c r="F89" i="191" a="1"/>
  <c r="F89" i="191" s="1"/>
  <c r="E89" i="191" a="1"/>
  <c r="E89" i="191" s="1"/>
  <c r="D89" i="191" a="1"/>
  <c r="D89" i="191" s="1"/>
  <c r="C89" i="191" a="1"/>
  <c r="C89" i="191" s="1"/>
  <c r="I88" i="191" a="1"/>
  <c r="I88" i="191" s="1"/>
  <c r="H88" i="191" a="1"/>
  <c r="H88" i="191" s="1"/>
  <c r="E18" i="191" s="1" a="1"/>
  <c r="E18" i="191" s="1"/>
  <c r="H18" i="191" s="1"/>
  <c r="F88" i="191" a="1"/>
  <c r="F88" i="191" s="1"/>
  <c r="E88" i="191" a="1"/>
  <c r="E88" i="191" s="1"/>
  <c r="D88" i="191" a="1"/>
  <c r="D88" i="191" s="1"/>
  <c r="C88" i="191" a="1"/>
  <c r="C88" i="191" s="1"/>
  <c r="I87" i="191" a="1"/>
  <c r="I87" i="191" s="1"/>
  <c r="H87" i="191" a="1"/>
  <c r="H87" i="191" s="1"/>
  <c r="E22" i="191" s="1" a="1"/>
  <c r="E22" i="191" s="1"/>
  <c r="H22" i="191" s="1"/>
  <c r="F87" i="191" a="1"/>
  <c r="F87" i="191" s="1"/>
  <c r="E87" i="191" a="1"/>
  <c r="E87" i="191" s="1"/>
  <c r="D87" i="191" a="1"/>
  <c r="D87" i="191" s="1"/>
  <c r="C87" i="191" a="1"/>
  <c r="C87" i="191" s="1"/>
  <c r="I86" i="191" a="1"/>
  <c r="I86" i="191" s="1"/>
  <c r="H86" i="191" a="1"/>
  <c r="H86" i="191" s="1"/>
  <c r="E17" i="191" s="1" a="1"/>
  <c r="E17" i="191" s="1"/>
  <c r="H17" i="191" s="1"/>
  <c r="F86" i="191" a="1"/>
  <c r="F86" i="191" s="1"/>
  <c r="E86" i="191" a="1"/>
  <c r="E86" i="191" s="1"/>
  <c r="D86" i="191" a="1"/>
  <c r="D86" i="191" s="1"/>
  <c r="C86" i="191" a="1"/>
  <c r="C86" i="191" s="1"/>
  <c r="I85" i="191" a="1"/>
  <c r="I85" i="191" s="1"/>
  <c r="H85" i="191" a="1"/>
  <c r="H85" i="191" s="1"/>
  <c r="F85" i="191" a="1"/>
  <c r="F85" i="191" s="1"/>
  <c r="C23" i="191" s="1" a="1"/>
  <c r="C23" i="191" s="1"/>
  <c r="E85" i="191" a="1"/>
  <c r="E85" i="191" s="1"/>
  <c r="D85" i="191" a="1"/>
  <c r="D85" i="191" s="1"/>
  <c r="C85" i="191" a="1"/>
  <c r="C85" i="191" s="1"/>
  <c r="I84" i="191" a="1"/>
  <c r="I84" i="191" s="1"/>
  <c r="H84" i="191" a="1"/>
  <c r="H84" i="191" s="1"/>
  <c r="D19" i="191" s="1" a="1"/>
  <c r="D19" i="191" s="1"/>
  <c r="F84" i="191" a="1"/>
  <c r="F84" i="191" s="1"/>
  <c r="C19" i="191" s="1" a="1"/>
  <c r="C19" i="191" s="1"/>
  <c r="E84" i="191" a="1"/>
  <c r="E84" i="191" s="1"/>
  <c r="D84" i="191" a="1"/>
  <c r="D84" i="191" s="1"/>
  <c r="C84" i="191" a="1"/>
  <c r="C84" i="191" s="1"/>
  <c r="I83" i="191" a="1"/>
  <c r="I83" i="191" s="1"/>
  <c r="H83" i="191" a="1"/>
  <c r="H83" i="191" s="1"/>
  <c r="D24" i="191" s="1" a="1"/>
  <c r="D24" i="191" s="1"/>
  <c r="F83" i="191" a="1"/>
  <c r="F83" i="191" s="1"/>
  <c r="C24" i="191" s="1" a="1"/>
  <c r="C24" i="191" s="1"/>
  <c r="E83" i="191" a="1"/>
  <c r="E83" i="191" s="1"/>
  <c r="D83" i="191" a="1"/>
  <c r="D83" i="191" s="1"/>
  <c r="C83" i="191" a="1"/>
  <c r="C83" i="191" s="1"/>
  <c r="I82" i="191" a="1"/>
  <c r="I82" i="191" s="1"/>
  <c r="H82" i="191" a="1"/>
  <c r="H82" i="191" s="1"/>
  <c r="D16" i="191" s="1" a="1"/>
  <c r="D16" i="191" s="1"/>
  <c r="F82" i="191" a="1"/>
  <c r="F82" i="191" s="1"/>
  <c r="C16" i="191" s="1" a="1"/>
  <c r="C16" i="191" s="1"/>
  <c r="E82" i="191" a="1"/>
  <c r="E82" i="191" s="1"/>
  <c r="D82" i="191" a="1"/>
  <c r="D82" i="191" s="1"/>
  <c r="C82" i="191" a="1"/>
  <c r="C82" i="191" s="1"/>
  <c r="I81" i="191" a="1"/>
  <c r="I81" i="191" s="1"/>
  <c r="H81" i="191" a="1"/>
  <c r="H81" i="191" s="1"/>
  <c r="D20" i="191" s="1" a="1"/>
  <c r="D20" i="191" s="1"/>
  <c r="F81" i="191" a="1"/>
  <c r="F81" i="191" s="1"/>
  <c r="C20" i="191" s="1" a="1"/>
  <c r="C20" i="191" s="1"/>
  <c r="E81" i="191" a="1"/>
  <c r="E81" i="191" s="1"/>
  <c r="D81" i="191" a="1"/>
  <c r="D81" i="191" s="1"/>
  <c r="C81" i="191" a="1"/>
  <c r="C81" i="191" s="1"/>
  <c r="I80" i="191" a="1"/>
  <c r="I80" i="191" s="1"/>
  <c r="H80" i="191" a="1"/>
  <c r="H80" i="191" s="1"/>
  <c r="D21" i="191" s="1" a="1"/>
  <c r="D21" i="191" s="1"/>
  <c r="F80" i="191" a="1"/>
  <c r="F80" i="191" s="1"/>
  <c r="C21" i="191" s="1" a="1"/>
  <c r="C21" i="191" s="1"/>
  <c r="E80" i="191" a="1"/>
  <c r="E80" i="191" s="1"/>
  <c r="D80" i="191" a="1"/>
  <c r="D80" i="191" s="1"/>
  <c r="C80" i="191" a="1"/>
  <c r="C80" i="191" s="1"/>
  <c r="I79" i="191" a="1"/>
  <c r="I79" i="191" s="1"/>
  <c r="H79" i="191" a="1"/>
  <c r="H79" i="191" s="1"/>
  <c r="D18" i="191" s="1" a="1"/>
  <c r="D18" i="191" s="1"/>
  <c r="F79" i="191" a="1"/>
  <c r="F79" i="191" s="1"/>
  <c r="C18" i="191" s="1" a="1"/>
  <c r="C18" i="191" s="1"/>
  <c r="E79" i="191" a="1"/>
  <c r="E79" i="191" s="1"/>
  <c r="D79" i="191" a="1"/>
  <c r="D79" i="191" s="1"/>
  <c r="C79" i="191" a="1"/>
  <c r="C79" i="191" s="1"/>
  <c r="I78" i="191" a="1"/>
  <c r="I78" i="191" s="1"/>
  <c r="H78" i="191" a="1"/>
  <c r="H78" i="191" s="1"/>
  <c r="D22" i="191" s="1" a="1"/>
  <c r="D22" i="191" s="1"/>
  <c r="F78" i="191" a="1"/>
  <c r="F78" i="191" s="1"/>
  <c r="C22" i="191" s="1" a="1"/>
  <c r="C22" i="191" s="1"/>
  <c r="E78" i="191" a="1"/>
  <c r="E78" i="191" s="1"/>
  <c r="D78" i="191" a="1"/>
  <c r="D78" i="191" s="1"/>
  <c r="C78" i="191" a="1"/>
  <c r="C78" i="191" s="1"/>
  <c r="I77" i="191" a="1"/>
  <c r="I77" i="191" s="1"/>
  <c r="H77" i="191" a="1"/>
  <c r="H77" i="191" s="1"/>
  <c r="D17" i="191" s="1" a="1"/>
  <c r="D17" i="191" s="1"/>
  <c r="F77" i="191" a="1"/>
  <c r="F77" i="191" s="1"/>
  <c r="C17" i="191" s="1" a="1"/>
  <c r="C17" i="191" s="1"/>
  <c r="E77" i="191" a="1"/>
  <c r="E77" i="191" s="1"/>
  <c r="D77" i="191" a="1"/>
  <c r="D77" i="191" s="1"/>
  <c r="C77" i="191" a="1"/>
  <c r="C77" i="191" s="1"/>
  <c r="AV59" i="191"/>
  <c r="AU59" i="191"/>
  <c r="AT59" i="191"/>
  <c r="AS59" i="191"/>
  <c r="AR59" i="191"/>
  <c r="AQ59" i="191"/>
  <c r="AP59" i="191"/>
  <c r="AO59" i="191"/>
  <c r="AN59" i="191"/>
  <c r="AM59" i="191"/>
  <c r="AL59" i="191"/>
  <c r="AK59" i="191"/>
  <c r="AJ59" i="191"/>
  <c r="AI59" i="191"/>
  <c r="AH59" i="191"/>
  <c r="AG59" i="191"/>
  <c r="AF59" i="191"/>
  <c r="AE59" i="191"/>
  <c r="AD59" i="191"/>
  <c r="AC59" i="191"/>
  <c r="AB59" i="191"/>
  <c r="AA59" i="191"/>
  <c r="Z59" i="191"/>
  <c r="Y59" i="191"/>
  <c r="X59" i="191"/>
  <c r="W59" i="191"/>
  <c r="V59" i="191"/>
  <c r="U59" i="191"/>
  <c r="T59" i="191"/>
  <c r="S59" i="191"/>
  <c r="R59" i="191"/>
  <c r="Q59" i="191"/>
  <c r="P59" i="191"/>
  <c r="O59" i="191"/>
  <c r="N59" i="191"/>
  <c r="M59" i="191"/>
  <c r="L59" i="191"/>
  <c r="K59" i="191"/>
  <c r="J59" i="191"/>
  <c r="I59" i="191"/>
  <c r="H59" i="191"/>
  <c r="G59" i="191"/>
  <c r="F59" i="191"/>
  <c r="E59" i="191"/>
  <c r="D59" i="191"/>
  <c r="C59" i="191"/>
  <c r="F24" i="191" a="1"/>
  <c r="F24" i="191" s="1"/>
  <c r="D23" i="191" a="1"/>
  <c r="D23" i="191" s="1"/>
  <c r="E19" i="191" a="1"/>
  <c r="E19" i="191" s="1"/>
  <c r="H19" i="191" s="1"/>
  <c r="B5" i="191"/>
  <c r="F140" i="190" a="1"/>
  <c r="F140" i="190" s="1"/>
  <c r="E140" i="190" a="1"/>
  <c r="E140" i="190" s="1"/>
  <c r="C140" i="190" a="1"/>
  <c r="C140" i="190" s="1"/>
  <c r="F139" i="190" a="1"/>
  <c r="F139" i="190" s="1"/>
  <c r="E139" i="190" a="1"/>
  <c r="E139" i="190" s="1"/>
  <c r="C139" i="190" a="1"/>
  <c r="C139" i="190" s="1"/>
  <c r="F138" i="190" a="1"/>
  <c r="F138" i="190" s="1"/>
  <c r="E138" i="190" a="1"/>
  <c r="E138" i="190" s="1"/>
  <c r="C138" i="190" a="1"/>
  <c r="C138" i="190" s="1"/>
  <c r="C137" i="190" a="1"/>
  <c r="C137" i="190" s="1"/>
  <c r="F136" i="190" a="1"/>
  <c r="F136" i="190" s="1"/>
  <c r="E136" i="190" a="1"/>
  <c r="E136" i="190" s="1"/>
  <c r="C136" i="190" a="1"/>
  <c r="C136" i="190" s="1"/>
  <c r="E135" i="190" a="1"/>
  <c r="E135" i="190" s="1"/>
  <c r="C135" i="190" a="1"/>
  <c r="C135" i="190" s="1"/>
  <c r="F134" i="190" a="1"/>
  <c r="F134" i="190" s="1"/>
  <c r="E134" i="190" a="1"/>
  <c r="E134" i="190" s="1"/>
  <c r="C134" i="190" a="1"/>
  <c r="C134" i="190" s="1"/>
  <c r="H133" i="190" a="1"/>
  <c r="H133" i="190" s="1"/>
  <c r="E133" i="190" a="1"/>
  <c r="E133" i="190" s="1"/>
  <c r="D133" i="190" a="1"/>
  <c r="D133" i="190" s="1"/>
  <c r="E132" i="190" a="1"/>
  <c r="E132" i="190" s="1"/>
  <c r="D132" i="190" a="1"/>
  <c r="D132" i="190" s="1"/>
  <c r="I131" i="190" a="1"/>
  <c r="I131" i="190" s="1"/>
  <c r="H131" i="190" a="1"/>
  <c r="H131" i="190" s="1"/>
  <c r="E131" i="190" a="1"/>
  <c r="E131" i="190" s="1"/>
  <c r="C131" i="190" a="1"/>
  <c r="C131" i="190" s="1"/>
  <c r="I130" i="190" a="1"/>
  <c r="I130" i="190" s="1"/>
  <c r="E130" i="190" a="1"/>
  <c r="E130" i="190" s="1"/>
  <c r="D130" i="190" a="1"/>
  <c r="D130" i="190" s="1"/>
  <c r="C130" i="190" a="1"/>
  <c r="C130" i="190" s="1"/>
  <c r="D129" i="190" a="1"/>
  <c r="D129" i="190" s="1"/>
  <c r="J128" i="190" a="1"/>
  <c r="J128" i="190" s="1"/>
  <c r="E128" i="190" a="1"/>
  <c r="E128" i="190" s="1"/>
  <c r="D128" i="190" a="1"/>
  <c r="D128" i="190" s="1"/>
  <c r="I127" i="190" a="1"/>
  <c r="I127" i="190" s="1"/>
  <c r="H127" i="190" a="1"/>
  <c r="H127" i="190" s="1"/>
  <c r="E127" i="190" a="1"/>
  <c r="E127" i="190" s="1"/>
  <c r="C127" i="190" a="1"/>
  <c r="C127" i="190" s="1"/>
  <c r="I126" i="190" a="1"/>
  <c r="I126" i="190" s="1"/>
  <c r="H126" i="190" a="1"/>
  <c r="H126" i="190" s="1"/>
  <c r="F126" i="190" a="1"/>
  <c r="F126" i="190" s="1"/>
  <c r="E126" i="190" a="1"/>
  <c r="E126" i="190" s="1"/>
  <c r="D126" i="190" a="1"/>
  <c r="D126" i="190" s="1"/>
  <c r="C126" i="190" a="1"/>
  <c r="C126" i="190" s="1"/>
  <c r="G125" i="190" a="1"/>
  <c r="G125" i="190" s="1"/>
  <c r="F125" i="190" a="1"/>
  <c r="F125" i="190" s="1"/>
  <c r="E125" i="190" a="1"/>
  <c r="E125" i="190" s="1"/>
  <c r="D125" i="190" a="1"/>
  <c r="D125" i="190" s="1"/>
  <c r="C125" i="190" a="1"/>
  <c r="C125" i="190" s="1"/>
  <c r="F124" i="190" a="1"/>
  <c r="F124" i="190" s="1"/>
  <c r="E124" i="190" a="1"/>
  <c r="E124" i="190" s="1"/>
  <c r="D124" i="190" a="1"/>
  <c r="D124" i="190" s="1"/>
  <c r="F123" i="190" a="1"/>
  <c r="F123" i="190" s="1"/>
  <c r="E123" i="190" a="1"/>
  <c r="E123" i="190" s="1"/>
  <c r="D123" i="190" a="1"/>
  <c r="D123" i="190" s="1"/>
  <c r="J122" i="190" a="1"/>
  <c r="J122" i="190" s="1"/>
  <c r="F122" i="190" a="1"/>
  <c r="F122" i="190" s="1"/>
  <c r="E122" i="190" a="1"/>
  <c r="E122" i="190" s="1"/>
  <c r="D122" i="190" a="1"/>
  <c r="D122" i="190" s="1"/>
  <c r="J121" i="190" a="1"/>
  <c r="J121" i="190" s="1"/>
  <c r="F121" i="190" a="1"/>
  <c r="F121" i="190" s="1"/>
  <c r="E121" i="190" a="1"/>
  <c r="E121" i="190" s="1"/>
  <c r="D121" i="190" a="1"/>
  <c r="D121" i="190" s="1"/>
  <c r="F120" i="190" a="1"/>
  <c r="F120" i="190" s="1"/>
  <c r="E120" i="190" a="1"/>
  <c r="E120" i="190" s="1"/>
  <c r="D120" i="190" a="1"/>
  <c r="D120" i="190" s="1"/>
  <c r="F119" i="190" a="1"/>
  <c r="F119" i="190" s="1"/>
  <c r="E119" i="190" a="1"/>
  <c r="E119" i="190" s="1"/>
  <c r="D119" i="190" a="1"/>
  <c r="D119" i="190" s="1"/>
  <c r="H118" i="190" a="1"/>
  <c r="H118" i="190" s="1"/>
  <c r="F118" i="190" a="1"/>
  <c r="F118" i="190" s="1"/>
  <c r="E118" i="190" a="1"/>
  <c r="E118" i="190" s="1"/>
  <c r="D118" i="190" a="1"/>
  <c r="D118" i="190" s="1"/>
  <c r="C118" i="190" a="1"/>
  <c r="C118" i="190" s="1"/>
  <c r="I117" i="190" a="1"/>
  <c r="I117" i="190" s="1"/>
  <c r="F117" i="190" a="1"/>
  <c r="F117" i="190" s="1"/>
  <c r="E117" i="190" a="1"/>
  <c r="E117" i="190" s="1"/>
  <c r="D117" i="190" a="1"/>
  <c r="D117" i="190" s="1"/>
  <c r="C117" i="190" a="1"/>
  <c r="C117" i="190" s="1"/>
  <c r="H116" i="190" a="1"/>
  <c r="H116" i="190" s="1"/>
  <c r="F116" i="190" a="1"/>
  <c r="F116" i="190" s="1"/>
  <c r="E116" i="190" a="1"/>
  <c r="E116" i="190" s="1"/>
  <c r="D116" i="190" a="1"/>
  <c r="D116" i="190" s="1"/>
  <c r="F115" i="190" a="1"/>
  <c r="F115" i="190" s="1"/>
  <c r="E115" i="190" a="1"/>
  <c r="E115" i="190" s="1"/>
  <c r="D115" i="190" a="1"/>
  <c r="D115" i="190" s="1"/>
  <c r="F114" i="190" a="1"/>
  <c r="F114" i="190" s="1"/>
  <c r="E114" i="190" a="1"/>
  <c r="E114" i="190" s="1"/>
  <c r="D114" i="190" a="1"/>
  <c r="D114" i="190" s="1"/>
  <c r="J113" i="190" a="1"/>
  <c r="J113" i="190" s="1"/>
  <c r="H113" i="190" a="1"/>
  <c r="H113" i="190" s="1"/>
  <c r="F113" i="190" a="1"/>
  <c r="F113" i="190" s="1"/>
  <c r="E113" i="190" a="1"/>
  <c r="E113" i="190" s="1"/>
  <c r="D113" i="190" a="1"/>
  <c r="D113" i="190" s="1"/>
  <c r="F112" i="190" a="1"/>
  <c r="F112" i="190" s="1"/>
  <c r="E112" i="190" a="1"/>
  <c r="E112" i="190" s="1"/>
  <c r="D112" i="190" a="1"/>
  <c r="D112" i="190" s="1"/>
  <c r="F111" i="190" a="1"/>
  <c r="F111" i="190" s="1"/>
  <c r="E111" i="190" a="1"/>
  <c r="E111" i="190" s="1"/>
  <c r="D111" i="190" a="1"/>
  <c r="D111" i="190" s="1"/>
  <c r="F110" i="190" a="1"/>
  <c r="F110" i="190" s="1"/>
  <c r="E110" i="190" a="1"/>
  <c r="E110" i="190" s="1"/>
  <c r="D110" i="190" a="1"/>
  <c r="D110" i="190" s="1"/>
  <c r="F109" i="190" a="1"/>
  <c r="F109" i="190" s="1"/>
  <c r="E109" i="190" a="1"/>
  <c r="E109" i="190" s="1"/>
  <c r="D109" i="190" a="1"/>
  <c r="D109" i="190" s="1"/>
  <c r="F108" i="190" a="1"/>
  <c r="F108" i="190" s="1"/>
  <c r="E108" i="190" a="1"/>
  <c r="E108" i="190" s="1"/>
  <c r="D108" i="190" a="1"/>
  <c r="D108" i="190" s="1"/>
  <c r="F107" i="190" a="1"/>
  <c r="F107" i="190" s="1"/>
  <c r="E107" i="190" a="1"/>
  <c r="E107" i="190" s="1"/>
  <c r="D107" i="190" a="1"/>
  <c r="D107" i="190" s="1"/>
  <c r="F106" i="190" a="1"/>
  <c r="F106" i="190" s="1"/>
  <c r="E106" i="190" a="1"/>
  <c r="E106" i="190" s="1"/>
  <c r="D106" i="190" a="1"/>
  <c r="D106" i="190" s="1"/>
  <c r="F105" i="190" a="1"/>
  <c r="F105" i="190" s="1"/>
  <c r="E105" i="190" a="1"/>
  <c r="E105" i="190" s="1"/>
  <c r="D105" i="190" a="1"/>
  <c r="D105" i="190" s="1"/>
  <c r="F104" i="190" a="1"/>
  <c r="F104" i="190" s="1"/>
  <c r="E104" i="190" a="1"/>
  <c r="E104" i="190" s="1"/>
  <c r="D104" i="190" a="1"/>
  <c r="D104" i="190" s="1"/>
  <c r="F103" i="190" a="1"/>
  <c r="F103" i="190" s="1"/>
  <c r="E103" i="190" a="1"/>
  <c r="E103" i="190" s="1"/>
  <c r="D103" i="190" a="1"/>
  <c r="D103" i="190" s="1"/>
  <c r="F102" i="190" a="1"/>
  <c r="F102" i="190" s="1"/>
  <c r="E102" i="190" a="1"/>
  <c r="E102" i="190" s="1"/>
  <c r="D102" i="190" a="1"/>
  <c r="D102" i="190" s="1"/>
  <c r="F101" i="190" a="1"/>
  <c r="F101" i="190" s="1"/>
  <c r="E101" i="190" a="1"/>
  <c r="E101" i="190" s="1"/>
  <c r="D101" i="190" a="1"/>
  <c r="D101" i="190" s="1"/>
  <c r="F100" i="190" a="1"/>
  <c r="F100" i="190" s="1"/>
  <c r="E100" i="190" a="1"/>
  <c r="E100" i="190" s="1"/>
  <c r="D100" i="190" a="1"/>
  <c r="D100" i="190" s="1"/>
  <c r="F99" i="190" a="1"/>
  <c r="F99" i="190" s="1"/>
  <c r="E99" i="190" a="1"/>
  <c r="E99" i="190" s="1"/>
  <c r="D99" i="190" a="1"/>
  <c r="D99" i="190" s="1"/>
  <c r="F98" i="190" a="1"/>
  <c r="F98" i="190" s="1"/>
  <c r="E98" i="190" a="1"/>
  <c r="E98" i="190" s="1"/>
  <c r="D98" i="190" a="1"/>
  <c r="D98" i="190" s="1"/>
  <c r="F97" i="190" a="1"/>
  <c r="F97" i="190" s="1"/>
  <c r="E97" i="190" a="1"/>
  <c r="E97" i="190" s="1"/>
  <c r="D97" i="190" a="1"/>
  <c r="D97" i="190" s="1"/>
  <c r="F96" i="190" a="1"/>
  <c r="F96" i="190" s="1"/>
  <c r="E96" i="190" a="1"/>
  <c r="E96" i="190" s="1"/>
  <c r="D96" i="190" a="1"/>
  <c r="D96" i="190" s="1"/>
  <c r="F95" i="190" a="1"/>
  <c r="F95" i="190" s="1"/>
  <c r="E95" i="190" a="1"/>
  <c r="E95" i="190" s="1"/>
  <c r="D95" i="190" a="1"/>
  <c r="D95" i="190" s="1"/>
  <c r="F94" i="190" a="1"/>
  <c r="F94" i="190" s="1"/>
  <c r="E94" i="190" a="1"/>
  <c r="E94" i="190" s="1"/>
  <c r="D94" i="190" a="1"/>
  <c r="D94" i="190" s="1"/>
  <c r="F93" i="190" a="1"/>
  <c r="F93" i="190" s="1"/>
  <c r="E93" i="190" a="1"/>
  <c r="E93" i="190" s="1"/>
  <c r="D93" i="190" a="1"/>
  <c r="D93" i="190" s="1"/>
  <c r="F92" i="190" a="1"/>
  <c r="F92" i="190" s="1"/>
  <c r="E92" i="190" a="1"/>
  <c r="E92" i="190" s="1"/>
  <c r="D92" i="190" a="1"/>
  <c r="D92" i="190" s="1"/>
  <c r="D91" i="190" a="1"/>
  <c r="D91" i="190" s="1"/>
  <c r="C91" i="190" a="1"/>
  <c r="C91" i="190" s="1"/>
  <c r="D90" i="190" a="1"/>
  <c r="D90" i="190" s="1"/>
  <c r="C90" i="190" a="1"/>
  <c r="C90" i="190" s="1"/>
  <c r="D89" i="190" a="1"/>
  <c r="D89" i="190" s="1"/>
  <c r="C89" i="190" a="1"/>
  <c r="C89" i="190" s="1"/>
  <c r="D88" i="190" a="1"/>
  <c r="D88" i="190" s="1"/>
  <c r="C88" i="190" a="1"/>
  <c r="C88" i="190" s="1"/>
  <c r="D87" i="190" a="1"/>
  <c r="D87" i="190" s="1"/>
  <c r="C87" i="190" a="1"/>
  <c r="C87" i="190" s="1"/>
  <c r="D86" i="190" a="1"/>
  <c r="D86" i="190" s="1"/>
  <c r="C86" i="190" a="1"/>
  <c r="C86" i="190" s="1"/>
  <c r="D85" i="190" a="1"/>
  <c r="D85" i="190" s="1"/>
  <c r="C85" i="190" a="1"/>
  <c r="C85" i="190" s="1"/>
  <c r="D84" i="190" a="1"/>
  <c r="D84" i="190" s="1"/>
  <c r="C84" i="190" a="1"/>
  <c r="C84" i="190" s="1"/>
  <c r="F83" i="190" a="1"/>
  <c r="F83" i="190" s="1"/>
  <c r="D83" i="190" a="1"/>
  <c r="D83" i="190" s="1"/>
  <c r="C83" i="190" a="1"/>
  <c r="C83" i="190" s="1"/>
  <c r="D82" i="190" a="1"/>
  <c r="D82" i="190" s="1"/>
  <c r="C82" i="190" a="1"/>
  <c r="C82" i="190" s="1"/>
  <c r="D81" i="190" a="1"/>
  <c r="D81" i="190" s="1"/>
  <c r="C81" i="190" a="1"/>
  <c r="C81" i="190" s="1"/>
  <c r="D80" i="190" a="1"/>
  <c r="D80" i="190" s="1"/>
  <c r="C80" i="190" a="1"/>
  <c r="C80" i="190" s="1"/>
  <c r="I79" i="190" a="1"/>
  <c r="I79" i="190" s="1"/>
  <c r="D79" i="190" a="1"/>
  <c r="D79" i="190" s="1"/>
  <c r="C79" i="190" a="1"/>
  <c r="C79" i="190" s="1"/>
  <c r="E78" i="190" a="1"/>
  <c r="E78" i="190" s="1"/>
  <c r="D78" i="190" a="1"/>
  <c r="D78" i="190" s="1"/>
  <c r="C78" i="190" a="1"/>
  <c r="C78" i="190" s="1"/>
  <c r="E77" i="190" a="1"/>
  <c r="E77" i="190" s="1"/>
  <c r="D77" i="190" a="1"/>
  <c r="D77" i="190" s="1"/>
  <c r="C77" i="190" a="1"/>
  <c r="C77" i="190" s="1"/>
  <c r="D76" i="190" a="1"/>
  <c r="D76" i="190" s="1"/>
  <c r="C76" i="190" a="1"/>
  <c r="C76" i="190" s="1"/>
  <c r="F75" i="190" a="1"/>
  <c r="F75" i="190" s="1"/>
  <c r="C19" i="190" s="1" a="1"/>
  <c r="C19" i="190" s="1"/>
  <c r="D75" i="190" a="1"/>
  <c r="D75" i="190" s="1"/>
  <c r="C75" i="190" a="1"/>
  <c r="C75" i="190" s="1"/>
  <c r="D74" i="190" a="1"/>
  <c r="D74" i="190" s="1"/>
  <c r="C74" i="190" a="1"/>
  <c r="C74" i="190" s="1"/>
  <c r="I73" i="190" a="1"/>
  <c r="I73" i="190" s="1"/>
  <c r="F73" i="190" a="1"/>
  <c r="F73" i="190" s="1"/>
  <c r="C18" i="190" s="1" a="1"/>
  <c r="C18" i="190" s="1"/>
  <c r="D73" i="190" a="1"/>
  <c r="D73" i="190" s="1"/>
  <c r="C73" i="190" a="1"/>
  <c r="C73" i="190" s="1"/>
  <c r="I72" i="190" a="1"/>
  <c r="I72" i="190" s="1"/>
  <c r="H72" i="190" a="1"/>
  <c r="H72" i="190" s="1"/>
  <c r="D21" i="190" s="1" a="1"/>
  <c r="D21" i="190" s="1"/>
  <c r="E72" i="190" a="1"/>
  <c r="E72" i="190" s="1"/>
  <c r="D72" i="190" a="1"/>
  <c r="D72" i="190" s="1"/>
  <c r="C72" i="190" a="1"/>
  <c r="C72" i="190" s="1"/>
  <c r="I71" i="190" a="1"/>
  <c r="I71" i="190" s="1"/>
  <c r="D71" i="190" a="1"/>
  <c r="D71" i="190" s="1"/>
  <c r="C71" i="190" a="1"/>
  <c r="C71" i="190" s="1"/>
  <c r="AV57" i="190"/>
  <c r="AU57" i="190"/>
  <c r="AT57" i="190"/>
  <c r="AS57" i="190"/>
  <c r="AR57" i="190"/>
  <c r="AQ57" i="190"/>
  <c r="AP57" i="190"/>
  <c r="AO57" i="190"/>
  <c r="AN57" i="190"/>
  <c r="AM57" i="190"/>
  <c r="AL57" i="190"/>
  <c r="AK57" i="190"/>
  <c r="AJ57" i="190"/>
  <c r="AI57" i="190"/>
  <c r="AH57" i="190"/>
  <c r="AG57" i="190"/>
  <c r="AF57" i="190"/>
  <c r="AE57" i="190"/>
  <c r="AD57" i="190"/>
  <c r="AC57" i="190"/>
  <c r="AB57" i="190"/>
  <c r="AA57" i="190"/>
  <c r="Z57" i="190"/>
  <c r="Y57" i="190"/>
  <c r="X57" i="190"/>
  <c r="W57" i="190"/>
  <c r="V57" i="190"/>
  <c r="U57" i="190"/>
  <c r="T57" i="190"/>
  <c r="S57" i="190"/>
  <c r="R57" i="190"/>
  <c r="Q57" i="190"/>
  <c r="P57" i="190"/>
  <c r="O57" i="190"/>
  <c r="N57" i="190"/>
  <c r="M57" i="190"/>
  <c r="L57" i="190"/>
  <c r="K57" i="190"/>
  <c r="J57" i="190"/>
  <c r="I57" i="190"/>
  <c r="H57" i="190"/>
  <c r="G57" i="190"/>
  <c r="F57" i="190"/>
  <c r="E57" i="190"/>
  <c r="D57" i="190"/>
  <c r="C57" i="190"/>
  <c r="H67" i="189"/>
  <c r="G67" i="189"/>
  <c r="H66" i="189"/>
  <c r="F24" i="189" s="1"/>
  <c r="G66" i="189"/>
  <c r="H65" i="189"/>
  <c r="W15" i="189" s="1"/>
  <c r="G65" i="189"/>
  <c r="H64" i="189"/>
  <c r="V15" i="189" s="1"/>
  <c r="G64" i="189"/>
  <c r="I64" i="189" s="1"/>
  <c r="G22" i="189" s="1"/>
  <c r="F63" i="189"/>
  <c r="D23" i="189" s="1"/>
  <c r="D22" i="189" s="1"/>
  <c r="E63" i="189"/>
  <c r="D63" i="189"/>
  <c r="E62" i="189"/>
  <c r="D62" i="189"/>
  <c r="A56" i="189"/>
  <c r="A55" i="189"/>
  <c r="A54" i="189"/>
  <c r="A53" i="189"/>
  <c r="A52" i="189"/>
  <c r="A51" i="189"/>
  <c r="A50" i="189"/>
  <c r="A49" i="189"/>
  <c r="A61" i="188"/>
  <c r="A60" i="188"/>
  <c r="A59" i="188"/>
  <c r="A58" i="188"/>
  <c r="A57" i="188"/>
  <c r="A56" i="188"/>
  <c r="A55" i="188"/>
  <c r="A54" i="188"/>
  <c r="A53" i="188"/>
  <c r="B5" i="188"/>
  <c r="G71" i="187"/>
  <c r="F71" i="187"/>
  <c r="E71" i="187"/>
  <c r="D71" i="187"/>
  <c r="C71" i="187"/>
  <c r="B71" i="187"/>
  <c r="B5" i="187"/>
  <c r="G71" i="186"/>
  <c r="F71" i="186"/>
  <c r="E71" i="186"/>
  <c r="D71" i="186"/>
  <c r="C71" i="186"/>
  <c r="B71" i="186"/>
  <c r="B5" i="186"/>
  <c r="G71" i="185"/>
  <c r="F71" i="185"/>
  <c r="E71" i="185"/>
  <c r="D71" i="185"/>
  <c r="C71" i="185"/>
  <c r="B71" i="185"/>
  <c r="B5" i="185"/>
  <c r="D55" i="184"/>
  <c r="C55" i="184"/>
  <c r="B55" i="184"/>
  <c r="D54" i="184"/>
  <c r="B54" i="184"/>
  <c r="E53" i="184"/>
  <c r="D53" i="184"/>
  <c r="B53" i="184"/>
  <c r="A35" i="183"/>
  <c r="A34" i="183"/>
  <c r="A33" i="183"/>
  <c r="A32" i="183"/>
  <c r="A31" i="183"/>
  <c r="A30" i="183"/>
  <c r="A29" i="183"/>
  <c r="A28" i="183"/>
  <c r="A27" i="183"/>
  <c r="P112" i="243" l="1"/>
  <c r="AF119" i="243"/>
  <c r="AG119" i="243"/>
  <c r="AH119" i="243"/>
  <c r="AC118" i="243"/>
  <c r="AE119" i="243"/>
  <c r="AI119" i="243"/>
  <c r="AJ118" i="243"/>
  <c r="AB119" i="243"/>
  <c r="Q112" i="243"/>
  <c r="U100" i="243"/>
  <c r="J112" i="243"/>
  <c r="S100" i="243"/>
  <c r="H112" i="243"/>
  <c r="V100" i="243"/>
  <c r="K112" i="243"/>
  <c r="W100" i="243"/>
  <c r="L112" i="243"/>
  <c r="X100" i="243"/>
  <c r="M112" i="243"/>
  <c r="F23" i="189"/>
  <c r="F16" i="189" s="1"/>
  <c r="F22" i="189"/>
  <c r="D24" i="189"/>
  <c r="U15" i="189"/>
  <c r="U17" i="189" s="1"/>
  <c r="J64" i="189"/>
  <c r="D20" i="189"/>
  <c r="D16" i="189"/>
  <c r="E23" i="189"/>
  <c r="I65" i="189"/>
  <c r="G23" i="189" s="1"/>
  <c r="J65" i="189"/>
  <c r="B6" i="186" a="1"/>
  <c r="I67" i="189"/>
  <c r="J67" i="189"/>
  <c r="D21" i="189"/>
  <c r="D17" i="189"/>
  <c r="D18" i="189"/>
  <c r="D19" i="189"/>
  <c r="D15" i="189"/>
  <c r="E22" i="189"/>
  <c r="I66" i="189"/>
  <c r="E24" i="189"/>
  <c r="J66" i="189"/>
  <c r="R66" i="215"/>
  <c r="Q66" i="215"/>
  <c r="P66" i="215"/>
  <c r="S77" i="215"/>
  <c r="Q77" i="215"/>
  <c r="P49" i="215"/>
  <c r="S49" i="215"/>
  <c r="Q49" i="215"/>
  <c r="S50" i="215"/>
  <c r="Q50" i="215"/>
  <c r="P50" i="215"/>
  <c r="P51" i="215"/>
  <c r="S51" i="215"/>
  <c r="Q51" i="215"/>
  <c r="S52" i="215"/>
  <c r="Q52" i="215"/>
  <c r="P52" i="215"/>
  <c r="P53" i="215"/>
  <c r="S53" i="215"/>
  <c r="Q53" i="215"/>
  <c r="S54" i="215"/>
  <c r="Q54" i="215"/>
  <c r="P54" i="215"/>
  <c r="P55" i="215"/>
  <c r="S55" i="215"/>
  <c r="Q55" i="215"/>
  <c r="S56" i="215"/>
  <c r="Q56" i="215"/>
  <c r="P56" i="215"/>
  <c r="P57" i="215"/>
  <c r="S57" i="215"/>
  <c r="Q57" i="215"/>
  <c r="S58" i="215"/>
  <c r="Q58" i="215"/>
  <c r="P58" i="215"/>
  <c r="P59" i="215"/>
  <c r="S59" i="215"/>
  <c r="Q59" i="215"/>
  <c r="S60" i="215"/>
  <c r="Q60" i="215"/>
  <c r="P60" i="215"/>
  <c r="P61" i="215"/>
  <c r="S61" i="215"/>
  <c r="Q61" i="215"/>
  <c r="S62" i="215"/>
  <c r="Q62" i="215"/>
  <c r="P62" i="215"/>
  <c r="P63" i="215"/>
  <c r="S63" i="215"/>
  <c r="Q63" i="215"/>
  <c r="R77" i="215"/>
  <c r="R49" i="215"/>
  <c r="R50" i="215"/>
  <c r="R51" i="215"/>
  <c r="R52" i="215"/>
  <c r="R53" i="215"/>
  <c r="R54" i="215"/>
  <c r="R55" i="215"/>
  <c r="R56" i="215"/>
  <c r="R57" i="215"/>
  <c r="R58" i="215"/>
  <c r="R59" i="215"/>
  <c r="R60" i="215"/>
  <c r="R61" i="215"/>
  <c r="R62" i="215"/>
  <c r="R63" i="215"/>
  <c r="P69" i="215"/>
  <c r="S69" i="215"/>
  <c r="Q69" i="215"/>
  <c r="R70" i="215"/>
  <c r="Q76" i="215"/>
  <c r="P76" i="215"/>
  <c r="R76" i="215"/>
  <c r="R69" i="215"/>
  <c r="S70" i="215"/>
  <c r="K49" i="215"/>
  <c r="S73" i="215"/>
  <c r="Q73" i="215"/>
  <c r="P73" i="215"/>
  <c r="I69" i="216"/>
  <c r="G131" i="192" s="1" a="1"/>
  <c r="G131" i="192" s="1"/>
  <c r="I65" i="216"/>
  <c r="G137" i="192" s="1" a="1"/>
  <c r="G137" i="192" s="1"/>
  <c r="I70" i="216"/>
  <c r="G138" i="192" s="1" a="1"/>
  <c r="G138" i="192" s="1"/>
  <c r="I66" i="216"/>
  <c r="G133" i="192" s="1" a="1"/>
  <c r="G133" i="192" s="1"/>
  <c r="I71" i="216"/>
  <c r="G139" i="192" s="1" a="1"/>
  <c r="G139" i="192" s="1"/>
  <c r="I67" i="216"/>
  <c r="G136" i="192" s="1" a="1"/>
  <c r="G136" i="192" s="1"/>
  <c r="I72" i="216"/>
  <c r="G134" i="192" s="1" a="1"/>
  <c r="G134" i="192" s="1"/>
  <c r="I68" i="216"/>
  <c r="G135" i="192" s="1" a="1"/>
  <c r="G135" i="192" s="1"/>
  <c r="I64" i="216"/>
  <c r="G132" i="192" s="1" a="1"/>
  <c r="G132" i="192" s="1"/>
  <c r="I81" i="216"/>
  <c r="G143" i="192" s="1" a="1"/>
  <c r="G143" i="192" s="1"/>
  <c r="I77" i="216"/>
  <c r="G144" i="192" s="1" a="1"/>
  <c r="G144" i="192" s="1"/>
  <c r="I73" i="216"/>
  <c r="G141" i="192" s="1" a="1"/>
  <c r="G141" i="192" s="1"/>
  <c r="I78" i="216"/>
  <c r="G140" i="192" s="1" a="1"/>
  <c r="G140" i="192" s="1"/>
  <c r="I74" i="216"/>
  <c r="G146" i="192" s="1" a="1"/>
  <c r="G146" i="192" s="1"/>
  <c r="I79" i="216"/>
  <c r="G147" i="192" s="1" a="1"/>
  <c r="G147" i="192" s="1"/>
  <c r="I75" i="216"/>
  <c r="G142" i="192" s="1" a="1"/>
  <c r="G142" i="192" s="1"/>
  <c r="I80" i="216"/>
  <c r="G148" i="192" s="1" a="1"/>
  <c r="G148" i="192" s="1"/>
  <c r="I76" i="216"/>
  <c r="G145" i="192" s="1" a="1"/>
  <c r="G145" i="192" s="1"/>
  <c r="I89" i="216"/>
  <c r="G157" i="192" s="1" a="1"/>
  <c r="G157" i="192" s="1"/>
  <c r="I85" i="216"/>
  <c r="G154" i="192" s="1" a="1"/>
  <c r="G154" i="192" s="1"/>
  <c r="I90" i="216"/>
  <c r="G152" i="192" s="1" a="1"/>
  <c r="G152" i="192" s="1"/>
  <c r="I86" i="216"/>
  <c r="G153" i="192" s="1" a="1"/>
  <c r="G153" i="192" s="1"/>
  <c r="I82" i="216"/>
  <c r="G150" i="192" s="1" a="1"/>
  <c r="G150" i="192" s="1"/>
  <c r="I87" i="216"/>
  <c r="G149" i="192" s="1" a="1"/>
  <c r="G149" i="192" s="1"/>
  <c r="I83" i="216"/>
  <c r="G155" i="192" s="1" a="1"/>
  <c r="G155" i="192" s="1"/>
  <c r="I88" i="216"/>
  <c r="G156" i="192" s="1" a="1"/>
  <c r="G156" i="192" s="1"/>
  <c r="I84" i="216"/>
  <c r="G151" i="192" s="1" a="1"/>
  <c r="G151" i="192" s="1"/>
  <c r="H13" i="217"/>
  <c r="E55" i="184" s="1"/>
  <c r="R65" i="215"/>
  <c r="P67" i="215"/>
  <c r="Q70" i="215"/>
  <c r="H12" i="217"/>
  <c r="E54" i="184" s="1"/>
  <c r="Q67" i="215"/>
  <c r="H44" i="215" s="1" a="1"/>
  <c r="H44" i="215" s="1"/>
  <c r="F70" i="185" s="1" a="1"/>
  <c r="F70" i="185" s="1"/>
  <c r="P68" i="215"/>
  <c r="P74" i="215"/>
  <c r="Q53" i="216"/>
  <c r="Q54" i="216"/>
  <c r="R68" i="215"/>
  <c r="Q71" i="215"/>
  <c r="R74" i="215"/>
  <c r="O14" i="216"/>
  <c r="J81" i="192" s="1" a="1"/>
  <c r="J81" i="192" s="1"/>
  <c r="N20" i="192" s="1" a="1"/>
  <c r="N20" i="192" s="1"/>
  <c r="K18" i="218" a="1"/>
  <c r="K18" i="218" s="1"/>
  <c r="N18" i="218" a="1"/>
  <c r="N18" i="218" s="1"/>
  <c r="I76" i="190" s="1" a="1"/>
  <c r="I76" i="190" s="1"/>
  <c r="M18" i="218" a="1"/>
  <c r="M18" i="218" s="1"/>
  <c r="L18" i="218" a="1"/>
  <c r="L18" i="218" s="1"/>
  <c r="H76" i="190" s="1" a="1"/>
  <c r="H76" i="190" s="1"/>
  <c r="D16" i="190" s="1" a="1"/>
  <c r="D16" i="190" s="1"/>
  <c r="I18" i="218" a="1"/>
  <c r="I18" i="218" s="1"/>
  <c r="F76" i="190" s="1" a="1"/>
  <c r="F76" i="190" s="1"/>
  <c r="C16" i="190" s="1" a="1"/>
  <c r="C16" i="190" s="1"/>
  <c r="H18" i="218" a="1"/>
  <c r="H18" i="218" s="1"/>
  <c r="E76" i="190" s="1" a="1"/>
  <c r="E76" i="190" s="1"/>
  <c r="M13" i="218" a="1"/>
  <c r="M13" i="218" s="1"/>
  <c r="I13" i="218" a="1"/>
  <c r="I13" i="218" s="1"/>
  <c r="F71" i="190" s="1" a="1"/>
  <c r="F71" i="190" s="1"/>
  <c r="C17" i="190" s="1" a="1"/>
  <c r="C17" i="190" s="1"/>
  <c r="L13" i="218" a="1"/>
  <c r="L13" i="218" s="1"/>
  <c r="H71" i="190" s="1" a="1"/>
  <c r="H71" i="190" s="1"/>
  <c r="D17" i="190" s="1" a="1"/>
  <c r="D17" i="190" s="1"/>
  <c r="L27" i="218" a="1"/>
  <c r="L27" i="218" s="1"/>
  <c r="H85" i="190" s="1" a="1"/>
  <c r="H85" i="190" s="1"/>
  <c r="F17" i="190" s="1" a="1"/>
  <c r="F17" i="190" s="1"/>
  <c r="M30" i="218" a="1"/>
  <c r="M30" i="218" s="1"/>
  <c r="L44" i="218" a="1"/>
  <c r="L44" i="218" s="1"/>
  <c r="H102" i="190" s="1" a="1"/>
  <c r="H102" i="190" s="1"/>
  <c r="L50" i="218" a="1"/>
  <c r="L50" i="218" s="1"/>
  <c r="H108" i="190" s="1" a="1"/>
  <c r="H108" i="190" s="1"/>
  <c r="R50" i="218" a="1"/>
  <c r="R50" i="218" s="1"/>
  <c r="N50" i="218" a="1"/>
  <c r="N50" i="218" s="1"/>
  <c r="I108" i="190" s="1" a="1"/>
  <c r="I108" i="190" s="1"/>
  <c r="J50" i="218" a="1"/>
  <c r="J50" i="218" s="1"/>
  <c r="G108" i="190" s="1" a="1"/>
  <c r="G108" i="190" s="1"/>
  <c r="F50" i="218" a="1"/>
  <c r="F50" i="218" s="1"/>
  <c r="C108" i="190" s="1" a="1"/>
  <c r="C108" i="190" s="1"/>
  <c r="Q50" i="218" a="1"/>
  <c r="Q50" i="218" s="1"/>
  <c r="S94" i="216"/>
  <c r="S96" i="216"/>
  <c r="S98" i="216"/>
  <c r="S100" i="216"/>
  <c r="S102" i="216"/>
  <c r="S104" i="216"/>
  <c r="S106" i="216"/>
  <c r="S108" i="216"/>
  <c r="S118" i="216"/>
  <c r="S120" i="216"/>
  <c r="Q31" i="216" s="1"/>
  <c r="S122" i="216"/>
  <c r="S124" i="216"/>
  <c r="S126" i="216"/>
  <c r="R127" i="216"/>
  <c r="Q128" i="216"/>
  <c r="P129" i="216"/>
  <c r="N41" i="216" s="1"/>
  <c r="S134" i="216"/>
  <c r="Q39" i="216" s="1"/>
  <c r="R135" i="216"/>
  <c r="Q136" i="216"/>
  <c r="P137" i="216"/>
  <c r="R139" i="216"/>
  <c r="Q142" i="216"/>
  <c r="S144" i="216"/>
  <c r="P145" i="216"/>
  <c r="R147" i="216"/>
  <c r="S152" i="216"/>
  <c r="Q58" i="216" s="1"/>
  <c r="R153" i="216"/>
  <c r="Q154" i="216"/>
  <c r="P155" i="216"/>
  <c r="F12" i="217"/>
  <c r="C54" i="184" s="1"/>
  <c r="L15" i="218" a="1"/>
  <c r="L15" i="218" s="1"/>
  <c r="H73" i="190" s="1" a="1"/>
  <c r="H73" i="190" s="1"/>
  <c r="D18" i="190" s="1" a="1"/>
  <c r="D18" i="190" s="1"/>
  <c r="H15" i="218" a="1"/>
  <c r="H15" i="218" s="1"/>
  <c r="E73" i="190" s="1" a="1"/>
  <c r="E73" i="190" s="1"/>
  <c r="K15" i="218" a="1"/>
  <c r="K15" i="218" s="1"/>
  <c r="L16" i="218" a="1"/>
  <c r="L16" i="218" s="1"/>
  <c r="H74" i="190" s="1" a="1"/>
  <c r="H74" i="190" s="1"/>
  <c r="D20" i="190" s="1" a="1"/>
  <c r="D20" i="190" s="1"/>
  <c r="H16" i="218" a="1"/>
  <c r="H16" i="218" s="1"/>
  <c r="E74" i="190" s="1" a="1"/>
  <c r="E74" i="190" s="1"/>
  <c r="K16" i="218" a="1"/>
  <c r="K16" i="218" s="1"/>
  <c r="N22" i="218" a="1"/>
  <c r="N22" i="218" s="1"/>
  <c r="I80" i="190" s="1" a="1"/>
  <c r="I80" i="190" s="1"/>
  <c r="M22" i="218" a="1"/>
  <c r="M22" i="218" s="1"/>
  <c r="I22" i="218" a="1"/>
  <c r="I22" i="218" s="1"/>
  <c r="F80" i="190" s="1" a="1"/>
  <c r="F80" i="190" s="1"/>
  <c r="L22" i="218" a="1"/>
  <c r="L22" i="218" s="1"/>
  <c r="H80" i="190" s="1" a="1"/>
  <c r="H80" i="190" s="1"/>
  <c r="E18" i="190" s="1" a="1"/>
  <c r="E18" i="190" s="1"/>
  <c r="H18" i="190" s="1"/>
  <c r="H22" i="218" a="1"/>
  <c r="H22" i="218" s="1"/>
  <c r="E80" i="190" s="1" a="1"/>
  <c r="E80" i="190" s="1"/>
  <c r="M24" i="218" a="1"/>
  <c r="M24" i="218" s="1"/>
  <c r="I24" i="218" a="1"/>
  <c r="I24" i="218" s="1"/>
  <c r="F82" i="190" s="1" a="1"/>
  <c r="F82" i="190" s="1"/>
  <c r="L24" i="218" a="1"/>
  <c r="L24" i="218" s="1"/>
  <c r="H82" i="190" s="1" a="1"/>
  <c r="H82" i="190" s="1"/>
  <c r="E19" i="190" s="1" a="1"/>
  <c r="E19" i="190" s="1"/>
  <c r="H19" i="190" s="1"/>
  <c r="H24" i="218" a="1"/>
  <c r="H24" i="218" s="1"/>
  <c r="E82" i="190" s="1" a="1"/>
  <c r="E82" i="190" s="1"/>
  <c r="K24" i="218" a="1"/>
  <c r="K24" i="218" s="1"/>
  <c r="K29" i="218" a="1"/>
  <c r="K29" i="218" s="1"/>
  <c r="P95" i="216"/>
  <c r="P97" i="216"/>
  <c r="P99" i="216"/>
  <c r="P101" i="216"/>
  <c r="P103" i="216"/>
  <c r="P105" i="216"/>
  <c r="P107" i="216"/>
  <c r="P109" i="216"/>
  <c r="P111" i="216"/>
  <c r="P113" i="216"/>
  <c r="P115" i="216"/>
  <c r="P117" i="216"/>
  <c r="P119" i="216"/>
  <c r="P121" i="216"/>
  <c r="P123" i="216"/>
  <c r="P125" i="216"/>
  <c r="Q129" i="216"/>
  <c r="P130" i="216"/>
  <c r="N45" i="216" s="1"/>
  <c r="Q137" i="216"/>
  <c r="P140" i="216"/>
  <c r="Q145" i="216"/>
  <c r="P148" i="216"/>
  <c r="Q155" i="216"/>
  <c r="P156" i="216"/>
  <c r="K17" i="218" a="1"/>
  <c r="K17" i="218" s="1"/>
  <c r="N17" i="218" a="1"/>
  <c r="N17" i="218" s="1"/>
  <c r="I75" i="190" s="1" a="1"/>
  <c r="I75" i="190" s="1"/>
  <c r="I23" i="218" a="1"/>
  <c r="I23" i="218" s="1"/>
  <c r="F81" i="190" s="1" a="1"/>
  <c r="F81" i="190" s="1"/>
  <c r="M25" i="218" a="1"/>
  <c r="M25" i="218" s="1"/>
  <c r="I26" i="218" a="1"/>
  <c r="I26" i="218" s="1"/>
  <c r="F84" i="190" s="1" a="1"/>
  <c r="F84" i="190" s="1"/>
  <c r="N27" i="218" a="1"/>
  <c r="N27" i="218" s="1"/>
  <c r="I85" i="190" s="1" a="1"/>
  <c r="I85" i="190" s="1"/>
  <c r="L34" i="218" a="1"/>
  <c r="L34" i="218" s="1"/>
  <c r="H92" i="190" s="1" a="1"/>
  <c r="H92" i="190" s="1"/>
  <c r="N34" i="218" a="1"/>
  <c r="N34" i="218" s="1"/>
  <c r="I92" i="190" s="1" a="1"/>
  <c r="I92" i="190" s="1"/>
  <c r="J34" i="218" a="1"/>
  <c r="J34" i="218" s="1"/>
  <c r="G92" i="190" s="1" a="1"/>
  <c r="G92" i="190" s="1"/>
  <c r="F34" i="218" a="1"/>
  <c r="F34" i="218" s="1"/>
  <c r="C92" i="190" s="1" a="1"/>
  <c r="C92" i="190" s="1"/>
  <c r="K43" i="218" a="1"/>
  <c r="K43" i="218" s="1"/>
  <c r="Q95" i="216"/>
  <c r="Q97" i="216"/>
  <c r="O18" i="216" s="1"/>
  <c r="J80" i="192" s="1" a="1"/>
  <c r="J80" i="192" s="1"/>
  <c r="N19" i="192" s="1" a="1"/>
  <c r="N19" i="192" s="1"/>
  <c r="Q99" i="216"/>
  <c r="Q101" i="216"/>
  <c r="Q103" i="216"/>
  <c r="Q105" i="216"/>
  <c r="Q107" i="216"/>
  <c r="Q109" i="216"/>
  <c r="Q111" i="216"/>
  <c r="Q113" i="216"/>
  <c r="Q115" i="216"/>
  <c r="Q117" i="216"/>
  <c r="Q119" i="216"/>
  <c r="Q121" i="216"/>
  <c r="Q123" i="216"/>
  <c r="Q125" i="216"/>
  <c r="R129" i="216"/>
  <c r="Q130" i="216"/>
  <c r="P131" i="216"/>
  <c r="R137" i="216"/>
  <c r="Q140" i="216"/>
  <c r="P143" i="216"/>
  <c r="Q148" i="216"/>
  <c r="P149" i="216"/>
  <c r="R155" i="216"/>
  <c r="Q156" i="216"/>
  <c r="P157" i="216"/>
  <c r="N16" i="218" a="1"/>
  <c r="N16" i="218" s="1"/>
  <c r="I74" i="190" s="1" a="1"/>
  <c r="I74" i="190" s="1"/>
  <c r="L17" i="218" a="1"/>
  <c r="L17" i="218" s="1"/>
  <c r="H75" i="190" s="1" a="1"/>
  <c r="H75" i="190" s="1"/>
  <c r="D19" i="190" s="1" a="1"/>
  <c r="D19" i="190" s="1"/>
  <c r="L25" i="218" a="1"/>
  <c r="L25" i="218" s="1"/>
  <c r="H83" i="190" s="1" a="1"/>
  <c r="H83" i="190" s="1"/>
  <c r="E16" i="190" s="1" a="1"/>
  <c r="E16" i="190" s="1"/>
  <c r="H16" i="190" s="1"/>
  <c r="H25" i="218" a="1"/>
  <c r="H25" i="218" s="1"/>
  <c r="E83" i="190" s="1" a="1"/>
  <c r="E83" i="190" s="1"/>
  <c r="K25" i="218" a="1"/>
  <c r="K25" i="218" s="1"/>
  <c r="N25" i="218" a="1"/>
  <c r="N25" i="218" s="1"/>
  <c r="I83" i="190" s="1" a="1"/>
  <c r="I83" i="190" s="1"/>
  <c r="K31" i="218" a="1"/>
  <c r="K31" i="218" s="1"/>
  <c r="N31" i="218" a="1"/>
  <c r="N31" i="218" s="1"/>
  <c r="I89" i="190" s="1" a="1"/>
  <c r="I89" i="190" s="1"/>
  <c r="I31" i="218" a="1"/>
  <c r="I31" i="218" s="1"/>
  <c r="F89" i="190" s="1" a="1"/>
  <c r="F89" i="190" s="1"/>
  <c r="M31" i="218" a="1"/>
  <c r="M31" i="218" s="1"/>
  <c r="L31" i="218" a="1"/>
  <c r="L31" i="218" s="1"/>
  <c r="H89" i="190" s="1" a="1"/>
  <c r="H89" i="190" s="1"/>
  <c r="F19" i="190" s="1" a="1"/>
  <c r="F19" i="190" s="1"/>
  <c r="H32" i="218" a="1"/>
  <c r="H32" i="218" s="1"/>
  <c r="E90" i="190" s="1" a="1"/>
  <c r="E90" i="190" s="1"/>
  <c r="I33" i="218" a="1"/>
  <c r="I33" i="218" s="1"/>
  <c r="F91" i="190" s="1" a="1"/>
  <c r="F91" i="190" s="1"/>
  <c r="M33" i="218" a="1"/>
  <c r="M33" i="218" s="1"/>
  <c r="H33" i="218" a="1"/>
  <c r="H33" i="218" s="1"/>
  <c r="E91" i="190" s="1" a="1"/>
  <c r="E91" i="190" s="1"/>
  <c r="L33" i="218" a="1"/>
  <c r="L33" i="218" s="1"/>
  <c r="H91" i="190" s="1" a="1"/>
  <c r="H91" i="190" s="1"/>
  <c r="F22" i="190" s="1" a="1"/>
  <c r="F22" i="190" s="1"/>
  <c r="K33" i="218" a="1"/>
  <c r="K33" i="218" s="1"/>
  <c r="N33" i="218" a="1"/>
  <c r="N33" i="218" s="1"/>
  <c r="I91" i="190" s="1" a="1"/>
  <c r="I91" i="190" s="1"/>
  <c r="L39" i="218" a="1"/>
  <c r="L39" i="218" s="1"/>
  <c r="H97" i="190" s="1" a="1"/>
  <c r="H97" i="190" s="1"/>
  <c r="N39" i="218" a="1"/>
  <c r="N39" i="218" s="1"/>
  <c r="I97" i="190" s="1" a="1"/>
  <c r="I97" i="190" s="1"/>
  <c r="J39" i="218" a="1"/>
  <c r="J39" i="218" s="1"/>
  <c r="G97" i="190" s="1" a="1"/>
  <c r="G97" i="190" s="1"/>
  <c r="F39" i="218" a="1"/>
  <c r="F39" i="218" s="1"/>
  <c r="C97" i="190" s="1" a="1"/>
  <c r="C97" i="190" s="1"/>
  <c r="M45" i="218" a="1"/>
  <c r="M45" i="218" s="1"/>
  <c r="K45" i="218" a="1"/>
  <c r="K45" i="218" s="1"/>
  <c r="J45" i="218" a="1"/>
  <c r="J45" i="218" s="1"/>
  <c r="G103" i="190" s="1" a="1"/>
  <c r="G103" i="190" s="1"/>
  <c r="N45" i="218" a="1"/>
  <c r="N45" i="218" s="1"/>
  <c r="I103" i="190" s="1" a="1"/>
  <c r="I103" i="190" s="1"/>
  <c r="F45" i="218" a="1"/>
  <c r="F45" i="218" s="1"/>
  <c r="C103" i="190" s="1" a="1"/>
  <c r="C103" i="190" s="1"/>
  <c r="L45" i="218" a="1"/>
  <c r="L45" i="218" s="1"/>
  <c r="H103" i="190" s="1" a="1"/>
  <c r="H103" i="190" s="1"/>
  <c r="M47" i="218" a="1"/>
  <c r="M47" i="218" s="1"/>
  <c r="R95" i="216"/>
  <c r="R97" i="216"/>
  <c r="R99" i="216"/>
  <c r="R101" i="216"/>
  <c r="R103" i="216"/>
  <c r="R105" i="216"/>
  <c r="R107" i="216"/>
  <c r="R109" i="216"/>
  <c r="R111" i="216"/>
  <c r="R113" i="216"/>
  <c r="R115" i="216"/>
  <c r="R117" i="216"/>
  <c r="R119" i="216"/>
  <c r="R121" i="216"/>
  <c r="R123" i="216"/>
  <c r="R125" i="216"/>
  <c r="Q131" i="216"/>
  <c r="P132" i="216"/>
  <c r="P138" i="216"/>
  <c r="R140" i="216"/>
  <c r="P146" i="216"/>
  <c r="R148" i="216"/>
  <c r="Q149" i="216"/>
  <c r="P150" i="216"/>
  <c r="Q157" i="216"/>
  <c r="P158" i="216"/>
  <c r="F11" i="217"/>
  <c r="C53" i="184" s="1"/>
  <c r="I28" i="217"/>
  <c r="P81" i="218" a="1"/>
  <c r="P81" i="218" s="1"/>
  <c r="J139" i="190" s="1" a="1"/>
  <c r="J139" i="190" s="1"/>
  <c r="L81" i="218" a="1"/>
  <c r="L81" i="218" s="1"/>
  <c r="H139" i="190" s="1" a="1"/>
  <c r="H139" i="190" s="1"/>
  <c r="J81" i="218" a="1"/>
  <c r="J81" i="218" s="1"/>
  <c r="G139" i="190" s="1" a="1"/>
  <c r="G139" i="190" s="1"/>
  <c r="Q79" i="218" a="1"/>
  <c r="Q79" i="218" s="1"/>
  <c r="K79" i="218" a="1"/>
  <c r="K79" i="218" s="1"/>
  <c r="M78" i="218" a="1"/>
  <c r="M78" i="218" s="1"/>
  <c r="G78" i="218" a="1"/>
  <c r="G78" i="218" s="1"/>
  <c r="D136" i="190" s="1" a="1"/>
  <c r="D136" i="190" s="1"/>
  <c r="R78" i="218" a="1"/>
  <c r="R78" i="218" s="1"/>
  <c r="N77" i="218" a="1"/>
  <c r="N77" i="218" s="1"/>
  <c r="I135" i="190" s="1" a="1"/>
  <c r="I135" i="190" s="1"/>
  <c r="M76" i="218" a="1"/>
  <c r="M76" i="218" s="1"/>
  <c r="M17" i="218" a="1"/>
  <c r="M17" i="218" s="1"/>
  <c r="N30" i="218" a="1"/>
  <c r="N30" i="218" s="1"/>
  <c r="I88" i="190" s="1" a="1"/>
  <c r="I88" i="190" s="1"/>
  <c r="L30" i="218" a="1"/>
  <c r="L30" i="218" s="1"/>
  <c r="H88" i="190" s="1" a="1"/>
  <c r="H88" i="190" s="1"/>
  <c r="F20" i="190" s="1" a="1"/>
  <c r="F20" i="190" s="1"/>
  <c r="K30" i="218" a="1"/>
  <c r="K30" i="218" s="1"/>
  <c r="I30" i="218" a="1"/>
  <c r="I30" i="218" s="1"/>
  <c r="F88" i="190" s="1" a="1"/>
  <c r="F88" i="190" s="1"/>
  <c r="H30" i="218" a="1"/>
  <c r="H30" i="218" s="1"/>
  <c r="E88" i="190" s="1" a="1"/>
  <c r="E88" i="190" s="1"/>
  <c r="R131" i="216"/>
  <c r="Q132" i="216"/>
  <c r="P133" i="216"/>
  <c r="Q138" i="216"/>
  <c r="P141" i="216"/>
  <c r="R143" i="216"/>
  <c r="Q146" i="216"/>
  <c r="R149" i="216"/>
  <c r="Q150" i="216"/>
  <c r="P151" i="216"/>
  <c r="R157" i="216"/>
  <c r="Q158" i="216"/>
  <c r="P159" i="216"/>
  <c r="F54" i="218" a="1"/>
  <c r="F54" i="218" s="1"/>
  <c r="C112" i="190" s="1" a="1"/>
  <c r="C112" i="190" s="1"/>
  <c r="R54" i="218" a="1"/>
  <c r="R54" i="218" s="1"/>
  <c r="J54" i="218" a="1"/>
  <c r="J54" i="218" s="1"/>
  <c r="G112" i="190" s="1" a="1"/>
  <c r="G112" i="190" s="1"/>
  <c r="Q54" i="218" a="1"/>
  <c r="Q54" i="218" s="1"/>
  <c r="K46" i="218" a="1"/>
  <c r="K46" i="218" s="1"/>
  <c r="N40" i="218" a="1"/>
  <c r="N40" i="218" s="1"/>
  <c r="I98" i="190" s="1" a="1"/>
  <c r="I98" i="190" s="1"/>
  <c r="K27" i="218" a="1"/>
  <c r="K27" i="218" s="1"/>
  <c r="N54" i="218" a="1"/>
  <c r="N54" i="218" s="1"/>
  <c r="I112" i="190" s="1" a="1"/>
  <c r="I112" i="190" s="1"/>
  <c r="R48" i="218" a="1"/>
  <c r="R48" i="218" s="1"/>
  <c r="N41" i="218" a="1"/>
  <c r="N41" i="218" s="1"/>
  <c r="I99" i="190" s="1" a="1"/>
  <c r="I99" i="190" s="1"/>
  <c r="F41" i="218" a="1"/>
  <c r="F41" i="218" s="1"/>
  <c r="C99" i="190" s="1" a="1"/>
  <c r="C99" i="190" s="1"/>
  <c r="N32" i="218" a="1"/>
  <c r="N32" i="218" s="1"/>
  <c r="I90" i="190" s="1" a="1"/>
  <c r="I90" i="190" s="1"/>
  <c r="F52" i="218" a="1"/>
  <c r="F52" i="218" s="1"/>
  <c r="C110" i="190" s="1" a="1"/>
  <c r="C110" i="190" s="1"/>
  <c r="J48" i="218" a="1"/>
  <c r="J48" i="218" s="1"/>
  <c r="G106" i="190" s="1" a="1"/>
  <c r="G106" i="190" s="1"/>
  <c r="F48" i="218" a="1"/>
  <c r="F48" i="218" s="1"/>
  <c r="C106" i="190" s="1" a="1"/>
  <c r="C106" i="190" s="1"/>
  <c r="N48" i="218" a="1"/>
  <c r="N48" i="218" s="1"/>
  <c r="I106" i="190" s="1" a="1"/>
  <c r="I106" i="190" s="1"/>
  <c r="J41" i="218" a="1"/>
  <c r="J41" i="218" s="1"/>
  <c r="G99" i="190" s="1" a="1"/>
  <c r="G99" i="190" s="1"/>
  <c r="L36" i="218" a="1"/>
  <c r="L36" i="218" s="1"/>
  <c r="H94" i="190" s="1" a="1"/>
  <c r="H94" i="190" s="1"/>
  <c r="J40" i="218" a="1"/>
  <c r="J40" i="218" s="1"/>
  <c r="G98" i="190" s="1" a="1"/>
  <c r="G98" i="190" s="1"/>
  <c r="F40" i="218" a="1"/>
  <c r="F40" i="218" s="1"/>
  <c r="C98" i="190" s="1" a="1"/>
  <c r="C98" i="190" s="1"/>
  <c r="H13" i="218" a="1"/>
  <c r="H13" i="218" s="1"/>
  <c r="E71" i="190" s="1" a="1"/>
  <c r="E71" i="190" s="1"/>
  <c r="L20" i="218" a="1"/>
  <c r="L20" i="218" s="1"/>
  <c r="H78" i="190" s="1" a="1"/>
  <c r="H78" i="190" s="1"/>
  <c r="E17" i="190" s="1" a="1"/>
  <c r="E17" i="190" s="1"/>
  <c r="H17" i="190" s="1"/>
  <c r="M21" i="218" a="1"/>
  <c r="M21" i="218" s="1"/>
  <c r="I21" i="218" a="1"/>
  <c r="I21" i="218" s="1"/>
  <c r="F79" i="190" s="1" a="1"/>
  <c r="F79" i="190" s="1"/>
  <c r="L21" i="218" a="1"/>
  <c r="L21" i="218" s="1"/>
  <c r="H79" i="190" s="1" a="1"/>
  <c r="H79" i="190" s="1"/>
  <c r="E21" i="190" s="1" a="1"/>
  <c r="E21" i="190" s="1"/>
  <c r="H21" i="190" s="1"/>
  <c r="H21" i="218" a="1"/>
  <c r="H21" i="218" s="1"/>
  <c r="E79" i="190" s="1" a="1"/>
  <c r="E79" i="190" s="1"/>
  <c r="M23" i="218" a="1"/>
  <c r="M23" i="218" s="1"/>
  <c r="L23" i="218" a="1"/>
  <c r="L23" i="218" s="1"/>
  <c r="H81" i="190" s="1" a="1"/>
  <c r="H81" i="190" s="1"/>
  <c r="E20" i="190" s="1" a="1"/>
  <c r="E20" i="190" s="1"/>
  <c r="H20" i="190" s="1"/>
  <c r="H23" i="218" a="1"/>
  <c r="H23" i="218" s="1"/>
  <c r="E81" i="190" s="1" a="1"/>
  <c r="E81" i="190" s="1"/>
  <c r="K23" i="218" a="1"/>
  <c r="K23" i="218" s="1"/>
  <c r="N23" i="218" a="1"/>
  <c r="N23" i="218" s="1"/>
  <c r="I81" i="190" s="1" a="1"/>
  <c r="I81" i="190" s="1"/>
  <c r="F35" i="218" a="1"/>
  <c r="F35" i="218" s="1"/>
  <c r="C93" i="190" s="1" a="1"/>
  <c r="C93" i="190" s="1"/>
  <c r="F37" i="218" a="1"/>
  <c r="F37" i="218" s="1"/>
  <c r="C95" i="190" s="1" a="1"/>
  <c r="C95" i="190" s="1"/>
  <c r="N37" i="218" a="1"/>
  <c r="N37" i="218" s="1"/>
  <c r="I95" i="190" s="1" a="1"/>
  <c r="I95" i="190" s="1"/>
  <c r="R138" i="216"/>
  <c r="R146" i="216"/>
  <c r="I16" i="218" a="1"/>
  <c r="I16" i="218" s="1"/>
  <c r="F74" i="190" s="1" a="1"/>
  <c r="F74" i="190" s="1"/>
  <c r="C20" i="190" s="1" a="1"/>
  <c r="C20" i="190" s="1"/>
  <c r="N19" i="218" a="1"/>
  <c r="N19" i="218" s="1"/>
  <c r="I77" i="190" s="1" a="1"/>
  <c r="I77" i="190" s="1"/>
  <c r="M19" i="218" a="1"/>
  <c r="M19" i="218" s="1"/>
  <c r="I19" i="218" a="1"/>
  <c r="I19" i="218" s="1"/>
  <c r="F77" i="190" s="1" a="1"/>
  <c r="F77" i="190" s="1"/>
  <c r="C22" i="190" s="1" a="1"/>
  <c r="C22" i="190" s="1"/>
  <c r="L19" i="218" a="1"/>
  <c r="L19" i="218" s="1"/>
  <c r="H77" i="190" s="1" a="1"/>
  <c r="H77" i="190" s="1"/>
  <c r="D22" i="190" s="1" a="1"/>
  <c r="D22" i="190" s="1"/>
  <c r="K22" i="218" a="1"/>
  <c r="K22" i="218" s="1"/>
  <c r="L26" i="218" a="1"/>
  <c r="L26" i="218" s="1"/>
  <c r="H84" i="190" s="1" a="1"/>
  <c r="H84" i="190" s="1"/>
  <c r="E22" i="190" s="1" a="1"/>
  <c r="E22" i="190" s="1"/>
  <c r="H22" i="190" s="1"/>
  <c r="H26" i="218" a="1"/>
  <c r="H26" i="218" s="1"/>
  <c r="E84" i="190" s="1" a="1"/>
  <c r="E84" i="190" s="1"/>
  <c r="K26" i="218" a="1"/>
  <c r="K26" i="218" s="1"/>
  <c r="N26" i="218" a="1"/>
  <c r="N26" i="218" s="1"/>
  <c r="I84" i="190" s="1" a="1"/>
  <c r="I84" i="190" s="1"/>
  <c r="H27" i="218" a="1"/>
  <c r="H27" i="218" s="1"/>
  <c r="E85" i="190" s="1" a="1"/>
  <c r="E85" i="190" s="1"/>
  <c r="L28" i="218" a="1"/>
  <c r="L28" i="218" s="1"/>
  <c r="H86" i="190" s="1" a="1"/>
  <c r="H86" i="190" s="1"/>
  <c r="F21" i="190" s="1" a="1"/>
  <c r="F21" i="190" s="1"/>
  <c r="H28" i="218" a="1"/>
  <c r="H28" i="218" s="1"/>
  <c r="E86" i="190" s="1" a="1"/>
  <c r="E86" i="190" s="1"/>
  <c r="K28" i="218" a="1"/>
  <c r="K28" i="218" s="1"/>
  <c r="N28" i="218" a="1"/>
  <c r="N28" i="218" s="1"/>
  <c r="I86" i="190" s="1" a="1"/>
  <c r="I86" i="190" s="1"/>
  <c r="M28" i="218" a="1"/>
  <c r="M28" i="218" s="1"/>
  <c r="I28" i="218" a="1"/>
  <c r="I28" i="218" s="1"/>
  <c r="F86" i="190" s="1" a="1"/>
  <c r="F86" i="190" s="1"/>
  <c r="N29" i="218" a="1"/>
  <c r="N29" i="218" s="1"/>
  <c r="I87" i="190" s="1" a="1"/>
  <c r="I87" i="190" s="1"/>
  <c r="H31" i="218" a="1"/>
  <c r="H31" i="218" s="1"/>
  <c r="E89" i="190" s="1" a="1"/>
  <c r="E89" i="190" s="1"/>
  <c r="M43" i="218" a="1"/>
  <c r="M43" i="218" s="1"/>
  <c r="R49" i="218" a="1"/>
  <c r="R49" i="218" s="1"/>
  <c r="Q49" i="218" a="1"/>
  <c r="Q49" i="218" s="1"/>
  <c r="J49" i="218" a="1"/>
  <c r="J49" i="218" s="1"/>
  <c r="G107" i="190" s="1" a="1"/>
  <c r="G107" i="190" s="1"/>
  <c r="N49" i="218" a="1"/>
  <c r="N49" i="218" s="1"/>
  <c r="I107" i="190" s="1" a="1"/>
  <c r="I107" i="190" s="1"/>
  <c r="L49" i="218" a="1"/>
  <c r="L49" i="218" s="1"/>
  <c r="H107" i="190" s="1" a="1"/>
  <c r="H107" i="190" s="1"/>
  <c r="F49" i="218" a="1"/>
  <c r="F49" i="218" s="1"/>
  <c r="C107" i="190" s="1" a="1"/>
  <c r="C107" i="190" s="1"/>
  <c r="M14" i="218" a="1"/>
  <c r="M14" i="218" s="1"/>
  <c r="I14" i="218" a="1"/>
  <c r="I14" i="218" s="1"/>
  <c r="F72" i="190" s="1" a="1"/>
  <c r="F72" i="190" s="1"/>
  <c r="C21" i="190" s="1" a="1"/>
  <c r="C21" i="190" s="1"/>
  <c r="H17" i="218" a="1"/>
  <c r="H17" i="218" s="1"/>
  <c r="E75" i="190" s="1" a="1"/>
  <c r="E75" i="190" s="1"/>
  <c r="K20" i="218" a="1"/>
  <c r="K20" i="218" s="1"/>
  <c r="N20" i="218" a="1"/>
  <c r="N20" i="218" s="1"/>
  <c r="I78" i="190" s="1" a="1"/>
  <c r="I78" i="190" s="1"/>
  <c r="M20" i="218" a="1"/>
  <c r="M20" i="218" s="1"/>
  <c r="I20" i="218" a="1"/>
  <c r="I20" i="218" s="1"/>
  <c r="F78" i="190" s="1" a="1"/>
  <c r="F78" i="190" s="1"/>
  <c r="N24" i="218" a="1"/>
  <c r="N24" i="218" s="1"/>
  <c r="I82" i="190" s="1" a="1"/>
  <c r="I82" i="190" s="1"/>
  <c r="K32" i="218" a="1"/>
  <c r="K32" i="218" s="1"/>
  <c r="N36" i="218" a="1"/>
  <c r="N36" i="218" s="1"/>
  <c r="I94" i="190" s="1" a="1"/>
  <c r="I94" i="190" s="1"/>
  <c r="J36" i="218" a="1"/>
  <c r="J36" i="218" s="1"/>
  <c r="G94" i="190" s="1" a="1"/>
  <c r="G94" i="190" s="1"/>
  <c r="F36" i="218" a="1"/>
  <c r="F36" i="218" s="1"/>
  <c r="C94" i="190" s="1" a="1"/>
  <c r="C94" i="190" s="1"/>
  <c r="N38" i="218" a="1"/>
  <c r="N38" i="218" s="1"/>
  <c r="I96" i="190" s="1" a="1"/>
  <c r="I96" i="190" s="1"/>
  <c r="J38" i="218" a="1"/>
  <c r="J38" i="218" s="1"/>
  <c r="G96" i="190" s="1" a="1"/>
  <c r="G96" i="190" s="1"/>
  <c r="F38" i="218" a="1"/>
  <c r="F38" i="218" s="1"/>
  <c r="C96" i="190" s="1" a="1"/>
  <c r="C96" i="190" s="1"/>
  <c r="L38" i="218" a="1"/>
  <c r="L38" i="218" s="1"/>
  <c r="H96" i="190" s="1" a="1"/>
  <c r="H96" i="190" s="1"/>
  <c r="K44" i="218" a="1"/>
  <c r="K44" i="218" s="1"/>
  <c r="N46" i="218" a="1"/>
  <c r="N46" i="218" s="1"/>
  <c r="I104" i="190" s="1" a="1"/>
  <c r="I104" i="190" s="1"/>
  <c r="J46" i="218" a="1"/>
  <c r="J46" i="218" s="1"/>
  <c r="G104" i="190" s="1" a="1"/>
  <c r="G104" i="190" s="1"/>
  <c r="F46" i="218" a="1"/>
  <c r="F46" i="218" s="1"/>
  <c r="C104" i="190" s="1" a="1"/>
  <c r="C104" i="190" s="1"/>
  <c r="M46" i="218" a="1"/>
  <c r="M46" i="218" s="1"/>
  <c r="L46" i="218" a="1"/>
  <c r="L46" i="218" s="1"/>
  <c r="H104" i="190" s="1" a="1"/>
  <c r="H104" i="190" s="1"/>
  <c r="P62" i="218" a="1"/>
  <c r="P62" i="218" s="1"/>
  <c r="J120" i="190" s="1" a="1"/>
  <c r="J120" i="190" s="1"/>
  <c r="L62" i="218" a="1"/>
  <c r="L62" i="218" s="1"/>
  <c r="H120" i="190" s="1" a="1"/>
  <c r="H120" i="190" s="1"/>
  <c r="O62" i="218" a="1"/>
  <c r="O62" i="218" s="1"/>
  <c r="R62" i="218" a="1"/>
  <c r="R62" i="218" s="1"/>
  <c r="J62" i="218" a="1"/>
  <c r="J62" i="218" s="1"/>
  <c r="G120" i="190" s="1" a="1"/>
  <c r="G120" i="190" s="1"/>
  <c r="Q62" i="218" a="1"/>
  <c r="Q62" i="218" s="1"/>
  <c r="N62" i="218" a="1"/>
  <c r="N62" i="218" s="1"/>
  <c r="I120" i="190" s="1" a="1"/>
  <c r="I120" i="190" s="1"/>
  <c r="M62" i="218" a="1"/>
  <c r="M62" i="218" s="1"/>
  <c r="F62" i="218" a="1"/>
  <c r="F62" i="218" s="1"/>
  <c r="C120" i="190" s="1" a="1"/>
  <c r="C120" i="190" s="1"/>
  <c r="Q65" i="218" a="1"/>
  <c r="Q65" i="218" s="1"/>
  <c r="M65" i="218" a="1"/>
  <c r="M65" i="218" s="1"/>
  <c r="P65" i="218" a="1"/>
  <c r="P65" i="218" s="1"/>
  <c r="J123" i="190" s="1" a="1"/>
  <c r="J123" i="190" s="1"/>
  <c r="L65" i="218" a="1"/>
  <c r="L65" i="218" s="1"/>
  <c r="H123" i="190" s="1" a="1"/>
  <c r="H123" i="190" s="1"/>
  <c r="R65" i="218" a="1"/>
  <c r="R65" i="218" s="1"/>
  <c r="N65" i="218" a="1"/>
  <c r="N65" i="218" s="1"/>
  <c r="I123" i="190" s="1" a="1"/>
  <c r="I123" i="190" s="1"/>
  <c r="J65" i="218" a="1"/>
  <c r="J65" i="218" s="1"/>
  <c r="G123" i="190" s="1" a="1"/>
  <c r="G123" i="190" s="1"/>
  <c r="F65" i="218" a="1"/>
  <c r="F65" i="218" s="1"/>
  <c r="C123" i="190" s="1" a="1"/>
  <c r="C123" i="190" s="1"/>
  <c r="O65" i="218" a="1"/>
  <c r="O65" i="218" s="1"/>
  <c r="K65" i="218" a="1"/>
  <c r="K65" i="218" s="1"/>
  <c r="M80" i="218" a="1"/>
  <c r="M80" i="218" s="1"/>
  <c r="O81" i="218" a="1"/>
  <c r="O81" i="218" s="1"/>
  <c r="Q76" i="218" a="1"/>
  <c r="Q76" i="218" s="1"/>
  <c r="N43" i="218" a="1"/>
  <c r="N43" i="218" s="1"/>
  <c r="I101" i="190" s="1" a="1"/>
  <c r="I101" i="190" s="1"/>
  <c r="J43" i="218" a="1"/>
  <c r="J43" i="218" s="1"/>
  <c r="G101" i="190" s="1" a="1"/>
  <c r="G101" i="190" s="1"/>
  <c r="F43" i="218" a="1"/>
  <c r="F43" i="218" s="1"/>
  <c r="C101" i="190" s="1" a="1"/>
  <c r="C101" i="190" s="1"/>
  <c r="L43" i="218" a="1"/>
  <c r="L43" i="218" s="1"/>
  <c r="H101" i="190" s="1" a="1"/>
  <c r="H101" i="190" s="1"/>
  <c r="Q53" i="218" a="1"/>
  <c r="Q53" i="218" s="1"/>
  <c r="L56" i="218" a="1"/>
  <c r="L56" i="218" s="1"/>
  <c r="H114" i="190" s="1" a="1"/>
  <c r="H114" i="190" s="1"/>
  <c r="I27" i="218" a="1"/>
  <c r="I27" i="218" s="1"/>
  <c r="F85" i="190" s="1" a="1"/>
  <c r="F85" i="190" s="1"/>
  <c r="M27" i="218" a="1"/>
  <c r="M27" i="218" s="1"/>
  <c r="H29" i="218" a="1"/>
  <c r="H29" i="218" s="1"/>
  <c r="E87" i="190" s="1" a="1"/>
  <c r="E87" i="190" s="1"/>
  <c r="L29" i="218" a="1"/>
  <c r="L29" i="218" s="1"/>
  <c r="H87" i="190" s="1" a="1"/>
  <c r="H87" i="190" s="1"/>
  <c r="F18" i="190" s="1" a="1"/>
  <c r="F18" i="190" s="1"/>
  <c r="L32" i="218" a="1"/>
  <c r="L32" i="218" s="1"/>
  <c r="H90" i="190" s="1" a="1"/>
  <c r="H90" i="190" s="1"/>
  <c r="F16" i="190" s="1" a="1"/>
  <c r="F16" i="190" s="1"/>
  <c r="K47" i="218" a="1"/>
  <c r="K47" i="218" s="1"/>
  <c r="Q48" i="218" a="1"/>
  <c r="Q48" i="218" s="1"/>
  <c r="J37" i="218" a="1"/>
  <c r="J37" i="218" s="1"/>
  <c r="G95" i="190" s="1" a="1"/>
  <c r="G95" i="190" s="1"/>
  <c r="L42" i="218" a="1"/>
  <c r="L42" i="218" s="1"/>
  <c r="H100" i="190" s="1" a="1"/>
  <c r="H100" i="190" s="1"/>
  <c r="K42" i="218" a="1"/>
  <c r="K42" i="218" s="1"/>
  <c r="N42" i="218" a="1"/>
  <c r="N42" i="218" s="1"/>
  <c r="I100" i="190" s="1" a="1"/>
  <c r="I100" i="190" s="1"/>
  <c r="J42" i="218" a="1"/>
  <c r="J42" i="218" s="1"/>
  <c r="G100" i="190" s="1" a="1"/>
  <c r="G100" i="190" s="1"/>
  <c r="F42" i="218" a="1"/>
  <c r="F42" i="218" s="1"/>
  <c r="C100" i="190" s="1" a="1"/>
  <c r="C100" i="190" s="1"/>
  <c r="M42" i="218" a="1"/>
  <c r="M42" i="218" s="1"/>
  <c r="Q52" i="218" a="1"/>
  <c r="Q52" i="218" s="1"/>
  <c r="J52" i="218" a="1"/>
  <c r="J52" i="218" s="1"/>
  <c r="G110" i="190" s="1" a="1"/>
  <c r="G110" i="190" s="1"/>
  <c r="N52" i="218" a="1"/>
  <c r="N52" i="218" s="1"/>
  <c r="I110" i="190" s="1" a="1"/>
  <c r="I110" i="190" s="1"/>
  <c r="R52" i="218" a="1"/>
  <c r="R52" i="218" s="1"/>
  <c r="L52" i="218" a="1"/>
  <c r="L52" i="218" s="1"/>
  <c r="H110" i="190" s="1" a="1"/>
  <c r="H110" i="190" s="1"/>
  <c r="O56" i="218" a="1"/>
  <c r="O56" i="218" s="1"/>
  <c r="Q56" i="218" a="1"/>
  <c r="Q56" i="218" s="1"/>
  <c r="P56" i="218" a="1"/>
  <c r="P56" i="218" s="1"/>
  <c r="J114" i="190" s="1" a="1"/>
  <c r="J114" i="190" s="1"/>
  <c r="N56" i="218" a="1"/>
  <c r="N56" i="218" s="1"/>
  <c r="I114" i="190" s="1" a="1"/>
  <c r="I114" i="190" s="1"/>
  <c r="F56" i="218" a="1"/>
  <c r="F56" i="218" s="1"/>
  <c r="C114" i="190" s="1" a="1"/>
  <c r="C114" i="190" s="1"/>
  <c r="M56" i="218" a="1"/>
  <c r="M56" i="218" s="1"/>
  <c r="Q60" i="218" a="1"/>
  <c r="Q60" i="218" s="1"/>
  <c r="M60" i="218" a="1"/>
  <c r="M60" i="218" s="1"/>
  <c r="K60" i="218" a="1"/>
  <c r="K60" i="218" s="1"/>
  <c r="R60" i="218" a="1"/>
  <c r="R60" i="218" s="1"/>
  <c r="P60" i="218" a="1"/>
  <c r="P60" i="218" s="1"/>
  <c r="J118" i="190" s="1" a="1"/>
  <c r="J118" i="190" s="1"/>
  <c r="O60" i="218" a="1"/>
  <c r="O60" i="218" s="1"/>
  <c r="N60" i="218" a="1"/>
  <c r="N60" i="218" s="1"/>
  <c r="I118" i="190" s="1" a="1"/>
  <c r="I118" i="190" s="1"/>
  <c r="I29" i="218" a="1"/>
  <c r="I29" i="218" s="1"/>
  <c r="F87" i="190" s="1" a="1"/>
  <c r="F87" i="190" s="1"/>
  <c r="M29" i="218" a="1"/>
  <c r="M29" i="218" s="1"/>
  <c r="K41" i="218" a="1"/>
  <c r="K41" i="218" s="1"/>
  <c r="M41" i="218" a="1"/>
  <c r="M41" i="218" s="1"/>
  <c r="L41" i="218" a="1"/>
  <c r="L41" i="218" s="1"/>
  <c r="H99" i="190" s="1" a="1"/>
  <c r="H99" i="190" s="1"/>
  <c r="K62" i="218" a="1"/>
  <c r="K62" i="218" s="1"/>
  <c r="L37" i="218" a="1"/>
  <c r="L37" i="218" s="1"/>
  <c r="H95" i="190" s="1" a="1"/>
  <c r="H95" i="190" s="1"/>
  <c r="L47" i="218" a="1"/>
  <c r="L47" i="218" s="1"/>
  <c r="H105" i="190" s="1" a="1"/>
  <c r="H105" i="190" s="1"/>
  <c r="N47" i="218" a="1"/>
  <c r="N47" i="218" s="1"/>
  <c r="I105" i="190" s="1" a="1"/>
  <c r="I105" i="190" s="1"/>
  <c r="J47" i="218" a="1"/>
  <c r="J47" i="218" s="1"/>
  <c r="G105" i="190" s="1" a="1"/>
  <c r="G105" i="190" s="1"/>
  <c r="F47" i="218" a="1"/>
  <c r="F47" i="218" s="1"/>
  <c r="C105" i="190" s="1" a="1"/>
  <c r="C105" i="190" s="1"/>
  <c r="O61" i="218" a="1"/>
  <c r="O61" i="218" s="1"/>
  <c r="R61" i="218" a="1"/>
  <c r="R61" i="218" s="1"/>
  <c r="N61" i="218" a="1"/>
  <c r="N61" i="218" s="1"/>
  <c r="I119" i="190" s="1" a="1"/>
  <c r="I119" i="190" s="1"/>
  <c r="F61" i="218" a="1"/>
  <c r="F61" i="218" s="1"/>
  <c r="C119" i="190" s="1" a="1"/>
  <c r="C119" i="190" s="1"/>
  <c r="P61" i="218" a="1"/>
  <c r="P61" i="218" s="1"/>
  <c r="J119" i="190" s="1" a="1"/>
  <c r="J119" i="190" s="1"/>
  <c r="L61" i="218" a="1"/>
  <c r="L61" i="218" s="1"/>
  <c r="H119" i="190" s="1" a="1"/>
  <c r="H119" i="190" s="1"/>
  <c r="Q61" i="218" a="1"/>
  <c r="Q61" i="218" s="1"/>
  <c r="M61" i="218" a="1"/>
  <c r="M61" i="218" s="1"/>
  <c r="M32" i="218" a="1"/>
  <c r="M32" i="218" s="1"/>
  <c r="I32" i="218" a="1"/>
  <c r="I32" i="218" s="1"/>
  <c r="F90" i="190" s="1" a="1"/>
  <c r="F90" i="190" s="1"/>
  <c r="N35" i="218" a="1"/>
  <c r="N35" i="218" s="1"/>
  <c r="I93" i="190" s="1" a="1"/>
  <c r="I93" i="190" s="1"/>
  <c r="J35" i="218" a="1"/>
  <c r="J35" i="218" s="1"/>
  <c r="G93" i="190" s="1" a="1"/>
  <c r="G93" i="190" s="1"/>
  <c r="L35" i="218" a="1"/>
  <c r="L35" i="218" s="1"/>
  <c r="H93" i="190" s="1" a="1"/>
  <c r="H93" i="190" s="1"/>
  <c r="L40" i="218" a="1"/>
  <c r="L40" i="218" s="1"/>
  <c r="H98" i="190" s="1" a="1"/>
  <c r="H98" i="190" s="1"/>
  <c r="L51" i="218" a="1"/>
  <c r="L51" i="218" s="1"/>
  <c r="H109" i="190" s="1" a="1"/>
  <c r="H109" i="190" s="1"/>
  <c r="J51" i="218" a="1"/>
  <c r="J51" i="218" s="1"/>
  <c r="G109" i="190" s="1" a="1"/>
  <c r="G109" i="190" s="1"/>
  <c r="F51" i="218" a="1"/>
  <c r="F51" i="218" s="1"/>
  <c r="C109" i="190" s="1" a="1"/>
  <c r="C109" i="190" s="1"/>
  <c r="N51" i="218" a="1"/>
  <c r="N51" i="218" s="1"/>
  <c r="I109" i="190" s="1" a="1"/>
  <c r="I109" i="190" s="1"/>
  <c r="R51" i="218" a="1"/>
  <c r="R51" i="218" s="1"/>
  <c r="Q51" i="218" a="1"/>
  <c r="Q51" i="218" s="1"/>
  <c r="R63" i="218" a="1"/>
  <c r="R63" i="218" s="1"/>
  <c r="N63" i="218" a="1"/>
  <c r="N63" i="218" s="1"/>
  <c r="I121" i="190" s="1" a="1"/>
  <c r="I121" i="190" s="1"/>
  <c r="J63" i="218" a="1"/>
  <c r="J63" i="218" s="1"/>
  <c r="G121" i="190" s="1" a="1"/>
  <c r="G121" i="190" s="1"/>
  <c r="F63" i="218" a="1"/>
  <c r="F63" i="218" s="1"/>
  <c r="C121" i="190" s="1" a="1"/>
  <c r="C121" i="190" s="1"/>
  <c r="Q63" i="218" a="1"/>
  <c r="Q63" i="218" s="1"/>
  <c r="M63" i="218" a="1"/>
  <c r="M63" i="218" s="1"/>
  <c r="O63" i="218" a="1"/>
  <c r="O63" i="218" s="1"/>
  <c r="K63" i="218" a="1"/>
  <c r="K63" i="218" s="1"/>
  <c r="L63" i="218" a="1"/>
  <c r="L63" i="218" s="1"/>
  <c r="H121" i="190" s="1" a="1"/>
  <c r="H121" i="190" s="1"/>
  <c r="J80" i="218" a="1"/>
  <c r="J80" i="218" s="1"/>
  <c r="G138" i="190" s="1" a="1"/>
  <c r="G138" i="190" s="1"/>
  <c r="M44" i="218" a="1"/>
  <c r="M44" i="218" s="1"/>
  <c r="K58" i="218" a="1"/>
  <c r="K58" i="218" s="1"/>
  <c r="L64" i="218" a="1"/>
  <c r="L64" i="218" s="1"/>
  <c r="H122" i="190" s="1" a="1"/>
  <c r="H122" i="190" s="1"/>
  <c r="R66" i="218" a="1"/>
  <c r="R66" i="218" s="1"/>
  <c r="N66" i="218" a="1"/>
  <c r="N66" i="218" s="1"/>
  <c r="I124" i="190" s="1" a="1"/>
  <c r="I124" i="190" s="1"/>
  <c r="J66" i="218" a="1"/>
  <c r="J66" i="218" s="1"/>
  <c r="G124" i="190" s="1" a="1"/>
  <c r="G124" i="190" s="1"/>
  <c r="F66" i="218" a="1"/>
  <c r="F66" i="218" s="1"/>
  <c r="C124" i="190" s="1" a="1"/>
  <c r="C124" i="190" s="1"/>
  <c r="Q66" i="218" a="1"/>
  <c r="Q66" i="218" s="1"/>
  <c r="M66" i="218" a="1"/>
  <c r="M66" i="218" s="1"/>
  <c r="P66" i="218" a="1"/>
  <c r="P66" i="218" s="1"/>
  <c r="J124" i="190" s="1" a="1"/>
  <c r="J124" i="190" s="1"/>
  <c r="L66" i="218" a="1"/>
  <c r="L66" i="218" s="1"/>
  <c r="H124" i="190" s="1" a="1"/>
  <c r="H124" i="190" s="1"/>
  <c r="Q57" i="218" a="1"/>
  <c r="Q57" i="218" s="1"/>
  <c r="M57" i="218" a="1"/>
  <c r="M57" i="218" s="1"/>
  <c r="P57" i="218" a="1"/>
  <c r="P57" i="218" s="1"/>
  <c r="J115" i="190" s="1" a="1"/>
  <c r="J115" i="190" s="1"/>
  <c r="L57" i="218" a="1"/>
  <c r="L57" i="218" s="1"/>
  <c r="H115" i="190" s="1" a="1"/>
  <c r="H115" i="190" s="1"/>
  <c r="R57" i="218" a="1"/>
  <c r="R57" i="218" s="1"/>
  <c r="N57" i="218" a="1"/>
  <c r="N57" i="218" s="1"/>
  <c r="I115" i="190" s="1" a="1"/>
  <c r="I115" i="190" s="1"/>
  <c r="F57" i="218" a="1"/>
  <c r="F57" i="218" s="1"/>
  <c r="C115" i="190" s="1" a="1"/>
  <c r="C115" i="190" s="1"/>
  <c r="F44" i="218" a="1"/>
  <c r="F44" i="218" s="1"/>
  <c r="C102" i="190" s="1" a="1"/>
  <c r="C102" i="190" s="1"/>
  <c r="J44" i="218" a="1"/>
  <c r="J44" i="218" s="1"/>
  <c r="G102" i="190" s="1" a="1"/>
  <c r="G102" i="190" s="1"/>
  <c r="N44" i="218" a="1"/>
  <c r="N44" i="218" s="1"/>
  <c r="I102" i="190" s="1" a="1"/>
  <c r="I102" i="190" s="1"/>
  <c r="L48" i="218" a="1"/>
  <c r="L48" i="218" s="1"/>
  <c r="H106" i="190" s="1" a="1"/>
  <c r="H106" i="190" s="1"/>
  <c r="K57" i="218" a="1"/>
  <c r="K57" i="218" s="1"/>
  <c r="P59" i="218" a="1"/>
  <c r="P59" i="218" s="1"/>
  <c r="J117" i="190" s="1" a="1"/>
  <c r="J117" i="190" s="1"/>
  <c r="L59" i="218" a="1"/>
  <c r="L59" i="218" s="1"/>
  <c r="H117" i="190" s="1" a="1"/>
  <c r="H117" i="190" s="1"/>
  <c r="O59" i="218" a="1"/>
  <c r="O59" i="218" s="1"/>
  <c r="Q59" i="218" a="1"/>
  <c r="Q59" i="218" s="1"/>
  <c r="M59" i="218" a="1"/>
  <c r="M59" i="218" s="1"/>
  <c r="S92" i="218"/>
  <c r="R92" i="218"/>
  <c r="Q92" i="218"/>
  <c r="P92" i="218"/>
  <c r="S105" i="218"/>
  <c r="R105" i="218"/>
  <c r="Q105" i="218"/>
  <c r="P105" i="218"/>
  <c r="K132" i="218"/>
  <c r="K61" i="218" a="1"/>
  <c r="K61" i="218" s="1"/>
  <c r="K56" i="218" a="1"/>
  <c r="K56" i="218" s="1"/>
  <c r="K59" i="218" a="1"/>
  <c r="K59" i="218" s="1"/>
  <c r="K55" i="218" a="1"/>
  <c r="K55" i="218" s="1"/>
  <c r="J73" i="218" a="1"/>
  <c r="J73" i="218" s="1"/>
  <c r="G131" i="190" s="1" a="1"/>
  <c r="G131" i="190" s="1"/>
  <c r="O69" i="218" a="1"/>
  <c r="O69" i="218" s="1"/>
  <c r="O73" i="218" a="1"/>
  <c r="O73" i="218" s="1"/>
  <c r="O74" i="218" a="1"/>
  <c r="O74" i="218" s="1"/>
  <c r="O70" i="218" a="1"/>
  <c r="O70" i="218" s="1"/>
  <c r="O75" i="218" a="1"/>
  <c r="O75" i="218" s="1"/>
  <c r="O71" i="218" a="1"/>
  <c r="O71" i="218" s="1"/>
  <c r="O72" i="218" a="1"/>
  <c r="O72" i="218" s="1"/>
  <c r="I73" i="218" a="1"/>
  <c r="I73" i="218" s="1"/>
  <c r="F131" i="190" s="1" a="1"/>
  <c r="F131" i="190" s="1"/>
  <c r="I69" i="218" a="1"/>
  <c r="I69" i="218" s="1"/>
  <c r="F127" i="190" s="1" a="1"/>
  <c r="F127" i="190" s="1"/>
  <c r="I74" i="218" a="1"/>
  <c r="I74" i="218" s="1"/>
  <c r="F132" i="190" s="1" a="1"/>
  <c r="F132" i="190" s="1"/>
  <c r="I70" i="218" a="1"/>
  <c r="I70" i="218" s="1"/>
  <c r="F128" i="190" s="1" a="1"/>
  <c r="F128" i="190" s="1"/>
  <c r="I75" i="218" a="1"/>
  <c r="I75" i="218" s="1"/>
  <c r="F133" i="190" s="1" a="1"/>
  <c r="F133" i="190" s="1"/>
  <c r="I71" i="218" a="1"/>
  <c r="I71" i="218" s="1"/>
  <c r="F129" i="190" s="1" a="1"/>
  <c r="F129" i="190" s="1"/>
  <c r="I72" i="218" a="1"/>
  <c r="I72" i="218" s="1"/>
  <c r="F130" i="190" s="1" a="1"/>
  <c r="F130" i="190" s="1"/>
  <c r="Q73" i="218" a="1"/>
  <c r="Q73" i="218" s="1"/>
  <c r="Q69" i="218" a="1"/>
  <c r="Q69" i="218" s="1"/>
  <c r="Q71" i="218" a="1"/>
  <c r="Q71" i="218" s="1"/>
  <c r="Q72" i="218" a="1"/>
  <c r="Q72" i="218" s="1"/>
  <c r="Q74" i="218" a="1"/>
  <c r="Q74" i="218" s="1"/>
  <c r="Q70" i="218" a="1"/>
  <c r="Q70" i="218" s="1"/>
  <c r="Q77" i="218" a="1"/>
  <c r="Q77" i="218" s="1"/>
  <c r="K81" i="218" a="1"/>
  <c r="K81" i="218" s="1"/>
  <c r="R53" i="218" a="1"/>
  <c r="R53" i="218" s="1"/>
  <c r="N53" i="218" a="1"/>
  <c r="N53" i="218" s="1"/>
  <c r="I111" i="190" s="1" a="1"/>
  <c r="I111" i="190" s="1"/>
  <c r="J53" i="218" a="1"/>
  <c r="J53" i="218" s="1"/>
  <c r="G111" i="190" s="1" a="1"/>
  <c r="G111" i="190" s="1"/>
  <c r="F53" i="218" a="1"/>
  <c r="F53" i="218" s="1"/>
  <c r="C111" i="190" s="1" a="1"/>
  <c r="C111" i="190" s="1"/>
  <c r="L53" i="218" a="1"/>
  <c r="L53" i="218" s="1"/>
  <c r="H111" i="190" s="1" a="1"/>
  <c r="H111" i="190" s="1"/>
  <c r="R58" i="218" a="1"/>
  <c r="R58" i="218" s="1"/>
  <c r="N58" i="218" a="1"/>
  <c r="N58" i="218" s="1"/>
  <c r="I116" i="190" s="1" a="1"/>
  <c r="I116" i="190" s="1"/>
  <c r="F58" i="218" a="1"/>
  <c r="F58" i="218" s="1"/>
  <c r="C116" i="190" s="1" a="1"/>
  <c r="C116" i="190" s="1"/>
  <c r="M58" i="218" a="1"/>
  <c r="M58" i="218" s="1"/>
  <c r="O64" i="218" a="1"/>
  <c r="O64" i="218" s="1"/>
  <c r="K64" i="218" a="1"/>
  <c r="K64" i="218" s="1"/>
  <c r="R64" i="218" a="1"/>
  <c r="R64" i="218" s="1"/>
  <c r="N64" i="218" a="1"/>
  <c r="N64" i="218" s="1"/>
  <c r="I122" i="190" s="1" a="1"/>
  <c r="I122" i="190" s="1"/>
  <c r="J64" i="218" a="1"/>
  <c r="J64" i="218" s="1"/>
  <c r="G122" i="190" s="1" a="1"/>
  <c r="G122" i="190" s="1"/>
  <c r="F64" i="218" a="1"/>
  <c r="F64" i="218" s="1"/>
  <c r="C122" i="190" s="1" a="1"/>
  <c r="C122" i="190" s="1"/>
  <c r="Q64" i="218" a="1"/>
  <c r="Q64" i="218" s="1"/>
  <c r="M64" i="218" a="1"/>
  <c r="M64" i="218" s="1"/>
  <c r="N74" i="218" a="1"/>
  <c r="N74" i="218" s="1"/>
  <c r="I132" i="190" s="1" a="1"/>
  <c r="I132" i="190" s="1"/>
  <c r="R74" i="218" a="1"/>
  <c r="R74" i="218" s="1"/>
  <c r="M74" i="218" a="1"/>
  <c r="M74" i="218" s="1"/>
  <c r="L74" i="218" a="1"/>
  <c r="L74" i="218" s="1"/>
  <c r="H132" i="190" s="1" a="1"/>
  <c r="H132" i="190" s="1"/>
  <c r="F74" i="218" a="1"/>
  <c r="F74" i="218" s="1"/>
  <c r="C132" i="190" s="1" a="1"/>
  <c r="C132" i="190" s="1"/>
  <c r="P74" i="218" a="1"/>
  <c r="P74" i="218" s="1"/>
  <c r="J132" i="190" s="1" a="1"/>
  <c r="J132" i="190" s="1"/>
  <c r="K74" i="218" a="1"/>
  <c r="K74" i="218" s="1"/>
  <c r="Q75" i="218" a="1"/>
  <c r="Q75" i="218" s="1"/>
  <c r="L54" i="218" a="1"/>
  <c r="L54" i="218" s="1"/>
  <c r="H112" i="190" s="1" a="1"/>
  <c r="H112" i="190" s="1"/>
  <c r="O58" i="218" a="1"/>
  <c r="O58" i="218" s="1"/>
  <c r="F71" i="218" a="1"/>
  <c r="F71" i="218" s="1"/>
  <c r="C129" i="190" s="1" a="1"/>
  <c r="C129" i="190" s="1"/>
  <c r="K71" i="218" a="1"/>
  <c r="K71" i="218" s="1"/>
  <c r="M71" i="218" a="1"/>
  <c r="M71" i="218" s="1"/>
  <c r="J78" i="218" a="1"/>
  <c r="J78" i="218" s="1"/>
  <c r="G136" i="190" s="1" a="1"/>
  <c r="G136" i="190" s="1"/>
  <c r="R55" i="218" a="1"/>
  <c r="R55" i="218" s="1"/>
  <c r="N55" i="218" a="1"/>
  <c r="N55" i="218" s="1"/>
  <c r="I113" i="190" s="1" a="1"/>
  <c r="I113" i="190" s="1"/>
  <c r="F55" i="218" a="1"/>
  <c r="F55" i="218" s="1"/>
  <c r="C113" i="190" s="1" a="1"/>
  <c r="C113" i="190" s="1"/>
  <c r="Q55" i="218" a="1"/>
  <c r="Q55" i="218" s="1"/>
  <c r="M55" i="218" a="1"/>
  <c r="M55" i="218" s="1"/>
  <c r="O55" i="218" a="1"/>
  <c r="O55" i="218" s="1"/>
  <c r="P58" i="218" a="1"/>
  <c r="P58" i="218" s="1"/>
  <c r="J116" i="190" s="1" a="1"/>
  <c r="J116" i="190" s="1"/>
  <c r="N70" i="218" a="1"/>
  <c r="N70" i="218" s="1"/>
  <c r="I128" i="190" s="1" a="1"/>
  <c r="I128" i="190" s="1"/>
  <c r="R70" i="218" a="1"/>
  <c r="R70" i="218" s="1"/>
  <c r="M70" i="218" a="1"/>
  <c r="M70" i="218" s="1"/>
  <c r="L70" i="218" a="1"/>
  <c r="L70" i="218" s="1"/>
  <c r="H128" i="190" s="1" a="1"/>
  <c r="H128" i="190" s="1"/>
  <c r="F70" i="218" a="1"/>
  <c r="F70" i="218" s="1"/>
  <c r="C128" i="190" s="1" a="1"/>
  <c r="C128" i="190" s="1"/>
  <c r="R76" i="218" a="1"/>
  <c r="R76" i="218" s="1"/>
  <c r="R77" i="218" a="1"/>
  <c r="R77" i="218" s="1"/>
  <c r="N82" i="218" a="1"/>
  <c r="N82" i="218" s="1"/>
  <c r="I140" i="190" s="1" a="1"/>
  <c r="I140" i="190" s="1"/>
  <c r="J68" i="218" a="1"/>
  <c r="J68" i="218" s="1"/>
  <c r="G126" i="190" s="1" a="1"/>
  <c r="G126" i="190" s="1"/>
  <c r="O68" i="218" a="1"/>
  <c r="O68" i="218" s="1"/>
  <c r="P69" i="218" a="1"/>
  <c r="P69" i="218" s="1"/>
  <c r="J127" i="190" s="1" a="1"/>
  <c r="J127" i="190" s="1"/>
  <c r="N76" i="218" a="1"/>
  <c r="N76" i="218" s="1"/>
  <c r="I134" i="190" s="1" a="1"/>
  <c r="I134" i="190" s="1"/>
  <c r="Q78" i="218" a="1"/>
  <c r="Q78" i="218" s="1"/>
  <c r="O79" i="218" a="1"/>
  <c r="O79" i="218" s="1"/>
  <c r="N81" i="218" a="1"/>
  <c r="N81" i="218" s="1"/>
  <c r="I139" i="190" s="1" a="1"/>
  <c r="I139" i="190" s="1"/>
  <c r="Q112" i="218"/>
  <c r="S112" i="218"/>
  <c r="R112" i="218"/>
  <c r="P112" i="218"/>
  <c r="G69" i="218" a="1"/>
  <c r="G69" i="218" s="1"/>
  <c r="D127" i="190" s="1" a="1"/>
  <c r="D127" i="190" s="1"/>
  <c r="G73" i="218" a="1"/>
  <c r="G73" i="218" s="1"/>
  <c r="D131" i="190" s="1" a="1"/>
  <c r="D131" i="190" s="1"/>
  <c r="P75" i="218" a="1"/>
  <c r="P75" i="218" s="1"/>
  <c r="J133" i="190" s="1" a="1"/>
  <c r="J133" i="190" s="1"/>
  <c r="R71" i="218" a="1"/>
  <c r="R71" i="218" s="1"/>
  <c r="J79" i="218" a="1"/>
  <c r="J79" i="218" s="1"/>
  <c r="G137" i="190" s="1" a="1"/>
  <c r="G137" i="190" s="1"/>
  <c r="R81" i="218" a="1"/>
  <c r="R81" i="218" s="1"/>
  <c r="P67" i="218" a="1"/>
  <c r="P67" i="218" s="1"/>
  <c r="J125" i="190" s="1" a="1"/>
  <c r="J125" i="190" s="1"/>
  <c r="L67" i="218" a="1"/>
  <c r="L67" i="218" s="1"/>
  <c r="H125" i="190" s="1" a="1"/>
  <c r="H125" i="190" s="1"/>
  <c r="R67" i="218" a="1"/>
  <c r="R67" i="218" s="1"/>
  <c r="N67" i="218" a="1"/>
  <c r="N67" i="218" s="1"/>
  <c r="I125" i="190" s="1" a="1"/>
  <c r="I125" i="190" s="1"/>
  <c r="P68" i="218" a="1"/>
  <c r="P68" i="218" s="1"/>
  <c r="J126" i="190" s="1" a="1"/>
  <c r="J126" i="190" s="1"/>
  <c r="P73" i="218" a="1"/>
  <c r="P73" i="218" s="1"/>
  <c r="J131" i="190" s="1" a="1"/>
  <c r="J131" i="190" s="1"/>
  <c r="J77" i="218" a="1"/>
  <c r="J77" i="218" s="1"/>
  <c r="G135" i="190" s="1" a="1"/>
  <c r="G135" i="190" s="1"/>
  <c r="P78" i="218" a="1"/>
  <c r="P78" i="218" s="1"/>
  <c r="J136" i="190" s="1" a="1"/>
  <c r="J136" i="190" s="1"/>
  <c r="L78" i="218" a="1"/>
  <c r="L78" i="218" s="1"/>
  <c r="H136" i="190" s="1" a="1"/>
  <c r="H136" i="190" s="1"/>
  <c r="K78" i="218" a="1"/>
  <c r="K78" i="218" s="1"/>
  <c r="I79" i="218" a="1"/>
  <c r="I79" i="218" s="1"/>
  <c r="F137" i="190" s="1" a="1"/>
  <c r="F137" i="190" s="1"/>
  <c r="N80" i="218" a="1"/>
  <c r="N80" i="218" s="1"/>
  <c r="I138" i="190" s="1" a="1"/>
  <c r="I138" i="190" s="1"/>
  <c r="P72" i="218" a="1"/>
  <c r="P72" i="218" s="1"/>
  <c r="J130" i="190" s="1" a="1"/>
  <c r="J130" i="190" s="1"/>
  <c r="J76" i="218" a="1"/>
  <c r="J76" i="218" s="1"/>
  <c r="G134" i="190" s="1" a="1"/>
  <c r="G134" i="190" s="1"/>
  <c r="O76" i="218" a="1"/>
  <c r="O76" i="218" s="1"/>
  <c r="P77" i="218" a="1"/>
  <c r="P77" i="218" s="1"/>
  <c r="J135" i="190" s="1" a="1"/>
  <c r="J135" i="190" s="1"/>
  <c r="S97" i="218"/>
  <c r="R97" i="218"/>
  <c r="Q97" i="218"/>
  <c r="P97" i="218"/>
  <c r="L79" i="218" a="1"/>
  <c r="L79" i="218" s="1"/>
  <c r="H137" i="190" s="1" a="1"/>
  <c r="H137" i="190" s="1"/>
  <c r="P76" i="218" a="1"/>
  <c r="P76" i="218" s="1"/>
  <c r="J134" i="190" s="1" a="1"/>
  <c r="J134" i="190" s="1"/>
  <c r="L82" i="218" a="1"/>
  <c r="L82" i="218" s="1"/>
  <c r="H140" i="190" s="1" a="1"/>
  <c r="H140" i="190" s="1"/>
  <c r="P82" i="218" a="1"/>
  <c r="P82" i="218" s="1"/>
  <c r="J140" i="190" s="1" a="1"/>
  <c r="J140" i="190" s="1"/>
  <c r="R82" i="218" a="1"/>
  <c r="R82" i="218" s="1"/>
  <c r="R111" i="218"/>
  <c r="S111" i="218"/>
  <c r="Q111" i="218"/>
  <c r="P111" i="218"/>
  <c r="M81" i="218" a="1"/>
  <c r="M81" i="218" s="1"/>
  <c r="M82" i="218" a="1"/>
  <c r="M82" i="218" s="1"/>
  <c r="M77" i="218" a="1"/>
  <c r="M77" i="218" s="1"/>
  <c r="G77" i="218" a="1"/>
  <c r="G77" i="218" s="1"/>
  <c r="D135" i="190" s="1" a="1"/>
  <c r="D135" i="190" s="1"/>
  <c r="G80" i="218" a="1"/>
  <c r="G80" i="218" s="1"/>
  <c r="D138" i="190" s="1" a="1"/>
  <c r="D138" i="190" s="1"/>
  <c r="G81" i="218" a="1"/>
  <c r="G81" i="218" s="1"/>
  <c r="D139" i="190" s="1" a="1"/>
  <c r="D139" i="190" s="1"/>
  <c r="O77" i="218" a="1"/>
  <c r="O77" i="218" s="1"/>
  <c r="O80" i="218" a="1"/>
  <c r="O80" i="218" s="1"/>
  <c r="O82" i="218" a="1"/>
  <c r="O82" i="218" s="1"/>
  <c r="K77" i="218" a="1"/>
  <c r="K77" i="218" s="1"/>
  <c r="K80" i="218" a="1"/>
  <c r="K80" i="218" s="1"/>
  <c r="K82" i="218" a="1"/>
  <c r="K82" i="218" s="1"/>
  <c r="K67" i="218" a="1"/>
  <c r="K67" i="218" s="1"/>
  <c r="R68" i="218" a="1"/>
  <c r="R68" i="218" s="1"/>
  <c r="L72" i="218" a="1"/>
  <c r="L72" i="218" s="1"/>
  <c r="H130" i="190" s="1" a="1"/>
  <c r="H130" i="190" s="1"/>
  <c r="R73" i="218" a="1"/>
  <c r="R73" i="218" s="1"/>
  <c r="K76" i="218" a="1"/>
  <c r="K76" i="218" s="1"/>
  <c r="L77" i="218" a="1"/>
  <c r="L77" i="218" s="1"/>
  <c r="H135" i="190" s="1" a="1"/>
  <c r="H135" i="190" s="1"/>
  <c r="Q80" i="218" a="1"/>
  <c r="Q80" i="218" s="1"/>
  <c r="S100" i="218"/>
  <c r="R100" i="218"/>
  <c r="Q100" i="218"/>
  <c r="P100" i="218"/>
  <c r="N79" i="218" a="1"/>
  <c r="N79" i="218" s="1"/>
  <c r="I137" i="190" s="1" a="1"/>
  <c r="I137" i="190" s="1"/>
  <c r="Q67" i="218" a="1"/>
  <c r="Q67" i="218" s="1"/>
  <c r="M68" i="218" a="1"/>
  <c r="M68" i="218" s="1"/>
  <c r="R72" i="218" a="1"/>
  <c r="R72" i="218" s="1"/>
  <c r="L76" i="218" a="1"/>
  <c r="L76" i="218" s="1"/>
  <c r="H134" i="190" s="1" a="1"/>
  <c r="H134" i="190" s="1"/>
  <c r="N78" i="218" a="1"/>
  <c r="N78" i="218" s="1"/>
  <c r="I136" i="190" s="1" a="1"/>
  <c r="I136" i="190" s="1"/>
  <c r="G82" i="218" a="1"/>
  <c r="G82" i="218" s="1"/>
  <c r="D140" i="190" s="1" a="1"/>
  <c r="D140" i="190" s="1"/>
  <c r="S89" i="218"/>
  <c r="R89" i="218"/>
  <c r="Q89" i="218"/>
  <c r="P89" i="218"/>
  <c r="P113" i="218"/>
  <c r="S113" i="218"/>
  <c r="R113" i="218"/>
  <c r="Q113" i="218"/>
  <c r="M73" i="218" a="1"/>
  <c r="M73" i="218" s="1"/>
  <c r="M69" i="218" a="1"/>
  <c r="M69" i="218" s="1"/>
  <c r="G76" i="218" a="1"/>
  <c r="G76" i="218" s="1"/>
  <c r="D134" i="190" s="1" a="1"/>
  <c r="D134" i="190" s="1"/>
  <c r="O78" i="218" a="1"/>
  <c r="O78" i="218" s="1"/>
  <c r="G79" i="218" a="1"/>
  <c r="G79" i="218" s="1"/>
  <c r="D137" i="190" s="1" a="1"/>
  <c r="D137" i="190" s="1"/>
  <c r="M79" i="218" a="1"/>
  <c r="M79" i="218" s="1"/>
  <c r="P80" i="218" a="1"/>
  <c r="P80" i="218" s="1"/>
  <c r="J138" i="190" s="1" a="1"/>
  <c r="J138" i="190" s="1"/>
  <c r="R80" i="218" a="1"/>
  <c r="R80" i="218" s="1"/>
  <c r="L80" i="218" a="1"/>
  <c r="L80" i="218" s="1"/>
  <c r="H138" i="190" s="1" a="1"/>
  <c r="H138" i="190" s="1"/>
  <c r="S110" i="218"/>
  <c r="R110" i="218"/>
  <c r="Q110" i="218"/>
  <c r="P110" i="218"/>
  <c r="N75" i="218" a="1"/>
  <c r="N75" i="218" s="1"/>
  <c r="I133" i="190" s="1" a="1"/>
  <c r="I133" i="190" s="1"/>
  <c r="K144" i="218"/>
  <c r="J72" i="218" s="1" a="1"/>
  <c r="J72" i="218" s="1"/>
  <c r="G130" i="190" s="1" a="1"/>
  <c r="G130" i="190" s="1"/>
  <c r="K69" i="218" a="1"/>
  <c r="K69" i="218" s="1"/>
  <c r="K73" i="218" a="1"/>
  <c r="K73" i="218" s="1"/>
  <c r="N71" i="218" a="1"/>
  <c r="N71" i="218" s="1"/>
  <c r="I129" i="190" s="1" a="1"/>
  <c r="I129" i="190" s="1"/>
  <c r="P79" i="218" a="1"/>
  <c r="P79" i="218" s="1"/>
  <c r="J137" i="190" s="1" a="1"/>
  <c r="J137" i="190" s="1"/>
  <c r="H71" i="218" a="1"/>
  <c r="H71" i="218" s="1"/>
  <c r="E129" i="190" s="1" a="1"/>
  <c r="E129" i="190" s="1"/>
  <c r="L71" i="218" a="1"/>
  <c r="L71" i="218" s="1"/>
  <c r="H129" i="190" s="1" a="1"/>
  <c r="H129" i="190" s="1"/>
  <c r="P71" i="218" a="1"/>
  <c r="P71" i="218" s="1"/>
  <c r="J129" i="190" s="1" a="1"/>
  <c r="J129" i="190" s="1"/>
  <c r="F75" i="218" a="1"/>
  <c r="F75" i="218" s="1"/>
  <c r="C133" i="190" s="1" a="1"/>
  <c r="C133" i="190" s="1"/>
  <c r="R75" i="218" a="1"/>
  <c r="R75" i="218" s="1"/>
  <c r="I77" i="218" a="1"/>
  <c r="I77" i="218" s="1"/>
  <c r="F135" i="190" s="1" a="1"/>
  <c r="F135" i="190" s="1"/>
  <c r="H79" i="218" a="1"/>
  <c r="H79" i="218" s="1"/>
  <c r="E137" i="190" s="1" a="1"/>
  <c r="E137" i="190" s="1"/>
  <c r="J82" i="218" a="1"/>
  <c r="J82" i="218" s="1"/>
  <c r="G140" i="190" s="1" a="1"/>
  <c r="G140" i="190" s="1"/>
  <c r="Q86" i="218"/>
  <c r="S87" i="218"/>
  <c r="Q94" i="218"/>
  <c r="S95" i="218"/>
  <c r="Q102" i="218"/>
  <c r="S103" i="218"/>
  <c r="R109" i="218"/>
  <c r="R117" i="218"/>
  <c r="K91" i="218"/>
  <c r="K99" i="218"/>
  <c r="P114" i="218"/>
  <c r="R115" i="218"/>
  <c r="P118" i="218"/>
  <c r="O54" i="219"/>
  <c r="J121" i="191" s="1" a="1"/>
  <c r="J121" i="191" s="1"/>
  <c r="R114" i="218"/>
  <c r="R118" i="218"/>
  <c r="Q81" i="218" a="1"/>
  <c r="Q81" i="218" s="1"/>
  <c r="P90" i="218"/>
  <c r="P98" i="218"/>
  <c r="P106" i="218"/>
  <c r="S114" i="218"/>
  <c r="P115" i="218"/>
  <c r="S118" i="218"/>
  <c r="P119" i="218"/>
  <c r="R79" i="218" a="1"/>
  <c r="R79" i="218" s="1"/>
  <c r="Q82" i="218" a="1"/>
  <c r="Q82" i="218" s="1"/>
  <c r="R87" i="218"/>
  <c r="S91" i="218"/>
  <c r="P93" i="218"/>
  <c r="R95" i="218"/>
  <c r="S99" i="218"/>
  <c r="P101" i="218"/>
  <c r="R103" i="218"/>
  <c r="Q115" i="218"/>
  <c r="Q119" i="218"/>
  <c r="Q122" i="218"/>
  <c r="P123" i="218"/>
  <c r="Q126" i="218"/>
  <c r="P127" i="218"/>
  <c r="K87" i="218"/>
  <c r="Q93" i="218"/>
  <c r="K95" i="218"/>
  <c r="Q101" i="218"/>
  <c r="K103" i="218"/>
  <c r="P117" i="218"/>
  <c r="S119" i="218"/>
  <c r="R106" i="219"/>
  <c r="P106" i="219"/>
  <c r="R122" i="219"/>
  <c r="P122" i="219"/>
  <c r="S131" i="219"/>
  <c r="Q131" i="219"/>
  <c r="P131" i="219"/>
  <c r="H68" i="219"/>
  <c r="F136" i="191" s="1" a="1"/>
  <c r="F136" i="191" s="1"/>
  <c r="P68" i="219"/>
  <c r="H72" i="219"/>
  <c r="F139" i="191" s="1" a="1"/>
  <c r="F139" i="191" s="1"/>
  <c r="P72" i="219"/>
  <c r="R108" i="219"/>
  <c r="P108" i="219"/>
  <c r="R124" i="219"/>
  <c r="P124" i="219"/>
  <c r="R131" i="219"/>
  <c r="S152" i="219"/>
  <c r="R152" i="219"/>
  <c r="Q152" i="219"/>
  <c r="P152" i="219"/>
  <c r="K69" i="219"/>
  <c r="H135" i="191" s="1" a="1"/>
  <c r="H135" i="191" s="1"/>
  <c r="E70" i="219"/>
  <c r="C138" i="191" s="1" a="1"/>
  <c r="C138" i="191" s="1"/>
  <c r="M70" i="219"/>
  <c r="I138" i="191" s="1" a="1"/>
  <c r="I138" i="191" s="1"/>
  <c r="K73" i="219"/>
  <c r="H141" i="191" s="1" a="1"/>
  <c r="H141" i="191" s="1"/>
  <c r="K77" i="219"/>
  <c r="H145" i="191" s="1" a="1"/>
  <c r="H145" i="191" s="1"/>
  <c r="R94" i="219"/>
  <c r="P94" i="219"/>
  <c r="R110" i="219"/>
  <c r="P110" i="219"/>
  <c r="R126" i="219"/>
  <c r="P126" i="219"/>
  <c r="S149" i="219"/>
  <c r="Q149" i="219"/>
  <c r="P149" i="219"/>
  <c r="K80" i="219"/>
  <c r="H146" i="191" s="1" a="1"/>
  <c r="H146" i="191" s="1"/>
  <c r="R96" i="219"/>
  <c r="P96" i="219"/>
  <c r="S98" i="219"/>
  <c r="K104" i="219"/>
  <c r="R112" i="219"/>
  <c r="P112" i="219"/>
  <c r="R147" i="219"/>
  <c r="Q147" i="219"/>
  <c r="P147" i="219"/>
  <c r="R149" i="219"/>
  <c r="K76" i="219"/>
  <c r="H143" i="191" s="1" a="1"/>
  <c r="H143" i="191" s="1"/>
  <c r="K79" i="219"/>
  <c r="H147" i="191" s="1" a="1"/>
  <c r="H147" i="191" s="1"/>
  <c r="R98" i="219"/>
  <c r="P98" i="219"/>
  <c r="R114" i="219"/>
  <c r="P114" i="219"/>
  <c r="R135" i="219"/>
  <c r="S146" i="219"/>
  <c r="R146" i="219"/>
  <c r="P146" i="219"/>
  <c r="S158" i="219"/>
  <c r="K81" i="219"/>
  <c r="H148" i="191" s="1" a="1"/>
  <c r="H148" i="191" s="1"/>
  <c r="K78" i="219"/>
  <c r="H144" i="191" s="1" a="1"/>
  <c r="H144" i="191" s="1"/>
  <c r="K89" i="219"/>
  <c r="H155" i="191" s="1" a="1"/>
  <c r="H155" i="191" s="1"/>
  <c r="K85" i="219"/>
  <c r="H152" i="191" s="1" a="1"/>
  <c r="H152" i="191" s="1"/>
  <c r="K90" i="219"/>
  <c r="H157" i="191" s="1" a="1"/>
  <c r="H157" i="191" s="1"/>
  <c r="K86" i="219"/>
  <c r="H154" i="191" s="1" a="1"/>
  <c r="H154" i="191" s="1"/>
  <c r="K82" i="219"/>
  <c r="H150" i="191" s="1" a="1"/>
  <c r="H150" i="191" s="1"/>
  <c r="K88" i="219"/>
  <c r="H156" i="191" s="1" a="1"/>
  <c r="H156" i="191" s="1"/>
  <c r="H66" i="219"/>
  <c r="F133" i="191" s="1" a="1"/>
  <c r="F133" i="191" s="1"/>
  <c r="P66" i="219"/>
  <c r="R100" i="219"/>
  <c r="P100" i="219"/>
  <c r="S102" i="219"/>
  <c r="K108" i="219"/>
  <c r="R116" i="219"/>
  <c r="P116" i="219"/>
  <c r="S118" i="219"/>
  <c r="K124" i="219"/>
  <c r="S132" i="219"/>
  <c r="R144" i="219"/>
  <c r="P144" i="219"/>
  <c r="S147" i="219"/>
  <c r="I80" i="219"/>
  <c r="G146" i="191" s="1" a="1"/>
  <c r="G146" i="191" s="1"/>
  <c r="I81" i="219"/>
  <c r="G148" i="191" s="1" a="1"/>
  <c r="G148" i="191" s="1"/>
  <c r="Q80" i="219"/>
  <c r="Q81" i="219"/>
  <c r="Q77" i="219"/>
  <c r="I88" i="219"/>
  <c r="G156" i="191" s="1" a="1"/>
  <c r="G156" i="191" s="1"/>
  <c r="I84" i="219"/>
  <c r="G151" i="191" s="1" a="1"/>
  <c r="G151" i="191" s="1"/>
  <c r="I89" i="219"/>
  <c r="G155" i="191" s="1" a="1"/>
  <c r="G155" i="191" s="1"/>
  <c r="I85" i="219"/>
  <c r="G152" i="191" s="1" a="1"/>
  <c r="G152" i="191" s="1"/>
  <c r="Q88" i="219"/>
  <c r="Q84" i="219"/>
  <c r="Q89" i="219"/>
  <c r="Q85" i="219"/>
  <c r="Q87" i="219"/>
  <c r="E64" i="219"/>
  <c r="C132" i="191" s="1" a="1"/>
  <c r="C132" i="191" s="1"/>
  <c r="M64" i="219"/>
  <c r="I132" i="191" s="1" a="1"/>
  <c r="I132" i="191" s="1"/>
  <c r="K67" i="219"/>
  <c r="H134" i="191" s="1" a="1"/>
  <c r="H134" i="191" s="1"/>
  <c r="E68" i="219"/>
  <c r="C136" i="191" s="1" a="1"/>
  <c r="C136" i="191" s="1"/>
  <c r="M68" i="219"/>
  <c r="I136" i="191" s="1" a="1"/>
  <c r="I136" i="191" s="1"/>
  <c r="K94" i="219"/>
  <c r="R102" i="219"/>
  <c r="P102" i="219"/>
  <c r="S104" i="219"/>
  <c r="K110" i="219"/>
  <c r="R118" i="219"/>
  <c r="P118" i="219"/>
  <c r="S120" i="219"/>
  <c r="K126" i="219"/>
  <c r="R139" i="219"/>
  <c r="Q139" i="219"/>
  <c r="O47" i="219" s="1"/>
  <c r="J114" i="191" s="1" a="1"/>
  <c r="J114" i="191" s="1"/>
  <c r="P139" i="219"/>
  <c r="S143" i="219"/>
  <c r="Q143" i="219"/>
  <c r="P143" i="219"/>
  <c r="G80" i="219"/>
  <c r="E146" i="191" s="1" a="1"/>
  <c r="E146" i="191" s="1"/>
  <c r="O79" i="219"/>
  <c r="J147" i="191" s="1" a="1"/>
  <c r="J147" i="191" s="1"/>
  <c r="O80" i="219"/>
  <c r="J146" i="191" s="1" a="1"/>
  <c r="J146" i="191" s="1"/>
  <c r="G87" i="219"/>
  <c r="E153" i="191" s="1" a="1"/>
  <c r="E153" i="191" s="1"/>
  <c r="G83" i="219"/>
  <c r="E149" i="191" s="1" a="1"/>
  <c r="E149" i="191" s="1"/>
  <c r="G88" i="219"/>
  <c r="E156" i="191" s="1" a="1"/>
  <c r="E156" i="191" s="1"/>
  <c r="G84" i="219"/>
  <c r="E151" i="191" s="1" a="1"/>
  <c r="E151" i="191" s="1"/>
  <c r="G90" i="219"/>
  <c r="E157" i="191" s="1" a="1"/>
  <c r="E157" i="191" s="1"/>
  <c r="O87" i="219"/>
  <c r="J153" i="191" s="1" a="1"/>
  <c r="J153" i="191" s="1"/>
  <c r="O83" i="219"/>
  <c r="J149" i="191" s="1" a="1"/>
  <c r="J149" i="191" s="1"/>
  <c r="O88" i="219"/>
  <c r="J156" i="191" s="1" a="1"/>
  <c r="J156" i="191" s="1"/>
  <c r="O84" i="219"/>
  <c r="J151" i="191" s="1" a="1"/>
  <c r="J151" i="191" s="1"/>
  <c r="O90" i="219"/>
  <c r="J157" i="191" s="1" a="1"/>
  <c r="J157" i="191" s="1"/>
  <c r="K96" i="219"/>
  <c r="R104" i="219"/>
  <c r="P104" i="219"/>
  <c r="S106" i="219"/>
  <c r="K112" i="219"/>
  <c r="R120" i="219"/>
  <c r="P120" i="219"/>
  <c r="S122" i="219"/>
  <c r="S134" i="219"/>
  <c r="R134" i="219"/>
  <c r="Q134" i="219"/>
  <c r="P134" i="219"/>
  <c r="S138" i="219"/>
  <c r="R138" i="219"/>
  <c r="P138" i="219"/>
  <c r="S157" i="219"/>
  <c r="Q157" i="219"/>
  <c r="P157" i="219"/>
  <c r="E90" i="219"/>
  <c r="C157" i="191" s="1" a="1"/>
  <c r="C157" i="191" s="1"/>
  <c r="E86" i="219"/>
  <c r="C154" i="191" s="1" a="1"/>
  <c r="C154" i="191" s="1"/>
  <c r="E82" i="219"/>
  <c r="C150" i="191" s="1" a="1"/>
  <c r="C150" i="191" s="1"/>
  <c r="E87" i="219"/>
  <c r="C153" i="191" s="1" a="1"/>
  <c r="C153" i="191" s="1"/>
  <c r="E83" i="219"/>
  <c r="C149" i="191" s="1" a="1"/>
  <c r="C149" i="191" s="1"/>
  <c r="E89" i="219"/>
  <c r="C155" i="191" s="1" a="1"/>
  <c r="C155" i="191" s="1"/>
  <c r="M90" i="219"/>
  <c r="I157" i="191" s="1" a="1"/>
  <c r="I157" i="191" s="1"/>
  <c r="M86" i="219"/>
  <c r="I154" i="191" s="1" a="1"/>
  <c r="I154" i="191" s="1"/>
  <c r="M82" i="219"/>
  <c r="I150" i="191" s="1" a="1"/>
  <c r="I150" i="191" s="1"/>
  <c r="M87" i="219"/>
  <c r="I153" i="191" s="1" a="1"/>
  <c r="I153" i="191" s="1"/>
  <c r="M83" i="219"/>
  <c r="I149" i="191" s="1" a="1"/>
  <c r="I149" i="191" s="1"/>
  <c r="M89" i="219"/>
  <c r="I155" i="191" s="1" a="1"/>
  <c r="I155" i="191" s="1"/>
  <c r="N77" i="219"/>
  <c r="H78" i="219"/>
  <c r="F144" i="191" s="1" a="1"/>
  <c r="F144" i="191" s="1"/>
  <c r="P78" i="219"/>
  <c r="J79" i="219"/>
  <c r="L80" i="219"/>
  <c r="F81" i="219"/>
  <c r="D148" i="191" s="1" a="1"/>
  <c r="D148" i="191" s="1"/>
  <c r="N81" i="219"/>
  <c r="H82" i="219"/>
  <c r="F150" i="191" s="1" a="1"/>
  <c r="F150" i="191" s="1"/>
  <c r="P82" i="219"/>
  <c r="J83" i="219"/>
  <c r="L84" i="219"/>
  <c r="F85" i="219"/>
  <c r="D152" i="191" s="1" a="1"/>
  <c r="D152" i="191" s="1"/>
  <c r="N85" i="219"/>
  <c r="H86" i="219"/>
  <c r="F154" i="191" s="1" a="1"/>
  <c r="F154" i="191" s="1"/>
  <c r="P86" i="219"/>
  <c r="J87" i="219"/>
  <c r="L88" i="219"/>
  <c r="F89" i="219"/>
  <c r="D155" i="191" s="1" a="1"/>
  <c r="D155" i="191" s="1"/>
  <c r="N89" i="219"/>
  <c r="H90" i="219"/>
  <c r="F157" i="191" s="1" a="1"/>
  <c r="F157" i="191" s="1"/>
  <c r="P90" i="219"/>
  <c r="S129" i="219"/>
  <c r="P132" i="219"/>
  <c r="S137" i="219"/>
  <c r="S145" i="219"/>
  <c r="P150" i="219"/>
  <c r="S155" i="219"/>
  <c r="P158" i="219"/>
  <c r="H85" i="219"/>
  <c r="F152" i="191" s="1" a="1"/>
  <c r="F152" i="191" s="1"/>
  <c r="P85" i="219"/>
  <c r="J86" i="219"/>
  <c r="L87" i="219"/>
  <c r="F88" i="219"/>
  <c r="D156" i="191" s="1" a="1"/>
  <c r="D156" i="191" s="1"/>
  <c r="N88" i="219"/>
  <c r="H89" i="219"/>
  <c r="F155" i="191" s="1" a="1"/>
  <c r="F155" i="191" s="1"/>
  <c r="P89" i="219"/>
  <c r="J90" i="219"/>
  <c r="R132" i="219"/>
  <c r="Q133" i="219"/>
  <c r="Q141" i="219"/>
  <c r="R150" i="219"/>
  <c r="Q151" i="219"/>
  <c r="R158" i="219"/>
  <c r="Q159" i="219"/>
  <c r="Q94" i="219"/>
  <c r="Q96" i="219"/>
  <c r="Q98" i="219"/>
  <c r="Q100" i="219"/>
  <c r="Q102" i="219"/>
  <c r="Q104" i="219"/>
  <c r="Q106" i="219"/>
  <c r="Q108" i="219"/>
  <c r="Q110" i="219"/>
  <c r="Q112" i="219"/>
  <c r="Q114" i="219"/>
  <c r="Q116" i="219"/>
  <c r="Q118" i="219"/>
  <c r="Q120" i="219"/>
  <c r="Q122" i="219"/>
  <c r="Q124" i="219"/>
  <c r="Q126" i="219"/>
  <c r="P127" i="219"/>
  <c r="P135" i="219"/>
  <c r="R141" i="219"/>
  <c r="Q144" i="219"/>
  <c r="P153" i="219"/>
  <c r="L82" i="219"/>
  <c r="F83" i="219"/>
  <c r="D149" i="191" s="1" a="1"/>
  <c r="D149" i="191" s="1"/>
  <c r="N83" i="219"/>
  <c r="H84" i="219"/>
  <c r="F151" i="191" s="1" a="1"/>
  <c r="F151" i="191" s="1"/>
  <c r="P84" i="219"/>
  <c r="J85" i="219"/>
  <c r="L86" i="219"/>
  <c r="Q127" i="219"/>
  <c r="Q135" i="219"/>
  <c r="P142" i="219"/>
  <c r="Q153" i="219"/>
  <c r="P154" i="219"/>
  <c r="B13" i="161"/>
  <c r="A239" i="161"/>
  <c r="A238" i="161"/>
  <c r="A237" i="161"/>
  <c r="A236" i="161"/>
  <c r="A235" i="161"/>
  <c r="A234" i="161"/>
  <c r="A233" i="161"/>
  <c r="A232" i="161"/>
  <c r="A231" i="161"/>
  <c r="A230" i="161"/>
  <c r="A229" i="161"/>
  <c r="A228" i="161"/>
  <c r="A227" i="161"/>
  <c r="A226" i="161"/>
  <c r="A225" i="161"/>
  <c r="A224" i="161"/>
  <c r="A223" i="161"/>
  <c r="A222" i="161"/>
  <c r="A221" i="161"/>
  <c r="A220" i="161"/>
  <c r="A219" i="161"/>
  <c r="A218" i="161"/>
  <c r="A217" i="161"/>
  <c r="A216" i="161"/>
  <c r="A215" i="161"/>
  <c r="A214" i="161"/>
  <c r="A213" i="161"/>
  <c r="A212" i="161"/>
  <c r="A211" i="161"/>
  <c r="A210" i="161"/>
  <c r="A209" i="161"/>
  <c r="A208" i="161"/>
  <c r="A207" i="161"/>
  <c r="A206" i="161"/>
  <c r="A205" i="161"/>
  <c r="A204" i="161"/>
  <c r="A203" i="161"/>
  <c r="A202" i="161"/>
  <c r="A201" i="161"/>
  <c r="A200" i="161"/>
  <c r="A199" i="161"/>
  <c r="A198" i="161"/>
  <c r="A197" i="161"/>
  <c r="A196" i="161"/>
  <c r="A195" i="161"/>
  <c r="A194" i="161"/>
  <c r="A193" i="161"/>
  <c r="A192" i="161"/>
  <c r="A191" i="161"/>
  <c r="A190" i="161"/>
  <c r="A189" i="161"/>
  <c r="A188" i="161"/>
  <c r="A187" i="161"/>
  <c r="A186" i="161"/>
  <c r="A185" i="161"/>
  <c r="A184" i="161"/>
  <c r="A183" i="161"/>
  <c r="A182" i="161"/>
  <c r="A181" i="161"/>
  <c r="A180" i="161"/>
  <c r="A179" i="161"/>
  <c r="A178" i="161"/>
  <c r="A177" i="161"/>
  <c r="A176" i="161"/>
  <c r="A175" i="161"/>
  <c r="A174" i="161"/>
  <c r="A173" i="161"/>
  <c r="A172" i="161"/>
  <c r="A171" i="161"/>
  <c r="A170" i="161"/>
  <c r="A169" i="161"/>
  <c r="A168" i="161"/>
  <c r="A167" i="161"/>
  <c r="A166" i="161"/>
  <c r="A165" i="161"/>
  <c r="A164" i="161"/>
  <c r="A163" i="161"/>
  <c r="A162" i="161"/>
  <c r="A161" i="161"/>
  <c r="A160" i="161"/>
  <c r="A159" i="161"/>
  <c r="A158" i="161"/>
  <c r="A157" i="161"/>
  <c r="A156" i="161"/>
  <c r="A155" i="161"/>
  <c r="A154" i="161"/>
  <c r="A153" i="161"/>
  <c r="A152" i="161"/>
  <c r="A151" i="161"/>
  <c r="A150" i="161"/>
  <c r="A149" i="161"/>
  <c r="A148" i="161"/>
  <c r="A147" i="161"/>
  <c r="A146" i="161"/>
  <c r="A145" i="161"/>
  <c r="A144" i="161"/>
  <c r="A143" i="161"/>
  <c r="A142" i="161"/>
  <c r="A141" i="161"/>
  <c r="A140" i="161"/>
  <c r="A139" i="161"/>
  <c r="A138" i="161"/>
  <c r="A137" i="161"/>
  <c r="A136" i="161"/>
  <c r="A135" i="161"/>
  <c r="A134" i="161"/>
  <c r="A133" i="161"/>
  <c r="A132" i="161"/>
  <c r="A131" i="161"/>
  <c r="A130" i="161"/>
  <c r="A129" i="161"/>
  <c r="A128" i="161"/>
  <c r="A127" i="161"/>
  <c r="A126" i="161"/>
  <c r="A125" i="161"/>
  <c r="A124" i="161"/>
  <c r="A123" i="161"/>
  <c r="A122" i="161"/>
  <c r="A121" i="161"/>
  <c r="A120" i="161"/>
  <c r="A119" i="161"/>
  <c r="A118" i="161"/>
  <c r="A117" i="161"/>
  <c r="A116" i="161"/>
  <c r="A115" i="161"/>
  <c r="A114" i="161"/>
  <c r="A113" i="161"/>
  <c r="A112" i="161"/>
  <c r="A111" i="161"/>
  <c r="A110" i="161"/>
  <c r="A109" i="161"/>
  <c r="A108" i="161"/>
  <c r="A107" i="161"/>
  <c r="A106" i="161"/>
  <c r="A105" i="161"/>
  <c r="A104" i="161"/>
  <c r="A103" i="161"/>
  <c r="A102" i="161"/>
  <c r="A101" i="161"/>
  <c r="A100" i="161"/>
  <c r="A99" i="161"/>
  <c r="A98" i="161"/>
  <c r="A97" i="161"/>
  <c r="A96" i="161"/>
  <c r="A95" i="161"/>
  <c r="A94" i="161"/>
  <c r="A93" i="161"/>
  <c r="A92" i="161"/>
  <c r="A91" i="161"/>
  <c r="A90" i="161"/>
  <c r="A89" i="161"/>
  <c r="A88" i="161"/>
  <c r="A87" i="161"/>
  <c r="A86" i="161"/>
  <c r="A85" i="161"/>
  <c r="A84" i="161"/>
  <c r="A83" i="161"/>
  <c r="A82" i="161"/>
  <c r="A81" i="161"/>
  <c r="A80" i="161"/>
  <c r="A79" i="161"/>
  <c r="A78" i="161"/>
  <c r="A77" i="161"/>
  <c r="A76" i="161"/>
  <c r="A75" i="161"/>
  <c r="A74" i="161"/>
  <c r="A73" i="161"/>
  <c r="A72" i="161"/>
  <c r="A71" i="161"/>
  <c r="A70" i="161"/>
  <c r="A69" i="161"/>
  <c r="A68" i="161"/>
  <c r="A67" i="161"/>
  <c r="A66" i="161"/>
  <c r="A65" i="161"/>
  <c r="A64" i="161"/>
  <c r="A63" i="161"/>
  <c r="A62" i="161"/>
  <c r="A61" i="161"/>
  <c r="A60" i="161"/>
  <c r="A59" i="161"/>
  <c r="A58" i="161"/>
  <c r="A57" i="161"/>
  <c r="A56" i="161"/>
  <c r="A55" i="161"/>
  <c r="A54" i="161"/>
  <c r="A53" i="161"/>
  <c r="A52" i="161"/>
  <c r="A51" i="161"/>
  <c r="A50" i="161"/>
  <c r="A49" i="161"/>
  <c r="A48" i="161"/>
  <c r="M24" i="161"/>
  <c r="L24" i="161"/>
  <c r="K24" i="161"/>
  <c r="J24" i="161"/>
  <c r="I24" i="161"/>
  <c r="H24" i="161"/>
  <c r="G24" i="161"/>
  <c r="F24" i="161"/>
  <c r="E24" i="161"/>
  <c r="D24" i="161"/>
  <c r="C24" i="161"/>
  <c r="B24" i="161"/>
  <c r="J19" i="161"/>
  <c r="I19" i="161"/>
  <c r="H19" i="161"/>
  <c r="G19" i="161"/>
  <c r="F19" i="161"/>
  <c r="E19" i="161"/>
  <c r="D19" i="161"/>
  <c r="C19" i="161"/>
  <c r="B19" i="161"/>
  <c r="C18" i="161"/>
  <c r="D18" i="161" s="1"/>
  <c r="E18" i="161" s="1"/>
  <c r="F18" i="161" s="1"/>
  <c r="G18" i="161" s="1"/>
  <c r="H18" i="161" s="1"/>
  <c r="I18" i="161" s="1"/>
  <c r="J18" i="161" s="1"/>
  <c r="K18" i="161" s="1"/>
  <c r="L18" i="161" s="1"/>
  <c r="M18" i="161" s="1"/>
  <c r="B13" i="160"/>
  <c r="M24" i="160"/>
  <c r="L24" i="160"/>
  <c r="K24" i="160"/>
  <c r="J24" i="160"/>
  <c r="I24" i="160"/>
  <c r="H24" i="160"/>
  <c r="G24" i="160"/>
  <c r="F24" i="160"/>
  <c r="E24" i="160"/>
  <c r="D24" i="160"/>
  <c r="C24" i="160"/>
  <c r="B24" i="160"/>
  <c r="J19" i="160"/>
  <c r="I19" i="160"/>
  <c r="H19" i="160"/>
  <c r="G19" i="160"/>
  <c r="F19" i="160"/>
  <c r="E19" i="160"/>
  <c r="D19" i="160"/>
  <c r="C19" i="160"/>
  <c r="B19" i="160"/>
  <c r="C18" i="160"/>
  <c r="D18" i="160" s="1"/>
  <c r="E18" i="160" s="1"/>
  <c r="F18" i="160" s="1"/>
  <c r="G18" i="160" s="1"/>
  <c r="H18" i="160" s="1"/>
  <c r="I18" i="160" s="1"/>
  <c r="J18" i="160" s="1"/>
  <c r="K18" i="160" s="1"/>
  <c r="L18" i="160" s="1"/>
  <c r="M18" i="160" s="1"/>
  <c r="A284" i="159"/>
  <c r="A285" i="159"/>
  <c r="A286" i="159"/>
  <c r="A287" i="159"/>
  <c r="A288" i="159"/>
  <c r="A289" i="159"/>
  <c r="A290" i="159"/>
  <c r="A291" i="159"/>
  <c r="A292" i="159"/>
  <c r="A293" i="159"/>
  <c r="A294" i="159"/>
  <c r="A295" i="159"/>
  <c r="A296" i="159"/>
  <c r="A297" i="159"/>
  <c r="A298" i="159"/>
  <c r="A299" i="159"/>
  <c r="A300" i="159"/>
  <c r="A301" i="159"/>
  <c r="A302" i="159"/>
  <c r="A303" i="159"/>
  <c r="A304" i="159"/>
  <c r="A305" i="159"/>
  <c r="B13" i="159"/>
  <c r="A283" i="159"/>
  <c r="A282" i="159"/>
  <c r="A281" i="159"/>
  <c r="A280" i="159"/>
  <c r="A279" i="159"/>
  <c r="A278" i="159"/>
  <c r="A277" i="159"/>
  <c r="A276" i="159"/>
  <c r="A275" i="159"/>
  <c r="A274" i="159"/>
  <c r="A273" i="159"/>
  <c r="A272" i="159"/>
  <c r="A271" i="159"/>
  <c r="A270" i="159"/>
  <c r="A269" i="159"/>
  <c r="A268" i="159"/>
  <c r="A267" i="159"/>
  <c r="A266" i="159"/>
  <c r="A265" i="159"/>
  <c r="A264" i="159"/>
  <c r="A263" i="159"/>
  <c r="A262" i="159"/>
  <c r="A261" i="159"/>
  <c r="A260" i="159"/>
  <c r="A259" i="159"/>
  <c r="A258" i="159"/>
  <c r="A257" i="159"/>
  <c r="A256" i="159"/>
  <c r="A255" i="159"/>
  <c r="A254" i="159"/>
  <c r="A253" i="159"/>
  <c r="A252" i="159"/>
  <c r="A251" i="159"/>
  <c r="A250" i="159"/>
  <c r="A249" i="159"/>
  <c r="A248" i="159"/>
  <c r="A247" i="159"/>
  <c r="A246" i="159"/>
  <c r="A245" i="159"/>
  <c r="A244" i="159"/>
  <c r="A243" i="159"/>
  <c r="A242" i="159"/>
  <c r="A241" i="159"/>
  <c r="A240" i="159"/>
  <c r="A239" i="159"/>
  <c r="A238" i="159"/>
  <c r="A237" i="159"/>
  <c r="A236" i="159"/>
  <c r="A235" i="159"/>
  <c r="A234" i="159"/>
  <c r="A233" i="159"/>
  <c r="A232" i="159"/>
  <c r="A231" i="159"/>
  <c r="A230" i="159"/>
  <c r="A229" i="159"/>
  <c r="A228" i="159"/>
  <c r="A227" i="159"/>
  <c r="A226" i="159"/>
  <c r="A225" i="159"/>
  <c r="A224" i="159"/>
  <c r="A223" i="159"/>
  <c r="A222" i="159"/>
  <c r="A221" i="159"/>
  <c r="A220" i="159"/>
  <c r="A219" i="159"/>
  <c r="A218" i="159"/>
  <c r="A217" i="159"/>
  <c r="A216" i="159"/>
  <c r="A215" i="159"/>
  <c r="A214" i="159"/>
  <c r="A213" i="159"/>
  <c r="A212" i="159"/>
  <c r="A211" i="159"/>
  <c r="A210" i="159"/>
  <c r="A209" i="159"/>
  <c r="A208" i="159"/>
  <c r="A207" i="159"/>
  <c r="A206" i="159"/>
  <c r="A205" i="159"/>
  <c r="A204" i="159"/>
  <c r="A203" i="159"/>
  <c r="A202" i="159"/>
  <c r="A201" i="159"/>
  <c r="A200" i="159"/>
  <c r="A199" i="159"/>
  <c r="A198" i="159"/>
  <c r="A197" i="159"/>
  <c r="A196" i="159"/>
  <c r="A195" i="159"/>
  <c r="A194" i="159"/>
  <c r="A193" i="159"/>
  <c r="A192" i="159"/>
  <c r="A191" i="159"/>
  <c r="A190" i="159"/>
  <c r="A189" i="159"/>
  <c r="A188" i="159"/>
  <c r="A187" i="159"/>
  <c r="A186" i="159"/>
  <c r="A185" i="159"/>
  <c r="A184" i="159"/>
  <c r="A183" i="159"/>
  <c r="A182" i="159"/>
  <c r="A181" i="159"/>
  <c r="A180" i="159"/>
  <c r="A179" i="159"/>
  <c r="A178" i="159"/>
  <c r="A177" i="159"/>
  <c r="A176" i="159"/>
  <c r="A175" i="159"/>
  <c r="A174" i="159"/>
  <c r="A173" i="159"/>
  <c r="A172" i="159"/>
  <c r="A171" i="159"/>
  <c r="A170" i="159"/>
  <c r="A169" i="159"/>
  <c r="A168" i="159"/>
  <c r="A167" i="159"/>
  <c r="A166" i="159"/>
  <c r="A165" i="159"/>
  <c r="A164" i="159"/>
  <c r="A163" i="159"/>
  <c r="A162" i="159"/>
  <c r="A161" i="159"/>
  <c r="A160" i="159"/>
  <c r="A159" i="159"/>
  <c r="A158" i="159"/>
  <c r="A157" i="159"/>
  <c r="A156" i="159"/>
  <c r="A155" i="159"/>
  <c r="A154" i="159"/>
  <c r="A153" i="159"/>
  <c r="A152" i="159"/>
  <c r="A151" i="159"/>
  <c r="A150" i="159"/>
  <c r="A149" i="159"/>
  <c r="A148" i="159"/>
  <c r="A147" i="159"/>
  <c r="A146" i="159"/>
  <c r="A145" i="159"/>
  <c r="A144" i="159"/>
  <c r="A143" i="159"/>
  <c r="A142" i="159"/>
  <c r="A141" i="159"/>
  <c r="A140" i="159"/>
  <c r="A139" i="159"/>
  <c r="A138" i="159"/>
  <c r="A137" i="159"/>
  <c r="A136" i="159"/>
  <c r="A135" i="159"/>
  <c r="A134" i="159"/>
  <c r="A133" i="159"/>
  <c r="A132" i="159"/>
  <c r="A131" i="159"/>
  <c r="A130" i="159"/>
  <c r="A129" i="159"/>
  <c r="A128" i="159"/>
  <c r="A127" i="159"/>
  <c r="A126" i="159"/>
  <c r="A125" i="159"/>
  <c r="A124" i="159"/>
  <c r="A123" i="159"/>
  <c r="A122" i="159"/>
  <c r="A121" i="159"/>
  <c r="A120" i="159"/>
  <c r="A119" i="159"/>
  <c r="A118" i="159"/>
  <c r="A117" i="159"/>
  <c r="A116" i="159"/>
  <c r="A115" i="159"/>
  <c r="A114" i="159"/>
  <c r="A113" i="159"/>
  <c r="A112" i="159"/>
  <c r="A111" i="159"/>
  <c r="A110" i="159"/>
  <c r="A109" i="159"/>
  <c r="A108" i="159"/>
  <c r="A107" i="159"/>
  <c r="A106" i="159"/>
  <c r="A105" i="159"/>
  <c r="A104" i="159"/>
  <c r="A103" i="159"/>
  <c r="A102" i="159"/>
  <c r="A101" i="159"/>
  <c r="A100" i="159"/>
  <c r="A99" i="159"/>
  <c r="A98" i="159"/>
  <c r="A97" i="159"/>
  <c r="A96" i="159"/>
  <c r="A95" i="159"/>
  <c r="A94" i="159"/>
  <c r="A93" i="159"/>
  <c r="A92" i="159"/>
  <c r="A91" i="159"/>
  <c r="A90" i="159"/>
  <c r="A89" i="159"/>
  <c r="A88" i="159"/>
  <c r="A87" i="159"/>
  <c r="A86" i="159"/>
  <c r="A85" i="159"/>
  <c r="A84" i="159"/>
  <c r="A83" i="159"/>
  <c r="A82" i="159"/>
  <c r="A81" i="159"/>
  <c r="A80" i="159"/>
  <c r="A79" i="159"/>
  <c r="A78" i="159"/>
  <c r="A77" i="159"/>
  <c r="A76" i="159"/>
  <c r="A75" i="159"/>
  <c r="A74" i="159"/>
  <c r="A73" i="159"/>
  <c r="A72" i="159"/>
  <c r="A71" i="159"/>
  <c r="A70" i="159"/>
  <c r="A69" i="159"/>
  <c r="A68" i="159"/>
  <c r="A67" i="159"/>
  <c r="A66" i="159"/>
  <c r="A65" i="159"/>
  <c r="A64" i="159"/>
  <c r="A63" i="159"/>
  <c r="A62" i="159"/>
  <c r="A61" i="159"/>
  <c r="A60" i="159"/>
  <c r="A59" i="159"/>
  <c r="A58" i="159"/>
  <c r="A57" i="159"/>
  <c r="A56" i="159"/>
  <c r="A55" i="159"/>
  <c r="A54" i="159"/>
  <c r="A53" i="159"/>
  <c r="A52" i="159"/>
  <c r="A51" i="159"/>
  <c r="A50" i="159"/>
  <c r="M24" i="159"/>
  <c r="L24" i="159"/>
  <c r="K24" i="159"/>
  <c r="J24" i="159"/>
  <c r="I24" i="159"/>
  <c r="H24" i="159"/>
  <c r="G24" i="159"/>
  <c r="F24" i="159"/>
  <c r="E24" i="159"/>
  <c r="D24" i="159"/>
  <c r="C24" i="159"/>
  <c r="B24" i="159"/>
  <c r="J19" i="159"/>
  <c r="I19" i="159"/>
  <c r="H19" i="159"/>
  <c r="G19" i="159"/>
  <c r="F19" i="159"/>
  <c r="E19" i="159"/>
  <c r="D19" i="159"/>
  <c r="C19" i="159"/>
  <c r="B19" i="159"/>
  <c r="C18" i="159"/>
  <c r="D18" i="159" s="1"/>
  <c r="E18" i="159" s="1"/>
  <c r="F18" i="159" s="1"/>
  <c r="G18" i="159" s="1"/>
  <c r="H18" i="159" s="1"/>
  <c r="I18" i="159" s="1"/>
  <c r="J18" i="159" s="1"/>
  <c r="K18" i="159" s="1"/>
  <c r="L18" i="159" s="1"/>
  <c r="M18" i="159" s="1"/>
  <c r="B13" i="139"/>
  <c r="A88" i="139"/>
  <c r="A89" i="139"/>
  <c r="A90" i="139"/>
  <c r="A91" i="139"/>
  <c r="A92" i="139"/>
  <c r="A93" i="139"/>
  <c r="A94" i="139"/>
  <c r="A95" i="139"/>
  <c r="A96" i="139"/>
  <c r="A97" i="139"/>
  <c r="A98" i="139"/>
  <c r="A99" i="139"/>
  <c r="A100" i="139"/>
  <c r="A101" i="139"/>
  <c r="A102" i="139"/>
  <c r="A103" i="139"/>
  <c r="A104" i="139"/>
  <c r="A105" i="139"/>
  <c r="A106" i="139"/>
  <c r="A107" i="139"/>
  <c r="A108" i="139"/>
  <c r="A109" i="139"/>
  <c r="A110" i="139"/>
  <c r="A111" i="139"/>
  <c r="A112" i="139"/>
  <c r="A113" i="139"/>
  <c r="A114" i="139"/>
  <c r="A115" i="139"/>
  <c r="A116" i="139"/>
  <c r="A117" i="139"/>
  <c r="A118" i="139"/>
  <c r="A119" i="139"/>
  <c r="A120" i="139"/>
  <c r="A121" i="139"/>
  <c r="A122" i="139"/>
  <c r="A123" i="139"/>
  <c r="A124" i="139"/>
  <c r="A125" i="139"/>
  <c r="A126" i="139"/>
  <c r="A127" i="139"/>
  <c r="A128" i="139"/>
  <c r="A129" i="139"/>
  <c r="A130" i="139"/>
  <c r="A131" i="139"/>
  <c r="A132" i="139"/>
  <c r="A133" i="139"/>
  <c r="A134" i="139"/>
  <c r="A135" i="139"/>
  <c r="A136" i="139"/>
  <c r="A137" i="139"/>
  <c r="A138" i="139"/>
  <c r="A139" i="139"/>
  <c r="A140" i="139"/>
  <c r="A141" i="139"/>
  <c r="A142" i="139"/>
  <c r="A143" i="139"/>
  <c r="A144" i="139"/>
  <c r="A145" i="139"/>
  <c r="A146" i="139"/>
  <c r="A147" i="139"/>
  <c r="A148" i="139"/>
  <c r="A149" i="139"/>
  <c r="A150" i="139"/>
  <c r="A151" i="139"/>
  <c r="A152" i="139"/>
  <c r="A153" i="139"/>
  <c r="A154" i="139"/>
  <c r="A155" i="139"/>
  <c r="A156" i="139"/>
  <c r="A157" i="139"/>
  <c r="A158" i="139"/>
  <c r="A159" i="139"/>
  <c r="A160" i="139"/>
  <c r="A161" i="139"/>
  <c r="A162" i="139"/>
  <c r="A163" i="139"/>
  <c r="A164" i="139"/>
  <c r="A165" i="139"/>
  <c r="A166" i="139"/>
  <c r="A167" i="139"/>
  <c r="A168" i="139"/>
  <c r="A169" i="139"/>
  <c r="A170" i="139"/>
  <c r="A171" i="139"/>
  <c r="A172" i="139"/>
  <c r="A173" i="139"/>
  <c r="A174" i="139"/>
  <c r="A175" i="139"/>
  <c r="A176" i="139"/>
  <c r="A177" i="139"/>
  <c r="A178" i="139"/>
  <c r="A179" i="139"/>
  <c r="A180" i="139"/>
  <c r="A181" i="139"/>
  <c r="A182" i="139"/>
  <c r="A183" i="139"/>
  <c r="A184" i="139"/>
  <c r="A185" i="139"/>
  <c r="A186" i="139"/>
  <c r="A187" i="139"/>
  <c r="A188" i="139"/>
  <c r="A189" i="139"/>
  <c r="A190" i="139"/>
  <c r="A191" i="139"/>
  <c r="A192" i="139"/>
  <c r="A193" i="139"/>
  <c r="A194" i="139"/>
  <c r="A195" i="139"/>
  <c r="A196" i="139"/>
  <c r="A197" i="139"/>
  <c r="A198" i="139"/>
  <c r="A199" i="139"/>
  <c r="A200" i="139"/>
  <c r="A201" i="139"/>
  <c r="A202" i="139"/>
  <c r="A203" i="139"/>
  <c r="A204" i="139"/>
  <c r="A205" i="139"/>
  <c r="A206" i="139"/>
  <c r="A207" i="139"/>
  <c r="A208" i="139"/>
  <c r="A209" i="139"/>
  <c r="A210" i="139"/>
  <c r="A211" i="139"/>
  <c r="A212" i="139"/>
  <c r="A213" i="139"/>
  <c r="A214" i="139"/>
  <c r="A215" i="139"/>
  <c r="A216" i="139"/>
  <c r="A217" i="139"/>
  <c r="A218" i="139"/>
  <c r="A219" i="139"/>
  <c r="A220" i="139"/>
  <c r="A221" i="139"/>
  <c r="A222" i="139"/>
  <c r="A223" i="139"/>
  <c r="A224" i="139"/>
  <c r="A225" i="139"/>
  <c r="A226" i="139"/>
  <c r="A227" i="139"/>
  <c r="A228" i="139"/>
  <c r="A229" i="139"/>
  <c r="A230" i="139"/>
  <c r="A231" i="139"/>
  <c r="A232" i="139"/>
  <c r="A233" i="139"/>
  <c r="A234" i="139"/>
  <c r="A235" i="139"/>
  <c r="A236" i="139"/>
  <c r="A237" i="139"/>
  <c r="A238" i="139"/>
  <c r="A239" i="139"/>
  <c r="A240" i="139"/>
  <c r="H22" i="189" l="1"/>
  <c r="AE15" i="189"/>
  <c r="H23" i="189"/>
  <c r="AF15" i="189"/>
  <c r="Q45" i="218" a="1"/>
  <c r="Q45" i="218" s="1"/>
  <c r="Q46" i="218" a="1"/>
  <c r="Q46" i="218" s="1"/>
  <c r="Q41" i="218" a="1"/>
  <c r="Q41" i="218" s="1"/>
  <c r="Q44" i="218" a="1"/>
  <c r="Q44" i="218" s="1"/>
  <c r="Q42" i="218" a="1"/>
  <c r="Q42" i="218" s="1"/>
  <c r="Q43" i="218" a="1"/>
  <c r="Q43" i="218" s="1"/>
  <c r="Q47" i="218" a="1"/>
  <c r="Q47" i="218" s="1"/>
  <c r="P31" i="218" a="1"/>
  <c r="P31" i="218" s="1"/>
  <c r="J89" i="190" s="1" a="1"/>
  <c r="J89" i="190" s="1"/>
  <c r="P30" i="218" a="1"/>
  <c r="P30" i="218" s="1"/>
  <c r="J88" i="190" s="1" a="1"/>
  <c r="J88" i="190" s="1"/>
  <c r="P28" i="218" a="1"/>
  <c r="P28" i="218" s="1"/>
  <c r="J86" i="190" s="1" a="1"/>
  <c r="J86" i="190" s="1"/>
  <c r="P33" i="218" a="1"/>
  <c r="P33" i="218" s="1"/>
  <c r="J91" i="190" s="1" a="1"/>
  <c r="J91" i="190" s="1"/>
  <c r="P29" i="218" a="1"/>
  <c r="P29" i="218" s="1"/>
  <c r="J87" i="190" s="1" a="1"/>
  <c r="J87" i="190" s="1"/>
  <c r="P32" i="218" a="1"/>
  <c r="P32" i="218" s="1"/>
  <c r="J90" i="190" s="1" a="1"/>
  <c r="J90" i="190" s="1"/>
  <c r="P27" i="218" a="1"/>
  <c r="P27" i="218" s="1"/>
  <c r="J85" i="190" s="1" a="1"/>
  <c r="J85" i="190" s="1"/>
  <c r="N40" i="215" a="1"/>
  <c r="N40" i="215" s="1"/>
  <c r="J69" i="187" s="1" a="1"/>
  <c r="J69" i="187" s="1"/>
  <c r="F40" i="215" a="1"/>
  <c r="F40" i="215" s="1"/>
  <c r="D69" i="187" s="1" a="1"/>
  <c r="D69" i="187" s="1"/>
  <c r="O39" i="215" a="1"/>
  <c r="O39" i="215" s="1"/>
  <c r="G39" i="215" a="1"/>
  <c r="G39" i="215" s="1"/>
  <c r="E68" i="186" s="1" a="1"/>
  <c r="E68" i="186" s="1"/>
  <c r="P38" i="215" a="1"/>
  <c r="P38" i="215" s="1"/>
  <c r="K68" i="185" s="1" a="1"/>
  <c r="K68" i="185" s="1"/>
  <c r="H38" i="215" a="1"/>
  <c r="H38" i="215" s="1"/>
  <c r="F68" i="185" s="1" a="1"/>
  <c r="F68" i="185" s="1"/>
  <c r="Q37" i="215" a="1"/>
  <c r="Q37" i="215" s="1"/>
  <c r="I37" i="215" a="1"/>
  <c r="I37" i="215" s="1"/>
  <c r="G68" i="187" s="1" a="1"/>
  <c r="G68" i="187" s="1"/>
  <c r="R36" i="215" a="1"/>
  <c r="R36" i="215" s="1"/>
  <c r="J36" i="215" a="1"/>
  <c r="J36" i="215" s="1"/>
  <c r="H67" i="186" s="1" a="1"/>
  <c r="H67" i="186" s="1"/>
  <c r="K35" i="215" a="1"/>
  <c r="K35" i="215" s="1"/>
  <c r="L34" i="215" a="1"/>
  <c r="L34" i="215" s="1"/>
  <c r="I67" i="187" s="1" a="1"/>
  <c r="I67" i="187" s="1"/>
  <c r="M33" i="215" a="1"/>
  <c r="M33" i="215" s="1"/>
  <c r="O32" i="215" a="1"/>
  <c r="O32" i="215" s="1"/>
  <c r="H32" i="215" a="1"/>
  <c r="H32" i="215" s="1"/>
  <c r="F66" i="185" s="1" a="1"/>
  <c r="F66" i="185" s="1"/>
  <c r="L31" i="215" a="1"/>
  <c r="L31" i="215" s="1"/>
  <c r="I66" i="187" s="1" a="1"/>
  <c r="I66" i="187" s="1"/>
  <c r="F31" i="215" a="1"/>
  <c r="F31" i="215" s="1"/>
  <c r="D66" i="187" s="1" a="1"/>
  <c r="D66" i="187" s="1"/>
  <c r="P30" i="215" a="1"/>
  <c r="P30" i="215" s="1"/>
  <c r="K65" i="186" s="1" a="1"/>
  <c r="K65" i="186" s="1"/>
  <c r="M29" i="215" a="1"/>
  <c r="M29" i="215" s="1"/>
  <c r="H29" i="215" a="1"/>
  <c r="H29" i="215" s="1"/>
  <c r="F65" i="185" s="1" a="1"/>
  <c r="F65" i="185" s="1"/>
  <c r="M28" i="215" a="1"/>
  <c r="M28" i="215" s="1"/>
  <c r="H27" i="215" a="1"/>
  <c r="H27" i="215" s="1"/>
  <c r="F64" i="186" s="1" a="1"/>
  <c r="F64" i="186" s="1"/>
  <c r="R26" i="215" a="1"/>
  <c r="R26" i="215" s="1"/>
  <c r="M26" i="215" a="1"/>
  <c r="M26" i="215" s="1"/>
  <c r="H26" i="215" a="1"/>
  <c r="H26" i="215" s="1"/>
  <c r="F64" i="185" s="1" a="1"/>
  <c r="F64" i="185" s="1"/>
  <c r="Q25" i="215" a="1"/>
  <c r="Q25" i="215" s="1"/>
  <c r="L25" i="215" a="1"/>
  <c r="L25" i="215" s="1"/>
  <c r="I64" i="187" s="1" a="1"/>
  <c r="I64" i="187" s="1"/>
  <c r="G25" i="215" a="1"/>
  <c r="G25" i="215" s="1"/>
  <c r="E64" i="187" s="1" a="1"/>
  <c r="E64" i="187" s="1"/>
  <c r="Q24" i="215" a="1"/>
  <c r="Q24" i="215" s="1"/>
  <c r="L23" i="215" a="1"/>
  <c r="L23" i="215" s="1"/>
  <c r="I63" i="185" s="1" a="1"/>
  <c r="I63" i="185" s="1"/>
  <c r="F24" i="185" s="1"/>
  <c r="Q22" i="215" a="1"/>
  <c r="Q22" i="215" s="1"/>
  <c r="L22" i="215" a="1"/>
  <c r="L22" i="215" s="1"/>
  <c r="I63" i="187" s="1" a="1"/>
  <c r="I63" i="187" s="1"/>
  <c r="F24" i="187" s="1"/>
  <c r="F22" i="215" a="1"/>
  <c r="F22" i="215" s="1"/>
  <c r="D63" i="187" s="1" a="1"/>
  <c r="D63" i="187" s="1"/>
  <c r="P21" i="215" a="1"/>
  <c r="P21" i="215" s="1"/>
  <c r="K62" i="186" s="1" a="1"/>
  <c r="K62" i="186" s="1"/>
  <c r="H23" i="186" s="1"/>
  <c r="K21" i="215" a="1"/>
  <c r="K21" i="215" s="1"/>
  <c r="P19" i="215" a="1"/>
  <c r="P19" i="215" s="1"/>
  <c r="K62" i="187" s="1" a="1"/>
  <c r="K62" i="187" s="1"/>
  <c r="H23" i="187" s="1"/>
  <c r="P18" i="215" a="1"/>
  <c r="P18" i="215" s="1"/>
  <c r="K61" i="186" s="1" a="1"/>
  <c r="K61" i="186" s="1"/>
  <c r="H22" i="186" s="1"/>
  <c r="J18" i="215" a="1"/>
  <c r="J18" i="215" s="1"/>
  <c r="H61" i="186" s="1" a="1"/>
  <c r="H61" i="186" s="1"/>
  <c r="E22" i="186" s="1"/>
  <c r="O17" i="215" a="1"/>
  <c r="O17" i="215" s="1"/>
  <c r="I17" i="215" a="1"/>
  <c r="I17" i="215" s="1"/>
  <c r="G61" i="185" s="1" a="1"/>
  <c r="G61" i="185" s="1"/>
  <c r="D22" i="185" s="1"/>
  <c r="I16" i="215" a="1"/>
  <c r="I16" i="215" s="1"/>
  <c r="G61" i="187" s="1" a="1"/>
  <c r="G61" i="187" s="1"/>
  <c r="D22" i="187" s="1"/>
  <c r="J45" i="215" a="1"/>
  <c r="J45" i="215" s="1"/>
  <c r="H70" i="186" s="1" a="1"/>
  <c r="H70" i="186" s="1"/>
  <c r="Q44" i="215" a="1"/>
  <c r="Q44" i="215" s="1"/>
  <c r="I44" i="215" a="1"/>
  <c r="I44" i="215" s="1"/>
  <c r="G70" i="185" s="1" a="1"/>
  <c r="G70" i="185" s="1"/>
  <c r="R43" i="215" a="1"/>
  <c r="R43" i="215" s="1"/>
  <c r="J43" i="215" a="1"/>
  <c r="J43" i="215" s="1"/>
  <c r="H70" i="187" s="1" a="1"/>
  <c r="H70" i="187" s="1"/>
  <c r="K42" i="215" a="1"/>
  <c r="K42" i="215" s="1"/>
  <c r="L41" i="215" a="1"/>
  <c r="L41" i="215" s="1"/>
  <c r="I69" i="185" s="1" a="1"/>
  <c r="I69" i="185" s="1"/>
  <c r="M40" i="215" a="1"/>
  <c r="M40" i="215" s="1"/>
  <c r="N39" i="215" a="1"/>
  <c r="N39" i="215" s="1"/>
  <c r="J68" i="186" s="1" a="1"/>
  <c r="J68" i="186" s="1"/>
  <c r="F39" i="215" a="1"/>
  <c r="F39" i="215" s="1"/>
  <c r="D68" i="186" s="1" a="1"/>
  <c r="D68" i="186" s="1"/>
  <c r="O38" i="215" a="1"/>
  <c r="O38" i="215" s="1"/>
  <c r="G38" i="215" a="1"/>
  <c r="G38" i="215" s="1"/>
  <c r="E68" i="185" s="1" a="1"/>
  <c r="E68" i="185" s="1"/>
  <c r="P37" i="215" a="1"/>
  <c r="P37" i="215" s="1"/>
  <c r="K68" i="187" s="1" a="1"/>
  <c r="K68" i="187" s="1"/>
  <c r="H37" i="215" a="1"/>
  <c r="H37" i="215" s="1"/>
  <c r="F68" i="187" s="1" a="1"/>
  <c r="F68" i="187" s="1"/>
  <c r="Q36" i="215" a="1"/>
  <c r="Q36" i="215" s="1"/>
  <c r="I36" i="215" a="1"/>
  <c r="I36" i="215" s="1"/>
  <c r="G67" i="186" s="1" a="1"/>
  <c r="G67" i="186" s="1"/>
  <c r="R35" i="215" a="1"/>
  <c r="R35" i="215" s="1"/>
  <c r="J35" i="215" a="1"/>
  <c r="J35" i="215" s="1"/>
  <c r="H67" i="185" s="1" a="1"/>
  <c r="H67" i="185" s="1"/>
  <c r="K34" i="215" a="1"/>
  <c r="K34" i="215" s="1"/>
  <c r="L33" i="215" a="1"/>
  <c r="L33" i="215" s="1"/>
  <c r="I66" i="186" s="1" a="1"/>
  <c r="I66" i="186" s="1"/>
  <c r="N32" i="215" a="1"/>
  <c r="N32" i="215" s="1"/>
  <c r="J66" i="185" s="1" a="1"/>
  <c r="J66" i="185" s="1"/>
  <c r="R31" i="215" a="1"/>
  <c r="R31" i="215" s="1"/>
  <c r="K31" i="215" a="1"/>
  <c r="K31" i="215" s="1"/>
  <c r="O30" i="215" a="1"/>
  <c r="O30" i="215" s="1"/>
  <c r="I30" i="215" a="1"/>
  <c r="I30" i="215" s="1"/>
  <c r="G65" i="186" s="1" a="1"/>
  <c r="G65" i="186" s="1"/>
  <c r="R29" i="215" a="1"/>
  <c r="R29" i="215" s="1"/>
  <c r="R28" i="215" a="1"/>
  <c r="R28" i="215" s="1"/>
  <c r="L28" i="215" a="1"/>
  <c r="L28" i="215" s="1"/>
  <c r="I65" i="187" s="1" a="1"/>
  <c r="I65" i="187" s="1"/>
  <c r="G28" i="215" a="1"/>
  <c r="G28" i="215" s="1"/>
  <c r="E65" i="187" s="1" a="1"/>
  <c r="E65" i="187" s="1"/>
  <c r="R27" i="215" a="1"/>
  <c r="R27" i="215" s="1"/>
  <c r="M27" i="215" a="1"/>
  <c r="M27" i="215" s="1"/>
  <c r="G27" i="215" a="1"/>
  <c r="G27" i="215" s="1"/>
  <c r="E64" i="186" s="1" a="1"/>
  <c r="E64" i="186" s="1"/>
  <c r="G26" i="215" a="1"/>
  <c r="G26" i="215" s="1"/>
  <c r="E64" i="185" s="1" a="1"/>
  <c r="E64" i="185" s="1"/>
  <c r="F25" i="215" a="1"/>
  <c r="F25" i="215" s="1"/>
  <c r="D64" i="187" s="1" a="1"/>
  <c r="D64" i="187" s="1"/>
  <c r="P24" i="215" a="1"/>
  <c r="P24" i="215" s="1"/>
  <c r="K63" i="186" s="1" a="1"/>
  <c r="K63" i="186" s="1"/>
  <c r="H24" i="186" s="1"/>
  <c r="K24" i="215" a="1"/>
  <c r="K24" i="215" s="1"/>
  <c r="F24" i="215" a="1"/>
  <c r="F24" i="215" s="1"/>
  <c r="D63" i="186" s="1" a="1"/>
  <c r="D63" i="186" s="1"/>
  <c r="Q23" i="215" a="1"/>
  <c r="Q23" i="215" s="1"/>
  <c r="K23" i="215" a="1"/>
  <c r="K23" i="215" s="1"/>
  <c r="F23" i="215" a="1"/>
  <c r="F23" i="215" s="1"/>
  <c r="D63" i="185" s="1" a="1"/>
  <c r="D63" i="185" s="1"/>
  <c r="K22" i="215" a="1"/>
  <c r="K22" i="215" s="1"/>
  <c r="J21" i="215" a="1"/>
  <c r="J21" i="215" s="1"/>
  <c r="H62" i="186" s="1" a="1"/>
  <c r="H62" i="186" s="1"/>
  <c r="E23" i="186" s="1"/>
  <c r="O20" i="215" a="1"/>
  <c r="O20" i="215" s="1"/>
  <c r="J20" i="215" a="1"/>
  <c r="J20" i="215" s="1"/>
  <c r="H62" i="185" s="1" a="1"/>
  <c r="H62" i="185" s="1"/>
  <c r="E23" i="185" s="1"/>
  <c r="O19" i="215" a="1"/>
  <c r="O19" i="215" s="1"/>
  <c r="I43" i="215" a="1"/>
  <c r="I43" i="215" s="1"/>
  <c r="G70" i="187" s="1" a="1"/>
  <c r="G70" i="187" s="1"/>
  <c r="R42" i="215" a="1"/>
  <c r="R42" i="215" s="1"/>
  <c r="J42" i="215" a="1"/>
  <c r="J42" i="215" s="1"/>
  <c r="H69" i="186" s="1" a="1"/>
  <c r="H69" i="186" s="1"/>
  <c r="K41" i="215" a="1"/>
  <c r="K41" i="215" s="1"/>
  <c r="L40" i="215" a="1"/>
  <c r="L40" i="215" s="1"/>
  <c r="I69" i="187" s="1" a="1"/>
  <c r="I69" i="187" s="1"/>
  <c r="M39" i="215" a="1"/>
  <c r="M39" i="215" s="1"/>
  <c r="N38" i="215" a="1"/>
  <c r="N38" i="215" s="1"/>
  <c r="J68" i="185" s="1" a="1"/>
  <c r="J68" i="185" s="1"/>
  <c r="F38" i="215" a="1"/>
  <c r="F38" i="215" s="1"/>
  <c r="D68" i="185" s="1" a="1"/>
  <c r="D68" i="185" s="1"/>
  <c r="O37" i="215" a="1"/>
  <c r="O37" i="215" s="1"/>
  <c r="G37" i="215" a="1"/>
  <c r="G37" i="215" s="1"/>
  <c r="E68" i="187" s="1" a="1"/>
  <c r="E68" i="187" s="1"/>
  <c r="P36" i="215" a="1"/>
  <c r="P36" i="215" s="1"/>
  <c r="K67" i="186" s="1" a="1"/>
  <c r="K67" i="186" s="1"/>
  <c r="H36" i="215" a="1"/>
  <c r="H36" i="215" s="1"/>
  <c r="F67" i="186" s="1" a="1"/>
  <c r="F67" i="186" s="1"/>
  <c r="Q35" i="215" a="1"/>
  <c r="Q35" i="215" s="1"/>
  <c r="I35" i="215" a="1"/>
  <c r="I35" i="215" s="1"/>
  <c r="G67" i="185" s="1" a="1"/>
  <c r="G67" i="185" s="1"/>
  <c r="R34" i="215" a="1"/>
  <c r="R34" i="215" s="1"/>
  <c r="J34" i="215" a="1"/>
  <c r="J34" i="215" s="1"/>
  <c r="H67" i="187" s="1" a="1"/>
  <c r="H67" i="187" s="1"/>
  <c r="K33" i="215" a="1"/>
  <c r="K33" i="215" s="1"/>
  <c r="M32" i="215" a="1"/>
  <c r="M32" i="215" s="1"/>
  <c r="G32" i="215" a="1"/>
  <c r="G32" i="215" s="1"/>
  <c r="E66" i="185" s="1" a="1"/>
  <c r="E66" i="185" s="1"/>
  <c r="Q31" i="215" a="1"/>
  <c r="Q31" i="215" s="1"/>
  <c r="N30" i="215" a="1"/>
  <c r="N30" i="215" s="1"/>
  <c r="J65" i="186" s="1" a="1"/>
  <c r="J65" i="186" s="1"/>
  <c r="H30" i="215" a="1"/>
  <c r="H30" i="215" s="1"/>
  <c r="F65" i="186" s="1" a="1"/>
  <c r="F65" i="186" s="1"/>
  <c r="Q29" i="215" a="1"/>
  <c r="Q29" i="215" s="1"/>
  <c r="L29" i="215" a="1"/>
  <c r="L29" i="215" s="1"/>
  <c r="I65" i="185" s="1" a="1"/>
  <c r="I65" i="185" s="1"/>
  <c r="G29" i="215" a="1"/>
  <c r="G29" i="215" s="1"/>
  <c r="E65" i="185" s="1" a="1"/>
  <c r="E65" i="185" s="1"/>
  <c r="Q28" i="215" a="1"/>
  <c r="Q28" i="215" s="1"/>
  <c r="L27" i="215" a="1"/>
  <c r="L27" i="215" s="1"/>
  <c r="I64" i="186" s="1" a="1"/>
  <c r="I64" i="186" s="1"/>
  <c r="Q26" i="215" a="1"/>
  <c r="Q26" i="215" s="1"/>
  <c r="L26" i="215" a="1"/>
  <c r="L26" i="215" s="1"/>
  <c r="I64" i="185" s="1" a="1"/>
  <c r="I64" i="185" s="1"/>
  <c r="F26" i="215" a="1"/>
  <c r="F26" i="215" s="1"/>
  <c r="D64" i="185" s="1" a="1"/>
  <c r="D64" i="185" s="1"/>
  <c r="P25" i="215" a="1"/>
  <c r="P25" i="215" s="1"/>
  <c r="K64" i="187" s="1" a="1"/>
  <c r="K64" i="187" s="1"/>
  <c r="K25" i="215" a="1"/>
  <c r="K25" i="215" s="1"/>
  <c r="P23" i="215" a="1"/>
  <c r="P23" i="215" s="1"/>
  <c r="K63" i="185" s="1" a="1"/>
  <c r="K63" i="185" s="1"/>
  <c r="H24" i="185" s="1"/>
  <c r="P22" i="215" a="1"/>
  <c r="P22" i="215" s="1"/>
  <c r="K63" i="187" s="1" a="1"/>
  <c r="K63" i="187" s="1"/>
  <c r="H24" i="187" s="1"/>
  <c r="J22" i="215" a="1"/>
  <c r="J22" i="215" s="1"/>
  <c r="H63" i="187" s="1" a="1"/>
  <c r="H63" i="187" s="1"/>
  <c r="E24" i="187" s="1"/>
  <c r="O21" i="215" a="1"/>
  <c r="O21" i="215" s="1"/>
  <c r="I21" i="215" a="1"/>
  <c r="I21" i="215" s="1"/>
  <c r="G62" i="186" s="1" a="1"/>
  <c r="G62" i="186" s="1"/>
  <c r="D23" i="186" s="1"/>
  <c r="I20" i="215" a="1"/>
  <c r="I20" i="215" s="1"/>
  <c r="G62" i="185" s="1" a="1"/>
  <c r="G62" i="185" s="1"/>
  <c r="D23" i="185" s="1"/>
  <c r="N18" i="215" a="1"/>
  <c r="N18" i="215" s="1"/>
  <c r="J61" i="186" s="1" a="1"/>
  <c r="J61" i="186" s="1"/>
  <c r="G22" i="186" s="1"/>
  <c r="I18" i="215" a="1"/>
  <c r="I18" i="215" s="1"/>
  <c r="G61" i="186" s="1" a="1"/>
  <c r="G61" i="186" s="1"/>
  <c r="M17" i="215" a="1"/>
  <c r="M17" i="215" s="1"/>
  <c r="H17" i="215" a="1"/>
  <c r="H17" i="215" s="1"/>
  <c r="F61" i="185" s="1" a="1"/>
  <c r="F61" i="185" s="1"/>
  <c r="M16" i="215" a="1"/>
  <c r="M16" i="215" s="1"/>
  <c r="H43" i="215" a="1"/>
  <c r="H43" i="215" s="1"/>
  <c r="F70" i="187" s="1" a="1"/>
  <c r="F70" i="187" s="1"/>
  <c r="Q42" i="215" a="1"/>
  <c r="Q42" i="215" s="1"/>
  <c r="I42" i="215" a="1"/>
  <c r="I42" i="215" s="1"/>
  <c r="G69" i="186" s="1" a="1"/>
  <c r="G69" i="186" s="1"/>
  <c r="R41" i="215" a="1"/>
  <c r="R41" i="215" s="1"/>
  <c r="J41" i="215" a="1"/>
  <c r="J41" i="215" s="1"/>
  <c r="H69" i="185" s="1" a="1"/>
  <c r="H69" i="185" s="1"/>
  <c r="K40" i="215" a="1"/>
  <c r="K40" i="215" s="1"/>
  <c r="L39" i="215" a="1"/>
  <c r="L39" i="215" s="1"/>
  <c r="I68" i="186" s="1" a="1"/>
  <c r="I68" i="186" s="1"/>
  <c r="M38" i="215" a="1"/>
  <c r="M38" i="215" s="1"/>
  <c r="N37" i="215" a="1"/>
  <c r="N37" i="215" s="1"/>
  <c r="J68" i="187" s="1" a="1"/>
  <c r="J68" i="187" s="1"/>
  <c r="F37" i="215" a="1"/>
  <c r="F37" i="215" s="1"/>
  <c r="D68" i="187" s="1" a="1"/>
  <c r="D68" i="187" s="1"/>
  <c r="O36" i="215" a="1"/>
  <c r="O36" i="215" s="1"/>
  <c r="G36" i="215" a="1"/>
  <c r="G36" i="215" s="1"/>
  <c r="E67" i="186" s="1" a="1"/>
  <c r="E67" i="186" s="1"/>
  <c r="P35" i="215" a="1"/>
  <c r="P35" i="215" s="1"/>
  <c r="K67" i="185" s="1" a="1"/>
  <c r="K67" i="185" s="1"/>
  <c r="H35" i="215" a="1"/>
  <c r="H35" i="215" s="1"/>
  <c r="F67" i="185" s="1" a="1"/>
  <c r="F67" i="185" s="1"/>
  <c r="Q34" i="215" a="1"/>
  <c r="Q34" i="215" s="1"/>
  <c r="I34" i="215" a="1"/>
  <c r="I34" i="215" s="1"/>
  <c r="G67" i="187" s="1" a="1"/>
  <c r="G67" i="187" s="1"/>
  <c r="R33" i="215" a="1"/>
  <c r="R33" i="215" s="1"/>
  <c r="J33" i="215" a="1"/>
  <c r="J33" i="215" s="1"/>
  <c r="H66" i="186" s="1" a="1"/>
  <c r="H66" i="186" s="1"/>
  <c r="L32" i="215" a="1"/>
  <c r="L32" i="215" s="1"/>
  <c r="I66" i="185" s="1" a="1"/>
  <c r="I66" i="185" s="1"/>
  <c r="F32" i="215" a="1"/>
  <c r="F32" i="215" s="1"/>
  <c r="D66" i="185" s="1" a="1"/>
  <c r="D66" i="185" s="1"/>
  <c r="P31" i="215" a="1"/>
  <c r="P31" i="215" s="1"/>
  <c r="K66" i="187" s="1" a="1"/>
  <c r="K66" i="187" s="1"/>
  <c r="J31" i="215" a="1"/>
  <c r="J31" i="215" s="1"/>
  <c r="H66" i="187" s="1" a="1"/>
  <c r="H66" i="187" s="1"/>
  <c r="G30" i="215" a="1"/>
  <c r="G30" i="215" s="1"/>
  <c r="E65" i="186" s="1" a="1"/>
  <c r="E65" i="186" s="1"/>
  <c r="F29" i="215" a="1"/>
  <c r="F29" i="215" s="1"/>
  <c r="D65" i="185" s="1" a="1"/>
  <c r="D65" i="185" s="1"/>
  <c r="P28" i="215" a="1"/>
  <c r="P28" i="215" s="1"/>
  <c r="K65" i="187" s="1" a="1"/>
  <c r="K65" i="187" s="1"/>
  <c r="K28" i="215" a="1"/>
  <c r="K28" i="215" s="1"/>
  <c r="F28" i="215" a="1"/>
  <c r="F28" i="215" s="1"/>
  <c r="D65" i="187" s="1" a="1"/>
  <c r="D65" i="187" s="1"/>
  <c r="Q27" i="215" a="1"/>
  <c r="Q27" i="215" s="1"/>
  <c r="K27" i="215" a="1"/>
  <c r="K27" i="215" s="1"/>
  <c r="F27" i="215" a="1"/>
  <c r="F27" i="215" s="1"/>
  <c r="D64" i="186" s="1" a="1"/>
  <c r="D64" i="186" s="1"/>
  <c r="K26" i="215" a="1"/>
  <c r="K26" i="215" s="1"/>
  <c r="J25" i="215" a="1"/>
  <c r="J25" i="215" s="1"/>
  <c r="H64" i="187" s="1" a="1"/>
  <c r="H64" i="187" s="1"/>
  <c r="O24" i="215" a="1"/>
  <c r="O24" i="215" s="1"/>
  <c r="J24" i="215" a="1"/>
  <c r="J24" i="215" s="1"/>
  <c r="H63" i="186" s="1" a="1"/>
  <c r="H63" i="186" s="1"/>
  <c r="E24" i="186" s="1"/>
  <c r="O23" i="215" a="1"/>
  <c r="O23" i="215" s="1"/>
  <c r="J23" i="215" a="1"/>
  <c r="J23" i="215" s="1"/>
  <c r="H63" i="185" s="1" a="1"/>
  <c r="H63" i="185" s="1"/>
  <c r="E24" i="185" s="1"/>
  <c r="O22" i="215" a="1"/>
  <c r="O22" i="215" s="1"/>
  <c r="N21" i="215" a="1"/>
  <c r="N21" i="215" s="1"/>
  <c r="J62" i="186" s="1" a="1"/>
  <c r="J62" i="186" s="1"/>
  <c r="G23" i="186" s="1"/>
  <c r="N20" i="215" a="1"/>
  <c r="N20" i="215" s="1"/>
  <c r="J62" i="185" s="1" a="1"/>
  <c r="J62" i="185" s="1"/>
  <c r="G23" i="185" s="1"/>
  <c r="H20" i="215" a="1"/>
  <c r="H20" i="215" s="1"/>
  <c r="F62" i="185" s="1" a="1"/>
  <c r="F62" i="185" s="1"/>
  <c r="N19" i="215" a="1"/>
  <c r="N19" i="215" s="1"/>
  <c r="J62" i="187" s="1" a="1"/>
  <c r="J62" i="187" s="1"/>
  <c r="G23" i="187" s="1"/>
  <c r="I19" i="215" a="1"/>
  <c r="I19" i="215" s="1"/>
  <c r="G62" i="187" s="1" a="1"/>
  <c r="G62" i="187" s="1"/>
  <c r="D23" i="187" s="1"/>
  <c r="R17" i="215" a="1"/>
  <c r="R17" i="215" s="1"/>
  <c r="F44" i="215" a="1"/>
  <c r="F44" i="215" s="1"/>
  <c r="D70" i="185" s="1" a="1"/>
  <c r="D70" i="185" s="1"/>
  <c r="O43" i="215" a="1"/>
  <c r="O43" i="215" s="1"/>
  <c r="G43" i="215" a="1"/>
  <c r="G43" i="215" s="1"/>
  <c r="E70" i="187" s="1" a="1"/>
  <c r="E70" i="187" s="1"/>
  <c r="P42" i="215" a="1"/>
  <c r="P42" i="215" s="1"/>
  <c r="K69" i="186" s="1" a="1"/>
  <c r="K69" i="186" s="1"/>
  <c r="H42" i="215" a="1"/>
  <c r="H42" i="215" s="1"/>
  <c r="F69" i="186" s="1" a="1"/>
  <c r="F69" i="186" s="1"/>
  <c r="Q41" i="215" a="1"/>
  <c r="Q41" i="215" s="1"/>
  <c r="I41" i="215" a="1"/>
  <c r="I41" i="215" s="1"/>
  <c r="G69" i="185" s="1" a="1"/>
  <c r="G69" i="185" s="1"/>
  <c r="R40" i="215" a="1"/>
  <c r="R40" i="215" s="1"/>
  <c r="J40" i="215" a="1"/>
  <c r="J40" i="215" s="1"/>
  <c r="H69" i="187" s="1" a="1"/>
  <c r="H69" i="187" s="1"/>
  <c r="K39" i="215" a="1"/>
  <c r="K39" i="215" s="1"/>
  <c r="L38" i="215" a="1"/>
  <c r="L38" i="215" s="1"/>
  <c r="I68" i="185" s="1" a="1"/>
  <c r="I68" i="185" s="1"/>
  <c r="M37" i="215" a="1"/>
  <c r="M37" i="215" s="1"/>
  <c r="N36" i="215" a="1"/>
  <c r="N36" i="215" s="1"/>
  <c r="J67" i="186" s="1" a="1"/>
  <c r="J67" i="186" s="1"/>
  <c r="F36" i="215" a="1"/>
  <c r="F36" i="215" s="1"/>
  <c r="D67" i="186" s="1" a="1"/>
  <c r="D67" i="186" s="1"/>
  <c r="O35" i="215" a="1"/>
  <c r="O35" i="215" s="1"/>
  <c r="G35" i="215" a="1"/>
  <c r="G35" i="215" s="1"/>
  <c r="E67" i="185" s="1" a="1"/>
  <c r="E67" i="185" s="1"/>
  <c r="P34" i="215" a="1"/>
  <c r="P34" i="215" s="1"/>
  <c r="K67" i="187" s="1" a="1"/>
  <c r="K67" i="187" s="1"/>
  <c r="H34" i="215" a="1"/>
  <c r="H34" i="215" s="1"/>
  <c r="F67" i="187" s="1" a="1"/>
  <c r="F67" i="187" s="1"/>
  <c r="Q33" i="215" a="1"/>
  <c r="Q33" i="215" s="1"/>
  <c r="I33" i="215" a="1"/>
  <c r="I33" i="215" s="1"/>
  <c r="G66" i="186" s="1" a="1"/>
  <c r="G66" i="186" s="1"/>
  <c r="R32" i="215" a="1"/>
  <c r="R32" i="215" s="1"/>
  <c r="O31" i="215" a="1"/>
  <c r="O31" i="215" s="1"/>
  <c r="I31" i="215" a="1"/>
  <c r="I31" i="215" s="1"/>
  <c r="G66" i="187" s="1" a="1"/>
  <c r="G66" i="187" s="1"/>
  <c r="M30" i="215" a="1"/>
  <c r="M30" i="215" s="1"/>
  <c r="F30" i="215" a="1"/>
  <c r="F30" i="215" s="1"/>
  <c r="D65" i="186" s="1" a="1"/>
  <c r="D65" i="186" s="1"/>
  <c r="P29" i="215" a="1"/>
  <c r="P29" i="215" s="1"/>
  <c r="K65" i="185" s="1" a="1"/>
  <c r="K65" i="185" s="1"/>
  <c r="K29" i="215" a="1"/>
  <c r="K29" i="215" s="1"/>
  <c r="P27" i="215" a="1"/>
  <c r="P27" i="215" s="1"/>
  <c r="K64" i="186" s="1" a="1"/>
  <c r="K64" i="186" s="1"/>
  <c r="P26" i="215" a="1"/>
  <c r="P26" i="215" s="1"/>
  <c r="K64" i="185" s="1" a="1"/>
  <c r="K64" i="185" s="1"/>
  <c r="J26" i="215" a="1"/>
  <c r="J26" i="215" s="1"/>
  <c r="H64" i="185" s="1" a="1"/>
  <c r="H64" i="185" s="1"/>
  <c r="O25" i="215" a="1"/>
  <c r="O25" i="215" s="1"/>
  <c r="I25" i="215" a="1"/>
  <c r="I25" i="215" s="1"/>
  <c r="G64" i="187" s="1" a="1"/>
  <c r="G64" i="187" s="1"/>
  <c r="I24" i="215" a="1"/>
  <c r="I24" i="215" s="1"/>
  <c r="G63" i="186" s="1" a="1"/>
  <c r="G63" i="186" s="1"/>
  <c r="D24" i="186" s="1"/>
  <c r="N22" i="215" a="1"/>
  <c r="N22" i="215" s="1"/>
  <c r="J63" i="187" s="1" a="1"/>
  <c r="J63" i="187" s="1"/>
  <c r="G24" i="187" s="1"/>
  <c r="I22" i="215" a="1"/>
  <c r="I22" i="215" s="1"/>
  <c r="G63" i="187" s="1" a="1"/>
  <c r="G63" i="187" s="1"/>
  <c r="D24" i="187" s="1"/>
  <c r="M21" i="215" a="1"/>
  <c r="M21" i="215" s="1"/>
  <c r="H21" i="215" a="1"/>
  <c r="H21" i="215" s="1"/>
  <c r="F62" i="186" s="1" a="1"/>
  <c r="F62" i="186" s="1"/>
  <c r="M20" i="215" a="1"/>
  <c r="M20" i="215" s="1"/>
  <c r="H19" i="215" a="1"/>
  <c r="H19" i="215" s="1"/>
  <c r="F62" i="187" s="1" a="1"/>
  <c r="F62" i="187" s="1"/>
  <c r="R18" i="215" a="1"/>
  <c r="R18" i="215" s="1"/>
  <c r="M18" i="215" a="1"/>
  <c r="M18" i="215" s="1"/>
  <c r="H18" i="215" a="1"/>
  <c r="H18" i="215" s="1"/>
  <c r="F61" i="186" s="1" a="1"/>
  <c r="F61" i="186" s="1"/>
  <c r="O42" i="215" a="1"/>
  <c r="O42" i="215" s="1"/>
  <c r="G42" i="215" a="1"/>
  <c r="G42" i="215" s="1"/>
  <c r="E69" i="186" s="1" a="1"/>
  <c r="E69" i="186" s="1"/>
  <c r="P41" i="215" a="1"/>
  <c r="P41" i="215" s="1"/>
  <c r="K69" i="185" s="1" a="1"/>
  <c r="K69" i="185" s="1"/>
  <c r="H41" i="215" a="1"/>
  <c r="H41" i="215" s="1"/>
  <c r="F69" i="185" s="1" a="1"/>
  <c r="F69" i="185" s="1"/>
  <c r="Q40" i="215" a="1"/>
  <c r="Q40" i="215" s="1"/>
  <c r="I40" i="215" a="1"/>
  <c r="I40" i="215" s="1"/>
  <c r="G69" i="187" s="1" a="1"/>
  <c r="G69" i="187" s="1"/>
  <c r="R39" i="215" a="1"/>
  <c r="R39" i="215" s="1"/>
  <c r="J39" i="215" a="1"/>
  <c r="J39" i="215" s="1"/>
  <c r="H68" i="186" s="1" a="1"/>
  <c r="H68" i="186" s="1"/>
  <c r="K38" i="215" a="1"/>
  <c r="K38" i="215" s="1"/>
  <c r="L37" i="215" a="1"/>
  <c r="L37" i="215" s="1"/>
  <c r="I68" i="187" s="1" a="1"/>
  <c r="I68" i="187" s="1"/>
  <c r="M36" i="215" a="1"/>
  <c r="M36" i="215" s="1"/>
  <c r="N35" i="215" a="1"/>
  <c r="N35" i="215" s="1"/>
  <c r="J67" i="185" s="1" a="1"/>
  <c r="J67" i="185" s="1"/>
  <c r="F35" i="215" a="1"/>
  <c r="F35" i="215" s="1"/>
  <c r="D67" i="185" s="1" a="1"/>
  <c r="D67" i="185" s="1"/>
  <c r="O34" i="215" a="1"/>
  <c r="O34" i="215" s="1"/>
  <c r="G34" i="215" a="1"/>
  <c r="G34" i="215" s="1"/>
  <c r="E67" i="187" s="1" a="1"/>
  <c r="E67" i="187" s="1"/>
  <c r="P33" i="215" a="1"/>
  <c r="P33" i="215" s="1"/>
  <c r="K66" i="186" s="1" a="1"/>
  <c r="K66" i="186" s="1"/>
  <c r="H33" i="215" a="1"/>
  <c r="H33" i="215" s="1"/>
  <c r="F66" i="186" s="1" a="1"/>
  <c r="F66" i="186" s="1"/>
  <c r="Q32" i="215" a="1"/>
  <c r="Q32" i="215" s="1"/>
  <c r="K32" i="215" a="1"/>
  <c r="K32" i="215" s="1"/>
  <c r="H31" i="215" a="1"/>
  <c r="H31" i="215" s="1"/>
  <c r="F66" i="187" s="1" a="1"/>
  <c r="F66" i="187" s="1"/>
  <c r="R30" i="215" a="1"/>
  <c r="R30" i="215" s="1"/>
  <c r="L30" i="215" a="1"/>
  <c r="L30" i="215" s="1"/>
  <c r="I65" i="186" s="1" a="1"/>
  <c r="I65" i="186" s="1"/>
  <c r="J29" i="215" a="1"/>
  <c r="J29" i="215" s="1"/>
  <c r="H65" i="185" s="1" a="1"/>
  <c r="H65" i="185" s="1"/>
  <c r="O28" i="215" a="1"/>
  <c r="O28" i="215" s="1"/>
  <c r="J28" i="215" a="1"/>
  <c r="J28" i="215" s="1"/>
  <c r="H65" i="187" s="1" a="1"/>
  <c r="H65" i="187" s="1"/>
  <c r="O27" i="215" a="1"/>
  <c r="O27" i="215" s="1"/>
  <c r="J27" i="215" a="1"/>
  <c r="J27" i="215" s="1"/>
  <c r="H64" i="186" s="1" a="1"/>
  <c r="H64" i="186" s="1"/>
  <c r="O26" i="215" a="1"/>
  <c r="O26" i="215" s="1"/>
  <c r="N25" i="215" a="1"/>
  <c r="N25" i="215" s="1"/>
  <c r="J64" i="187" s="1" a="1"/>
  <c r="J64" i="187" s="1"/>
  <c r="N24" i="215" a="1"/>
  <c r="N24" i="215" s="1"/>
  <c r="J63" i="186" s="1" a="1"/>
  <c r="J63" i="186" s="1"/>
  <c r="G24" i="186" s="1"/>
  <c r="H24" i="215" a="1"/>
  <c r="H24" i="215" s="1"/>
  <c r="F63" i="186" s="1" a="1"/>
  <c r="F63" i="186" s="1"/>
  <c r="N23" i="215" a="1"/>
  <c r="N23" i="215" s="1"/>
  <c r="J63" i="185" s="1" a="1"/>
  <c r="J63" i="185" s="1"/>
  <c r="G24" i="185" s="1"/>
  <c r="I23" i="215" a="1"/>
  <c r="I23" i="215" s="1"/>
  <c r="G63" i="185" s="1" a="1"/>
  <c r="G63" i="185" s="1"/>
  <c r="D24" i="185" s="1"/>
  <c r="R21" i="215" a="1"/>
  <c r="R21" i="215" s="1"/>
  <c r="R20" i="215" a="1"/>
  <c r="R20" i="215" s="1"/>
  <c r="L20" i="215" a="1"/>
  <c r="L20" i="215" s="1"/>
  <c r="I62" i="185" s="1" a="1"/>
  <c r="I62" i="185" s="1"/>
  <c r="F23" i="185" s="1"/>
  <c r="F16" i="185" s="1"/>
  <c r="G20" i="215" a="1"/>
  <c r="G20" i="215" s="1"/>
  <c r="E62" i="185" s="1" a="1"/>
  <c r="E62" i="185" s="1"/>
  <c r="R19" i="215" a="1"/>
  <c r="R19" i="215" s="1"/>
  <c r="M19" i="215" a="1"/>
  <c r="M19" i="215" s="1"/>
  <c r="G19" i="215" a="1"/>
  <c r="G19" i="215" s="1"/>
  <c r="E62" i="187" s="1" a="1"/>
  <c r="E62" i="187" s="1"/>
  <c r="G18" i="215" a="1"/>
  <c r="G18" i="215" s="1"/>
  <c r="E61" i="186" s="1" a="1"/>
  <c r="E61" i="186" s="1"/>
  <c r="F17" i="215" a="1"/>
  <c r="F17" i="215" s="1"/>
  <c r="D61" i="185" s="1" a="1"/>
  <c r="D61" i="185" s="1"/>
  <c r="P16" i="215" a="1"/>
  <c r="P16" i="215" s="1"/>
  <c r="K61" i="187" s="1" a="1"/>
  <c r="K61" i="187" s="1"/>
  <c r="H22" i="187" s="1"/>
  <c r="K16" i="215" a="1"/>
  <c r="K16" i="215" s="1"/>
  <c r="N45" i="215" a="1"/>
  <c r="N45" i="215" s="1"/>
  <c r="J70" i="186" s="1" a="1"/>
  <c r="J70" i="186" s="1"/>
  <c r="L44" i="215" a="1"/>
  <c r="L44" i="215" s="1"/>
  <c r="I70" i="185" s="1" a="1"/>
  <c r="I70" i="185" s="1"/>
  <c r="M43" i="215" a="1"/>
  <c r="M43" i="215" s="1"/>
  <c r="N42" i="215" a="1"/>
  <c r="N42" i="215" s="1"/>
  <c r="J69" i="186" s="1" a="1"/>
  <c r="J69" i="186" s="1"/>
  <c r="F42" i="215" a="1"/>
  <c r="F42" i="215" s="1"/>
  <c r="D69" i="186" s="1" a="1"/>
  <c r="D69" i="186" s="1"/>
  <c r="O41" i="215" a="1"/>
  <c r="O41" i="215" s="1"/>
  <c r="G41" i="215" a="1"/>
  <c r="G41" i="215" s="1"/>
  <c r="E69" i="185" s="1" a="1"/>
  <c r="E69" i="185" s="1"/>
  <c r="P40" i="215" a="1"/>
  <c r="P40" i="215" s="1"/>
  <c r="K69" i="187" s="1" a="1"/>
  <c r="K69" i="187" s="1"/>
  <c r="H40" i="215" a="1"/>
  <c r="H40" i="215" s="1"/>
  <c r="F69" i="187" s="1" a="1"/>
  <c r="F69" i="187" s="1"/>
  <c r="Q39" i="215" a="1"/>
  <c r="Q39" i="215" s="1"/>
  <c r="I39" i="215" a="1"/>
  <c r="I39" i="215" s="1"/>
  <c r="G68" i="186" s="1" a="1"/>
  <c r="G68" i="186" s="1"/>
  <c r="R38" i="215" a="1"/>
  <c r="R38" i="215" s="1"/>
  <c r="J38" i="215" a="1"/>
  <c r="J38" i="215" s="1"/>
  <c r="H68" i="185" s="1" a="1"/>
  <c r="H68" i="185" s="1"/>
  <c r="K37" i="215" a="1"/>
  <c r="K37" i="215" s="1"/>
  <c r="L36" i="215" a="1"/>
  <c r="L36" i="215" s="1"/>
  <c r="I67" i="186" s="1" a="1"/>
  <c r="I67" i="186" s="1"/>
  <c r="M35" i="215" a="1"/>
  <c r="M35" i="215" s="1"/>
  <c r="N34" i="215" a="1"/>
  <c r="N34" i="215" s="1"/>
  <c r="J67" i="187" s="1" a="1"/>
  <c r="J67" i="187" s="1"/>
  <c r="F34" i="215" a="1"/>
  <c r="F34" i="215" s="1"/>
  <c r="D67" i="187" s="1" a="1"/>
  <c r="D67" i="187" s="1"/>
  <c r="O33" i="215" a="1"/>
  <c r="O33" i="215" s="1"/>
  <c r="G33" i="215" a="1"/>
  <c r="G33" i="215" s="1"/>
  <c r="E66" i="186" s="1" a="1"/>
  <c r="E66" i="186" s="1"/>
  <c r="P32" i="215" a="1"/>
  <c r="P32" i="215" s="1"/>
  <c r="K66" i="185" s="1" a="1"/>
  <c r="K66" i="185" s="1"/>
  <c r="J32" i="215" a="1"/>
  <c r="J32" i="215" s="1"/>
  <c r="H66" i="185" s="1" a="1"/>
  <c r="H66" i="185" s="1"/>
  <c r="N31" i="215" a="1"/>
  <c r="N31" i="215" s="1"/>
  <c r="J66" i="187" s="1" a="1"/>
  <c r="J66" i="187" s="1"/>
  <c r="G31" i="215" a="1"/>
  <c r="G31" i="215" s="1"/>
  <c r="E66" i="187" s="1" a="1"/>
  <c r="E66" i="187" s="1"/>
  <c r="K30" i="215" a="1"/>
  <c r="K30" i="215" s="1"/>
  <c r="O29" i="215" a="1"/>
  <c r="O29" i="215" s="1"/>
  <c r="I29" i="215" a="1"/>
  <c r="I29" i="215" s="1"/>
  <c r="G65" i="185" s="1" a="1"/>
  <c r="G65" i="185" s="1"/>
  <c r="I28" i="215" a="1"/>
  <c r="I28" i="215" s="1"/>
  <c r="G65" i="187" s="1" a="1"/>
  <c r="G65" i="187" s="1"/>
  <c r="N26" i="215" a="1"/>
  <c r="N26" i="215" s="1"/>
  <c r="J64" i="185" s="1" a="1"/>
  <c r="J64" i="185" s="1"/>
  <c r="I26" i="215" a="1"/>
  <c r="I26" i="215" s="1"/>
  <c r="G64" i="185" s="1" a="1"/>
  <c r="G64" i="185" s="1"/>
  <c r="M25" i="215" a="1"/>
  <c r="M25" i="215" s="1"/>
  <c r="H25" i="215" a="1"/>
  <c r="H25" i="215" s="1"/>
  <c r="F64" i="187" s="1" a="1"/>
  <c r="F64" i="187" s="1"/>
  <c r="M24" i="215" a="1"/>
  <c r="M24" i="215" s="1"/>
  <c r="H23" i="215" a="1"/>
  <c r="H23" i="215" s="1"/>
  <c r="F63" i="185" s="1" a="1"/>
  <c r="F63" i="185" s="1"/>
  <c r="R22" i="215" a="1"/>
  <c r="R22" i="215" s="1"/>
  <c r="M22" i="215" a="1"/>
  <c r="M22" i="215" s="1"/>
  <c r="H22" i="215" a="1"/>
  <c r="H22" i="215" s="1"/>
  <c r="F63" i="187" s="1" a="1"/>
  <c r="F63" i="187" s="1"/>
  <c r="Q21" i="215" a="1"/>
  <c r="Q21" i="215" s="1"/>
  <c r="L21" i="215" a="1"/>
  <c r="L21" i="215" s="1"/>
  <c r="I62" i="186" s="1" a="1"/>
  <c r="I62" i="186" s="1"/>
  <c r="F23" i="186" s="1"/>
  <c r="F16" i="186" s="1"/>
  <c r="G21" i="215" a="1"/>
  <c r="G21" i="215" s="1"/>
  <c r="E62" i="186" s="1" a="1"/>
  <c r="E62" i="186" s="1"/>
  <c r="Q20" i="215" a="1"/>
  <c r="Q20" i="215" s="1"/>
  <c r="L19" i="215" a="1"/>
  <c r="L19" i="215" s="1"/>
  <c r="I62" i="187" s="1" a="1"/>
  <c r="I62" i="187" s="1"/>
  <c r="F23" i="187" s="1"/>
  <c r="F16" i="187" s="1"/>
  <c r="Q18" i="215" a="1"/>
  <c r="Q18" i="215" s="1"/>
  <c r="L18" i="215" a="1"/>
  <c r="L18" i="215" s="1"/>
  <c r="I61" i="186" s="1" a="1"/>
  <c r="I61" i="186" s="1"/>
  <c r="F22" i="186" s="1"/>
  <c r="F18" i="215" a="1"/>
  <c r="F18" i="215" s="1"/>
  <c r="D61" i="186" s="1" a="1"/>
  <c r="D61" i="186" s="1"/>
  <c r="K44" i="215" a="1"/>
  <c r="K44" i="215" s="1"/>
  <c r="L43" i="215" a="1"/>
  <c r="L43" i="215" s="1"/>
  <c r="I70" i="187" s="1" a="1"/>
  <c r="I70" i="187" s="1"/>
  <c r="M42" i="215" a="1"/>
  <c r="M42" i="215" s="1"/>
  <c r="N41" i="215" a="1"/>
  <c r="N41" i="215" s="1"/>
  <c r="J69" i="185" s="1" a="1"/>
  <c r="J69" i="185" s="1"/>
  <c r="F41" i="215" a="1"/>
  <c r="F41" i="215" s="1"/>
  <c r="D69" i="185" s="1" a="1"/>
  <c r="D69" i="185" s="1"/>
  <c r="O40" i="215" a="1"/>
  <c r="O40" i="215" s="1"/>
  <c r="G40" i="215" a="1"/>
  <c r="G40" i="215" s="1"/>
  <c r="E69" i="187" s="1" a="1"/>
  <c r="E69" i="187" s="1"/>
  <c r="P39" i="215" a="1"/>
  <c r="P39" i="215" s="1"/>
  <c r="K68" i="186" s="1" a="1"/>
  <c r="K68" i="186" s="1"/>
  <c r="H39" i="215" a="1"/>
  <c r="H39" i="215" s="1"/>
  <c r="F68" i="186" s="1" a="1"/>
  <c r="F68" i="186" s="1"/>
  <c r="Q38" i="215" a="1"/>
  <c r="Q38" i="215" s="1"/>
  <c r="I38" i="215" a="1"/>
  <c r="I38" i="215" s="1"/>
  <c r="G68" i="185" s="1" a="1"/>
  <c r="G68" i="185" s="1"/>
  <c r="R37" i="215" a="1"/>
  <c r="R37" i="215" s="1"/>
  <c r="J37" i="215" a="1"/>
  <c r="J37" i="215" s="1"/>
  <c r="H68" i="187" s="1" a="1"/>
  <c r="H68" i="187" s="1"/>
  <c r="K36" i="215" a="1"/>
  <c r="K36" i="215" s="1"/>
  <c r="L35" i="215" a="1"/>
  <c r="L35" i="215" s="1"/>
  <c r="I67" i="185" s="1" a="1"/>
  <c r="I67" i="185" s="1"/>
  <c r="M34" i="215" a="1"/>
  <c r="M34" i="215" s="1"/>
  <c r="N33" i="215" a="1"/>
  <c r="N33" i="215" s="1"/>
  <c r="J66" i="186" s="1" a="1"/>
  <c r="J66" i="186" s="1"/>
  <c r="F33" i="215" a="1"/>
  <c r="F33" i="215" s="1"/>
  <c r="D66" i="186" s="1" a="1"/>
  <c r="D66" i="186" s="1"/>
  <c r="I32" i="215" a="1"/>
  <c r="I32" i="215" s="1"/>
  <c r="G66" i="185" s="1" a="1"/>
  <c r="G66" i="185" s="1"/>
  <c r="M31" i="215" a="1"/>
  <c r="M31" i="215" s="1"/>
  <c r="Q30" i="215" a="1"/>
  <c r="Q30" i="215" s="1"/>
  <c r="J30" i="215" a="1"/>
  <c r="J30" i="215" s="1"/>
  <c r="H65" i="186" s="1" a="1"/>
  <c r="H65" i="186" s="1"/>
  <c r="N29" i="215" a="1"/>
  <c r="N29" i="215" s="1"/>
  <c r="J65" i="185" s="1" a="1"/>
  <c r="J65" i="185" s="1"/>
  <c r="N28" i="215" a="1"/>
  <c r="N28" i="215" s="1"/>
  <c r="J65" i="187" s="1" a="1"/>
  <c r="J65" i="187" s="1"/>
  <c r="H28" i="215" a="1"/>
  <c r="H28" i="215" s="1"/>
  <c r="F65" i="187" s="1" a="1"/>
  <c r="F65" i="187" s="1"/>
  <c r="N27" i="215" a="1"/>
  <c r="N27" i="215" s="1"/>
  <c r="J64" i="186" s="1" a="1"/>
  <c r="J64" i="186" s="1"/>
  <c r="I27" i="215" a="1"/>
  <c r="I27" i="215" s="1"/>
  <c r="G64" i="186" s="1" a="1"/>
  <c r="G64" i="186" s="1"/>
  <c r="R25" i="215" a="1"/>
  <c r="R25" i="215" s="1"/>
  <c r="R24" i="215" a="1"/>
  <c r="R24" i="215" s="1"/>
  <c r="L24" i="215" a="1"/>
  <c r="L24" i="215" s="1"/>
  <c r="I63" i="186" s="1" a="1"/>
  <c r="I63" i="186" s="1"/>
  <c r="F24" i="186" s="1"/>
  <c r="G24" i="215" a="1"/>
  <c r="G24" i="215" s="1"/>
  <c r="E63" i="186" s="1" a="1"/>
  <c r="E63" i="186" s="1"/>
  <c r="R23" i="215" a="1"/>
  <c r="R23" i="215" s="1"/>
  <c r="M23" i="215" a="1"/>
  <c r="M23" i="215" s="1"/>
  <c r="G23" i="215" a="1"/>
  <c r="G23" i="215" s="1"/>
  <c r="E63" i="185" s="1" a="1"/>
  <c r="E63" i="185" s="1"/>
  <c r="G22" i="215" a="1"/>
  <c r="G22" i="215" s="1"/>
  <c r="E63" i="187" s="1" a="1"/>
  <c r="E63" i="187" s="1"/>
  <c r="F21" i="215" a="1"/>
  <c r="F21" i="215" s="1"/>
  <c r="D62" i="186" s="1" a="1"/>
  <c r="D62" i="186" s="1"/>
  <c r="P20" i="215" a="1"/>
  <c r="P20" i="215" s="1"/>
  <c r="K62" i="185" s="1" a="1"/>
  <c r="K62" i="185" s="1"/>
  <c r="H23" i="185" s="1"/>
  <c r="K20" i="215" a="1"/>
  <c r="K20" i="215" s="1"/>
  <c r="F20" i="215" a="1"/>
  <c r="F20" i="215" s="1"/>
  <c r="D62" i="185" s="1" a="1"/>
  <c r="D62" i="185" s="1"/>
  <c r="Q19" i="215" a="1"/>
  <c r="Q19" i="215" s="1"/>
  <c r="K19" i="215" a="1"/>
  <c r="K19" i="215" s="1"/>
  <c r="F19" i="215" a="1"/>
  <c r="F19" i="215" s="1"/>
  <c r="D62" i="187" s="1" a="1"/>
  <c r="D62" i="187" s="1"/>
  <c r="K18" i="215" a="1"/>
  <c r="K18" i="215" s="1"/>
  <c r="J17" i="215" a="1"/>
  <c r="J17" i="215" s="1"/>
  <c r="H61" i="185" s="1" a="1"/>
  <c r="H61" i="185" s="1"/>
  <c r="E22" i="185" s="1"/>
  <c r="Q17" i="215" a="1"/>
  <c r="Q17" i="215" s="1"/>
  <c r="G17" i="215" a="1"/>
  <c r="G17" i="215" s="1"/>
  <c r="E61" i="185" s="1" a="1"/>
  <c r="E61" i="185" s="1"/>
  <c r="O16" i="215" a="1"/>
  <c r="O16" i="215" s="1"/>
  <c r="P17" i="215" a="1"/>
  <c r="P17" i="215" s="1"/>
  <c r="K61" i="185" s="1" a="1"/>
  <c r="K61" i="185" s="1"/>
  <c r="H22" i="185" s="1"/>
  <c r="N16" i="215" a="1"/>
  <c r="N16" i="215" s="1"/>
  <c r="J61" i="187" s="1" a="1"/>
  <c r="J61" i="187" s="1"/>
  <c r="G22" i="187" s="1"/>
  <c r="F16" i="215" a="1"/>
  <c r="F16" i="215" s="1"/>
  <c r="D61" i="187" s="1" a="1"/>
  <c r="D61" i="187" s="1"/>
  <c r="N17" i="215" a="1"/>
  <c r="N17" i="215" s="1"/>
  <c r="J61" i="185" s="1" a="1"/>
  <c r="J61" i="185" s="1"/>
  <c r="G22" i="185" s="1"/>
  <c r="L16" i="215" a="1"/>
  <c r="L16" i="215" s="1"/>
  <c r="I61" i="187" s="1" a="1"/>
  <c r="I61" i="187" s="1"/>
  <c r="F22" i="187" s="1"/>
  <c r="O18" i="215" a="1"/>
  <c r="O18" i="215" s="1"/>
  <c r="L17" i="215" a="1"/>
  <c r="L17" i="215" s="1"/>
  <c r="I61" i="185" s="1" a="1"/>
  <c r="I61" i="185" s="1"/>
  <c r="F22" i="185" s="1"/>
  <c r="K17" i="215" a="1"/>
  <c r="K17" i="215" s="1"/>
  <c r="R16" i="215" a="1"/>
  <c r="R16" i="215" s="1"/>
  <c r="J16" i="215" a="1"/>
  <c r="J16" i="215" s="1"/>
  <c r="H61" i="187" s="1" a="1"/>
  <c r="H61" i="187" s="1"/>
  <c r="E22" i="187" s="1"/>
  <c r="J19" i="215" a="1"/>
  <c r="J19" i="215" s="1"/>
  <c r="H62" i="187" s="1" a="1"/>
  <c r="H62" i="187" s="1"/>
  <c r="E23" i="187" s="1"/>
  <c r="Q16" i="215" a="1"/>
  <c r="Q16" i="215" s="1"/>
  <c r="H16" i="215" a="1"/>
  <c r="H16" i="215" s="1"/>
  <c r="F61" i="187" s="1" a="1"/>
  <c r="F61" i="187" s="1"/>
  <c r="G16" i="215" a="1"/>
  <c r="G16" i="215" s="1"/>
  <c r="E61" i="187" s="1" a="1"/>
  <c r="E61" i="187" s="1"/>
  <c r="Q26" i="219"/>
  <c r="Q22" i="219"/>
  <c r="Q21" i="219"/>
  <c r="Q23" i="219"/>
  <c r="Q25" i="219"/>
  <c r="Q20" i="219"/>
  <c r="Q27" i="219"/>
  <c r="Q24" i="219"/>
  <c r="Q19" i="219"/>
  <c r="Q32" i="218" a="1"/>
  <c r="Q32" i="218" s="1"/>
  <c r="Q33" i="218" a="1"/>
  <c r="Q33" i="218" s="1"/>
  <c r="Q29" i="218" a="1"/>
  <c r="Q29" i="218" s="1"/>
  <c r="Q27" i="218" a="1"/>
  <c r="Q27" i="218" s="1"/>
  <c r="Q30" i="218" a="1"/>
  <c r="Q30" i="218" s="1"/>
  <c r="Q28" i="218" a="1"/>
  <c r="Q28" i="218" s="1"/>
  <c r="Q31" i="218" a="1"/>
  <c r="Q31" i="218" s="1"/>
  <c r="J55" i="218" a="1"/>
  <c r="J55" i="218" s="1"/>
  <c r="G113" i="190" s="1" a="1"/>
  <c r="G113" i="190" s="1"/>
  <c r="J58" i="218" a="1"/>
  <c r="J58" i="218" s="1"/>
  <c r="G116" i="190" s="1" a="1"/>
  <c r="G116" i="190" s="1"/>
  <c r="J61" i="218" a="1"/>
  <c r="J61" i="218" s="1"/>
  <c r="G119" i="190" s="1" a="1"/>
  <c r="G119" i="190" s="1"/>
  <c r="J57" i="218" a="1"/>
  <c r="J57" i="218" s="1"/>
  <c r="G115" i="190" s="1" a="1"/>
  <c r="G115" i="190" s="1"/>
  <c r="J60" i="218" a="1"/>
  <c r="J60" i="218" s="1"/>
  <c r="G118" i="190" s="1" a="1"/>
  <c r="G118" i="190" s="1"/>
  <c r="J59" i="218" a="1"/>
  <c r="J59" i="218" s="1"/>
  <c r="G117" i="190" s="1" a="1"/>
  <c r="G117" i="190" s="1"/>
  <c r="J56" i="218" a="1"/>
  <c r="J56" i="218" s="1"/>
  <c r="G114" i="190" s="1" a="1"/>
  <c r="G114" i="190" s="1"/>
  <c r="Q57" i="216"/>
  <c r="Q45" i="215" a="1"/>
  <c r="Q45" i="215" s="1"/>
  <c r="M45" i="215" a="1"/>
  <c r="M45" i="215" s="1"/>
  <c r="P51" i="218" a="1"/>
  <c r="P51" i="218" s="1"/>
  <c r="J109" i="190" s="1" a="1"/>
  <c r="J109" i="190" s="1"/>
  <c r="P54" i="218" a="1"/>
  <c r="P54" i="218" s="1"/>
  <c r="J112" i="190" s="1" a="1"/>
  <c r="J112" i="190" s="1"/>
  <c r="P53" i="218" a="1"/>
  <c r="P53" i="218" s="1"/>
  <c r="J111" i="190" s="1" a="1"/>
  <c r="J111" i="190" s="1"/>
  <c r="P50" i="218" a="1"/>
  <c r="P50" i="218" s="1"/>
  <c r="J108" i="190" s="1" a="1"/>
  <c r="J108" i="190" s="1"/>
  <c r="P48" i="218" a="1"/>
  <c r="P48" i="218" s="1"/>
  <c r="J106" i="190" s="1" a="1"/>
  <c r="J106" i="190" s="1"/>
  <c r="P52" i="218" a="1"/>
  <c r="P52" i="218" s="1"/>
  <c r="J110" i="190" s="1" a="1"/>
  <c r="J110" i="190" s="1"/>
  <c r="P49" i="218" a="1"/>
  <c r="P49" i="218" s="1"/>
  <c r="J107" i="190" s="1" a="1"/>
  <c r="J107" i="190" s="1"/>
  <c r="O51" i="219"/>
  <c r="J118" i="191" s="1" a="1"/>
  <c r="J118" i="191" s="1"/>
  <c r="O41" i="218" a="1"/>
  <c r="O41" i="218" s="1"/>
  <c r="O44" i="218" a="1"/>
  <c r="O44" i="218" s="1"/>
  <c r="O42" i="218" a="1"/>
  <c r="O42" i="218" s="1"/>
  <c r="O45" i="218" a="1"/>
  <c r="O45" i="218" s="1"/>
  <c r="O47" i="218" a="1"/>
  <c r="O47" i="218" s="1"/>
  <c r="O43" i="218" a="1"/>
  <c r="O43" i="218" s="1"/>
  <c r="O46" i="218" a="1"/>
  <c r="O46" i="218" s="1"/>
  <c r="R30" i="218" a="1"/>
  <c r="R30" i="218" s="1"/>
  <c r="R33" i="218" a="1"/>
  <c r="R33" i="218" s="1"/>
  <c r="R29" i="218" a="1"/>
  <c r="R29" i="218" s="1"/>
  <c r="R32" i="218" a="1"/>
  <c r="R32" i="218" s="1"/>
  <c r="R27" i="218" a="1"/>
  <c r="R27" i="218" s="1"/>
  <c r="R31" i="218" a="1"/>
  <c r="R31" i="218" s="1"/>
  <c r="R28" i="218" a="1"/>
  <c r="R28" i="218" s="1"/>
  <c r="P27" i="216"/>
  <c r="P23" i="216"/>
  <c r="P19" i="216"/>
  <c r="P24" i="216"/>
  <c r="P20" i="216"/>
  <c r="P25" i="216"/>
  <c r="P21" i="216"/>
  <c r="P26" i="216"/>
  <c r="P22" i="216"/>
  <c r="H45" i="215" a="1"/>
  <c r="H45" i="215" s="1"/>
  <c r="F70" i="186" s="1" a="1"/>
  <c r="F70" i="186" s="1"/>
  <c r="J74" i="218" a="1"/>
  <c r="J74" i="218" s="1"/>
  <c r="G132" i="190" s="1" a="1"/>
  <c r="G132" i="190" s="1"/>
  <c r="J69" i="218" a="1"/>
  <c r="J69" i="218" s="1"/>
  <c r="G127" i="190" s="1" a="1"/>
  <c r="G127" i="190" s="1"/>
  <c r="Q30" i="216"/>
  <c r="Q15" i="216"/>
  <c r="Q11" i="216"/>
  <c r="Q16" i="216"/>
  <c r="Q17" i="216"/>
  <c r="Q13" i="216"/>
  <c r="Q10" i="216"/>
  <c r="Q18" i="216"/>
  <c r="Q12" i="216"/>
  <c r="Q14" i="216"/>
  <c r="O45" i="219"/>
  <c r="J112" i="191" s="1" a="1"/>
  <c r="J112" i="191" s="1"/>
  <c r="O41" i="219"/>
  <c r="J108" i="191" s="1" a="1"/>
  <c r="J108" i="191" s="1"/>
  <c r="O37" i="219"/>
  <c r="J104" i="191" s="1" a="1"/>
  <c r="J104" i="191" s="1"/>
  <c r="O42" i="219"/>
  <c r="J109" i="191" s="1" a="1"/>
  <c r="J109" i="191" s="1"/>
  <c r="O38" i="219"/>
  <c r="J105" i="191" s="1" a="1"/>
  <c r="J105" i="191" s="1"/>
  <c r="O43" i="219"/>
  <c r="J110" i="191" s="1" a="1"/>
  <c r="J110" i="191" s="1"/>
  <c r="O39" i="219"/>
  <c r="J106" i="191" s="1" a="1"/>
  <c r="J106" i="191" s="1"/>
  <c r="O44" i="219"/>
  <c r="J111" i="191" s="1" a="1"/>
  <c r="J111" i="191" s="1"/>
  <c r="O40" i="219"/>
  <c r="J107" i="191" s="1" a="1"/>
  <c r="J107" i="191" s="1"/>
  <c r="Q62" i="219"/>
  <c r="Q58" i="219"/>
  <c r="Q63" i="219"/>
  <c r="Q59" i="219"/>
  <c r="Q55" i="219"/>
  <c r="Q60" i="219"/>
  <c r="Q56" i="219"/>
  <c r="Q61" i="219"/>
  <c r="Q57" i="219"/>
  <c r="J30" i="218" a="1"/>
  <c r="J30" i="218" s="1"/>
  <c r="G88" i="190" s="1" a="1"/>
  <c r="G88" i="190" s="1"/>
  <c r="J32" i="218" a="1"/>
  <c r="J32" i="218" s="1"/>
  <c r="G90" i="190" s="1" a="1"/>
  <c r="G90" i="190" s="1"/>
  <c r="J29" i="218" a="1"/>
  <c r="J29" i="218" s="1"/>
  <c r="G87" i="190" s="1" a="1"/>
  <c r="G87" i="190" s="1"/>
  <c r="J31" i="218" a="1"/>
  <c r="J31" i="218" s="1"/>
  <c r="G89" i="190" s="1" a="1"/>
  <c r="G89" i="190" s="1"/>
  <c r="J27" i="218" a="1"/>
  <c r="J27" i="218" s="1"/>
  <c r="G85" i="190" s="1" a="1"/>
  <c r="G85" i="190" s="1"/>
  <c r="J28" i="218" a="1"/>
  <c r="J28" i="218" s="1"/>
  <c r="G86" i="190" s="1" a="1"/>
  <c r="G86" i="190" s="1"/>
  <c r="J33" i="218" a="1"/>
  <c r="J33" i="218" s="1"/>
  <c r="G91" i="190" s="1" a="1"/>
  <c r="G91" i="190" s="1"/>
  <c r="R43" i="218" a="1"/>
  <c r="R43" i="218" s="1"/>
  <c r="R46" i="218" a="1"/>
  <c r="R46" i="218" s="1"/>
  <c r="R44" i="218" a="1"/>
  <c r="R44" i="218" s="1"/>
  <c r="R47" i="218" a="1"/>
  <c r="R47" i="218" s="1"/>
  <c r="R42" i="218" a="1"/>
  <c r="R42" i="218" s="1"/>
  <c r="R45" i="218" a="1"/>
  <c r="R45" i="218" s="1"/>
  <c r="R41" i="218" a="1"/>
  <c r="R41" i="218" s="1"/>
  <c r="O26" i="216"/>
  <c r="J94" i="192" s="1" a="1"/>
  <c r="J94" i="192" s="1"/>
  <c r="O24" i="192" s="1" a="1"/>
  <c r="O24" i="192" s="1"/>
  <c r="O22" i="216"/>
  <c r="J91" i="192" s="1" a="1"/>
  <c r="J91" i="192" s="1"/>
  <c r="O21" i="192" s="1" a="1"/>
  <c r="O21" i="192" s="1"/>
  <c r="O27" i="216"/>
  <c r="J89" i="192" s="1" a="1"/>
  <c r="J89" i="192" s="1"/>
  <c r="O19" i="192" s="1" a="1"/>
  <c r="O19" i="192" s="1"/>
  <c r="O23" i="216"/>
  <c r="J90" i="192" s="1" a="1"/>
  <c r="J90" i="192" s="1"/>
  <c r="O20" i="192" s="1" a="1"/>
  <c r="O20" i="192" s="1"/>
  <c r="O19" i="216"/>
  <c r="J87" i="192" s="1" a="1"/>
  <c r="J87" i="192" s="1"/>
  <c r="O17" i="192" s="1" a="1"/>
  <c r="O17" i="192" s="1"/>
  <c r="O24" i="216"/>
  <c r="J86" i="192" s="1" a="1"/>
  <c r="J86" i="192" s="1"/>
  <c r="O16" i="192" s="1" a="1"/>
  <c r="O16" i="192" s="1"/>
  <c r="O20" i="216"/>
  <c r="J92" i="192" s="1" a="1"/>
  <c r="J92" i="192" s="1"/>
  <c r="O22" i="192" s="1" a="1"/>
  <c r="O22" i="192" s="1"/>
  <c r="O25" i="216"/>
  <c r="J93" i="192" s="1" a="1"/>
  <c r="J93" i="192" s="1"/>
  <c r="O23" i="192" s="1" a="1"/>
  <c r="O23" i="192" s="1"/>
  <c r="O21" i="216"/>
  <c r="J88" i="192" s="1" a="1"/>
  <c r="J88" i="192" s="1"/>
  <c r="O18" i="192" s="1" a="1"/>
  <c r="O18" i="192" s="1"/>
  <c r="N18" i="216"/>
  <c r="N14" i="216"/>
  <c r="N10" i="216"/>
  <c r="N15" i="216"/>
  <c r="N11" i="216"/>
  <c r="N16" i="216"/>
  <c r="N12" i="216"/>
  <c r="N17" i="216"/>
  <c r="N13" i="216"/>
  <c r="Q32" i="216"/>
  <c r="Q61" i="216"/>
  <c r="R44" i="215" a="1"/>
  <c r="R44" i="215" s="1"/>
  <c r="P33" i="219"/>
  <c r="P29" i="219"/>
  <c r="P34" i="219"/>
  <c r="P30" i="219"/>
  <c r="P35" i="219"/>
  <c r="P31" i="219"/>
  <c r="P36" i="219"/>
  <c r="P32" i="219"/>
  <c r="P28" i="219"/>
  <c r="O46" i="219"/>
  <c r="J113" i="191" s="1" a="1"/>
  <c r="J113" i="191" s="1"/>
  <c r="R19" i="218" a="1"/>
  <c r="R19" i="218" s="1"/>
  <c r="R17" i="218" a="1"/>
  <c r="R17" i="218" s="1"/>
  <c r="R18" i="218" a="1"/>
  <c r="R18" i="218" s="1"/>
  <c r="R16" i="218" a="1"/>
  <c r="R16" i="218" s="1"/>
  <c r="R15" i="218" a="1"/>
  <c r="R15" i="218" s="1"/>
  <c r="R14" i="218" a="1"/>
  <c r="R14" i="218" s="1"/>
  <c r="R13" i="218" a="1"/>
  <c r="R13" i="218" s="1"/>
  <c r="J75" i="218" a="1"/>
  <c r="J75" i="218" s="1"/>
  <c r="G133" i="190" s="1" a="1"/>
  <c r="G133" i="190" s="1"/>
  <c r="G45" i="215" a="1"/>
  <c r="G45" i="215" s="1"/>
  <c r="E70" i="186" s="1" a="1"/>
  <c r="E70" i="186" s="1"/>
  <c r="O44" i="215" a="1"/>
  <c r="O44" i="215" s="1"/>
  <c r="F43" i="215" a="1"/>
  <c r="F43" i="215" s="1"/>
  <c r="D70" i="187" s="1" a="1"/>
  <c r="D70" i="187" s="1"/>
  <c r="I45" i="215" a="1"/>
  <c r="I45" i="215" s="1"/>
  <c r="G70" i="186" s="1" a="1"/>
  <c r="G70" i="186" s="1"/>
  <c r="N60" i="219"/>
  <c r="N56" i="219"/>
  <c r="N61" i="219"/>
  <c r="N57" i="219"/>
  <c r="N62" i="219"/>
  <c r="N58" i="219"/>
  <c r="N63" i="219"/>
  <c r="N59" i="219"/>
  <c r="N55" i="219"/>
  <c r="Q23" i="218" a="1"/>
  <c r="Q23" i="218" s="1"/>
  <c r="Q21" i="218" a="1"/>
  <c r="Q21" i="218" s="1"/>
  <c r="Q24" i="218" a="1"/>
  <c r="Q24" i="218" s="1"/>
  <c r="Q22" i="218" a="1"/>
  <c r="Q22" i="218" s="1"/>
  <c r="Q20" i="218" a="1"/>
  <c r="Q20" i="218" s="1"/>
  <c r="Q26" i="218" a="1"/>
  <c r="Q26" i="218" s="1"/>
  <c r="Q25" i="218" a="1"/>
  <c r="Q25" i="218" s="1"/>
  <c r="O25" i="219"/>
  <c r="J92" i="191" s="1" a="1"/>
  <c r="J92" i="191" s="1"/>
  <c r="O24" i="191" s="1" a="1"/>
  <c r="O24" i="191" s="1"/>
  <c r="O21" i="219"/>
  <c r="J88" i="191" s="1" a="1"/>
  <c r="J88" i="191" s="1"/>
  <c r="O18" i="191" s="1" a="1"/>
  <c r="O18" i="191" s="1"/>
  <c r="O27" i="219"/>
  <c r="J94" i="191" s="1" a="1"/>
  <c r="J94" i="191" s="1"/>
  <c r="O23" i="191" s="1" a="1"/>
  <c r="O23" i="191" s="1"/>
  <c r="O26" i="219"/>
  <c r="J93" i="191" s="1" a="1"/>
  <c r="J93" i="191" s="1"/>
  <c r="O19" i="191" s="1" a="1"/>
  <c r="O19" i="191" s="1"/>
  <c r="O19" i="219"/>
  <c r="J86" i="191" s="1" a="1"/>
  <c r="J86" i="191" s="1"/>
  <c r="O17" i="191" s="1" a="1"/>
  <c r="O17" i="191" s="1"/>
  <c r="O23" i="219"/>
  <c r="J90" i="191" s="1" a="1"/>
  <c r="J90" i="191" s="1"/>
  <c r="O20" i="191" s="1" a="1"/>
  <c r="O20" i="191" s="1"/>
  <c r="O20" i="219"/>
  <c r="J87" i="191" s="1" a="1"/>
  <c r="J87" i="191" s="1"/>
  <c r="O22" i="191" s="1" a="1"/>
  <c r="O22" i="191" s="1"/>
  <c r="O22" i="219"/>
  <c r="J89" i="191" s="1" a="1"/>
  <c r="J89" i="191" s="1"/>
  <c r="O21" i="191" s="1" a="1"/>
  <c r="O21" i="191" s="1"/>
  <c r="O24" i="219"/>
  <c r="J91" i="191" s="1" a="1"/>
  <c r="J91" i="191" s="1"/>
  <c r="O16" i="191" s="1" a="1"/>
  <c r="O16" i="191" s="1"/>
  <c r="O61" i="219"/>
  <c r="J128" i="191" s="1" a="1"/>
  <c r="J128" i="191" s="1"/>
  <c r="O57" i="219"/>
  <c r="J124" i="191" s="1" a="1"/>
  <c r="J124" i="191" s="1"/>
  <c r="O62" i="219"/>
  <c r="J129" i="191" s="1" a="1"/>
  <c r="J129" i="191" s="1"/>
  <c r="O58" i="219"/>
  <c r="J125" i="191" s="1" a="1"/>
  <c r="J125" i="191" s="1"/>
  <c r="O63" i="219"/>
  <c r="J130" i="191" s="1" a="1"/>
  <c r="J130" i="191" s="1"/>
  <c r="O59" i="219"/>
  <c r="J126" i="191" s="1" a="1"/>
  <c r="J126" i="191" s="1"/>
  <c r="O55" i="219"/>
  <c r="J122" i="191" s="1" a="1"/>
  <c r="J122" i="191" s="1"/>
  <c r="O60" i="219"/>
  <c r="J127" i="191" s="1" a="1"/>
  <c r="J127" i="191" s="1"/>
  <c r="O56" i="219"/>
  <c r="J123" i="191" s="1" a="1"/>
  <c r="J123" i="191" s="1"/>
  <c r="O25" i="218" a="1"/>
  <c r="O25" i="218" s="1"/>
  <c r="O20" i="218" a="1"/>
  <c r="O20" i="218" s="1"/>
  <c r="O23" i="218" a="1"/>
  <c r="O23" i="218" s="1"/>
  <c r="O26" i="218" a="1"/>
  <c r="O26" i="218" s="1"/>
  <c r="O24" i="218" a="1"/>
  <c r="O24" i="218" s="1"/>
  <c r="O21" i="218" a="1"/>
  <c r="O21" i="218" s="1"/>
  <c r="O22" i="218" a="1"/>
  <c r="O22" i="218" s="1"/>
  <c r="Q43" i="215" a="1"/>
  <c r="Q43" i="215" s="1"/>
  <c r="N36" i="219"/>
  <c r="N32" i="219"/>
  <c r="N28" i="219"/>
  <c r="N33" i="219"/>
  <c r="N29" i="219"/>
  <c r="N34" i="219"/>
  <c r="N30" i="219"/>
  <c r="N35" i="219"/>
  <c r="N31" i="219"/>
  <c r="N16" i="219"/>
  <c r="N12" i="219"/>
  <c r="N17" i="219"/>
  <c r="N13" i="219"/>
  <c r="N15" i="219"/>
  <c r="N11" i="219"/>
  <c r="N18" i="219"/>
  <c r="N14" i="219"/>
  <c r="N10" i="219"/>
  <c r="J70" i="218" a="1"/>
  <c r="J70" i="218" s="1"/>
  <c r="G128" i="190" s="1" a="1"/>
  <c r="G128" i="190" s="1"/>
  <c r="K45" i="215" a="1"/>
  <c r="K45" i="215" s="1"/>
  <c r="Q56" i="216"/>
  <c r="Q44" i="216"/>
  <c r="N38" i="216"/>
  <c r="N43" i="215" a="1"/>
  <c r="N43" i="215" s="1"/>
  <c r="J70" i="187" s="1" a="1"/>
  <c r="J70" i="187" s="1"/>
  <c r="P17" i="219"/>
  <c r="P13" i="219"/>
  <c r="P18" i="219"/>
  <c r="P14" i="219"/>
  <c r="P10" i="219"/>
  <c r="P16" i="219"/>
  <c r="P12" i="219"/>
  <c r="P11" i="219"/>
  <c r="P15" i="219"/>
  <c r="Q13" i="218" a="1"/>
  <c r="Q13" i="218" s="1"/>
  <c r="Q19" i="218" a="1"/>
  <c r="Q19" i="218" s="1"/>
  <c r="Q14" i="218" a="1"/>
  <c r="Q14" i="218" s="1"/>
  <c r="Q16" i="218" a="1"/>
  <c r="Q16" i="218" s="1"/>
  <c r="Q15" i="218" a="1"/>
  <c r="Q15" i="218" s="1"/>
  <c r="Q18" i="218" a="1"/>
  <c r="Q18" i="218" s="1"/>
  <c r="Q17" i="218" a="1"/>
  <c r="Q17" i="218" s="1"/>
  <c r="O36" i="218" a="1"/>
  <c r="O36" i="218" s="1"/>
  <c r="O34" i="218" a="1"/>
  <c r="O34" i="218" s="1"/>
  <c r="O40" i="218" a="1"/>
  <c r="O40" i="218" s="1"/>
  <c r="O38" i="218" a="1"/>
  <c r="O38" i="218" s="1"/>
  <c r="O39" i="218" a="1"/>
  <c r="O39" i="218" s="1"/>
  <c r="O37" i="218" a="1"/>
  <c r="O37" i="218" s="1"/>
  <c r="O35" i="218" a="1"/>
  <c r="O35" i="218" s="1"/>
  <c r="Q50" i="216"/>
  <c r="Q48" i="216"/>
  <c r="Q46" i="216"/>
  <c r="Q51" i="216"/>
  <c r="Q49" i="216"/>
  <c r="Q47" i="216"/>
  <c r="O39" i="216"/>
  <c r="J106" i="192" s="1" a="1"/>
  <c r="J106" i="192" s="1"/>
  <c r="O42" i="216"/>
  <c r="J104" i="192" s="1" a="1"/>
  <c r="J104" i="192" s="1"/>
  <c r="O45" i="216"/>
  <c r="J107" i="192" s="1" a="1"/>
  <c r="J107" i="192" s="1"/>
  <c r="O37" i="216"/>
  <c r="J105" i="192" s="1" a="1"/>
  <c r="J105" i="192" s="1"/>
  <c r="O40" i="216"/>
  <c r="J109" i="192" s="1" a="1"/>
  <c r="J109" i="192" s="1"/>
  <c r="O43" i="216"/>
  <c r="J111" i="192" s="1" a="1"/>
  <c r="J111" i="192" s="1"/>
  <c r="O38" i="216"/>
  <c r="J110" i="192" s="1" a="1"/>
  <c r="J110" i="192" s="1"/>
  <c r="O41" i="216"/>
  <c r="J108" i="192" s="1" a="1"/>
  <c r="J108" i="192" s="1"/>
  <c r="O44" i="216"/>
  <c r="J112" i="192" s="1" a="1"/>
  <c r="J112" i="192" s="1"/>
  <c r="Q27" i="216"/>
  <c r="Q23" i="216"/>
  <c r="Q19" i="216"/>
  <c r="Q24" i="216"/>
  <c r="Q20" i="216"/>
  <c r="Q25" i="216"/>
  <c r="Q21" i="216"/>
  <c r="Q26" i="216"/>
  <c r="Q22" i="216"/>
  <c r="Q40" i="216"/>
  <c r="Q28" i="216"/>
  <c r="Q60" i="216"/>
  <c r="Q41" i="216"/>
  <c r="N43" i="216"/>
  <c r="N42" i="216"/>
  <c r="L45" i="215" a="1"/>
  <c r="L45" i="215" s="1"/>
  <c r="I70" i="186" s="1" a="1"/>
  <c r="I70" i="186" s="1"/>
  <c r="O33" i="219"/>
  <c r="J100" i="191" s="1" a="1"/>
  <c r="J100" i="191" s="1"/>
  <c r="P16" i="191" s="1" a="1"/>
  <c r="P16" i="191" s="1"/>
  <c r="O29" i="219"/>
  <c r="J96" i="191" s="1" a="1"/>
  <c r="J96" i="191" s="1"/>
  <c r="P22" i="191" s="1" a="1"/>
  <c r="P22" i="191" s="1"/>
  <c r="O35" i="219"/>
  <c r="J102" i="191" s="1" a="1"/>
  <c r="J102" i="191" s="1"/>
  <c r="P19" i="191" s="1" a="1"/>
  <c r="P19" i="191" s="1"/>
  <c r="O31" i="219"/>
  <c r="J98" i="191" s="1" a="1"/>
  <c r="J98" i="191" s="1"/>
  <c r="P21" i="191" s="1" a="1"/>
  <c r="P21" i="191" s="1"/>
  <c r="O36" i="219"/>
  <c r="J103" i="191" s="1" a="1"/>
  <c r="J103" i="191" s="1"/>
  <c r="P23" i="191" s="1" a="1"/>
  <c r="P23" i="191" s="1"/>
  <c r="O32" i="219"/>
  <c r="J99" i="191" s="1" a="1"/>
  <c r="J99" i="191" s="1"/>
  <c r="P20" i="191" s="1" a="1"/>
  <c r="P20" i="191" s="1"/>
  <c r="O28" i="219"/>
  <c r="J95" i="191" s="1" a="1"/>
  <c r="J95" i="191" s="1"/>
  <c r="P17" i="191" s="1" a="1"/>
  <c r="P17" i="191" s="1"/>
  <c r="O34" i="219"/>
  <c r="J101" i="191" s="1" a="1"/>
  <c r="J101" i="191" s="1"/>
  <c r="P24" i="191" s="1" a="1"/>
  <c r="P24" i="191" s="1"/>
  <c r="O30" i="219"/>
  <c r="J97" i="191" s="1" a="1"/>
  <c r="J97" i="191" s="1"/>
  <c r="P18" i="191" s="1" a="1"/>
  <c r="P18" i="191" s="1"/>
  <c r="J22" i="218" a="1"/>
  <c r="J22" i="218" s="1"/>
  <c r="G80" i="190" s="1" a="1"/>
  <c r="G80" i="190" s="1"/>
  <c r="J25" i="218" a="1"/>
  <c r="J25" i="218" s="1"/>
  <c r="G83" i="190" s="1" a="1"/>
  <c r="G83" i="190" s="1"/>
  <c r="J20" i="218" a="1"/>
  <c r="J20" i="218" s="1"/>
  <c r="G78" i="190" s="1" a="1"/>
  <c r="G78" i="190" s="1"/>
  <c r="J26" i="218" a="1"/>
  <c r="J26" i="218" s="1"/>
  <c r="G84" i="190" s="1" a="1"/>
  <c r="G84" i="190" s="1"/>
  <c r="J24" i="218" a="1"/>
  <c r="J24" i="218" s="1"/>
  <c r="G82" i="190" s="1" a="1"/>
  <c r="G82" i="190" s="1"/>
  <c r="J23" i="218" a="1"/>
  <c r="J23" i="218" s="1"/>
  <c r="G81" i="190" s="1" a="1"/>
  <c r="G81" i="190" s="1"/>
  <c r="J21" i="218" a="1"/>
  <c r="J21" i="218" s="1"/>
  <c r="G79" i="190" s="1" a="1"/>
  <c r="G79" i="190" s="1"/>
  <c r="P47" i="218" a="1"/>
  <c r="P47" i="218" s="1"/>
  <c r="J105" i="190" s="1" a="1"/>
  <c r="J105" i="190" s="1"/>
  <c r="P42" i="218" a="1"/>
  <c r="P42" i="218" s="1"/>
  <c r="J100" i="190" s="1" a="1"/>
  <c r="J100" i="190" s="1"/>
  <c r="P43" i="218" a="1"/>
  <c r="P43" i="218" s="1"/>
  <c r="J101" i="190" s="1" a="1"/>
  <c r="J101" i="190" s="1"/>
  <c r="P46" i="218" a="1"/>
  <c r="P46" i="218" s="1"/>
  <c r="J104" i="190" s="1" a="1"/>
  <c r="J104" i="190" s="1"/>
  <c r="P44" i="218" a="1"/>
  <c r="P44" i="218" s="1"/>
  <c r="J102" i="190" s="1" a="1"/>
  <c r="J102" i="190" s="1"/>
  <c r="P45" i="218" a="1"/>
  <c r="P45" i="218" s="1"/>
  <c r="J103" i="190" s="1" a="1"/>
  <c r="J103" i="190" s="1"/>
  <c r="P41" i="218" a="1"/>
  <c r="P41" i="218" s="1"/>
  <c r="J99" i="190" s="1" a="1"/>
  <c r="J99" i="190" s="1"/>
  <c r="O50" i="219"/>
  <c r="J117" i="191" s="1" a="1"/>
  <c r="J117" i="191" s="1"/>
  <c r="P15" i="218" a="1"/>
  <c r="P15" i="218" s="1"/>
  <c r="J73" i="190" s="1" a="1"/>
  <c r="J73" i="190" s="1"/>
  <c r="P13" i="218" a="1"/>
  <c r="P13" i="218" s="1"/>
  <c r="J71" i="190" s="1" a="1"/>
  <c r="J71" i="190" s="1"/>
  <c r="P16" i="218" a="1"/>
  <c r="P16" i="218" s="1"/>
  <c r="J74" i="190" s="1" a="1"/>
  <c r="J74" i="190" s="1"/>
  <c r="P17" i="218" a="1"/>
  <c r="P17" i="218" s="1"/>
  <c r="J75" i="190" s="1" a="1"/>
  <c r="J75" i="190" s="1"/>
  <c r="P14" i="218" a="1"/>
  <c r="P14" i="218" s="1"/>
  <c r="J72" i="190" s="1" a="1"/>
  <c r="J72" i="190" s="1"/>
  <c r="P19" i="218" a="1"/>
  <c r="P19" i="218" s="1"/>
  <c r="J77" i="190" s="1" a="1"/>
  <c r="J77" i="190" s="1"/>
  <c r="P18" i="218" a="1"/>
  <c r="P18" i="218" s="1"/>
  <c r="J76" i="190" s="1" a="1"/>
  <c r="J76" i="190" s="1"/>
  <c r="P39" i="218" a="1"/>
  <c r="P39" i="218" s="1"/>
  <c r="J97" i="190" s="1" a="1"/>
  <c r="J97" i="190" s="1"/>
  <c r="P34" i="218" a="1"/>
  <c r="P34" i="218" s="1"/>
  <c r="J92" i="190" s="1" a="1"/>
  <c r="J92" i="190" s="1"/>
  <c r="P40" i="218" a="1"/>
  <c r="P40" i="218" s="1"/>
  <c r="J98" i="190" s="1" a="1"/>
  <c r="J98" i="190" s="1"/>
  <c r="P38" i="218" a="1"/>
  <c r="P38" i="218" s="1"/>
  <c r="J96" i="190" s="1" a="1"/>
  <c r="J96" i="190" s="1"/>
  <c r="P37" i="218" a="1"/>
  <c r="P37" i="218" s="1"/>
  <c r="J95" i="190" s="1" a="1"/>
  <c r="J95" i="190" s="1"/>
  <c r="P35" i="218" a="1"/>
  <c r="P35" i="218" s="1"/>
  <c r="J93" i="190" s="1" a="1"/>
  <c r="J93" i="190" s="1"/>
  <c r="P36" i="218" a="1"/>
  <c r="P36" i="218" s="1"/>
  <c r="J94" i="190" s="1" a="1"/>
  <c r="J94" i="190" s="1"/>
  <c r="O17" i="218" a="1"/>
  <c r="O17" i="218" s="1"/>
  <c r="O15" i="218" a="1"/>
  <c r="O15" i="218" s="1"/>
  <c r="O18" i="218" a="1"/>
  <c r="O18" i="218" s="1"/>
  <c r="O16" i="218" a="1"/>
  <c r="O16" i="218" s="1"/>
  <c r="O14" i="218" a="1"/>
  <c r="O14" i="218" s="1"/>
  <c r="O19" i="218" a="1"/>
  <c r="O19" i="218" s="1"/>
  <c r="O13" i="218" a="1"/>
  <c r="O13" i="218" s="1"/>
  <c r="J71" i="218" a="1"/>
  <c r="J71" i="218" s="1"/>
  <c r="G129" i="190" s="1" a="1"/>
  <c r="G129" i="190" s="1"/>
  <c r="P54" i="216"/>
  <c r="P50" i="216"/>
  <c r="P46" i="216"/>
  <c r="P51" i="216"/>
  <c r="P47" i="216"/>
  <c r="P52" i="216"/>
  <c r="P48" i="216"/>
  <c r="P53" i="216"/>
  <c r="P49" i="216"/>
  <c r="P62" i="216"/>
  <c r="P58" i="216"/>
  <c r="P63" i="216"/>
  <c r="P59" i="216"/>
  <c r="P55" i="216"/>
  <c r="P60" i="216"/>
  <c r="P56" i="216"/>
  <c r="P57" i="216"/>
  <c r="P61" i="216"/>
  <c r="P34" i="216"/>
  <c r="P35" i="216"/>
  <c r="P31" i="216"/>
  <c r="P32" i="216"/>
  <c r="P28" i="216"/>
  <c r="P29" i="216"/>
  <c r="P30" i="216"/>
  <c r="P33" i="216"/>
  <c r="P36" i="216"/>
  <c r="O30" i="216"/>
  <c r="J97" i="192" s="1" a="1"/>
  <c r="J97" i="192" s="1"/>
  <c r="P18" i="192" s="1" a="1"/>
  <c r="P18" i="192" s="1"/>
  <c r="O34" i="216"/>
  <c r="J102" i="192" s="1" a="1"/>
  <c r="J102" i="192" s="1"/>
  <c r="P23" i="192" s="1" a="1"/>
  <c r="P23" i="192" s="1"/>
  <c r="O31" i="216"/>
  <c r="J100" i="192" s="1" a="1"/>
  <c r="J100" i="192" s="1"/>
  <c r="P21" i="192" s="1" a="1"/>
  <c r="P21" i="192" s="1"/>
  <c r="O35" i="216"/>
  <c r="J103" i="192" s="1" a="1"/>
  <c r="J103" i="192" s="1"/>
  <c r="P24" i="192" s="1" a="1"/>
  <c r="P24" i="192" s="1"/>
  <c r="O32" i="216"/>
  <c r="J99" i="192" s="1" a="1"/>
  <c r="J99" i="192" s="1"/>
  <c r="P20" i="192" s="1" a="1"/>
  <c r="P20" i="192" s="1"/>
  <c r="O28" i="216"/>
  <c r="J96" i="192" s="1" a="1"/>
  <c r="J96" i="192" s="1"/>
  <c r="P17" i="192" s="1" a="1"/>
  <c r="P17" i="192" s="1"/>
  <c r="O36" i="216"/>
  <c r="J98" i="192" s="1" a="1"/>
  <c r="J98" i="192" s="1"/>
  <c r="P19" i="192" s="1" a="1"/>
  <c r="P19" i="192" s="1"/>
  <c r="O33" i="216"/>
  <c r="J95" i="192" s="1" a="1"/>
  <c r="J95" i="192" s="1"/>
  <c r="P16" i="192" s="1" a="1"/>
  <c r="P16" i="192" s="1"/>
  <c r="O29" i="216"/>
  <c r="J101" i="192" s="1" a="1"/>
  <c r="J101" i="192" s="1"/>
  <c r="P22" i="192" s="1" a="1"/>
  <c r="P22" i="192" s="1"/>
  <c r="P42" i="216"/>
  <c r="P38" i="216"/>
  <c r="P43" i="216"/>
  <c r="P39" i="216"/>
  <c r="P45" i="216"/>
  <c r="P37" i="216"/>
  <c r="P40" i="216"/>
  <c r="P41" i="216"/>
  <c r="P44" i="216"/>
  <c r="Q52" i="216"/>
  <c r="N39" i="216"/>
  <c r="Q43" i="216"/>
  <c r="Q55" i="216"/>
  <c r="N40" i="216"/>
  <c r="Q36" i="216"/>
  <c r="N37" i="216"/>
  <c r="J44" i="215" a="1"/>
  <c r="J44" i="215" s="1"/>
  <c r="H70" i="185" s="1" a="1"/>
  <c r="H70" i="185" s="1"/>
  <c r="G44" i="215" a="1"/>
  <c r="G44" i="215" s="1"/>
  <c r="E70" i="185" s="1" a="1"/>
  <c r="E70" i="185" s="1"/>
  <c r="R45" i="215" a="1"/>
  <c r="R45" i="215" s="1"/>
  <c r="Q45" i="216"/>
  <c r="G24" i="189"/>
  <c r="P45" i="215" a="1"/>
  <c r="P45" i="215" s="1"/>
  <c r="K70" i="186" s="1" a="1"/>
  <c r="K70" i="186" s="1"/>
  <c r="I26" i="219"/>
  <c r="G93" i="191" s="1" a="1"/>
  <c r="G93" i="191" s="1"/>
  <c r="I22" i="219"/>
  <c r="G89" i="191" s="1" a="1"/>
  <c r="G89" i="191" s="1"/>
  <c r="I25" i="219"/>
  <c r="G92" i="191" s="1" a="1"/>
  <c r="G92" i="191" s="1"/>
  <c r="I23" i="219"/>
  <c r="G90" i="191" s="1" a="1"/>
  <c r="G90" i="191" s="1"/>
  <c r="I20" i="219"/>
  <c r="G87" i="191" s="1" a="1"/>
  <c r="G87" i="191" s="1"/>
  <c r="I27" i="219"/>
  <c r="G94" i="191" s="1" a="1"/>
  <c r="G94" i="191" s="1"/>
  <c r="I24" i="219"/>
  <c r="G91" i="191" s="1" a="1"/>
  <c r="G91" i="191" s="1"/>
  <c r="I21" i="219"/>
  <c r="G88" i="191" s="1" a="1"/>
  <c r="G88" i="191" s="1"/>
  <c r="I19" i="219"/>
  <c r="G86" i="191" s="1" a="1"/>
  <c r="G86" i="191" s="1"/>
  <c r="N53" i="216"/>
  <c r="N49" i="216"/>
  <c r="N54" i="216"/>
  <c r="N50" i="216"/>
  <c r="N46" i="216"/>
  <c r="N51" i="216"/>
  <c r="N47" i="216"/>
  <c r="N52" i="216"/>
  <c r="N48" i="216"/>
  <c r="N26" i="216"/>
  <c r="N22" i="216"/>
  <c r="N27" i="216"/>
  <c r="N23" i="216"/>
  <c r="N19" i="216"/>
  <c r="N24" i="216"/>
  <c r="N20" i="216"/>
  <c r="N25" i="216"/>
  <c r="N21" i="216"/>
  <c r="N44" i="216"/>
  <c r="Q35" i="216"/>
  <c r="Q59" i="216"/>
  <c r="Q38" i="216"/>
  <c r="Q33" i="216"/>
  <c r="K43" i="215" a="1"/>
  <c r="K43" i="215" s="1"/>
  <c r="P43" i="215" a="1"/>
  <c r="P43" i="215" s="1"/>
  <c r="K70" i="187" s="1" a="1"/>
  <c r="K70" i="187" s="1"/>
  <c r="F45" i="215" a="1"/>
  <c r="F45" i="215" s="1"/>
  <c r="D70" i="186" s="1" a="1"/>
  <c r="D70" i="186" s="1"/>
  <c r="Q34" i="216"/>
  <c r="I34" i="219"/>
  <c r="G101" i="191" s="1" a="1"/>
  <c r="G101" i="191" s="1"/>
  <c r="I30" i="219"/>
  <c r="G97" i="191" s="1" a="1"/>
  <c r="G97" i="191" s="1"/>
  <c r="I36" i="219"/>
  <c r="G103" i="191" s="1" a="1"/>
  <c r="G103" i="191" s="1"/>
  <c r="I32" i="219"/>
  <c r="G99" i="191" s="1" a="1"/>
  <c r="G99" i="191" s="1"/>
  <c r="I28" i="219"/>
  <c r="G95" i="191" s="1" a="1"/>
  <c r="G95" i="191" s="1"/>
  <c r="I31" i="219"/>
  <c r="G98" i="191" s="1" a="1"/>
  <c r="G98" i="191" s="1"/>
  <c r="I33" i="219"/>
  <c r="G100" i="191" s="1" a="1"/>
  <c r="G100" i="191" s="1"/>
  <c r="I29" i="219"/>
  <c r="G96" i="191" s="1" a="1"/>
  <c r="G96" i="191" s="1"/>
  <c r="I35" i="219"/>
  <c r="G102" i="191" s="1" a="1"/>
  <c r="G102" i="191" s="1"/>
  <c r="Q18" i="219"/>
  <c r="Q13" i="219"/>
  <c r="Q11" i="219"/>
  <c r="Q16" i="219"/>
  <c r="Q14" i="219"/>
  <c r="Q12" i="219"/>
  <c r="Q10" i="219"/>
  <c r="Q15" i="219"/>
  <c r="Q17" i="219"/>
  <c r="Q62" i="216"/>
  <c r="N52" i="219"/>
  <c r="N48" i="219"/>
  <c r="N53" i="219"/>
  <c r="N49" i="219"/>
  <c r="N54" i="219"/>
  <c r="N50" i="219"/>
  <c r="N46" i="219"/>
  <c r="N51" i="219"/>
  <c r="N47" i="219"/>
  <c r="I18" i="219"/>
  <c r="G85" i="191" s="1" a="1"/>
  <c r="G85" i="191" s="1"/>
  <c r="I16" i="219"/>
  <c r="G83" i="191" s="1" a="1"/>
  <c r="G83" i="191" s="1"/>
  <c r="I14" i="219"/>
  <c r="G81" i="191" s="1" a="1"/>
  <c r="G81" i="191" s="1"/>
  <c r="I12" i="219"/>
  <c r="G79" i="191" s="1" a="1"/>
  <c r="G79" i="191" s="1"/>
  <c r="I17" i="219"/>
  <c r="G84" i="191" s="1" a="1"/>
  <c r="G84" i="191" s="1"/>
  <c r="I10" i="219"/>
  <c r="G77" i="191" s="1" a="1"/>
  <c r="G77" i="191" s="1"/>
  <c r="I15" i="219"/>
  <c r="G82" i="191" s="1" a="1"/>
  <c r="G82" i="191" s="1"/>
  <c r="I13" i="219"/>
  <c r="G80" i="191" s="1" a="1"/>
  <c r="G80" i="191" s="1"/>
  <c r="I11" i="219"/>
  <c r="G78" i="191" s="1" a="1"/>
  <c r="G78" i="191" s="1"/>
  <c r="N24" i="219"/>
  <c r="N20" i="219"/>
  <c r="N25" i="219"/>
  <c r="N21" i="219"/>
  <c r="N26" i="219"/>
  <c r="N22" i="219"/>
  <c r="N27" i="219"/>
  <c r="N23" i="219"/>
  <c r="N19" i="219"/>
  <c r="P25" i="218" a="1"/>
  <c r="P25" i="218" s="1"/>
  <c r="J83" i="190" s="1" a="1"/>
  <c r="J83" i="190" s="1"/>
  <c r="P16" i="190" s="1" a="1"/>
  <c r="P16" i="190" s="1"/>
  <c r="P23" i="218" a="1"/>
  <c r="P23" i="218" s="1"/>
  <c r="J81" i="190" s="1" a="1"/>
  <c r="J81" i="190" s="1"/>
  <c r="P20" i="190" s="1" a="1"/>
  <c r="P20" i="190" s="1"/>
  <c r="P26" i="218" a="1"/>
  <c r="P26" i="218" s="1"/>
  <c r="J84" i="190" s="1" a="1"/>
  <c r="J84" i="190" s="1"/>
  <c r="P22" i="190" s="1" a="1"/>
  <c r="P22" i="190" s="1"/>
  <c r="P21" i="218" a="1"/>
  <c r="P21" i="218" s="1"/>
  <c r="J79" i="190" s="1" a="1"/>
  <c r="J79" i="190" s="1"/>
  <c r="P21" i="190" s="1" a="1"/>
  <c r="P21" i="190" s="1"/>
  <c r="P24" i="218" a="1"/>
  <c r="P24" i="218" s="1"/>
  <c r="J82" i="190" s="1" a="1"/>
  <c r="J82" i="190" s="1"/>
  <c r="P19" i="190" s="1" a="1"/>
  <c r="P19" i="190" s="1"/>
  <c r="P22" i="218" a="1"/>
  <c r="P22" i="218" s="1"/>
  <c r="J80" i="190" s="1" a="1"/>
  <c r="J80" i="190" s="1"/>
  <c r="P18" i="190" s="1" a="1"/>
  <c r="P18" i="190" s="1"/>
  <c r="P20" i="218" a="1"/>
  <c r="P20" i="218" s="1"/>
  <c r="J78" i="190" s="1" a="1"/>
  <c r="J78" i="190" s="1"/>
  <c r="P17" i="190" s="1" a="1"/>
  <c r="P17" i="190" s="1"/>
  <c r="P53" i="219"/>
  <c r="P49" i="219"/>
  <c r="P54" i="219"/>
  <c r="P50" i="219"/>
  <c r="P46" i="219"/>
  <c r="P51" i="219"/>
  <c r="P47" i="219"/>
  <c r="P52" i="219"/>
  <c r="P48" i="219"/>
  <c r="P25" i="219"/>
  <c r="P21" i="219"/>
  <c r="P26" i="219"/>
  <c r="P22" i="219"/>
  <c r="P27" i="219"/>
  <c r="P23" i="219"/>
  <c r="P24" i="219"/>
  <c r="P20" i="219"/>
  <c r="P19" i="219"/>
  <c r="J19" i="218" a="1"/>
  <c r="J19" i="218" s="1"/>
  <c r="G77" i="190" s="1" a="1"/>
  <c r="G77" i="190" s="1"/>
  <c r="J17" i="218" a="1"/>
  <c r="J17" i="218" s="1"/>
  <c r="G75" i="190" s="1" a="1"/>
  <c r="G75" i="190" s="1"/>
  <c r="J18" i="218" a="1"/>
  <c r="J18" i="218" s="1"/>
  <c r="G76" i="190" s="1" a="1"/>
  <c r="G76" i="190" s="1"/>
  <c r="J16" i="218" a="1"/>
  <c r="J16" i="218" s="1"/>
  <c r="G74" i="190" s="1" a="1"/>
  <c r="G74" i="190" s="1"/>
  <c r="J15" i="218" a="1"/>
  <c r="J15" i="218" s="1"/>
  <c r="G73" i="190" s="1" a="1"/>
  <c r="G73" i="190" s="1"/>
  <c r="J14" i="218" a="1"/>
  <c r="J14" i="218" s="1"/>
  <c r="G72" i="190" s="1" a="1"/>
  <c r="G72" i="190" s="1"/>
  <c r="J13" i="218" a="1"/>
  <c r="J13" i="218" s="1"/>
  <c r="G71" i="190" s="1" a="1"/>
  <c r="G71" i="190" s="1"/>
  <c r="O48" i="219"/>
  <c r="J115" i="191" s="1" a="1"/>
  <c r="J115" i="191" s="1"/>
  <c r="O49" i="219"/>
  <c r="J116" i="191" s="1" a="1"/>
  <c r="J116" i="191" s="1"/>
  <c r="Q42" i="216"/>
  <c r="Q63" i="216"/>
  <c r="Q29" i="216"/>
  <c r="O45" i="215" a="1"/>
  <c r="O45" i="215" s="1"/>
  <c r="E20" i="189"/>
  <c r="E16" i="189"/>
  <c r="E13" i="189"/>
  <c r="E15" i="189"/>
  <c r="E17" i="189"/>
  <c r="E19" i="189"/>
  <c r="E21" i="189"/>
  <c r="E14" i="189"/>
  <c r="E18" i="189"/>
  <c r="N44" i="219"/>
  <c r="N40" i="219"/>
  <c r="N45" i="219"/>
  <c r="N41" i="219"/>
  <c r="N37" i="219"/>
  <c r="N42" i="219"/>
  <c r="N38" i="219"/>
  <c r="N43" i="219"/>
  <c r="N39" i="219"/>
  <c r="Q42" i="219"/>
  <c r="Q38" i="219"/>
  <c r="Q43" i="219"/>
  <c r="Q39" i="219"/>
  <c r="Q44" i="219"/>
  <c r="Q40" i="219"/>
  <c r="Q45" i="219"/>
  <c r="Q41" i="219"/>
  <c r="Q37" i="219"/>
  <c r="P45" i="219"/>
  <c r="P41" i="219"/>
  <c r="P37" i="219"/>
  <c r="P42" i="219"/>
  <c r="P38" i="219"/>
  <c r="P43" i="219"/>
  <c r="P39" i="219"/>
  <c r="P44" i="219"/>
  <c r="P40" i="219"/>
  <c r="Q37" i="218" a="1"/>
  <c r="Q37" i="218" s="1"/>
  <c r="Q40" i="218" a="1"/>
  <c r="Q40" i="218" s="1"/>
  <c r="Q38" i="218" a="1"/>
  <c r="Q38" i="218" s="1"/>
  <c r="Q36" i="218" a="1"/>
  <c r="Q36" i="218" s="1"/>
  <c r="Q39" i="218" a="1"/>
  <c r="Q39" i="218" s="1"/>
  <c r="Q35" i="218" a="1"/>
  <c r="Q35" i="218" s="1"/>
  <c r="Q34" i="218" a="1"/>
  <c r="Q34" i="218" s="1"/>
  <c r="R35" i="218" a="1"/>
  <c r="R35" i="218" s="1"/>
  <c r="R38" i="218" a="1"/>
  <c r="R38" i="218" s="1"/>
  <c r="R36" i="218" a="1"/>
  <c r="R36" i="218" s="1"/>
  <c r="R39" i="218" a="1"/>
  <c r="R39" i="218" s="1"/>
  <c r="R34" i="218" a="1"/>
  <c r="R34" i="218" s="1"/>
  <c r="R37" i="218" a="1"/>
  <c r="R37" i="218" s="1"/>
  <c r="R40" i="218" a="1"/>
  <c r="R40" i="218" s="1"/>
  <c r="L42" i="215" a="1"/>
  <c r="L42" i="215" s="1"/>
  <c r="I69" i="186" s="1" a="1"/>
  <c r="I69" i="186" s="1"/>
  <c r="N44" i="215" a="1"/>
  <c r="N44" i="215" s="1"/>
  <c r="J70" i="185" s="1" a="1"/>
  <c r="J70" i="185" s="1"/>
  <c r="O17" i="219"/>
  <c r="J84" i="191" s="1" a="1"/>
  <c r="J84" i="191" s="1"/>
  <c r="N19" i="191" s="1" a="1"/>
  <c r="N19" i="191" s="1"/>
  <c r="O15" i="219"/>
  <c r="J82" i="191" s="1" a="1"/>
  <c r="J82" i="191" s="1"/>
  <c r="N16" i="191" s="1" a="1"/>
  <c r="N16" i="191" s="1"/>
  <c r="O13" i="219"/>
  <c r="J80" i="191" s="1" a="1"/>
  <c r="J80" i="191" s="1"/>
  <c r="N21" i="191" s="1" a="1"/>
  <c r="N21" i="191" s="1"/>
  <c r="O11" i="219"/>
  <c r="J78" i="191" s="1" a="1"/>
  <c r="J78" i="191" s="1"/>
  <c r="N22" i="191" s="1" a="1"/>
  <c r="N22" i="191" s="1"/>
  <c r="O16" i="219"/>
  <c r="J83" i="191" s="1" a="1"/>
  <c r="J83" i="191" s="1"/>
  <c r="N24" i="191" s="1" a="1"/>
  <c r="N24" i="191" s="1"/>
  <c r="O18" i="219"/>
  <c r="J85" i="191" s="1" a="1"/>
  <c r="J85" i="191" s="1"/>
  <c r="N23" i="191" s="1" a="1"/>
  <c r="N23" i="191" s="1"/>
  <c r="O14" i="219"/>
  <c r="J81" i="191" s="1" a="1"/>
  <c r="J81" i="191" s="1"/>
  <c r="N20" i="191" s="1" a="1"/>
  <c r="N20" i="191" s="1"/>
  <c r="O12" i="219"/>
  <c r="J79" i="191" s="1" a="1"/>
  <c r="J79" i="191" s="1"/>
  <c r="N18" i="191" s="1" a="1"/>
  <c r="N18" i="191" s="1"/>
  <c r="O10" i="219"/>
  <c r="J77" i="191" s="1" a="1"/>
  <c r="J77" i="191" s="1"/>
  <c r="N17" i="191" s="1" a="1"/>
  <c r="N17" i="191" s="1"/>
  <c r="Q54" i="219"/>
  <c r="Q50" i="219"/>
  <c r="Q46" i="219"/>
  <c r="Q51" i="219"/>
  <c r="Q47" i="219"/>
  <c r="Q52" i="219"/>
  <c r="Q48" i="219"/>
  <c r="Q53" i="219"/>
  <c r="Q49" i="219"/>
  <c r="P61" i="219"/>
  <c r="P57" i="219"/>
  <c r="P62" i="219"/>
  <c r="P58" i="219"/>
  <c r="P63" i="219"/>
  <c r="P59" i="219"/>
  <c r="P55" i="219"/>
  <c r="P60" i="219"/>
  <c r="P56" i="219"/>
  <c r="O52" i="219"/>
  <c r="J119" i="191" s="1" a="1"/>
  <c r="J119" i="191" s="1"/>
  <c r="O53" i="219"/>
  <c r="J120" i="191" s="1" a="1"/>
  <c r="J120" i="191" s="1"/>
  <c r="O27" i="218" a="1"/>
  <c r="O27" i="218" s="1"/>
  <c r="O31" i="218" a="1"/>
  <c r="O31" i="218" s="1"/>
  <c r="O30" i="218" a="1"/>
  <c r="O30" i="218" s="1"/>
  <c r="O28" i="218" a="1"/>
  <c r="O28" i="218" s="1"/>
  <c r="O32" i="218" a="1"/>
  <c r="O32" i="218" s="1"/>
  <c r="O29" i="218" a="1"/>
  <c r="O29" i="218" s="1"/>
  <c r="O33" i="218" a="1"/>
  <c r="O33" i="218" s="1"/>
  <c r="P15" i="216"/>
  <c r="P11" i="216"/>
  <c r="P16" i="216"/>
  <c r="P12" i="216"/>
  <c r="P17" i="216"/>
  <c r="P13" i="216"/>
  <c r="P18" i="216"/>
  <c r="P14" i="216"/>
  <c r="P10" i="216"/>
  <c r="O10" i="216"/>
  <c r="J78" i="192" s="1" a="1"/>
  <c r="J78" i="192" s="1"/>
  <c r="N17" i="192" s="1" a="1"/>
  <c r="N17" i="192" s="1"/>
  <c r="O15" i="216"/>
  <c r="J77" i="192" s="1" a="1"/>
  <c r="J77" i="192" s="1"/>
  <c r="N16" i="192" s="1" a="1"/>
  <c r="N16" i="192" s="1"/>
  <c r="O16" i="216"/>
  <c r="J84" i="192" s="1" a="1"/>
  <c r="J84" i="192" s="1"/>
  <c r="N23" i="192" s="1" a="1"/>
  <c r="N23" i="192" s="1"/>
  <c r="O12" i="216"/>
  <c r="J79" i="192" s="1" a="1"/>
  <c r="J79" i="192" s="1"/>
  <c r="N18" i="192" s="1" a="1"/>
  <c r="N18" i="192" s="1"/>
  <c r="O17" i="216"/>
  <c r="J85" i="192" s="1" a="1"/>
  <c r="J85" i="192" s="1"/>
  <c r="N24" i="192" s="1" a="1"/>
  <c r="N24" i="192" s="1"/>
  <c r="O11" i="216"/>
  <c r="J83" i="192" s="1" a="1"/>
  <c r="J83" i="192" s="1"/>
  <c r="N22" i="192" s="1" a="1"/>
  <c r="N22" i="192" s="1"/>
  <c r="O13" i="216"/>
  <c r="J82" i="192" s="1" a="1"/>
  <c r="J82" i="192" s="1"/>
  <c r="N21" i="192" s="1" a="1"/>
  <c r="N21" i="192" s="1"/>
  <c r="N33" i="216"/>
  <c r="N36" i="216"/>
  <c r="N30" i="216"/>
  <c r="N34" i="216"/>
  <c r="N31" i="216"/>
  <c r="N35" i="216"/>
  <c r="N32" i="216"/>
  <c r="N28" i="216"/>
  <c r="N29" i="216"/>
  <c r="Q37" i="216"/>
  <c r="M41" i="215" a="1"/>
  <c r="M41" i="215" s="1"/>
  <c r="P44" i="215" a="1"/>
  <c r="P44" i="215" s="1"/>
  <c r="K70" i="185" s="1" a="1"/>
  <c r="K70" i="185" s="1"/>
  <c r="H24" i="189"/>
  <c r="O53" i="216"/>
  <c r="J121" i="192" s="1" a="1"/>
  <c r="J121" i="192" s="1"/>
  <c r="O47" i="216"/>
  <c r="J119" i="192" s="1" a="1"/>
  <c r="J119" i="192" s="1"/>
  <c r="O52" i="216"/>
  <c r="J120" i="192" s="1" a="1"/>
  <c r="J120" i="192" s="1"/>
  <c r="O54" i="216"/>
  <c r="J116" i="192" s="1" a="1"/>
  <c r="J116" i="192" s="1"/>
  <c r="O50" i="216"/>
  <c r="J117" i="192" s="1" a="1"/>
  <c r="J117" i="192" s="1"/>
  <c r="O48" i="216"/>
  <c r="J115" i="192" s="1" a="1"/>
  <c r="J115" i="192" s="1"/>
  <c r="O46" i="216"/>
  <c r="J114" i="192" s="1" a="1"/>
  <c r="J114" i="192" s="1"/>
  <c r="O51" i="216"/>
  <c r="J113" i="192" s="1" a="1"/>
  <c r="J113" i="192" s="1"/>
  <c r="O49" i="216"/>
  <c r="J118" i="192" s="1" a="1"/>
  <c r="J118" i="192" s="1"/>
  <c r="N61" i="216"/>
  <c r="N57" i="216"/>
  <c r="N62" i="216"/>
  <c r="N58" i="216"/>
  <c r="N63" i="216"/>
  <c r="N59" i="216"/>
  <c r="N55" i="216"/>
  <c r="N60" i="216"/>
  <c r="N56" i="216"/>
  <c r="Q34" i="219"/>
  <c r="Q30" i="219"/>
  <c r="Q36" i="219"/>
  <c r="Q32" i="219"/>
  <c r="Q28" i="219"/>
  <c r="Q29" i="219"/>
  <c r="Q35" i="219"/>
  <c r="Q31" i="219"/>
  <c r="Q33" i="219"/>
  <c r="O53" i="218" a="1"/>
  <c r="O53" i="218" s="1"/>
  <c r="O49" i="218" a="1"/>
  <c r="O49" i="218" s="1"/>
  <c r="O52" i="218" a="1"/>
  <c r="O52" i="218" s="1"/>
  <c r="O50" i="218" a="1"/>
  <c r="O50" i="218" s="1"/>
  <c r="O54" i="218" a="1"/>
  <c r="O54" i="218" s="1"/>
  <c r="O48" i="218" a="1"/>
  <c r="O48" i="218" s="1"/>
  <c r="O51" i="218" a="1"/>
  <c r="O51" i="218" s="1"/>
  <c r="R22" i="218" a="1"/>
  <c r="R22" i="218" s="1"/>
  <c r="R25" i="218" a="1"/>
  <c r="R25" i="218" s="1"/>
  <c r="R20" i="218" a="1"/>
  <c r="R20" i="218" s="1"/>
  <c r="R26" i="218" a="1"/>
  <c r="R26" i="218" s="1"/>
  <c r="R23" i="218" a="1"/>
  <c r="R23" i="218" s="1"/>
  <c r="R21" i="218" a="1"/>
  <c r="R21" i="218" s="1"/>
  <c r="R24" i="218" a="1"/>
  <c r="R24" i="218" s="1"/>
  <c r="O60" i="216"/>
  <c r="J122" i="192" s="1" a="1"/>
  <c r="J122" i="192" s="1"/>
  <c r="O56" i="216"/>
  <c r="J128" i="192" s="1" a="1"/>
  <c r="J128" i="192" s="1"/>
  <c r="O61" i="216"/>
  <c r="J129" i="192" s="1" a="1"/>
  <c r="J129" i="192" s="1"/>
  <c r="O57" i="216"/>
  <c r="J124" i="192" s="1" a="1"/>
  <c r="J124" i="192" s="1"/>
  <c r="O62" i="216"/>
  <c r="J130" i="192" s="1" a="1"/>
  <c r="J130" i="192" s="1"/>
  <c r="O58" i="216"/>
  <c r="J127" i="192" s="1" a="1"/>
  <c r="J127" i="192" s="1"/>
  <c r="O63" i="216"/>
  <c r="J125" i="192" s="1" a="1"/>
  <c r="J125" i="192" s="1"/>
  <c r="O59" i="216"/>
  <c r="J126" i="192" s="1" a="1"/>
  <c r="J126" i="192" s="1"/>
  <c r="O55" i="216"/>
  <c r="J123" i="192" s="1" a="1"/>
  <c r="J123" i="192" s="1"/>
  <c r="M44" i="215" a="1"/>
  <c r="M44" i="215" s="1"/>
  <c r="B27" i="183"/>
  <c r="E27" i="183"/>
  <c r="C27" i="183"/>
  <c r="D27" i="183"/>
  <c r="E30" i="183"/>
  <c r="D32" i="183"/>
  <c r="S38" i="161"/>
  <c r="K38" i="161"/>
  <c r="P38" i="161"/>
  <c r="K25" i="161" a="1"/>
  <c r="K25" i="161" s="1"/>
  <c r="K29" i="161" a="1"/>
  <c r="K29" i="161" s="1"/>
  <c r="K33" i="161" a="1"/>
  <c r="K33" i="161" s="1"/>
  <c r="K28" i="161" a="1"/>
  <c r="K28" i="161" s="1"/>
  <c r="K32" i="161" a="1"/>
  <c r="K32" i="161" s="1"/>
  <c r="K27" i="161" a="1"/>
  <c r="K27" i="161" s="1"/>
  <c r="K31" i="161" a="1"/>
  <c r="K31" i="161" s="1"/>
  <c r="K26" i="161" a="1"/>
  <c r="K26" i="161" s="1"/>
  <c r="K30" i="161" a="1"/>
  <c r="K30" i="161" s="1"/>
  <c r="K34" i="161" a="1"/>
  <c r="K34" i="161" s="1"/>
  <c r="C38" i="161"/>
  <c r="L26" i="161" a="1"/>
  <c r="L26" i="161" s="1"/>
  <c r="L30" i="161" a="1"/>
  <c r="L30" i="161" s="1"/>
  <c r="L34" i="161" a="1"/>
  <c r="L34" i="161" s="1"/>
  <c r="L25" i="161" a="1"/>
  <c r="L25" i="161" s="1"/>
  <c r="L29" i="161" a="1"/>
  <c r="L29" i="161" s="1"/>
  <c r="L33" i="161" a="1"/>
  <c r="L33" i="161" s="1"/>
  <c r="L28" i="161" a="1"/>
  <c r="L28" i="161" s="1"/>
  <c r="L32" i="161" a="1"/>
  <c r="L32" i="161" s="1"/>
  <c r="L27" i="161" a="1"/>
  <c r="L27" i="161" s="1"/>
  <c r="L31" i="161" a="1"/>
  <c r="L31" i="161" s="1"/>
  <c r="F38" i="161"/>
  <c r="N38" i="161"/>
  <c r="M27" i="161" a="1"/>
  <c r="M27" i="161" s="1"/>
  <c r="M31" i="161" a="1"/>
  <c r="M31" i="161" s="1"/>
  <c r="M26" i="161" a="1"/>
  <c r="M26" i="161" s="1"/>
  <c r="M30" i="161" a="1"/>
  <c r="M30" i="161" s="1"/>
  <c r="M34" i="161" a="1"/>
  <c r="M34" i="161" s="1"/>
  <c r="M25" i="161" a="1"/>
  <c r="M25" i="161" s="1"/>
  <c r="M29" i="161" a="1"/>
  <c r="M29" i="161" s="1"/>
  <c r="M33" i="161" a="1"/>
  <c r="M33" i="161" s="1"/>
  <c r="M28" i="161" a="1"/>
  <c r="M28" i="161" s="1"/>
  <c r="M32" i="161" a="1"/>
  <c r="M32" i="161" s="1"/>
  <c r="V38" i="161"/>
  <c r="T38" i="161"/>
  <c r="H38" i="161"/>
  <c r="K28" i="160" a="1"/>
  <c r="K28" i="160" s="1"/>
  <c r="K32" i="160" a="1"/>
  <c r="K32" i="160" s="1"/>
  <c r="K27" i="160" a="1"/>
  <c r="K27" i="160" s="1"/>
  <c r="K31" i="160" a="1"/>
  <c r="K31" i="160" s="1"/>
  <c r="K26" i="160" a="1"/>
  <c r="K26" i="160" s="1"/>
  <c r="K29" i="160" a="1"/>
  <c r="K29" i="160" s="1"/>
  <c r="K25" i="160" a="1"/>
  <c r="K25" i="160" s="1"/>
  <c r="K33" i="160" a="1"/>
  <c r="K33" i="160" s="1"/>
  <c r="K34" i="160" a="1"/>
  <c r="K34" i="160" s="1"/>
  <c r="K30" i="160" a="1"/>
  <c r="K30" i="160" s="1"/>
  <c r="L25" i="160" a="1"/>
  <c r="L25" i="160" s="1"/>
  <c r="L29" i="160" a="1"/>
  <c r="L29" i="160" s="1"/>
  <c r="L33" i="160" a="1"/>
  <c r="L33" i="160" s="1"/>
  <c r="L28" i="160" a="1"/>
  <c r="L28" i="160" s="1"/>
  <c r="L32" i="160" a="1"/>
  <c r="L32" i="160" s="1"/>
  <c r="L26" i="160" a="1"/>
  <c r="L26" i="160" s="1"/>
  <c r="L30" i="160" a="1"/>
  <c r="L30" i="160" s="1"/>
  <c r="L31" i="160" a="1"/>
  <c r="L31" i="160" s="1"/>
  <c r="L34" i="160" a="1"/>
  <c r="L34" i="160" s="1"/>
  <c r="L27" i="160" a="1"/>
  <c r="L27" i="160" s="1"/>
  <c r="M26" i="160" a="1"/>
  <c r="M26" i="160" s="1"/>
  <c r="M30" i="160" a="1"/>
  <c r="M30" i="160" s="1"/>
  <c r="M34" i="160" a="1"/>
  <c r="M34" i="160" s="1"/>
  <c r="M25" i="160" a="1"/>
  <c r="M25" i="160" s="1"/>
  <c r="M29" i="160" a="1"/>
  <c r="M29" i="160" s="1"/>
  <c r="M33" i="160" a="1"/>
  <c r="M33" i="160" s="1"/>
  <c r="M32" i="160" a="1"/>
  <c r="M32" i="160" s="1"/>
  <c r="M28" i="160" a="1"/>
  <c r="M28" i="160" s="1"/>
  <c r="M27" i="160" a="1"/>
  <c r="M27" i="160" s="1"/>
  <c r="M31" i="160" a="1"/>
  <c r="M31" i="160" s="1"/>
  <c r="C38" i="159"/>
  <c r="P38" i="159"/>
  <c r="X38" i="159"/>
  <c r="K25" i="159" a="1"/>
  <c r="K25" i="159" s="1"/>
  <c r="K29" i="159" a="1"/>
  <c r="K29" i="159" s="1"/>
  <c r="K33" i="159" a="1"/>
  <c r="K33" i="159" s="1"/>
  <c r="K28" i="159" a="1"/>
  <c r="K28" i="159" s="1"/>
  <c r="K32" i="159" a="1"/>
  <c r="K32" i="159" s="1"/>
  <c r="K27" i="159" a="1"/>
  <c r="K27" i="159" s="1"/>
  <c r="K31" i="159" a="1"/>
  <c r="K31" i="159" s="1"/>
  <c r="K26" i="159" a="1"/>
  <c r="K26" i="159" s="1"/>
  <c r="K30" i="159" a="1"/>
  <c r="K30" i="159" s="1"/>
  <c r="K34" i="159" a="1"/>
  <c r="K34" i="159" s="1"/>
  <c r="E38" i="159"/>
  <c r="M38" i="159"/>
  <c r="L26" i="159" a="1"/>
  <c r="L26" i="159" s="1"/>
  <c r="L30" i="159" a="1"/>
  <c r="L30" i="159" s="1"/>
  <c r="L34" i="159" a="1"/>
  <c r="L34" i="159" s="1"/>
  <c r="L25" i="159" a="1"/>
  <c r="L25" i="159" s="1"/>
  <c r="L29" i="159" a="1"/>
  <c r="L29" i="159" s="1"/>
  <c r="L33" i="159" a="1"/>
  <c r="L33" i="159" s="1"/>
  <c r="L28" i="159" a="1"/>
  <c r="L28" i="159" s="1"/>
  <c r="L32" i="159" a="1"/>
  <c r="L32" i="159" s="1"/>
  <c r="L27" i="159" a="1"/>
  <c r="L27" i="159" s="1"/>
  <c r="L31" i="159" a="1"/>
  <c r="L31" i="159" s="1"/>
  <c r="M27" i="159" a="1"/>
  <c r="M27" i="159" s="1"/>
  <c r="M31" i="159" a="1"/>
  <c r="M31" i="159" s="1"/>
  <c r="M26" i="159" a="1"/>
  <c r="M26" i="159" s="1"/>
  <c r="M30" i="159" a="1"/>
  <c r="M30" i="159" s="1"/>
  <c r="M34" i="159" a="1"/>
  <c r="M34" i="159" s="1"/>
  <c r="M25" i="159" a="1"/>
  <c r="M25" i="159" s="1"/>
  <c r="M29" i="159" a="1"/>
  <c r="M29" i="159" s="1"/>
  <c r="M33" i="159" a="1"/>
  <c r="M33" i="159" s="1"/>
  <c r="M28" i="159" a="1"/>
  <c r="M28" i="159" s="1"/>
  <c r="M32" i="159" a="1"/>
  <c r="M32" i="159" s="1"/>
  <c r="S38" i="159"/>
  <c r="K38" i="159"/>
  <c r="H38" i="159"/>
  <c r="U38" i="159"/>
  <c r="D38" i="159"/>
  <c r="Z38" i="159"/>
  <c r="G38" i="161"/>
  <c r="O38" i="161"/>
  <c r="W38" i="161"/>
  <c r="E38" i="161"/>
  <c r="Q38" i="161"/>
  <c r="M38" i="161"/>
  <c r="Y38" i="161"/>
  <c r="L38" i="161"/>
  <c r="D38" i="161"/>
  <c r="X38" i="161"/>
  <c r="I38" i="161"/>
  <c r="B38" i="161"/>
  <c r="J38" i="161"/>
  <c r="R38" i="161"/>
  <c r="Z38" i="161"/>
  <c r="U38" i="161"/>
  <c r="S38" i="160"/>
  <c r="J38" i="160"/>
  <c r="W38" i="160"/>
  <c r="Z38" i="160"/>
  <c r="F38" i="159"/>
  <c r="J38" i="159"/>
  <c r="L38" i="159"/>
  <c r="N38" i="159"/>
  <c r="R38" i="159"/>
  <c r="T38" i="159"/>
  <c r="V38" i="159"/>
  <c r="V38" i="160"/>
  <c r="Q38" i="160"/>
  <c r="X38" i="160"/>
  <c r="L38" i="160"/>
  <c r="H38" i="160"/>
  <c r="U38" i="160"/>
  <c r="I38" i="160"/>
  <c r="B38" i="160"/>
  <c r="G38" i="160"/>
  <c r="K38" i="160"/>
  <c r="C38" i="160"/>
  <c r="O38" i="160"/>
  <c r="E38" i="160"/>
  <c r="Y38" i="160"/>
  <c r="M38" i="160"/>
  <c r="P38" i="160"/>
  <c r="D38" i="160"/>
  <c r="R38" i="160"/>
  <c r="F38" i="160"/>
  <c r="N38" i="160"/>
  <c r="T38" i="160"/>
  <c r="G38" i="159"/>
  <c r="O38" i="159"/>
  <c r="W38" i="159"/>
  <c r="I38" i="159"/>
  <c r="Q38" i="159"/>
  <c r="Y38" i="159"/>
  <c r="B38" i="159"/>
  <c r="A87" i="139"/>
  <c r="A86" i="139"/>
  <c r="A85" i="139"/>
  <c r="A84" i="139"/>
  <c r="A83" i="139"/>
  <c r="A82" i="139"/>
  <c r="A81" i="139"/>
  <c r="A80" i="139"/>
  <c r="A79" i="139"/>
  <c r="A78" i="139"/>
  <c r="A77" i="139"/>
  <c r="A76" i="139"/>
  <c r="A75" i="139"/>
  <c r="A74" i="139"/>
  <c r="A73" i="139"/>
  <c r="A72" i="139"/>
  <c r="A71" i="139"/>
  <c r="A70" i="139"/>
  <c r="A69" i="139"/>
  <c r="A68" i="139"/>
  <c r="A67" i="139"/>
  <c r="A66" i="139"/>
  <c r="A65" i="139"/>
  <c r="A64" i="139"/>
  <c r="A63" i="139"/>
  <c r="A62" i="139"/>
  <c r="A61" i="139"/>
  <c r="A60" i="139"/>
  <c r="A59" i="139"/>
  <c r="A58" i="139"/>
  <c r="A57" i="139"/>
  <c r="A56" i="139"/>
  <c r="A55" i="139"/>
  <c r="A54" i="139"/>
  <c r="A53" i="139"/>
  <c r="A52" i="139"/>
  <c r="A51" i="139"/>
  <c r="A50" i="139"/>
  <c r="A49" i="139"/>
  <c r="M25" i="139"/>
  <c r="L25" i="139"/>
  <c r="K25" i="139"/>
  <c r="J25" i="139"/>
  <c r="I25" i="139"/>
  <c r="H25" i="139"/>
  <c r="G25" i="139"/>
  <c r="F25" i="139"/>
  <c r="E25" i="139"/>
  <c r="D25" i="139"/>
  <c r="C25" i="139"/>
  <c r="B25" i="139"/>
  <c r="J20" i="139"/>
  <c r="I20" i="139"/>
  <c r="H20" i="139"/>
  <c r="G20" i="139"/>
  <c r="F20" i="139"/>
  <c r="E20" i="139"/>
  <c r="D20" i="139"/>
  <c r="C20" i="139"/>
  <c r="B20" i="139"/>
  <c r="C19" i="139"/>
  <c r="D19" i="139" s="1"/>
  <c r="E19" i="139" s="1"/>
  <c r="F19" i="139" s="1"/>
  <c r="G19" i="139" s="1"/>
  <c r="H19" i="139" s="1"/>
  <c r="I19" i="139" s="1"/>
  <c r="J19" i="139" s="1"/>
  <c r="K19" i="139" s="1"/>
  <c r="L19" i="139" s="1"/>
  <c r="M19" i="139" s="1"/>
  <c r="E9" i="183" l="1"/>
  <c r="E34" i="183"/>
  <c r="C34" i="183"/>
  <c r="E29" i="183"/>
  <c r="B30" i="183"/>
  <c r="B32" i="183"/>
  <c r="B35" i="183"/>
  <c r="D31" i="183"/>
  <c r="D34" i="183"/>
  <c r="B33" i="183"/>
  <c r="D28" i="183"/>
  <c r="B28" i="183"/>
  <c r="C29" i="183"/>
  <c r="C28" i="183"/>
  <c r="E31" i="183"/>
  <c r="D29" i="183"/>
  <c r="E33" i="183"/>
  <c r="C35" i="183"/>
  <c r="D35" i="183"/>
  <c r="D30" i="183"/>
  <c r="B34" i="183"/>
  <c r="E35" i="183"/>
  <c r="C33" i="183"/>
  <c r="D33" i="183"/>
  <c r="B31" i="183"/>
  <c r="E32" i="183"/>
  <c r="C32" i="183"/>
  <c r="E28" i="183"/>
  <c r="B29" i="183"/>
  <c r="C30" i="183"/>
  <c r="C31" i="183"/>
  <c r="C48" i="184"/>
  <c r="E17" i="184" s="1"/>
  <c r="C46" i="184"/>
  <c r="E15" i="184" s="1"/>
  <c r="B40" i="184"/>
  <c r="C45" i="184"/>
  <c r="E14" i="184" s="1"/>
  <c r="D45" i="184"/>
  <c r="F14" i="184" s="1"/>
  <c r="D40" i="184"/>
  <c r="C47" i="184"/>
  <c r="E16" i="184" s="1"/>
  <c r="D47" i="184"/>
  <c r="F16" i="184" s="1"/>
  <c r="D48" i="184"/>
  <c r="F17" i="184" s="1"/>
  <c r="D46" i="184"/>
  <c r="F15" i="184" s="1"/>
  <c r="C40" i="184"/>
  <c r="B48" i="184"/>
  <c r="D17" i="184" s="1"/>
  <c r="E40" i="184"/>
  <c r="D42" i="184"/>
  <c r="F11" i="184" s="1"/>
  <c r="B44" i="184"/>
  <c r="D13" i="184" s="1"/>
  <c r="B42" i="184"/>
  <c r="D11" i="184" s="1"/>
  <c r="B43" i="184"/>
  <c r="D12" i="184" s="1"/>
  <c r="B47" i="184"/>
  <c r="D16" i="184" s="1"/>
  <c r="B46" i="184"/>
  <c r="D15" i="184" s="1"/>
  <c r="B41" i="184"/>
  <c r="D10" i="184" s="1"/>
  <c r="B45" i="184"/>
  <c r="D14" i="184" s="1"/>
  <c r="E48" i="184"/>
  <c r="G17" i="184" s="1"/>
  <c r="E46" i="184"/>
  <c r="G15" i="184" s="1"/>
  <c r="D43" i="184"/>
  <c r="F12" i="184" s="1"/>
  <c r="E45" i="184"/>
  <c r="G14" i="184" s="1"/>
  <c r="E41" i="184"/>
  <c r="G10" i="184" s="1"/>
  <c r="C43" i="184"/>
  <c r="E12" i="184" s="1"/>
  <c r="C44" i="184"/>
  <c r="E13" i="184" s="1"/>
  <c r="D44" i="184"/>
  <c r="F13" i="184" s="1"/>
  <c r="E47" i="184"/>
  <c r="G16" i="184" s="1"/>
  <c r="E42" i="184"/>
  <c r="G11" i="184" s="1"/>
  <c r="D41" i="184"/>
  <c r="F10" i="184" s="1"/>
  <c r="E43" i="184"/>
  <c r="G12" i="184" s="1"/>
  <c r="C42" i="184"/>
  <c r="E11" i="184" s="1"/>
  <c r="C41" i="184"/>
  <c r="E10" i="184" s="1"/>
  <c r="E44" i="184"/>
  <c r="G13" i="184" s="1"/>
  <c r="O18" i="190" a="1"/>
  <c r="O18" i="190" s="1"/>
  <c r="N18" i="190" a="1"/>
  <c r="N18" i="190" s="1"/>
  <c r="E20" i="187"/>
  <c r="E13" i="187"/>
  <c r="E18" i="187"/>
  <c r="E16" i="187"/>
  <c r="E14" i="187"/>
  <c r="E21" i="187"/>
  <c r="E17" i="187"/>
  <c r="E19" i="187"/>
  <c r="E15" i="187"/>
  <c r="N16" i="190" a="1"/>
  <c r="N16" i="190" s="1"/>
  <c r="O16" i="190" a="1"/>
  <c r="O16" i="190" s="1"/>
  <c r="O22" i="190" a="1"/>
  <c r="O22" i="190" s="1"/>
  <c r="N22" i="190" a="1"/>
  <c r="N22" i="190" s="1"/>
  <c r="N21" i="190" a="1"/>
  <c r="N21" i="190" s="1"/>
  <c r="O21" i="190" a="1"/>
  <c r="O21" i="190" s="1"/>
  <c r="J71" i="193" a="1"/>
  <c r="J71" i="193" s="1"/>
  <c r="I70" i="193" a="1"/>
  <c r="I70" i="193" s="1"/>
  <c r="H69" i="193" a="1"/>
  <c r="H69" i="193" s="1"/>
  <c r="C69" i="193" a="1"/>
  <c r="C69" i="193" s="1"/>
  <c r="J67" i="193" a="1"/>
  <c r="J67" i="193" s="1"/>
  <c r="C71" i="193" a="1"/>
  <c r="C71" i="193" s="1"/>
  <c r="F70" i="193" a="1"/>
  <c r="F70" i="193" s="1"/>
  <c r="I69" i="193" a="1"/>
  <c r="I69" i="193" s="1"/>
  <c r="D69" i="193" a="1"/>
  <c r="D69" i="193" s="1"/>
  <c r="F68" i="193" a="1"/>
  <c r="F68" i="193" s="1"/>
  <c r="I67" i="193" a="1"/>
  <c r="I67" i="193" s="1"/>
  <c r="H66" i="193" a="1"/>
  <c r="H66" i="193" s="1"/>
  <c r="C66" i="193" a="1"/>
  <c r="C66" i="193" s="1"/>
  <c r="J64" i="193" a="1"/>
  <c r="J64" i="193" s="1"/>
  <c r="H22" i="193" s="1"/>
  <c r="I63" i="193" a="1"/>
  <c r="I63" i="193" s="1"/>
  <c r="G21" i="193" s="1"/>
  <c r="H71" i="193" a="1"/>
  <c r="H71" i="193" s="1"/>
  <c r="D67" i="193" a="1"/>
  <c r="D67" i="193" s="1"/>
  <c r="G66" i="193" a="1"/>
  <c r="G66" i="193" s="1"/>
  <c r="F65" i="193" a="1"/>
  <c r="F65" i="193" s="1"/>
  <c r="D23" i="193" s="1"/>
  <c r="E64" i="193" a="1"/>
  <c r="E64" i="193" s="1"/>
  <c r="D63" i="193" a="1"/>
  <c r="D63" i="193" s="1"/>
  <c r="G71" i="193" a="1"/>
  <c r="G71" i="193" s="1"/>
  <c r="J70" i="193" a="1"/>
  <c r="J70" i="193" s="1"/>
  <c r="E70" i="193" a="1"/>
  <c r="E70" i="193" s="1"/>
  <c r="G69" i="193" a="1"/>
  <c r="G69" i="193" s="1"/>
  <c r="J68" i="193" a="1"/>
  <c r="J68" i="193" s="1"/>
  <c r="E68" i="193" a="1"/>
  <c r="E68" i="193" s="1"/>
  <c r="H67" i="193" a="1"/>
  <c r="H67" i="193" s="1"/>
  <c r="C67" i="193" a="1"/>
  <c r="C67" i="193" s="1"/>
  <c r="J65" i="193" a="1"/>
  <c r="J65" i="193" s="1"/>
  <c r="H23" i="193" s="1"/>
  <c r="D70" i="193" a="1"/>
  <c r="D70" i="193" s="1"/>
  <c r="G67" i="193" a="1"/>
  <c r="G67" i="193" s="1"/>
  <c r="F66" i="193" a="1"/>
  <c r="F66" i="193" s="1"/>
  <c r="E65" i="193" a="1"/>
  <c r="E65" i="193" s="1"/>
  <c r="D64" i="193" a="1"/>
  <c r="D64" i="193" s="1"/>
  <c r="G63" i="193" a="1"/>
  <c r="G63" i="193" s="1"/>
  <c r="E21" i="193" s="1"/>
  <c r="F71" i="193" a="1"/>
  <c r="F71" i="193" s="1"/>
  <c r="C70" i="193" a="1"/>
  <c r="C70" i="193" s="1"/>
  <c r="F69" i="193" a="1"/>
  <c r="F69" i="193" s="1"/>
  <c r="I68" i="193" a="1"/>
  <c r="I68" i="193" s="1"/>
  <c r="D68" i="193" a="1"/>
  <c r="D68" i="193" s="1"/>
  <c r="J66" i="193" a="1"/>
  <c r="J66" i="193" s="1"/>
  <c r="I65" i="193" a="1"/>
  <c r="I65" i="193" s="1"/>
  <c r="G23" i="193" s="1"/>
  <c r="H64" i="193" a="1"/>
  <c r="H64" i="193" s="1"/>
  <c r="F22" i="193" s="1"/>
  <c r="F15" i="193" s="1"/>
  <c r="C64" i="193" a="1"/>
  <c r="C64" i="193" s="1"/>
  <c r="E71" i="193" a="1"/>
  <c r="E71" i="193" s="1"/>
  <c r="H70" i="193" a="1"/>
  <c r="H70" i="193" s="1"/>
  <c r="C68" i="193" a="1"/>
  <c r="C68" i="193" s="1"/>
  <c r="F67" i="193" a="1"/>
  <c r="F67" i="193" s="1"/>
  <c r="E66" i="193" a="1"/>
  <c r="E66" i="193" s="1"/>
  <c r="D65" i="193" a="1"/>
  <c r="D65" i="193" s="1"/>
  <c r="G64" i="193" a="1"/>
  <c r="G64" i="193" s="1"/>
  <c r="E22" i="193" s="1"/>
  <c r="F63" i="193" a="1"/>
  <c r="F63" i="193" s="1"/>
  <c r="D21" i="193" s="1"/>
  <c r="I71" i="193" a="1"/>
  <c r="I71" i="193" s="1"/>
  <c r="D71" i="193" a="1"/>
  <c r="D71" i="193" s="1"/>
  <c r="G68" i="193" a="1"/>
  <c r="G68" i="193" s="1"/>
  <c r="E67" i="193" a="1"/>
  <c r="E67" i="193" s="1"/>
  <c r="E69" i="193" a="1"/>
  <c r="E69" i="193" s="1"/>
  <c r="H65" i="193" a="1"/>
  <c r="H65" i="193" s="1"/>
  <c r="F23" i="193" s="1"/>
  <c r="H68" i="193" a="1"/>
  <c r="H68" i="193" s="1"/>
  <c r="G65" i="193" a="1"/>
  <c r="G65" i="193" s="1"/>
  <c r="E23" i="193" s="1"/>
  <c r="J63" i="193" a="1"/>
  <c r="J63" i="193" s="1"/>
  <c r="H21" i="193" s="1"/>
  <c r="C65" i="193" a="1"/>
  <c r="C65" i="193" s="1"/>
  <c r="H63" i="193" a="1"/>
  <c r="H63" i="193" s="1"/>
  <c r="F21" i="193" s="1"/>
  <c r="I66" i="193" a="1"/>
  <c r="I66" i="193" s="1"/>
  <c r="I64" i="193" a="1"/>
  <c r="I64" i="193" s="1"/>
  <c r="G22" i="193" s="1"/>
  <c r="E63" i="193" a="1"/>
  <c r="E63" i="193" s="1"/>
  <c r="J69" i="193" a="1"/>
  <c r="J69" i="193" s="1"/>
  <c r="D66" i="193" a="1"/>
  <c r="D66" i="193" s="1"/>
  <c r="F64" i="193" a="1"/>
  <c r="F64" i="193" s="1"/>
  <c r="D22" i="193" s="1"/>
  <c r="G70" i="193" a="1"/>
  <c r="G70" i="193" s="1"/>
  <c r="C63" i="193" a="1"/>
  <c r="C63" i="193" s="1"/>
  <c r="J79" i="188" a="1"/>
  <c r="J79" i="188" s="1"/>
  <c r="F79" i="188" a="1"/>
  <c r="F79" i="188" s="1"/>
  <c r="J78" i="188" a="1"/>
  <c r="J78" i="188" s="1"/>
  <c r="F78" i="188" a="1"/>
  <c r="F78" i="188" s="1"/>
  <c r="J77" i="188" a="1"/>
  <c r="J77" i="188" s="1"/>
  <c r="F77" i="188" a="1"/>
  <c r="F77" i="188" s="1"/>
  <c r="J76" i="188" a="1"/>
  <c r="J76" i="188" s="1"/>
  <c r="F76" i="188" a="1"/>
  <c r="F76" i="188" s="1"/>
  <c r="J75" i="188" a="1"/>
  <c r="J75" i="188" s="1"/>
  <c r="F75" i="188" a="1"/>
  <c r="F75" i="188" s="1"/>
  <c r="G74" i="188" a="1"/>
  <c r="G74" i="188" s="1"/>
  <c r="I73" i="188" a="1"/>
  <c r="I73" i="188" s="1"/>
  <c r="G24" i="188" s="1"/>
  <c r="J72" i="188" a="1"/>
  <c r="J72" i="188" s="1"/>
  <c r="H23" i="188" s="1"/>
  <c r="D72" i="188" a="1"/>
  <c r="D72" i="188" s="1"/>
  <c r="E79" i="188" a="1"/>
  <c r="E79" i="188" s="1"/>
  <c r="E78" i="188" a="1"/>
  <c r="E78" i="188" s="1"/>
  <c r="E77" i="188" a="1"/>
  <c r="E77" i="188" s="1"/>
  <c r="E76" i="188" a="1"/>
  <c r="E76" i="188" s="1"/>
  <c r="E75" i="188" a="1"/>
  <c r="E75" i="188" s="1"/>
  <c r="F74" i="188" a="1"/>
  <c r="F74" i="188" s="1"/>
  <c r="H73" i="188" a="1"/>
  <c r="H73" i="188" s="1"/>
  <c r="F24" i="188" s="1"/>
  <c r="C72" i="188" a="1"/>
  <c r="C72" i="188" s="1"/>
  <c r="E71" i="188" a="1"/>
  <c r="E71" i="188" s="1"/>
  <c r="D79" i="188" a="1"/>
  <c r="D79" i="188" s="1"/>
  <c r="D78" i="188" a="1"/>
  <c r="D78" i="188" s="1"/>
  <c r="D77" i="188" a="1"/>
  <c r="D77" i="188" s="1"/>
  <c r="D76" i="188" a="1"/>
  <c r="D76" i="188" s="1"/>
  <c r="D75" i="188" a="1"/>
  <c r="D75" i="188" s="1"/>
  <c r="G73" i="188" a="1"/>
  <c r="G73" i="188" s="1"/>
  <c r="E24" i="188" s="1"/>
  <c r="I72" i="188" a="1"/>
  <c r="I72" i="188" s="1"/>
  <c r="G23" i="188" s="1"/>
  <c r="J71" i="188" a="1"/>
  <c r="J71" i="188" s="1"/>
  <c r="H22" i="188" s="1"/>
  <c r="D71" i="188" a="1"/>
  <c r="D71" i="188" s="1"/>
  <c r="C79" i="188" a="1"/>
  <c r="C79" i="188" s="1"/>
  <c r="C78" i="188" a="1"/>
  <c r="C78" i="188" s="1"/>
  <c r="C77" i="188" a="1"/>
  <c r="C77" i="188" s="1"/>
  <c r="C76" i="188" a="1"/>
  <c r="C76" i="188" s="1"/>
  <c r="C75" i="188" a="1"/>
  <c r="C75" i="188" s="1"/>
  <c r="E74" i="188" a="1"/>
  <c r="E74" i="188" s="1"/>
  <c r="F73" i="188" a="1"/>
  <c r="F73" i="188" s="1"/>
  <c r="D24" i="188" s="1"/>
  <c r="H72" i="188" a="1"/>
  <c r="H72" i="188" s="1"/>
  <c r="F23" i="188" s="1"/>
  <c r="C71" i="188" a="1"/>
  <c r="C71" i="188" s="1"/>
  <c r="J74" i="188" a="1"/>
  <c r="J74" i="188" s="1"/>
  <c r="D74" i="188" a="1"/>
  <c r="D74" i="188" s="1"/>
  <c r="G72" i="188" a="1"/>
  <c r="G72" i="188" s="1"/>
  <c r="E23" i="188" s="1"/>
  <c r="I71" i="188" a="1"/>
  <c r="I71" i="188" s="1"/>
  <c r="G22" i="188" s="1"/>
  <c r="I79" i="188" a="1"/>
  <c r="I79" i="188" s="1"/>
  <c r="I78" i="188" a="1"/>
  <c r="I78" i="188" s="1"/>
  <c r="I77" i="188" a="1"/>
  <c r="I77" i="188" s="1"/>
  <c r="I76" i="188" a="1"/>
  <c r="I76" i="188" s="1"/>
  <c r="I75" i="188" a="1"/>
  <c r="I75" i="188" s="1"/>
  <c r="C74" i="188" a="1"/>
  <c r="C74" i="188" s="1"/>
  <c r="E73" i="188" a="1"/>
  <c r="E73" i="188" s="1"/>
  <c r="F72" i="188" a="1"/>
  <c r="F72" i="188" s="1"/>
  <c r="D23" i="188" s="1"/>
  <c r="H71" i="188" a="1"/>
  <c r="H71" i="188" s="1"/>
  <c r="F22" i="188" s="1"/>
  <c r="H79" i="188" a="1"/>
  <c r="H79" i="188" s="1"/>
  <c r="H78" i="188" a="1"/>
  <c r="H78" i="188" s="1"/>
  <c r="H77" i="188" a="1"/>
  <c r="H77" i="188" s="1"/>
  <c r="H76" i="188" a="1"/>
  <c r="H76" i="188" s="1"/>
  <c r="H75" i="188" a="1"/>
  <c r="H75" i="188" s="1"/>
  <c r="I74" i="188" a="1"/>
  <c r="I74" i="188" s="1"/>
  <c r="J73" i="188" a="1"/>
  <c r="J73" i="188" s="1"/>
  <c r="H24" i="188" s="1"/>
  <c r="D73" i="188" a="1"/>
  <c r="D73" i="188" s="1"/>
  <c r="G71" i="188" a="1"/>
  <c r="G71" i="188" s="1"/>
  <c r="E22" i="188" s="1"/>
  <c r="G79" i="188" a="1"/>
  <c r="G79" i="188" s="1"/>
  <c r="G78" i="188" a="1"/>
  <c r="G78" i="188" s="1"/>
  <c r="G77" i="188" a="1"/>
  <c r="G77" i="188" s="1"/>
  <c r="G76" i="188" a="1"/>
  <c r="G76" i="188" s="1"/>
  <c r="G75" i="188" a="1"/>
  <c r="G75" i="188" s="1"/>
  <c r="H74" i="188" a="1"/>
  <c r="H74" i="188" s="1"/>
  <c r="C73" i="188" a="1"/>
  <c r="C73" i="188" s="1"/>
  <c r="E72" i="188" a="1"/>
  <c r="E72" i="188" s="1"/>
  <c r="F71" i="188" a="1"/>
  <c r="F71" i="188" s="1"/>
  <c r="D22" i="188" s="1"/>
  <c r="N19" i="190" a="1"/>
  <c r="N19" i="190" s="1"/>
  <c r="O19" i="190" a="1"/>
  <c r="O19" i="190" s="1"/>
  <c r="E21" i="185"/>
  <c r="E18" i="185"/>
  <c r="E15" i="185"/>
  <c r="E13" i="185"/>
  <c r="E17" i="185"/>
  <c r="E14" i="185"/>
  <c r="E19" i="185"/>
  <c r="E16" i="185"/>
  <c r="E20" i="185"/>
  <c r="O20" i="190" a="1"/>
  <c r="O20" i="190" s="1"/>
  <c r="N20" i="190" a="1"/>
  <c r="N20" i="190" s="1"/>
  <c r="D20" i="185"/>
  <c r="D16" i="185"/>
  <c r="D21" i="185"/>
  <c r="D18" i="185"/>
  <c r="D15" i="185"/>
  <c r="D19" i="185"/>
  <c r="D13" i="185"/>
  <c r="D17" i="185"/>
  <c r="D14" i="185"/>
  <c r="N17" i="190" a="1"/>
  <c r="N17" i="190" s="1"/>
  <c r="O17" i="190" a="1"/>
  <c r="O17" i="190" s="1"/>
  <c r="D21" i="187"/>
  <c r="D17" i="187"/>
  <c r="D13" i="187"/>
  <c r="D19" i="187"/>
  <c r="D15" i="187"/>
  <c r="D20" i="187"/>
  <c r="D18" i="187"/>
  <c r="D16" i="187"/>
  <c r="D14" i="187"/>
  <c r="D17" i="186"/>
  <c r="D14" i="186"/>
  <c r="D22" i="186"/>
  <c r="D19" i="186"/>
  <c r="D13" i="186"/>
  <c r="D16" i="186"/>
  <c r="D21" i="186"/>
  <c r="D18" i="186"/>
  <c r="D15" i="186"/>
  <c r="D20" i="186"/>
  <c r="E19" i="186"/>
  <c r="E15" i="186"/>
  <c r="E21" i="186"/>
  <c r="E18" i="186"/>
  <c r="E16" i="186"/>
  <c r="E13" i="186"/>
  <c r="E20" i="186"/>
  <c r="E17" i="186"/>
  <c r="E14" i="186"/>
  <c r="L41" i="161" a="1"/>
  <c r="L41" i="161" s="1"/>
  <c r="L42" i="161" a="1"/>
  <c r="L42" i="161" s="1"/>
  <c r="L43" i="161" a="1"/>
  <c r="L43" i="161" s="1"/>
  <c r="L44" i="161" a="1"/>
  <c r="L44" i="161" s="1"/>
  <c r="L39" i="161" a="1"/>
  <c r="L39" i="161" s="1"/>
  <c r="L40" i="161" a="1"/>
  <c r="L40" i="161" s="1"/>
  <c r="Z39" i="161" a="1"/>
  <c r="Z39" i="161" s="1"/>
  <c r="Z43" i="161" a="1"/>
  <c r="Z43" i="161" s="1"/>
  <c r="Z42" i="161" a="1"/>
  <c r="Z42" i="161" s="1"/>
  <c r="Z40" i="161" a="1"/>
  <c r="Z40" i="161" s="1"/>
  <c r="Z44" i="161" a="1"/>
  <c r="Z44" i="161" s="1"/>
  <c r="Z41" i="161" a="1"/>
  <c r="Z41" i="161" s="1"/>
  <c r="Y42" i="161" a="1"/>
  <c r="Y42" i="161" s="1"/>
  <c r="Y43" i="161" a="1"/>
  <c r="Y43" i="161" s="1"/>
  <c r="Y39" i="161" a="1"/>
  <c r="Y39" i="161" s="1"/>
  <c r="Y40" i="161" a="1"/>
  <c r="Y40" i="161" s="1"/>
  <c r="Y41" i="161" a="1"/>
  <c r="Y41" i="161" s="1"/>
  <c r="Y44" i="161" a="1"/>
  <c r="Y44" i="161" s="1"/>
  <c r="M41" i="161" a="1"/>
  <c r="M41" i="161" s="1"/>
  <c r="M43" i="161" a="1"/>
  <c r="M43" i="161" s="1"/>
  <c r="M39" i="161" a="1"/>
  <c r="M39" i="161" s="1"/>
  <c r="M40" i="161" a="1"/>
  <c r="M40" i="161" s="1"/>
  <c r="M42" i="161" a="1"/>
  <c r="M42" i="161" s="1"/>
  <c r="M44" i="161" a="1"/>
  <c r="M44" i="161" s="1"/>
  <c r="N42" i="161" a="1"/>
  <c r="N42" i="161" s="1"/>
  <c r="N41" i="161" a="1"/>
  <c r="N41" i="161" s="1"/>
  <c r="N43" i="161" a="1"/>
  <c r="N43" i="161" s="1"/>
  <c r="N40" i="161" a="1"/>
  <c r="N40" i="161" s="1"/>
  <c r="N44" i="161" a="1"/>
  <c r="N44" i="161" s="1"/>
  <c r="N39" i="161" a="1"/>
  <c r="N39" i="161" s="1"/>
  <c r="X39" i="161" a="1"/>
  <c r="X39" i="161" s="1"/>
  <c r="X40" i="161" a="1"/>
  <c r="X40" i="161" s="1"/>
  <c r="X41" i="161" a="1"/>
  <c r="X41" i="161" s="1"/>
  <c r="X42" i="161" a="1"/>
  <c r="X42" i="161" s="1"/>
  <c r="X43" i="161" a="1"/>
  <c r="X43" i="161" s="1"/>
  <c r="X44" i="161" a="1"/>
  <c r="X44" i="161" s="1"/>
  <c r="M41" i="160" a="1"/>
  <c r="M41" i="160" s="1"/>
  <c r="M43" i="160" a="1"/>
  <c r="M43" i="160" s="1"/>
  <c r="M44" i="160" a="1"/>
  <c r="M44" i="160" s="1"/>
  <c r="M45" i="160" a="1"/>
  <c r="M45" i="160" s="1"/>
  <c r="M46" i="160" a="1"/>
  <c r="M46" i="160" s="1"/>
  <c r="M47" i="160" a="1"/>
  <c r="M47" i="160" s="1"/>
  <c r="M42" i="160" a="1"/>
  <c r="M42" i="160" s="1"/>
  <c r="M39" i="160" a="1"/>
  <c r="M39" i="160" s="1"/>
  <c r="M40" i="160" a="1"/>
  <c r="M40" i="160" s="1"/>
  <c r="Y41" i="160" a="1"/>
  <c r="Y41" i="160" s="1"/>
  <c r="Y40" i="160" a="1"/>
  <c r="Y40" i="160" s="1"/>
  <c r="Y39" i="160" a="1"/>
  <c r="Y39" i="160" s="1"/>
  <c r="Y42" i="160" a="1"/>
  <c r="Y42" i="160" s="1"/>
  <c r="Y43" i="160" a="1"/>
  <c r="Y43" i="160" s="1"/>
  <c r="Y44" i="160" a="1"/>
  <c r="Y44" i="160" s="1"/>
  <c r="Y45" i="160" a="1"/>
  <c r="Y45" i="160" s="1"/>
  <c r="Y46" i="160" a="1"/>
  <c r="Y46" i="160" s="1"/>
  <c r="Y47" i="160" a="1"/>
  <c r="Y47" i="160" s="1"/>
  <c r="N41" i="160" a="1"/>
  <c r="N41" i="160" s="1"/>
  <c r="N42" i="160" a="1"/>
  <c r="N42" i="160" s="1"/>
  <c r="N43" i="160" a="1"/>
  <c r="N43" i="160" s="1"/>
  <c r="N44" i="160" a="1"/>
  <c r="N44" i="160" s="1"/>
  <c r="N45" i="160" a="1"/>
  <c r="N45" i="160" s="1"/>
  <c r="N46" i="160" a="1"/>
  <c r="N46" i="160" s="1"/>
  <c r="N47" i="160" a="1"/>
  <c r="N47" i="160" s="1"/>
  <c r="N39" i="160" a="1"/>
  <c r="N39" i="160" s="1"/>
  <c r="N40" i="160" a="1"/>
  <c r="N40" i="160" s="1"/>
  <c r="L39" i="160" a="1"/>
  <c r="L39" i="160" s="1"/>
  <c r="L40" i="160" a="1"/>
  <c r="L40" i="160" s="1"/>
  <c r="L41" i="160" a="1"/>
  <c r="L41" i="160" s="1"/>
  <c r="L42" i="160" a="1"/>
  <c r="L42" i="160" s="1"/>
  <c r="L43" i="160" a="1"/>
  <c r="L43" i="160" s="1"/>
  <c r="L44" i="160" a="1"/>
  <c r="L44" i="160" s="1"/>
  <c r="L45" i="160" a="1"/>
  <c r="L45" i="160" s="1"/>
  <c r="L46" i="160" a="1"/>
  <c r="L46" i="160" s="1"/>
  <c r="L47" i="160" a="1"/>
  <c r="L47" i="160" s="1"/>
  <c r="X39" i="160" a="1"/>
  <c r="X39" i="160" s="1"/>
  <c r="X40" i="160" a="1"/>
  <c r="X40" i="160" s="1"/>
  <c r="X41" i="160" a="1"/>
  <c r="X41" i="160" s="1"/>
  <c r="X42" i="160" a="1"/>
  <c r="X42" i="160" s="1"/>
  <c r="X43" i="160" a="1"/>
  <c r="X43" i="160" s="1"/>
  <c r="X44" i="160" a="1"/>
  <c r="X44" i="160" s="1"/>
  <c r="X45" i="160" a="1"/>
  <c r="X45" i="160" s="1"/>
  <c r="X46" i="160" a="1"/>
  <c r="X46" i="160" s="1"/>
  <c r="X47" i="160" a="1"/>
  <c r="X47" i="160" s="1"/>
  <c r="Z40" i="160" a="1"/>
  <c r="Z40" i="160" s="1"/>
  <c r="Z41" i="160" a="1"/>
  <c r="Z41" i="160" s="1"/>
  <c r="Z39" i="160" a="1"/>
  <c r="Z39" i="160" s="1"/>
  <c r="Z43" i="160" a="1"/>
  <c r="Z43" i="160" s="1"/>
  <c r="Z46" i="160" a="1"/>
  <c r="Z46" i="160" s="1"/>
  <c r="Z42" i="160" a="1"/>
  <c r="Z42" i="160" s="1"/>
  <c r="Z44" i="160" a="1"/>
  <c r="Z44" i="160" s="1"/>
  <c r="Z45" i="160" a="1"/>
  <c r="Z45" i="160" s="1"/>
  <c r="Z47" i="160" a="1"/>
  <c r="Z47" i="160" s="1"/>
  <c r="M39" i="159" a="1"/>
  <c r="M39" i="159" s="1"/>
  <c r="M40" i="159" a="1"/>
  <c r="M40" i="159" s="1"/>
  <c r="M44" i="159" a="1"/>
  <c r="M44" i="159" s="1"/>
  <c r="M46" i="159" a="1"/>
  <c r="M46" i="159" s="1"/>
  <c r="M45" i="159" a="1"/>
  <c r="M45" i="159" s="1"/>
  <c r="M41" i="159" a="1"/>
  <c r="M41" i="159" s="1"/>
  <c r="M42" i="159" a="1"/>
  <c r="M42" i="159" s="1"/>
  <c r="M43" i="159" a="1"/>
  <c r="M43" i="159" s="1"/>
  <c r="N40" i="159" a="1"/>
  <c r="N40" i="159" s="1"/>
  <c r="N39" i="159" a="1"/>
  <c r="N39" i="159" s="1"/>
  <c r="N45" i="159" a="1"/>
  <c r="N45" i="159" s="1"/>
  <c r="N44" i="159" a="1"/>
  <c r="N44" i="159" s="1"/>
  <c r="N46" i="159" a="1"/>
  <c r="N46" i="159" s="1"/>
  <c r="N41" i="159" a="1"/>
  <c r="N41" i="159" s="1"/>
  <c r="N42" i="159" a="1"/>
  <c r="N42" i="159" s="1"/>
  <c r="N43" i="159" a="1"/>
  <c r="N43" i="159" s="1"/>
  <c r="L39" i="159" a="1"/>
  <c r="L39" i="159" s="1"/>
  <c r="L40" i="159" a="1"/>
  <c r="L40" i="159" s="1"/>
  <c r="L41" i="159" a="1"/>
  <c r="L41" i="159" s="1"/>
  <c r="L42" i="159" a="1"/>
  <c r="L42" i="159" s="1"/>
  <c r="L43" i="159" a="1"/>
  <c r="L43" i="159" s="1"/>
  <c r="L44" i="159" a="1"/>
  <c r="L44" i="159" s="1"/>
  <c r="L46" i="159" a="1"/>
  <c r="L46" i="159" s="1"/>
  <c r="L45" i="159" a="1"/>
  <c r="L45" i="159" s="1"/>
  <c r="Y39" i="159" a="1"/>
  <c r="Y39" i="159" s="1"/>
  <c r="Y40" i="159" a="1"/>
  <c r="Y40" i="159" s="1"/>
  <c r="Y44" i="159" a="1"/>
  <c r="Y44" i="159" s="1"/>
  <c r="Y41" i="159" a="1"/>
  <c r="Y41" i="159" s="1"/>
  <c r="Y42" i="159" a="1"/>
  <c r="Y42" i="159" s="1"/>
  <c r="Y43" i="159" a="1"/>
  <c r="Y43" i="159" s="1"/>
  <c r="Y46" i="159" a="1"/>
  <c r="Y46" i="159" s="1"/>
  <c r="Y45" i="159" a="1"/>
  <c r="Y45" i="159" s="1"/>
  <c r="Z39" i="159" a="1"/>
  <c r="Z39" i="159" s="1"/>
  <c r="Z44" i="159" a="1"/>
  <c r="Z44" i="159" s="1"/>
  <c r="Z42" i="159" a="1"/>
  <c r="Z42" i="159" s="1"/>
  <c r="Z43" i="159" a="1"/>
  <c r="Z43" i="159" s="1"/>
  <c r="Z40" i="159" a="1"/>
  <c r="Z40" i="159" s="1"/>
  <c r="Z41" i="159" a="1"/>
  <c r="Z41" i="159" s="1"/>
  <c r="Z46" i="159" a="1"/>
  <c r="Z46" i="159" s="1"/>
  <c r="Z45" i="159" a="1"/>
  <c r="Z45" i="159" s="1"/>
  <c r="X42" i="159" a="1"/>
  <c r="X42" i="159" s="1"/>
  <c r="X39" i="159" a="1"/>
  <c r="X39" i="159" s="1"/>
  <c r="X40" i="159" a="1"/>
  <c r="X40" i="159" s="1"/>
  <c r="X41" i="159" a="1"/>
  <c r="X41" i="159" s="1"/>
  <c r="X43" i="159" a="1"/>
  <c r="X43" i="159" s="1"/>
  <c r="X44" i="159" a="1"/>
  <c r="X44" i="159" s="1"/>
  <c r="X46" i="159" a="1"/>
  <c r="X46" i="159" s="1"/>
  <c r="X45" i="159" a="1"/>
  <c r="X45" i="159" s="1"/>
  <c r="K26" i="139" a="1"/>
  <c r="K26" i="139" s="1"/>
  <c r="K30" i="139" a="1"/>
  <c r="K30" i="139" s="1"/>
  <c r="K34" i="139" a="1"/>
  <c r="K34" i="139" s="1"/>
  <c r="K29" i="139" a="1"/>
  <c r="K29" i="139" s="1"/>
  <c r="K33" i="139" a="1"/>
  <c r="K33" i="139" s="1"/>
  <c r="K28" i="139" a="1"/>
  <c r="K28" i="139" s="1"/>
  <c r="K32" i="139" a="1"/>
  <c r="K32" i="139" s="1"/>
  <c r="K27" i="139" a="1"/>
  <c r="K27" i="139" s="1"/>
  <c r="K31" i="139" a="1"/>
  <c r="K31" i="139" s="1"/>
  <c r="K35" i="139" a="1"/>
  <c r="K35" i="139" s="1"/>
  <c r="L27" i="139" a="1"/>
  <c r="L27" i="139" s="1"/>
  <c r="L31" i="139" a="1"/>
  <c r="L31" i="139" s="1"/>
  <c r="L35" i="139" a="1"/>
  <c r="L35" i="139" s="1"/>
  <c r="L26" i="139" a="1"/>
  <c r="L26" i="139" s="1"/>
  <c r="L30" i="139" a="1"/>
  <c r="L30" i="139" s="1"/>
  <c r="L34" i="139" a="1"/>
  <c r="L34" i="139" s="1"/>
  <c r="L29" i="139" a="1"/>
  <c r="L29" i="139" s="1"/>
  <c r="L33" i="139" a="1"/>
  <c r="L33" i="139" s="1"/>
  <c r="L28" i="139" a="1"/>
  <c r="L28" i="139" s="1"/>
  <c r="L32" i="139" a="1"/>
  <c r="L32" i="139" s="1"/>
  <c r="M28" i="139" a="1"/>
  <c r="M28" i="139" s="1"/>
  <c r="M32" i="139" a="1"/>
  <c r="M32" i="139" s="1"/>
  <c r="M27" i="139" a="1"/>
  <c r="M27" i="139" s="1"/>
  <c r="M31" i="139" a="1"/>
  <c r="M31" i="139" s="1"/>
  <c r="M35" i="139" a="1"/>
  <c r="M35" i="139" s="1"/>
  <c r="M26" i="139" a="1"/>
  <c r="M26" i="139" s="1"/>
  <c r="M30" i="139" a="1"/>
  <c r="M30" i="139" s="1"/>
  <c r="M34" i="139" a="1"/>
  <c r="M34" i="139" s="1"/>
  <c r="M29" i="139" a="1"/>
  <c r="M29" i="139" s="1"/>
  <c r="M33" i="139" a="1"/>
  <c r="M33" i="139" s="1"/>
  <c r="A203" i="160"/>
  <c r="A216" i="160"/>
  <c r="A176" i="160"/>
  <c r="A73" i="160"/>
  <c r="A136" i="160"/>
  <c r="A184" i="160"/>
  <c r="A99" i="160"/>
  <c r="A96" i="160"/>
  <c r="A155" i="160"/>
  <c r="A128" i="160"/>
  <c r="A209" i="160"/>
  <c r="A161" i="160"/>
  <c r="A113" i="160"/>
  <c r="A153" i="160"/>
  <c r="A193" i="160"/>
  <c r="A105" i="160"/>
  <c r="A187" i="160"/>
  <c r="A139" i="160"/>
  <c r="A201" i="160"/>
  <c r="A91" i="160"/>
  <c r="A131" i="160"/>
  <c r="A171" i="160"/>
  <c r="A83" i="160"/>
  <c r="A168" i="160"/>
  <c r="A120" i="160"/>
  <c r="A179" i="160"/>
  <c r="A57" i="160"/>
  <c r="A72" i="160"/>
  <c r="A112" i="160"/>
  <c r="A152" i="160"/>
  <c r="A144" i="160"/>
  <c r="A64" i="160"/>
  <c r="A145" i="160"/>
  <c r="A97" i="160"/>
  <c r="A160" i="160"/>
  <c r="A219" i="160"/>
  <c r="A89" i="160"/>
  <c r="A129" i="160"/>
  <c r="A211" i="160"/>
  <c r="A123" i="160"/>
  <c r="A121" i="160"/>
  <c r="A75" i="160"/>
  <c r="A137" i="160"/>
  <c r="A200" i="160"/>
  <c r="A185" i="160"/>
  <c r="A67" i="160"/>
  <c r="A107" i="160"/>
  <c r="A192" i="160"/>
  <c r="A208" i="160"/>
  <c r="A104" i="160"/>
  <c r="A56" i="160"/>
  <c r="A115" i="160"/>
  <c r="A177" i="160"/>
  <c r="A217" i="160"/>
  <c r="A88" i="160"/>
  <c r="A169" i="160"/>
  <c r="A80" i="160"/>
  <c r="A81" i="160"/>
  <c r="A195" i="160"/>
  <c r="A163" i="160"/>
  <c r="A65" i="160"/>
  <c r="A147" i="160"/>
  <c r="A59" i="160"/>
  <c r="A108" i="160"/>
  <c r="A172" i="160"/>
  <c r="A85" i="160"/>
  <c r="A149" i="160"/>
  <c r="A213" i="160"/>
  <c r="A70" i="160"/>
  <c r="A134" i="160"/>
  <c r="A198" i="160"/>
  <c r="A55" i="160"/>
  <c r="A119" i="160"/>
  <c r="A183" i="160"/>
  <c r="A52" i="160"/>
  <c r="A116" i="160"/>
  <c r="A180" i="160"/>
  <c r="A93" i="160"/>
  <c r="A60" i="160"/>
  <c r="A124" i="160"/>
  <c r="A188" i="160"/>
  <c r="A101" i="160"/>
  <c r="A165" i="160"/>
  <c r="A86" i="160"/>
  <c r="A150" i="160"/>
  <c r="A214" i="160"/>
  <c r="A71" i="160"/>
  <c r="A135" i="160"/>
  <c r="A199" i="160"/>
  <c r="A157" i="160"/>
  <c r="A84" i="160"/>
  <c r="A148" i="160"/>
  <c r="A212" i="160"/>
  <c r="A100" i="160"/>
  <c r="A164" i="160"/>
  <c r="A106" i="160"/>
  <c r="A170" i="160"/>
  <c r="A221" i="160"/>
  <c r="A78" i="160"/>
  <c r="A142" i="160"/>
  <c r="A206" i="160"/>
  <c r="A58" i="160"/>
  <c r="A122" i="160"/>
  <c r="A186" i="160"/>
  <c r="A76" i="160"/>
  <c r="A140" i="160"/>
  <c r="A204" i="160"/>
  <c r="A53" i="160"/>
  <c r="A61" i="160"/>
  <c r="A125" i="160"/>
  <c r="A189" i="160"/>
  <c r="A110" i="160"/>
  <c r="A174" i="160"/>
  <c r="A95" i="160"/>
  <c r="A159" i="160"/>
  <c r="A82" i="160"/>
  <c r="A146" i="160"/>
  <c r="A210" i="160"/>
  <c r="A92" i="160"/>
  <c r="A156" i="160"/>
  <c r="A220" i="160"/>
  <c r="A69" i="160"/>
  <c r="A133" i="160"/>
  <c r="A197" i="160"/>
  <c r="A117" i="160"/>
  <c r="A68" i="160"/>
  <c r="A132" i="160"/>
  <c r="A196" i="160"/>
  <c r="A51" i="160"/>
  <c r="A109" i="160"/>
  <c r="A173" i="160"/>
  <c r="A94" i="160"/>
  <c r="A158" i="160"/>
  <c r="A222" i="160"/>
  <c r="A79" i="160"/>
  <c r="A143" i="160"/>
  <c r="A207" i="160"/>
  <c r="A66" i="160"/>
  <c r="A130" i="160"/>
  <c r="A194" i="160"/>
  <c r="A181" i="160"/>
  <c r="A102" i="160"/>
  <c r="A166" i="160"/>
  <c r="A87" i="160"/>
  <c r="A151" i="160"/>
  <c r="A215" i="160"/>
  <c r="A74" i="160"/>
  <c r="A138" i="160"/>
  <c r="A202" i="160"/>
  <c r="A54" i="160"/>
  <c r="A118" i="160"/>
  <c r="A182" i="160"/>
  <c r="A103" i="160"/>
  <c r="A167" i="160"/>
  <c r="A90" i="160"/>
  <c r="A154" i="160"/>
  <c r="A218" i="160"/>
  <c r="A77" i="160"/>
  <c r="A141" i="160"/>
  <c r="A205" i="160"/>
  <c r="A62" i="160"/>
  <c r="A126" i="160"/>
  <c r="A190" i="160"/>
  <c r="A111" i="160"/>
  <c r="A175" i="160"/>
  <c r="A98" i="160"/>
  <c r="A162" i="160"/>
  <c r="A63" i="160"/>
  <c r="A127" i="160"/>
  <c r="A191" i="160"/>
  <c r="A114" i="160"/>
  <c r="A178" i="160"/>
  <c r="R39" i="139"/>
  <c r="F39" i="139"/>
  <c r="Z39" i="139"/>
  <c r="N39" i="139"/>
  <c r="S39" i="139"/>
  <c r="G39" i="139"/>
  <c r="H39" i="139"/>
  <c r="T39" i="139"/>
  <c r="I39" i="139"/>
  <c r="U39" i="139"/>
  <c r="J39" i="139"/>
  <c r="V39" i="139"/>
  <c r="B39" i="139"/>
  <c r="O39" i="139"/>
  <c r="C39" i="139"/>
  <c r="K39" i="139"/>
  <c r="W39" i="139"/>
  <c r="P39" i="139"/>
  <c r="D39" i="139"/>
  <c r="X39" i="139"/>
  <c r="L39" i="139"/>
  <c r="Q39" i="139"/>
  <c r="E39" i="139"/>
  <c r="Y39" i="139"/>
  <c r="M39" i="139"/>
  <c r="J25" i="46"/>
  <c r="K25" i="46"/>
  <c r="L25" i="46"/>
  <c r="M25" i="46"/>
  <c r="J26" i="46"/>
  <c r="K26" i="46"/>
  <c r="L26" i="46"/>
  <c r="M26" i="46"/>
  <c r="J27" i="46"/>
  <c r="K27" i="46"/>
  <c r="L27" i="46"/>
  <c r="M27" i="46"/>
  <c r="J28" i="46"/>
  <c r="K28" i="46"/>
  <c r="L28" i="46"/>
  <c r="M28" i="46"/>
  <c r="J29" i="46"/>
  <c r="K29" i="46"/>
  <c r="L29" i="46"/>
  <c r="M29" i="46"/>
  <c r="J30" i="46"/>
  <c r="K30" i="46"/>
  <c r="L30" i="46"/>
  <c r="M30" i="46"/>
  <c r="J31" i="46"/>
  <c r="K31" i="46"/>
  <c r="L31" i="46"/>
  <c r="M31" i="46"/>
  <c r="J32" i="46"/>
  <c r="K32" i="46"/>
  <c r="L32" i="46"/>
  <c r="M32" i="46"/>
  <c r="J33" i="46"/>
  <c r="K33" i="46"/>
  <c r="L33" i="46"/>
  <c r="M33" i="46"/>
  <c r="J34" i="46"/>
  <c r="K34" i="46"/>
  <c r="L34" i="46"/>
  <c r="M34" i="46"/>
  <c r="D11" i="42"/>
  <c r="B13" i="40"/>
  <c r="A68" i="40"/>
  <c r="P38" i="40"/>
  <c r="Q38" i="40"/>
  <c r="R38" i="40"/>
  <c r="S38" i="40"/>
  <c r="T38" i="40"/>
  <c r="U38" i="40"/>
  <c r="V38" i="40"/>
  <c r="W38" i="40"/>
  <c r="X38" i="40"/>
  <c r="Y38" i="40"/>
  <c r="Z38" i="40"/>
  <c r="Z45" i="40" s="1" a="1"/>
  <c r="Z45" i="40" s="1"/>
  <c r="O38" i="40"/>
  <c r="D38" i="40"/>
  <c r="E38" i="40"/>
  <c r="F38" i="40"/>
  <c r="G38" i="40"/>
  <c r="H38" i="40"/>
  <c r="I38" i="40"/>
  <c r="J38" i="40"/>
  <c r="K38" i="40"/>
  <c r="L38" i="40"/>
  <c r="M38" i="40"/>
  <c r="N38" i="40"/>
  <c r="C38" i="40"/>
  <c r="B38" i="40"/>
  <c r="D11" i="40"/>
  <c r="D11" i="41"/>
  <c r="B13" i="41"/>
  <c r="P38" i="41"/>
  <c r="Q38" i="41"/>
  <c r="R38" i="41"/>
  <c r="S38" i="41"/>
  <c r="T38" i="41"/>
  <c r="U38" i="41"/>
  <c r="V38" i="41"/>
  <c r="W38" i="41"/>
  <c r="X38" i="41"/>
  <c r="X42" i="41" s="1" a="1"/>
  <c r="X42" i="41" s="1"/>
  <c r="Y38" i="41"/>
  <c r="Y42" i="41" s="1" a="1"/>
  <c r="Y42" i="41" s="1"/>
  <c r="Z38" i="41"/>
  <c r="Z39" i="41" s="1" a="1"/>
  <c r="Z39" i="41" s="1"/>
  <c r="O38" i="41"/>
  <c r="D38" i="41"/>
  <c r="E38" i="41"/>
  <c r="F38" i="41"/>
  <c r="G38" i="41"/>
  <c r="H38" i="41"/>
  <c r="I38" i="41"/>
  <c r="J38" i="41"/>
  <c r="K38" i="41"/>
  <c r="L38" i="41"/>
  <c r="L39" i="41" s="1" a="1"/>
  <c r="L39" i="41" s="1"/>
  <c r="M38" i="41"/>
  <c r="M39" i="41" s="1" a="1"/>
  <c r="M39" i="41" s="1"/>
  <c r="N38" i="41"/>
  <c r="N39" i="41" s="1" a="1"/>
  <c r="N39" i="41" s="1"/>
  <c r="C38" i="41"/>
  <c r="E12" i="183" l="1"/>
  <c r="E13" i="183"/>
  <c r="E15" i="183"/>
  <c r="F16" i="188"/>
  <c r="E11" i="183"/>
  <c r="E10" i="183"/>
  <c r="E14" i="183"/>
  <c r="E16" i="183"/>
  <c r="E17" i="183"/>
  <c r="D12" i="193"/>
  <c r="D19" i="193"/>
  <c r="D15" i="193"/>
  <c r="D17" i="193"/>
  <c r="D13" i="193"/>
  <c r="D18" i="193"/>
  <c r="D14" i="193"/>
  <c r="D20" i="193"/>
  <c r="D16" i="193"/>
  <c r="E19" i="188"/>
  <c r="E15" i="188"/>
  <c r="E20" i="188"/>
  <c r="E16" i="188"/>
  <c r="E21" i="188"/>
  <c r="E17" i="188"/>
  <c r="E18" i="188"/>
  <c r="E19" i="193"/>
  <c r="E15" i="193"/>
  <c r="E18" i="193"/>
  <c r="E16" i="193"/>
  <c r="E17" i="193"/>
  <c r="E14" i="193"/>
  <c r="E20" i="193"/>
  <c r="D15" i="188"/>
  <c r="D20" i="188"/>
  <c r="D13" i="188"/>
  <c r="D18" i="188"/>
  <c r="D16" i="188"/>
  <c r="D19" i="188"/>
  <c r="D21" i="188"/>
  <c r="D14" i="188"/>
  <c r="D17" i="188"/>
  <c r="L40" i="139" a="1"/>
  <c r="L40" i="139" s="1"/>
  <c r="L41" i="139" a="1"/>
  <c r="L41" i="139" s="1"/>
  <c r="L42" i="139" a="1"/>
  <c r="L42" i="139" s="1"/>
  <c r="L43" i="139" a="1"/>
  <c r="L43" i="139" s="1"/>
  <c r="L44" i="139" a="1"/>
  <c r="L44" i="139" s="1"/>
  <c r="L45" i="139" a="1"/>
  <c r="L45" i="139" s="1"/>
  <c r="X40" i="139" a="1"/>
  <c r="X40" i="139" s="1"/>
  <c r="X41" i="139" a="1"/>
  <c r="X41" i="139" s="1"/>
  <c r="X42" i="139" a="1"/>
  <c r="X42" i="139" s="1"/>
  <c r="X43" i="139" a="1"/>
  <c r="X43" i="139" s="1"/>
  <c r="X44" i="139" a="1"/>
  <c r="X44" i="139" s="1"/>
  <c r="X45" i="139" a="1"/>
  <c r="X45" i="139" s="1"/>
  <c r="N40" i="139" a="1"/>
  <c r="N40" i="139" s="1"/>
  <c r="N41" i="139" a="1"/>
  <c r="N41" i="139" s="1"/>
  <c r="N42" i="139" a="1"/>
  <c r="N42" i="139" s="1"/>
  <c r="N43" i="139" a="1"/>
  <c r="N43" i="139" s="1"/>
  <c r="N44" i="139" a="1"/>
  <c r="N44" i="139" s="1"/>
  <c r="N45" i="139" a="1"/>
  <c r="N45" i="139" s="1"/>
  <c r="Z40" i="139" a="1"/>
  <c r="Z40" i="139" s="1"/>
  <c r="Z41" i="139" a="1"/>
  <c r="Z41" i="139" s="1"/>
  <c r="Z42" i="139" a="1"/>
  <c r="Z42" i="139" s="1"/>
  <c r="Z43" i="139" a="1"/>
  <c r="Z43" i="139" s="1"/>
  <c r="Z44" i="139" a="1"/>
  <c r="Z44" i="139" s="1"/>
  <c r="Z45" i="139" a="1"/>
  <c r="Z45" i="139" s="1"/>
  <c r="M44" i="139" a="1"/>
  <c r="M44" i="139" s="1"/>
  <c r="M45" i="139" a="1"/>
  <c r="M45" i="139" s="1"/>
  <c r="M40" i="139" a="1"/>
  <c r="M40" i="139" s="1"/>
  <c r="M41" i="139" a="1"/>
  <c r="M41" i="139" s="1"/>
  <c r="M42" i="139" a="1"/>
  <c r="M42" i="139" s="1"/>
  <c r="M43" i="139" a="1"/>
  <c r="M43" i="139" s="1"/>
  <c r="Y42" i="139" a="1"/>
  <c r="Y42" i="139" s="1"/>
  <c r="Y43" i="139" a="1"/>
  <c r="Y43" i="139" s="1"/>
  <c r="Y45" i="139" a="1"/>
  <c r="Y45" i="139" s="1"/>
  <c r="Y40" i="139" a="1"/>
  <c r="Y40" i="139" s="1"/>
  <c r="Y41" i="139" a="1"/>
  <c r="Y41" i="139" s="1"/>
  <c r="Y44" i="139" a="1"/>
  <c r="Y44" i="139" s="1"/>
  <c r="Y39" i="41" a="1"/>
  <c r="Y39" i="41" s="1"/>
  <c r="N40" i="41" a="1"/>
  <c r="N40" i="41" s="1"/>
  <c r="Y47" i="41" a="1"/>
  <c r="Y47" i="41" s="1"/>
  <c r="L47" i="41" a="1"/>
  <c r="L47" i="41" s="1"/>
  <c r="N44" i="41" a="1"/>
  <c r="N44" i="41" s="1"/>
  <c r="Y43" i="41" a="1"/>
  <c r="Y43" i="41" s="1"/>
  <c r="L43" i="41" a="1"/>
  <c r="L43" i="41" s="1"/>
  <c r="X47" i="41" a="1"/>
  <c r="X47" i="41" s="1"/>
  <c r="Z44" i="41" a="1"/>
  <c r="Z44" i="41" s="1"/>
  <c r="M44" i="41" a="1"/>
  <c r="M44" i="41" s="1"/>
  <c r="X43" i="41" a="1"/>
  <c r="X43" i="41" s="1"/>
  <c r="Z40" i="41" a="1"/>
  <c r="Z40" i="41" s="1"/>
  <c r="M40" i="41" a="1"/>
  <c r="M40" i="41" s="1"/>
  <c r="X39" i="41" a="1"/>
  <c r="X39" i="41" s="1"/>
  <c r="Z50" i="41" a="1"/>
  <c r="Z50" i="41" s="1"/>
  <c r="N50" i="41" a="1"/>
  <c r="N50" i="41" s="1"/>
  <c r="Z49" i="41" a="1"/>
  <c r="Z49" i="41" s="1"/>
  <c r="N49" i="41" a="1"/>
  <c r="N49" i="41" s="1"/>
  <c r="Z48" i="41" a="1"/>
  <c r="Z48" i="41" s="1"/>
  <c r="N48" i="41" a="1"/>
  <c r="N48" i="41" s="1"/>
  <c r="N45" i="41" a="1"/>
  <c r="N45" i="41" s="1"/>
  <c r="Y44" i="41" a="1"/>
  <c r="Y44" i="41" s="1"/>
  <c r="L44" i="41" a="1"/>
  <c r="L44" i="41" s="1"/>
  <c r="N41" i="41" a="1"/>
  <c r="N41" i="41" s="1"/>
  <c r="Y40" i="41" a="1"/>
  <c r="Y40" i="41" s="1"/>
  <c r="L40" i="41" a="1"/>
  <c r="L40" i="41" s="1"/>
  <c r="Z45" i="41" a="1"/>
  <c r="Z45" i="41" s="1"/>
  <c r="M45" i="41" a="1"/>
  <c r="M45" i="41" s="1"/>
  <c r="X44" i="41" a="1"/>
  <c r="X44" i="41" s="1"/>
  <c r="Z41" i="41" a="1"/>
  <c r="Z41" i="41" s="1"/>
  <c r="M41" i="41" a="1"/>
  <c r="M41" i="41" s="1"/>
  <c r="X40" i="41" a="1"/>
  <c r="X40" i="41" s="1"/>
  <c r="Y50" i="41" a="1"/>
  <c r="Y50" i="41" s="1"/>
  <c r="M50" i="41" a="1"/>
  <c r="M50" i="41" s="1"/>
  <c r="Y49" i="41" a="1"/>
  <c r="Y49" i="41" s="1"/>
  <c r="M49" i="41" a="1"/>
  <c r="M49" i="41" s="1"/>
  <c r="Y48" i="41" a="1"/>
  <c r="Y48" i="41" s="1"/>
  <c r="M48" i="41" a="1"/>
  <c r="M48" i="41" s="1"/>
  <c r="N46" i="41" a="1"/>
  <c r="N46" i="41" s="1"/>
  <c r="Y45" i="41" a="1"/>
  <c r="Y45" i="41" s="1"/>
  <c r="L45" i="41" a="1"/>
  <c r="L45" i="41" s="1"/>
  <c r="N42" i="41" a="1"/>
  <c r="N42" i="41" s="1"/>
  <c r="Y41" i="41" a="1"/>
  <c r="Y41" i="41" s="1"/>
  <c r="L41" i="41" a="1"/>
  <c r="L41" i="41" s="1"/>
  <c r="Z46" i="41" a="1"/>
  <c r="Z46" i="41" s="1"/>
  <c r="M46" i="41" a="1"/>
  <c r="M46" i="41" s="1"/>
  <c r="X45" i="41" a="1"/>
  <c r="X45" i="41" s="1"/>
  <c r="Z42" i="41" a="1"/>
  <c r="Z42" i="41" s="1"/>
  <c r="M42" i="41" a="1"/>
  <c r="M42" i="41" s="1"/>
  <c r="X41" i="41" a="1"/>
  <c r="X41" i="41" s="1"/>
  <c r="X50" i="41" a="1"/>
  <c r="X50" i="41" s="1"/>
  <c r="L50" i="41" a="1"/>
  <c r="L50" i="41" s="1"/>
  <c r="X49" i="41" a="1"/>
  <c r="X49" i="41" s="1"/>
  <c r="L49" i="41" a="1"/>
  <c r="L49" i="41" s="1"/>
  <c r="X48" i="41" a="1"/>
  <c r="X48" i="41" s="1"/>
  <c r="L48" i="41" a="1"/>
  <c r="L48" i="41" s="1"/>
  <c r="N47" i="41" a="1"/>
  <c r="N47" i="41" s="1"/>
  <c r="Y46" i="41" a="1"/>
  <c r="Y46" i="41" s="1"/>
  <c r="L46" i="41" a="1"/>
  <c r="L46" i="41" s="1"/>
  <c r="N43" i="41" a="1"/>
  <c r="N43" i="41" s="1"/>
  <c r="L42" i="41" a="1"/>
  <c r="L42" i="41" s="1"/>
  <c r="Z47" i="41" a="1"/>
  <c r="Z47" i="41" s="1"/>
  <c r="M47" i="41" a="1"/>
  <c r="M47" i="41" s="1"/>
  <c r="X46" i="41" a="1"/>
  <c r="X46" i="41" s="1"/>
  <c r="Z43" i="41" a="1"/>
  <c r="Z43" i="41" s="1"/>
  <c r="M43" i="41" a="1"/>
  <c r="M43" i="41" s="1"/>
  <c r="N40" i="40" a="1"/>
  <c r="N40" i="40" s="1"/>
  <c r="N42" i="40" a="1"/>
  <c r="N42" i="40" s="1"/>
  <c r="N44" i="40" a="1"/>
  <c r="N44" i="40" s="1"/>
  <c r="N46" i="40" a="1"/>
  <c r="N46" i="40" s="1"/>
  <c r="N47" i="40" a="1"/>
  <c r="N47" i="40" s="1"/>
  <c r="N48" i="40" a="1"/>
  <c r="N48" i="40" s="1"/>
  <c r="N51" i="40" a="1"/>
  <c r="N51" i="40" s="1"/>
  <c r="N39" i="40" a="1"/>
  <c r="N39" i="40" s="1"/>
  <c r="N41" i="40" a="1"/>
  <c r="N41" i="40" s="1"/>
  <c r="N43" i="40" a="1"/>
  <c r="N43" i="40" s="1"/>
  <c r="N50" i="40" a="1"/>
  <c r="N50" i="40" s="1"/>
  <c r="N45" i="40" a="1"/>
  <c r="N45" i="40" s="1"/>
  <c r="K26" i="40" a="1"/>
  <c r="K26" i="40" s="1"/>
  <c r="M46" i="40" a="1"/>
  <c r="M46" i="40" s="1"/>
  <c r="L39" i="40" a="1"/>
  <c r="L39" i="40" s="1"/>
  <c r="L40" i="40" a="1"/>
  <c r="L40" i="40" s="1"/>
  <c r="L41" i="40" a="1"/>
  <c r="L41" i="40" s="1"/>
  <c r="L42" i="40" a="1"/>
  <c r="L42" i="40" s="1"/>
  <c r="L43" i="40" a="1"/>
  <c r="L43" i="40" s="1"/>
  <c r="L44" i="40" a="1"/>
  <c r="L44" i="40" s="1"/>
  <c r="L46" i="40" a="1"/>
  <c r="L46" i="40" s="1"/>
  <c r="L47" i="40" a="1"/>
  <c r="L47" i="40" s="1"/>
  <c r="L48" i="40" a="1"/>
  <c r="L48" i="40" s="1"/>
  <c r="L51" i="40" a="1"/>
  <c r="L51" i="40" s="1"/>
  <c r="L50" i="40" a="1"/>
  <c r="L50" i="40" s="1"/>
  <c r="L45" i="40" a="1"/>
  <c r="L45" i="40" s="1"/>
  <c r="L49" i="40" a="1"/>
  <c r="L49" i="40" s="1"/>
  <c r="M33" i="40" a="1"/>
  <c r="M33" i="40" s="1"/>
  <c r="N49" i="40" a="1"/>
  <c r="N49" i="40" s="1"/>
  <c r="L33" i="40" a="1"/>
  <c r="L33" i="40" s="1"/>
  <c r="K30" i="40" a="1"/>
  <c r="K30" i="40" s="1"/>
  <c r="L27" i="40" a="1"/>
  <c r="L27" i="40" s="1"/>
  <c r="M25" i="40" a="1"/>
  <c r="M25" i="40" s="1"/>
  <c r="L26" i="40" a="1"/>
  <c r="L26" i="40" s="1"/>
  <c r="M27" i="40" a="1"/>
  <c r="M27" i="40" s="1"/>
  <c r="K29" i="40" a="1"/>
  <c r="K29" i="40" s="1"/>
  <c r="M31" i="40" a="1"/>
  <c r="M31" i="40" s="1"/>
  <c r="L30" i="40" a="1"/>
  <c r="L30" i="40" s="1"/>
  <c r="M26" i="40" a="1"/>
  <c r="M26" i="40" s="1"/>
  <c r="L29" i="40" a="1"/>
  <c r="L29" i="40" s="1"/>
  <c r="K28" i="40" a="1"/>
  <c r="K28" i="40" s="1"/>
  <c r="M30" i="40" a="1"/>
  <c r="M30" i="40" s="1"/>
  <c r="K32" i="40" a="1"/>
  <c r="K32" i="40" s="1"/>
  <c r="L28" i="40" a="1"/>
  <c r="L28" i="40" s="1"/>
  <c r="M29" i="40" a="1"/>
  <c r="M29" i="40" s="1"/>
  <c r="K31" i="40" a="1"/>
  <c r="K31" i="40" s="1"/>
  <c r="K27" i="40" a="1"/>
  <c r="K27" i="40" s="1"/>
  <c r="M49" i="40" a="1"/>
  <c r="M49" i="40" s="1"/>
  <c r="M34" i="40" a="1"/>
  <c r="M34" i="40" s="1"/>
  <c r="K33" i="40" a="1"/>
  <c r="K33" i="40" s="1"/>
  <c r="M32" i="40" a="1"/>
  <c r="M32" i="40" s="1"/>
  <c r="Y48" i="40" a="1"/>
  <c r="Y48" i="40" s="1"/>
  <c r="L34" i="40" a="1"/>
  <c r="L34" i="40" s="1"/>
  <c r="L31" i="40" a="1"/>
  <c r="L31" i="40" s="1"/>
  <c r="M28" i="40" a="1"/>
  <c r="M28" i="40" s="1"/>
  <c r="L25" i="40" a="1"/>
  <c r="L25" i="40" s="1"/>
  <c r="Z48" i="40" a="1"/>
  <c r="Z48" i="40" s="1"/>
  <c r="Z39" i="40" a="1"/>
  <c r="Z39" i="40" s="1"/>
  <c r="Z41" i="40" a="1"/>
  <c r="Z41" i="40" s="1"/>
  <c r="Z43" i="40" a="1"/>
  <c r="Z43" i="40" s="1"/>
  <c r="Z51" i="40" a="1"/>
  <c r="Z51" i="40" s="1"/>
  <c r="Z50" i="40" a="1"/>
  <c r="Z50" i="40" s="1"/>
  <c r="Z40" i="40" a="1"/>
  <c r="Z40" i="40" s="1"/>
  <c r="Z42" i="40" a="1"/>
  <c r="Z42" i="40" s="1"/>
  <c r="Z44" i="40" a="1"/>
  <c r="Z44" i="40" s="1"/>
  <c r="Z46" i="40" a="1"/>
  <c r="Z46" i="40" s="1"/>
  <c r="Z47" i="40" a="1"/>
  <c r="Z47" i="40" s="1"/>
  <c r="Z49" i="40" a="1"/>
  <c r="Z49" i="40" s="1"/>
  <c r="Y46" i="40" a="1"/>
  <c r="Y46" i="40" s="1"/>
  <c r="X39" i="40" a="1"/>
  <c r="X39" i="40" s="1"/>
  <c r="X40" i="40" a="1"/>
  <c r="X40" i="40" s="1"/>
  <c r="X41" i="40" a="1"/>
  <c r="X41" i="40" s="1"/>
  <c r="X42" i="40" a="1"/>
  <c r="X42" i="40" s="1"/>
  <c r="X43" i="40" a="1"/>
  <c r="X43" i="40" s="1"/>
  <c r="X44" i="40" a="1"/>
  <c r="X44" i="40" s="1"/>
  <c r="X51" i="40" a="1"/>
  <c r="X51" i="40" s="1"/>
  <c r="X50" i="40" a="1"/>
  <c r="X50" i="40" s="1"/>
  <c r="X46" i="40" a="1"/>
  <c r="X46" i="40" s="1"/>
  <c r="X47" i="40" a="1"/>
  <c r="X47" i="40" s="1"/>
  <c r="X49" i="40" a="1"/>
  <c r="X49" i="40" s="1"/>
  <c r="X45" i="40" a="1"/>
  <c r="X45" i="40" s="1"/>
  <c r="X48" i="40" a="1"/>
  <c r="X48" i="40" s="1"/>
  <c r="K34" i="40" a="1"/>
  <c r="K34" i="40" s="1"/>
  <c r="L32" i="40" a="1"/>
  <c r="L32" i="40" s="1"/>
  <c r="K25" i="40" a="1"/>
  <c r="K25" i="40" s="1"/>
  <c r="Y49" i="40" a="1"/>
  <c r="Y49" i="40" s="1"/>
  <c r="Y47" i="40" a="1"/>
  <c r="Y47" i="40" s="1"/>
  <c r="Y39" i="40" a="1"/>
  <c r="Y39" i="40" s="1"/>
  <c r="Y40" i="40" a="1"/>
  <c r="Y40" i="40" s="1"/>
  <c r="Y41" i="40" a="1"/>
  <c r="Y41" i="40" s="1"/>
  <c r="Y42" i="40" a="1"/>
  <c r="Y42" i="40" s="1"/>
  <c r="Y43" i="40" a="1"/>
  <c r="Y43" i="40" s="1"/>
  <c r="Y44" i="40" a="1"/>
  <c r="Y44" i="40" s="1"/>
  <c r="Y45" i="40" a="1"/>
  <c r="Y45" i="40" s="1"/>
  <c r="M50" i="40" a="1"/>
  <c r="M50" i="40" s="1"/>
  <c r="Y50" i="40" a="1"/>
  <c r="Y50" i="40" s="1"/>
  <c r="M51" i="40" a="1"/>
  <c r="M51" i="40" s="1"/>
  <c r="Y51" i="40" a="1"/>
  <c r="Y51" i="40" s="1"/>
  <c r="M48" i="40" a="1"/>
  <c r="M48" i="40" s="1"/>
  <c r="M47" i="40" a="1"/>
  <c r="M47" i="40" s="1"/>
  <c r="M39" i="40" a="1"/>
  <c r="M39" i="40" s="1"/>
  <c r="M40" i="40" a="1"/>
  <c r="M40" i="40" s="1"/>
  <c r="M41" i="40" a="1"/>
  <c r="M41" i="40" s="1"/>
  <c r="M42" i="40" a="1"/>
  <c r="M42" i="40" s="1"/>
  <c r="M43" i="40" a="1"/>
  <c r="M43" i="40" s="1"/>
  <c r="M44" i="40" a="1"/>
  <c r="M44" i="40" s="1"/>
  <c r="M45" i="40" a="1"/>
  <c r="M45" i="40" s="1"/>
  <c r="B38" i="41"/>
  <c r="B13" i="39"/>
  <c r="D11" i="39"/>
  <c r="B13" i="38"/>
  <c r="D11" i="38"/>
  <c r="D11" i="35"/>
  <c r="A228" i="160" l="1"/>
  <c r="A291" i="160"/>
  <c r="A265" i="160"/>
  <c r="A328" i="160"/>
  <c r="A333" i="160"/>
  <c r="A285" i="160"/>
  <c r="A258" i="160"/>
  <c r="A323" i="160"/>
  <c r="A229" i="160"/>
  <c r="A304" i="160"/>
  <c r="A301" i="160"/>
  <c r="A274" i="160"/>
  <c r="A315" i="160"/>
  <c r="A247" i="160"/>
  <c r="A236" i="160"/>
  <c r="A225" i="160"/>
  <c r="A287" i="160"/>
  <c r="A308" i="160"/>
  <c r="A297" i="160"/>
  <c r="A244" i="160"/>
  <c r="A238" i="160"/>
  <c r="A322" i="160"/>
  <c r="A293" i="160"/>
  <c r="A266" i="160"/>
  <c r="A338" i="160"/>
  <c r="A284" i="160"/>
  <c r="A311" i="160"/>
  <c r="A286" i="160"/>
  <c r="A248" i="160"/>
  <c r="A300" i="160"/>
  <c r="A263" i="160"/>
  <c r="A288" i="160"/>
  <c r="A235" i="160"/>
  <c r="A324" i="160"/>
  <c r="A316" i="160"/>
  <c r="A302" i="160"/>
  <c r="A269" i="160"/>
  <c r="A314" i="160"/>
  <c r="A254" i="160"/>
  <c r="A313" i="160"/>
  <c r="A330" i="160"/>
  <c r="A227" i="160"/>
  <c r="A270" i="160"/>
  <c r="A289" i="160"/>
  <c r="A259" i="160"/>
  <c r="A307" i="160"/>
  <c r="A327" i="160"/>
  <c r="A320" i="160"/>
  <c r="A279" i="160"/>
  <c r="A318" i="160"/>
  <c r="A331" i="160"/>
  <c r="A275" i="160"/>
  <c r="A262" i="160"/>
  <c r="A256" i="160"/>
  <c r="A334" i="160"/>
  <c r="A245" i="160"/>
  <c r="A282" i="160"/>
  <c r="A299" i="160"/>
  <c r="A255" i="160"/>
  <c r="A261" i="160"/>
  <c r="A249" i="160"/>
  <c r="A253" i="160"/>
  <c r="A252" i="160"/>
  <c r="A242" i="160"/>
  <c r="A250" i="160"/>
  <c r="A326" i="160"/>
  <c r="A312" i="160"/>
  <c r="A337" i="160"/>
  <c r="A241" i="160"/>
  <c r="A309" i="160"/>
  <c r="A319" i="160"/>
  <c r="A240" i="160"/>
  <c r="A325" i="160"/>
  <c r="A234" i="160"/>
  <c r="A232" i="160"/>
  <c r="A231" i="160"/>
  <c r="A305" i="160"/>
  <c r="A243" i="160"/>
  <c r="A260" i="160"/>
  <c r="A223" i="160"/>
  <c r="A224" i="160"/>
  <c r="A268" i="160"/>
  <c r="A276" i="160"/>
  <c r="A239" i="160"/>
  <c r="A281" i="160"/>
  <c r="A272" i="160"/>
  <c r="A336" i="160"/>
  <c r="A280" i="160"/>
  <c r="A298" i="160"/>
  <c r="A257" i="160"/>
  <c r="A277" i="160"/>
  <c r="A310" i="160"/>
  <c r="A335" i="160"/>
  <c r="A332" i="160"/>
  <c r="A303" i="160"/>
  <c r="A321" i="160"/>
  <c r="A278" i="160"/>
  <c r="A267" i="160"/>
  <c r="A296" i="160"/>
  <c r="A226" i="160"/>
  <c r="A230" i="160"/>
  <c r="A246" i="160"/>
  <c r="A271" i="160"/>
  <c r="A306" i="160"/>
  <c r="A292" i="160"/>
  <c r="A283" i="160"/>
  <c r="A295" i="160"/>
  <c r="A264" i="160"/>
  <c r="A237" i="160"/>
  <c r="A233" i="160"/>
  <c r="A329" i="160"/>
  <c r="A317" i="160"/>
  <c r="A290" i="160"/>
  <c r="A273" i="160"/>
  <c r="A294" i="160"/>
  <c r="A251" i="160"/>
  <c r="Z38" i="39" l="1"/>
  <c r="Z41" i="39" s="1" a="1"/>
  <c r="Z41" i="39" s="1"/>
  <c r="Y38" i="39"/>
  <c r="Y39" i="39" s="1" a="1"/>
  <c r="Y39" i="39" s="1"/>
  <c r="X38" i="39"/>
  <c r="X39" i="39" s="1" a="1"/>
  <c r="X39" i="39" s="1"/>
  <c r="W38" i="39"/>
  <c r="V38" i="39"/>
  <c r="U38" i="39"/>
  <c r="T38" i="39"/>
  <c r="S38" i="39"/>
  <c r="R38" i="39"/>
  <c r="Q38" i="39"/>
  <c r="P38" i="39"/>
  <c r="O38" i="39"/>
  <c r="N38" i="39"/>
  <c r="N40" i="39" s="1" a="1"/>
  <c r="N40" i="39" s="1"/>
  <c r="M38" i="39"/>
  <c r="M39" i="39" s="1" a="1"/>
  <c r="M39" i="39" s="1"/>
  <c r="L38" i="39"/>
  <c r="L40" i="39" s="1" a="1"/>
  <c r="L40" i="39" s="1"/>
  <c r="K38" i="39"/>
  <c r="J38" i="39"/>
  <c r="I38" i="39"/>
  <c r="H38" i="39"/>
  <c r="G38" i="39"/>
  <c r="F38" i="39"/>
  <c r="E38" i="39"/>
  <c r="D38" i="39"/>
  <c r="C38" i="39"/>
  <c r="B38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N45" i="39" l="1" a="1"/>
  <c r="N45" i="39" s="1"/>
  <c r="M45" i="39" a="1"/>
  <c r="M45" i="39" s="1"/>
  <c r="Y45" i="39" a="1"/>
  <c r="Y45" i="39" s="1"/>
  <c r="L43" i="39" a="1"/>
  <c r="L43" i="39" s="1"/>
  <c r="Y40" i="39" a="1"/>
  <c r="Y40" i="39" s="1"/>
  <c r="X40" i="39" a="1"/>
  <c r="X40" i="39" s="1"/>
  <c r="Y47" i="39" a="1"/>
  <c r="Y47" i="39" s="1"/>
  <c r="Y44" i="39" a="1"/>
  <c r="Y44" i="39" s="1"/>
  <c r="N42" i="39" a="1"/>
  <c r="N42" i="39" s="1"/>
  <c r="M40" i="39" a="1"/>
  <c r="M40" i="39" s="1"/>
  <c r="X43" i="39" a="1"/>
  <c r="X43" i="39" s="1"/>
  <c r="X47" i="39" a="1"/>
  <c r="X47" i="39" s="1"/>
  <c r="X44" i="39" a="1"/>
  <c r="X44" i="39" s="1"/>
  <c r="Y41" i="39" a="1"/>
  <c r="Y41" i="39" s="1"/>
  <c r="M44" i="39" a="1"/>
  <c r="M44" i="39" s="1"/>
  <c r="N41" i="39" a="1"/>
  <c r="N41" i="39" s="1"/>
  <c r="N46" i="39" a="1"/>
  <c r="N46" i="39" s="1"/>
  <c r="M41" i="39" a="1"/>
  <c r="M41" i="39" s="1"/>
  <c r="L47" i="39" a="1"/>
  <c r="L47" i="39" s="1"/>
  <c r="Z42" i="39" a="1"/>
  <c r="Z42" i="39" s="1"/>
  <c r="Z40" i="39" a="1"/>
  <c r="Z40" i="39" s="1"/>
  <c r="Z44" i="39" a="1"/>
  <c r="Z44" i="39" s="1"/>
  <c r="Z39" i="39" a="1"/>
  <c r="Z39" i="39" s="1"/>
  <c r="Z43" i="39" a="1"/>
  <c r="Z43" i="39" s="1"/>
  <c r="Z47" i="39" a="1"/>
  <c r="Z47" i="39" s="1"/>
  <c r="Z46" i="39" a="1"/>
  <c r="Z46" i="39" s="1"/>
  <c r="Z45" i="39" a="1"/>
  <c r="Z45" i="39" s="1"/>
  <c r="L39" i="39" a="1"/>
  <c r="L39" i="39" s="1"/>
  <c r="L42" i="39" a="1"/>
  <c r="L42" i="39" s="1"/>
  <c r="L46" i="39" a="1"/>
  <c r="L46" i="39" s="1"/>
  <c r="L41" i="39" a="1"/>
  <c r="L41" i="39" s="1"/>
  <c r="L45" i="39" a="1"/>
  <c r="L45" i="39" s="1"/>
  <c r="L44" i="39" a="1"/>
  <c r="L44" i="39" s="1"/>
  <c r="N47" i="39" a="1"/>
  <c r="N47" i="39" s="1"/>
  <c r="Y46" i="39" a="1"/>
  <c r="Y46" i="39" s="1"/>
  <c r="M46" i="39" a="1"/>
  <c r="M46" i="39" s="1"/>
  <c r="X45" i="39" a="1"/>
  <c r="X45" i="39" s="1"/>
  <c r="N43" i="39" a="1"/>
  <c r="N43" i="39" s="1"/>
  <c r="Y42" i="39" a="1"/>
  <c r="Y42" i="39" s="1"/>
  <c r="M42" i="39" a="1"/>
  <c r="M42" i="39" s="1"/>
  <c r="X41" i="39" a="1"/>
  <c r="X41" i="39" s="1"/>
  <c r="N39" i="39" a="1"/>
  <c r="N39" i="39" s="1"/>
  <c r="M47" i="39" a="1"/>
  <c r="M47" i="39" s="1"/>
  <c r="X46" i="39" a="1"/>
  <c r="X46" i="39" s="1"/>
  <c r="N44" i="39" a="1"/>
  <c r="N44" i="39" s="1"/>
  <c r="Y43" i="39" a="1"/>
  <c r="Y43" i="39" s="1"/>
  <c r="M43" i="39" a="1"/>
  <c r="M43" i="39" s="1"/>
  <c r="X42" i="39" a="1"/>
  <c r="X42" i="39" s="1"/>
  <c r="J19" i="46"/>
  <c r="I19" i="46"/>
  <c r="H19" i="46"/>
  <c r="G19" i="46"/>
  <c r="F19" i="46"/>
  <c r="E19" i="46"/>
  <c r="D19" i="46"/>
  <c r="C19" i="46"/>
  <c r="B19" i="46"/>
  <c r="J19" i="45"/>
  <c r="I19" i="45"/>
  <c r="H19" i="45"/>
  <c r="G19" i="45"/>
  <c r="F19" i="45"/>
  <c r="E19" i="45"/>
  <c r="D19" i="45"/>
  <c r="C19" i="45"/>
  <c r="B19" i="45"/>
  <c r="J19" i="43"/>
  <c r="I19" i="43"/>
  <c r="H19" i="43"/>
  <c r="G19" i="43"/>
  <c r="F19" i="43"/>
  <c r="E19" i="43"/>
  <c r="D19" i="43"/>
  <c r="C19" i="43"/>
  <c r="B19" i="43"/>
  <c r="J19" i="44"/>
  <c r="I19" i="44"/>
  <c r="H19" i="44"/>
  <c r="G19" i="44"/>
  <c r="F19" i="44"/>
  <c r="E19" i="44"/>
  <c r="D19" i="44"/>
  <c r="C19" i="44"/>
  <c r="B19" i="44"/>
  <c r="J19" i="42"/>
  <c r="I19" i="42"/>
  <c r="H19" i="42"/>
  <c r="G19" i="42"/>
  <c r="F19" i="42"/>
  <c r="E19" i="42"/>
  <c r="D19" i="42"/>
  <c r="C19" i="42"/>
  <c r="B19" i="42"/>
  <c r="J19" i="40"/>
  <c r="I19" i="40"/>
  <c r="H19" i="40"/>
  <c r="G19" i="40"/>
  <c r="F19" i="40"/>
  <c r="E19" i="40"/>
  <c r="D19" i="40"/>
  <c r="C19" i="40"/>
  <c r="B19" i="40"/>
  <c r="J19" i="41"/>
  <c r="I19" i="41"/>
  <c r="H19" i="41"/>
  <c r="G19" i="41"/>
  <c r="F19" i="41"/>
  <c r="E19" i="41"/>
  <c r="D19" i="41"/>
  <c r="C19" i="41"/>
  <c r="B19" i="41"/>
  <c r="J19" i="39"/>
  <c r="I19" i="39"/>
  <c r="H19" i="39"/>
  <c r="G19" i="39"/>
  <c r="F19" i="39"/>
  <c r="E19" i="39"/>
  <c r="D19" i="39"/>
  <c r="C19" i="39"/>
  <c r="B19" i="39"/>
  <c r="J19" i="38"/>
  <c r="I19" i="38"/>
  <c r="H19" i="38"/>
  <c r="G19" i="38"/>
  <c r="F19" i="38"/>
  <c r="E19" i="38"/>
  <c r="D19" i="38"/>
  <c r="C19" i="38"/>
  <c r="B19" i="38"/>
  <c r="J19" i="37"/>
  <c r="I19" i="37"/>
  <c r="H19" i="37"/>
  <c r="G19" i="37"/>
  <c r="F19" i="37"/>
  <c r="E19" i="37"/>
  <c r="D19" i="37"/>
  <c r="C19" i="37"/>
  <c r="B19" i="37"/>
  <c r="J19" i="36"/>
  <c r="I19" i="36"/>
  <c r="H19" i="36"/>
  <c r="G19" i="36"/>
  <c r="F19" i="36"/>
  <c r="E19" i="36"/>
  <c r="D19" i="36"/>
  <c r="C19" i="36"/>
  <c r="B19" i="36"/>
  <c r="J19" i="35"/>
  <c r="I19" i="35"/>
  <c r="H19" i="35"/>
  <c r="G19" i="35"/>
  <c r="F19" i="35"/>
  <c r="E19" i="35"/>
  <c r="D19" i="35"/>
  <c r="C19" i="35"/>
  <c r="B19" i="35"/>
  <c r="J19" i="33"/>
  <c r="I19" i="33"/>
  <c r="H19" i="33"/>
  <c r="G19" i="33"/>
  <c r="F19" i="33"/>
  <c r="E19" i="33"/>
  <c r="D19" i="33"/>
  <c r="C19" i="33"/>
  <c r="B19" i="33"/>
  <c r="J19" i="31"/>
  <c r="I19" i="31"/>
  <c r="H19" i="31"/>
  <c r="G19" i="31"/>
  <c r="F19" i="31"/>
  <c r="E19" i="31"/>
  <c r="D19" i="31"/>
  <c r="C19" i="31"/>
  <c r="B19" i="31"/>
  <c r="C19" i="34"/>
  <c r="D19" i="34"/>
  <c r="E19" i="34"/>
  <c r="F19" i="34"/>
  <c r="G19" i="34"/>
  <c r="H19" i="34"/>
  <c r="I19" i="34"/>
  <c r="B19" i="34"/>
  <c r="B13" i="42" l="1"/>
  <c r="P38" i="42"/>
  <c r="Q38" i="42"/>
  <c r="R38" i="42"/>
  <c r="S38" i="42"/>
  <c r="T38" i="42"/>
  <c r="U38" i="42"/>
  <c r="V38" i="42"/>
  <c r="W38" i="42"/>
  <c r="X38" i="42"/>
  <c r="Y38" i="42"/>
  <c r="Z38" i="42"/>
  <c r="O38" i="42"/>
  <c r="N38" i="42"/>
  <c r="D38" i="42"/>
  <c r="E38" i="42"/>
  <c r="F38" i="42"/>
  <c r="G38" i="42"/>
  <c r="H38" i="42"/>
  <c r="I38" i="42"/>
  <c r="J38" i="42"/>
  <c r="K38" i="42"/>
  <c r="L38" i="42"/>
  <c r="M38" i="42"/>
  <c r="C38" i="42"/>
  <c r="B38" i="42"/>
  <c r="Z43" i="42" l="1" a="1"/>
  <c r="Z43" i="42" s="1"/>
  <c r="Z39" i="42" a="1"/>
  <c r="Z39" i="42" s="1"/>
  <c r="Z40" i="42" a="1"/>
  <c r="Z40" i="42" s="1"/>
  <c r="Z41" i="42" a="1"/>
  <c r="Z41" i="42" s="1"/>
  <c r="Z42" i="42" a="1"/>
  <c r="Z42" i="42" s="1"/>
  <c r="Z46" i="42" a="1"/>
  <c r="Z46" i="42" s="1"/>
  <c r="Z45" i="42" a="1"/>
  <c r="Z45" i="42" s="1"/>
  <c r="Z44" i="42" a="1"/>
  <c r="Z44" i="42" s="1"/>
  <c r="M39" i="42" a="1"/>
  <c r="M39" i="42" s="1"/>
  <c r="M40" i="42" a="1"/>
  <c r="M40" i="42" s="1"/>
  <c r="M41" i="42" a="1"/>
  <c r="M41" i="42" s="1"/>
  <c r="M42" i="42" a="1"/>
  <c r="M42" i="42" s="1"/>
  <c r="M43" i="42" a="1"/>
  <c r="M43" i="42" s="1"/>
  <c r="M46" i="42" a="1"/>
  <c r="M46" i="42" s="1"/>
  <c r="M45" i="42" a="1"/>
  <c r="M45" i="42" s="1"/>
  <c r="M44" i="42" a="1"/>
  <c r="M44" i="42" s="1"/>
  <c r="L39" i="42" a="1"/>
  <c r="L39" i="42" s="1"/>
  <c r="L40" i="42" a="1"/>
  <c r="L40" i="42" s="1"/>
  <c r="L41" i="42" a="1"/>
  <c r="L41" i="42" s="1"/>
  <c r="L42" i="42" a="1"/>
  <c r="L42" i="42" s="1"/>
  <c r="L43" i="42" a="1"/>
  <c r="L43" i="42" s="1"/>
  <c r="L45" i="42" a="1"/>
  <c r="L45" i="42" s="1"/>
  <c r="L46" i="42" a="1"/>
  <c r="L46" i="42" s="1"/>
  <c r="L44" i="42" a="1"/>
  <c r="L44" i="42" s="1"/>
  <c r="Y39" i="42" a="1"/>
  <c r="Y39" i="42" s="1"/>
  <c r="Y40" i="42" a="1"/>
  <c r="Y40" i="42" s="1"/>
  <c r="Y41" i="42" a="1"/>
  <c r="Y41" i="42" s="1"/>
  <c r="Y42" i="42" a="1"/>
  <c r="Y42" i="42" s="1"/>
  <c r="Y45" i="42" a="1"/>
  <c r="Y45" i="42" s="1"/>
  <c r="Y43" i="42" a="1"/>
  <c r="Y43" i="42" s="1"/>
  <c r="Y46" i="42" a="1"/>
  <c r="Y46" i="42" s="1"/>
  <c r="Y44" i="42" a="1"/>
  <c r="Y44" i="42" s="1"/>
  <c r="N39" i="42" a="1"/>
  <c r="N39" i="42" s="1"/>
  <c r="N40" i="42" a="1"/>
  <c r="N40" i="42" s="1"/>
  <c r="N41" i="42" a="1"/>
  <c r="N41" i="42" s="1"/>
  <c r="N42" i="42" a="1"/>
  <c r="N42" i="42" s="1"/>
  <c r="N43" i="42" a="1"/>
  <c r="N43" i="42" s="1"/>
  <c r="N46" i="42" a="1"/>
  <c r="N46" i="42" s="1"/>
  <c r="N45" i="42" a="1"/>
  <c r="N45" i="42" s="1"/>
  <c r="N44" i="42" a="1"/>
  <c r="N44" i="42" s="1"/>
  <c r="X39" i="42" a="1"/>
  <c r="X39" i="42" s="1"/>
  <c r="X40" i="42" a="1"/>
  <c r="X40" i="42" s="1"/>
  <c r="X41" i="42" a="1"/>
  <c r="X41" i="42" s="1"/>
  <c r="X42" i="42" a="1"/>
  <c r="X42" i="42" s="1"/>
  <c r="X43" i="42" a="1"/>
  <c r="X43" i="42" s="1"/>
  <c r="X45" i="42" a="1"/>
  <c r="X45" i="42" s="1"/>
  <c r="X44" i="42" a="1"/>
  <c r="X44" i="42" s="1"/>
  <c r="X46" i="42" a="1"/>
  <c r="X46" i="42" s="1"/>
  <c r="I24" i="46"/>
  <c r="H24" i="46"/>
  <c r="G24" i="46"/>
  <c r="F24" i="46"/>
  <c r="E24" i="46"/>
  <c r="D24" i="46"/>
  <c r="C24" i="46"/>
  <c r="B24" i="46"/>
  <c r="A69" i="46"/>
  <c r="A68" i="46"/>
  <c r="A67" i="46"/>
  <c r="A66" i="46"/>
  <c r="A65" i="46"/>
  <c r="A64" i="46"/>
  <c r="A63" i="46"/>
  <c r="A62" i="46"/>
  <c r="A61" i="46"/>
  <c r="A60" i="46"/>
  <c r="A59" i="46"/>
  <c r="A58" i="46"/>
  <c r="A57" i="46"/>
  <c r="A56" i="46"/>
  <c r="A55" i="46"/>
  <c r="A54" i="46"/>
  <c r="A53" i="46"/>
  <c r="A52" i="46"/>
  <c r="A51" i="46"/>
  <c r="A50" i="46"/>
  <c r="A49" i="46"/>
  <c r="A48" i="46"/>
  <c r="A47" i="46"/>
  <c r="A46" i="46"/>
  <c r="A45" i="46"/>
  <c r="A44" i="46"/>
  <c r="A43" i="46"/>
  <c r="A42" i="46"/>
  <c r="A41" i="46"/>
  <c r="A40" i="46"/>
  <c r="A39" i="46"/>
  <c r="A38" i="46"/>
  <c r="M24" i="46"/>
  <c r="L24" i="46"/>
  <c r="K24" i="46"/>
  <c r="C18" i="46"/>
  <c r="D18" i="46" s="1"/>
  <c r="E18" i="46" s="1"/>
  <c r="F18" i="46" s="1"/>
  <c r="G18" i="46" s="1"/>
  <c r="H18" i="46" s="1"/>
  <c r="I18" i="46" s="1"/>
  <c r="J18" i="46" s="1"/>
  <c r="K18" i="46" s="1"/>
  <c r="L18" i="46" s="1"/>
  <c r="M18" i="46" s="1"/>
  <c r="A69" i="45"/>
  <c r="A68" i="45"/>
  <c r="A67" i="45"/>
  <c r="A66" i="45"/>
  <c r="A65" i="45"/>
  <c r="A64" i="45"/>
  <c r="A63" i="45"/>
  <c r="A62" i="45"/>
  <c r="A61" i="45"/>
  <c r="A60" i="45"/>
  <c r="A59" i="45"/>
  <c r="A58" i="45"/>
  <c r="A57" i="45"/>
  <c r="A56" i="45"/>
  <c r="A55" i="45"/>
  <c r="A54" i="45"/>
  <c r="A53" i="45"/>
  <c r="A52" i="45"/>
  <c r="A51" i="45"/>
  <c r="A50" i="45"/>
  <c r="A49" i="45"/>
  <c r="A48" i="45"/>
  <c r="A47" i="45"/>
  <c r="A46" i="45"/>
  <c r="A45" i="45"/>
  <c r="A44" i="45"/>
  <c r="A43" i="45"/>
  <c r="A42" i="45"/>
  <c r="A41" i="45"/>
  <c r="A40" i="45"/>
  <c r="A39" i="45"/>
  <c r="A38" i="45"/>
  <c r="M24" i="45"/>
  <c r="M29" i="45" s="1"/>
  <c r="L24" i="45"/>
  <c r="K24" i="45"/>
  <c r="J24" i="45"/>
  <c r="I24" i="45"/>
  <c r="H24" i="45"/>
  <c r="G24" i="45"/>
  <c r="F24" i="45"/>
  <c r="E24" i="45"/>
  <c r="D24" i="45"/>
  <c r="C24" i="45"/>
  <c r="B24" i="45"/>
  <c r="E18" i="45"/>
  <c r="F18" i="45" s="1"/>
  <c r="G18" i="45" s="1"/>
  <c r="H18" i="45" s="1"/>
  <c r="I18" i="45" s="1"/>
  <c r="J18" i="45" s="1"/>
  <c r="K18" i="45" s="1"/>
  <c r="L18" i="45" s="1"/>
  <c r="M18" i="45" s="1"/>
  <c r="D18" i="45"/>
  <c r="C18" i="45"/>
  <c r="K25" i="43"/>
  <c r="L25" i="43"/>
  <c r="M25" i="43"/>
  <c r="K26" i="43"/>
  <c r="L26" i="43"/>
  <c r="M26" i="43"/>
  <c r="K27" i="43"/>
  <c r="L27" i="43"/>
  <c r="M27" i="43"/>
  <c r="K28" i="43"/>
  <c r="L28" i="43"/>
  <c r="M28" i="43"/>
  <c r="K29" i="43"/>
  <c r="L29" i="43"/>
  <c r="M29" i="43"/>
  <c r="K30" i="43"/>
  <c r="L30" i="43"/>
  <c r="M30" i="43"/>
  <c r="K31" i="43"/>
  <c r="L31" i="43"/>
  <c r="M31" i="43"/>
  <c r="K32" i="43"/>
  <c r="L32" i="43"/>
  <c r="M32" i="43"/>
  <c r="K33" i="43"/>
  <c r="L33" i="43"/>
  <c r="M33" i="43"/>
  <c r="K34" i="43"/>
  <c r="L34" i="43"/>
  <c r="M34" i="43"/>
  <c r="K25" i="44"/>
  <c r="L25" i="44"/>
  <c r="M25" i="44"/>
  <c r="K26" i="44"/>
  <c r="L26" i="44"/>
  <c r="M26" i="44"/>
  <c r="K27" i="44"/>
  <c r="L27" i="44"/>
  <c r="M27" i="44"/>
  <c r="K28" i="44"/>
  <c r="L28" i="44"/>
  <c r="M28" i="44"/>
  <c r="K29" i="44"/>
  <c r="L29" i="44"/>
  <c r="M29" i="44"/>
  <c r="K30" i="44"/>
  <c r="L30" i="44"/>
  <c r="M30" i="44"/>
  <c r="K31" i="44"/>
  <c r="L31" i="44"/>
  <c r="M31" i="44"/>
  <c r="K32" i="44"/>
  <c r="L32" i="44"/>
  <c r="M32" i="44"/>
  <c r="K33" i="44"/>
  <c r="L33" i="44"/>
  <c r="M33" i="44"/>
  <c r="K34" i="44"/>
  <c r="L34" i="44"/>
  <c r="M34" i="44"/>
  <c r="A69" i="44"/>
  <c r="A68" i="44"/>
  <c r="A67" i="44"/>
  <c r="A66" i="44"/>
  <c r="A65" i="44"/>
  <c r="A64" i="44"/>
  <c r="A63" i="44"/>
  <c r="A62" i="44"/>
  <c r="A61" i="44"/>
  <c r="A60" i="44"/>
  <c r="A59" i="44"/>
  <c r="A58" i="44"/>
  <c r="A57" i="44"/>
  <c r="A56" i="44"/>
  <c r="A55" i="44"/>
  <c r="A54" i="44"/>
  <c r="A53" i="44"/>
  <c r="A52" i="44"/>
  <c r="A51" i="44"/>
  <c r="A50" i="44"/>
  <c r="A49" i="44"/>
  <c r="A48" i="44"/>
  <c r="A47" i="44"/>
  <c r="A46" i="44"/>
  <c r="A45" i="44"/>
  <c r="A44" i="44"/>
  <c r="A43" i="44"/>
  <c r="A42" i="44"/>
  <c r="A41" i="44"/>
  <c r="A40" i="44"/>
  <c r="A39" i="44"/>
  <c r="A38" i="44"/>
  <c r="M24" i="44"/>
  <c r="L24" i="44"/>
  <c r="K24" i="44"/>
  <c r="J24" i="44"/>
  <c r="I24" i="44"/>
  <c r="H24" i="44"/>
  <c r="G24" i="44"/>
  <c r="F24" i="44"/>
  <c r="E24" i="44"/>
  <c r="D24" i="44"/>
  <c r="C24" i="44"/>
  <c r="B24" i="44"/>
  <c r="C18" i="44"/>
  <c r="D18" i="44" s="1"/>
  <c r="E18" i="44" s="1"/>
  <c r="F18" i="44" s="1"/>
  <c r="G18" i="44" s="1"/>
  <c r="H18" i="44" s="1"/>
  <c r="I18" i="44" s="1"/>
  <c r="J18" i="44" s="1"/>
  <c r="K18" i="44" s="1"/>
  <c r="L18" i="44" s="1"/>
  <c r="M18" i="44" s="1"/>
  <c r="A69" i="43"/>
  <c r="A68" i="43"/>
  <c r="A67" i="43"/>
  <c r="A66" i="43"/>
  <c r="A65" i="43"/>
  <c r="A64" i="43"/>
  <c r="A63" i="43"/>
  <c r="A62" i="43"/>
  <c r="A61" i="43"/>
  <c r="A60" i="43"/>
  <c r="A59" i="43"/>
  <c r="A58" i="43"/>
  <c r="A57" i="43"/>
  <c r="A56" i="43"/>
  <c r="A55" i="43"/>
  <c r="A54" i="43"/>
  <c r="A53" i="43"/>
  <c r="A52" i="43"/>
  <c r="A51" i="43"/>
  <c r="A50" i="43"/>
  <c r="A49" i="43"/>
  <c r="A48" i="43"/>
  <c r="A47" i="43"/>
  <c r="A46" i="43"/>
  <c r="A45" i="43"/>
  <c r="A44" i="43"/>
  <c r="A43" i="43"/>
  <c r="A42" i="43"/>
  <c r="A41" i="43"/>
  <c r="A40" i="43"/>
  <c r="A39" i="43"/>
  <c r="A38" i="43"/>
  <c r="M24" i="43"/>
  <c r="L24" i="43"/>
  <c r="K24" i="43"/>
  <c r="J24" i="43"/>
  <c r="I24" i="43"/>
  <c r="H24" i="43"/>
  <c r="G24" i="43"/>
  <c r="F24" i="43"/>
  <c r="E24" i="43"/>
  <c r="D24" i="43"/>
  <c r="C24" i="43"/>
  <c r="B24" i="43"/>
  <c r="D18" i="43"/>
  <c r="E18" i="43" s="1"/>
  <c r="F18" i="43" s="1"/>
  <c r="G18" i="43" s="1"/>
  <c r="H18" i="43" s="1"/>
  <c r="I18" i="43" s="1"/>
  <c r="J18" i="43" s="1"/>
  <c r="K18" i="43" s="1"/>
  <c r="L18" i="43" s="1"/>
  <c r="M18" i="43" s="1"/>
  <c r="C18" i="43"/>
  <c r="A89" i="42"/>
  <c r="A90" i="42"/>
  <c r="A91" i="42"/>
  <c r="A92" i="42"/>
  <c r="A93" i="42"/>
  <c r="A94" i="42"/>
  <c r="A95" i="42"/>
  <c r="A96" i="42"/>
  <c r="A97" i="42"/>
  <c r="A98" i="42"/>
  <c r="A99" i="42"/>
  <c r="A100" i="42"/>
  <c r="A101" i="42"/>
  <c r="A102" i="42"/>
  <c r="A103" i="42"/>
  <c r="A104" i="42"/>
  <c r="A105" i="42"/>
  <c r="A106" i="42"/>
  <c r="A107" i="42"/>
  <c r="A108" i="42"/>
  <c r="A109" i="42"/>
  <c r="A110" i="42"/>
  <c r="A111" i="42"/>
  <c r="A112" i="42"/>
  <c r="A113" i="42"/>
  <c r="A114" i="42"/>
  <c r="A115" i="42"/>
  <c r="A116" i="42"/>
  <c r="A117" i="42"/>
  <c r="A118" i="42"/>
  <c r="A119" i="42"/>
  <c r="A120" i="42"/>
  <c r="A121" i="42"/>
  <c r="A122" i="42"/>
  <c r="A123" i="42"/>
  <c r="A124" i="42"/>
  <c r="A125" i="42"/>
  <c r="A126" i="42"/>
  <c r="A127" i="42"/>
  <c r="A128" i="42"/>
  <c r="A129" i="42"/>
  <c r="A130" i="42"/>
  <c r="A131" i="42"/>
  <c r="A132" i="42"/>
  <c r="A133" i="42"/>
  <c r="A134" i="42"/>
  <c r="A135" i="42"/>
  <c r="A136" i="42"/>
  <c r="A137" i="42"/>
  <c r="A138" i="42"/>
  <c r="A139" i="42"/>
  <c r="A140" i="42"/>
  <c r="A141" i="42"/>
  <c r="A142" i="42"/>
  <c r="A143" i="42"/>
  <c r="A144" i="42"/>
  <c r="A145" i="42"/>
  <c r="A146" i="42"/>
  <c r="A147" i="42"/>
  <c r="A148" i="42"/>
  <c r="A149" i="42"/>
  <c r="A150" i="42"/>
  <c r="A151" i="42"/>
  <c r="A152" i="42"/>
  <c r="A153" i="42"/>
  <c r="A154" i="42"/>
  <c r="A155" i="42"/>
  <c r="A156" i="42"/>
  <c r="A157" i="42"/>
  <c r="A158" i="42"/>
  <c r="A159" i="42"/>
  <c r="A160" i="42"/>
  <c r="A161" i="42"/>
  <c r="A162" i="42"/>
  <c r="A163" i="42"/>
  <c r="A164" i="42"/>
  <c r="A165" i="42"/>
  <c r="A166" i="42"/>
  <c r="A167" i="42"/>
  <c r="A168" i="42"/>
  <c r="A169" i="42"/>
  <c r="A170" i="42"/>
  <c r="A171" i="42"/>
  <c r="A172" i="42"/>
  <c r="A173" i="42"/>
  <c r="A174" i="42"/>
  <c r="A175" i="42"/>
  <c r="A176" i="42"/>
  <c r="A177" i="42"/>
  <c r="A178" i="42"/>
  <c r="A179" i="42"/>
  <c r="A180" i="42"/>
  <c r="A181" i="42"/>
  <c r="A182" i="42"/>
  <c r="A183" i="42"/>
  <c r="A184" i="42"/>
  <c r="A185" i="42"/>
  <c r="A186" i="42"/>
  <c r="A187" i="42"/>
  <c r="A188" i="42"/>
  <c r="A189" i="42"/>
  <c r="A190" i="42"/>
  <c r="A191" i="42"/>
  <c r="A192" i="42"/>
  <c r="A193" i="42"/>
  <c r="A194" i="42"/>
  <c r="A195" i="42"/>
  <c r="A196" i="42"/>
  <c r="A197" i="42"/>
  <c r="A198" i="42"/>
  <c r="A199" i="42"/>
  <c r="A200" i="42"/>
  <c r="A201" i="42"/>
  <c r="A202" i="42"/>
  <c r="A203" i="42"/>
  <c r="A204" i="42"/>
  <c r="A205" i="42"/>
  <c r="A206" i="42"/>
  <c r="A207" i="42"/>
  <c r="A208" i="42"/>
  <c r="A209" i="42"/>
  <c r="A210" i="42"/>
  <c r="A211" i="42"/>
  <c r="A212" i="42"/>
  <c r="A213" i="42"/>
  <c r="A214" i="42"/>
  <c r="A215" i="42"/>
  <c r="A216" i="42"/>
  <c r="A217" i="42"/>
  <c r="A218" i="42"/>
  <c r="A219" i="42"/>
  <c r="A220" i="42"/>
  <c r="A221" i="42"/>
  <c r="A222" i="42"/>
  <c r="A223" i="42"/>
  <c r="A224" i="42"/>
  <c r="A225" i="42"/>
  <c r="A226" i="42"/>
  <c r="A227" i="42"/>
  <c r="A228" i="42"/>
  <c r="A229" i="42"/>
  <c r="A230" i="42"/>
  <c r="A231" i="42"/>
  <c r="A232" i="42"/>
  <c r="A233" i="42"/>
  <c r="A234" i="42"/>
  <c r="A235" i="42"/>
  <c r="A236" i="42"/>
  <c r="A237" i="42"/>
  <c r="A238" i="42"/>
  <c r="A239" i="42"/>
  <c r="A240" i="42"/>
  <c r="A241" i="42"/>
  <c r="A242" i="42"/>
  <c r="A243" i="42"/>
  <c r="A244" i="42"/>
  <c r="A245" i="42"/>
  <c r="A246" i="42"/>
  <c r="A247" i="42"/>
  <c r="A248" i="42"/>
  <c r="A249" i="42"/>
  <c r="A250" i="42"/>
  <c r="A251" i="42"/>
  <c r="A252" i="42"/>
  <c r="A253" i="42"/>
  <c r="A254" i="42"/>
  <c r="A255" i="42"/>
  <c r="A256" i="42"/>
  <c r="A257" i="42"/>
  <c r="A258" i="42"/>
  <c r="A259" i="42"/>
  <c r="A260" i="42"/>
  <c r="A261" i="42"/>
  <c r="A262" i="42"/>
  <c r="A263" i="42"/>
  <c r="A264" i="42"/>
  <c r="A265" i="42"/>
  <c r="A266" i="42"/>
  <c r="A267" i="42"/>
  <c r="A268" i="42"/>
  <c r="A269" i="42"/>
  <c r="A270" i="42"/>
  <c r="A271" i="42"/>
  <c r="A272" i="42"/>
  <c r="A273" i="42"/>
  <c r="A274" i="42"/>
  <c r="A275" i="42"/>
  <c r="A276" i="42"/>
  <c r="A277" i="42"/>
  <c r="A278" i="42"/>
  <c r="A279" i="42"/>
  <c r="A280" i="42"/>
  <c r="A281" i="42"/>
  <c r="A282" i="42"/>
  <c r="A283" i="42"/>
  <c r="A284" i="42"/>
  <c r="A285" i="42"/>
  <c r="A286" i="42"/>
  <c r="A287" i="42"/>
  <c r="A288" i="42"/>
  <c r="A289" i="42"/>
  <c r="A290" i="42"/>
  <c r="A291" i="42"/>
  <c r="A292" i="42"/>
  <c r="A293" i="42"/>
  <c r="A294" i="42"/>
  <c r="A295" i="42"/>
  <c r="A296" i="42"/>
  <c r="A297" i="42"/>
  <c r="A298" i="42"/>
  <c r="A299" i="42"/>
  <c r="A300" i="42"/>
  <c r="A301" i="42"/>
  <c r="A302" i="42"/>
  <c r="A303" i="42"/>
  <c r="A304" i="42"/>
  <c r="A305" i="42"/>
  <c r="A306" i="42"/>
  <c r="A307" i="42"/>
  <c r="A308" i="42"/>
  <c r="A309" i="42"/>
  <c r="A310" i="42"/>
  <c r="A311" i="42"/>
  <c r="A312" i="42"/>
  <c r="A313" i="42"/>
  <c r="A314" i="42"/>
  <c r="A315" i="42"/>
  <c r="A316" i="42"/>
  <c r="A317" i="42"/>
  <c r="A318" i="42"/>
  <c r="A319" i="42"/>
  <c r="A320" i="42"/>
  <c r="A321" i="42"/>
  <c r="A322" i="42"/>
  <c r="A323" i="42"/>
  <c r="A324" i="42"/>
  <c r="A325" i="42"/>
  <c r="A326" i="42"/>
  <c r="A327" i="42"/>
  <c r="A328" i="42"/>
  <c r="A329" i="42"/>
  <c r="A330" i="42"/>
  <c r="A331" i="42"/>
  <c r="A332" i="42"/>
  <c r="A333" i="42"/>
  <c r="A334" i="42"/>
  <c r="A335" i="42"/>
  <c r="A336" i="42"/>
  <c r="A337" i="42"/>
  <c r="A338" i="42"/>
  <c r="A339" i="42"/>
  <c r="A340" i="42"/>
  <c r="A341" i="42"/>
  <c r="A342" i="42"/>
  <c r="A343" i="42"/>
  <c r="A344" i="42"/>
  <c r="A345" i="42"/>
  <c r="A346" i="42"/>
  <c r="A347" i="42"/>
  <c r="A348" i="42"/>
  <c r="A349" i="42"/>
  <c r="A350" i="42"/>
  <c r="A351" i="42"/>
  <c r="A352" i="42"/>
  <c r="A353" i="42"/>
  <c r="A354" i="42"/>
  <c r="A355" i="42"/>
  <c r="A356" i="42"/>
  <c r="A357" i="42"/>
  <c r="A358" i="42"/>
  <c r="A359" i="42"/>
  <c r="A360" i="42"/>
  <c r="A361" i="42"/>
  <c r="A362" i="42"/>
  <c r="A363" i="42"/>
  <c r="A364" i="42"/>
  <c r="A365" i="42"/>
  <c r="A366" i="42"/>
  <c r="A367" i="42"/>
  <c r="A368" i="42"/>
  <c r="A369" i="42"/>
  <c r="A370" i="42"/>
  <c r="A371" i="42"/>
  <c r="A372" i="42"/>
  <c r="A373" i="42"/>
  <c r="A374" i="42"/>
  <c r="A375" i="42"/>
  <c r="A376" i="42"/>
  <c r="A377" i="42"/>
  <c r="A378" i="42"/>
  <c r="A379" i="42"/>
  <c r="A380" i="42"/>
  <c r="A381" i="42"/>
  <c r="A382" i="42"/>
  <c r="A383" i="42"/>
  <c r="A384" i="42"/>
  <c r="A385" i="42"/>
  <c r="A386" i="42"/>
  <c r="A387" i="42"/>
  <c r="A388" i="42"/>
  <c r="A389" i="42"/>
  <c r="A390" i="42"/>
  <c r="A391" i="42"/>
  <c r="A392" i="42"/>
  <c r="A393" i="42"/>
  <c r="A394" i="42"/>
  <c r="A395" i="42"/>
  <c r="A396" i="42"/>
  <c r="A397" i="42"/>
  <c r="A398" i="42"/>
  <c r="A399" i="42"/>
  <c r="A400" i="42"/>
  <c r="A401" i="42"/>
  <c r="A402" i="42"/>
  <c r="A403" i="42"/>
  <c r="A404" i="42"/>
  <c r="A405" i="42"/>
  <c r="A406" i="42"/>
  <c r="A407" i="42"/>
  <c r="A408" i="42"/>
  <c r="A409" i="42"/>
  <c r="A410" i="42"/>
  <c r="A411" i="42"/>
  <c r="A412" i="42"/>
  <c r="A413" i="42"/>
  <c r="A414" i="42"/>
  <c r="A415" i="42"/>
  <c r="A416" i="42"/>
  <c r="A417" i="42"/>
  <c r="A418" i="42"/>
  <c r="A419" i="42"/>
  <c r="A420" i="42"/>
  <c r="A421" i="42"/>
  <c r="A422" i="42"/>
  <c r="A423" i="42"/>
  <c r="A424" i="42"/>
  <c r="A425" i="42"/>
  <c r="A426" i="42"/>
  <c r="A427" i="42"/>
  <c r="A428" i="42"/>
  <c r="A429" i="42"/>
  <c r="A430" i="42"/>
  <c r="A431" i="42"/>
  <c r="A432" i="42"/>
  <c r="A433" i="42"/>
  <c r="A434" i="42"/>
  <c r="A435" i="42"/>
  <c r="A436" i="42"/>
  <c r="A437" i="42"/>
  <c r="A438" i="42"/>
  <c r="A439" i="42"/>
  <c r="A440" i="42"/>
  <c r="A441" i="42"/>
  <c r="A442" i="42"/>
  <c r="A443" i="42"/>
  <c r="A444" i="42"/>
  <c r="A445" i="42"/>
  <c r="A446" i="42"/>
  <c r="A447" i="42"/>
  <c r="A448" i="42"/>
  <c r="A449" i="42"/>
  <c r="A450" i="42"/>
  <c r="A451" i="42"/>
  <c r="A452" i="42"/>
  <c r="A453" i="42"/>
  <c r="A454" i="42"/>
  <c r="A455" i="42"/>
  <c r="A456" i="42"/>
  <c r="A457" i="42"/>
  <c r="A458" i="42"/>
  <c r="A459" i="42"/>
  <c r="A460" i="42"/>
  <c r="A461" i="42"/>
  <c r="A462" i="42"/>
  <c r="A463" i="42"/>
  <c r="A464" i="42"/>
  <c r="A465" i="42"/>
  <c r="A88" i="42"/>
  <c r="A87" i="42"/>
  <c r="A86" i="42"/>
  <c r="A85" i="42"/>
  <c r="A84" i="42"/>
  <c r="A83" i="42"/>
  <c r="A82" i="42"/>
  <c r="A81" i="42"/>
  <c r="A80" i="42"/>
  <c r="A79" i="42"/>
  <c r="A78" i="42"/>
  <c r="A77" i="42"/>
  <c r="A76" i="42"/>
  <c r="A75" i="42"/>
  <c r="A74" i="42"/>
  <c r="A73" i="42"/>
  <c r="A72" i="42"/>
  <c r="A71" i="42"/>
  <c r="A70" i="42"/>
  <c r="A69" i="42"/>
  <c r="A68" i="42"/>
  <c r="A67" i="42"/>
  <c r="A66" i="42"/>
  <c r="A65" i="42"/>
  <c r="A64" i="42"/>
  <c r="A63" i="42"/>
  <c r="A62" i="42"/>
  <c r="A61" i="42"/>
  <c r="A60" i="42"/>
  <c r="A59" i="42"/>
  <c r="A58" i="42"/>
  <c r="A57" i="42"/>
  <c r="A56" i="42"/>
  <c r="A55" i="42"/>
  <c r="A54" i="42"/>
  <c r="A53" i="42"/>
  <c r="A52" i="42"/>
  <c r="A51" i="42"/>
  <c r="A50" i="42"/>
  <c r="M24" i="42"/>
  <c r="L24" i="42"/>
  <c r="K24" i="42"/>
  <c r="J24" i="42"/>
  <c r="I24" i="42"/>
  <c r="H24" i="42"/>
  <c r="G24" i="42"/>
  <c r="F24" i="42"/>
  <c r="E24" i="42"/>
  <c r="D24" i="42"/>
  <c r="C24" i="42"/>
  <c r="B24" i="42"/>
  <c r="C18" i="42"/>
  <c r="D18" i="42" s="1"/>
  <c r="E18" i="42" s="1"/>
  <c r="F18" i="42" s="1"/>
  <c r="G18" i="42" s="1"/>
  <c r="H18" i="42" s="1"/>
  <c r="I18" i="42" s="1"/>
  <c r="J18" i="42" s="1"/>
  <c r="K18" i="42" s="1"/>
  <c r="L18" i="42" s="1"/>
  <c r="M18" i="42" s="1"/>
  <c r="A94" i="40"/>
  <c r="A95" i="40"/>
  <c r="A96" i="40"/>
  <c r="A97" i="40"/>
  <c r="A98" i="40"/>
  <c r="A99" i="40"/>
  <c r="A100" i="40"/>
  <c r="A101" i="40"/>
  <c r="A102" i="40"/>
  <c r="A103" i="40"/>
  <c r="A104" i="40"/>
  <c r="A105" i="40"/>
  <c r="A106" i="40"/>
  <c r="A107" i="40"/>
  <c r="A108" i="40"/>
  <c r="A109" i="40"/>
  <c r="A110" i="40"/>
  <c r="A111" i="40"/>
  <c r="A112" i="40"/>
  <c r="A113" i="40"/>
  <c r="A114" i="40"/>
  <c r="A115" i="40"/>
  <c r="A116" i="40"/>
  <c r="A117" i="40"/>
  <c r="A118" i="40"/>
  <c r="A119" i="40"/>
  <c r="A120" i="40"/>
  <c r="A121" i="40"/>
  <c r="A122" i="40"/>
  <c r="A123" i="40"/>
  <c r="A124" i="40"/>
  <c r="A125" i="40"/>
  <c r="A126" i="40"/>
  <c r="A127" i="40"/>
  <c r="A128" i="40"/>
  <c r="A129" i="40"/>
  <c r="A130" i="40"/>
  <c r="A131" i="40"/>
  <c r="A132" i="40"/>
  <c r="A133" i="40"/>
  <c r="A134" i="40"/>
  <c r="A135" i="40"/>
  <c r="A136" i="40"/>
  <c r="A137" i="40"/>
  <c r="A138" i="40"/>
  <c r="A139" i="40"/>
  <c r="A140" i="40"/>
  <c r="A141" i="40"/>
  <c r="A142" i="40"/>
  <c r="A143" i="40"/>
  <c r="A144" i="40"/>
  <c r="A145" i="40"/>
  <c r="A146" i="40"/>
  <c r="A147" i="40"/>
  <c r="A148" i="40"/>
  <c r="A149" i="40"/>
  <c r="A150" i="40"/>
  <c r="A151" i="40"/>
  <c r="A152" i="40"/>
  <c r="A153" i="40"/>
  <c r="A154" i="40"/>
  <c r="A155" i="40"/>
  <c r="A156" i="40"/>
  <c r="A157" i="40"/>
  <c r="A158" i="40"/>
  <c r="A159" i="40"/>
  <c r="A160" i="40"/>
  <c r="A161" i="40"/>
  <c r="A162" i="40"/>
  <c r="A163" i="40"/>
  <c r="A164" i="40"/>
  <c r="A165" i="40"/>
  <c r="A166" i="40"/>
  <c r="A167" i="40"/>
  <c r="A168" i="40"/>
  <c r="A169" i="40"/>
  <c r="A170" i="40"/>
  <c r="A171" i="40"/>
  <c r="A172" i="40"/>
  <c r="A173" i="40"/>
  <c r="A174" i="40"/>
  <c r="A175" i="40"/>
  <c r="A176" i="40"/>
  <c r="A177" i="40"/>
  <c r="A178" i="40"/>
  <c r="A179" i="40"/>
  <c r="A180" i="40"/>
  <c r="A181" i="40"/>
  <c r="A182" i="40"/>
  <c r="A183" i="40"/>
  <c r="A184" i="40"/>
  <c r="A185" i="40"/>
  <c r="A186" i="40"/>
  <c r="A187" i="40"/>
  <c r="A188" i="40"/>
  <c r="A189" i="40"/>
  <c r="A190" i="40"/>
  <c r="A191" i="40"/>
  <c r="A192" i="40"/>
  <c r="A193" i="40"/>
  <c r="A194" i="40"/>
  <c r="A195" i="40"/>
  <c r="A196" i="40"/>
  <c r="A197" i="40"/>
  <c r="A198" i="40"/>
  <c r="A199" i="40"/>
  <c r="A200" i="40"/>
  <c r="A201" i="40"/>
  <c r="A202" i="40"/>
  <c r="A203" i="40"/>
  <c r="A204" i="40"/>
  <c r="A205" i="40"/>
  <c r="A206" i="40"/>
  <c r="A207" i="40"/>
  <c r="A208" i="40"/>
  <c r="A209" i="40"/>
  <c r="A210" i="40"/>
  <c r="A211" i="40"/>
  <c r="A212" i="40"/>
  <c r="A213" i="40"/>
  <c r="A214" i="40"/>
  <c r="A215" i="40"/>
  <c r="A216" i="40"/>
  <c r="A217" i="40"/>
  <c r="A218" i="40"/>
  <c r="A219" i="40"/>
  <c r="A220" i="40"/>
  <c r="A221" i="40"/>
  <c r="A222" i="40"/>
  <c r="A223" i="40"/>
  <c r="A224" i="40"/>
  <c r="A225" i="40"/>
  <c r="A226" i="40"/>
  <c r="A227" i="40"/>
  <c r="A228" i="40"/>
  <c r="A229" i="40"/>
  <c r="A230" i="40"/>
  <c r="A231" i="40"/>
  <c r="A232" i="40"/>
  <c r="A233" i="40"/>
  <c r="A234" i="40"/>
  <c r="A235" i="40"/>
  <c r="A236" i="40"/>
  <c r="A237" i="40"/>
  <c r="A238" i="40"/>
  <c r="A239" i="40"/>
  <c r="A240" i="40"/>
  <c r="A241" i="40"/>
  <c r="A242" i="40"/>
  <c r="A243" i="40"/>
  <c r="A244" i="40"/>
  <c r="A245" i="40"/>
  <c r="A246" i="40"/>
  <c r="A247" i="40"/>
  <c r="A248" i="40"/>
  <c r="A249" i="40"/>
  <c r="A250" i="40"/>
  <c r="A251" i="40"/>
  <c r="A252" i="40"/>
  <c r="A253" i="40"/>
  <c r="A254" i="40"/>
  <c r="A255" i="40"/>
  <c r="A256" i="40"/>
  <c r="A257" i="40"/>
  <c r="A258" i="40"/>
  <c r="A259" i="40"/>
  <c r="A260" i="40"/>
  <c r="A261" i="40"/>
  <c r="A262" i="40"/>
  <c r="A263" i="40"/>
  <c r="A264" i="40"/>
  <c r="A265" i="40"/>
  <c r="A266" i="40"/>
  <c r="A267" i="40"/>
  <c r="A268" i="40"/>
  <c r="A269" i="40"/>
  <c r="A270" i="40"/>
  <c r="A271" i="40"/>
  <c r="A272" i="40"/>
  <c r="A273" i="40"/>
  <c r="A274" i="40"/>
  <c r="A275" i="40"/>
  <c r="A276" i="40"/>
  <c r="A277" i="40"/>
  <c r="A278" i="40"/>
  <c r="A279" i="40"/>
  <c r="A280" i="40"/>
  <c r="A281" i="40"/>
  <c r="A282" i="40"/>
  <c r="A283" i="40"/>
  <c r="A284" i="40"/>
  <c r="A285" i="40"/>
  <c r="A286" i="40"/>
  <c r="A287" i="40"/>
  <c r="A288" i="40"/>
  <c r="A289" i="40"/>
  <c r="A290" i="40"/>
  <c r="A291" i="40"/>
  <c r="A292" i="40"/>
  <c r="A293" i="40"/>
  <c r="A294" i="40"/>
  <c r="A295" i="40"/>
  <c r="A296" i="40"/>
  <c r="A297" i="40"/>
  <c r="A298" i="40"/>
  <c r="A299" i="40"/>
  <c r="A300" i="40"/>
  <c r="A301" i="40"/>
  <c r="A302" i="40"/>
  <c r="A303" i="40"/>
  <c r="A304" i="40"/>
  <c r="A305" i="40"/>
  <c r="A306" i="40"/>
  <c r="A307" i="40"/>
  <c r="A308" i="40"/>
  <c r="A309" i="40"/>
  <c r="A310" i="40"/>
  <c r="A311" i="40"/>
  <c r="A312" i="40"/>
  <c r="A313" i="40"/>
  <c r="A314" i="40"/>
  <c r="A315" i="40"/>
  <c r="A316" i="40"/>
  <c r="A317" i="40"/>
  <c r="A318" i="40"/>
  <c r="A319" i="40"/>
  <c r="A320" i="40"/>
  <c r="A321" i="40"/>
  <c r="A322" i="40"/>
  <c r="A323" i="40"/>
  <c r="A324" i="40"/>
  <c r="A325" i="40"/>
  <c r="A326" i="40"/>
  <c r="A327" i="40"/>
  <c r="A328" i="40"/>
  <c r="A329" i="40"/>
  <c r="A330" i="40"/>
  <c r="A331" i="40"/>
  <c r="A332" i="40"/>
  <c r="A333" i="40"/>
  <c r="A334" i="40"/>
  <c r="A335" i="40"/>
  <c r="A336" i="40"/>
  <c r="A337" i="40"/>
  <c r="A338" i="40"/>
  <c r="A339" i="40"/>
  <c r="A340" i="40"/>
  <c r="A341" i="40"/>
  <c r="A342" i="40"/>
  <c r="A343" i="40"/>
  <c r="A344" i="40"/>
  <c r="A345" i="40"/>
  <c r="A346" i="40"/>
  <c r="A347" i="40"/>
  <c r="A348" i="40"/>
  <c r="A349" i="40"/>
  <c r="A350" i="40"/>
  <c r="A351" i="40"/>
  <c r="A352" i="40"/>
  <c r="A353" i="40"/>
  <c r="A354" i="40"/>
  <c r="A355" i="40"/>
  <c r="A356" i="40"/>
  <c r="A357" i="40"/>
  <c r="A358" i="40"/>
  <c r="A359" i="40"/>
  <c r="A360" i="40"/>
  <c r="A361" i="40"/>
  <c r="A362" i="40"/>
  <c r="A363" i="40"/>
  <c r="A364" i="40"/>
  <c r="A365" i="40"/>
  <c r="A366" i="40"/>
  <c r="A367" i="40"/>
  <c r="A368" i="40"/>
  <c r="A369" i="40"/>
  <c r="A370" i="40"/>
  <c r="A371" i="40"/>
  <c r="A372" i="40"/>
  <c r="A373" i="40"/>
  <c r="A374" i="40"/>
  <c r="A375" i="40"/>
  <c r="A376" i="40"/>
  <c r="A377" i="40"/>
  <c r="A378" i="40"/>
  <c r="A379" i="40"/>
  <c r="A380" i="40"/>
  <c r="A381" i="40"/>
  <c r="A382" i="40"/>
  <c r="A383" i="40"/>
  <c r="A384" i="40"/>
  <c r="A385" i="40"/>
  <c r="A386" i="40"/>
  <c r="A387" i="40"/>
  <c r="A388" i="40"/>
  <c r="A389" i="40"/>
  <c r="A390" i="40"/>
  <c r="A391" i="40"/>
  <c r="A392" i="40"/>
  <c r="A393" i="40"/>
  <c r="A394" i="40"/>
  <c r="A395" i="40"/>
  <c r="A396" i="40"/>
  <c r="A397" i="40"/>
  <c r="A398" i="40"/>
  <c r="A399" i="40"/>
  <c r="A400" i="40"/>
  <c r="A401" i="40"/>
  <c r="A402" i="40"/>
  <c r="A403" i="40"/>
  <c r="A404" i="40"/>
  <c r="A405" i="40"/>
  <c r="A406" i="40"/>
  <c r="A407" i="40"/>
  <c r="A408" i="40"/>
  <c r="A409" i="40"/>
  <c r="A410" i="40"/>
  <c r="A411" i="40"/>
  <c r="A412" i="40"/>
  <c r="A413" i="40"/>
  <c r="A414" i="40"/>
  <c r="A415" i="40"/>
  <c r="A416" i="40"/>
  <c r="A417" i="40"/>
  <c r="A418" i="40"/>
  <c r="A419" i="40"/>
  <c r="A420" i="40"/>
  <c r="A421" i="40"/>
  <c r="A422" i="40"/>
  <c r="A423" i="40"/>
  <c r="A424" i="40"/>
  <c r="A425" i="40"/>
  <c r="A426" i="40"/>
  <c r="A427" i="40"/>
  <c r="A428" i="40"/>
  <c r="A429" i="40"/>
  <c r="A430" i="40"/>
  <c r="A431" i="40"/>
  <c r="A432" i="40"/>
  <c r="A433" i="40"/>
  <c r="A434" i="40"/>
  <c r="A435" i="40"/>
  <c r="A436" i="40"/>
  <c r="A437" i="40"/>
  <c r="A438" i="40"/>
  <c r="A439" i="40"/>
  <c r="A440" i="40"/>
  <c r="A441" i="40"/>
  <c r="A442" i="40"/>
  <c r="A443" i="40"/>
  <c r="A444" i="40"/>
  <c r="A445" i="40"/>
  <c r="A446" i="40"/>
  <c r="A447" i="40"/>
  <c r="A448" i="40"/>
  <c r="A449" i="40"/>
  <c r="A450" i="40"/>
  <c r="A451" i="40"/>
  <c r="A452" i="40"/>
  <c r="A453" i="40"/>
  <c r="A454" i="40"/>
  <c r="A455" i="40"/>
  <c r="A456" i="40"/>
  <c r="A457" i="40"/>
  <c r="A458" i="40"/>
  <c r="A459" i="40"/>
  <c r="A460" i="40"/>
  <c r="A461" i="40"/>
  <c r="A462" i="40"/>
  <c r="A463" i="40"/>
  <c r="A464" i="40"/>
  <c r="A465" i="40"/>
  <c r="A466" i="40"/>
  <c r="A467" i="40"/>
  <c r="A468" i="40"/>
  <c r="A469" i="40"/>
  <c r="A470" i="40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7" i="41"/>
  <c r="A428" i="41"/>
  <c r="A429" i="41"/>
  <c r="A430" i="41"/>
  <c r="A431" i="41"/>
  <c r="A432" i="41"/>
  <c r="A433" i="41"/>
  <c r="A434" i="41"/>
  <c r="A435" i="41"/>
  <c r="A436" i="41"/>
  <c r="A437" i="41"/>
  <c r="A92" i="41"/>
  <c r="A91" i="41"/>
  <c r="A90" i="41"/>
  <c r="A89" i="41"/>
  <c r="A88" i="41"/>
  <c r="A87" i="41"/>
  <c r="A86" i="41"/>
  <c r="A85" i="41"/>
  <c r="A84" i="41"/>
  <c r="A83" i="41"/>
  <c r="A82" i="41"/>
  <c r="A81" i="41"/>
  <c r="A80" i="41"/>
  <c r="A79" i="41"/>
  <c r="A78" i="41"/>
  <c r="A77" i="41"/>
  <c r="A76" i="41"/>
  <c r="A75" i="41"/>
  <c r="A74" i="41"/>
  <c r="A73" i="41"/>
  <c r="A72" i="41"/>
  <c r="A71" i="41"/>
  <c r="A70" i="41"/>
  <c r="A69" i="41"/>
  <c r="A68" i="41"/>
  <c r="A67" i="41"/>
  <c r="A66" i="41"/>
  <c r="A65" i="41"/>
  <c r="A64" i="41"/>
  <c r="A63" i="41"/>
  <c r="A62" i="41"/>
  <c r="A61" i="41"/>
  <c r="A60" i="41"/>
  <c r="A59" i="41"/>
  <c r="A58" i="41"/>
  <c r="A57" i="41"/>
  <c r="A56" i="41"/>
  <c r="A55" i="41"/>
  <c r="A5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C18" i="41"/>
  <c r="D18" i="41" s="1"/>
  <c r="E18" i="41" s="1"/>
  <c r="F18" i="41" s="1"/>
  <c r="G18" i="41" s="1"/>
  <c r="H18" i="41" s="1"/>
  <c r="I18" i="41" s="1"/>
  <c r="J18" i="41" s="1"/>
  <c r="K18" i="41" s="1"/>
  <c r="L18" i="41" s="1"/>
  <c r="M18" i="41" s="1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78" i="40"/>
  <c r="A77" i="40"/>
  <c r="A76" i="40"/>
  <c r="A75" i="40"/>
  <c r="A74" i="40"/>
  <c r="A73" i="40"/>
  <c r="A72" i="40"/>
  <c r="A71" i="40"/>
  <c r="A70" i="40"/>
  <c r="A69" i="40"/>
  <c r="A67" i="40"/>
  <c r="A66" i="40"/>
  <c r="A65" i="40"/>
  <c r="A64" i="40"/>
  <c r="A63" i="40"/>
  <c r="A62" i="40"/>
  <c r="A61" i="40"/>
  <c r="A60" i="40"/>
  <c r="A59" i="40"/>
  <c r="A58" i="40"/>
  <c r="A57" i="40"/>
  <c r="A56" i="40"/>
  <c r="A55" i="40"/>
  <c r="M24" i="40"/>
  <c r="L24" i="40"/>
  <c r="K24" i="40"/>
  <c r="J24" i="40"/>
  <c r="I24" i="40"/>
  <c r="H24" i="40"/>
  <c r="G24" i="40"/>
  <c r="F24" i="40"/>
  <c r="E24" i="40"/>
  <c r="D24" i="40"/>
  <c r="C24" i="40"/>
  <c r="B24" i="40"/>
  <c r="D18" i="40"/>
  <c r="E18" i="40" s="1"/>
  <c r="F18" i="40" s="1"/>
  <c r="G18" i="40" s="1"/>
  <c r="H18" i="40" s="1"/>
  <c r="I18" i="40" s="1"/>
  <c r="J18" i="40" s="1"/>
  <c r="K18" i="40" s="1"/>
  <c r="L18" i="40" s="1"/>
  <c r="M18" i="40" s="1"/>
  <c r="C18" i="40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89" i="39"/>
  <c r="A88" i="39"/>
  <c r="A87" i="39"/>
  <c r="A86" i="39"/>
  <c r="A85" i="39"/>
  <c r="A84" i="39"/>
  <c r="A83" i="39"/>
  <c r="A82" i="39"/>
  <c r="A81" i="39"/>
  <c r="A80" i="39"/>
  <c r="A79" i="39"/>
  <c r="A78" i="39"/>
  <c r="A77" i="39"/>
  <c r="A76" i="39"/>
  <c r="A75" i="39"/>
  <c r="A74" i="39"/>
  <c r="A73" i="39"/>
  <c r="A72" i="39"/>
  <c r="A71" i="39"/>
  <c r="A70" i="39"/>
  <c r="A69" i="39"/>
  <c r="A68" i="39"/>
  <c r="A67" i="39"/>
  <c r="A66" i="39"/>
  <c r="A65" i="39"/>
  <c r="A64" i="39"/>
  <c r="A63" i="39"/>
  <c r="A62" i="39"/>
  <c r="A61" i="39"/>
  <c r="A60" i="39"/>
  <c r="A59" i="39"/>
  <c r="A58" i="39"/>
  <c r="A57" i="39"/>
  <c r="A56" i="39"/>
  <c r="A55" i="39"/>
  <c r="A54" i="39"/>
  <c r="A53" i="39"/>
  <c r="A52" i="39"/>
  <c r="A51" i="39"/>
  <c r="M24" i="39"/>
  <c r="L24" i="39"/>
  <c r="K24" i="39"/>
  <c r="J24" i="39"/>
  <c r="I24" i="39"/>
  <c r="H24" i="39"/>
  <c r="G24" i="39"/>
  <c r="F24" i="39"/>
  <c r="E24" i="39"/>
  <c r="D24" i="39"/>
  <c r="C24" i="39"/>
  <c r="B24" i="39"/>
  <c r="C18" i="39"/>
  <c r="D18" i="39" s="1"/>
  <c r="E18" i="39" s="1"/>
  <c r="F18" i="39" s="1"/>
  <c r="G18" i="39" s="1"/>
  <c r="H18" i="39" s="1"/>
  <c r="I18" i="39" s="1"/>
  <c r="J18" i="39" s="1"/>
  <c r="K18" i="39" s="1"/>
  <c r="L18" i="39" s="1"/>
  <c r="M18" i="39" s="1"/>
  <c r="A77" i="38"/>
  <c r="A78" i="38"/>
  <c r="A79" i="38"/>
  <c r="A80" i="38"/>
  <c r="A81" i="38"/>
  <c r="A82" i="38"/>
  <c r="A83" i="38"/>
  <c r="A84" i="38"/>
  <c r="A85" i="38"/>
  <c r="A86" i="38"/>
  <c r="A87" i="38"/>
  <c r="A88" i="38"/>
  <c r="A89" i="38"/>
  <c r="A90" i="38"/>
  <c r="A91" i="38"/>
  <c r="A92" i="38"/>
  <c r="A93" i="38"/>
  <c r="A94" i="38"/>
  <c r="A95" i="38"/>
  <c r="A96" i="38"/>
  <c r="A97" i="38"/>
  <c r="A98" i="38"/>
  <c r="A99" i="38"/>
  <c r="A100" i="38"/>
  <c r="A101" i="38"/>
  <c r="A102" i="38"/>
  <c r="A103" i="38"/>
  <c r="A104" i="38"/>
  <c r="A105" i="38"/>
  <c r="A106" i="38"/>
  <c r="A107" i="38"/>
  <c r="A108" i="38"/>
  <c r="A109" i="38"/>
  <c r="A110" i="38"/>
  <c r="A111" i="38"/>
  <c r="A112" i="38"/>
  <c r="A113" i="38"/>
  <c r="A114" i="38"/>
  <c r="A115" i="38"/>
  <c r="A116" i="38"/>
  <c r="A117" i="38"/>
  <c r="A118" i="38"/>
  <c r="A119" i="38"/>
  <c r="A120" i="38"/>
  <c r="A121" i="38"/>
  <c r="A122" i="38"/>
  <c r="A123" i="38"/>
  <c r="A124" i="38"/>
  <c r="A125" i="38"/>
  <c r="A126" i="38"/>
  <c r="A127" i="38"/>
  <c r="A128" i="38"/>
  <c r="A129" i="38"/>
  <c r="A130" i="38"/>
  <c r="A131" i="38"/>
  <c r="A132" i="38"/>
  <c r="A133" i="38"/>
  <c r="A76" i="38"/>
  <c r="A75" i="38"/>
  <c r="A74" i="38"/>
  <c r="A73" i="38"/>
  <c r="A72" i="38"/>
  <c r="A71" i="38"/>
  <c r="A70" i="38"/>
  <c r="A69" i="38"/>
  <c r="A68" i="38"/>
  <c r="A67" i="38"/>
  <c r="A66" i="38"/>
  <c r="A65" i="38"/>
  <c r="A64" i="38"/>
  <c r="A63" i="38"/>
  <c r="A62" i="38"/>
  <c r="A61" i="38"/>
  <c r="A60" i="38"/>
  <c r="A59" i="38"/>
  <c r="A58" i="38"/>
  <c r="A57" i="38"/>
  <c r="A56" i="38"/>
  <c r="A55" i="38"/>
  <c r="A54" i="38"/>
  <c r="A53" i="38"/>
  <c r="A52" i="38"/>
  <c r="A51" i="38"/>
  <c r="A50" i="38"/>
  <c r="A49" i="38"/>
  <c r="A48" i="38"/>
  <c r="A47" i="38"/>
  <c r="A46" i="38"/>
  <c r="A45" i="38"/>
  <c r="A44" i="38"/>
  <c r="A43" i="38"/>
  <c r="A42" i="38"/>
  <c r="A41" i="38"/>
  <c r="A40" i="38"/>
  <c r="A39" i="38"/>
  <c r="A38" i="38"/>
  <c r="M24" i="38"/>
  <c r="L24" i="38"/>
  <c r="K24" i="38"/>
  <c r="J24" i="38"/>
  <c r="I24" i="38"/>
  <c r="H24" i="38"/>
  <c r="G24" i="38"/>
  <c r="F24" i="38"/>
  <c r="E24" i="38"/>
  <c r="D24" i="38"/>
  <c r="C24" i="38"/>
  <c r="B24" i="38"/>
  <c r="C18" i="38"/>
  <c r="D18" i="38" s="1"/>
  <c r="E18" i="38" s="1"/>
  <c r="F18" i="38" s="1"/>
  <c r="G18" i="38" s="1"/>
  <c r="H18" i="38" s="1"/>
  <c r="I18" i="38" s="1"/>
  <c r="J18" i="38" s="1"/>
  <c r="K18" i="38" s="1"/>
  <c r="L18" i="38" s="1"/>
  <c r="M18" i="38" s="1"/>
  <c r="A69" i="37"/>
  <c r="A68" i="37"/>
  <c r="A67" i="37"/>
  <c r="A66" i="37"/>
  <c r="A65" i="37"/>
  <c r="A64" i="37"/>
  <c r="A63" i="37"/>
  <c r="A62" i="37"/>
  <c r="A61" i="37"/>
  <c r="A60" i="37"/>
  <c r="A59" i="37"/>
  <c r="A58" i="37"/>
  <c r="A57" i="37"/>
  <c r="A56" i="37"/>
  <c r="A55" i="37"/>
  <c r="A54" i="37"/>
  <c r="A53" i="37"/>
  <c r="A52" i="37"/>
  <c r="A51" i="37"/>
  <c r="A50" i="37"/>
  <c r="A49" i="37"/>
  <c r="A48" i="37"/>
  <c r="A47" i="37"/>
  <c r="A46" i="37"/>
  <c r="A45" i="37"/>
  <c r="A44" i="37"/>
  <c r="A43" i="37"/>
  <c r="A42" i="37"/>
  <c r="A41" i="37"/>
  <c r="A40" i="37"/>
  <c r="A39" i="37"/>
  <c r="A38" i="37"/>
  <c r="L33" i="37"/>
  <c r="L31" i="37"/>
  <c r="L29" i="37"/>
  <c r="L27" i="37"/>
  <c r="L25" i="37"/>
  <c r="M24" i="37"/>
  <c r="M33" i="37" s="1"/>
  <c r="L24" i="37"/>
  <c r="L34" i="37" s="1"/>
  <c r="K24" i="37"/>
  <c r="K30" i="37" s="1"/>
  <c r="J24" i="37"/>
  <c r="I24" i="37"/>
  <c r="H24" i="37"/>
  <c r="G24" i="37"/>
  <c r="F24" i="37"/>
  <c r="E24" i="37"/>
  <c r="D24" i="37"/>
  <c r="C24" i="37"/>
  <c r="B24" i="37"/>
  <c r="D18" i="37"/>
  <c r="E18" i="37" s="1"/>
  <c r="F18" i="37" s="1"/>
  <c r="G18" i="37" s="1"/>
  <c r="H18" i="37" s="1"/>
  <c r="I18" i="37" s="1"/>
  <c r="J18" i="37" s="1"/>
  <c r="K18" i="37" s="1"/>
  <c r="L18" i="37" s="1"/>
  <c r="M18" i="37" s="1"/>
  <c r="C18" i="37"/>
  <c r="K25" i="36"/>
  <c r="L25" i="36"/>
  <c r="M25" i="36"/>
  <c r="K26" i="36"/>
  <c r="L26" i="36"/>
  <c r="M26" i="36"/>
  <c r="K27" i="36"/>
  <c r="L27" i="36"/>
  <c r="M27" i="36"/>
  <c r="K28" i="36"/>
  <c r="L28" i="36"/>
  <c r="M28" i="36"/>
  <c r="K29" i="36"/>
  <c r="L29" i="36"/>
  <c r="M29" i="36"/>
  <c r="K30" i="36"/>
  <c r="L30" i="36"/>
  <c r="M30" i="36"/>
  <c r="K31" i="36"/>
  <c r="L31" i="36"/>
  <c r="M31" i="36"/>
  <c r="K32" i="36"/>
  <c r="L32" i="36"/>
  <c r="M32" i="36"/>
  <c r="K33" i="36"/>
  <c r="L33" i="36"/>
  <c r="M33" i="36"/>
  <c r="K34" i="36"/>
  <c r="L34" i="36"/>
  <c r="M34" i="36"/>
  <c r="A69" i="36"/>
  <c r="A68" i="36"/>
  <c r="A67" i="36"/>
  <c r="A66" i="36"/>
  <c r="A65" i="36"/>
  <c r="A64" i="36"/>
  <c r="A63" i="36"/>
  <c r="A62" i="36"/>
  <c r="A61" i="36"/>
  <c r="A60" i="36"/>
  <c r="A59" i="36"/>
  <c r="A58" i="36"/>
  <c r="A57" i="36"/>
  <c r="A56" i="36"/>
  <c r="A55" i="36"/>
  <c r="A54" i="36"/>
  <c r="A53" i="36"/>
  <c r="A52" i="36"/>
  <c r="A51" i="36"/>
  <c r="A50" i="36"/>
  <c r="A49" i="36"/>
  <c r="A48" i="36"/>
  <c r="A47" i="36"/>
  <c r="A46" i="36"/>
  <c r="A45" i="36"/>
  <c r="A44" i="36"/>
  <c r="A43" i="36"/>
  <c r="A42" i="36"/>
  <c r="A41" i="36"/>
  <c r="A40" i="36"/>
  <c r="A39" i="36"/>
  <c r="A38" i="36"/>
  <c r="M24" i="36"/>
  <c r="L24" i="36"/>
  <c r="K24" i="36"/>
  <c r="J24" i="36"/>
  <c r="I24" i="36"/>
  <c r="H24" i="36"/>
  <c r="G24" i="36"/>
  <c r="F24" i="36"/>
  <c r="E24" i="36"/>
  <c r="D24" i="36"/>
  <c r="C24" i="36"/>
  <c r="B24" i="36"/>
  <c r="D18" i="36"/>
  <c r="E18" i="36" s="1"/>
  <c r="F18" i="36" s="1"/>
  <c r="G18" i="36" s="1"/>
  <c r="H18" i="36" s="1"/>
  <c r="I18" i="36" s="1"/>
  <c r="J18" i="36" s="1"/>
  <c r="K18" i="36" s="1"/>
  <c r="L18" i="36" s="1"/>
  <c r="M18" i="36" s="1"/>
  <c r="C18" i="36"/>
  <c r="K25" i="35" a="1"/>
  <c r="K25" i="35" s="1"/>
  <c r="L25" i="35" a="1"/>
  <c r="L25" i="35" s="1"/>
  <c r="M25" i="35" a="1"/>
  <c r="M25" i="35" s="1"/>
  <c r="K26" i="35" a="1"/>
  <c r="K26" i="35" s="1"/>
  <c r="L26" i="35" a="1"/>
  <c r="L26" i="35" s="1"/>
  <c r="M26" i="35" a="1"/>
  <c r="M26" i="35" s="1"/>
  <c r="K27" i="35" a="1"/>
  <c r="K27" i="35" s="1"/>
  <c r="L27" i="35" a="1"/>
  <c r="L27" i="35" s="1"/>
  <c r="M27" i="35" a="1"/>
  <c r="M27" i="35" s="1"/>
  <c r="K28" i="35" a="1"/>
  <c r="K28" i="35" s="1"/>
  <c r="L28" i="35" a="1"/>
  <c r="L28" i="35" s="1"/>
  <c r="M28" i="35" a="1"/>
  <c r="M28" i="35" s="1"/>
  <c r="K29" i="35" a="1"/>
  <c r="K29" i="35" s="1"/>
  <c r="L29" i="35" a="1"/>
  <c r="L29" i="35" s="1"/>
  <c r="M29" i="35" a="1"/>
  <c r="M29" i="35" s="1"/>
  <c r="K30" i="35" a="1"/>
  <c r="K30" i="35" s="1"/>
  <c r="L30" i="35" a="1"/>
  <c r="L30" i="35" s="1"/>
  <c r="M30" i="35" a="1"/>
  <c r="M30" i="35" s="1"/>
  <c r="K31" i="35" a="1"/>
  <c r="K31" i="35" s="1"/>
  <c r="L31" i="35" a="1"/>
  <c r="L31" i="35" s="1"/>
  <c r="M31" i="35" a="1"/>
  <c r="M31" i="35" s="1"/>
  <c r="K32" i="35" a="1"/>
  <c r="K32" i="35" s="1"/>
  <c r="L32" i="35" a="1"/>
  <c r="L32" i="35" s="1"/>
  <c r="M32" i="35" a="1"/>
  <c r="M32" i="35" s="1"/>
  <c r="K33" i="35" a="1"/>
  <c r="K33" i="35" s="1"/>
  <c r="L33" i="35" a="1"/>
  <c r="L33" i="35" s="1"/>
  <c r="M33" i="35" a="1"/>
  <c r="M33" i="35" s="1"/>
  <c r="K34" i="35" a="1"/>
  <c r="K34" i="35" s="1"/>
  <c r="L34" i="35" a="1"/>
  <c r="L34" i="35" s="1"/>
  <c r="M34" i="35" a="1"/>
  <c r="M34" i="35" s="1"/>
  <c r="A77" i="35"/>
  <c r="A78" i="35"/>
  <c r="A79" i="35"/>
  <c r="A80" i="35"/>
  <c r="A81" i="35"/>
  <c r="A82" i="35"/>
  <c r="A83" i="35"/>
  <c r="A84" i="35"/>
  <c r="A85" i="35"/>
  <c r="A86" i="35"/>
  <c r="A87" i="35"/>
  <c r="A88" i="35"/>
  <c r="A89" i="35"/>
  <c r="A90" i="35"/>
  <c r="A91" i="35"/>
  <c r="A92" i="35"/>
  <c r="A93" i="35"/>
  <c r="A94" i="35"/>
  <c r="A95" i="35"/>
  <c r="A96" i="35"/>
  <c r="A97" i="35"/>
  <c r="A98" i="35"/>
  <c r="A99" i="35"/>
  <c r="A100" i="35"/>
  <c r="A101" i="35"/>
  <c r="A102" i="35"/>
  <c r="A103" i="35"/>
  <c r="A104" i="35"/>
  <c r="A105" i="35"/>
  <c r="A106" i="35"/>
  <c r="A107" i="35"/>
  <c r="A108" i="35"/>
  <c r="A109" i="35"/>
  <c r="A110" i="35"/>
  <c r="A111" i="35"/>
  <c r="A112" i="35"/>
  <c r="A113" i="35"/>
  <c r="A114" i="35"/>
  <c r="A115" i="35"/>
  <c r="A116" i="35"/>
  <c r="A117" i="35"/>
  <c r="A118" i="35"/>
  <c r="A119" i="35"/>
  <c r="A120" i="35"/>
  <c r="A121" i="35"/>
  <c r="A122" i="35"/>
  <c r="A123" i="35"/>
  <c r="A124" i="35"/>
  <c r="A125" i="35"/>
  <c r="A126" i="35"/>
  <c r="A127" i="35"/>
  <c r="A128" i="35"/>
  <c r="A129" i="35"/>
  <c r="A130" i="35"/>
  <c r="A131" i="35"/>
  <c r="A132" i="35"/>
  <c r="A133" i="35"/>
  <c r="A134" i="35"/>
  <c r="A135" i="35"/>
  <c r="A136" i="35"/>
  <c r="A137" i="35"/>
  <c r="A138" i="35"/>
  <c r="A139" i="35"/>
  <c r="A140" i="35"/>
  <c r="A141" i="35"/>
  <c r="A142" i="35"/>
  <c r="A143" i="35"/>
  <c r="A144" i="35"/>
  <c r="A145" i="35"/>
  <c r="A146" i="35"/>
  <c r="A147" i="35"/>
  <c r="A148" i="35"/>
  <c r="A149" i="35"/>
  <c r="A150" i="35"/>
  <c r="A151" i="35"/>
  <c r="A152" i="35"/>
  <c r="A153" i="35"/>
  <c r="A154" i="35"/>
  <c r="A155" i="35"/>
  <c r="A156" i="35"/>
  <c r="A157" i="35"/>
  <c r="A158" i="35"/>
  <c r="A159" i="35"/>
  <c r="A160" i="35"/>
  <c r="A161" i="35"/>
  <c r="A162" i="35"/>
  <c r="A163" i="35"/>
  <c r="A164" i="35"/>
  <c r="A165" i="35"/>
  <c r="P45" i="139" l="1" a="1"/>
  <c r="P45" i="139" s="1"/>
  <c r="U42" i="139" a="1"/>
  <c r="U42" i="139" s="1"/>
  <c r="C27" i="139" a="1"/>
  <c r="C27" i="139" s="1"/>
  <c r="C45" i="139" a="1"/>
  <c r="C45" i="139" s="1"/>
  <c r="D45" i="139" a="1"/>
  <c r="D45" i="139" s="1"/>
  <c r="F43" i="139" a="1"/>
  <c r="F43" i="139" s="1"/>
  <c r="T44" i="139" a="1"/>
  <c r="T44" i="139" s="1"/>
  <c r="J32" i="159" a="1"/>
  <c r="J32" i="159" s="1"/>
  <c r="G43" i="139" a="1"/>
  <c r="G43" i="139" s="1"/>
  <c r="I44" i="139" a="1"/>
  <c r="I44" i="139" s="1"/>
  <c r="J44" i="139" a="1"/>
  <c r="J44" i="139" s="1"/>
  <c r="C34" i="139" a="1"/>
  <c r="C34" i="139" s="1"/>
  <c r="I27" i="139" a="1"/>
  <c r="I27" i="139" s="1"/>
  <c r="I43" i="139" a="1"/>
  <c r="I43" i="139" s="1"/>
  <c r="D32" i="139" a="1"/>
  <c r="D32" i="139" s="1"/>
  <c r="K42" i="139" a="1"/>
  <c r="K42" i="139" s="1"/>
  <c r="C43" i="139" a="1"/>
  <c r="C43" i="139" s="1"/>
  <c r="V43" i="139" a="1"/>
  <c r="V43" i="139" s="1"/>
  <c r="B32" i="139" a="1"/>
  <c r="B32" i="139" s="1"/>
  <c r="J42" i="159" a="1"/>
  <c r="J42" i="159" s="1"/>
  <c r="H35" i="139" a="1"/>
  <c r="H35" i="139" s="1"/>
  <c r="R41" i="139" a="1"/>
  <c r="R41" i="139" s="1"/>
  <c r="C42" i="139" a="1"/>
  <c r="C42" i="139" s="1"/>
  <c r="I33" i="139" a="1"/>
  <c r="I33" i="139" s="1"/>
  <c r="D44" i="139" a="1"/>
  <c r="D44" i="139" s="1"/>
  <c r="K44" i="139" a="1"/>
  <c r="K44" i="139" s="1"/>
  <c r="B42" i="139" a="1"/>
  <c r="B42" i="139" s="1"/>
  <c r="J43" i="139" a="1"/>
  <c r="J43" i="139" s="1"/>
  <c r="J41" i="139" a="1"/>
  <c r="J41" i="139" s="1"/>
  <c r="V44" i="139" a="1"/>
  <c r="V44" i="139" s="1"/>
  <c r="J42" i="139" a="1"/>
  <c r="J42" i="139" s="1"/>
  <c r="Q44" i="139" a="1"/>
  <c r="Q44" i="139" s="1"/>
  <c r="B34" i="139" a="1"/>
  <c r="B34" i="139" s="1"/>
  <c r="G31" i="139" a="1"/>
  <c r="G31" i="139" s="1"/>
  <c r="B44" i="139" a="1"/>
  <c r="B44" i="139" s="1"/>
  <c r="C26" i="139" a="1"/>
  <c r="C26" i="139" s="1"/>
  <c r="J32" i="139" a="1"/>
  <c r="J32" i="139" s="1"/>
  <c r="C41" i="139" a="1"/>
  <c r="C41" i="139" s="1"/>
  <c r="G45" i="139" a="1"/>
  <c r="G45" i="139" s="1"/>
  <c r="F40" i="159" a="1"/>
  <c r="F40" i="159" s="1"/>
  <c r="I29" i="139" a="1"/>
  <c r="I29" i="139" s="1"/>
  <c r="F42" i="139" a="1"/>
  <c r="F42" i="139" s="1"/>
  <c r="D26" i="159" a="1"/>
  <c r="D26" i="159" s="1"/>
  <c r="R46" i="159" a="1"/>
  <c r="R46" i="159" s="1"/>
  <c r="J39" i="159" a="1"/>
  <c r="J39" i="159" s="1"/>
  <c r="I32" i="159" a="1"/>
  <c r="I32" i="159" s="1"/>
  <c r="S41" i="159" a="1"/>
  <c r="S41" i="159" s="1"/>
  <c r="K41" i="139" a="1"/>
  <c r="K41" i="139" s="1"/>
  <c r="E29" i="139" a="1"/>
  <c r="E29" i="139" s="1"/>
  <c r="B28" i="159" a="1"/>
  <c r="B28" i="159" s="1"/>
  <c r="Q41" i="139" a="1"/>
  <c r="Q41" i="139" s="1"/>
  <c r="D31" i="159" a="1"/>
  <c r="D31" i="159" s="1"/>
  <c r="W42" i="139" a="1"/>
  <c r="W42" i="139" s="1"/>
  <c r="V42" i="139" a="1"/>
  <c r="V42" i="139" s="1"/>
  <c r="J27" i="139" a="1"/>
  <c r="J27" i="139" s="1"/>
  <c r="H32" i="139" a="1"/>
  <c r="H32" i="139" s="1"/>
  <c r="U40" i="159" a="1"/>
  <c r="U40" i="159" s="1"/>
  <c r="K39" i="159" a="1"/>
  <c r="K39" i="159" s="1"/>
  <c r="H39" i="159" a="1"/>
  <c r="H39" i="159" s="1"/>
  <c r="J25" i="159" a="1"/>
  <c r="J25" i="159" s="1"/>
  <c r="F31" i="139" a="1"/>
  <c r="F31" i="139" s="1"/>
  <c r="R45" i="139" a="1"/>
  <c r="R45" i="139" s="1"/>
  <c r="D27" i="139" a="1"/>
  <c r="D27" i="139" s="1"/>
  <c r="R42" i="159" a="1"/>
  <c r="R42" i="159" s="1"/>
  <c r="Q45" i="139" a="1"/>
  <c r="Q45" i="139" s="1"/>
  <c r="D41" i="139" a="1"/>
  <c r="D41" i="139" s="1"/>
  <c r="P44" i="139" a="1"/>
  <c r="P44" i="139" s="1"/>
  <c r="S41" i="139" a="1"/>
  <c r="S41" i="139" s="1"/>
  <c r="G34" i="139" a="1"/>
  <c r="G34" i="139" s="1"/>
  <c r="D35" i="139" a="1"/>
  <c r="D35" i="139" s="1"/>
  <c r="R40" i="159" a="1"/>
  <c r="R40" i="159" s="1"/>
  <c r="I35" i="139" a="1"/>
  <c r="I35" i="139" s="1"/>
  <c r="W45" i="139" a="1"/>
  <c r="W45" i="139" s="1"/>
  <c r="I31" i="139" a="1"/>
  <c r="I31" i="139" s="1"/>
  <c r="I32" i="139" a="1"/>
  <c r="I32" i="139" s="1"/>
  <c r="P42" i="139" a="1"/>
  <c r="P42" i="139" s="1"/>
  <c r="B27" i="139" a="1"/>
  <c r="B27" i="139" s="1"/>
  <c r="G43" i="159" a="1"/>
  <c r="G43" i="159" s="1"/>
  <c r="V44" i="159" a="1"/>
  <c r="V44" i="159" s="1"/>
  <c r="W39" i="160" a="1"/>
  <c r="W39" i="160" s="1"/>
  <c r="B35" i="139" a="1"/>
  <c r="B35" i="139" s="1"/>
  <c r="O41" i="139" a="1"/>
  <c r="O41" i="139" s="1"/>
  <c r="G35" i="139" a="1"/>
  <c r="G35" i="139" s="1"/>
  <c r="D43" i="159" a="1"/>
  <c r="D43" i="159" s="1"/>
  <c r="D26" i="139" a="1"/>
  <c r="D26" i="139" s="1"/>
  <c r="G41" i="139" a="1"/>
  <c r="G41" i="139" s="1"/>
  <c r="H30" i="159" a="1"/>
  <c r="H30" i="159" s="1"/>
  <c r="C29" i="139" a="1"/>
  <c r="C29" i="139" s="1"/>
  <c r="F34" i="159" a="1"/>
  <c r="F34" i="159" s="1"/>
  <c r="B33" i="159" a="1"/>
  <c r="B33" i="159" s="1"/>
  <c r="I26" i="139" a="1"/>
  <c r="I26" i="139" s="1"/>
  <c r="G27" i="139" a="1"/>
  <c r="G27" i="139" s="1"/>
  <c r="D33" i="159" a="1"/>
  <c r="D33" i="159" s="1"/>
  <c r="Q42" i="139" a="1"/>
  <c r="Q42" i="139" s="1"/>
  <c r="F33" i="139" a="1"/>
  <c r="F33" i="139" s="1"/>
  <c r="B43" i="139" a="1"/>
  <c r="B43" i="139" s="1"/>
  <c r="J29" i="139" a="1"/>
  <c r="J29" i="139" s="1"/>
  <c r="C32" i="139" a="1"/>
  <c r="C32" i="139" s="1"/>
  <c r="F45" i="139" a="1"/>
  <c r="F45" i="139" s="1"/>
  <c r="E41" i="139" a="1"/>
  <c r="E41" i="139" s="1"/>
  <c r="S45" i="139" a="1"/>
  <c r="S45" i="139" s="1"/>
  <c r="P41" i="139" a="1"/>
  <c r="P41" i="139" s="1"/>
  <c r="C31" i="139" a="1"/>
  <c r="C31" i="139" s="1"/>
  <c r="S42" i="139" a="1"/>
  <c r="S42" i="139" s="1"/>
  <c r="G30" i="159" a="1"/>
  <c r="G30" i="159" s="1"/>
  <c r="O42" i="159" a="1"/>
  <c r="O42" i="159" s="1"/>
  <c r="R42" i="139" a="1"/>
  <c r="R42" i="139" s="1"/>
  <c r="G40" i="159" a="1"/>
  <c r="G40" i="159" s="1"/>
  <c r="J31" i="139" a="1"/>
  <c r="J31" i="139" s="1"/>
  <c r="B33" i="139" a="1"/>
  <c r="B33" i="139" s="1"/>
  <c r="B39" i="159" a="1"/>
  <c r="B39" i="159" s="1"/>
  <c r="C31" i="159" a="1"/>
  <c r="C31" i="159" s="1"/>
  <c r="W43" i="139" a="1"/>
  <c r="W43" i="139" s="1"/>
  <c r="W41" i="159" a="1"/>
  <c r="W41" i="159" s="1"/>
  <c r="G31" i="159" a="1"/>
  <c r="G31" i="159" s="1"/>
  <c r="F29" i="139" a="1"/>
  <c r="F29" i="139" s="1"/>
  <c r="J34" i="139" a="1"/>
  <c r="J34" i="139" s="1"/>
  <c r="B34" i="159" a="1"/>
  <c r="B34" i="159" s="1"/>
  <c r="G46" i="159" a="1"/>
  <c r="G46" i="159" s="1"/>
  <c r="I41" i="139" a="1"/>
  <c r="I41" i="139" s="1"/>
  <c r="H33" i="139" a="1"/>
  <c r="H33" i="139" s="1"/>
  <c r="T41" i="139" a="1"/>
  <c r="T41" i="139" s="1"/>
  <c r="O44" i="159" a="1"/>
  <c r="O44" i="159" s="1"/>
  <c r="D29" i="139" a="1"/>
  <c r="D29" i="139" s="1"/>
  <c r="U41" i="139" a="1"/>
  <c r="U41" i="139" s="1"/>
  <c r="H32" i="159" a="1"/>
  <c r="H32" i="159" s="1"/>
  <c r="E44" i="139" a="1"/>
  <c r="E44" i="139" s="1"/>
  <c r="H34" i="159" a="1"/>
  <c r="H34" i="159" s="1"/>
  <c r="C33" i="139" a="1"/>
  <c r="C33" i="139" s="1"/>
  <c r="E33" i="159" a="1"/>
  <c r="E33" i="159" s="1"/>
  <c r="G34" i="159" a="1"/>
  <c r="G34" i="159" s="1"/>
  <c r="T42" i="159" a="1"/>
  <c r="T42" i="159" s="1"/>
  <c r="E42" i="160" a="1"/>
  <c r="E42" i="160" s="1"/>
  <c r="C44" i="139" a="1"/>
  <c r="C44" i="139" s="1"/>
  <c r="G44" i="159" a="1"/>
  <c r="G44" i="159" s="1"/>
  <c r="H44" i="159" a="1"/>
  <c r="H44" i="159" s="1"/>
  <c r="U41" i="159" a="1"/>
  <c r="U41" i="159" s="1"/>
  <c r="T41" i="159" a="1"/>
  <c r="T41" i="159" s="1"/>
  <c r="S43" i="139" a="1"/>
  <c r="S43" i="139" s="1"/>
  <c r="J35" i="139" a="1"/>
  <c r="J35" i="139" s="1"/>
  <c r="B45" i="139" a="1"/>
  <c r="B45" i="139" s="1"/>
  <c r="O43" i="139" a="1"/>
  <c r="O43" i="139" s="1"/>
  <c r="E31" i="139" a="1"/>
  <c r="E31" i="139" s="1"/>
  <c r="E28" i="159" a="1"/>
  <c r="E28" i="159" s="1"/>
  <c r="B31" i="139" a="1"/>
  <c r="B31" i="139" s="1"/>
  <c r="J33" i="159" a="1"/>
  <c r="J33" i="159" s="1"/>
  <c r="U45" i="139" a="1"/>
  <c r="U45" i="139" s="1"/>
  <c r="V41" i="139" a="1"/>
  <c r="V41" i="139" s="1"/>
  <c r="F45" i="160" a="1"/>
  <c r="F45" i="160" s="1"/>
  <c r="R43" i="139" a="1"/>
  <c r="R43" i="139" s="1"/>
  <c r="C39" i="159" a="1"/>
  <c r="C39" i="159" s="1"/>
  <c r="H27" i="139" a="1"/>
  <c r="H27" i="139" s="1"/>
  <c r="E26" i="139" a="1"/>
  <c r="E26" i="139" s="1"/>
  <c r="H44" i="139" a="1"/>
  <c r="H44" i="139" s="1"/>
  <c r="S43" i="159" a="1"/>
  <c r="S43" i="159" s="1"/>
  <c r="I42" i="139" a="1"/>
  <c r="I42" i="139" s="1"/>
  <c r="I46" i="159" a="1"/>
  <c r="I46" i="159" s="1"/>
  <c r="H42" i="159" a="1"/>
  <c r="H42" i="159" s="1"/>
  <c r="W41" i="139" a="1"/>
  <c r="W41" i="139" s="1"/>
  <c r="O44" i="139" a="1"/>
  <c r="O44" i="139" s="1"/>
  <c r="C41" i="159" a="1"/>
  <c r="C41" i="159" s="1"/>
  <c r="G39" i="159" a="1"/>
  <c r="G39" i="159" s="1"/>
  <c r="H47" i="160" a="1"/>
  <c r="H47" i="160" s="1"/>
  <c r="F43" i="159" a="1"/>
  <c r="F43" i="159" s="1"/>
  <c r="E43" i="160" a="1"/>
  <c r="E43" i="160" s="1"/>
  <c r="V45" i="139" a="1"/>
  <c r="V45" i="139" s="1"/>
  <c r="F27" i="139" a="1"/>
  <c r="F27" i="139" s="1"/>
  <c r="P40" i="160" a="1"/>
  <c r="P40" i="160" s="1"/>
  <c r="H40" i="159" a="1"/>
  <c r="H40" i="159" s="1"/>
  <c r="G42" i="139" a="1"/>
  <c r="G42" i="139" s="1"/>
  <c r="Q43" i="139" a="1"/>
  <c r="Q43" i="139" s="1"/>
  <c r="V43" i="159" a="1"/>
  <c r="V43" i="159" s="1"/>
  <c r="R44" i="139" a="1"/>
  <c r="R44" i="139" s="1"/>
  <c r="J28" i="160" a="1"/>
  <c r="J28" i="160" s="1"/>
  <c r="T45" i="139" a="1"/>
  <c r="T45" i="139" s="1"/>
  <c r="B29" i="139" a="1"/>
  <c r="B29" i="139" s="1"/>
  <c r="W43" i="160" a="1"/>
  <c r="W43" i="160" s="1"/>
  <c r="P46" i="159" a="1"/>
  <c r="P46" i="159" s="1"/>
  <c r="F26" i="159" a="1"/>
  <c r="F26" i="159" s="1"/>
  <c r="I33" i="159" a="1"/>
  <c r="I33" i="159" s="1"/>
  <c r="G44" i="139" a="1"/>
  <c r="G44" i="139" s="1"/>
  <c r="F41" i="139" a="1"/>
  <c r="F41" i="139" s="1"/>
  <c r="K43" i="139" a="1"/>
  <c r="K43" i="139" s="1"/>
  <c r="U43" i="139" a="1"/>
  <c r="U43" i="139" s="1"/>
  <c r="B44" i="159" a="1"/>
  <c r="B44" i="159" s="1"/>
  <c r="P43" i="139" a="1"/>
  <c r="P43" i="139" s="1"/>
  <c r="J44" i="159" a="1"/>
  <c r="J44" i="159" s="1"/>
  <c r="O45" i="139" a="1"/>
  <c r="O45" i="139" s="1"/>
  <c r="G26" i="159" a="1"/>
  <c r="G26" i="159" s="1"/>
  <c r="D42" i="139" a="1"/>
  <c r="D42" i="139" s="1"/>
  <c r="O40" i="159" a="1"/>
  <c r="O40" i="159" s="1"/>
  <c r="U43" i="159" a="1"/>
  <c r="U43" i="159" s="1"/>
  <c r="D25" i="159" a="1"/>
  <c r="D25" i="159" s="1"/>
  <c r="O43" i="159" a="1"/>
  <c r="O43" i="159" s="1"/>
  <c r="H29" i="139" a="1"/>
  <c r="H29" i="139" s="1"/>
  <c r="H26" i="139" a="1"/>
  <c r="H26" i="139" s="1"/>
  <c r="K41" i="159" a="1"/>
  <c r="K41" i="159" s="1"/>
  <c r="C35" i="139" a="1"/>
  <c r="C35" i="139" s="1"/>
  <c r="F44" i="139" a="1"/>
  <c r="F44" i="139" s="1"/>
  <c r="K46" i="159" a="1"/>
  <c r="K46" i="159" s="1"/>
  <c r="H25" i="159" a="1"/>
  <c r="H25" i="159" s="1"/>
  <c r="I25" i="159" a="1"/>
  <c r="I25" i="159" s="1"/>
  <c r="I39" i="159" a="1"/>
  <c r="I39" i="159" s="1"/>
  <c r="S46" i="159" a="1"/>
  <c r="S46" i="159" s="1"/>
  <c r="E33" i="139" a="1"/>
  <c r="E33" i="139" s="1"/>
  <c r="W44" i="159" a="1"/>
  <c r="W44" i="159" s="1"/>
  <c r="C46" i="159" a="1"/>
  <c r="C46" i="159" s="1"/>
  <c r="O39" i="159" a="1"/>
  <c r="O39" i="159" s="1"/>
  <c r="T43" i="139" a="1"/>
  <c r="T43" i="139" s="1"/>
  <c r="T39" i="159" a="1"/>
  <c r="T39" i="159" s="1"/>
  <c r="F32" i="139" a="1"/>
  <c r="F32" i="139" s="1"/>
  <c r="H33" i="159" a="1"/>
  <c r="H33" i="159" s="1"/>
  <c r="G28" i="159" a="1"/>
  <c r="G28" i="159" s="1"/>
  <c r="Q40" i="159" a="1"/>
  <c r="Q40" i="159" s="1"/>
  <c r="G26" i="139" a="1"/>
  <c r="G26" i="139" s="1"/>
  <c r="S44" i="139" a="1"/>
  <c r="S44" i="139" s="1"/>
  <c r="I39" i="160" a="1"/>
  <c r="I39" i="160" s="1"/>
  <c r="E35" i="139" a="1"/>
  <c r="E35" i="139" s="1"/>
  <c r="F44" i="159" a="1"/>
  <c r="F44" i="159" s="1"/>
  <c r="E42" i="139" a="1"/>
  <c r="E42" i="139" s="1"/>
  <c r="H42" i="139" a="1"/>
  <c r="H42" i="139" s="1"/>
  <c r="G32" i="139" a="1"/>
  <c r="G32" i="139" s="1"/>
  <c r="J26" i="139" a="1"/>
  <c r="J26" i="139" s="1"/>
  <c r="E43" i="139" a="1"/>
  <c r="E43" i="139" s="1"/>
  <c r="I30" i="159" a="1"/>
  <c r="I30" i="159" s="1"/>
  <c r="E25" i="159" a="1"/>
  <c r="E25" i="159" s="1"/>
  <c r="H34" i="139" a="1"/>
  <c r="H34" i="139" s="1"/>
  <c r="G42" i="159" a="1"/>
  <c r="G42" i="159" s="1"/>
  <c r="U44" i="139" a="1"/>
  <c r="U44" i="139" s="1"/>
  <c r="E46" i="159" a="1"/>
  <c r="E46" i="159" s="1"/>
  <c r="K40" i="159" a="1"/>
  <c r="K40" i="159" s="1"/>
  <c r="J34" i="159" a="1"/>
  <c r="J34" i="159" s="1"/>
  <c r="W40" i="159" a="1"/>
  <c r="W40" i="159" s="1"/>
  <c r="J41" i="159" a="1"/>
  <c r="J41" i="159" s="1"/>
  <c r="D34" i="139" a="1"/>
  <c r="D34" i="139" s="1"/>
  <c r="H43" i="139" a="1"/>
  <c r="H43" i="139" s="1"/>
  <c r="D44" i="159" a="1"/>
  <c r="D44" i="159" s="1"/>
  <c r="K45" i="139" a="1"/>
  <c r="K45" i="139" s="1"/>
  <c r="F25" i="159" a="1"/>
  <c r="F25" i="159" s="1"/>
  <c r="T42" i="139" a="1"/>
  <c r="T42" i="139" s="1"/>
  <c r="I34" i="139" a="1"/>
  <c r="I34" i="139" s="1"/>
  <c r="C30" i="159" a="1"/>
  <c r="C30" i="159" s="1"/>
  <c r="K42" i="159" a="1"/>
  <c r="K42" i="159" s="1"/>
  <c r="J45" i="139" a="1"/>
  <c r="J45" i="139" s="1"/>
  <c r="B41" i="139" a="1"/>
  <c r="B41" i="139" s="1"/>
  <c r="I43" i="159" a="1"/>
  <c r="I43" i="159" s="1"/>
  <c r="I45" i="139" a="1"/>
  <c r="I45" i="139" s="1"/>
  <c r="H28" i="160" a="1"/>
  <c r="H28" i="160" s="1"/>
  <c r="W46" i="159" a="1"/>
  <c r="W46" i="159" s="1"/>
  <c r="E30" i="159" a="1"/>
  <c r="E30" i="159" s="1"/>
  <c r="E26" i="159" a="1"/>
  <c r="E26" i="159" s="1"/>
  <c r="Q39" i="159" a="1"/>
  <c r="Q39" i="159" s="1"/>
  <c r="D43" i="139" a="1"/>
  <c r="D43" i="139" s="1"/>
  <c r="R43" i="159" a="1"/>
  <c r="R43" i="159" s="1"/>
  <c r="H45" i="139" a="1"/>
  <c r="H45" i="139" s="1"/>
  <c r="G33" i="159" a="1"/>
  <c r="G33" i="159" s="1"/>
  <c r="E32" i="159" a="1"/>
  <c r="E32" i="159" s="1"/>
  <c r="F26" i="139" a="1"/>
  <c r="F26" i="139" s="1"/>
  <c r="I44" i="159" a="1"/>
  <c r="I44" i="159" s="1"/>
  <c r="J33" i="139" a="1"/>
  <c r="J33" i="139" s="1"/>
  <c r="W44" i="139" a="1"/>
  <c r="W44" i="139" s="1"/>
  <c r="U39" i="159" a="1"/>
  <c r="U39" i="159" s="1"/>
  <c r="E32" i="139" a="1"/>
  <c r="E32" i="139" s="1"/>
  <c r="T40" i="159" a="1"/>
  <c r="T40" i="159" s="1"/>
  <c r="K40" i="160" a="1"/>
  <c r="K40" i="160" s="1"/>
  <c r="P42" i="159" a="1"/>
  <c r="P42" i="159" s="1"/>
  <c r="Q46" i="159" a="1"/>
  <c r="Q46" i="159" s="1"/>
  <c r="V40" i="159" a="1"/>
  <c r="V40" i="159" s="1"/>
  <c r="P41" i="159" a="1"/>
  <c r="P41" i="159" s="1"/>
  <c r="H43" i="159" a="1"/>
  <c r="H43" i="159" s="1"/>
  <c r="C34" i="159" a="1"/>
  <c r="C34" i="159" s="1"/>
  <c r="D33" i="139" a="1"/>
  <c r="D33" i="139" s="1"/>
  <c r="H31" i="139" a="1"/>
  <c r="H31" i="139" s="1"/>
  <c r="W43" i="159" a="1"/>
  <c r="W43" i="159" s="1"/>
  <c r="I40" i="159" a="1"/>
  <c r="I40" i="159" s="1"/>
  <c r="E34" i="159" a="1"/>
  <c r="E34" i="159" s="1"/>
  <c r="F42" i="159" a="1"/>
  <c r="F42" i="159" s="1"/>
  <c r="P43" i="159" a="1"/>
  <c r="P43" i="159" s="1"/>
  <c r="G34" i="160" a="1"/>
  <c r="G34" i="160" s="1"/>
  <c r="B46" i="159" a="1"/>
  <c r="B46" i="159" s="1"/>
  <c r="I30" i="160" a="1"/>
  <c r="I30" i="160" s="1"/>
  <c r="W42" i="159" a="1"/>
  <c r="W42" i="159" s="1"/>
  <c r="J43" i="159" a="1"/>
  <c r="J43" i="159" s="1"/>
  <c r="F34" i="139" a="1"/>
  <c r="F34" i="139" s="1"/>
  <c r="D39" i="159" a="1"/>
  <c r="D39" i="159" s="1"/>
  <c r="V44" i="160" a="1"/>
  <c r="V44" i="160" s="1"/>
  <c r="S45" i="160" a="1"/>
  <c r="S45" i="160" s="1"/>
  <c r="B43" i="159" a="1"/>
  <c r="B43" i="159" s="1"/>
  <c r="E27" i="139" a="1"/>
  <c r="E27" i="139" s="1"/>
  <c r="I42" i="159" a="1"/>
  <c r="I42" i="159" s="1"/>
  <c r="G41" i="159" a="1"/>
  <c r="G41" i="159" s="1"/>
  <c r="C43" i="159" a="1"/>
  <c r="C43" i="159" s="1"/>
  <c r="H46" i="159" a="1"/>
  <c r="H46" i="159" s="1"/>
  <c r="B30" i="159" a="1"/>
  <c r="B30" i="159" s="1"/>
  <c r="F30" i="159" a="1"/>
  <c r="F30" i="159" s="1"/>
  <c r="D30" i="159" a="1"/>
  <c r="D30" i="159" s="1"/>
  <c r="T44" i="160" a="1"/>
  <c r="T44" i="160" s="1"/>
  <c r="G33" i="160" a="1"/>
  <c r="G33" i="160" s="1"/>
  <c r="B31" i="159" a="1"/>
  <c r="B31" i="159" s="1"/>
  <c r="C25" i="159" a="1"/>
  <c r="C25" i="159" s="1"/>
  <c r="I34" i="159" a="1"/>
  <c r="I34" i="159" s="1"/>
  <c r="C42" i="159" a="1"/>
  <c r="C42" i="159" s="1"/>
  <c r="B32" i="159" a="1"/>
  <c r="B32" i="159" s="1"/>
  <c r="D32" i="159" a="1"/>
  <c r="D32" i="159" s="1"/>
  <c r="V39" i="159" a="1"/>
  <c r="V39" i="159" s="1"/>
  <c r="O42" i="139" a="1"/>
  <c r="O42" i="139" s="1"/>
  <c r="J46" i="159" a="1"/>
  <c r="J46" i="159" s="1"/>
  <c r="J26" i="159" a="1"/>
  <c r="J26" i="159" s="1"/>
  <c r="D28" i="159" a="1"/>
  <c r="D28" i="159" s="1"/>
  <c r="O41" i="159" a="1"/>
  <c r="O41" i="159" s="1"/>
  <c r="V41" i="159" a="1"/>
  <c r="V41" i="159" s="1"/>
  <c r="F31" i="159" a="1"/>
  <c r="F31" i="159" s="1"/>
  <c r="F41" i="159" a="1"/>
  <c r="F41" i="159" s="1"/>
  <c r="B26" i="159" a="1"/>
  <c r="B26" i="159" s="1"/>
  <c r="E45" i="139" a="1"/>
  <c r="E45" i="139" s="1"/>
  <c r="D31" i="139" a="1"/>
  <c r="D31" i="139" s="1"/>
  <c r="S40" i="159" a="1"/>
  <c r="S40" i="159" s="1"/>
  <c r="H31" i="159" a="1"/>
  <c r="H31" i="159" s="1"/>
  <c r="T43" i="159" a="1"/>
  <c r="T43" i="159" s="1"/>
  <c r="B41" i="159" a="1"/>
  <c r="B41" i="159" s="1"/>
  <c r="I26" i="159" a="1"/>
  <c r="I26" i="159" s="1"/>
  <c r="E42" i="159" a="1"/>
  <c r="E42" i="159" s="1"/>
  <c r="D34" i="159" a="1"/>
  <c r="D34" i="159" s="1"/>
  <c r="D46" i="159" a="1"/>
  <c r="D46" i="159" s="1"/>
  <c r="U42" i="159" a="1"/>
  <c r="U42" i="159" s="1"/>
  <c r="J28" i="159" a="1"/>
  <c r="J28" i="159" s="1"/>
  <c r="T44" i="159" a="1"/>
  <c r="T44" i="159" s="1"/>
  <c r="F28" i="159" a="1"/>
  <c r="F28" i="159" s="1"/>
  <c r="E25" i="160" a="1"/>
  <c r="E25" i="160" s="1"/>
  <c r="H41" i="139" a="1"/>
  <c r="H41" i="139" s="1"/>
  <c r="E34" i="139" a="1"/>
  <c r="E34" i="139" s="1"/>
  <c r="I28" i="159" a="1"/>
  <c r="I28" i="159" s="1"/>
  <c r="U39" i="160" a="1"/>
  <c r="U39" i="160" s="1"/>
  <c r="H42" i="160" a="1"/>
  <c r="H42" i="160" s="1"/>
  <c r="S40" i="160" a="1"/>
  <c r="S40" i="160" s="1"/>
  <c r="H41" i="161" a="1"/>
  <c r="H41" i="161" s="1"/>
  <c r="E44" i="159" a="1"/>
  <c r="E44" i="159" s="1"/>
  <c r="K44" i="159" a="1"/>
  <c r="K44" i="159" s="1"/>
  <c r="G33" i="139" a="1"/>
  <c r="G33" i="139" s="1"/>
  <c r="F35" i="139" a="1"/>
  <c r="F35" i="139" s="1"/>
  <c r="P40" i="159" a="1"/>
  <c r="P40" i="159" s="1"/>
  <c r="J40" i="159" a="1"/>
  <c r="J40" i="159" s="1"/>
  <c r="Q44" i="159" a="1"/>
  <c r="Q44" i="159" s="1"/>
  <c r="V39" i="160" a="1"/>
  <c r="V39" i="160" s="1"/>
  <c r="K46" i="160" a="1"/>
  <c r="K46" i="160" s="1"/>
  <c r="H28" i="159" a="1"/>
  <c r="H28" i="159" s="1"/>
  <c r="V46" i="160" a="1"/>
  <c r="V46" i="160" s="1"/>
  <c r="T46" i="159" a="1"/>
  <c r="T46" i="159" s="1"/>
  <c r="I32" i="160" a="1"/>
  <c r="I32" i="160" s="1"/>
  <c r="G32" i="159" a="1"/>
  <c r="G32" i="159" s="1"/>
  <c r="W39" i="159" a="1"/>
  <c r="W39" i="159" s="1"/>
  <c r="K43" i="160" a="1"/>
  <c r="K43" i="160" s="1"/>
  <c r="H41" i="159" a="1"/>
  <c r="H41" i="159" s="1"/>
  <c r="O43" i="160" a="1"/>
  <c r="O43" i="160" s="1"/>
  <c r="G29" i="139" a="1"/>
  <c r="G29" i="139" s="1"/>
  <c r="R39" i="159" a="1"/>
  <c r="R39" i="159" s="1"/>
  <c r="I31" i="159" a="1"/>
  <c r="I31" i="159" s="1"/>
  <c r="I41" i="159" a="1"/>
  <c r="I41" i="159" s="1"/>
  <c r="D40" i="159" a="1"/>
  <c r="D40" i="159" s="1"/>
  <c r="U44" i="159" a="1"/>
  <c r="U44" i="159" s="1"/>
  <c r="U46" i="159" a="1"/>
  <c r="U46" i="159" s="1"/>
  <c r="I25" i="160" a="1"/>
  <c r="I25" i="160" s="1"/>
  <c r="F39" i="159" a="1"/>
  <c r="F39" i="159" s="1"/>
  <c r="J33" i="160" a="1"/>
  <c r="J33" i="160" s="1"/>
  <c r="J30" i="159" a="1"/>
  <c r="J30" i="159" s="1"/>
  <c r="H26" i="159" a="1"/>
  <c r="H26" i="159" s="1"/>
  <c r="G42" i="160" a="1"/>
  <c r="G42" i="160" s="1"/>
  <c r="S39" i="159" a="1"/>
  <c r="S39" i="159" s="1"/>
  <c r="C28" i="159" a="1"/>
  <c r="C28" i="159" s="1"/>
  <c r="O39" i="160" a="1"/>
  <c r="O39" i="160" s="1"/>
  <c r="R47" i="160" a="1"/>
  <c r="R47" i="160" s="1"/>
  <c r="B40" i="159" a="1"/>
  <c r="B40" i="159" s="1"/>
  <c r="G25" i="159" a="1"/>
  <c r="G25" i="159" s="1"/>
  <c r="Q42" i="159" a="1"/>
  <c r="Q42" i="159" s="1"/>
  <c r="C45" i="160" a="1"/>
  <c r="C45" i="160" s="1"/>
  <c r="V40" i="160" a="1"/>
  <c r="V40" i="160" s="1"/>
  <c r="F33" i="159" a="1"/>
  <c r="F33" i="159" s="1"/>
  <c r="C26" i="159" a="1"/>
  <c r="C26" i="159" s="1"/>
  <c r="P44" i="159" a="1"/>
  <c r="P44" i="159" s="1"/>
  <c r="E32" i="160" a="1"/>
  <c r="E32" i="160" s="1"/>
  <c r="H32" i="160" a="1"/>
  <c r="H32" i="160" s="1"/>
  <c r="D46" i="160" a="1"/>
  <c r="D46" i="160" s="1"/>
  <c r="U40" i="160" a="1"/>
  <c r="U40" i="160" s="1"/>
  <c r="V47" i="160" a="1"/>
  <c r="V47" i="160" s="1"/>
  <c r="T40" i="160" a="1"/>
  <c r="T40" i="160" s="1"/>
  <c r="R44" i="159" a="1"/>
  <c r="R44" i="159" s="1"/>
  <c r="C47" i="160" a="1"/>
  <c r="C47" i="160" s="1"/>
  <c r="Q47" i="160" a="1"/>
  <c r="Q47" i="160" s="1"/>
  <c r="S42" i="159" a="1"/>
  <c r="S42" i="159" s="1"/>
  <c r="D41" i="159" a="1"/>
  <c r="D41" i="159" s="1"/>
  <c r="O40" i="160" a="1"/>
  <c r="O40" i="160" s="1"/>
  <c r="Q43" i="159" a="1"/>
  <c r="Q43" i="159" s="1"/>
  <c r="S39" i="160" a="1"/>
  <c r="S39" i="160" s="1"/>
  <c r="V42" i="159" a="1"/>
  <c r="V42" i="159" s="1"/>
  <c r="D42" i="159" a="1"/>
  <c r="D42" i="159" s="1"/>
  <c r="P39" i="160" a="1"/>
  <c r="P39" i="160" s="1"/>
  <c r="J31" i="159" a="1"/>
  <c r="J31" i="159" s="1"/>
  <c r="Q41" i="159" a="1"/>
  <c r="Q41" i="159" s="1"/>
  <c r="G40" i="160" a="1"/>
  <c r="G40" i="160" s="1"/>
  <c r="C32" i="159" a="1"/>
  <c r="C32" i="159" s="1"/>
  <c r="J40" i="160" a="1"/>
  <c r="J40" i="160" s="1"/>
  <c r="E30" i="160" a="1"/>
  <c r="E30" i="160" s="1"/>
  <c r="F32" i="159" a="1"/>
  <c r="F32" i="159" s="1"/>
  <c r="Q42" i="160" a="1"/>
  <c r="Q42" i="160" s="1"/>
  <c r="W45" i="160" a="1"/>
  <c r="W45" i="160" s="1"/>
  <c r="Q44" i="160" a="1"/>
  <c r="Q44" i="160" s="1"/>
  <c r="C42" i="160" a="1"/>
  <c r="C42" i="160" s="1"/>
  <c r="E43" i="159" a="1"/>
  <c r="E43" i="159" s="1"/>
  <c r="B39" i="160" a="1"/>
  <c r="B39" i="160" s="1"/>
  <c r="E31" i="159" a="1"/>
  <c r="E31" i="159" s="1"/>
  <c r="H45" i="160" a="1"/>
  <c r="H45" i="160" s="1"/>
  <c r="G45" i="160" a="1"/>
  <c r="G45" i="160" s="1"/>
  <c r="E39" i="159" a="1"/>
  <c r="E39" i="159" s="1"/>
  <c r="C33" i="159" a="1"/>
  <c r="C33" i="159" s="1"/>
  <c r="S44" i="159" a="1"/>
  <c r="S44" i="159" s="1"/>
  <c r="J45" i="160" a="1"/>
  <c r="J45" i="160" s="1"/>
  <c r="K43" i="159" a="1"/>
  <c r="K43" i="159" s="1"/>
  <c r="S44" i="160" a="1"/>
  <c r="S44" i="160" s="1"/>
  <c r="C40" i="159" a="1"/>
  <c r="C40" i="159" s="1"/>
  <c r="V46" i="159" a="1"/>
  <c r="V46" i="159" s="1"/>
  <c r="O46" i="159" a="1"/>
  <c r="O46" i="159" s="1"/>
  <c r="J39" i="160" a="1"/>
  <c r="J39" i="160" s="1"/>
  <c r="I43" i="160" a="1"/>
  <c r="I43" i="160" s="1"/>
  <c r="K42" i="160" a="1"/>
  <c r="K42" i="160" s="1"/>
  <c r="V41" i="161" a="1"/>
  <c r="V41" i="161" s="1"/>
  <c r="R41" i="159" a="1"/>
  <c r="R41" i="159" s="1"/>
  <c r="K44" i="160" a="1"/>
  <c r="K44" i="160" s="1"/>
  <c r="P39" i="159" a="1"/>
  <c r="P39" i="159" s="1"/>
  <c r="F28" i="160" a="1"/>
  <c r="F28" i="160" s="1"/>
  <c r="T47" i="160" a="1"/>
  <c r="T47" i="160" s="1"/>
  <c r="R42" i="160" a="1"/>
  <c r="R42" i="160" s="1"/>
  <c r="D28" i="160" a="1"/>
  <c r="D28" i="160" s="1"/>
  <c r="D45" i="160" a="1"/>
  <c r="D45" i="160" s="1"/>
  <c r="E28" i="160" a="1"/>
  <c r="E28" i="160" s="1"/>
  <c r="K47" i="160" a="1"/>
  <c r="K47" i="160" s="1"/>
  <c r="F32" i="160" a="1"/>
  <c r="F32" i="160" s="1"/>
  <c r="E45" i="160" a="1"/>
  <c r="E45" i="160" s="1"/>
  <c r="S42" i="160" a="1"/>
  <c r="S42" i="160" s="1"/>
  <c r="F25" i="160" a="1"/>
  <c r="F25" i="160" s="1"/>
  <c r="E41" i="159" a="1"/>
  <c r="E41" i="159" s="1"/>
  <c r="U47" i="160" a="1"/>
  <c r="U47" i="160" s="1"/>
  <c r="C28" i="160" a="1"/>
  <c r="C28" i="160" s="1"/>
  <c r="E31" i="160" a="1"/>
  <c r="E31" i="160" s="1"/>
  <c r="B30" i="160" a="1"/>
  <c r="B30" i="160" s="1"/>
  <c r="H34" i="160" a="1"/>
  <c r="H34" i="160" s="1"/>
  <c r="H43" i="160" a="1"/>
  <c r="H43" i="160" s="1"/>
  <c r="J32" i="160" a="1"/>
  <c r="J32" i="160" s="1"/>
  <c r="I28" i="160" a="1"/>
  <c r="I28" i="160" s="1"/>
  <c r="K45" i="160" a="1"/>
  <c r="K45" i="160" s="1"/>
  <c r="H40" i="160" a="1"/>
  <c r="H40" i="160" s="1"/>
  <c r="H44" i="161" a="1"/>
  <c r="H44" i="161" s="1"/>
  <c r="J44" i="160" a="1"/>
  <c r="J44" i="160" s="1"/>
  <c r="F31" i="160" a="1"/>
  <c r="F31" i="160" s="1"/>
  <c r="F26" i="160" a="1"/>
  <c r="F26" i="160" s="1"/>
  <c r="B46" i="160" a="1"/>
  <c r="B46" i="160" s="1"/>
  <c r="F46" i="159" a="1"/>
  <c r="F46" i="159" s="1"/>
  <c r="W47" i="160" a="1"/>
  <c r="W47" i="160" s="1"/>
  <c r="J43" i="160" a="1"/>
  <c r="J43" i="160" s="1"/>
  <c r="C44" i="160" a="1"/>
  <c r="C44" i="160" s="1"/>
  <c r="R43" i="160" a="1"/>
  <c r="R43" i="160" s="1"/>
  <c r="U46" i="160" a="1"/>
  <c r="U46" i="160" s="1"/>
  <c r="C44" i="159" a="1"/>
  <c r="C44" i="159" s="1"/>
  <c r="S47" i="160" a="1"/>
  <c r="S47" i="160" s="1"/>
  <c r="E33" i="160" a="1"/>
  <c r="E33" i="160" s="1"/>
  <c r="F33" i="160" a="1"/>
  <c r="F33" i="160" s="1"/>
  <c r="G26" i="161" a="1"/>
  <c r="G26" i="161" s="1"/>
  <c r="E40" i="160" a="1"/>
  <c r="E40" i="160" s="1"/>
  <c r="V45" i="160" a="1"/>
  <c r="V45" i="160" s="1"/>
  <c r="B43" i="161" a="1"/>
  <c r="B43" i="161" s="1"/>
  <c r="W40" i="160" a="1"/>
  <c r="W40" i="160" s="1"/>
  <c r="I45" i="160" a="1"/>
  <c r="I45" i="160" s="1"/>
  <c r="E40" i="159" a="1"/>
  <c r="E40" i="159" s="1"/>
  <c r="J47" i="160" a="1"/>
  <c r="J47" i="160" s="1"/>
  <c r="I26" i="160" a="1"/>
  <c r="I26" i="160" s="1"/>
  <c r="H46" i="160" a="1"/>
  <c r="H46" i="160" s="1"/>
  <c r="J30" i="160" a="1"/>
  <c r="J30" i="160" s="1"/>
  <c r="B44" i="160" a="1"/>
  <c r="B44" i="160" s="1"/>
  <c r="J31" i="160" a="1"/>
  <c r="J31" i="160" s="1"/>
  <c r="G43" i="160" a="1"/>
  <c r="G43" i="160" s="1"/>
  <c r="V42" i="160" a="1"/>
  <c r="V42" i="160" s="1"/>
  <c r="Q40" i="160" a="1"/>
  <c r="Q40" i="160" s="1"/>
  <c r="D47" i="160" a="1"/>
  <c r="D47" i="160" s="1"/>
  <c r="I34" i="160" a="1"/>
  <c r="I34" i="160" s="1"/>
  <c r="G26" i="160" a="1"/>
  <c r="G26" i="160" s="1"/>
  <c r="G39" i="160" a="1"/>
  <c r="G39" i="160" s="1"/>
  <c r="G41" i="161" a="1"/>
  <c r="G41" i="161" s="1"/>
  <c r="F44" i="160" a="1"/>
  <c r="F44" i="160" s="1"/>
  <c r="U42" i="160" a="1"/>
  <c r="U42" i="160" s="1"/>
  <c r="S46" i="160" a="1"/>
  <c r="S46" i="160" s="1"/>
  <c r="P45" i="160" a="1"/>
  <c r="P45" i="160" s="1"/>
  <c r="G39" i="161" a="1"/>
  <c r="G39" i="161" s="1"/>
  <c r="J28" i="161" a="1"/>
  <c r="J28" i="161" s="1"/>
  <c r="Q45" i="160" a="1"/>
  <c r="Q45" i="160" s="1"/>
  <c r="I42" i="160" a="1"/>
  <c r="I42" i="160" s="1"/>
  <c r="H26" i="161" a="1"/>
  <c r="H26" i="161" s="1"/>
  <c r="V43" i="160" a="1"/>
  <c r="V43" i="160" s="1"/>
  <c r="H26" i="160" a="1"/>
  <c r="H26" i="160" s="1"/>
  <c r="D30" i="160" a="1"/>
  <c r="D30" i="160" s="1"/>
  <c r="I39" i="161" a="1"/>
  <c r="I39" i="161" s="1"/>
  <c r="B42" i="159" a="1"/>
  <c r="B42" i="159" s="1"/>
  <c r="B26" i="160" a="1"/>
  <c r="B26" i="160" s="1"/>
  <c r="I40" i="160" a="1"/>
  <c r="I40" i="160" s="1"/>
  <c r="Q46" i="160" a="1"/>
  <c r="Q46" i="160" s="1"/>
  <c r="C34" i="161" a="1"/>
  <c r="C34" i="161" s="1"/>
  <c r="B42" i="160" a="1"/>
  <c r="B42" i="160" s="1"/>
  <c r="E39" i="160" a="1"/>
  <c r="E39" i="160" s="1"/>
  <c r="P42" i="161" a="1"/>
  <c r="P42" i="161" s="1"/>
  <c r="R42" i="161" a="1"/>
  <c r="R42" i="161" s="1"/>
  <c r="D25" i="160" a="1"/>
  <c r="D25" i="160" s="1"/>
  <c r="G31" i="160" a="1"/>
  <c r="G31" i="160" s="1"/>
  <c r="H32" i="161" a="1"/>
  <c r="H32" i="161" s="1"/>
  <c r="O42" i="160" a="1"/>
  <c r="O42" i="160" s="1"/>
  <c r="T43" i="161" a="1"/>
  <c r="T43" i="161" s="1"/>
  <c r="O47" i="160" a="1"/>
  <c r="O47" i="160" s="1"/>
  <c r="F42" i="160" a="1"/>
  <c r="F42" i="160" s="1"/>
  <c r="R39" i="160" a="1"/>
  <c r="R39" i="160" s="1"/>
  <c r="H31" i="160" a="1"/>
  <c r="H31" i="160" s="1"/>
  <c r="F30" i="160" a="1"/>
  <c r="F30" i="160" s="1"/>
  <c r="O44" i="160" a="1"/>
  <c r="O44" i="160" s="1"/>
  <c r="F43" i="160" a="1"/>
  <c r="F43" i="160" s="1"/>
  <c r="B47" i="160" a="1"/>
  <c r="B47" i="160" s="1"/>
  <c r="W46" i="160" a="1"/>
  <c r="W46" i="160" s="1"/>
  <c r="K39" i="160" a="1"/>
  <c r="K39" i="160" s="1"/>
  <c r="F47" i="160" a="1"/>
  <c r="F47" i="160" s="1"/>
  <c r="P43" i="160" a="1"/>
  <c r="P43" i="160" s="1"/>
  <c r="C31" i="161" a="1"/>
  <c r="C31" i="161" s="1"/>
  <c r="H39" i="160" a="1"/>
  <c r="H39" i="160" s="1"/>
  <c r="E34" i="160" a="1"/>
  <c r="E34" i="160" s="1"/>
  <c r="I33" i="160" a="1"/>
  <c r="I33" i="160" s="1"/>
  <c r="D43" i="160" a="1"/>
  <c r="D43" i="160" s="1"/>
  <c r="B34" i="160" a="1"/>
  <c r="B34" i="160" s="1"/>
  <c r="F44" i="161" a="1"/>
  <c r="F44" i="161" s="1"/>
  <c r="F43" i="161" a="1"/>
  <c r="F43" i="161" s="1"/>
  <c r="W42" i="160" a="1"/>
  <c r="W42" i="160" s="1"/>
  <c r="I31" i="160" a="1"/>
  <c r="I31" i="160" s="1"/>
  <c r="H30" i="160" a="1"/>
  <c r="H30" i="160" s="1"/>
  <c r="U44" i="160" a="1"/>
  <c r="U44" i="160" s="1"/>
  <c r="G47" i="160" a="1"/>
  <c r="G47" i="160" s="1"/>
  <c r="D44" i="160" a="1"/>
  <c r="D44" i="160" s="1"/>
  <c r="R44" i="160" a="1"/>
  <c r="R44" i="160" s="1"/>
  <c r="G32" i="160" a="1"/>
  <c r="G32" i="160" s="1"/>
  <c r="J34" i="160" a="1"/>
  <c r="J34" i="160" s="1"/>
  <c r="W44" i="160" a="1"/>
  <c r="W44" i="160" s="1"/>
  <c r="O46" i="160" a="1"/>
  <c r="O46" i="160" s="1"/>
  <c r="F40" i="160" a="1"/>
  <c r="F40" i="160" s="1"/>
  <c r="V39" i="161" a="1"/>
  <c r="V39" i="161" s="1"/>
  <c r="H44" i="160" a="1"/>
  <c r="H44" i="160" s="1"/>
  <c r="B32" i="160" a="1"/>
  <c r="B32" i="160" s="1"/>
  <c r="H25" i="160" a="1"/>
  <c r="H25" i="160" s="1"/>
  <c r="G44" i="160" a="1"/>
  <c r="G44" i="160" s="1"/>
  <c r="Q41" i="161" a="1"/>
  <c r="Q41" i="161" s="1"/>
  <c r="Q39" i="160" a="1"/>
  <c r="Q39" i="160" s="1"/>
  <c r="T42" i="160" a="1"/>
  <c r="T42" i="160" s="1"/>
  <c r="S43" i="160" a="1"/>
  <c r="S43" i="160" s="1"/>
  <c r="E33" i="161" a="1"/>
  <c r="E33" i="161" s="1"/>
  <c r="C33" i="160" a="1"/>
  <c r="C33" i="160" s="1"/>
  <c r="C32" i="160" a="1"/>
  <c r="C32" i="160" s="1"/>
  <c r="E25" i="161" a="1"/>
  <c r="E25" i="161" s="1"/>
  <c r="J26" i="160" a="1"/>
  <c r="J26" i="160" s="1"/>
  <c r="C41" i="161" a="1"/>
  <c r="C41" i="161" s="1"/>
  <c r="D34" i="160" a="1"/>
  <c r="D34" i="160" s="1"/>
  <c r="R44" i="161" a="1"/>
  <c r="R44" i="161" s="1"/>
  <c r="D33" i="160" a="1"/>
  <c r="D33" i="160" s="1"/>
  <c r="G34" i="161" a="1"/>
  <c r="G34" i="161" s="1"/>
  <c r="C44" i="161" a="1"/>
  <c r="C44" i="161" s="1"/>
  <c r="B44" i="161" a="1"/>
  <c r="B44" i="161" s="1"/>
  <c r="D39" i="161" a="1"/>
  <c r="D39" i="161" s="1"/>
  <c r="D42" i="160" a="1"/>
  <c r="D42" i="160" s="1"/>
  <c r="P46" i="160" a="1"/>
  <c r="P46" i="160" s="1"/>
  <c r="B28" i="161" a="1"/>
  <c r="B28" i="161" s="1"/>
  <c r="G25" i="160" a="1"/>
  <c r="G25" i="160" s="1"/>
  <c r="F34" i="160" a="1"/>
  <c r="F34" i="160" s="1"/>
  <c r="P44" i="160" a="1"/>
  <c r="P44" i="160" s="1"/>
  <c r="E32" i="161" a="1"/>
  <c r="E32" i="161" s="1"/>
  <c r="T45" i="160" a="1"/>
  <c r="T45" i="160" s="1"/>
  <c r="T43" i="160" a="1"/>
  <c r="T43" i="160" s="1"/>
  <c r="C34" i="160" a="1"/>
  <c r="C34" i="160" s="1"/>
  <c r="U43" i="160" a="1"/>
  <c r="U43" i="160" s="1"/>
  <c r="H33" i="161" a="1"/>
  <c r="H33" i="161" s="1"/>
  <c r="U41" i="161" a="1"/>
  <c r="U41" i="161" s="1"/>
  <c r="G28" i="160" a="1"/>
  <c r="G28" i="160" s="1"/>
  <c r="G30" i="161" a="1"/>
  <c r="G30" i="161" s="1"/>
  <c r="D40" i="160" a="1"/>
  <c r="D40" i="160" s="1"/>
  <c r="G30" i="160" a="1"/>
  <c r="G30" i="160" s="1"/>
  <c r="O45" i="160" a="1"/>
  <c r="O45" i="160" s="1"/>
  <c r="H33" i="160" a="1"/>
  <c r="H33" i="160" s="1"/>
  <c r="C40" i="160" a="1"/>
  <c r="C40" i="160" s="1"/>
  <c r="P42" i="160" a="1"/>
  <c r="P42" i="160" s="1"/>
  <c r="E44" i="160" a="1"/>
  <c r="E44" i="160" s="1"/>
  <c r="U45" i="160" a="1"/>
  <c r="U45" i="160" s="1"/>
  <c r="R46" i="160" a="1"/>
  <c r="R46" i="160" s="1"/>
  <c r="G46" i="160" a="1"/>
  <c r="G46" i="160" s="1"/>
  <c r="R45" i="160" a="1"/>
  <c r="R45" i="160" s="1"/>
  <c r="B28" i="160" a="1"/>
  <c r="B28" i="160" s="1"/>
  <c r="J30" i="161" a="1"/>
  <c r="J30" i="161" s="1"/>
  <c r="D39" i="160" a="1"/>
  <c r="D39" i="160" s="1"/>
  <c r="C31" i="160" a="1"/>
  <c r="C31" i="160" s="1"/>
  <c r="C43" i="160" a="1"/>
  <c r="C43" i="160" s="1"/>
  <c r="J25" i="160" a="1"/>
  <c r="J25" i="160" s="1"/>
  <c r="C30" i="160" a="1"/>
  <c r="C30" i="160" s="1"/>
  <c r="C28" i="161" a="1"/>
  <c r="C28" i="161" s="1"/>
  <c r="B45" i="160" a="1"/>
  <c r="B45" i="160" s="1"/>
  <c r="I43" i="161" a="1"/>
  <c r="I43" i="161" s="1"/>
  <c r="D26" i="160" a="1"/>
  <c r="D26" i="160" s="1"/>
  <c r="J31" i="161" a="1"/>
  <c r="J31" i="161" s="1"/>
  <c r="D31" i="160" a="1"/>
  <c r="D31" i="160" s="1"/>
  <c r="K42" i="161" a="1"/>
  <c r="K42" i="161" s="1"/>
  <c r="T46" i="160" a="1"/>
  <c r="T46" i="160" s="1"/>
  <c r="E47" i="160" a="1"/>
  <c r="E47" i="160" s="1"/>
  <c r="J46" i="160" a="1"/>
  <c r="J46" i="160" s="1"/>
  <c r="B33" i="160" a="1"/>
  <c r="B33" i="160" s="1"/>
  <c r="S41" i="161" a="1"/>
  <c r="S41" i="161" s="1"/>
  <c r="Q39" i="161" a="1"/>
  <c r="Q39" i="161" s="1"/>
  <c r="E46" i="160" a="1"/>
  <c r="E46" i="160" s="1"/>
  <c r="E26" i="160" a="1"/>
  <c r="E26" i="160" s="1"/>
  <c r="T42" i="161" a="1"/>
  <c r="T42" i="161" s="1"/>
  <c r="K43" i="161" a="1"/>
  <c r="K43" i="161" s="1"/>
  <c r="U43" i="161" a="1"/>
  <c r="U43" i="161" s="1"/>
  <c r="G44" i="161" a="1"/>
  <c r="G44" i="161" s="1"/>
  <c r="G31" i="161" a="1"/>
  <c r="G31" i="161" s="1"/>
  <c r="H25" i="161" a="1"/>
  <c r="H25" i="161" s="1"/>
  <c r="J39" i="161" a="1"/>
  <c r="J39" i="161" s="1"/>
  <c r="D30" i="161" a="1"/>
  <c r="D30" i="161" s="1"/>
  <c r="Q43" i="160" a="1"/>
  <c r="Q43" i="160" s="1"/>
  <c r="J34" i="161" a="1"/>
  <c r="J34" i="161" s="1"/>
  <c r="I30" i="161" a="1"/>
  <c r="I30" i="161" s="1"/>
  <c r="J41" i="161" a="1"/>
  <c r="J41" i="161" s="1"/>
  <c r="E43" i="161" a="1"/>
  <c r="E43" i="161" s="1"/>
  <c r="G33" i="161" a="1"/>
  <c r="G33" i="161" s="1"/>
  <c r="C26" i="160" a="1"/>
  <c r="C26" i="160" s="1"/>
  <c r="W41" i="161" a="1"/>
  <c r="W41" i="161" s="1"/>
  <c r="P47" i="160" a="1"/>
  <c r="P47" i="160" s="1"/>
  <c r="I41" i="161" a="1"/>
  <c r="I41" i="161" s="1"/>
  <c r="E34" i="161" a="1"/>
  <c r="E34" i="161" s="1"/>
  <c r="V43" i="161" a="1"/>
  <c r="V43" i="161" s="1"/>
  <c r="F26" i="161" a="1"/>
  <c r="F26" i="161" s="1"/>
  <c r="I44" i="160" a="1"/>
  <c r="I44" i="160" s="1"/>
  <c r="I44" i="161" a="1"/>
  <c r="I44" i="161" s="1"/>
  <c r="I25" i="161" a="1"/>
  <c r="I25" i="161" s="1"/>
  <c r="C39" i="161" a="1"/>
  <c r="C39" i="161" s="1"/>
  <c r="I47" i="160" a="1"/>
  <c r="I47" i="160" s="1"/>
  <c r="D32" i="161" a="1"/>
  <c r="D32" i="161" s="1"/>
  <c r="F32" i="161" a="1"/>
  <c r="F32" i="161" s="1"/>
  <c r="D26" i="161" a="1"/>
  <c r="D26" i="161" s="1"/>
  <c r="B40" i="160" a="1"/>
  <c r="B40" i="160" s="1"/>
  <c r="G42" i="161" a="1"/>
  <c r="G42" i="161" s="1"/>
  <c r="P44" i="161" a="1"/>
  <c r="P44" i="161" s="1"/>
  <c r="C43" i="161" a="1"/>
  <c r="C43" i="161" s="1"/>
  <c r="P43" i="161" a="1"/>
  <c r="P43" i="161" s="1"/>
  <c r="I33" i="161" a="1"/>
  <c r="I33" i="161" s="1"/>
  <c r="J32" i="161" a="1"/>
  <c r="J32" i="161" s="1"/>
  <c r="F46" i="160" a="1"/>
  <c r="F46" i="160" s="1"/>
  <c r="F42" i="161" a="1"/>
  <c r="F42" i="161" s="1"/>
  <c r="D32" i="160" a="1"/>
  <c r="D32" i="160" s="1"/>
  <c r="C25" i="160" a="1"/>
  <c r="C25" i="160" s="1"/>
  <c r="J42" i="160" a="1"/>
  <c r="J42" i="160" s="1"/>
  <c r="F41" i="161" a="1"/>
  <c r="F41" i="161" s="1"/>
  <c r="E44" i="161" a="1"/>
  <c r="E44" i="161" s="1"/>
  <c r="O43" i="161" a="1"/>
  <c r="O43" i="161" s="1"/>
  <c r="H30" i="161" a="1"/>
  <c r="H30" i="161" s="1"/>
  <c r="J33" i="161" a="1"/>
  <c r="J33" i="161" s="1"/>
  <c r="T39" i="160" a="1"/>
  <c r="T39" i="160" s="1"/>
  <c r="V44" i="161" a="1"/>
  <c r="V44" i="161" s="1"/>
  <c r="R40" i="160" a="1"/>
  <c r="R40" i="160" s="1"/>
  <c r="E28" i="161" a="1"/>
  <c r="E28" i="161" s="1"/>
  <c r="W44" i="161" a="1"/>
  <c r="W44" i="161" s="1"/>
  <c r="I46" i="160" a="1"/>
  <c r="I46" i="160" s="1"/>
  <c r="B31" i="160" a="1"/>
  <c r="B31" i="160" s="1"/>
  <c r="O41" i="161" a="1"/>
  <c r="O41" i="161" s="1"/>
  <c r="W43" i="161" a="1"/>
  <c r="W43" i="161" s="1"/>
  <c r="P39" i="161" a="1"/>
  <c r="P39" i="161" s="1"/>
  <c r="H31" i="161" a="1"/>
  <c r="H31" i="161" s="1"/>
  <c r="E30" i="161" a="1"/>
  <c r="E30" i="161" s="1"/>
  <c r="F33" i="161" a="1"/>
  <c r="F33" i="161" s="1"/>
  <c r="C32" i="161" a="1"/>
  <c r="C32" i="161" s="1"/>
  <c r="H34" i="161" a="1"/>
  <c r="H34" i="161" s="1"/>
  <c r="C39" i="160" a="1"/>
  <c r="C39" i="160" s="1"/>
  <c r="J25" i="161" a="1"/>
  <c r="J25" i="161" s="1"/>
  <c r="C42" i="161" a="1"/>
  <c r="C42" i="161" s="1"/>
  <c r="U42" i="161" a="1"/>
  <c r="U42" i="161" s="1"/>
  <c r="F25" i="161" a="1"/>
  <c r="F25" i="161" s="1"/>
  <c r="J44" i="161" a="1"/>
  <c r="J44" i="161" s="1"/>
  <c r="R39" i="161" a="1"/>
  <c r="R39" i="161" s="1"/>
  <c r="B39" i="161" a="1"/>
  <c r="B39" i="161" s="1"/>
  <c r="I55" i="189" a="1"/>
  <c r="I55" i="189" s="1"/>
  <c r="H39" i="161" a="1"/>
  <c r="H39" i="161" s="1"/>
  <c r="O44" i="161" a="1"/>
  <c r="O44" i="161" s="1"/>
  <c r="I31" i="161" a="1"/>
  <c r="I31" i="161" s="1"/>
  <c r="C25" i="161" a="1"/>
  <c r="C25" i="161" s="1"/>
  <c r="R43" i="161" a="1"/>
  <c r="R43" i="161" s="1"/>
  <c r="D44" i="161" a="1"/>
  <c r="D44" i="161" s="1"/>
  <c r="U39" i="161" a="1"/>
  <c r="U39" i="161" s="1"/>
  <c r="K44" i="161" a="1"/>
  <c r="K44" i="161" s="1"/>
  <c r="Q42" i="161" a="1"/>
  <c r="Q42" i="161" s="1"/>
  <c r="C30" i="161" a="1"/>
  <c r="C30" i="161" s="1"/>
  <c r="T39" i="161" a="1"/>
  <c r="T39" i="161" s="1"/>
  <c r="O42" i="161" a="1"/>
  <c r="O42" i="161" s="1"/>
  <c r="D28" i="161" a="1"/>
  <c r="D28" i="161" s="1"/>
  <c r="I32" i="161" a="1"/>
  <c r="I32" i="161" s="1"/>
  <c r="F39" i="161" a="1"/>
  <c r="F39" i="161" s="1"/>
  <c r="B32" i="161" a="1"/>
  <c r="B32" i="161" s="1"/>
  <c r="E41" i="161" a="1"/>
  <c r="E41" i="161" s="1"/>
  <c r="Q43" i="161" a="1"/>
  <c r="Q43" i="161" s="1"/>
  <c r="I26" i="161" a="1"/>
  <c r="I26" i="161" s="1"/>
  <c r="H43" i="161" a="1"/>
  <c r="H43" i="161" s="1"/>
  <c r="D33" i="161" a="1"/>
  <c r="D33" i="161" s="1"/>
  <c r="H42" i="161" a="1"/>
  <c r="H42" i="161" s="1"/>
  <c r="T41" i="161" a="1"/>
  <c r="T41" i="161" s="1"/>
  <c r="B30" i="161" a="1"/>
  <c r="B30" i="161" s="1"/>
  <c r="E42" i="161" a="1"/>
  <c r="E42" i="161" s="1"/>
  <c r="I34" i="161" a="1"/>
  <c r="I34" i="161" s="1"/>
  <c r="H28" i="161" a="1"/>
  <c r="H28" i="161" s="1"/>
  <c r="C26" i="161" a="1"/>
  <c r="C26" i="161" s="1"/>
  <c r="K41" i="161" a="1"/>
  <c r="K41" i="161" s="1"/>
  <c r="B41" i="161" a="1"/>
  <c r="B41" i="161" s="1"/>
  <c r="K39" i="161" a="1"/>
  <c r="K39" i="161" s="1"/>
  <c r="S42" i="161" a="1"/>
  <c r="S42" i="161" s="1"/>
  <c r="G25" i="161" a="1"/>
  <c r="G25" i="161" s="1"/>
  <c r="D31" i="161" a="1"/>
  <c r="D31" i="161" s="1"/>
  <c r="W42" i="161" a="1"/>
  <c r="W42" i="161" s="1"/>
  <c r="I28" i="161" a="1"/>
  <c r="I28" i="161" s="1"/>
  <c r="E39" i="161" a="1"/>
  <c r="E39" i="161" s="1"/>
  <c r="B43" i="160" a="1"/>
  <c r="B43" i="160" s="1"/>
  <c r="Q44" i="161" a="1"/>
  <c r="Q44" i="161" s="1"/>
  <c r="I42" i="161" a="1"/>
  <c r="I42" i="161" s="1"/>
  <c r="U44" i="161" a="1"/>
  <c r="U44" i="161" s="1"/>
  <c r="J42" i="161" a="1"/>
  <c r="J42" i="161" s="1"/>
  <c r="D43" i="161" a="1"/>
  <c r="D43" i="161" s="1"/>
  <c r="V42" i="161" a="1"/>
  <c r="V42" i="161" s="1"/>
  <c r="J43" i="161" a="1"/>
  <c r="J43" i="161" s="1"/>
  <c r="P41" i="161" a="1"/>
  <c r="P41" i="161" s="1"/>
  <c r="F30" i="161" a="1"/>
  <c r="F30" i="161" s="1"/>
  <c r="R41" i="161" a="1"/>
  <c r="R41" i="161" s="1"/>
  <c r="S43" i="161" a="1"/>
  <c r="S43" i="161" s="1"/>
  <c r="B34" i="161" a="1"/>
  <c r="B34" i="161" s="1"/>
  <c r="C33" i="161" a="1"/>
  <c r="C33" i="161" s="1"/>
  <c r="G28" i="161" a="1"/>
  <c r="G28" i="161" s="1"/>
  <c r="F39" i="160" a="1"/>
  <c r="F39" i="160" s="1"/>
  <c r="E26" i="161" a="1"/>
  <c r="E26" i="161" s="1"/>
  <c r="F28" i="161" a="1"/>
  <c r="F28" i="161" s="1"/>
  <c r="F31" i="161" a="1"/>
  <c r="F31" i="161" s="1"/>
  <c r="C46" i="160" a="1"/>
  <c r="C46" i="160" s="1"/>
  <c r="S44" i="161" a="1"/>
  <c r="S44" i="161" s="1"/>
  <c r="O50" i="189" a="1"/>
  <c r="O50" i="189" s="1"/>
  <c r="B33" i="161" a="1"/>
  <c r="B33" i="161" s="1"/>
  <c r="T44" i="161" a="1"/>
  <c r="T44" i="161" s="1"/>
  <c r="D41" i="161" a="1"/>
  <c r="D41" i="161" s="1"/>
  <c r="B26" i="161" a="1"/>
  <c r="B26" i="161" s="1"/>
  <c r="D34" i="161" a="1"/>
  <c r="D34" i="161" s="1"/>
  <c r="B42" i="161" a="1"/>
  <c r="B42" i="161" s="1"/>
  <c r="E31" i="161" a="1"/>
  <c r="E31" i="161" s="1"/>
  <c r="S39" i="161" a="1"/>
  <c r="S39" i="161" s="1"/>
  <c r="F34" i="161" a="1"/>
  <c r="F34" i="161" s="1"/>
  <c r="D25" i="161" a="1"/>
  <c r="D25" i="161" s="1"/>
  <c r="G43" i="161" a="1"/>
  <c r="G43" i="161" s="1"/>
  <c r="J26" i="161" a="1"/>
  <c r="J26" i="161" s="1"/>
  <c r="G53" i="189" a="1"/>
  <c r="G53" i="189" s="1"/>
  <c r="W39" i="161" a="1"/>
  <c r="W39" i="161" s="1"/>
  <c r="G32" i="161" a="1"/>
  <c r="G32" i="161" s="1"/>
  <c r="O39" i="161" a="1"/>
  <c r="O39" i="161" s="1"/>
  <c r="D42" i="161" a="1"/>
  <c r="D42" i="161" s="1"/>
  <c r="B31" i="161" a="1"/>
  <c r="B31" i="161" s="1"/>
  <c r="M54" i="189" a="1"/>
  <c r="M54" i="189" s="1"/>
  <c r="K54" i="189" a="1"/>
  <c r="K54" i="189" s="1"/>
  <c r="J52" i="189" a="1"/>
  <c r="J52" i="189" s="1"/>
  <c r="P56" i="189" a="1"/>
  <c r="P56" i="189" s="1"/>
  <c r="M57" i="189" a="1"/>
  <c r="M57" i="189" s="1"/>
  <c r="O52" i="189" a="1"/>
  <c r="O52" i="189" s="1"/>
  <c r="K50" i="189" a="1"/>
  <c r="K50" i="189" s="1"/>
  <c r="K53" i="189" a="1"/>
  <c r="K53" i="189" s="1"/>
  <c r="I52" i="189" a="1"/>
  <c r="I52" i="189" s="1"/>
  <c r="H51" i="189" a="1"/>
  <c r="H51" i="189" s="1"/>
  <c r="L53" i="189" a="1"/>
  <c r="L53" i="189" s="1"/>
  <c r="L49" i="189" a="1"/>
  <c r="L49" i="189" s="1"/>
  <c r="O51" i="189" a="1"/>
  <c r="O51" i="189" s="1"/>
  <c r="L52" i="189" a="1"/>
  <c r="L52" i="189" s="1"/>
  <c r="I54" i="189" a="1"/>
  <c r="I54" i="189" s="1"/>
  <c r="G50" i="189" a="1"/>
  <c r="G50" i="189" s="1"/>
  <c r="H53" i="189" a="1"/>
  <c r="H53" i="189" s="1"/>
  <c r="I57" i="189" a="1"/>
  <c r="I57" i="189" s="1"/>
  <c r="P54" i="189" a="1"/>
  <c r="P54" i="189" s="1"/>
  <c r="L56" i="189" a="1"/>
  <c r="L56" i="189" s="1"/>
  <c r="M49" i="189" a="1"/>
  <c r="M49" i="189" s="1"/>
  <c r="P57" i="189" a="1"/>
  <c r="P57" i="189" s="1"/>
  <c r="P51" i="189" a="1"/>
  <c r="P51" i="189" s="1"/>
  <c r="P52" i="189" a="1"/>
  <c r="P52" i="189" s="1"/>
  <c r="J56" i="189" a="1"/>
  <c r="J56" i="189" s="1"/>
  <c r="J57" i="189" a="1"/>
  <c r="J57" i="189" s="1"/>
  <c r="H50" i="189" a="1"/>
  <c r="H50" i="189" s="1"/>
  <c r="J51" i="189" a="1"/>
  <c r="J51" i="189" s="1"/>
  <c r="I53" i="189" a="1"/>
  <c r="I53" i="189" s="1"/>
  <c r="M51" i="189" a="1"/>
  <c r="M51" i="189" s="1"/>
  <c r="L54" i="189" a="1"/>
  <c r="L54" i="189" s="1"/>
  <c r="M56" i="189" a="1"/>
  <c r="M56" i="189" s="1"/>
  <c r="N49" i="189" a="1"/>
  <c r="N49" i="189" s="1"/>
  <c r="L51" i="189" a="1"/>
  <c r="L51" i="189" s="1"/>
  <c r="J55" i="189" a="1"/>
  <c r="J55" i="189" s="1"/>
  <c r="K56" i="189" a="1"/>
  <c r="K56" i="189" s="1"/>
  <c r="H57" i="189" a="1"/>
  <c r="H57" i="189" s="1"/>
  <c r="I50" i="189" a="1"/>
  <c r="I50" i="189" s="1"/>
  <c r="K51" i="189" a="1"/>
  <c r="K51" i="189" s="1"/>
  <c r="N55" i="189" a="1"/>
  <c r="N55" i="189" s="1"/>
  <c r="J49" i="189" a="1"/>
  <c r="J49" i="189" s="1"/>
  <c r="E41" i="160" a="1"/>
  <c r="E41" i="160" s="1"/>
  <c r="D27" i="160" a="1"/>
  <c r="D27" i="160" s="1"/>
  <c r="D41" i="160" a="1"/>
  <c r="D41" i="160" s="1"/>
  <c r="C27" i="160" a="1"/>
  <c r="C27" i="160" s="1"/>
  <c r="C29" i="161" a="1"/>
  <c r="C29" i="161" s="1"/>
  <c r="P40" i="161" a="1"/>
  <c r="P40" i="161" s="1"/>
  <c r="D29" i="161" a="1"/>
  <c r="D29" i="161" s="1"/>
  <c r="Q40" i="161" a="1"/>
  <c r="Q40" i="161" s="1"/>
  <c r="H27" i="161" a="1"/>
  <c r="H27" i="161" s="1"/>
  <c r="I40" i="161" a="1"/>
  <c r="I40" i="161" s="1"/>
  <c r="K25" i="42" a="1"/>
  <c r="K25" i="42" s="1"/>
  <c r="K29" i="42" a="1"/>
  <c r="K29" i="42" s="1"/>
  <c r="K33" i="42" a="1"/>
  <c r="K33" i="42" s="1"/>
  <c r="K28" i="42" a="1"/>
  <c r="K28" i="42" s="1"/>
  <c r="K32" i="42" a="1"/>
  <c r="K32" i="42" s="1"/>
  <c r="K27" i="42" a="1"/>
  <c r="K27" i="42" s="1"/>
  <c r="K31" i="42" a="1"/>
  <c r="K31" i="42" s="1"/>
  <c r="K26" i="42" a="1"/>
  <c r="K26" i="42" s="1"/>
  <c r="K30" i="42" a="1"/>
  <c r="K30" i="42" s="1"/>
  <c r="K34" i="42" a="1"/>
  <c r="K34" i="42" s="1"/>
  <c r="L26" i="42" a="1"/>
  <c r="L26" i="42" s="1"/>
  <c r="L30" i="42" a="1"/>
  <c r="L30" i="42" s="1"/>
  <c r="L34" i="42" a="1"/>
  <c r="L34" i="42" s="1"/>
  <c r="L25" i="42" a="1"/>
  <c r="L25" i="42" s="1"/>
  <c r="L29" i="42" a="1"/>
  <c r="L29" i="42" s="1"/>
  <c r="L33" i="42" a="1"/>
  <c r="L33" i="42" s="1"/>
  <c r="L28" i="42" a="1"/>
  <c r="L28" i="42" s="1"/>
  <c r="L32" i="42" a="1"/>
  <c r="L32" i="42" s="1"/>
  <c r="L27" i="42" a="1"/>
  <c r="L27" i="42" s="1"/>
  <c r="L31" i="42" a="1"/>
  <c r="L31" i="42" s="1"/>
  <c r="M27" i="42" a="1"/>
  <c r="M27" i="42" s="1"/>
  <c r="M31" i="42" a="1"/>
  <c r="M31" i="42" s="1"/>
  <c r="M26" i="42" a="1"/>
  <c r="M26" i="42" s="1"/>
  <c r="M30" i="42" a="1"/>
  <c r="M30" i="42" s="1"/>
  <c r="M34" i="42" a="1"/>
  <c r="M34" i="42" s="1"/>
  <c r="M25" i="42" a="1"/>
  <c r="M25" i="42" s="1"/>
  <c r="M29" i="42" a="1"/>
  <c r="M29" i="42" s="1"/>
  <c r="M33" i="42" a="1"/>
  <c r="M33" i="42" s="1"/>
  <c r="M28" i="42" a="1"/>
  <c r="M28" i="42" s="1"/>
  <c r="M32" i="42" a="1"/>
  <c r="M32" i="42" s="1"/>
  <c r="M27" i="41" a="1"/>
  <c r="M27" i="41" s="1"/>
  <c r="M31" i="41" a="1"/>
  <c r="M31" i="41" s="1"/>
  <c r="M26" i="41" a="1"/>
  <c r="M26" i="41" s="1"/>
  <c r="M30" i="41" a="1"/>
  <c r="M30" i="41" s="1"/>
  <c r="M34" i="41" a="1"/>
  <c r="M34" i="41" s="1"/>
  <c r="M25" i="41" a="1"/>
  <c r="M25" i="41" s="1"/>
  <c r="M29" i="41" a="1"/>
  <c r="M29" i="41" s="1"/>
  <c r="M33" i="41" a="1"/>
  <c r="M33" i="41" s="1"/>
  <c r="M32" i="41" a="1"/>
  <c r="M32" i="41" s="1"/>
  <c r="M28" i="41" a="1"/>
  <c r="M28" i="41" s="1"/>
  <c r="K25" i="41" a="1"/>
  <c r="K25" i="41" s="1"/>
  <c r="K29" i="41" a="1"/>
  <c r="K29" i="41" s="1"/>
  <c r="K33" i="41" a="1"/>
  <c r="K33" i="41" s="1"/>
  <c r="K28" i="41" a="1"/>
  <c r="K28" i="41" s="1"/>
  <c r="K32" i="41" a="1"/>
  <c r="K32" i="41" s="1"/>
  <c r="K27" i="41" a="1"/>
  <c r="K27" i="41" s="1"/>
  <c r="K31" i="41" a="1"/>
  <c r="K31" i="41" s="1"/>
  <c r="K26" i="41" a="1"/>
  <c r="K26" i="41" s="1"/>
  <c r="K34" i="41" a="1"/>
  <c r="K34" i="41" s="1"/>
  <c r="K30" i="41" a="1"/>
  <c r="K30" i="41" s="1"/>
  <c r="L26" i="41" a="1"/>
  <c r="L26" i="41" s="1"/>
  <c r="L30" i="41" a="1"/>
  <c r="L30" i="41" s="1"/>
  <c r="L34" i="41" a="1"/>
  <c r="L34" i="41" s="1"/>
  <c r="L25" i="41" a="1"/>
  <c r="L25" i="41" s="1"/>
  <c r="L29" i="41" a="1"/>
  <c r="L29" i="41" s="1"/>
  <c r="L33" i="41" a="1"/>
  <c r="L33" i="41" s="1"/>
  <c r="L28" i="41" a="1"/>
  <c r="L28" i="41" s="1"/>
  <c r="L32" i="41" a="1"/>
  <c r="L32" i="41" s="1"/>
  <c r="L31" i="41" a="1"/>
  <c r="L31" i="41" s="1"/>
  <c r="L27" i="41" a="1"/>
  <c r="L27" i="41" s="1"/>
  <c r="M27" i="39" a="1"/>
  <c r="M27" i="39" s="1"/>
  <c r="M31" i="39" a="1"/>
  <c r="M31" i="39" s="1"/>
  <c r="M32" i="39" a="1"/>
  <c r="M32" i="39" s="1"/>
  <c r="M26" i="39" a="1"/>
  <c r="M26" i="39" s="1"/>
  <c r="M30" i="39" a="1"/>
  <c r="M30" i="39" s="1"/>
  <c r="M34" i="39" a="1"/>
  <c r="M34" i="39" s="1"/>
  <c r="M28" i="39" a="1"/>
  <c r="M28" i="39" s="1"/>
  <c r="M25" i="39" a="1"/>
  <c r="M25" i="39" s="1"/>
  <c r="M29" i="39" a="1"/>
  <c r="M29" i="39" s="1"/>
  <c r="M33" i="39" a="1"/>
  <c r="M33" i="39" s="1"/>
  <c r="K33" i="39" a="1"/>
  <c r="K33" i="39" s="1"/>
  <c r="K25" i="39" a="1"/>
  <c r="K25" i="39" s="1"/>
  <c r="K29" i="39" a="1"/>
  <c r="K29" i="39" s="1"/>
  <c r="K34" i="39" a="1"/>
  <c r="K34" i="39" s="1"/>
  <c r="K28" i="39" a="1"/>
  <c r="K28" i="39" s="1"/>
  <c r="K32" i="39" a="1"/>
  <c r="K32" i="39" s="1"/>
  <c r="K26" i="39" a="1"/>
  <c r="K26" i="39" s="1"/>
  <c r="K27" i="39" a="1"/>
  <c r="K27" i="39" s="1"/>
  <c r="K31" i="39" a="1"/>
  <c r="K31" i="39" s="1"/>
  <c r="K30" i="39" a="1"/>
  <c r="K30" i="39" s="1"/>
  <c r="L26" i="39" a="1"/>
  <c r="L26" i="39" s="1"/>
  <c r="L30" i="39" a="1"/>
  <c r="L30" i="39" s="1"/>
  <c r="L34" i="39" a="1"/>
  <c r="L34" i="39" s="1"/>
  <c r="L25" i="39" a="1"/>
  <c r="L25" i="39" s="1"/>
  <c r="L29" i="39" a="1"/>
  <c r="L29" i="39" s="1"/>
  <c r="L33" i="39" a="1"/>
  <c r="L33" i="39" s="1"/>
  <c r="L27" i="39" a="1"/>
  <c r="L27" i="39" s="1"/>
  <c r="L31" i="39" a="1"/>
  <c r="L31" i="39" s="1"/>
  <c r="L28" i="39" a="1"/>
  <c r="L28" i="39" s="1"/>
  <c r="L32" i="39" a="1"/>
  <c r="L32" i="39" s="1"/>
  <c r="K25" i="45"/>
  <c r="K33" i="45"/>
  <c r="K28" i="45"/>
  <c r="K31" i="45"/>
  <c r="K26" i="45"/>
  <c r="K34" i="45"/>
  <c r="K30" i="45"/>
  <c r="K32" i="45"/>
  <c r="K29" i="45"/>
  <c r="M27" i="45"/>
  <c r="M30" i="45"/>
  <c r="M25" i="45"/>
  <c r="M33" i="45"/>
  <c r="M28" i="45"/>
  <c r="M26" i="45"/>
  <c r="M32" i="45"/>
  <c r="M34" i="45"/>
  <c r="M31" i="45"/>
  <c r="K27" i="45"/>
  <c r="L30" i="45"/>
  <c r="L25" i="45"/>
  <c r="L33" i="45"/>
  <c r="L28" i="45"/>
  <c r="L31" i="45"/>
  <c r="L27" i="45"/>
  <c r="L34" i="45"/>
  <c r="L32" i="45"/>
  <c r="L29" i="45"/>
  <c r="L26" i="45"/>
  <c r="K25" i="38" a="1"/>
  <c r="K25" i="38" s="1"/>
  <c r="K29" i="38" a="1"/>
  <c r="K29" i="38" s="1"/>
  <c r="K33" i="38" a="1"/>
  <c r="K33" i="38" s="1"/>
  <c r="K28" i="38" a="1"/>
  <c r="K28" i="38" s="1"/>
  <c r="K32" i="38" a="1"/>
  <c r="K32" i="38" s="1"/>
  <c r="K27" i="38" a="1"/>
  <c r="K27" i="38" s="1"/>
  <c r="K31" i="38" a="1"/>
  <c r="K31" i="38" s="1"/>
  <c r="K34" i="38" a="1"/>
  <c r="K34" i="38" s="1"/>
  <c r="K26" i="38" a="1"/>
  <c r="K26" i="38" s="1"/>
  <c r="K30" i="38" a="1"/>
  <c r="K30" i="38" s="1"/>
  <c r="L26" i="38" a="1"/>
  <c r="L26" i="38" s="1"/>
  <c r="L30" i="38" a="1"/>
  <c r="L30" i="38" s="1"/>
  <c r="L34" i="38" a="1"/>
  <c r="L34" i="38" s="1"/>
  <c r="L25" i="38" a="1"/>
  <c r="L25" i="38" s="1"/>
  <c r="L29" i="38" a="1"/>
  <c r="L29" i="38" s="1"/>
  <c r="L33" i="38" a="1"/>
  <c r="L33" i="38" s="1"/>
  <c r="L28" i="38" a="1"/>
  <c r="L28" i="38" s="1"/>
  <c r="L32" i="38" a="1"/>
  <c r="L32" i="38" s="1"/>
  <c r="L31" i="38" a="1"/>
  <c r="L31" i="38" s="1"/>
  <c r="L27" i="38" a="1"/>
  <c r="L27" i="38" s="1"/>
  <c r="M27" i="38" a="1"/>
  <c r="M27" i="38" s="1"/>
  <c r="M31" i="38" a="1"/>
  <c r="M31" i="38" s="1"/>
  <c r="M26" i="38" a="1"/>
  <c r="M26" i="38" s="1"/>
  <c r="M30" i="38" a="1"/>
  <c r="M30" i="38" s="1"/>
  <c r="M34" i="38" a="1"/>
  <c r="M34" i="38" s="1"/>
  <c r="M25" i="38" a="1"/>
  <c r="M25" i="38" s="1"/>
  <c r="M29" i="38" a="1"/>
  <c r="M29" i="38" s="1"/>
  <c r="M33" i="38" a="1"/>
  <c r="M33" i="38" s="1"/>
  <c r="M28" i="38" a="1"/>
  <c r="M28" i="38" s="1"/>
  <c r="M32" i="38" a="1"/>
  <c r="M32" i="38" s="1"/>
  <c r="K32" i="37"/>
  <c r="L26" i="37"/>
  <c r="L28" i="37"/>
  <c r="L30" i="37"/>
  <c r="L32" i="37"/>
  <c r="K26" i="37"/>
  <c r="K28" i="37"/>
  <c r="M28" i="37"/>
  <c r="M30" i="37"/>
  <c r="M34" i="37"/>
  <c r="M26" i="37"/>
  <c r="M32" i="37"/>
  <c r="K25" i="37"/>
  <c r="K27" i="37"/>
  <c r="K29" i="37"/>
  <c r="K31" i="37"/>
  <c r="K33" i="37"/>
  <c r="K34" i="37"/>
  <c r="M25" i="37"/>
  <c r="M27" i="37"/>
  <c r="M29" i="37"/>
  <c r="M31" i="37"/>
  <c r="A76" i="35"/>
  <c r="A75" i="35"/>
  <c r="A74" i="35"/>
  <c r="A73" i="35"/>
  <c r="A72" i="35"/>
  <c r="A71" i="35"/>
  <c r="A70" i="35"/>
  <c r="A69" i="35"/>
  <c r="A68" i="35"/>
  <c r="A67" i="35"/>
  <c r="A66" i="35"/>
  <c r="A65" i="35"/>
  <c r="A64" i="35"/>
  <c r="A63" i="35"/>
  <c r="A62" i="35"/>
  <c r="A61" i="35"/>
  <c r="A60" i="35"/>
  <c r="A59" i="35"/>
  <c r="A58" i="35"/>
  <c r="A57" i="35"/>
  <c r="A56" i="35"/>
  <c r="A55" i="35"/>
  <c r="A54" i="35"/>
  <c r="A53" i="35"/>
  <c r="A52" i="35"/>
  <c r="A51" i="35"/>
  <c r="A50" i="35"/>
  <c r="A49" i="35"/>
  <c r="A48" i="35"/>
  <c r="A47" i="35"/>
  <c r="A46" i="35"/>
  <c r="A45" i="35"/>
  <c r="A44" i="35"/>
  <c r="A43" i="35"/>
  <c r="A42" i="35"/>
  <c r="A41" i="35"/>
  <c r="A40" i="35"/>
  <c r="A39" i="35"/>
  <c r="A38" i="35"/>
  <c r="M24" i="35"/>
  <c r="L24" i="35"/>
  <c r="K24" i="35"/>
  <c r="J24" i="35"/>
  <c r="I24" i="35"/>
  <c r="H24" i="35"/>
  <c r="G24" i="35"/>
  <c r="F24" i="35"/>
  <c r="E24" i="35"/>
  <c r="D24" i="35"/>
  <c r="C24" i="35"/>
  <c r="B24" i="35"/>
  <c r="E18" i="35"/>
  <c r="F18" i="35" s="1"/>
  <c r="G18" i="35" s="1"/>
  <c r="H18" i="35" s="1"/>
  <c r="I18" i="35" s="1"/>
  <c r="J18" i="35" s="1"/>
  <c r="K18" i="35" s="1"/>
  <c r="L18" i="35" s="1"/>
  <c r="M18" i="35" s="1"/>
  <c r="D18" i="35"/>
  <c r="C18" i="35"/>
  <c r="A76" i="34"/>
  <c r="A75" i="34"/>
  <c r="A73" i="34"/>
  <c r="A71" i="34"/>
  <c r="A70" i="34"/>
  <c r="A69" i="34"/>
  <c r="A68" i="34"/>
  <c r="A67" i="34"/>
  <c r="A66" i="34"/>
  <c r="A65" i="34"/>
  <c r="A64" i="34"/>
  <c r="A63" i="34"/>
  <c r="A62" i="34"/>
  <c r="A61" i="34"/>
  <c r="A60" i="34"/>
  <c r="A59" i="34"/>
  <c r="A58" i="34"/>
  <c r="A57" i="34"/>
  <c r="A56" i="34"/>
  <c r="A55" i="34"/>
  <c r="A54" i="34"/>
  <c r="A53" i="34"/>
  <c r="A52" i="34"/>
  <c r="A51" i="34"/>
  <c r="A50" i="34"/>
  <c r="A49" i="34"/>
  <c r="A48" i="34"/>
  <c r="A47" i="34"/>
  <c r="A46" i="34"/>
  <c r="A45" i="34"/>
  <c r="A44" i="34"/>
  <c r="A43" i="34"/>
  <c r="A42" i="34"/>
  <c r="A41" i="34"/>
  <c r="A40" i="34"/>
  <c r="A39" i="34"/>
  <c r="A38" i="34"/>
  <c r="M24" i="34"/>
  <c r="L24" i="34"/>
  <c r="K24" i="34"/>
  <c r="J24" i="34"/>
  <c r="I24" i="34"/>
  <c r="H24" i="34"/>
  <c r="G24" i="34"/>
  <c r="F24" i="34"/>
  <c r="E24" i="34"/>
  <c r="D24" i="34"/>
  <c r="C24" i="34"/>
  <c r="B24" i="34"/>
  <c r="D18" i="34"/>
  <c r="E18" i="34" s="1"/>
  <c r="F18" i="34" s="1"/>
  <c r="G18" i="34" s="1"/>
  <c r="H18" i="34" s="1"/>
  <c r="I18" i="34" s="1"/>
  <c r="J18" i="34" s="1"/>
  <c r="K18" i="34" s="1"/>
  <c r="L18" i="34" s="1"/>
  <c r="M18" i="34" s="1"/>
  <c r="C18" i="34"/>
  <c r="K25" i="33" a="1"/>
  <c r="K25" i="33" s="1"/>
  <c r="L25" i="33" a="1"/>
  <c r="L25" i="33" s="1"/>
  <c r="M25" i="33" a="1"/>
  <c r="M25" i="33" s="1"/>
  <c r="K26" i="33" a="1"/>
  <c r="K26" i="33" s="1"/>
  <c r="L26" i="33" a="1"/>
  <c r="L26" i="33" s="1"/>
  <c r="M26" i="33" a="1"/>
  <c r="M26" i="33" s="1"/>
  <c r="K27" i="33" a="1"/>
  <c r="K27" i="33" s="1"/>
  <c r="L27" i="33" a="1"/>
  <c r="L27" i="33" s="1"/>
  <c r="M27" i="33" a="1"/>
  <c r="M27" i="33" s="1"/>
  <c r="K28" i="33" a="1"/>
  <c r="K28" i="33" s="1"/>
  <c r="L28" i="33" a="1"/>
  <c r="L28" i="33" s="1"/>
  <c r="M28" i="33" a="1"/>
  <c r="M28" i="33" s="1"/>
  <c r="K29" i="33" a="1"/>
  <c r="K29" i="33" s="1"/>
  <c r="L29" i="33" a="1"/>
  <c r="L29" i="33" s="1"/>
  <c r="M29" i="33" a="1"/>
  <c r="M29" i="33" s="1"/>
  <c r="K30" i="33" a="1"/>
  <c r="K30" i="33" s="1"/>
  <c r="L30" i="33" a="1"/>
  <c r="L30" i="33" s="1"/>
  <c r="M30" i="33" a="1"/>
  <c r="M30" i="33" s="1"/>
  <c r="K31" i="33" a="1"/>
  <c r="K31" i="33" s="1"/>
  <c r="L31" i="33" a="1"/>
  <c r="L31" i="33" s="1"/>
  <c r="M31" i="33" a="1"/>
  <c r="M31" i="33" s="1"/>
  <c r="K32" i="33" a="1"/>
  <c r="K32" i="33" s="1"/>
  <c r="L32" i="33" a="1"/>
  <c r="L32" i="33" s="1"/>
  <c r="M32" i="33" a="1"/>
  <c r="M32" i="33" s="1"/>
  <c r="K33" i="33" a="1"/>
  <c r="K33" i="33" s="1"/>
  <c r="L33" i="33" a="1"/>
  <c r="L33" i="33" s="1"/>
  <c r="M33" i="33" a="1"/>
  <c r="M33" i="33" s="1"/>
  <c r="K34" i="33" a="1"/>
  <c r="K34" i="33" s="1"/>
  <c r="L34" i="33" a="1"/>
  <c r="L34" i="33" s="1"/>
  <c r="M34" i="33" a="1"/>
  <c r="M34" i="33" s="1"/>
  <c r="A76" i="33"/>
  <c r="A74" i="33"/>
  <c r="A73" i="33"/>
  <c r="A72" i="33"/>
  <c r="A71" i="33"/>
  <c r="A70" i="33"/>
  <c r="A69" i="33"/>
  <c r="A68" i="33"/>
  <c r="A67" i="33"/>
  <c r="A66" i="33"/>
  <c r="A65" i="33"/>
  <c r="A64" i="33"/>
  <c r="A63" i="33"/>
  <c r="A62" i="33"/>
  <c r="A61" i="33"/>
  <c r="A60" i="33"/>
  <c r="A59" i="33"/>
  <c r="A58" i="33"/>
  <c r="A57" i="33"/>
  <c r="A56" i="33"/>
  <c r="A55" i="33"/>
  <c r="A54" i="33"/>
  <c r="A53" i="33"/>
  <c r="A52" i="33"/>
  <c r="A51" i="33"/>
  <c r="A50" i="33"/>
  <c r="A49" i="33"/>
  <c r="A48" i="33"/>
  <c r="A47" i="33"/>
  <c r="A46" i="33"/>
  <c r="A45" i="33"/>
  <c r="A44" i="33"/>
  <c r="A43" i="33"/>
  <c r="A42" i="33"/>
  <c r="A41" i="33"/>
  <c r="A40" i="33"/>
  <c r="A39" i="33"/>
  <c r="A38" i="33"/>
  <c r="M24" i="33"/>
  <c r="L24" i="33"/>
  <c r="K24" i="33"/>
  <c r="J24" i="33"/>
  <c r="I24" i="33"/>
  <c r="H24" i="33"/>
  <c r="G24" i="33"/>
  <c r="F24" i="33"/>
  <c r="E24" i="33"/>
  <c r="D24" i="33"/>
  <c r="C24" i="33"/>
  <c r="B24" i="33"/>
  <c r="C18" i="33"/>
  <c r="D18" i="33" s="1"/>
  <c r="E18" i="33" s="1"/>
  <c r="F18" i="33" s="1"/>
  <c r="G18" i="33" s="1"/>
  <c r="H18" i="33" s="1"/>
  <c r="I18" i="33" s="1"/>
  <c r="J18" i="33" s="1"/>
  <c r="K18" i="33" s="1"/>
  <c r="L18" i="33" s="1"/>
  <c r="M18" i="33" s="1"/>
  <c r="C24" i="31"/>
  <c r="D24" i="31"/>
  <c r="E24" i="31"/>
  <c r="F24" i="31"/>
  <c r="G24" i="31"/>
  <c r="H24" i="31"/>
  <c r="I24" i="31"/>
  <c r="J24" i="31"/>
  <c r="K24" i="31"/>
  <c r="L24" i="31"/>
  <c r="M24" i="31"/>
  <c r="B24" i="31"/>
  <c r="C18" i="31"/>
  <c r="D18" i="31" s="1"/>
  <c r="E18" i="31" s="1"/>
  <c r="F18" i="31" s="1"/>
  <c r="G18" i="31" s="1"/>
  <c r="H18" i="31" s="1"/>
  <c r="I18" i="31" s="1"/>
  <c r="J18" i="31" s="1"/>
  <c r="K18" i="31" s="1"/>
  <c r="L18" i="31" s="1"/>
  <c r="M18" i="31" s="1"/>
  <c r="A12" i="30"/>
  <c r="A57" i="31"/>
  <c r="A13" i="30"/>
  <c r="A14" i="30"/>
  <c r="A25" i="30"/>
  <c r="A36" i="30"/>
  <c r="A44" i="30"/>
  <c r="A45" i="30"/>
  <c r="A46" i="30"/>
  <c r="A47" i="30"/>
  <c r="A48" i="30"/>
  <c r="A49" i="30"/>
  <c r="A15" i="30"/>
  <c r="A16" i="30"/>
  <c r="A65" i="31" s="1"/>
  <c r="A17" i="30"/>
  <c r="A18" i="30"/>
  <c r="A19" i="30"/>
  <c r="A20" i="30"/>
  <c r="A21" i="30"/>
  <c r="A22" i="30"/>
  <c r="A23" i="30"/>
  <c r="A24" i="30"/>
  <c r="A26" i="30"/>
  <c r="A27" i="30"/>
  <c r="A28" i="30"/>
  <c r="A29" i="30"/>
  <c r="A30" i="30"/>
  <c r="A31" i="30"/>
  <c r="A32" i="30"/>
  <c r="A33" i="30"/>
  <c r="A34" i="30"/>
  <c r="A35" i="30"/>
  <c r="A37" i="30"/>
  <c r="A38" i="30"/>
  <c r="A39" i="30"/>
  <c r="A40" i="30"/>
  <c r="A41" i="30"/>
  <c r="A42" i="30"/>
  <c r="A43" i="30"/>
  <c r="A72" i="34" s="1"/>
  <c r="A11" i="30"/>
  <c r="A43" i="31" s="1"/>
  <c r="N52" i="189" l="1" a="1"/>
  <c r="N52" i="189" s="1"/>
  <c r="K49" i="189" a="1"/>
  <c r="K49" i="189" s="1"/>
  <c r="L50" i="189" a="1"/>
  <c r="L50" i="189" s="1"/>
  <c r="M50" i="189" a="1"/>
  <c r="M50" i="189" s="1"/>
  <c r="A75" i="33"/>
  <c r="N54" i="189" a="1"/>
  <c r="N54" i="189" s="1"/>
  <c r="N57" i="189" a="1"/>
  <c r="N57" i="189" s="1"/>
  <c r="I49" i="189" a="1"/>
  <c r="I49" i="189" s="1"/>
  <c r="O53" i="189" a="1"/>
  <c r="O53" i="189" s="1"/>
  <c r="O57" i="189" a="1"/>
  <c r="O57" i="189" s="1"/>
  <c r="G57" i="189" a="1"/>
  <c r="G57" i="189" s="1"/>
  <c r="B115" i="243"/>
  <c r="B117" i="243"/>
  <c r="B103" i="243"/>
  <c r="B79" i="243"/>
  <c r="B116" i="243"/>
  <c r="B19" i="243"/>
  <c r="B91" i="243"/>
  <c r="B93" i="243"/>
  <c r="B21" i="243"/>
  <c r="B80" i="243"/>
  <c r="B105" i="243"/>
  <c r="B92" i="243"/>
  <c r="B81" i="243"/>
  <c r="B20" i="243"/>
  <c r="B104" i="243"/>
  <c r="C18" i="183"/>
  <c r="C205" i="219"/>
  <c r="C197" i="219"/>
  <c r="C189" i="219"/>
  <c r="C181" i="219"/>
  <c r="C173" i="219"/>
  <c r="C165" i="219"/>
  <c r="C157" i="219"/>
  <c r="C149" i="219"/>
  <c r="C141" i="219"/>
  <c r="C133" i="219"/>
  <c r="C125" i="219"/>
  <c r="C117" i="219"/>
  <c r="C109" i="219"/>
  <c r="C101" i="219"/>
  <c r="B11" i="219"/>
  <c r="B19" i="219"/>
  <c r="B27" i="219"/>
  <c r="B35" i="219"/>
  <c r="B43" i="219"/>
  <c r="B51" i="219"/>
  <c r="B59" i="219"/>
  <c r="B67" i="219"/>
  <c r="B75" i="219"/>
  <c r="B83" i="219"/>
  <c r="B10" i="219"/>
  <c r="C154" i="218"/>
  <c r="C146" i="218"/>
  <c r="C138" i="218"/>
  <c r="C130" i="218"/>
  <c r="C122" i="218"/>
  <c r="C114" i="218"/>
  <c r="C106" i="218"/>
  <c r="C98" i="218"/>
  <c r="C90" i="218"/>
  <c r="B17" i="218"/>
  <c r="B25" i="218"/>
  <c r="B33" i="218"/>
  <c r="B41" i="218"/>
  <c r="B49" i="218"/>
  <c r="B57" i="218"/>
  <c r="B65" i="218"/>
  <c r="B73" i="218"/>
  <c r="B81" i="218"/>
  <c r="C23" i="217"/>
  <c r="B12" i="217"/>
  <c r="C202" i="216"/>
  <c r="C194" i="216"/>
  <c r="C186" i="216"/>
  <c r="C178" i="216"/>
  <c r="C170" i="216"/>
  <c r="C162" i="216"/>
  <c r="C154" i="216"/>
  <c r="C146" i="216"/>
  <c r="C138" i="216"/>
  <c r="C130" i="216"/>
  <c r="C122" i="216"/>
  <c r="C114" i="216"/>
  <c r="C106" i="216"/>
  <c r="C98" i="216"/>
  <c r="B87" i="216"/>
  <c r="B79" i="216"/>
  <c r="B71" i="216"/>
  <c r="B63" i="216"/>
  <c r="B55" i="216"/>
  <c r="B47" i="216"/>
  <c r="B39" i="216"/>
  <c r="B31" i="216"/>
  <c r="B23" i="216"/>
  <c r="B15" i="216"/>
  <c r="B19" i="215"/>
  <c r="B27" i="215"/>
  <c r="B35" i="215"/>
  <c r="B43" i="215"/>
  <c r="B53" i="216"/>
  <c r="B21" i="216"/>
  <c r="B37" i="215"/>
  <c r="C200" i="219"/>
  <c r="C160" i="219"/>
  <c r="C112" i="219"/>
  <c r="B24" i="219"/>
  <c r="B72" i="219"/>
  <c r="C133" i="218"/>
  <c r="C19" i="183"/>
  <c r="C204" i="219"/>
  <c r="C196" i="219"/>
  <c r="C188" i="219"/>
  <c r="C180" i="219"/>
  <c r="C172" i="219"/>
  <c r="C164" i="219"/>
  <c r="C156" i="219"/>
  <c r="C148" i="219"/>
  <c r="C140" i="219"/>
  <c r="C132" i="219"/>
  <c r="C124" i="219"/>
  <c r="C116" i="219"/>
  <c r="C108" i="219"/>
  <c r="C100" i="219"/>
  <c r="B12" i="219"/>
  <c r="B20" i="219"/>
  <c r="B28" i="219"/>
  <c r="B36" i="219"/>
  <c r="B44" i="219"/>
  <c r="B52" i="219"/>
  <c r="B60" i="219"/>
  <c r="B68" i="219"/>
  <c r="B76" i="219"/>
  <c r="B84" i="219"/>
  <c r="C161" i="218"/>
  <c r="C153" i="218"/>
  <c r="C145" i="218"/>
  <c r="C137" i="218"/>
  <c r="C129" i="218"/>
  <c r="C121" i="218"/>
  <c r="C113" i="218"/>
  <c r="C105" i="218"/>
  <c r="C97" i="218"/>
  <c r="C89" i="218"/>
  <c r="B18" i="218"/>
  <c r="B26" i="218"/>
  <c r="B34" i="218"/>
  <c r="B42" i="218"/>
  <c r="B50" i="218"/>
  <c r="B58" i="218"/>
  <c r="B66" i="218"/>
  <c r="B74" i="218"/>
  <c r="B82" i="218"/>
  <c r="C24" i="217"/>
  <c r="B13" i="217"/>
  <c r="C201" i="216"/>
  <c r="C193" i="216"/>
  <c r="C185" i="216"/>
  <c r="C177" i="216"/>
  <c r="C169" i="216"/>
  <c r="C161" i="216"/>
  <c r="C153" i="216"/>
  <c r="C145" i="216"/>
  <c r="C137" i="216"/>
  <c r="C129" i="216"/>
  <c r="C121" i="216"/>
  <c r="C113" i="216"/>
  <c r="C105" i="216"/>
  <c r="C97" i="216"/>
  <c r="B86" i="216"/>
  <c r="B78" i="216"/>
  <c r="B70" i="216"/>
  <c r="B62" i="216"/>
  <c r="B54" i="216"/>
  <c r="B46" i="216"/>
  <c r="B38" i="216"/>
  <c r="B30" i="216"/>
  <c r="B22" i="216"/>
  <c r="B14" i="216"/>
  <c r="B20" i="215"/>
  <c r="B28" i="215"/>
  <c r="B36" i="215"/>
  <c r="B44" i="215"/>
  <c r="B61" i="216"/>
  <c r="B29" i="216"/>
  <c r="B29" i="215"/>
  <c r="C176" i="219"/>
  <c r="C136" i="219"/>
  <c r="C96" i="219"/>
  <c r="B48" i="219"/>
  <c r="C149" i="218"/>
  <c r="C20" i="183"/>
  <c r="C203" i="219"/>
  <c r="C195" i="219"/>
  <c r="C187" i="219"/>
  <c r="C179" i="219"/>
  <c r="C171" i="219"/>
  <c r="C163" i="219"/>
  <c r="C155" i="219"/>
  <c r="C147" i="219"/>
  <c r="C139" i="219"/>
  <c r="C131" i="219"/>
  <c r="C123" i="219"/>
  <c r="C115" i="219"/>
  <c r="C107" i="219"/>
  <c r="C99" i="219"/>
  <c r="B13" i="219"/>
  <c r="B21" i="219"/>
  <c r="B29" i="219"/>
  <c r="B37" i="219"/>
  <c r="B45" i="219"/>
  <c r="B53" i="219"/>
  <c r="B61" i="219"/>
  <c r="B69" i="219"/>
  <c r="B77" i="219"/>
  <c r="B85" i="219"/>
  <c r="C160" i="218"/>
  <c r="C152" i="218"/>
  <c r="C144" i="218"/>
  <c r="C136" i="218"/>
  <c r="C128" i="218"/>
  <c r="C120" i="218"/>
  <c r="C112" i="218"/>
  <c r="C104" i="218"/>
  <c r="C96" i="218"/>
  <c r="C88" i="218"/>
  <c r="B19" i="218"/>
  <c r="B27" i="218"/>
  <c r="B35" i="218"/>
  <c r="B43" i="218"/>
  <c r="B51" i="218"/>
  <c r="B59" i="218"/>
  <c r="B67" i="218"/>
  <c r="B75" i="218"/>
  <c r="B13" i="218"/>
  <c r="C25" i="217"/>
  <c r="B11" i="217"/>
  <c r="C200" i="216"/>
  <c r="C192" i="216"/>
  <c r="C184" i="216"/>
  <c r="C176" i="216"/>
  <c r="C168" i="216"/>
  <c r="C160" i="216"/>
  <c r="C152" i="216"/>
  <c r="C144" i="216"/>
  <c r="C136" i="216"/>
  <c r="C128" i="216"/>
  <c r="C120" i="216"/>
  <c r="C112" i="216"/>
  <c r="C104" i="216"/>
  <c r="C96" i="216"/>
  <c r="B85" i="216"/>
  <c r="B77" i="216"/>
  <c r="B45" i="216"/>
  <c r="B13" i="216"/>
  <c r="B45" i="215"/>
  <c r="C192" i="219"/>
  <c r="C152" i="219"/>
  <c r="C104" i="219"/>
  <c r="B56" i="219"/>
  <c r="C141" i="218"/>
  <c r="C21" i="183"/>
  <c r="C202" i="219"/>
  <c r="C194" i="219"/>
  <c r="C186" i="219"/>
  <c r="C178" i="219"/>
  <c r="C170" i="219"/>
  <c r="C162" i="219"/>
  <c r="C154" i="219"/>
  <c r="C146" i="219"/>
  <c r="C138" i="219"/>
  <c r="C130" i="219"/>
  <c r="C122" i="219"/>
  <c r="C114" i="219"/>
  <c r="C106" i="219"/>
  <c r="C98" i="219"/>
  <c r="B14" i="219"/>
  <c r="B22" i="219"/>
  <c r="B30" i="219"/>
  <c r="B38" i="219"/>
  <c r="B46" i="219"/>
  <c r="B54" i="219"/>
  <c r="B62" i="219"/>
  <c r="B70" i="219"/>
  <c r="B78" i="219"/>
  <c r="B86" i="219"/>
  <c r="C159" i="218"/>
  <c r="C151" i="218"/>
  <c r="C143" i="218"/>
  <c r="C135" i="218"/>
  <c r="C127" i="218"/>
  <c r="C119" i="218"/>
  <c r="C111" i="218"/>
  <c r="C103" i="218"/>
  <c r="C95" i="218"/>
  <c r="C87" i="218"/>
  <c r="B20" i="218"/>
  <c r="B28" i="218"/>
  <c r="B36" i="218"/>
  <c r="B44" i="218"/>
  <c r="B52" i="218"/>
  <c r="B60" i="218"/>
  <c r="B68" i="218"/>
  <c r="B76" i="218"/>
  <c r="C18" i="217"/>
  <c r="C26" i="217"/>
  <c r="C207" i="216"/>
  <c r="C199" i="216"/>
  <c r="C191" i="216"/>
  <c r="C183" i="216"/>
  <c r="C175" i="216"/>
  <c r="C167" i="216"/>
  <c r="C159" i="216"/>
  <c r="C151" i="216"/>
  <c r="C143" i="216"/>
  <c r="C135" i="216"/>
  <c r="C127" i="216"/>
  <c r="C119" i="216"/>
  <c r="C111" i="216"/>
  <c r="C103" i="216"/>
  <c r="C95" i="216"/>
  <c r="B84" i="216"/>
  <c r="B76" i="216"/>
  <c r="B68" i="216"/>
  <c r="B60" i="216"/>
  <c r="B52" i="216"/>
  <c r="B44" i="216"/>
  <c r="B36" i="216"/>
  <c r="B28" i="216"/>
  <c r="B20" i="216"/>
  <c r="B12" i="216"/>
  <c r="B22" i="215"/>
  <c r="B30" i="215"/>
  <c r="B38" i="215"/>
  <c r="B16" i="215"/>
  <c r="C128" i="219"/>
  <c r="B40" i="219"/>
  <c r="B80" i="219"/>
  <c r="C125" i="218"/>
  <c r="C22" i="183"/>
  <c r="C201" i="219"/>
  <c r="C193" i="219"/>
  <c r="C185" i="219"/>
  <c r="C177" i="219"/>
  <c r="C169" i="219"/>
  <c r="C161" i="219"/>
  <c r="C153" i="219"/>
  <c r="C145" i="219"/>
  <c r="C137" i="219"/>
  <c r="C129" i="219"/>
  <c r="C121" i="219"/>
  <c r="C113" i="219"/>
  <c r="C105" i="219"/>
  <c r="C97" i="219"/>
  <c r="B15" i="219"/>
  <c r="B23" i="219"/>
  <c r="B31" i="219"/>
  <c r="B39" i="219"/>
  <c r="B47" i="219"/>
  <c r="B55" i="219"/>
  <c r="B63" i="219"/>
  <c r="B71" i="219"/>
  <c r="B79" i="219"/>
  <c r="B87" i="219"/>
  <c r="C158" i="218"/>
  <c r="C150" i="218"/>
  <c r="C142" i="218"/>
  <c r="C134" i="218"/>
  <c r="C126" i="218"/>
  <c r="C118" i="218"/>
  <c r="C110" i="218"/>
  <c r="C102" i="218"/>
  <c r="C94" i="218"/>
  <c r="C86" i="218"/>
  <c r="B21" i="218"/>
  <c r="B29" i="218"/>
  <c r="B37" i="218"/>
  <c r="B45" i="218"/>
  <c r="B53" i="218"/>
  <c r="B61" i="218"/>
  <c r="B69" i="218"/>
  <c r="B77" i="218"/>
  <c r="C19" i="217"/>
  <c r="C27" i="217"/>
  <c r="C206" i="216"/>
  <c r="C198" i="216"/>
  <c r="C190" i="216"/>
  <c r="C182" i="216"/>
  <c r="C174" i="216"/>
  <c r="C166" i="216"/>
  <c r="C158" i="216"/>
  <c r="C150" i="216"/>
  <c r="C142" i="216"/>
  <c r="C134" i="216"/>
  <c r="C126" i="216"/>
  <c r="C118" i="216"/>
  <c r="C110" i="216"/>
  <c r="C102" i="216"/>
  <c r="C94" i="216"/>
  <c r="B83" i="216"/>
  <c r="B75" i="216"/>
  <c r="B67" i="216"/>
  <c r="B59" i="216"/>
  <c r="B51" i="216"/>
  <c r="B43" i="216"/>
  <c r="B35" i="216"/>
  <c r="B27" i="216"/>
  <c r="B19" i="216"/>
  <c r="B11" i="216"/>
  <c r="B23" i="215"/>
  <c r="B31" i="215"/>
  <c r="B39" i="215"/>
  <c r="C144" i="219"/>
  <c r="B32" i="219"/>
  <c r="B88" i="219"/>
  <c r="C117" i="218"/>
  <c r="C17" i="183"/>
  <c r="C206" i="219"/>
  <c r="C198" i="219"/>
  <c r="C190" i="219"/>
  <c r="C182" i="219"/>
  <c r="C174" i="219"/>
  <c r="C166" i="219"/>
  <c r="C158" i="219"/>
  <c r="C150" i="219"/>
  <c r="C142" i="219"/>
  <c r="C134" i="219"/>
  <c r="C126" i="219"/>
  <c r="C118" i="219"/>
  <c r="C110" i="219"/>
  <c r="C102" i="219"/>
  <c r="C94" i="219"/>
  <c r="B18" i="219"/>
  <c r="B26" i="219"/>
  <c r="B34" i="219"/>
  <c r="B42" i="219"/>
  <c r="B50" i="219"/>
  <c r="B58" i="219"/>
  <c r="B66" i="219"/>
  <c r="B74" i="219"/>
  <c r="B82" i="219"/>
  <c r="B90" i="219"/>
  <c r="C155" i="218"/>
  <c r="C147" i="218"/>
  <c r="C139" i="218"/>
  <c r="C131" i="218"/>
  <c r="C123" i="218"/>
  <c r="C115" i="218"/>
  <c r="C107" i="218"/>
  <c r="C99" i="218"/>
  <c r="C91" i="218"/>
  <c r="B16" i="218"/>
  <c r="B24" i="218"/>
  <c r="B32" i="218"/>
  <c r="B40" i="218"/>
  <c r="B48" i="218"/>
  <c r="B56" i="218"/>
  <c r="B64" i="218"/>
  <c r="B72" i="218"/>
  <c r="B80" i="218"/>
  <c r="C22" i="217"/>
  <c r="C17" i="217"/>
  <c r="C203" i="216"/>
  <c r="C195" i="216"/>
  <c r="C187" i="216"/>
  <c r="C179" i="216"/>
  <c r="C171" i="216"/>
  <c r="C163" i="216"/>
  <c r="C155" i="216"/>
  <c r="C147" i="216"/>
  <c r="C139" i="216"/>
  <c r="C131" i="216"/>
  <c r="C123" i="216"/>
  <c r="C115" i="216"/>
  <c r="C107" i="216"/>
  <c r="C99" i="216"/>
  <c r="B88" i="216"/>
  <c r="B80" i="216"/>
  <c r="B72" i="216"/>
  <c r="B64" i="216"/>
  <c r="B56" i="216"/>
  <c r="B48" i="216"/>
  <c r="B40" i="216"/>
  <c r="B32" i="216"/>
  <c r="B24" i="216"/>
  <c r="B16" i="216"/>
  <c r="B18" i="215"/>
  <c r="B26" i="215"/>
  <c r="B34" i="215"/>
  <c r="B42" i="215"/>
  <c r="B69" i="216"/>
  <c r="B37" i="216"/>
  <c r="B21" i="215"/>
  <c r="C15" i="183"/>
  <c r="C184" i="219"/>
  <c r="C168" i="219"/>
  <c r="C120" i="219"/>
  <c r="B16" i="219"/>
  <c r="B64" i="219"/>
  <c r="C157" i="218"/>
  <c r="C167" i="219"/>
  <c r="C103" i="219"/>
  <c r="B65" i="219"/>
  <c r="C124" i="218"/>
  <c r="B14" i="218"/>
  <c r="B46" i="218"/>
  <c r="B78" i="218"/>
  <c r="C197" i="216"/>
  <c r="C165" i="216"/>
  <c r="C133" i="216"/>
  <c r="C101" i="216"/>
  <c r="B66" i="216"/>
  <c r="B34" i="216"/>
  <c r="B24" i="215"/>
  <c r="B41" i="219"/>
  <c r="B63" i="218"/>
  <c r="B81" i="216"/>
  <c r="C183" i="219"/>
  <c r="B38" i="218"/>
  <c r="B74" i="216"/>
  <c r="B39" i="218"/>
  <c r="C108" i="216"/>
  <c r="C16" i="183"/>
  <c r="C159" i="219"/>
  <c r="C95" i="219"/>
  <c r="B73" i="219"/>
  <c r="C116" i="218"/>
  <c r="B15" i="218"/>
  <c r="B47" i="218"/>
  <c r="B79" i="218"/>
  <c r="C196" i="216"/>
  <c r="C164" i="216"/>
  <c r="C132" i="216"/>
  <c r="C100" i="216"/>
  <c r="B65" i="216"/>
  <c r="B33" i="216"/>
  <c r="B25" i="215"/>
  <c r="C135" i="219"/>
  <c r="C101" i="218"/>
  <c r="C28" i="217"/>
  <c r="C117" i="216"/>
  <c r="B18" i="216"/>
  <c r="C191" i="219"/>
  <c r="B31" i="218"/>
  <c r="C116" i="216"/>
  <c r="B41" i="215"/>
  <c r="C93" i="218"/>
  <c r="C109" i="216"/>
  <c r="C175" i="219"/>
  <c r="B71" i="218"/>
  <c r="B41" i="216"/>
  <c r="C151" i="219"/>
  <c r="B17" i="219"/>
  <c r="B81" i="219"/>
  <c r="C109" i="218"/>
  <c r="B22" i="218"/>
  <c r="B54" i="218"/>
  <c r="C20" i="217"/>
  <c r="C189" i="216"/>
  <c r="C157" i="216"/>
  <c r="C125" i="216"/>
  <c r="B90" i="216"/>
  <c r="B58" i="216"/>
  <c r="B26" i="216"/>
  <c r="B32" i="215"/>
  <c r="B33" i="219"/>
  <c r="B30" i="218"/>
  <c r="C149" i="216"/>
  <c r="B50" i="216"/>
  <c r="C127" i="219"/>
  <c r="C29" i="217"/>
  <c r="B17" i="216"/>
  <c r="C140" i="218"/>
  <c r="C141" i="216"/>
  <c r="C111" i="219"/>
  <c r="B73" i="216"/>
  <c r="C207" i="219"/>
  <c r="C143" i="219"/>
  <c r="B25" i="219"/>
  <c r="B89" i="219"/>
  <c r="C108" i="218"/>
  <c r="B23" i="218"/>
  <c r="B55" i="218"/>
  <c r="C21" i="217"/>
  <c r="C188" i="216"/>
  <c r="C156" i="216"/>
  <c r="C124" i="216"/>
  <c r="B89" i="216"/>
  <c r="B57" i="216"/>
  <c r="B25" i="216"/>
  <c r="B33" i="215"/>
  <c r="C199" i="219"/>
  <c r="C156" i="218"/>
  <c r="B62" i="218"/>
  <c r="C181" i="216"/>
  <c r="B82" i="216"/>
  <c r="B40" i="215"/>
  <c r="C148" i="218"/>
  <c r="C180" i="216"/>
  <c r="B49" i="216"/>
  <c r="C119" i="219"/>
  <c r="C205" i="216"/>
  <c r="B10" i="216"/>
  <c r="C132" i="218"/>
  <c r="C140" i="216"/>
  <c r="C100" i="218"/>
  <c r="C148" i="216"/>
  <c r="B49" i="219"/>
  <c r="B70" i="218"/>
  <c r="B42" i="216"/>
  <c r="C92" i="218"/>
  <c r="C204" i="216"/>
  <c r="B17" i="215"/>
  <c r="C173" i="216"/>
  <c r="B57" i="219"/>
  <c r="C172" i="216"/>
  <c r="B19" i="189"/>
  <c r="B21" i="189"/>
  <c r="B20" i="189"/>
  <c r="B22" i="193"/>
  <c r="J12" i="192"/>
  <c r="O12" i="191"/>
  <c r="L12" i="190"/>
  <c r="D12" i="190"/>
  <c r="B22" i="187"/>
  <c r="B22" i="185"/>
  <c r="T12" i="191"/>
  <c r="B23" i="188"/>
  <c r="B23" i="186"/>
  <c r="B16" i="184"/>
  <c r="B21" i="193"/>
  <c r="I12" i="192"/>
  <c r="N12" i="191"/>
  <c r="F12" i="191"/>
  <c r="K12" i="190"/>
  <c r="C12" i="190"/>
  <c r="B21" i="187"/>
  <c r="B21" i="185"/>
  <c r="B20" i="193"/>
  <c r="P12" i="192"/>
  <c r="U12" i="191"/>
  <c r="E12" i="191"/>
  <c r="B24" i="188"/>
  <c r="B20" i="187"/>
  <c r="B24" i="186"/>
  <c r="B20" i="185"/>
  <c r="B17" i="184"/>
  <c r="B19" i="193"/>
  <c r="O12" i="192"/>
  <c r="D12" i="191"/>
  <c r="B19" i="187"/>
  <c r="B19" i="185"/>
  <c r="B18" i="193"/>
  <c r="N12" i="192"/>
  <c r="F12" i="192"/>
  <c r="S12" i="191"/>
  <c r="K12" i="191"/>
  <c r="C12" i="191"/>
  <c r="P12" i="190"/>
  <c r="B22" i="188"/>
  <c r="B22" i="186"/>
  <c r="B15" i="184"/>
  <c r="C12" i="192"/>
  <c r="U12" i="190"/>
  <c r="E12" i="190"/>
  <c r="B23" i="185"/>
  <c r="U12" i="192"/>
  <c r="E12" i="192"/>
  <c r="J12" i="191"/>
  <c r="W12" i="190"/>
  <c r="O12" i="190"/>
  <c r="B21" i="188"/>
  <c r="B21" i="186"/>
  <c r="B23" i="193"/>
  <c r="K12" i="192"/>
  <c r="P12" i="191"/>
  <c r="M12" i="190"/>
  <c r="B23" i="187"/>
  <c r="B19" i="186"/>
  <c r="T12" i="192"/>
  <c r="D12" i="192"/>
  <c r="I12" i="191"/>
  <c r="V12" i="190"/>
  <c r="N12" i="190"/>
  <c r="F12" i="190"/>
  <c r="B20" i="188"/>
  <c r="B24" i="187"/>
  <c r="B20" i="186"/>
  <c r="B24" i="185"/>
  <c r="S12" i="192"/>
  <c r="B19" i="188"/>
  <c r="A275" i="161"/>
  <c r="A267" i="161"/>
  <c r="A259" i="161"/>
  <c r="A251" i="161"/>
  <c r="A243" i="161"/>
  <c r="M19" i="161"/>
  <c r="A309" i="159"/>
  <c r="A317" i="159"/>
  <c r="A325" i="159"/>
  <c r="A333" i="159"/>
  <c r="A341" i="159"/>
  <c r="A349" i="159"/>
  <c r="A357" i="159"/>
  <c r="A246" i="139"/>
  <c r="A254" i="139"/>
  <c r="A262" i="139"/>
  <c r="A270" i="139"/>
  <c r="A278" i="139"/>
  <c r="A308" i="159"/>
  <c r="A348" i="159"/>
  <c r="A274" i="161"/>
  <c r="A266" i="161"/>
  <c r="A258" i="161"/>
  <c r="A250" i="161"/>
  <c r="A242" i="161"/>
  <c r="L19" i="161"/>
  <c r="A310" i="159"/>
  <c r="A318" i="159"/>
  <c r="A326" i="159"/>
  <c r="A334" i="159"/>
  <c r="A342" i="159"/>
  <c r="A350" i="159"/>
  <c r="A358" i="159"/>
  <c r="A247" i="139"/>
  <c r="A255" i="139"/>
  <c r="A263" i="139"/>
  <c r="A271" i="139"/>
  <c r="A279" i="139"/>
  <c r="A244" i="161"/>
  <c r="A324" i="159"/>
  <c r="A269" i="139"/>
  <c r="A281" i="161"/>
  <c r="A273" i="161"/>
  <c r="A265" i="161"/>
  <c r="A257" i="161"/>
  <c r="A249" i="161"/>
  <c r="A241" i="161"/>
  <c r="K19" i="161"/>
  <c r="M19" i="160"/>
  <c r="A311" i="159"/>
  <c r="A319" i="159"/>
  <c r="A327" i="159"/>
  <c r="A335" i="159"/>
  <c r="A343" i="159"/>
  <c r="A351" i="159"/>
  <c r="A359" i="159"/>
  <c r="A248" i="139"/>
  <c r="A256" i="139"/>
  <c r="A264" i="139"/>
  <c r="A272" i="139"/>
  <c r="A280" i="139"/>
  <c r="A340" i="159"/>
  <c r="A280" i="161"/>
  <c r="A272" i="161"/>
  <c r="A264" i="161"/>
  <c r="A256" i="161"/>
  <c r="A248" i="161"/>
  <c r="A240" i="161"/>
  <c r="L19" i="160"/>
  <c r="A312" i="159"/>
  <c r="A320" i="159"/>
  <c r="A328" i="159"/>
  <c r="A336" i="159"/>
  <c r="A344" i="159"/>
  <c r="A352" i="159"/>
  <c r="A360" i="159"/>
  <c r="A241" i="139"/>
  <c r="A249" i="139"/>
  <c r="A257" i="139"/>
  <c r="A265" i="139"/>
  <c r="A273" i="139"/>
  <c r="A281" i="139"/>
  <c r="A260" i="161"/>
  <c r="A332" i="159"/>
  <c r="A245" i="139"/>
  <c r="A277" i="139"/>
  <c r="A279" i="161"/>
  <c r="A271" i="161"/>
  <c r="A263" i="161"/>
  <c r="A255" i="161"/>
  <c r="A247" i="161"/>
  <c r="K19" i="160"/>
  <c r="A313" i="159"/>
  <c r="A321" i="159"/>
  <c r="A329" i="159"/>
  <c r="A337" i="159"/>
  <c r="A345" i="159"/>
  <c r="A353" i="159"/>
  <c r="A361" i="159"/>
  <c r="M19" i="159"/>
  <c r="A242" i="139"/>
  <c r="A250" i="139"/>
  <c r="A258" i="139"/>
  <c r="A266" i="139"/>
  <c r="A274" i="139"/>
  <c r="A282" i="139"/>
  <c r="A252" i="161"/>
  <c r="A316" i="159"/>
  <c r="A278" i="161"/>
  <c r="A270" i="161"/>
  <c r="A262" i="161"/>
  <c r="A254" i="161"/>
  <c r="A246" i="161"/>
  <c r="A306" i="159"/>
  <c r="A314" i="159"/>
  <c r="A322" i="159"/>
  <c r="A330" i="159"/>
  <c r="A338" i="159"/>
  <c r="A346" i="159"/>
  <c r="A354" i="159"/>
  <c r="L19" i="159"/>
  <c r="A243" i="139"/>
  <c r="A251" i="139"/>
  <c r="A259" i="139"/>
  <c r="A267" i="139"/>
  <c r="A275" i="139"/>
  <c r="A268" i="161"/>
  <c r="A356" i="159"/>
  <c r="A277" i="161"/>
  <c r="A269" i="161"/>
  <c r="A261" i="161"/>
  <c r="A253" i="161"/>
  <c r="A245" i="161"/>
  <c r="A307" i="159"/>
  <c r="A315" i="159"/>
  <c r="A323" i="159"/>
  <c r="A331" i="159"/>
  <c r="A339" i="159"/>
  <c r="A347" i="159"/>
  <c r="A355" i="159"/>
  <c r="K19" i="159"/>
  <c r="A244" i="139"/>
  <c r="A252" i="139"/>
  <c r="A260" i="139"/>
  <c r="A268" i="139"/>
  <c r="A276" i="139"/>
  <c r="A261" i="139"/>
  <c r="A276" i="161"/>
  <c r="A253" i="139"/>
  <c r="K20" i="139"/>
  <c r="M20" i="139"/>
  <c r="L20" i="139"/>
  <c r="A559" i="40"/>
  <c r="A560" i="40"/>
  <c r="A561" i="40"/>
  <c r="A519" i="41"/>
  <c r="A76" i="46"/>
  <c r="A520" i="41"/>
  <c r="A553" i="42"/>
  <c r="A521" i="41"/>
  <c r="A518" i="41"/>
  <c r="A554" i="42"/>
  <c r="A555" i="42"/>
  <c r="A558" i="40"/>
  <c r="A556" i="42"/>
  <c r="A395" i="160"/>
  <c r="A375" i="160"/>
  <c r="A396" i="160"/>
  <c r="A385" i="160"/>
  <c r="A376" i="160"/>
  <c r="A391" i="160"/>
  <c r="A373" i="160"/>
  <c r="A363" i="160"/>
  <c r="A378" i="160"/>
  <c r="A380" i="160"/>
  <c r="A389" i="160"/>
  <c r="A367" i="160"/>
  <c r="A400" i="160"/>
  <c r="A372" i="160"/>
  <c r="A364" i="160"/>
  <c r="A398" i="160"/>
  <c r="A393" i="160"/>
  <c r="A370" i="160"/>
  <c r="A369" i="160"/>
  <c r="A365" i="160"/>
  <c r="A386" i="160"/>
  <c r="A399" i="160"/>
  <c r="A383" i="160"/>
  <c r="A371" i="160"/>
  <c r="A382" i="160"/>
  <c r="A374" i="160"/>
  <c r="A401" i="160"/>
  <c r="A384" i="160"/>
  <c r="A394" i="160"/>
  <c r="A388" i="160"/>
  <c r="A366" i="160"/>
  <c r="A387" i="160"/>
  <c r="A377" i="160"/>
  <c r="A390" i="160"/>
  <c r="A379" i="160"/>
  <c r="A397" i="160"/>
  <c r="A381" i="160"/>
  <c r="A357" i="160"/>
  <c r="A360" i="160"/>
  <c r="A353" i="160"/>
  <c r="A361" i="160"/>
  <c r="A351" i="160"/>
  <c r="A550" i="42"/>
  <c r="A557" i="40"/>
  <c r="A359" i="160"/>
  <c r="A340" i="160"/>
  <c r="A551" i="42"/>
  <c r="A512" i="41"/>
  <c r="A350" i="160"/>
  <c r="A549" i="42"/>
  <c r="A349" i="160"/>
  <c r="A347" i="160"/>
  <c r="A362" i="160"/>
  <c r="A552" i="42"/>
  <c r="A513" i="41"/>
  <c r="A368" i="160"/>
  <c r="A356" i="160"/>
  <c r="A355" i="160"/>
  <c r="A339" i="160"/>
  <c r="A552" i="40"/>
  <c r="A514" i="41"/>
  <c r="A345" i="160"/>
  <c r="A553" i="40"/>
  <c r="A515" i="41"/>
  <c r="A556" i="40"/>
  <c r="A341" i="160"/>
  <c r="A348" i="160"/>
  <c r="A352" i="160"/>
  <c r="A547" i="42"/>
  <c r="A554" i="40"/>
  <c r="A516" i="41"/>
  <c r="A392" i="160"/>
  <c r="A344" i="160"/>
  <c r="A343" i="160"/>
  <c r="A346" i="160"/>
  <c r="A342" i="160"/>
  <c r="A548" i="42"/>
  <c r="A555" i="40"/>
  <c r="A517" i="41"/>
  <c r="A358" i="160"/>
  <c r="A405" i="39"/>
  <c r="A413" i="39"/>
  <c r="A421" i="39"/>
  <c r="A429" i="39"/>
  <c r="A437" i="39"/>
  <c r="A445" i="39"/>
  <c r="A453" i="39"/>
  <c r="A461" i="39"/>
  <c r="A469" i="39"/>
  <c r="A477" i="39"/>
  <c r="A408" i="39"/>
  <c r="A448" i="39"/>
  <c r="A354" i="160"/>
  <c r="A406" i="39"/>
  <c r="A414" i="39"/>
  <c r="A422" i="39"/>
  <c r="A430" i="39"/>
  <c r="A438" i="39"/>
  <c r="A446" i="39"/>
  <c r="A454" i="39"/>
  <c r="A462" i="39"/>
  <c r="A470" i="39"/>
  <c r="A478" i="39"/>
  <c r="A416" i="39"/>
  <c r="A464" i="39"/>
  <c r="A407" i="39"/>
  <c r="A415" i="39"/>
  <c r="A423" i="39"/>
  <c r="A431" i="39"/>
  <c r="A439" i="39"/>
  <c r="A447" i="39"/>
  <c r="A455" i="39"/>
  <c r="A463" i="39"/>
  <c r="A471" i="39"/>
  <c r="A479" i="39"/>
  <c r="A472" i="39"/>
  <c r="A409" i="39"/>
  <c r="A417" i="39"/>
  <c r="A425" i="39"/>
  <c r="A433" i="39"/>
  <c r="A441" i="39"/>
  <c r="A449" i="39"/>
  <c r="A457" i="39"/>
  <c r="A465" i="39"/>
  <c r="A473" i="39"/>
  <c r="A444" i="39"/>
  <c r="A460" i="39"/>
  <c r="A432" i="39"/>
  <c r="A410" i="39"/>
  <c r="A418" i="39"/>
  <c r="A426" i="39"/>
  <c r="A434" i="39"/>
  <c r="A442" i="39"/>
  <c r="A450" i="39"/>
  <c r="A458" i="39"/>
  <c r="A466" i="39"/>
  <c r="A474" i="39"/>
  <c r="A436" i="39"/>
  <c r="A476" i="39"/>
  <c r="A424" i="39"/>
  <c r="A403" i="39"/>
  <c r="A411" i="39"/>
  <c r="A419" i="39"/>
  <c r="A427" i="39"/>
  <c r="A435" i="39"/>
  <c r="A443" i="39"/>
  <c r="A451" i="39"/>
  <c r="A459" i="39"/>
  <c r="A467" i="39"/>
  <c r="A475" i="39"/>
  <c r="A428" i="39"/>
  <c r="A468" i="39"/>
  <c r="A440" i="39"/>
  <c r="A404" i="39"/>
  <c r="A412" i="39"/>
  <c r="A420" i="39"/>
  <c r="A452" i="39"/>
  <c r="A456" i="39"/>
  <c r="M19" i="46"/>
  <c r="M19" i="43"/>
  <c r="M19" i="42"/>
  <c r="M19" i="41"/>
  <c r="M19" i="38"/>
  <c r="M19" i="36"/>
  <c r="M19" i="33"/>
  <c r="K19" i="34"/>
  <c r="L19" i="46"/>
  <c r="L19" i="43"/>
  <c r="L19" i="42"/>
  <c r="L19" i="41"/>
  <c r="L19" i="38"/>
  <c r="L19" i="36"/>
  <c r="L19" i="33"/>
  <c r="L19" i="34"/>
  <c r="M19" i="31"/>
  <c r="K19" i="46"/>
  <c r="K19" i="43"/>
  <c r="K19" i="42"/>
  <c r="K19" i="41"/>
  <c r="K19" i="38"/>
  <c r="K19" i="36"/>
  <c r="K19" i="33"/>
  <c r="M19" i="34"/>
  <c r="M19" i="45"/>
  <c r="M19" i="44"/>
  <c r="M19" i="40"/>
  <c r="M19" i="39"/>
  <c r="M19" i="37"/>
  <c r="M19" i="35"/>
  <c r="L19" i="45"/>
  <c r="L19" i="44"/>
  <c r="L19" i="40"/>
  <c r="L19" i="39"/>
  <c r="L19" i="37"/>
  <c r="L19" i="35"/>
  <c r="L19" i="31"/>
  <c r="J19" i="34"/>
  <c r="K19" i="45"/>
  <c r="K19" i="44"/>
  <c r="K19" i="40"/>
  <c r="K19" i="39"/>
  <c r="K19" i="37"/>
  <c r="K19" i="35"/>
  <c r="K19" i="31"/>
  <c r="A75" i="46"/>
  <c r="A70" i="45"/>
  <c r="A72" i="44"/>
  <c r="A76" i="43"/>
  <c r="A468" i="42"/>
  <c r="A476" i="42"/>
  <c r="A484" i="42"/>
  <c r="A492" i="42"/>
  <c r="A500" i="42"/>
  <c r="A508" i="42"/>
  <c r="A516" i="42"/>
  <c r="A524" i="42"/>
  <c r="A532" i="42"/>
  <c r="A540" i="42"/>
  <c r="A475" i="40"/>
  <c r="A483" i="40"/>
  <c r="A491" i="40"/>
  <c r="A499" i="40"/>
  <c r="A507" i="40"/>
  <c r="A515" i="40"/>
  <c r="A523" i="40"/>
  <c r="A531" i="40"/>
  <c r="A539" i="40"/>
  <c r="A547" i="40"/>
  <c r="A440" i="41"/>
  <c r="A448" i="41"/>
  <c r="A456" i="41"/>
  <c r="A464" i="41"/>
  <c r="A472" i="41"/>
  <c r="A480" i="41"/>
  <c r="A488" i="41"/>
  <c r="A496" i="41"/>
  <c r="A504" i="41"/>
  <c r="A139" i="38"/>
  <c r="A147" i="38"/>
  <c r="A72" i="37"/>
  <c r="A72" i="36"/>
  <c r="A166" i="35"/>
  <c r="A174" i="35"/>
  <c r="A182" i="35"/>
  <c r="A190" i="35"/>
  <c r="A74" i="46"/>
  <c r="A71" i="44"/>
  <c r="A75" i="43"/>
  <c r="A469" i="42"/>
  <c r="A477" i="42"/>
  <c r="A485" i="42"/>
  <c r="A493" i="42"/>
  <c r="A501" i="42"/>
  <c r="A509" i="42"/>
  <c r="A517" i="42"/>
  <c r="A525" i="42"/>
  <c r="A533" i="42"/>
  <c r="A541" i="42"/>
  <c r="A476" i="40"/>
  <c r="A484" i="40"/>
  <c r="A492" i="40"/>
  <c r="A500" i="40"/>
  <c r="A508" i="40"/>
  <c r="A516" i="40"/>
  <c r="A524" i="40"/>
  <c r="A532" i="40"/>
  <c r="A540" i="40"/>
  <c r="A548" i="40"/>
  <c r="A441" i="41"/>
  <c r="A449" i="41"/>
  <c r="A457" i="41"/>
  <c r="A465" i="41"/>
  <c r="A473" i="41"/>
  <c r="A481" i="41"/>
  <c r="A489" i="41"/>
  <c r="A497" i="41"/>
  <c r="A505" i="41"/>
  <c r="A140" i="38"/>
  <c r="A148" i="38"/>
  <c r="A71" i="37"/>
  <c r="A71" i="36"/>
  <c r="A167" i="35"/>
  <c r="A175" i="35"/>
  <c r="A183" i="35"/>
  <c r="A191" i="35"/>
  <c r="A73" i="46"/>
  <c r="A76" i="45"/>
  <c r="A70" i="44"/>
  <c r="A74" i="43"/>
  <c r="A470" i="42"/>
  <c r="A478" i="42"/>
  <c r="A486" i="42"/>
  <c r="A494" i="42"/>
  <c r="A502" i="42"/>
  <c r="A510" i="42"/>
  <c r="A518" i="42"/>
  <c r="A526" i="42"/>
  <c r="A534" i="42"/>
  <c r="A542" i="42"/>
  <c r="A477" i="40"/>
  <c r="A485" i="40"/>
  <c r="A493" i="40"/>
  <c r="A501" i="40"/>
  <c r="A509" i="40"/>
  <c r="A517" i="40"/>
  <c r="A525" i="40"/>
  <c r="A533" i="40"/>
  <c r="A541" i="40"/>
  <c r="A549" i="40"/>
  <c r="A442" i="41"/>
  <c r="A450" i="41"/>
  <c r="A458" i="41"/>
  <c r="A466" i="41"/>
  <c r="A474" i="41"/>
  <c r="A482" i="41"/>
  <c r="A490" i="41"/>
  <c r="A498" i="41"/>
  <c r="A506" i="41"/>
  <c r="A141" i="38"/>
  <c r="A149" i="38"/>
  <c r="A70" i="37"/>
  <c r="A70" i="36"/>
  <c r="A168" i="35"/>
  <c r="A176" i="35"/>
  <c r="A184" i="35"/>
  <c r="A192" i="35"/>
  <c r="A72" i="46"/>
  <c r="A75" i="45"/>
  <c r="A73" i="43"/>
  <c r="A471" i="42"/>
  <c r="A479" i="42"/>
  <c r="A487" i="42"/>
  <c r="A495" i="42"/>
  <c r="A503" i="42"/>
  <c r="A511" i="42"/>
  <c r="A519" i="42"/>
  <c r="A527" i="42"/>
  <c r="A535" i="42"/>
  <c r="A543" i="42"/>
  <c r="A478" i="40"/>
  <c r="A486" i="40"/>
  <c r="A494" i="40"/>
  <c r="A502" i="40"/>
  <c r="A510" i="40"/>
  <c r="A518" i="40"/>
  <c r="A526" i="40"/>
  <c r="A534" i="40"/>
  <c r="A542" i="40"/>
  <c r="A550" i="40"/>
  <c r="A443" i="41"/>
  <c r="A451" i="41"/>
  <c r="A459" i="41"/>
  <c r="A467" i="41"/>
  <c r="A475" i="41"/>
  <c r="A483" i="41"/>
  <c r="A491" i="41"/>
  <c r="A499" i="41"/>
  <c r="A507" i="41"/>
  <c r="A134" i="38"/>
  <c r="A142" i="38"/>
  <c r="A150" i="38"/>
  <c r="A169" i="35"/>
  <c r="A177" i="35"/>
  <c r="A185" i="35"/>
  <c r="A193" i="35"/>
  <c r="A71" i="46"/>
  <c r="A74" i="45"/>
  <c r="A76" i="44"/>
  <c r="A72" i="43"/>
  <c r="A472" i="42"/>
  <c r="A480" i="42"/>
  <c r="A488" i="42"/>
  <c r="A496" i="42"/>
  <c r="A504" i="42"/>
  <c r="A512" i="42"/>
  <c r="A520" i="42"/>
  <c r="A528" i="42"/>
  <c r="A536" i="42"/>
  <c r="A544" i="42"/>
  <c r="A471" i="40"/>
  <c r="A479" i="40"/>
  <c r="A487" i="40"/>
  <c r="A495" i="40"/>
  <c r="A503" i="40"/>
  <c r="A511" i="40"/>
  <c r="A519" i="40"/>
  <c r="A527" i="40"/>
  <c r="A535" i="40"/>
  <c r="A543" i="40"/>
  <c r="A551" i="40"/>
  <c r="A444" i="41"/>
  <c r="A452" i="41"/>
  <c r="A460" i="41"/>
  <c r="A468" i="41"/>
  <c r="A476" i="41"/>
  <c r="A484" i="41"/>
  <c r="A492" i="41"/>
  <c r="A500" i="41"/>
  <c r="A508" i="41"/>
  <c r="A135" i="38"/>
  <c r="A143" i="38"/>
  <c r="A151" i="38"/>
  <c r="A76" i="37"/>
  <c r="A76" i="36"/>
  <c r="A170" i="35"/>
  <c r="A178" i="35"/>
  <c r="A186" i="35"/>
  <c r="A70" i="46"/>
  <c r="A73" i="45"/>
  <c r="A75" i="44"/>
  <c r="A71" i="43"/>
  <c r="A473" i="42"/>
  <c r="A481" i="42"/>
  <c r="A489" i="42"/>
  <c r="A497" i="42"/>
  <c r="A505" i="42"/>
  <c r="A513" i="42"/>
  <c r="A521" i="42"/>
  <c r="A529" i="42"/>
  <c r="A537" i="42"/>
  <c r="A545" i="42"/>
  <c r="A472" i="40"/>
  <c r="A480" i="40"/>
  <c r="A488" i="40"/>
  <c r="A496" i="40"/>
  <c r="A504" i="40"/>
  <c r="A512" i="40"/>
  <c r="A520" i="40"/>
  <c r="A528" i="40"/>
  <c r="A536" i="40"/>
  <c r="A544" i="40"/>
  <c r="A445" i="41"/>
  <c r="A453" i="41"/>
  <c r="A461" i="41"/>
  <c r="A469" i="41"/>
  <c r="A477" i="41"/>
  <c r="A485" i="41"/>
  <c r="A493" i="41"/>
  <c r="A501" i="41"/>
  <c r="A509" i="41"/>
  <c r="A136" i="38"/>
  <c r="A144" i="38"/>
  <c r="A152" i="38"/>
  <c r="A75" i="37"/>
  <c r="A75" i="36"/>
  <c r="A171" i="35"/>
  <c r="A179" i="35"/>
  <c r="A187" i="35"/>
  <c r="A72" i="45"/>
  <c r="A74" i="44"/>
  <c r="A70" i="43"/>
  <c r="A466" i="42"/>
  <c r="A474" i="42"/>
  <c r="A482" i="42"/>
  <c r="A490" i="42"/>
  <c r="A498" i="42"/>
  <c r="A506" i="42"/>
  <c r="A514" i="42"/>
  <c r="A522" i="42"/>
  <c r="A530" i="42"/>
  <c r="A538" i="42"/>
  <c r="A546" i="42"/>
  <c r="A473" i="40"/>
  <c r="A481" i="40"/>
  <c r="A489" i="40"/>
  <c r="A497" i="40"/>
  <c r="A505" i="40"/>
  <c r="A513" i="40"/>
  <c r="A521" i="40"/>
  <c r="A529" i="40"/>
  <c r="A537" i="40"/>
  <c r="A545" i="40"/>
  <c r="A438" i="41"/>
  <c r="A446" i="41"/>
  <c r="A454" i="41"/>
  <c r="A462" i="41"/>
  <c r="A470" i="41"/>
  <c r="A478" i="41"/>
  <c r="A486" i="41"/>
  <c r="A494" i="41"/>
  <c r="A502" i="41"/>
  <c r="A510" i="41"/>
  <c r="A137" i="38"/>
  <c r="A145" i="38"/>
  <c r="A153" i="38"/>
  <c r="A74" i="37"/>
  <c r="A74" i="36"/>
  <c r="A172" i="35"/>
  <c r="A180" i="35"/>
  <c r="A188" i="35"/>
  <c r="A73" i="44"/>
  <c r="A491" i="42"/>
  <c r="A506" i="40"/>
  <c r="A447" i="41"/>
  <c r="A511" i="41"/>
  <c r="A499" i="42"/>
  <c r="A514" i="40"/>
  <c r="A455" i="41"/>
  <c r="A507" i="42"/>
  <c r="A522" i="40"/>
  <c r="A463" i="41"/>
  <c r="A515" i="42"/>
  <c r="A530" i="40"/>
  <c r="A471" i="41"/>
  <c r="A73" i="37"/>
  <c r="A173" i="35"/>
  <c r="A71" i="45"/>
  <c r="A523" i="42"/>
  <c r="A474" i="40"/>
  <c r="A538" i="40"/>
  <c r="A479" i="41"/>
  <c r="A138" i="38"/>
  <c r="A181" i="35"/>
  <c r="A467" i="42"/>
  <c r="A531" i="42"/>
  <c r="A482" i="40"/>
  <c r="A546" i="40"/>
  <c r="A487" i="41"/>
  <c r="A146" i="38"/>
  <c r="A73" i="36"/>
  <c r="A189" i="35"/>
  <c r="A475" i="42"/>
  <c r="A539" i="42"/>
  <c r="A490" i="40"/>
  <c r="A495" i="41"/>
  <c r="A154" i="38"/>
  <c r="A483" i="42"/>
  <c r="A498" i="40"/>
  <c r="A439" i="41"/>
  <c r="A503" i="41"/>
  <c r="A74" i="34"/>
  <c r="O56" i="189" a="1"/>
  <c r="O56" i="189" s="1"/>
  <c r="H54" i="189" a="1"/>
  <c r="H54" i="189" s="1"/>
  <c r="H52" i="189" a="1"/>
  <c r="H52" i="189" s="1"/>
  <c r="P50" i="189" a="1"/>
  <c r="P50" i="189" s="1"/>
  <c r="G56" i="189" a="1"/>
  <c r="G56" i="189" s="1"/>
  <c r="J53" i="189" a="1"/>
  <c r="J53" i="189" s="1"/>
  <c r="N51" i="189" a="1"/>
  <c r="N51" i="189" s="1"/>
  <c r="H56" i="189" a="1"/>
  <c r="H56" i="189" s="1"/>
  <c r="N50" i="189" a="1"/>
  <c r="N50" i="189" s="1"/>
  <c r="F51" i="189" a="1"/>
  <c r="F51" i="189" s="1"/>
  <c r="O54" i="189" a="1"/>
  <c r="O54" i="189" s="1"/>
  <c r="F49" i="189" a="1"/>
  <c r="F49" i="189" s="1"/>
  <c r="O49" i="189" a="1"/>
  <c r="O49" i="189" s="1"/>
  <c r="L55" i="189" a="1"/>
  <c r="L55" i="189" s="1"/>
  <c r="M53" i="189" a="1"/>
  <c r="M53" i="189" s="1"/>
  <c r="F53" i="189" a="1"/>
  <c r="F53" i="189" s="1"/>
  <c r="I56" i="189" a="1"/>
  <c r="I56" i="189" s="1"/>
  <c r="K55" i="189" a="1"/>
  <c r="K55" i="189" s="1"/>
  <c r="B55" i="189" a="1"/>
  <c r="B55" i="189" s="1"/>
  <c r="M52" i="189" a="1"/>
  <c r="M52" i="189" s="1"/>
  <c r="K52" i="189" a="1"/>
  <c r="K52" i="189" s="1"/>
  <c r="G49" i="189" a="1"/>
  <c r="G49" i="189" s="1"/>
  <c r="F57" i="189" a="1"/>
  <c r="F57" i="189" s="1"/>
  <c r="H55" i="189" a="1"/>
  <c r="H55" i="189" s="1"/>
  <c r="D54" i="189" a="1"/>
  <c r="D54" i="189" s="1"/>
  <c r="B50" i="189" a="1"/>
  <c r="B50" i="189" s="1"/>
  <c r="J54" i="189" a="1"/>
  <c r="J54" i="189" s="1"/>
  <c r="D57" i="189" a="1"/>
  <c r="D57" i="189" s="1"/>
  <c r="F52" i="189" a="1"/>
  <c r="F52" i="189" s="1"/>
  <c r="B56" i="189" a="1"/>
  <c r="B56" i="189" s="1"/>
  <c r="H49" i="189" a="1"/>
  <c r="H49" i="189" s="1"/>
  <c r="N56" i="189" a="1"/>
  <c r="N56" i="189" s="1"/>
  <c r="G55" i="189" a="1"/>
  <c r="G55" i="189" s="1"/>
  <c r="G52" i="189" a="1"/>
  <c r="G52" i="189" s="1"/>
  <c r="P49" i="189" a="1"/>
  <c r="P49" i="189" s="1"/>
  <c r="E56" i="189" a="1"/>
  <c r="E56" i="189" s="1"/>
  <c r="F55" i="189" a="1"/>
  <c r="F55" i="189" s="1"/>
  <c r="C50" i="189" a="1"/>
  <c r="C50" i="189" s="1"/>
  <c r="F56" i="189" a="1"/>
  <c r="F56" i="189" s="1"/>
  <c r="P55" i="189" a="1"/>
  <c r="P55" i="189" s="1"/>
  <c r="J50" i="189" a="1"/>
  <c r="J50" i="189" s="1"/>
  <c r="N53" i="189" a="1"/>
  <c r="N53" i="189" s="1"/>
  <c r="G51" i="189" a="1"/>
  <c r="G51" i="189" s="1"/>
  <c r="M55" i="189" a="1"/>
  <c r="M55" i="189" s="1"/>
  <c r="B52" i="189" a="1"/>
  <c r="B52" i="189" s="1"/>
  <c r="Q52" i="189" s="1"/>
  <c r="E51" i="189" a="1"/>
  <c r="E51" i="189" s="1"/>
  <c r="C54" i="189" a="1"/>
  <c r="C54" i="189" s="1"/>
  <c r="F54" i="189" a="1"/>
  <c r="F54" i="189" s="1"/>
  <c r="F50" i="189" a="1"/>
  <c r="F50" i="189" s="1"/>
  <c r="L57" i="189" a="1"/>
  <c r="L57" i="189" s="1"/>
  <c r="K57" i="189" a="1"/>
  <c r="K57" i="189" s="1"/>
  <c r="P53" i="189" a="1"/>
  <c r="P53" i="189" s="1"/>
  <c r="E57" i="189" a="1"/>
  <c r="E57" i="189" s="1"/>
  <c r="E50" i="189" a="1"/>
  <c r="E50" i="189" s="1"/>
  <c r="E53" i="189" a="1"/>
  <c r="E53" i="189" s="1"/>
  <c r="E52" i="189" a="1"/>
  <c r="E52" i="189" s="1"/>
  <c r="I51" i="189" a="1"/>
  <c r="I51" i="189" s="1"/>
  <c r="O55" i="189" a="1"/>
  <c r="O55" i="189" s="1"/>
  <c r="G54" i="189" a="1"/>
  <c r="G54" i="189" s="1"/>
  <c r="C51" i="189" a="1"/>
  <c r="C51" i="189" s="1"/>
  <c r="D52" i="189" a="1"/>
  <c r="D52" i="189" s="1"/>
  <c r="B51" i="189" a="1"/>
  <c r="B51" i="189" s="1"/>
  <c r="C49" i="189" a="1"/>
  <c r="C49" i="189" s="1"/>
  <c r="B57" i="189" a="1"/>
  <c r="B57" i="189" s="1"/>
  <c r="B54" i="189" a="1"/>
  <c r="B54" i="189" s="1"/>
  <c r="C53" i="189" a="1"/>
  <c r="C53" i="189" s="1"/>
  <c r="C57" i="189" a="1"/>
  <c r="C57" i="189" s="1"/>
  <c r="E49" i="189" a="1"/>
  <c r="E49" i="189" s="1"/>
  <c r="E54" i="189" a="1"/>
  <c r="E54" i="189" s="1"/>
  <c r="E55" i="189" a="1"/>
  <c r="E55" i="189" s="1"/>
  <c r="C56" i="189" a="1"/>
  <c r="C56" i="189" s="1"/>
  <c r="D51" i="189" a="1"/>
  <c r="D51" i="189" s="1"/>
  <c r="D49" i="189" a="1"/>
  <c r="D49" i="189" s="1"/>
  <c r="P54" i="243" a="1"/>
  <c r="P54" i="243" s="1"/>
  <c r="H54" i="243" a="1"/>
  <c r="H54" i="243" s="1"/>
  <c r="C51" i="243" a="1"/>
  <c r="C51" i="243" s="1"/>
  <c r="I52" i="243" a="1"/>
  <c r="I52" i="243" s="1"/>
  <c r="M55" i="243" a="1"/>
  <c r="M55" i="243" s="1"/>
  <c r="I51" i="243" a="1"/>
  <c r="I51" i="243" s="1"/>
  <c r="P50" i="243" a="1"/>
  <c r="P50" i="243" s="1"/>
  <c r="K57" i="243" a="1"/>
  <c r="K57" i="243" s="1"/>
  <c r="M49" i="243" a="1"/>
  <c r="M49" i="243" s="1"/>
  <c r="D49" i="243" a="1"/>
  <c r="D49" i="243" s="1"/>
  <c r="E52" i="243" a="1"/>
  <c r="E52" i="243" s="1"/>
  <c r="D50" i="243" a="1"/>
  <c r="D50" i="243" s="1"/>
  <c r="N51" i="243" a="1"/>
  <c r="N51" i="243" s="1"/>
  <c r="O53" i="243" a="1"/>
  <c r="O53" i="243" s="1"/>
  <c r="D55" i="243" a="1"/>
  <c r="D55" i="243" s="1"/>
  <c r="N56" i="243" a="1"/>
  <c r="N56" i="243" s="1"/>
  <c r="N57" i="243" a="1"/>
  <c r="N57" i="243" s="1"/>
  <c r="L52" i="243" a="1"/>
  <c r="L52" i="243" s="1"/>
  <c r="H56" i="243" a="1"/>
  <c r="H56" i="243" s="1"/>
  <c r="O57" i="243" a="1"/>
  <c r="O57" i="243" s="1"/>
  <c r="B56" i="243" a="1"/>
  <c r="B56" i="243" s="1"/>
  <c r="C57" i="243" a="1"/>
  <c r="C57" i="243" s="1"/>
  <c r="I55" i="243" a="1"/>
  <c r="I55" i="243" s="1"/>
  <c r="E55" i="243" a="1"/>
  <c r="E55" i="243" s="1"/>
  <c r="B49" i="243" a="1"/>
  <c r="B49" i="243" s="1"/>
  <c r="G52" i="243" a="1"/>
  <c r="G52" i="243" s="1"/>
  <c r="M56" i="243" a="1"/>
  <c r="M56" i="243" s="1"/>
  <c r="L49" i="243" a="1"/>
  <c r="L49" i="243" s="1"/>
  <c r="L53" i="243" a="1"/>
  <c r="L53" i="243" s="1"/>
  <c r="D51" i="243" a="1"/>
  <c r="D51" i="243" s="1"/>
  <c r="B52" i="243" a="1"/>
  <c r="B52" i="243" s="1"/>
  <c r="C54" i="243" a="1"/>
  <c r="C54" i="243" s="1"/>
  <c r="H57" i="243" a="1"/>
  <c r="H57" i="243" s="1"/>
  <c r="J57" i="243" a="1"/>
  <c r="J57" i="243" s="1"/>
  <c r="K51" i="243" a="1"/>
  <c r="K51" i="243" s="1"/>
  <c r="I49" i="243" a="1"/>
  <c r="I49" i="243" s="1"/>
  <c r="N49" i="243" a="1"/>
  <c r="N49" i="243" s="1"/>
  <c r="J53" i="243" a="1"/>
  <c r="J53" i="243" s="1"/>
  <c r="H50" i="243" a="1"/>
  <c r="H50" i="243" s="1"/>
  <c r="J51" i="243" a="1"/>
  <c r="J51" i="243" s="1"/>
  <c r="D53" i="243" a="1"/>
  <c r="D53" i="243" s="1"/>
  <c r="K53" i="243" a="1"/>
  <c r="K53" i="243" s="1"/>
  <c r="J56" i="243" a="1"/>
  <c r="J56" i="243" s="1"/>
  <c r="F56" i="243" a="1"/>
  <c r="F56" i="243" s="1"/>
  <c r="I57" i="243" a="1"/>
  <c r="I57" i="243" s="1"/>
  <c r="J55" i="243" a="1"/>
  <c r="J55" i="243" s="1"/>
  <c r="P57" i="243" a="1"/>
  <c r="P57" i="243" s="1"/>
  <c r="O51" i="243" a="1"/>
  <c r="O51" i="243" s="1"/>
  <c r="C56" i="243" a="1"/>
  <c r="C56" i="243" s="1"/>
  <c r="G55" i="243" a="1"/>
  <c r="G55" i="243" s="1"/>
  <c r="G57" i="243" a="1"/>
  <c r="G57" i="243" s="1"/>
  <c r="G51" i="243" a="1"/>
  <c r="G51" i="243" s="1"/>
  <c r="K54" i="243" a="1"/>
  <c r="K54" i="243" s="1"/>
  <c r="B54" i="243" a="1"/>
  <c r="B54" i="243" s="1"/>
  <c r="J54" i="243" a="1"/>
  <c r="J54" i="243" s="1"/>
  <c r="K55" i="243" a="1"/>
  <c r="K55" i="243" s="1"/>
  <c r="B53" i="243" a="1"/>
  <c r="B53" i="243" s="1"/>
  <c r="L57" i="243" a="1"/>
  <c r="L57" i="243" s="1"/>
  <c r="E49" i="243" a="1"/>
  <c r="E49" i="243" s="1"/>
  <c r="H49" i="243" a="1"/>
  <c r="H49" i="243" s="1"/>
  <c r="P53" i="243" a="1"/>
  <c r="P53" i="243" s="1"/>
  <c r="C50" i="243" a="1"/>
  <c r="C50" i="243" s="1"/>
  <c r="F51" i="243" a="1"/>
  <c r="F51" i="243" s="1"/>
  <c r="O50" i="243" a="1"/>
  <c r="O50" i="243" s="1"/>
  <c r="C52" i="243" a="1"/>
  <c r="C52" i="243" s="1"/>
  <c r="G53" i="243" a="1"/>
  <c r="G53" i="243" s="1"/>
  <c r="E57" i="243" a="1"/>
  <c r="E57" i="243" s="1"/>
  <c r="M57" i="243" a="1"/>
  <c r="M57" i="243" s="1"/>
  <c r="K50" i="243" a="1"/>
  <c r="K50" i="243" s="1"/>
  <c r="F53" i="243" a="1"/>
  <c r="F53" i="243" s="1"/>
  <c r="O56" i="243" a="1"/>
  <c r="O56" i="243" s="1"/>
  <c r="P56" i="243" a="1"/>
  <c r="P56" i="243" s="1"/>
  <c r="B57" i="243" a="1"/>
  <c r="B57" i="243" s="1"/>
  <c r="M54" i="243" a="1"/>
  <c r="M54" i="243" s="1"/>
  <c r="E54" i="243" a="1"/>
  <c r="E54" i="243" s="1"/>
  <c r="I54" i="243" a="1"/>
  <c r="I54" i="243" s="1"/>
  <c r="O54" i="243" a="1"/>
  <c r="O54" i="243" s="1"/>
  <c r="F49" i="243" a="1"/>
  <c r="F49" i="243" s="1"/>
  <c r="G54" i="243" a="1"/>
  <c r="G54" i="243" s="1"/>
  <c r="N54" i="243" a="1"/>
  <c r="N54" i="243" s="1"/>
  <c r="K49" i="243" a="1"/>
  <c r="K49" i="243" s="1"/>
  <c r="C49" i="243" a="1"/>
  <c r="C49" i="243" s="1"/>
  <c r="G50" i="243" a="1"/>
  <c r="G50" i="243" s="1"/>
  <c r="B51" i="243" a="1"/>
  <c r="B51" i="243" s="1"/>
  <c r="H51" i="243" a="1"/>
  <c r="H51" i="243" s="1"/>
  <c r="P52" i="243" a="1"/>
  <c r="P52" i="243" s="1"/>
  <c r="C53" i="243" a="1"/>
  <c r="C53" i="243" s="1"/>
  <c r="D54" i="243" a="1"/>
  <c r="D54" i="243" s="1"/>
  <c r="F54" i="243" a="1"/>
  <c r="F54" i="243" s="1"/>
  <c r="N50" i="243" a="1"/>
  <c r="N50" i="243" s="1"/>
  <c r="N53" i="243" a="1"/>
  <c r="N53" i="243" s="1"/>
  <c r="L51" i="243" a="1"/>
  <c r="L51" i="243" s="1"/>
  <c r="D57" i="243" a="1"/>
  <c r="D57" i="243" s="1"/>
  <c r="D56" i="243" a="1"/>
  <c r="D56" i="243" s="1"/>
  <c r="L56" i="243" a="1"/>
  <c r="L56" i="243" s="1"/>
  <c r="L54" i="243" a="1"/>
  <c r="L54" i="243" s="1"/>
  <c r="N55" i="243" a="1"/>
  <c r="N55" i="243" s="1"/>
  <c r="O49" i="243" a="1"/>
  <c r="O49" i="243" s="1"/>
  <c r="D52" i="243" a="1"/>
  <c r="D52" i="243" s="1"/>
  <c r="K52" i="243" a="1"/>
  <c r="K52" i="243" s="1"/>
  <c r="E51" i="243" a="1"/>
  <c r="E51" i="243" s="1"/>
  <c r="H52" i="243" a="1"/>
  <c r="H52" i="243" s="1"/>
  <c r="E53" i="243" a="1"/>
  <c r="E53" i="243" s="1"/>
  <c r="P55" i="243" a="1"/>
  <c r="P55" i="243" s="1"/>
  <c r="K56" i="243" a="1"/>
  <c r="K56" i="243" s="1"/>
  <c r="I56" i="243" a="1"/>
  <c r="I56" i="243" s="1"/>
  <c r="E50" i="243" a="1"/>
  <c r="E50" i="243" s="1"/>
  <c r="F50" i="243" a="1"/>
  <c r="F50" i="243" s="1"/>
  <c r="B55" i="243" a="1"/>
  <c r="B55" i="243" s="1"/>
  <c r="L50" i="243" a="1"/>
  <c r="L50" i="243" s="1"/>
  <c r="P49" i="243" a="1"/>
  <c r="P49" i="243" s="1"/>
  <c r="I50" i="243" a="1"/>
  <c r="I50" i="243" s="1"/>
  <c r="H55" i="243" a="1"/>
  <c r="H55" i="243" s="1"/>
  <c r="M52" i="243" a="1"/>
  <c r="M52" i="243" s="1"/>
  <c r="F57" i="243" a="1"/>
  <c r="F57" i="243" s="1"/>
  <c r="O52" i="243" a="1"/>
  <c r="O52" i="243" s="1"/>
  <c r="H53" i="243" a="1"/>
  <c r="H53" i="243" s="1"/>
  <c r="G49" i="243" a="1"/>
  <c r="G49" i="243" s="1"/>
  <c r="C55" i="243" a="1"/>
  <c r="C55" i="243" s="1"/>
  <c r="F55" i="243" a="1"/>
  <c r="F55" i="243" s="1"/>
  <c r="J49" i="243" a="1"/>
  <c r="J49" i="243" s="1"/>
  <c r="J52" i="243" a="1"/>
  <c r="J52" i="243" s="1"/>
  <c r="B50" i="243" a="1"/>
  <c r="B50" i="243" s="1"/>
  <c r="M51" i="243" a="1"/>
  <c r="M51" i="243" s="1"/>
  <c r="N52" i="243" a="1"/>
  <c r="N52" i="243" s="1"/>
  <c r="I53" i="243" a="1"/>
  <c r="I53" i="243" s="1"/>
  <c r="L55" i="243" a="1"/>
  <c r="L55" i="243" s="1"/>
  <c r="G56" i="243" a="1"/>
  <c r="G56" i="243" s="1"/>
  <c r="E56" i="243" a="1"/>
  <c r="E56" i="243" s="1"/>
  <c r="P51" i="243" a="1"/>
  <c r="P51" i="243" s="1"/>
  <c r="J50" i="243" a="1"/>
  <c r="J50" i="243" s="1"/>
  <c r="O55" i="243" a="1"/>
  <c r="O55" i="243" s="1"/>
  <c r="M50" i="243" a="1"/>
  <c r="M50" i="243" s="1"/>
  <c r="F52" i="243" a="1"/>
  <c r="F52" i="243" s="1"/>
  <c r="M53" i="243" a="1"/>
  <c r="M53" i="243" s="1"/>
  <c r="B27" i="160" a="1"/>
  <c r="B27" i="160" s="1"/>
  <c r="C41" i="160" a="1"/>
  <c r="C41" i="160" s="1"/>
  <c r="G40" i="161" a="1"/>
  <c r="G40" i="161" s="1"/>
  <c r="F27" i="161" a="1"/>
  <c r="F27" i="161" s="1"/>
  <c r="K41" i="160" a="1"/>
  <c r="K41" i="160" s="1"/>
  <c r="J27" i="160" a="1"/>
  <c r="J27" i="160" s="1"/>
  <c r="E29" i="161" a="1"/>
  <c r="E29" i="161" s="1"/>
  <c r="R40" i="161" a="1"/>
  <c r="R40" i="161" s="1"/>
  <c r="F27" i="160" a="1"/>
  <c r="F27" i="160" s="1"/>
  <c r="G41" i="160" a="1"/>
  <c r="G41" i="160" s="1"/>
  <c r="V41" i="160" a="1"/>
  <c r="V41" i="160" s="1"/>
  <c r="I29" i="160" a="1"/>
  <c r="I29" i="160" s="1"/>
  <c r="G28" i="139" a="1"/>
  <c r="G28" i="139" s="1"/>
  <c r="H40" i="139" a="1"/>
  <c r="H40" i="139" s="1"/>
  <c r="K40" i="139" a="1"/>
  <c r="K40" i="139" s="1"/>
  <c r="J28" i="139" a="1"/>
  <c r="J28" i="139" s="1"/>
  <c r="R40" i="139" a="1"/>
  <c r="R40" i="139" s="1"/>
  <c r="E30" i="139" a="1"/>
  <c r="E30" i="139" s="1"/>
  <c r="V40" i="139" a="1"/>
  <c r="V40" i="139" s="1"/>
  <c r="I30" i="139" a="1"/>
  <c r="I30" i="139" s="1"/>
  <c r="B30" i="139" a="1"/>
  <c r="B30" i="139" s="1"/>
  <c r="O40" i="139" a="1"/>
  <c r="O40" i="139" s="1"/>
  <c r="E40" i="139" a="1"/>
  <c r="E40" i="139" s="1"/>
  <c r="D28" i="139" a="1"/>
  <c r="D28" i="139" s="1"/>
  <c r="D53" i="189" a="1"/>
  <c r="D53" i="189" s="1"/>
  <c r="B53" i="189" a="1"/>
  <c r="B53" i="189" s="1"/>
  <c r="C55" i="189" a="1"/>
  <c r="C55" i="189" s="1"/>
  <c r="R55" i="189" s="1"/>
  <c r="F41" i="160" a="1"/>
  <c r="F41" i="160" s="1"/>
  <c r="E27" i="160" a="1"/>
  <c r="E27" i="160" s="1"/>
  <c r="G45" i="159" a="1"/>
  <c r="G45" i="159" s="1"/>
  <c r="F27" i="159" a="1"/>
  <c r="F27" i="159" s="1"/>
  <c r="E45" i="159" a="1"/>
  <c r="E45" i="159" s="1"/>
  <c r="D27" i="159" a="1"/>
  <c r="D27" i="159" s="1"/>
  <c r="B40" i="139" a="1"/>
  <c r="B40" i="139" s="1"/>
  <c r="B26" i="139" a="1"/>
  <c r="B26" i="139" s="1"/>
  <c r="U40" i="139" a="1"/>
  <c r="U40" i="139" s="1"/>
  <c r="H30" i="139" a="1"/>
  <c r="H30" i="139" s="1"/>
  <c r="D56" i="189" a="1"/>
  <c r="D56" i="189" s="1"/>
  <c r="D55" i="189" a="1"/>
  <c r="D55" i="189" s="1"/>
  <c r="B40" i="161" a="1"/>
  <c r="B40" i="161" s="1"/>
  <c r="H5" i="189" s="1"/>
  <c r="B5" i="189" s="1"/>
  <c r="R51" i="189" s="1"/>
  <c r="B25" i="161" a="1"/>
  <c r="B25" i="161" s="1"/>
  <c r="C27" i="161" a="1"/>
  <c r="C27" i="161" s="1"/>
  <c r="D40" i="161" a="1"/>
  <c r="D40" i="161" s="1"/>
  <c r="J29" i="161" a="1"/>
  <c r="J29" i="161" s="1"/>
  <c r="W40" i="161" a="1"/>
  <c r="W40" i="161" s="1"/>
  <c r="B29" i="161" a="1"/>
  <c r="B29" i="161" s="1"/>
  <c r="O40" i="161" a="1"/>
  <c r="O40" i="161" s="1"/>
  <c r="J40" i="161" a="1"/>
  <c r="J40" i="161" s="1"/>
  <c r="I27" i="161" a="1"/>
  <c r="I27" i="161" s="1"/>
  <c r="G27" i="159" a="1"/>
  <c r="G27" i="159" s="1"/>
  <c r="H45" i="159" a="1"/>
  <c r="H45" i="159" s="1"/>
  <c r="K45" i="159" a="1"/>
  <c r="K45" i="159" s="1"/>
  <c r="J27" i="159" a="1"/>
  <c r="J27" i="159" s="1"/>
  <c r="B25" i="159" a="1"/>
  <c r="B25" i="159" s="1"/>
  <c r="B45" i="159" a="1"/>
  <c r="B45" i="159" s="1"/>
  <c r="C40" i="139" a="1"/>
  <c r="C40" i="139" s="1"/>
  <c r="B28" i="139" a="1"/>
  <c r="B28" i="139" s="1"/>
  <c r="F29" i="159" a="1"/>
  <c r="F29" i="159" s="1"/>
  <c r="S45" i="159" a="1"/>
  <c r="S45" i="159" s="1"/>
  <c r="G30" i="139" a="1"/>
  <c r="G30" i="139" s="1"/>
  <c r="T40" i="139" a="1"/>
  <c r="T40" i="139" s="1"/>
  <c r="F30" i="139" a="1"/>
  <c r="F30" i="139" s="1"/>
  <c r="S40" i="139" a="1"/>
  <c r="S40" i="139" s="1"/>
  <c r="U49" i="189"/>
  <c r="K40" i="161" a="1"/>
  <c r="K40" i="161" s="1"/>
  <c r="J27" i="161" a="1"/>
  <c r="J27" i="161" s="1"/>
  <c r="C40" i="161" a="1"/>
  <c r="C40" i="161" s="1"/>
  <c r="B27" i="161" a="1"/>
  <c r="B27" i="161" s="1"/>
  <c r="G29" i="160" a="1"/>
  <c r="G29" i="160" s="1"/>
  <c r="T41" i="160" a="1"/>
  <c r="T41" i="160" s="1"/>
  <c r="C27" i="159" a="1"/>
  <c r="C27" i="159" s="1"/>
  <c r="D45" i="159" a="1"/>
  <c r="D45" i="159" s="1"/>
  <c r="T45" i="159" a="1"/>
  <c r="T45" i="159" s="1"/>
  <c r="G29" i="159" a="1"/>
  <c r="G29" i="159" s="1"/>
  <c r="G40" i="139" a="1"/>
  <c r="G40" i="139" s="1"/>
  <c r="F28" i="139" a="1"/>
  <c r="F28" i="139" s="1"/>
  <c r="W41" i="160" a="1"/>
  <c r="W41" i="160" s="1"/>
  <c r="J29" i="160" a="1"/>
  <c r="J29" i="160" s="1"/>
  <c r="R45" i="159" a="1"/>
  <c r="R45" i="159" s="1"/>
  <c r="E29" i="159" a="1"/>
  <c r="E29" i="159" s="1"/>
  <c r="J30" i="139" a="1"/>
  <c r="J30" i="139" s="1"/>
  <c r="W40" i="139" a="1"/>
  <c r="W40" i="139" s="1"/>
  <c r="U53" i="189"/>
  <c r="AI15" i="189" s="1" a="1"/>
  <c r="AI15" i="189" s="1"/>
  <c r="H29" i="161" a="1"/>
  <c r="H29" i="161" s="1"/>
  <c r="U40" i="161" a="1"/>
  <c r="U40" i="161" s="1"/>
  <c r="I29" i="161" a="1"/>
  <c r="I29" i="161" s="1"/>
  <c r="V40" i="161" a="1"/>
  <c r="V40" i="161" s="1"/>
  <c r="G29" i="161" a="1"/>
  <c r="G29" i="161" s="1"/>
  <c r="T40" i="161" a="1"/>
  <c r="T40" i="161" s="1"/>
  <c r="B29" i="160" a="1"/>
  <c r="B29" i="160" s="1"/>
  <c r="O41" i="160" a="1"/>
  <c r="O41" i="160" s="1"/>
  <c r="H27" i="160" a="1"/>
  <c r="H27" i="160" s="1"/>
  <c r="I41" i="160" a="1"/>
  <c r="I41" i="160" s="1"/>
  <c r="B41" i="160" a="1"/>
  <c r="B41" i="160" s="1"/>
  <c r="B25" i="160" a="1"/>
  <c r="B25" i="160" s="1"/>
  <c r="C29" i="160" a="1"/>
  <c r="C29" i="160" s="1"/>
  <c r="P41" i="160" a="1"/>
  <c r="P41" i="160" s="1"/>
  <c r="V45" i="159" a="1"/>
  <c r="V45" i="159" s="1"/>
  <c r="I29" i="159" a="1"/>
  <c r="I29" i="159" s="1"/>
  <c r="I40" i="139" a="1"/>
  <c r="I40" i="139" s="1"/>
  <c r="H28" i="139" a="1"/>
  <c r="H28" i="139" s="1"/>
  <c r="D40" i="139" a="1"/>
  <c r="D40" i="139" s="1"/>
  <c r="C28" i="139" a="1"/>
  <c r="C28" i="139" s="1"/>
  <c r="J40" i="139" a="1"/>
  <c r="J40" i="139" s="1"/>
  <c r="I28" i="139" a="1"/>
  <c r="I28" i="139" s="1"/>
  <c r="P45" i="159" a="1"/>
  <c r="P45" i="159" s="1"/>
  <c r="C29" i="159" a="1"/>
  <c r="C29" i="159" s="1"/>
  <c r="D30" i="139" a="1"/>
  <c r="D30" i="139" s="1"/>
  <c r="Q40" i="139" a="1"/>
  <c r="Q40" i="139" s="1"/>
  <c r="B49" i="189" a="1"/>
  <c r="B49" i="189" s="1"/>
  <c r="Q49" i="189" s="1"/>
  <c r="H40" i="161" a="1"/>
  <c r="H40" i="161" s="1"/>
  <c r="G27" i="161" a="1"/>
  <c r="G27" i="161" s="1"/>
  <c r="E40" i="161" a="1"/>
  <c r="E40" i="161" s="1"/>
  <c r="D27" i="161" a="1"/>
  <c r="D27" i="161" s="1"/>
  <c r="J41" i="160" a="1"/>
  <c r="J41" i="160" s="1"/>
  <c r="I27" i="160" a="1"/>
  <c r="I27" i="160" s="1"/>
  <c r="F29" i="160" a="1"/>
  <c r="F29" i="160" s="1"/>
  <c r="S41" i="160" a="1"/>
  <c r="S41" i="160" s="1"/>
  <c r="G27" i="160" a="1"/>
  <c r="G27" i="160" s="1"/>
  <c r="H41" i="160" a="1"/>
  <c r="H41" i="160" s="1"/>
  <c r="D29" i="159" a="1"/>
  <c r="D29" i="159" s="1"/>
  <c r="Q45" i="159" a="1"/>
  <c r="Q45" i="159" s="1"/>
  <c r="B29" i="159" a="1"/>
  <c r="B29" i="159" s="1"/>
  <c r="O45" i="159" a="1"/>
  <c r="O45" i="159" s="1"/>
  <c r="H29" i="159" a="1"/>
  <c r="H29" i="159" s="1"/>
  <c r="U45" i="159" a="1"/>
  <c r="U45" i="159" s="1"/>
  <c r="J45" i="159" a="1"/>
  <c r="J45" i="159" s="1"/>
  <c r="I27" i="159" a="1"/>
  <c r="I27" i="159" s="1"/>
  <c r="C52" i="189" a="1"/>
  <c r="C52" i="189" s="1"/>
  <c r="R52" i="189" s="1"/>
  <c r="R41" i="160" a="1"/>
  <c r="R41" i="160" s="1"/>
  <c r="E29" i="160" a="1"/>
  <c r="E29" i="160" s="1"/>
  <c r="E27" i="161" a="1"/>
  <c r="E27" i="161" s="1"/>
  <c r="F40" i="161" a="1"/>
  <c r="F40" i="161" s="1"/>
  <c r="H29" i="160" a="1"/>
  <c r="H29" i="160" s="1"/>
  <c r="U41" i="160" a="1"/>
  <c r="U41" i="160" s="1"/>
  <c r="E28" i="139" a="1"/>
  <c r="E28" i="139" s="1"/>
  <c r="F40" i="139" a="1"/>
  <c r="F40" i="139" s="1"/>
  <c r="C45" i="159" a="1"/>
  <c r="C45" i="159" s="1"/>
  <c r="B27" i="159" a="1"/>
  <c r="B27" i="159" s="1"/>
  <c r="P40" i="139" a="1"/>
  <c r="P40" i="139" s="1"/>
  <c r="C30" i="139" a="1"/>
  <c r="C30" i="139" s="1"/>
  <c r="I45" i="159" a="1"/>
  <c r="I45" i="159" s="1"/>
  <c r="H27" i="159" a="1"/>
  <c r="H27" i="159" s="1"/>
  <c r="J29" i="159" a="1"/>
  <c r="J29" i="159" s="1"/>
  <c r="W45" i="159" a="1"/>
  <c r="W45" i="159" s="1"/>
  <c r="D50" i="189" a="1"/>
  <c r="D50" i="189" s="1"/>
  <c r="S40" i="161" a="1"/>
  <c r="S40" i="161" s="1"/>
  <c r="F29" i="161" a="1"/>
  <c r="F29" i="161" s="1"/>
  <c r="Q41" i="160" a="1"/>
  <c r="Q41" i="160" s="1"/>
  <c r="D29" i="160" a="1"/>
  <c r="D29" i="160" s="1"/>
  <c r="E27" i="159" a="1"/>
  <c r="E27" i="159" s="1"/>
  <c r="F45" i="159" a="1"/>
  <c r="F45" i="159" s="1"/>
  <c r="U51" i="189"/>
  <c r="Q57" i="189"/>
  <c r="Q56" i="189"/>
  <c r="S57" i="189"/>
  <c r="AD15" i="189" s="1" a="1"/>
  <c r="AD15" i="189" s="1"/>
  <c r="T54" i="189"/>
  <c r="G18" i="189" s="1"/>
  <c r="Q54" i="189"/>
  <c r="T49" i="189"/>
  <c r="R49" i="189"/>
  <c r="T55" i="189"/>
  <c r="G19" i="189" s="1"/>
  <c r="U50" i="189"/>
  <c r="S51" i="189"/>
  <c r="F15" i="189" s="1"/>
  <c r="Q51" i="189"/>
  <c r="S54" i="189"/>
  <c r="AA15" i="189" s="1" a="1"/>
  <c r="AA15" i="189" s="1"/>
  <c r="T50" i="189"/>
  <c r="Y55" i="189"/>
  <c r="AB57" i="189"/>
  <c r="W49" i="189"/>
  <c r="V55" i="189"/>
  <c r="X57" i="189"/>
  <c r="AD14" i="189" s="1" a="1"/>
  <c r="AD14" i="189" s="1"/>
  <c r="AD51" i="189"/>
  <c r="AE55" i="189"/>
  <c r="AK16" i="189" s="1" a="1"/>
  <c r="AK16" i="189" s="1"/>
  <c r="AB55" i="189"/>
  <c r="AC49" i="189"/>
  <c r="AC54" i="189"/>
  <c r="AA16" i="189" s="1" a="1"/>
  <c r="AA16" i="189" s="1"/>
  <c r="X56" i="189"/>
  <c r="AC14" i="189" s="1" a="1"/>
  <c r="AC14" i="189" s="1"/>
  <c r="AE50" i="189"/>
  <c r="AB54" i="189"/>
  <c r="Z50" i="189"/>
  <c r="AD53" i="189"/>
  <c r="Z52" i="189"/>
  <c r="AH14" i="189" s="1" a="1"/>
  <c r="AH14" i="189" s="1"/>
  <c r="AA54" i="189"/>
  <c r="AE51" i="189"/>
  <c r="AG16" i="189" s="1" a="1"/>
  <c r="AG16" i="189" s="1"/>
  <c r="AD56" i="189"/>
  <c r="AD55" i="189"/>
  <c r="V54" i="189"/>
  <c r="AB51" i="189"/>
  <c r="AD49" i="189"/>
  <c r="AB50" i="189"/>
  <c r="AD54" i="189"/>
  <c r="X54" i="189"/>
  <c r="AA14" i="189" s="1" a="1"/>
  <c r="AA14" i="189" s="1"/>
  <c r="W51" i="189"/>
  <c r="W52" i="189"/>
  <c r="AC55" i="189"/>
  <c r="AB16" i="189" s="1" a="1"/>
  <c r="AB16" i="189" s="1"/>
  <c r="Z56" i="189"/>
  <c r="AL14" i="189" s="1" a="1"/>
  <c r="AL14" i="189" s="1"/>
  <c r="AA56" i="189"/>
  <c r="AA55" i="189"/>
  <c r="Y54" i="189"/>
  <c r="AA50" i="189"/>
  <c r="A74" i="31"/>
  <c r="A66" i="31"/>
  <c r="A58" i="31"/>
  <c r="A50" i="31"/>
  <c r="A42" i="31"/>
  <c r="A49" i="31"/>
  <c r="A41" i="31"/>
  <c r="A72" i="31"/>
  <c r="A64" i="31"/>
  <c r="A56" i="31"/>
  <c r="A48" i="31"/>
  <c r="A40" i="31"/>
  <c r="A73" i="31"/>
  <c r="A71" i="31"/>
  <c r="A63" i="31"/>
  <c r="A55" i="31"/>
  <c r="A47" i="31"/>
  <c r="A39" i="31"/>
  <c r="A70" i="31"/>
  <c r="A62" i="31"/>
  <c r="A54" i="31"/>
  <c r="A46" i="31"/>
  <c r="A38" i="31"/>
  <c r="A69" i="31"/>
  <c r="A61" i="31"/>
  <c r="A53" i="31"/>
  <c r="A45" i="31"/>
  <c r="A76" i="31"/>
  <c r="A68" i="31"/>
  <c r="A60" i="31"/>
  <c r="A52" i="31"/>
  <c r="A44" i="31"/>
  <c r="A75" i="31"/>
  <c r="A67" i="31"/>
  <c r="A59" i="31"/>
  <c r="A51" i="31"/>
  <c r="F18" i="189" l="1"/>
  <c r="Z55" i="189"/>
  <c r="AK14" i="189" s="1" a="1"/>
  <c r="AK14" i="189" s="1"/>
  <c r="Y51" i="189"/>
  <c r="AD52" i="189"/>
  <c r="Z49" i="189"/>
  <c r="X50" i="189"/>
  <c r="V53" i="189"/>
  <c r="X55" i="189"/>
  <c r="AB14" i="189" s="1" a="1"/>
  <c r="AB14" i="189" s="1"/>
  <c r="V49" i="189"/>
  <c r="Y56" i="189"/>
  <c r="Z53" i="189"/>
  <c r="AI14" i="189" s="1" a="1"/>
  <c r="AI14" i="189" s="1"/>
  <c r="AC56" i="189"/>
  <c r="AC16" i="189" s="1" a="1"/>
  <c r="AC16" i="189" s="1"/>
  <c r="Y49" i="189"/>
  <c r="AI49" i="189" s="1"/>
  <c r="T53" i="189"/>
  <c r="G17" i="189" s="1"/>
  <c r="S52" i="189"/>
  <c r="Y15" i="189" s="1" a="1"/>
  <c r="Y15" i="189" s="1"/>
  <c r="Q50" i="189"/>
  <c r="R50" i="189"/>
  <c r="T56" i="189"/>
  <c r="G20" i="189" s="1"/>
  <c r="AC50" i="189"/>
  <c r="AB53" i="189"/>
  <c r="X53" i="189"/>
  <c r="Z14" i="189" s="1" a="1"/>
  <c r="Z14" i="189" s="1"/>
  <c r="AA53" i="189"/>
  <c r="AC52" i="189"/>
  <c r="Y16" i="189" s="1" a="1"/>
  <c r="Y16" i="189" s="1"/>
  <c r="AE53" i="189"/>
  <c r="AI16" i="189" s="1" a="1"/>
  <c r="AI16" i="189" s="1"/>
  <c r="W53" i="189"/>
  <c r="AE56" i="189"/>
  <c r="AL16" i="189" s="1" a="1"/>
  <c r="AL16" i="189" s="1"/>
  <c r="AB52" i="189"/>
  <c r="AG52" i="189" s="1"/>
  <c r="AA51" i="189"/>
  <c r="AA52" i="189"/>
  <c r="R57" i="189"/>
  <c r="U55" i="189"/>
  <c r="AK15" i="189" s="1" a="1"/>
  <c r="AK15" i="189" s="1"/>
  <c r="R56" i="189"/>
  <c r="U57" i="189"/>
  <c r="H17" i="189"/>
  <c r="Y53" i="189"/>
  <c r="AC51" i="189"/>
  <c r="X16" i="189" s="1" a="1"/>
  <c r="X16" i="189" s="1"/>
  <c r="AB49" i="189"/>
  <c r="AG49" i="189" s="1"/>
  <c r="V56" i="189"/>
  <c r="AF56" i="189" s="1"/>
  <c r="X51" i="189"/>
  <c r="X14" i="189" s="1" a="1"/>
  <c r="X14" i="189" s="1"/>
  <c r="Z51" i="189"/>
  <c r="AG14" i="189" s="1" a="1"/>
  <c r="AG14" i="189" s="1"/>
  <c r="AA49" i="189"/>
  <c r="Z54" i="189"/>
  <c r="AJ14" i="189" s="1" a="1"/>
  <c r="AJ14" i="189" s="1"/>
  <c r="V51" i="189"/>
  <c r="AF51" i="189" s="1"/>
  <c r="Y57" i="189"/>
  <c r="X52" i="189"/>
  <c r="Y14" i="189" s="1" a="1"/>
  <c r="Y14" i="189" s="1"/>
  <c r="U54" i="189"/>
  <c r="T57" i="189"/>
  <c r="S56" i="189"/>
  <c r="U52" i="189"/>
  <c r="AD50" i="189"/>
  <c r="V57" i="189"/>
  <c r="W57" i="189"/>
  <c r="V50" i="189"/>
  <c r="Y52" i="189"/>
  <c r="Z57" i="189"/>
  <c r="AM14" i="189" s="1" a="1"/>
  <c r="AM14" i="189" s="1"/>
  <c r="AE52" i="189"/>
  <c r="AH16" i="189" s="1" a="1"/>
  <c r="AH16" i="189" s="1"/>
  <c r="X49" i="189"/>
  <c r="AC53" i="189"/>
  <c r="Z16" i="189" s="1" a="1"/>
  <c r="Z16" i="189" s="1"/>
  <c r="AE49" i="189"/>
  <c r="AE54" i="189"/>
  <c r="AJ16" i="189" s="1" a="1"/>
  <c r="AJ16" i="189" s="1"/>
  <c r="S49" i="189"/>
  <c r="S53" i="189"/>
  <c r="Z15" i="189" s="1" a="1"/>
  <c r="Z15" i="189" s="1"/>
  <c r="R53" i="189"/>
  <c r="S55" i="189"/>
  <c r="R54" i="189"/>
  <c r="W56" i="189"/>
  <c r="AD57" i="189"/>
  <c r="W55" i="189"/>
  <c r="AG55" i="189" s="1"/>
  <c r="AE57" i="189"/>
  <c r="AM16" i="189" s="1" a="1"/>
  <c r="AM16" i="189" s="1"/>
  <c r="W54" i="189"/>
  <c r="AA57" i="189"/>
  <c r="AB56" i="189"/>
  <c r="AC57" i="189"/>
  <c r="AD16" i="189" s="1" a="1"/>
  <c r="AD16" i="189" s="1"/>
  <c r="Y50" i="189"/>
  <c r="AI50" i="189" s="1"/>
  <c r="V52" i="189"/>
  <c r="W50" i="189"/>
  <c r="Q55" i="189"/>
  <c r="AF55" i="189" s="1"/>
  <c r="Q53" i="189"/>
  <c r="T51" i="189"/>
  <c r="G15" i="189" s="1"/>
  <c r="T52" i="189"/>
  <c r="U56" i="189"/>
  <c r="S50" i="189"/>
  <c r="H5" i="243"/>
  <c r="B5" i="243" s="1"/>
  <c r="W52" i="243" s="1"/>
  <c r="E12" i="189"/>
  <c r="AG51" i="189"/>
  <c r="F21" i="189"/>
  <c r="AI55" i="189"/>
  <c r="AI56" i="189"/>
  <c r="AF54" i="189"/>
  <c r="AJ50" i="189"/>
  <c r="F17" i="189"/>
  <c r="AI54" i="189"/>
  <c r="T54" i="243"/>
  <c r="T52" i="243"/>
  <c r="R49" i="243"/>
  <c r="AD51" i="243"/>
  <c r="AH57" i="189"/>
  <c r="AA55" i="243"/>
  <c r="AG15" i="189" a="1"/>
  <c r="AG15" i="189" s="1"/>
  <c r="H12" i="189"/>
  <c r="H15" i="189"/>
  <c r="AH54" i="189"/>
  <c r="AH56" i="189"/>
  <c r="X15" i="189" a="1"/>
  <c r="X15" i="189" s="1"/>
  <c r="F12" i="189"/>
  <c r="M30" i="31" a="1"/>
  <c r="M30" i="31" s="1"/>
  <c r="M27" i="31" a="1"/>
  <c r="M27" i="31" s="1"/>
  <c r="M29" i="31" a="1"/>
  <c r="M29" i="31" s="1"/>
  <c r="M34" i="31" a="1"/>
  <c r="M34" i="31" s="1"/>
  <c r="L25" i="31" a="1"/>
  <c r="L25" i="31" s="1"/>
  <c r="M26" i="31" a="1"/>
  <c r="M26" i="31" s="1"/>
  <c r="L29" i="31" a="1"/>
  <c r="L29" i="31" s="1"/>
  <c r="L30" i="31" a="1"/>
  <c r="L30" i="31" s="1"/>
  <c r="L32" i="31" a="1"/>
  <c r="L32" i="31" s="1"/>
  <c r="L26" i="31" a="1"/>
  <c r="L26" i="31" s="1"/>
  <c r="L31" i="31" a="1"/>
  <c r="L31" i="31" s="1"/>
  <c r="L28" i="31" a="1"/>
  <c r="L28" i="31" s="1"/>
  <c r="K30" i="31" a="1"/>
  <c r="K30" i="31" s="1"/>
  <c r="L33" i="31" a="1"/>
  <c r="L33" i="31" s="1"/>
  <c r="K34" i="31" a="1"/>
  <c r="K34" i="31" s="1"/>
  <c r="G12" i="189" l="1"/>
  <c r="AF57" i="189"/>
  <c r="X50" i="243"/>
  <c r="S50" i="243"/>
  <c r="S53" i="243"/>
  <c r="Q51" i="243"/>
  <c r="Q54" i="243"/>
  <c r="AH50" i="189"/>
  <c r="Z56" i="243"/>
  <c r="AL14" i="243" s="1" a="1"/>
  <c r="AL14" i="243" s="1"/>
  <c r="Q56" i="243"/>
  <c r="X53" i="243"/>
  <c r="Z14" i="243" s="1" a="1"/>
  <c r="Z14" i="243" s="1"/>
  <c r="AG54" i="189"/>
  <c r="AJ53" i="189"/>
  <c r="S57" i="243"/>
  <c r="AH55" i="189"/>
  <c r="U51" i="243"/>
  <c r="H12" i="243" s="1"/>
  <c r="AA52" i="243"/>
  <c r="AG53" i="189"/>
  <c r="AE50" i="243"/>
  <c r="Z55" i="243"/>
  <c r="AK14" i="243" s="1" a="1"/>
  <c r="AK14" i="243" s="1"/>
  <c r="R56" i="243"/>
  <c r="V52" i="243"/>
  <c r="W56" i="243"/>
  <c r="AD57" i="243"/>
  <c r="AA53" i="243"/>
  <c r="R50" i="243"/>
  <c r="Y49" i="243"/>
  <c r="X55" i="243"/>
  <c r="AB14" i="243" s="1" a="1"/>
  <c r="AB14" i="243" s="1"/>
  <c r="Z57" i="243"/>
  <c r="AM14" i="243" s="1" a="1"/>
  <c r="AM14" i="243" s="1"/>
  <c r="AE56" i="243"/>
  <c r="AL16" i="243" s="1" a="1"/>
  <c r="AL16" i="243" s="1"/>
  <c r="R52" i="243"/>
  <c r="Z53" i="243"/>
  <c r="AI14" i="243" s="1" a="1"/>
  <c r="AI14" i="243" s="1"/>
  <c r="X56" i="243"/>
  <c r="AC14" i="243" s="1" a="1"/>
  <c r="AC14" i="243" s="1"/>
  <c r="S52" i="243"/>
  <c r="AD52" i="243"/>
  <c r="AC52" i="243"/>
  <c r="Y16" i="243" s="1" a="1"/>
  <c r="Y16" i="243" s="1"/>
  <c r="U49" i="243"/>
  <c r="Q52" i="243"/>
  <c r="AA56" i="243"/>
  <c r="AC54" i="243"/>
  <c r="AA16" i="243" s="1" a="1"/>
  <c r="AA16" i="243" s="1"/>
  <c r="AB49" i="243"/>
  <c r="Q57" i="243"/>
  <c r="AB51" i="243"/>
  <c r="AD56" i="243"/>
  <c r="AB53" i="243"/>
  <c r="U55" i="243"/>
  <c r="H19" i="243" s="1"/>
  <c r="AK79" i="243" s="1"/>
  <c r="W55" i="243"/>
  <c r="AC50" i="243"/>
  <c r="AH50" i="243" s="1"/>
  <c r="V50" i="243"/>
  <c r="AA51" i="243"/>
  <c r="Q55" i="243"/>
  <c r="U52" i="243"/>
  <c r="S55" i="243"/>
  <c r="V54" i="243"/>
  <c r="AD49" i="243"/>
  <c r="AG57" i="189"/>
  <c r="R53" i="243"/>
  <c r="AE54" i="243"/>
  <c r="AJ16" i="243" s="1" a="1"/>
  <c r="AJ16" i="243" s="1"/>
  <c r="T56" i="243"/>
  <c r="G20" i="243" s="1"/>
  <c r="Z51" i="243"/>
  <c r="AG14" i="243" s="1" a="1"/>
  <c r="AG14" i="243" s="1"/>
  <c r="X49" i="243"/>
  <c r="Z54" i="243"/>
  <c r="AJ14" i="243" s="1" a="1"/>
  <c r="AJ14" i="243" s="1"/>
  <c r="X51" i="243"/>
  <c r="X14" i="243" s="1" a="1"/>
  <c r="X14" i="243" s="1"/>
  <c r="AH51" i="189"/>
  <c r="AF52" i="189"/>
  <c r="W50" i="243"/>
  <c r="T55" i="243"/>
  <c r="Z49" i="243"/>
  <c r="AA57" i="243"/>
  <c r="Z50" i="243"/>
  <c r="AE57" i="243"/>
  <c r="AM16" i="243" s="1" a="1"/>
  <c r="AM16" i="243" s="1"/>
  <c r="AE49" i="243"/>
  <c r="R54" i="243"/>
  <c r="AA54" i="243"/>
  <c r="U54" i="243"/>
  <c r="AJ15" i="243" s="1" a="1"/>
  <c r="AJ15" i="243" s="1"/>
  <c r="W54" i="243"/>
  <c r="V53" i="243"/>
  <c r="AE51" i="243"/>
  <c r="AG16" i="243" s="1" a="1"/>
  <c r="AG16" i="243" s="1"/>
  <c r="T49" i="243"/>
  <c r="AI49" i="243" s="1"/>
  <c r="Y50" i="243"/>
  <c r="AB57" i="243"/>
  <c r="AB55" i="243"/>
  <c r="AD54" i="243"/>
  <c r="S51" i="243"/>
  <c r="F15" i="243" s="1"/>
  <c r="AA50" i="243"/>
  <c r="AD50" i="243"/>
  <c r="V56" i="243"/>
  <c r="Q53" i="243"/>
  <c r="AF53" i="243" s="1"/>
  <c r="Y57" i="243"/>
  <c r="AB56" i="243"/>
  <c r="AG56" i="243" s="1"/>
  <c r="AC53" i="243"/>
  <c r="Z16" i="243" s="1" a="1"/>
  <c r="Z16" i="243" s="1"/>
  <c r="AA49" i="243"/>
  <c r="Z52" i="243"/>
  <c r="AH14" i="243" s="1" a="1"/>
  <c r="AH14" i="243" s="1"/>
  <c r="X57" i="243"/>
  <c r="AD14" i="243" s="1" a="1"/>
  <c r="AD14" i="243" s="1"/>
  <c r="W53" i="243"/>
  <c r="U53" i="243"/>
  <c r="AI15" i="243" s="1" a="1"/>
  <c r="AI15" i="243" s="1"/>
  <c r="H19" i="189"/>
  <c r="AC56" i="243"/>
  <c r="AC16" i="243" s="1" a="1"/>
  <c r="AC16" i="243" s="1"/>
  <c r="V55" i="243"/>
  <c r="AB52" i="243"/>
  <c r="Y56" i="243"/>
  <c r="T50" i="243"/>
  <c r="AI50" i="243" s="1"/>
  <c r="V51" i="243"/>
  <c r="AE53" i="243"/>
  <c r="AI16" i="243" s="1" a="1"/>
  <c r="AI16" i="243" s="1"/>
  <c r="AB50" i="243"/>
  <c r="AD53" i="243"/>
  <c r="AE52" i="243"/>
  <c r="AH16" i="243" s="1" a="1"/>
  <c r="AH16" i="243" s="1"/>
  <c r="T53" i="243"/>
  <c r="S54" i="243"/>
  <c r="AC57" i="243"/>
  <c r="AD16" i="243" s="1" a="1"/>
  <c r="AD16" i="243" s="1"/>
  <c r="AI53" i="189"/>
  <c r="Y52" i="243"/>
  <c r="AI52" i="243" s="1"/>
  <c r="V57" i="243"/>
  <c r="Q50" i="243"/>
  <c r="W49" i="243"/>
  <c r="AD55" i="243"/>
  <c r="R57" i="243"/>
  <c r="S56" i="243"/>
  <c r="F20" i="243" s="1"/>
  <c r="Q49" i="243"/>
  <c r="Y54" i="243"/>
  <c r="AI54" i="243" s="1"/>
  <c r="R55" i="243"/>
  <c r="Y51" i="243"/>
  <c r="AE55" i="243"/>
  <c r="AK16" i="243" s="1" a="1"/>
  <c r="AK16" i="243" s="1"/>
  <c r="W57" i="243"/>
  <c r="AC55" i="243"/>
  <c r="AB16" i="243" s="1" a="1"/>
  <c r="AB16" i="243" s="1"/>
  <c r="S49" i="243"/>
  <c r="AH49" i="243" s="1"/>
  <c r="AB54" i="243"/>
  <c r="R51" i="243"/>
  <c r="AG51" i="243" s="1"/>
  <c r="T57" i="243"/>
  <c r="G21" i="243" s="1"/>
  <c r="X52" i="243"/>
  <c r="Y14" i="243" s="1" a="1"/>
  <c r="Y14" i="243" s="1"/>
  <c r="X54" i="243"/>
  <c r="AA14" i="243" s="1" a="1"/>
  <c r="AA14" i="243" s="1"/>
  <c r="AC51" i="243"/>
  <c r="X16" i="243" s="1" a="1"/>
  <c r="X16" i="243" s="1"/>
  <c r="W51" i="243"/>
  <c r="Y55" i="243"/>
  <c r="V49" i="243"/>
  <c r="AH49" i="189"/>
  <c r="AH15" i="189" a="1"/>
  <c r="AH15" i="189" s="1"/>
  <c r="AJ52" i="189"/>
  <c r="AL15" i="189" a="1"/>
  <c r="AL15" i="189" s="1"/>
  <c r="H20" i="189"/>
  <c r="AJ56" i="189"/>
  <c r="AJ55" i="189"/>
  <c r="AJ49" i="189"/>
  <c r="AF49" i="243"/>
  <c r="G16" i="189"/>
  <c r="AI52" i="189"/>
  <c r="AB15" i="189" a="1"/>
  <c r="AB15" i="189" s="1"/>
  <c r="F19" i="189"/>
  <c r="AC15" i="189" a="1"/>
  <c r="AC15" i="189" s="1"/>
  <c r="F20" i="189"/>
  <c r="AH53" i="189"/>
  <c r="AH52" i="189"/>
  <c r="H16" i="189"/>
  <c r="U57" i="243"/>
  <c r="AM15" i="243" s="1" a="1"/>
  <c r="AM15" i="243" s="1"/>
  <c r="U56" i="243"/>
  <c r="H20" i="243" s="1"/>
  <c r="AK80" i="243" s="1"/>
  <c r="U50" i="243"/>
  <c r="AC49" i="243"/>
  <c r="T51" i="243"/>
  <c r="G15" i="243" s="1"/>
  <c r="AJ57" i="189"/>
  <c r="Y53" i="243"/>
  <c r="AI53" i="243" s="1"/>
  <c r="AI57" i="189"/>
  <c r="G21" i="189"/>
  <c r="AF53" i="189"/>
  <c r="AJ15" i="189" a="1"/>
  <c r="AJ15" i="189" s="1"/>
  <c r="H18" i="189"/>
  <c r="AJ54" i="189"/>
  <c r="AI51" i="189"/>
  <c r="AM15" i="189" a="1"/>
  <c r="AM15" i="189" s="1"/>
  <c r="H21" i="189"/>
  <c r="AG50" i="189"/>
  <c r="AF49" i="189"/>
  <c r="AJ51" i="189"/>
  <c r="AG56" i="189"/>
  <c r="AF50" i="189"/>
  <c r="H16" i="243"/>
  <c r="AK76" i="243" s="1"/>
  <c r="AH15" i="243" a="1"/>
  <c r="AH15" i="243" s="1"/>
  <c r="AA15" i="243" a="1"/>
  <c r="AA15" i="243" s="1"/>
  <c r="F18" i="243"/>
  <c r="Y15" i="243" a="1"/>
  <c r="Y15" i="243" s="1"/>
  <c r="H18" i="243"/>
  <c r="AK78" i="243" s="1"/>
  <c r="F21" i="243"/>
  <c r="AD15" i="243" a="1"/>
  <c r="AD15" i="243" s="1"/>
  <c r="F12" i="243"/>
  <c r="X15" i="243" a="1"/>
  <c r="X15" i="243" s="1"/>
  <c r="Z15" i="243" a="1"/>
  <c r="Z15" i="243" s="1"/>
  <c r="AH53" i="243"/>
  <c r="F17" i="243"/>
  <c r="H21" i="243"/>
  <c r="AK81" i="243" s="1"/>
  <c r="AF55" i="243"/>
  <c r="G17" i="243"/>
  <c r="F19" i="243"/>
  <c r="AH55" i="243"/>
  <c r="AB15" i="243" a="1"/>
  <c r="AB15" i="243" s="1"/>
  <c r="AI56" i="243"/>
  <c r="G16" i="243"/>
  <c r="G18" i="243"/>
  <c r="H13" i="189"/>
  <c r="H14" i="189"/>
  <c r="F14" i="189"/>
  <c r="F13" i="189"/>
  <c r="G13" i="189"/>
  <c r="G14" i="189"/>
  <c r="B31" i="35" a="1"/>
  <c r="B31" i="35" s="1"/>
  <c r="E33" i="35" a="1"/>
  <c r="E33" i="35" s="1"/>
  <c r="G32" i="31" a="1"/>
  <c r="G32" i="31" s="1"/>
  <c r="I27" i="33" a="1"/>
  <c r="I27" i="33" s="1"/>
  <c r="G26" i="36"/>
  <c r="M25" i="31" a="1"/>
  <c r="M25" i="31" s="1"/>
  <c r="B34" i="33" a="1"/>
  <c r="B34" i="33" s="1"/>
  <c r="G26" i="31" a="1"/>
  <c r="G26" i="31" s="1"/>
  <c r="I28" i="31" a="1"/>
  <c r="I28" i="31" s="1"/>
  <c r="B25" i="31" a="1"/>
  <c r="B25" i="31" s="1"/>
  <c r="B33" i="38" a="1"/>
  <c r="B33" i="38" s="1"/>
  <c r="B32" i="35" a="1"/>
  <c r="B32" i="35" s="1"/>
  <c r="I26" i="33" a="1"/>
  <c r="I26" i="33" s="1"/>
  <c r="B34" i="31" a="1"/>
  <c r="B34" i="31" s="1"/>
  <c r="C28" i="36"/>
  <c r="H29" i="38" a="1"/>
  <c r="H29" i="38" s="1"/>
  <c r="I31" i="31" a="1"/>
  <c r="I31" i="31" s="1"/>
  <c r="D31" i="35" a="1"/>
  <c r="D31" i="35" s="1"/>
  <c r="C29" i="37"/>
  <c r="H26" i="33" a="1"/>
  <c r="H26" i="33" s="1"/>
  <c r="D26" i="31" a="1"/>
  <c r="D26" i="31" s="1"/>
  <c r="H32" i="33" a="1"/>
  <c r="H32" i="33" s="1"/>
  <c r="F33" i="33" a="1"/>
  <c r="F33" i="33" s="1"/>
  <c r="B27" i="35" a="1"/>
  <c r="B27" i="35" s="1"/>
  <c r="B26" i="37"/>
  <c r="K28" i="31" a="1"/>
  <c r="K28" i="31" s="1"/>
  <c r="C27" i="37"/>
  <c r="I25" i="31" a="1"/>
  <c r="I25" i="31" s="1"/>
  <c r="J33" i="35" a="1"/>
  <c r="J33" i="35" s="1"/>
  <c r="G32" i="37"/>
  <c r="F34" i="31" a="1"/>
  <c r="F34" i="31" s="1"/>
  <c r="J34" i="33" a="1"/>
  <c r="J34" i="33" s="1"/>
  <c r="G27" i="35" a="1"/>
  <c r="G27" i="35" s="1"/>
  <c r="K31" i="31" a="1"/>
  <c r="K31" i="31" s="1"/>
  <c r="D30" i="35" a="1"/>
  <c r="D30" i="35" s="1"/>
  <c r="M32" i="31" a="1"/>
  <c r="M32" i="31" s="1"/>
  <c r="E27" i="38" a="1"/>
  <c r="E27" i="38" s="1"/>
  <c r="E28" i="36"/>
  <c r="H25" i="37"/>
  <c r="D31" i="36"/>
  <c r="C25" i="33" a="1"/>
  <c r="C25" i="33" s="1"/>
  <c r="B29" i="35" a="1"/>
  <c r="B29" i="35" s="1"/>
  <c r="J28" i="35" a="1"/>
  <c r="J28" i="35" s="1"/>
  <c r="J34" i="31" a="1"/>
  <c r="J34" i="31" s="1"/>
  <c r="H33" i="38" a="1"/>
  <c r="H33" i="38" s="1"/>
  <c r="D32" i="36"/>
  <c r="J32" i="31" a="1"/>
  <c r="J32" i="31" s="1"/>
  <c r="C34" i="35" a="1"/>
  <c r="C34" i="35" s="1"/>
  <c r="E30" i="37"/>
  <c r="C27" i="36"/>
  <c r="C28" i="37"/>
  <c r="F26" i="31" a="1"/>
  <c r="F26" i="31" s="1"/>
  <c r="I31" i="37"/>
  <c r="I25" i="37"/>
  <c r="E32" i="36"/>
  <c r="I34" i="36"/>
  <c r="G34" i="37"/>
  <c r="B32" i="36"/>
  <c r="I28" i="37"/>
  <c r="C34" i="37"/>
  <c r="D28" i="37"/>
  <c r="G31" i="37"/>
  <c r="B26" i="38" a="1"/>
  <c r="B26" i="38" s="1"/>
  <c r="F34" i="36"/>
  <c r="H34" i="35" a="1"/>
  <c r="H34" i="35" s="1"/>
  <c r="I34" i="31" a="1"/>
  <c r="I34" i="31" s="1"/>
  <c r="H29" i="35" a="1"/>
  <c r="H29" i="35" s="1"/>
  <c r="G25" i="31" a="1"/>
  <c r="G25" i="31" s="1"/>
  <c r="G32" i="38" a="1"/>
  <c r="G32" i="38" s="1"/>
  <c r="E27" i="33" a="1"/>
  <c r="E27" i="33" s="1"/>
  <c r="G31" i="31" a="1"/>
  <c r="G31" i="31" s="1"/>
  <c r="C32" i="38" a="1"/>
  <c r="C32" i="38" s="1"/>
  <c r="D30" i="33" a="1"/>
  <c r="D30" i="33" s="1"/>
  <c r="J28" i="31" a="1"/>
  <c r="J28" i="31" s="1"/>
  <c r="J26" i="31" a="1"/>
  <c r="J26" i="31" s="1"/>
  <c r="D30" i="36"/>
  <c r="J25" i="36"/>
  <c r="D29" i="35" a="1"/>
  <c r="D29" i="35" s="1"/>
  <c r="D27" i="31" a="1"/>
  <c r="D27" i="31" s="1"/>
  <c r="B31" i="31" a="1"/>
  <c r="B31" i="31" s="1"/>
  <c r="E27" i="37"/>
  <c r="C28" i="33" a="1"/>
  <c r="C28" i="33" s="1"/>
  <c r="C30" i="33" a="1"/>
  <c r="C30" i="33" s="1"/>
  <c r="D33" i="37"/>
  <c r="B34" i="36"/>
  <c r="C31" i="35" a="1"/>
  <c r="C31" i="35" s="1"/>
  <c r="B29" i="38" a="1"/>
  <c r="B29" i="38" s="1"/>
  <c r="H31" i="31" a="1"/>
  <c r="H31" i="31" s="1"/>
  <c r="E25" i="33" a="1"/>
  <c r="E25" i="33" s="1"/>
  <c r="C25" i="31" a="1"/>
  <c r="C25" i="31" s="1"/>
  <c r="H34" i="36"/>
  <c r="G32" i="35" a="1"/>
  <c r="G32" i="35" s="1"/>
  <c r="D28" i="38" a="1"/>
  <c r="D28" i="38" s="1"/>
  <c r="G25" i="36"/>
  <c r="H27" i="35" a="1"/>
  <c r="H27" i="35" s="1"/>
  <c r="G29" i="36"/>
  <c r="H27" i="38" a="1"/>
  <c r="H27" i="38" s="1"/>
  <c r="G28" i="33" a="1"/>
  <c r="G28" i="33" s="1"/>
  <c r="I30" i="35" a="1"/>
  <c r="I30" i="35" s="1"/>
  <c r="D33" i="33" a="1"/>
  <c r="D33" i="33" s="1"/>
  <c r="C33" i="37"/>
  <c r="E28" i="31" a="1"/>
  <c r="E28" i="31" s="1"/>
  <c r="B28" i="38" a="1"/>
  <c r="B28" i="38" s="1"/>
  <c r="H29" i="33" a="1"/>
  <c r="H29" i="33" s="1"/>
  <c r="B30" i="37"/>
  <c r="G33" i="35" a="1"/>
  <c r="G33" i="35" s="1"/>
  <c r="B34" i="37"/>
  <c r="F29" i="36"/>
  <c r="E33" i="31" a="1"/>
  <c r="E33" i="31" s="1"/>
  <c r="G30" i="37"/>
  <c r="G31" i="33" a="1"/>
  <c r="G31" i="33" s="1"/>
  <c r="G29" i="31" a="1"/>
  <c r="G29" i="31" s="1"/>
  <c r="B32" i="31" a="1"/>
  <c r="B32" i="31" s="1"/>
  <c r="D25" i="33" a="1"/>
  <c r="D25" i="33" s="1"/>
  <c r="I28" i="33" a="1"/>
  <c r="I28" i="33" s="1"/>
  <c r="E25" i="35" a="1"/>
  <c r="E25" i="35" s="1"/>
  <c r="D29" i="36"/>
  <c r="D29" i="33" a="1"/>
  <c r="D29" i="33" s="1"/>
  <c r="J34" i="35" a="1"/>
  <c r="J34" i="35" s="1"/>
  <c r="D26" i="35" a="1"/>
  <c r="D26" i="35" s="1"/>
  <c r="F25" i="31" a="1"/>
  <c r="F25" i="31" s="1"/>
  <c r="G26" i="33" a="1"/>
  <c r="G26" i="33" s="1"/>
  <c r="E27" i="35" a="1"/>
  <c r="E27" i="35" s="1"/>
  <c r="I25" i="33" a="1"/>
  <c r="I25" i="33" s="1"/>
  <c r="D28" i="36"/>
  <c r="I27" i="37"/>
  <c r="C33" i="35" a="1"/>
  <c r="C33" i="35" s="1"/>
  <c r="G31" i="36"/>
  <c r="F34" i="33" a="1"/>
  <c r="F34" i="33" s="1"/>
  <c r="C34" i="36"/>
  <c r="E30" i="35" a="1"/>
  <c r="E30" i="35" s="1"/>
  <c r="G32" i="36"/>
  <c r="D25" i="36"/>
  <c r="I25" i="35" a="1"/>
  <c r="I25" i="35" s="1"/>
  <c r="I29" i="36"/>
  <c r="F33" i="37"/>
  <c r="J27" i="31" a="1"/>
  <c r="J27" i="31" s="1"/>
  <c r="G29" i="33" a="1"/>
  <c r="G29" i="33" s="1"/>
  <c r="K32" i="31" a="1"/>
  <c r="K32" i="31" s="1"/>
  <c r="C32" i="31" a="1"/>
  <c r="C32" i="31" s="1"/>
  <c r="H32" i="38" a="1"/>
  <c r="H32" i="38" s="1"/>
  <c r="C30" i="31" a="1"/>
  <c r="C30" i="31" s="1"/>
  <c r="I31" i="35" a="1"/>
  <c r="I31" i="35" s="1"/>
  <c r="E30" i="31" a="1"/>
  <c r="E30" i="31" s="1"/>
  <c r="B31" i="36"/>
  <c r="C29" i="36"/>
  <c r="K26" i="31" a="1"/>
  <c r="K26" i="31" s="1"/>
  <c r="F27" i="33" a="1"/>
  <c r="F27" i="33" s="1"/>
  <c r="H26" i="36"/>
  <c r="G33" i="36"/>
  <c r="I26" i="36"/>
  <c r="F25" i="33" a="1"/>
  <c r="F25" i="33" s="1"/>
  <c r="J29" i="31" a="1"/>
  <c r="J29" i="31" s="1"/>
  <c r="F31" i="37"/>
  <c r="B33" i="35" a="1"/>
  <c r="B33" i="35" s="1"/>
  <c r="H31" i="36"/>
  <c r="B31" i="33" a="1"/>
  <c r="B31" i="33" s="1"/>
  <c r="F25" i="36"/>
  <c r="H33" i="37"/>
  <c r="J29" i="35" a="1"/>
  <c r="J29" i="35" s="1"/>
  <c r="F30" i="31" a="1"/>
  <c r="F30" i="31" s="1"/>
  <c r="D33" i="36"/>
  <c r="C28" i="35" a="1"/>
  <c r="C28" i="35" s="1"/>
  <c r="J33" i="36"/>
  <c r="I33" i="33" a="1"/>
  <c r="I33" i="33" s="1"/>
  <c r="F27" i="35" a="1"/>
  <c r="F27" i="35" s="1"/>
  <c r="B30" i="35" a="1"/>
  <c r="B30" i="35" s="1"/>
  <c r="H32" i="31" a="1"/>
  <c r="H32" i="31" s="1"/>
  <c r="B27" i="31" a="1"/>
  <c r="B27" i="31" s="1"/>
  <c r="B28" i="31" a="1"/>
  <c r="B28" i="31" s="1"/>
  <c r="E31" i="35" a="1"/>
  <c r="E31" i="35" s="1"/>
  <c r="B33" i="31" a="1"/>
  <c r="B33" i="31" s="1"/>
  <c r="E27" i="31" a="1"/>
  <c r="E27" i="31" s="1"/>
  <c r="E26" i="33" a="1"/>
  <c r="E26" i="33" s="1"/>
  <c r="G28" i="31" a="1"/>
  <c r="G28" i="31" s="1"/>
  <c r="D28" i="35" a="1"/>
  <c r="D28" i="35" s="1"/>
  <c r="G25" i="33" a="1"/>
  <c r="G25" i="33" s="1"/>
  <c r="J33" i="33" a="1"/>
  <c r="J33" i="33" s="1"/>
  <c r="E25" i="36"/>
  <c r="F32" i="31" a="1"/>
  <c r="F32" i="31" s="1"/>
  <c r="I33" i="31" a="1"/>
  <c r="I33" i="31" s="1"/>
  <c r="E31" i="33" a="1"/>
  <c r="E31" i="33" s="1"/>
  <c r="E34" i="38" a="1"/>
  <c r="E34" i="38" s="1"/>
  <c r="C25" i="35" a="1"/>
  <c r="C25" i="35" s="1"/>
  <c r="D27" i="36"/>
  <c r="E32" i="37"/>
  <c r="I32" i="33" a="1"/>
  <c r="I32" i="33" s="1"/>
  <c r="B29" i="31" a="1"/>
  <c r="B29" i="31" s="1"/>
  <c r="E32" i="31" a="1"/>
  <c r="E32" i="31" s="1"/>
  <c r="G34" i="31" a="1"/>
  <c r="G34" i="31" s="1"/>
  <c r="C31" i="31" a="1"/>
  <c r="C31" i="31" s="1"/>
  <c r="H29" i="36"/>
  <c r="D33" i="31" a="1"/>
  <c r="D33" i="31" s="1"/>
  <c r="E33" i="33" a="1"/>
  <c r="E33" i="33" s="1"/>
  <c r="D29" i="37"/>
  <c r="H27" i="37"/>
  <c r="J28" i="33" a="1"/>
  <c r="J28" i="33" s="1"/>
  <c r="B34" i="35" a="1"/>
  <c r="B34" i="35" s="1"/>
  <c r="H31" i="37"/>
  <c r="B32" i="33" a="1"/>
  <c r="B32" i="33" s="1"/>
  <c r="F31" i="35" a="1"/>
  <c r="F31" i="35" s="1"/>
  <c r="J30" i="33" a="1"/>
  <c r="J30" i="33" s="1"/>
  <c r="G33" i="31" a="1"/>
  <c r="G33" i="31" s="1"/>
  <c r="B29" i="33" a="1"/>
  <c r="B29" i="33" s="1"/>
  <c r="D26" i="38" a="1"/>
  <c r="D26" i="38" s="1"/>
  <c r="F28" i="33" a="1"/>
  <c r="F28" i="33" s="1"/>
  <c r="K25" i="31" a="1"/>
  <c r="K25" i="31" s="1"/>
  <c r="H30" i="35" a="1"/>
  <c r="H30" i="35" s="1"/>
  <c r="C33" i="31" a="1"/>
  <c r="C33" i="31" s="1"/>
  <c r="C29" i="33" a="1"/>
  <c r="C29" i="33" s="1"/>
  <c r="F29" i="37"/>
  <c r="H34" i="31" a="1"/>
  <c r="H34" i="31" s="1"/>
  <c r="J31" i="35" a="1"/>
  <c r="J31" i="35" s="1"/>
  <c r="G30" i="33" a="1"/>
  <c r="G30" i="33" s="1"/>
  <c r="I25" i="36"/>
  <c r="J30" i="37"/>
  <c r="H31" i="38" a="1"/>
  <c r="H31" i="38" s="1"/>
  <c r="F28" i="36"/>
  <c r="E32" i="33" a="1"/>
  <c r="E32" i="33" s="1"/>
  <c r="D25" i="35" a="1"/>
  <c r="D25" i="35" s="1"/>
  <c r="D32" i="31" a="1"/>
  <c r="D32" i="31" s="1"/>
  <c r="C27" i="33" a="1"/>
  <c r="C27" i="33" s="1"/>
  <c r="G26" i="37"/>
  <c r="B25" i="38" a="1"/>
  <c r="B25" i="38" s="1"/>
  <c r="D30" i="38" a="1"/>
  <c r="D30" i="38" s="1"/>
  <c r="F33" i="35" a="1"/>
  <c r="F33" i="35" s="1"/>
  <c r="J26" i="33" a="1"/>
  <c r="J26" i="33" s="1"/>
  <c r="F25" i="35" a="1"/>
  <c r="F25" i="35" s="1"/>
  <c r="H25" i="31" a="1"/>
  <c r="H25" i="31" s="1"/>
  <c r="G25" i="35" a="1"/>
  <c r="G25" i="35" s="1"/>
  <c r="C31" i="38" a="1"/>
  <c r="C31" i="38" s="1"/>
  <c r="G26" i="35" a="1"/>
  <c r="G26" i="35" s="1"/>
  <c r="F28" i="37"/>
  <c r="B30" i="36"/>
  <c r="D32" i="37"/>
  <c r="B30" i="31" a="1"/>
  <c r="B30" i="31" s="1"/>
  <c r="G30" i="38" a="1"/>
  <c r="G30" i="38" s="1"/>
  <c r="D32" i="35" a="1"/>
  <c r="D32" i="35" s="1"/>
  <c r="M28" i="31" a="1"/>
  <c r="M28" i="31" s="1"/>
  <c r="E29" i="35" a="1"/>
  <c r="E29" i="35" s="1"/>
  <c r="D25" i="38" a="1"/>
  <c r="D25" i="38" s="1"/>
  <c r="H26" i="38" a="1"/>
  <c r="H26" i="38" s="1"/>
  <c r="E26" i="36"/>
  <c r="E29" i="38" a="1"/>
  <c r="E29" i="38" s="1"/>
  <c r="C26" i="35" a="1"/>
  <c r="C26" i="35" s="1"/>
  <c r="C30" i="35" a="1"/>
  <c r="C30" i="35" s="1"/>
  <c r="B27" i="36"/>
  <c r="F30" i="37"/>
  <c r="H28" i="33" a="1"/>
  <c r="H28" i="33" s="1"/>
  <c r="I30" i="31" a="1"/>
  <c r="I30" i="31" s="1"/>
  <c r="G25" i="37"/>
  <c r="B28" i="35" a="1"/>
  <c r="B28" i="35" s="1"/>
  <c r="J30" i="35" a="1"/>
  <c r="J30" i="35" s="1"/>
  <c r="J31" i="31" a="1"/>
  <c r="J31" i="31" s="1"/>
  <c r="H34" i="37"/>
  <c r="D26" i="36"/>
  <c r="G34" i="38" a="1"/>
  <c r="G34" i="38" s="1"/>
  <c r="H33" i="35" a="1"/>
  <c r="H33" i="35" s="1"/>
  <c r="J26" i="37"/>
  <c r="B26" i="33" a="1"/>
  <c r="B26" i="33" s="1"/>
  <c r="K27" i="31" a="1"/>
  <c r="K27" i="31" s="1"/>
  <c r="B28" i="37"/>
  <c r="I32" i="35" a="1"/>
  <c r="I32" i="35" s="1"/>
  <c r="E28" i="37"/>
  <c r="I29" i="31" a="1"/>
  <c r="I29" i="31" s="1"/>
  <c r="B33" i="36"/>
  <c r="B33" i="33" a="1"/>
  <c r="B33" i="33" s="1"/>
  <c r="I31" i="33" a="1"/>
  <c r="I31" i="33" s="1"/>
  <c r="I26" i="35" a="1"/>
  <c r="I26" i="35" s="1"/>
  <c r="J27" i="33" a="1"/>
  <c r="J27" i="33" s="1"/>
  <c r="H28" i="36"/>
  <c r="F32" i="33" a="1"/>
  <c r="F32" i="33" s="1"/>
  <c r="H28" i="31" a="1"/>
  <c r="H28" i="31" s="1"/>
  <c r="E33" i="37"/>
  <c r="F32" i="37"/>
  <c r="I27" i="31" a="1"/>
  <c r="I27" i="31" s="1"/>
  <c r="H26" i="31" a="1"/>
  <c r="H26" i="31" s="1"/>
  <c r="H31" i="33" a="1"/>
  <c r="H31" i="33" s="1"/>
  <c r="F27" i="31" a="1"/>
  <c r="F27" i="31" s="1"/>
  <c r="C26" i="38" a="1"/>
  <c r="C26" i="38" s="1"/>
  <c r="C30" i="37"/>
  <c r="D28" i="33" a="1"/>
  <c r="D28" i="33" s="1"/>
  <c r="I31" i="36"/>
  <c r="C29" i="31" a="1"/>
  <c r="C29" i="31" s="1"/>
  <c r="J26" i="36"/>
  <c r="C30" i="38" a="1"/>
  <c r="C30" i="38" s="1"/>
  <c r="G30" i="31" a="1"/>
  <c r="G30" i="31" s="1"/>
  <c r="H27" i="33" a="1"/>
  <c r="H27" i="33" s="1"/>
  <c r="F28" i="35" a="1"/>
  <c r="F28" i="35" s="1"/>
  <c r="H33" i="33" a="1"/>
  <c r="H33" i="33" s="1"/>
  <c r="E25" i="31" a="1"/>
  <c r="E25" i="31" s="1"/>
  <c r="H29" i="31" a="1"/>
  <c r="H29" i="31" s="1"/>
  <c r="I34" i="35" a="1"/>
  <c r="I34" i="35" s="1"/>
  <c r="D26" i="33" a="1"/>
  <c r="D26" i="33" s="1"/>
  <c r="B26" i="36"/>
  <c r="G34" i="33" a="1"/>
  <c r="G34" i="33" s="1"/>
  <c r="H25" i="36"/>
  <c r="F29" i="35" a="1"/>
  <c r="F29" i="35" s="1"/>
  <c r="H30" i="33" a="1"/>
  <c r="H30" i="33" s="1"/>
  <c r="G33" i="33" a="1"/>
  <c r="G33" i="33" s="1"/>
  <c r="G31" i="35" a="1"/>
  <c r="G31" i="35" s="1"/>
  <c r="G27" i="36"/>
  <c r="F27" i="36"/>
  <c r="B27" i="38" a="1"/>
  <c r="B27" i="38" s="1"/>
  <c r="D29" i="38" a="1"/>
  <c r="D29" i="38" s="1"/>
  <c r="H30" i="37"/>
  <c r="J28" i="37"/>
  <c r="B28" i="33" a="1"/>
  <c r="B28" i="33" s="1"/>
  <c r="H32" i="35" a="1"/>
  <c r="H32" i="35" s="1"/>
  <c r="B33" i="37"/>
  <c r="I29" i="37"/>
  <c r="C25" i="37"/>
  <c r="B27" i="37"/>
  <c r="I32" i="36"/>
  <c r="E28" i="35" a="1"/>
  <c r="E28" i="35" s="1"/>
  <c r="H31" i="35" a="1"/>
  <c r="H31" i="35" s="1"/>
  <c r="D31" i="31" a="1"/>
  <c r="D31" i="31" s="1"/>
  <c r="H27" i="31" a="1"/>
  <c r="H27" i="31" s="1"/>
  <c r="J32" i="33" a="1"/>
  <c r="J32" i="33" s="1"/>
  <c r="D25" i="37"/>
  <c r="C34" i="38" a="1"/>
  <c r="C34" i="38" s="1"/>
  <c r="H30" i="31" a="1"/>
  <c r="H30" i="31" s="1"/>
  <c r="G28" i="35" a="1"/>
  <c r="G28" i="35" s="1"/>
  <c r="I27" i="35" a="1"/>
  <c r="I27" i="35" s="1"/>
  <c r="D29" i="31" a="1"/>
  <c r="D29" i="31" s="1"/>
  <c r="I30" i="33" a="1"/>
  <c r="I30" i="33" s="1"/>
  <c r="E34" i="33" a="1"/>
  <c r="E34" i="33" s="1"/>
  <c r="D34" i="33" a="1"/>
  <c r="D34" i="33" s="1"/>
  <c r="I28" i="36"/>
  <c r="D27" i="35" a="1"/>
  <c r="D27" i="35" s="1"/>
  <c r="H28" i="38" a="1"/>
  <c r="H28" i="38" s="1"/>
  <c r="C32" i="37"/>
  <c r="F29" i="33" a="1"/>
  <c r="F29" i="33" s="1"/>
  <c r="E25" i="38" a="1"/>
  <c r="E25" i="38" s="1"/>
  <c r="D32" i="38" a="1"/>
  <c r="D32" i="38" s="1"/>
  <c r="C33" i="36"/>
  <c r="C31" i="33" a="1"/>
  <c r="C31" i="33" s="1"/>
  <c r="C28" i="38" a="1"/>
  <c r="C28" i="38" s="1"/>
  <c r="G27" i="33" a="1"/>
  <c r="G27" i="33" s="1"/>
  <c r="I34" i="37"/>
  <c r="C34" i="31" a="1"/>
  <c r="C34" i="31" s="1"/>
  <c r="G27" i="31" a="1"/>
  <c r="G27" i="31" s="1"/>
  <c r="D34" i="35" a="1"/>
  <c r="D34" i="35" s="1"/>
  <c r="D30" i="31" a="1"/>
  <c r="D30" i="31" s="1"/>
  <c r="M31" i="31" a="1"/>
  <c r="M31" i="31" s="1"/>
  <c r="D34" i="36"/>
  <c r="G30" i="36"/>
  <c r="E27" i="36"/>
  <c r="J34" i="36"/>
  <c r="C29" i="38" a="1"/>
  <c r="C29" i="38" s="1"/>
  <c r="C26" i="33" a="1"/>
  <c r="C26" i="33" s="1"/>
  <c r="D27" i="33" a="1"/>
  <c r="D27" i="33" s="1"/>
  <c r="D31" i="33" a="1"/>
  <c r="D31" i="33" s="1"/>
  <c r="M33" i="31" a="1"/>
  <c r="M33" i="31" s="1"/>
  <c r="J29" i="37"/>
  <c r="J33" i="37"/>
  <c r="H29" i="37"/>
  <c r="B25" i="33" a="1"/>
  <c r="B25" i="33" s="1"/>
  <c r="F26" i="35" a="1"/>
  <c r="F26" i="35" s="1"/>
  <c r="E26" i="35" a="1"/>
  <c r="E26" i="35" s="1"/>
  <c r="I33" i="37"/>
  <c r="H26" i="35" a="1"/>
  <c r="H26" i="35" s="1"/>
  <c r="E26" i="31" a="1"/>
  <c r="E26" i="31" s="1"/>
  <c r="B25" i="37"/>
  <c r="H32" i="36"/>
  <c r="K29" i="31" a="1"/>
  <c r="K29" i="31" s="1"/>
  <c r="H34" i="33" a="1"/>
  <c r="H34" i="33" s="1"/>
  <c r="F28" i="31" a="1"/>
  <c r="F28" i="31" s="1"/>
  <c r="I30" i="37"/>
  <c r="B32" i="38" a="1"/>
  <c r="B32" i="38" s="1"/>
  <c r="C27" i="38" a="1"/>
  <c r="C27" i="38" s="1"/>
  <c r="C26" i="36"/>
  <c r="F31" i="31" a="1"/>
  <c r="F31" i="31" s="1"/>
  <c r="G25" i="38" a="1"/>
  <c r="G25" i="38" s="1"/>
  <c r="J27" i="37"/>
  <c r="B29" i="36"/>
  <c r="H26" i="37"/>
  <c r="D25" i="31" a="1"/>
  <c r="D25" i="31" s="1"/>
  <c r="G31" i="38" a="1"/>
  <c r="G31" i="38" s="1"/>
  <c r="C32" i="33" a="1"/>
  <c r="C32" i="33" s="1"/>
  <c r="C28" i="31" a="1"/>
  <c r="C28" i="31" s="1"/>
  <c r="I26" i="37"/>
  <c r="E31" i="37"/>
  <c r="C33" i="33" a="1"/>
  <c r="C33" i="33" s="1"/>
  <c r="J31" i="37"/>
  <c r="F31" i="33" a="1"/>
  <c r="F31" i="33" s="1"/>
  <c r="H30" i="36"/>
  <c r="B31" i="38" a="1"/>
  <c r="B31" i="38" s="1"/>
  <c r="B30" i="33" a="1"/>
  <c r="B30" i="33" s="1"/>
  <c r="D28" i="31" a="1"/>
  <c r="D28" i="31" s="1"/>
  <c r="E34" i="37"/>
  <c r="D34" i="37"/>
  <c r="I30" i="36"/>
  <c r="I34" i="33" a="1"/>
  <c r="I34" i="33" s="1"/>
  <c r="H25" i="35" a="1"/>
  <c r="H25" i="35" s="1"/>
  <c r="H33" i="31" a="1"/>
  <c r="H33" i="31" s="1"/>
  <c r="I26" i="31" a="1"/>
  <c r="I26" i="31" s="1"/>
  <c r="I33" i="35" a="1"/>
  <c r="I33" i="35" s="1"/>
  <c r="J30" i="31" a="1"/>
  <c r="J30" i="31" s="1"/>
  <c r="I27" i="36"/>
  <c r="E29" i="37"/>
  <c r="L27" i="31" a="1"/>
  <c r="L27" i="31" s="1"/>
  <c r="G28" i="37"/>
  <c r="D31" i="38" a="1"/>
  <c r="D31" i="38" s="1"/>
  <c r="B29" i="37"/>
  <c r="J32" i="35" a="1"/>
  <c r="J32" i="35" s="1"/>
  <c r="G27" i="37"/>
  <c r="F26" i="36"/>
  <c r="L34" i="31" a="1"/>
  <c r="L34" i="31" s="1"/>
  <c r="J32" i="36"/>
  <c r="C25" i="38" a="1"/>
  <c r="C25" i="38" s="1"/>
  <c r="C27" i="31" a="1"/>
  <c r="C27" i="31" s="1"/>
  <c r="C32" i="36"/>
  <c r="G30" i="35" a="1"/>
  <c r="G30" i="35" s="1"/>
  <c r="I28" i="35" a="1"/>
  <c r="I28" i="35" s="1"/>
  <c r="J34" i="37"/>
  <c r="E30" i="36"/>
  <c r="E29" i="36"/>
  <c r="C31" i="36"/>
  <c r="H34" i="38" a="1"/>
  <c r="H34" i="38" s="1"/>
  <c r="G33" i="37"/>
  <c r="E34" i="36"/>
  <c r="E30" i="38" a="1"/>
  <c r="E30" i="38" s="1"/>
  <c r="C31" i="37"/>
  <c r="B25" i="35" a="1"/>
  <c r="B25" i="35" s="1"/>
  <c r="J25" i="31" a="1"/>
  <c r="J25" i="31" s="1"/>
  <c r="K33" i="31" a="1"/>
  <c r="K33" i="31" s="1"/>
  <c r="I29" i="35" a="1"/>
  <c r="I29" i="35" s="1"/>
  <c r="C26" i="31" a="1"/>
  <c r="C26" i="31" s="1"/>
  <c r="F30" i="36"/>
  <c r="F25" i="37"/>
  <c r="B31" i="37"/>
  <c r="D27" i="38" a="1"/>
  <c r="D27" i="38" s="1"/>
  <c r="F31" i="36"/>
  <c r="C33" i="38" a="1"/>
  <c r="C33" i="38" s="1"/>
  <c r="F27" i="37"/>
  <c r="D32" i="33" a="1"/>
  <c r="D32" i="33" s="1"/>
  <c r="J26" i="35" a="1"/>
  <c r="J26" i="35" s="1"/>
  <c r="H25" i="33" a="1"/>
  <c r="H25" i="33" s="1"/>
  <c r="D34" i="38" a="1"/>
  <c r="D34" i="38" s="1"/>
  <c r="J25" i="33" a="1"/>
  <c r="J25" i="33" s="1"/>
  <c r="G34" i="36"/>
  <c r="J29" i="33" a="1"/>
  <c r="J29" i="33" s="1"/>
  <c r="H27" i="36"/>
  <c r="C32" i="35" a="1"/>
  <c r="C32" i="35" s="1"/>
  <c r="E29" i="31" a="1"/>
  <c r="E29" i="31" s="1"/>
  <c r="B30" i="38" a="1"/>
  <c r="B30" i="38" s="1"/>
  <c r="E34" i="35" a="1"/>
  <c r="E34" i="35" s="1"/>
  <c r="E30" i="33" a="1"/>
  <c r="E30" i="33" s="1"/>
  <c r="F29" i="31" a="1"/>
  <c r="F29" i="31" s="1"/>
  <c r="J33" i="31" a="1"/>
  <c r="J33" i="31" s="1"/>
  <c r="J25" i="37"/>
  <c r="I29" i="33" a="1"/>
  <c r="I29" i="33" s="1"/>
  <c r="B27" i="33" a="1"/>
  <c r="B27" i="33" s="1"/>
  <c r="E33" i="36"/>
  <c r="E33" i="38" a="1"/>
  <c r="E33" i="38" s="1"/>
  <c r="B32" i="37"/>
  <c r="J27" i="35" a="1"/>
  <c r="J27" i="35" s="1"/>
  <c r="F26" i="33" a="1"/>
  <c r="F26" i="33" s="1"/>
  <c r="F34" i="37"/>
  <c r="J28" i="36"/>
  <c r="E29" i="33" a="1"/>
  <c r="E29" i="33" s="1"/>
  <c r="D33" i="38" a="1"/>
  <c r="D33" i="38" s="1"/>
  <c r="F30" i="33" a="1"/>
  <c r="F30" i="33" s="1"/>
  <c r="B28" i="36"/>
  <c r="E28" i="38" a="1"/>
  <c r="E28" i="38" s="1"/>
  <c r="D27" i="37"/>
  <c r="E31" i="31" a="1"/>
  <c r="E31" i="31" s="1"/>
  <c r="J30" i="36"/>
  <c r="G29" i="37"/>
  <c r="F32" i="36"/>
  <c r="I32" i="37"/>
  <c r="B26" i="31" a="1"/>
  <c r="B26" i="31" s="1"/>
  <c r="C25" i="36"/>
  <c r="G26" i="38" a="1"/>
  <c r="G26" i="38" s="1"/>
  <c r="H25" i="38" a="1"/>
  <c r="H25" i="38" s="1"/>
  <c r="J32" i="37"/>
  <c r="G29" i="38" a="1"/>
  <c r="G29" i="38" s="1"/>
  <c r="D26" i="37"/>
  <c r="E32" i="35" a="1"/>
  <c r="E32" i="35" s="1"/>
  <c r="E32" i="38" a="1"/>
  <c r="E32" i="38" s="1"/>
  <c r="G32" i="33" a="1"/>
  <c r="G32" i="33" s="1"/>
  <c r="F34" i="35" a="1"/>
  <c r="F34" i="35" s="1"/>
  <c r="C27" i="35" a="1"/>
  <c r="C27" i="35" s="1"/>
  <c r="C34" i="33" a="1"/>
  <c r="C34" i="33" s="1"/>
  <c r="E25" i="37"/>
  <c r="G34" i="35" a="1"/>
  <c r="G34" i="35" s="1"/>
  <c r="F33" i="31" a="1"/>
  <c r="F33" i="31" s="1"/>
  <c r="J31" i="36"/>
  <c r="G28" i="38" a="1"/>
  <c r="G28" i="38" s="1"/>
  <c r="D30" i="37"/>
  <c r="G29" i="35" a="1"/>
  <c r="G29" i="35" s="1"/>
  <c r="G28" i="36"/>
  <c r="F30" i="35" a="1"/>
  <c r="F30" i="35" s="1"/>
  <c r="B26" i="35" a="1"/>
  <c r="B26" i="35" s="1"/>
  <c r="E26" i="37"/>
  <c r="D31" i="37"/>
  <c r="C30" i="36"/>
  <c r="F32" i="35" a="1"/>
  <c r="F32" i="35" s="1"/>
  <c r="B25" i="36"/>
  <c r="B34" i="38" a="1"/>
  <c r="B34" i="38" s="1"/>
  <c r="E28" i="33" a="1"/>
  <c r="E28" i="33" s="1"/>
  <c r="E31" i="36"/>
  <c r="G27" i="38" a="1"/>
  <c r="G27" i="38" s="1"/>
  <c r="F33" i="36"/>
  <c r="D34" i="31" a="1"/>
  <c r="D34" i="31" s="1"/>
  <c r="E26" i="38" a="1"/>
  <c r="E26" i="38" s="1"/>
  <c r="F26" i="37"/>
  <c r="E34" i="31" a="1"/>
  <c r="E34" i="31" s="1"/>
  <c r="J29" i="36"/>
  <c r="D33" i="35" a="1"/>
  <c r="D33" i="35" s="1"/>
  <c r="H32" i="37"/>
  <c r="H28" i="37"/>
  <c r="J25" i="35" a="1"/>
  <c r="J25" i="35" s="1"/>
  <c r="H33" i="36"/>
  <c r="E31" i="38" a="1"/>
  <c r="E31" i="38" s="1"/>
  <c r="H30" i="38" a="1"/>
  <c r="H30" i="38" s="1"/>
  <c r="H28" i="35" a="1"/>
  <c r="H28" i="35" s="1"/>
  <c r="J31" i="33" a="1"/>
  <c r="J31" i="33" s="1"/>
  <c r="I32" i="31" a="1"/>
  <c r="I32" i="31" s="1"/>
  <c r="C26" i="37"/>
  <c r="J27" i="36"/>
  <c r="C29" i="35" a="1"/>
  <c r="C29" i="35" s="1"/>
  <c r="I33" i="36"/>
  <c r="G33" i="38" a="1"/>
  <c r="G33" i="38" s="1"/>
  <c r="AJ49" i="243" l="1"/>
  <c r="H14" i="243"/>
  <c r="AJ55" i="243"/>
  <c r="AG52" i="243"/>
  <c r="AJ50" i="243"/>
  <c r="AH57" i="243"/>
  <c r="AG57" i="243"/>
  <c r="AG54" i="243"/>
  <c r="AG53" i="243"/>
  <c r="AG49" i="243"/>
  <c r="AF52" i="243"/>
  <c r="AH52" i="243"/>
  <c r="AG50" i="243"/>
  <c r="AJ54" i="243"/>
  <c r="AG55" i="243"/>
  <c r="AF50" i="243"/>
  <c r="AF51" i="243"/>
  <c r="AF56" i="243"/>
  <c r="E12" i="243"/>
  <c r="H15" i="243"/>
  <c r="AK75" i="243" s="1"/>
  <c r="AH54" i="243"/>
  <c r="AH56" i="243"/>
  <c r="AF54" i="243"/>
  <c r="AG15" i="243" a="1"/>
  <c r="AG15" i="243" s="1"/>
  <c r="AJ53" i="243"/>
  <c r="AK15" i="243" a="1"/>
  <c r="AK15" i="243" s="1"/>
  <c r="AJ56" i="243"/>
  <c r="AC15" i="243" a="1"/>
  <c r="AC15" i="243" s="1"/>
  <c r="AI55" i="243"/>
  <c r="V17" i="243" a="1"/>
  <c r="V17" i="243" s="1"/>
  <c r="W17" i="243" a="1"/>
  <c r="W17" i="243" s="1"/>
  <c r="H17" i="243"/>
  <c r="AK77" i="243" s="1"/>
  <c r="G12" i="243"/>
  <c r="AH51" i="243"/>
  <c r="AJ51" i="243"/>
  <c r="F13" i="243"/>
  <c r="G19" i="243"/>
  <c r="AB79" i="243" s="1"/>
  <c r="AI57" i="243"/>
  <c r="AF57" i="243"/>
  <c r="V17" i="189" a="1"/>
  <c r="V17" i="189" s="1"/>
  <c r="W17" i="189" a="1"/>
  <c r="W17" i="189" s="1"/>
  <c r="AJ57" i="243"/>
  <c r="AJ52" i="243"/>
  <c r="AE17" i="189" a="1"/>
  <c r="AE17" i="189" s="1"/>
  <c r="AF17" i="189" a="1"/>
  <c r="AF17" i="189" s="1"/>
  <c r="H13" i="243"/>
  <c r="AL15" i="243" a="1"/>
  <c r="AL15" i="243" s="1"/>
  <c r="AI51" i="243"/>
  <c r="U75" i="243"/>
  <c r="AJ75" i="243"/>
  <c r="AD75" i="243"/>
  <c r="AC75" i="243"/>
  <c r="AA75" i="243"/>
  <c r="AI75" i="243"/>
  <c r="AH75" i="243"/>
  <c r="AF75" i="243"/>
  <c r="AB75" i="243"/>
  <c r="AE75" i="243"/>
  <c r="AE87" i="243" s="1"/>
  <c r="AG75" i="243"/>
  <c r="H81" i="243"/>
  <c r="H93" i="243" s="1"/>
  <c r="R81" i="243"/>
  <c r="Y81" i="243"/>
  <c r="O81" i="243"/>
  <c r="Q81" i="243"/>
  <c r="M81" i="243"/>
  <c r="V81" i="243"/>
  <c r="S81" i="243"/>
  <c r="T81" i="243"/>
  <c r="J81" i="243"/>
  <c r="U81" i="243"/>
  <c r="K81" i="243"/>
  <c r="I81" i="243"/>
  <c r="Z81" i="243"/>
  <c r="Z93" i="243" s="1"/>
  <c r="L81" i="243"/>
  <c r="X81" i="243"/>
  <c r="P81" i="243"/>
  <c r="W81" i="243"/>
  <c r="N81" i="243"/>
  <c r="AF78" i="243"/>
  <c r="AC78" i="243"/>
  <c r="AJ78" i="243"/>
  <c r="AG78" i="243"/>
  <c r="AB78" i="243"/>
  <c r="AD78" i="243"/>
  <c r="AH78" i="243"/>
  <c r="AE78" i="243"/>
  <c r="AI78" i="243"/>
  <c r="AA78" i="243"/>
  <c r="AB81" i="243"/>
  <c r="AF81" i="243"/>
  <c r="AJ81" i="243"/>
  <c r="AK93" i="243" s="1"/>
  <c r="AG81" i="243"/>
  <c r="AD81" i="243"/>
  <c r="AE81" i="243"/>
  <c r="AI81" i="243"/>
  <c r="AC81" i="243"/>
  <c r="AA81" i="243"/>
  <c r="AA93" i="243" s="1"/>
  <c r="AH81" i="243"/>
  <c r="N79" i="243"/>
  <c r="M79" i="243"/>
  <c r="L79" i="243"/>
  <c r="Q79" i="243"/>
  <c r="O79" i="243"/>
  <c r="K79" i="243"/>
  <c r="I79" i="243"/>
  <c r="H79" i="243"/>
  <c r="H91" i="243" s="1"/>
  <c r="J79" i="243"/>
  <c r="P79" i="243"/>
  <c r="J77" i="243"/>
  <c r="T77" i="243"/>
  <c r="S77" i="243"/>
  <c r="Q77" i="243"/>
  <c r="Y77" i="243"/>
  <c r="X77" i="243"/>
  <c r="P77" i="243"/>
  <c r="H77" i="243"/>
  <c r="H89" i="243" s="1"/>
  <c r="V77" i="243"/>
  <c r="N77" i="243"/>
  <c r="K77" i="243"/>
  <c r="W77" i="243"/>
  <c r="M77" i="243"/>
  <c r="L77" i="243"/>
  <c r="O77" i="243"/>
  <c r="I77" i="243"/>
  <c r="I89" i="243" s="1"/>
  <c r="Z77" i="243"/>
  <c r="R77" i="243"/>
  <c r="U77" i="243"/>
  <c r="K80" i="243"/>
  <c r="W80" i="243"/>
  <c r="H80" i="243"/>
  <c r="H92" i="243" s="1"/>
  <c r="M80" i="243"/>
  <c r="R80" i="243"/>
  <c r="O80" i="243"/>
  <c r="S80" i="243"/>
  <c r="X80" i="243"/>
  <c r="N80" i="243"/>
  <c r="Y80" i="243"/>
  <c r="U80" i="243"/>
  <c r="V80" i="243"/>
  <c r="L80" i="243"/>
  <c r="Q80" i="243"/>
  <c r="J80" i="243"/>
  <c r="P80" i="243"/>
  <c r="I80" i="243"/>
  <c r="T80" i="243"/>
  <c r="Z80" i="243"/>
  <c r="AC77" i="243"/>
  <c r="AA77" i="243"/>
  <c r="AJ77" i="243"/>
  <c r="AF77" i="243"/>
  <c r="O78" i="243"/>
  <c r="S78" i="243"/>
  <c r="H78" i="243"/>
  <c r="H90" i="243" s="1"/>
  <c r="T78" i="243"/>
  <c r="Q78" i="243"/>
  <c r="K78" i="243"/>
  <c r="X78" i="243"/>
  <c r="N78" i="243"/>
  <c r="V78" i="243"/>
  <c r="M78" i="243"/>
  <c r="Y78" i="243"/>
  <c r="L78" i="243"/>
  <c r="Z78" i="243"/>
  <c r="W78" i="243"/>
  <c r="R78" i="243"/>
  <c r="U78" i="243"/>
  <c r="J78" i="243"/>
  <c r="I78" i="243"/>
  <c r="I90" i="243" s="1"/>
  <c r="P78" i="243"/>
  <c r="AB76" i="243"/>
  <c r="AD76" i="243"/>
  <c r="X76" i="243"/>
  <c r="T76" i="243"/>
  <c r="AJ76" i="243"/>
  <c r="Y76" i="243"/>
  <c r="AH76" i="243"/>
  <c r="U76" i="243"/>
  <c r="V76" i="243"/>
  <c r="V88" i="243" s="1"/>
  <c r="AE76" i="243"/>
  <c r="AE88" i="243" s="1"/>
  <c r="AA76" i="243"/>
  <c r="W76" i="243"/>
  <c r="AG76" i="243"/>
  <c r="AI76" i="243"/>
  <c r="Z76" i="243"/>
  <c r="AF76" i="243"/>
  <c r="R76" i="243"/>
  <c r="R88" i="243" s="1"/>
  <c r="AC76" i="243"/>
  <c r="S76" i="243"/>
  <c r="AF17" i="243" a="1"/>
  <c r="AF17" i="243" s="1"/>
  <c r="AE17" i="243" a="1"/>
  <c r="AE17" i="243" s="1"/>
  <c r="AA80" i="243"/>
  <c r="AD80" i="243"/>
  <c r="AC80" i="243"/>
  <c r="AJ80" i="243"/>
  <c r="AB80" i="243"/>
  <c r="AG80" i="243"/>
  <c r="AH80" i="243"/>
  <c r="AE80" i="243"/>
  <c r="AF80" i="243"/>
  <c r="AI80" i="243"/>
  <c r="N75" i="243"/>
  <c r="K75" i="243"/>
  <c r="Q75" i="243"/>
  <c r="H75" i="243"/>
  <c r="H87" i="243" s="1"/>
  <c r="P75" i="243"/>
  <c r="J75" i="243"/>
  <c r="M75" i="243"/>
  <c r="I75" i="243"/>
  <c r="L75" i="243"/>
  <c r="O75" i="243"/>
  <c r="Z75" i="243"/>
  <c r="V75" i="243"/>
  <c r="W75" i="243"/>
  <c r="Y75" i="243"/>
  <c r="X75" i="243"/>
  <c r="R75" i="243"/>
  <c r="T75" i="243"/>
  <c r="S75" i="243"/>
  <c r="AJ79" i="243"/>
  <c r="F14" i="243"/>
  <c r="C32" i="34"/>
  <c r="F34" i="34"/>
  <c r="F33" i="34"/>
  <c r="D28" i="34"/>
  <c r="I34" i="34"/>
  <c r="E32" i="34"/>
  <c r="G32" i="34"/>
  <c r="F32" i="34"/>
  <c r="C30" i="34"/>
  <c r="D33" i="34"/>
  <c r="E28" i="34"/>
  <c r="I32" i="34"/>
  <c r="I28" i="34"/>
  <c r="C31" i="34"/>
  <c r="D34" i="34"/>
  <c r="D31" i="34"/>
  <c r="D32" i="34"/>
  <c r="G34" i="34"/>
  <c r="H32" i="34"/>
  <c r="F28" i="34"/>
  <c r="E34" i="34"/>
  <c r="H28" i="34"/>
  <c r="F30" i="34"/>
  <c r="AH92" i="243" l="1"/>
  <c r="AB92" i="243"/>
  <c r="I91" i="243"/>
  <c r="AH77" i="243"/>
  <c r="AI77" i="243"/>
  <c r="V87" i="243"/>
  <c r="AD77" i="243"/>
  <c r="N87" i="243"/>
  <c r="AA89" i="243"/>
  <c r="P92" i="243"/>
  <c r="K89" i="243"/>
  <c r="W89" i="243"/>
  <c r="R87" i="243"/>
  <c r="I87" i="243"/>
  <c r="AG77" i="243"/>
  <c r="J92" i="243"/>
  <c r="U104" i="243" s="1"/>
  <c r="R89" i="243"/>
  <c r="T89" i="243"/>
  <c r="AE77" i="243"/>
  <c r="AF89" i="243" s="1"/>
  <c r="AB77" i="243"/>
  <c r="AE79" i="243"/>
  <c r="AF91" i="243" s="1"/>
  <c r="AC79" i="243"/>
  <c r="AC91" i="243" s="1"/>
  <c r="X88" i="243"/>
  <c r="L89" i="243"/>
  <c r="X89" i="243"/>
  <c r="X79" i="243"/>
  <c r="W79" i="243"/>
  <c r="W91" i="243" s="1"/>
  <c r="S93" i="243"/>
  <c r="AD105" i="243" s="1"/>
  <c r="AH79" i="243"/>
  <c r="AI79" i="243"/>
  <c r="AJ91" i="243" s="1"/>
  <c r="AC88" i="243"/>
  <c r="Z90" i="243"/>
  <c r="Q90" i="243"/>
  <c r="AB102" i="243" s="1"/>
  <c r="Y92" i="243"/>
  <c r="J91" i="243"/>
  <c r="AH93" i="243"/>
  <c r="AF93" i="243"/>
  <c r="AG90" i="243"/>
  <c r="L93" i="243"/>
  <c r="L117" i="243" s="1"/>
  <c r="V93" i="243"/>
  <c r="V79" i="243"/>
  <c r="AD79" i="243"/>
  <c r="AD91" i="243" s="1"/>
  <c r="Y79" i="243"/>
  <c r="R79" i="243"/>
  <c r="R91" i="243" s="1"/>
  <c r="AB87" i="243"/>
  <c r="G14" i="243"/>
  <c r="G13" i="243"/>
  <c r="AA79" i="243"/>
  <c r="AB91" i="243" s="1"/>
  <c r="U79" i="243"/>
  <c r="AG79" i="243"/>
  <c r="U88" i="243"/>
  <c r="Y90" i="243"/>
  <c r="AJ102" i="243" s="1"/>
  <c r="S79" i="243"/>
  <c r="T91" i="243" s="1"/>
  <c r="AE103" i="243" s="1"/>
  <c r="I93" i="243"/>
  <c r="I117" i="243" s="1"/>
  <c r="AF79" i="243"/>
  <c r="S90" i="243"/>
  <c r="AD102" i="243" s="1"/>
  <c r="S92" i="243"/>
  <c r="AD104" i="243" s="1"/>
  <c r="AE101" i="243"/>
  <c r="T79" i="243"/>
  <c r="Z79" i="243"/>
  <c r="AA90" i="243"/>
  <c r="T105" i="243"/>
  <c r="H111" i="243"/>
  <c r="S99" i="243"/>
  <c r="AG88" i="243"/>
  <c r="AJ88" i="243"/>
  <c r="U90" i="243"/>
  <c r="N90" i="243"/>
  <c r="AE89" i="243"/>
  <c r="AE113" i="243" s="1"/>
  <c r="AB89" i="243"/>
  <c r="Q92" i="243"/>
  <c r="O92" i="243"/>
  <c r="V89" i="243"/>
  <c r="AI93" i="243"/>
  <c r="AI90" i="243"/>
  <c r="AF90" i="243"/>
  <c r="K93" i="243"/>
  <c r="O93" i="243"/>
  <c r="AK105" i="243" s="1"/>
  <c r="AK117" i="243" s="1"/>
  <c r="AH87" i="243"/>
  <c r="Z87" i="243"/>
  <c r="Q87" i="243"/>
  <c r="AG92" i="243"/>
  <c r="W88" i="243"/>
  <c r="T88" i="243"/>
  <c r="R90" i="243"/>
  <c r="X90" i="243"/>
  <c r="AH89" i="243"/>
  <c r="L92" i="243"/>
  <c r="R92" i="243"/>
  <c r="I113" i="243"/>
  <c r="T101" i="243"/>
  <c r="T113" i="243" s="1"/>
  <c r="S101" i="243"/>
  <c r="H113" i="243"/>
  <c r="AK91" i="243"/>
  <c r="H115" i="243"/>
  <c r="S103" i="243"/>
  <c r="Q91" i="243"/>
  <c r="AE93" i="243"/>
  <c r="AE90" i="243"/>
  <c r="U93" i="243"/>
  <c r="Y93" i="243"/>
  <c r="AI87" i="243"/>
  <c r="S87" i="243"/>
  <c r="O87" i="243"/>
  <c r="K87" i="243"/>
  <c r="S88" i="243"/>
  <c r="AA88" i="243"/>
  <c r="AA112" i="243" s="1"/>
  <c r="AI100" i="243"/>
  <c r="X112" i="243"/>
  <c r="W90" i="243"/>
  <c r="K90" i="243"/>
  <c r="AD89" i="243"/>
  <c r="AK88" i="243"/>
  <c r="V92" i="243"/>
  <c r="O89" i="243"/>
  <c r="P89" i="243"/>
  <c r="P91" i="243"/>
  <c r="T103" i="243"/>
  <c r="I115" i="243"/>
  <c r="L91" i="243"/>
  <c r="AD93" i="243"/>
  <c r="J93" i="243"/>
  <c r="R93" i="243"/>
  <c r="AA87" i="243"/>
  <c r="AK92" i="243"/>
  <c r="AJ92" i="243"/>
  <c r="AD88" i="243"/>
  <c r="S104" i="243"/>
  <c r="H116" i="243"/>
  <c r="M91" i="243"/>
  <c r="AD90" i="243"/>
  <c r="H117" i="243"/>
  <c r="S105" i="243"/>
  <c r="AC87" i="243"/>
  <c r="I111" i="243"/>
  <c r="T99" i="243"/>
  <c r="AC100" i="243"/>
  <c r="AC112" i="243" s="1"/>
  <c r="R112" i="243"/>
  <c r="AG100" i="243"/>
  <c r="V112" i="243"/>
  <c r="T92" i="243"/>
  <c r="W92" i="243"/>
  <c r="M89" i="243"/>
  <c r="Y89" i="243"/>
  <c r="N91" i="243"/>
  <c r="AJ93" i="243"/>
  <c r="AB90" i="243"/>
  <c r="X93" i="243"/>
  <c r="AG87" i="243"/>
  <c r="AD87" i="243"/>
  <c r="X87" i="243"/>
  <c r="M87" i="243"/>
  <c r="AI92" i="243"/>
  <c r="AD92" i="243"/>
  <c r="AF88" i="243"/>
  <c r="AF100" i="243"/>
  <c r="U112" i="243"/>
  <c r="P90" i="243"/>
  <c r="H114" i="243"/>
  <c r="S102" i="243"/>
  <c r="N92" i="243"/>
  <c r="K92" i="243"/>
  <c r="Q89" i="243"/>
  <c r="K91" i="243"/>
  <c r="W105" i="243"/>
  <c r="AK87" i="243"/>
  <c r="AJ87" i="243"/>
  <c r="Y87" i="243"/>
  <c r="J87" i="243"/>
  <c r="AF92" i="243"/>
  <c r="Z88" i="243"/>
  <c r="AH88" i="243"/>
  <c r="T102" i="243"/>
  <c r="I114" i="243"/>
  <c r="M90" i="243"/>
  <c r="AG89" i="243"/>
  <c r="AA104" i="243"/>
  <c r="P116" i="243"/>
  <c r="X92" i="243"/>
  <c r="U89" i="243"/>
  <c r="V101" i="243"/>
  <c r="K113" i="243"/>
  <c r="S89" i="243"/>
  <c r="AD101" i="243" s="1"/>
  <c r="AC103" i="243"/>
  <c r="AC115" i="243" s="1"/>
  <c r="R115" i="243"/>
  <c r="AB93" i="243"/>
  <c r="AK90" i="243"/>
  <c r="AJ90" i="243"/>
  <c r="M93" i="243"/>
  <c r="U87" i="243"/>
  <c r="B30" i="34"/>
  <c r="L30" i="34"/>
  <c r="J30" i="34"/>
  <c r="M30" i="34"/>
  <c r="K30" i="34"/>
  <c r="C33" i="34"/>
  <c r="G27" i="34"/>
  <c r="G29" i="34"/>
  <c r="I31" i="34"/>
  <c r="E29" i="34"/>
  <c r="F29" i="34"/>
  <c r="E31" i="34"/>
  <c r="L34" i="34"/>
  <c r="B34" i="34"/>
  <c r="K34" i="34"/>
  <c r="M34" i="34"/>
  <c r="J34" i="34"/>
  <c r="G30" i="34"/>
  <c r="G28" i="34"/>
  <c r="D29" i="34"/>
  <c r="D26" i="34"/>
  <c r="I27" i="34"/>
  <c r="M28" i="34"/>
  <c r="K28" i="34"/>
  <c r="L28" i="34"/>
  <c r="J28" i="34"/>
  <c r="B28" i="34"/>
  <c r="G31" i="34"/>
  <c r="I29" i="34"/>
  <c r="C26" i="34"/>
  <c r="C27" i="34"/>
  <c r="E26" i="34"/>
  <c r="D27" i="34"/>
  <c r="H31" i="34"/>
  <c r="H27" i="34"/>
  <c r="J33" i="34"/>
  <c r="K33" i="34"/>
  <c r="L33" i="34"/>
  <c r="B33" i="34"/>
  <c r="M33" i="34"/>
  <c r="D30" i="34"/>
  <c r="C28" i="34"/>
  <c r="H26" i="34"/>
  <c r="I30" i="34"/>
  <c r="G26" i="34"/>
  <c r="I33" i="34"/>
  <c r="I26" i="34"/>
  <c r="B32" i="34"/>
  <c r="L32" i="34"/>
  <c r="M32" i="34"/>
  <c r="J32" i="34"/>
  <c r="K32" i="34"/>
  <c r="G33" i="34"/>
  <c r="H33" i="34"/>
  <c r="C34" i="34"/>
  <c r="E33" i="34"/>
  <c r="K29" i="34"/>
  <c r="B29" i="34"/>
  <c r="M29" i="34"/>
  <c r="J29" i="34"/>
  <c r="L29" i="34"/>
  <c r="J26" i="34"/>
  <c r="L26" i="34"/>
  <c r="M26" i="34"/>
  <c r="B26" i="34"/>
  <c r="K26" i="34"/>
  <c r="F26" i="34"/>
  <c r="L27" i="34"/>
  <c r="J27" i="34"/>
  <c r="M27" i="34"/>
  <c r="K27" i="34"/>
  <c r="B27" i="34"/>
  <c r="K31" i="34"/>
  <c r="J31" i="34"/>
  <c r="L31" i="34"/>
  <c r="B31" i="34"/>
  <c r="M31" i="34"/>
  <c r="E30" i="34"/>
  <c r="H29" i="34"/>
  <c r="F27" i="34"/>
  <c r="C29" i="34"/>
  <c r="H30" i="34"/>
  <c r="F31" i="34"/>
  <c r="E27" i="34"/>
  <c r="H34" i="34"/>
  <c r="Z91" i="243" l="1"/>
  <c r="Q114" i="243"/>
  <c r="AC101" i="243"/>
  <c r="R113" i="243"/>
  <c r="L113" i="243"/>
  <c r="AH101" i="243"/>
  <c r="W101" i="243"/>
  <c r="W113" i="243" s="1"/>
  <c r="Y99" i="243"/>
  <c r="N111" i="243"/>
  <c r="J116" i="243"/>
  <c r="AH91" i="243"/>
  <c r="AI91" i="243"/>
  <c r="R111" i="243"/>
  <c r="AC99" i="243"/>
  <c r="AJ89" i="243"/>
  <c r="AI89" i="243"/>
  <c r="AD113" i="243"/>
  <c r="AH103" i="243"/>
  <c r="AH115" i="243" s="1"/>
  <c r="S114" i="243"/>
  <c r="AG105" i="243"/>
  <c r="J115" i="243"/>
  <c r="U103" i="243"/>
  <c r="S116" i="243"/>
  <c r="S117" i="243"/>
  <c r="V91" i="243"/>
  <c r="X91" i="243"/>
  <c r="AI103" i="243" s="1"/>
  <c r="Y91" i="243"/>
  <c r="AJ103" i="243" s="1"/>
  <c r="AJ115" i="243" s="1"/>
  <c r="AD117" i="243"/>
  <c r="AD116" i="243"/>
  <c r="AG91" i="243"/>
  <c r="F28" i="39" a="1"/>
  <c r="F28" i="39" s="1"/>
  <c r="F32" i="39" a="1"/>
  <c r="F32" i="39" s="1"/>
  <c r="I32" i="39" a="1"/>
  <c r="I32" i="39" s="1"/>
  <c r="I25" i="39" a="1"/>
  <c r="I25" i="39" s="1"/>
  <c r="F25" i="39" a="1"/>
  <c r="F25" i="39" s="1"/>
  <c r="I30" i="39" a="1"/>
  <c r="I30" i="39" s="1"/>
  <c r="J30" i="39" a="1"/>
  <c r="J30" i="39" s="1"/>
  <c r="F31" i="39" a="1"/>
  <c r="F31" i="39" s="1"/>
  <c r="F27" i="39" a="1"/>
  <c r="F27" i="39" s="1"/>
  <c r="I33" i="39" a="1"/>
  <c r="I33" i="39" s="1"/>
  <c r="F29" i="39" a="1"/>
  <c r="F29" i="39" s="1"/>
  <c r="I26" i="39" a="1"/>
  <c r="I26" i="39" s="1"/>
  <c r="J31" i="39" a="1"/>
  <c r="J31" i="39" s="1"/>
  <c r="J32" i="39" a="1"/>
  <c r="J32" i="39" s="1"/>
  <c r="J25" i="39" a="1"/>
  <c r="J25" i="39" s="1"/>
  <c r="J34" i="39" a="1"/>
  <c r="J34" i="39" s="1"/>
  <c r="I34" i="39" a="1"/>
  <c r="I34" i="39" s="1"/>
  <c r="I31" i="39" a="1"/>
  <c r="I31" i="39" s="1"/>
  <c r="F33" i="39" a="1"/>
  <c r="F33" i="39" s="1"/>
  <c r="J28" i="39" a="1"/>
  <c r="J28" i="39" s="1"/>
  <c r="J33" i="39" a="1"/>
  <c r="J33" i="39" s="1"/>
  <c r="I28" i="39" a="1"/>
  <c r="I28" i="39" s="1"/>
  <c r="I29" i="39" a="1"/>
  <c r="I29" i="39" s="1"/>
  <c r="F26" i="39" a="1"/>
  <c r="F26" i="39" s="1"/>
  <c r="J27" i="39" a="1"/>
  <c r="J27" i="39" s="1"/>
  <c r="J26" i="39" a="1"/>
  <c r="J26" i="39" s="1"/>
  <c r="F34" i="39" a="1"/>
  <c r="F34" i="39" s="1"/>
  <c r="F30" i="39" a="1"/>
  <c r="F30" i="39" s="1"/>
  <c r="I27" i="39" a="1"/>
  <c r="I27" i="39" s="1"/>
  <c r="J29" i="39" a="1"/>
  <c r="J29" i="39" s="1"/>
  <c r="AJ114" i="243"/>
  <c r="AH113" i="243"/>
  <c r="AC111" i="243"/>
  <c r="T115" i="243"/>
  <c r="AF112" i="243"/>
  <c r="Z92" i="243"/>
  <c r="AK104" i="243" s="1"/>
  <c r="AK116" i="243" s="1"/>
  <c r="U92" i="243"/>
  <c r="AF104" i="243" s="1"/>
  <c r="AF116" i="243" s="1"/>
  <c r="T87" i="243"/>
  <c r="AE99" i="243" s="1"/>
  <c r="AE111" i="243" s="1"/>
  <c r="L87" i="243"/>
  <c r="N89" i="243"/>
  <c r="AJ101" i="243" s="1"/>
  <c r="AJ113" i="243" s="1"/>
  <c r="AA92" i="243"/>
  <c r="AA116" i="243" s="1"/>
  <c r="AC92" i="243"/>
  <c r="AB88" i="243"/>
  <c r="AB112" i="243" s="1"/>
  <c r="L90" i="243"/>
  <c r="T90" i="243"/>
  <c r="AE102" i="243" s="1"/>
  <c r="AE114" i="243" s="1"/>
  <c r="I92" i="243"/>
  <c r="AE104" i="243" s="1"/>
  <c r="S91" i="243"/>
  <c r="AD103" i="243" s="1"/>
  <c r="AD115" i="243" s="1"/>
  <c r="O91" i="243"/>
  <c r="AK103" i="243" s="1"/>
  <c r="AK115" i="243" s="1"/>
  <c r="AC93" i="243"/>
  <c r="AC90" i="243"/>
  <c r="Q93" i="243"/>
  <c r="AF87" i="243"/>
  <c r="AA91" i="243"/>
  <c r="W87" i="243"/>
  <c r="P87" i="243"/>
  <c r="AE92" i="243"/>
  <c r="AI88" i="243"/>
  <c r="AI112" i="243" s="1"/>
  <c r="Y88" i="243"/>
  <c r="J90" i="243"/>
  <c r="V90" i="243"/>
  <c r="AG102" i="243" s="1"/>
  <c r="AG114" i="243" s="1"/>
  <c r="O90" i="243"/>
  <c r="AC89" i="243"/>
  <c r="AC113" i="243" s="1"/>
  <c r="Z89" i="243"/>
  <c r="AK101" i="243" s="1"/>
  <c r="AK113" i="243" s="1"/>
  <c r="J89" i="243"/>
  <c r="AF101" i="243" s="1"/>
  <c r="AF113" i="243" s="1"/>
  <c r="N93" i="243"/>
  <c r="AJ105" i="243" s="1"/>
  <c r="AJ117" i="243" s="1"/>
  <c r="AE91" i="243"/>
  <c r="AE115" i="243" s="1"/>
  <c r="AH90" i="243"/>
  <c r="W93" i="243"/>
  <c r="AH105" i="243" s="1"/>
  <c r="AH117" i="243" s="1"/>
  <c r="AK89" i="243"/>
  <c r="M92" i="243"/>
  <c r="AI104" i="243" s="1"/>
  <c r="AI116" i="243" s="1"/>
  <c r="U91" i="243"/>
  <c r="AF103" i="243" s="1"/>
  <c r="AF115" i="243" s="1"/>
  <c r="AG93" i="243"/>
  <c r="AG117" i="243" s="1"/>
  <c r="P93" i="243"/>
  <c r="T93" i="243"/>
  <c r="AE105" i="243" s="1"/>
  <c r="AE117" i="243" s="1"/>
  <c r="M114" i="243"/>
  <c r="X102" i="243"/>
  <c r="X114" i="243" s="1"/>
  <c r="AJ99" i="243"/>
  <c r="AJ111" i="243" s="1"/>
  <c r="Y111" i="243"/>
  <c r="K116" i="243"/>
  <c r="V104" i="243"/>
  <c r="V116" i="243" s="1"/>
  <c r="AA102" i="243"/>
  <c r="AA114" i="243" s="1"/>
  <c r="P114" i="243"/>
  <c r="AB99" i="243"/>
  <c r="AB111" i="243" s="1"/>
  <c r="Q111" i="243"/>
  <c r="L116" i="243"/>
  <c r="W104" i="243"/>
  <c r="W116" i="243" s="1"/>
  <c r="N116" i="243"/>
  <c r="Y104" i="243"/>
  <c r="Y116" i="243" s="1"/>
  <c r="L115" i="243"/>
  <c r="W103" i="243"/>
  <c r="W115" i="243" s="1"/>
  <c r="AG104" i="243"/>
  <c r="AG116" i="243" s="1"/>
  <c r="AD100" i="243"/>
  <c r="AD112" i="243" s="1"/>
  <c r="S112" i="243"/>
  <c r="AF105" i="243"/>
  <c r="AF117" i="243" s="1"/>
  <c r="AK99" i="243"/>
  <c r="AK111" i="243" s="1"/>
  <c r="Z104" i="243"/>
  <c r="O116" i="243"/>
  <c r="J111" i="243"/>
  <c r="U99" i="243"/>
  <c r="U111" i="243" s="1"/>
  <c r="AF99" i="243"/>
  <c r="M113" i="243"/>
  <c r="X101" i="243"/>
  <c r="X113" i="243" s="1"/>
  <c r="AD114" i="243"/>
  <c r="AI102" i="243"/>
  <c r="AI114" i="243" s="1"/>
  <c r="AI115" i="243"/>
  <c r="AB104" i="243"/>
  <c r="AB116" i="243" s="1"/>
  <c r="Q116" i="243"/>
  <c r="V103" i="243"/>
  <c r="V115" i="243" s="1"/>
  <c r="K115" i="243"/>
  <c r="AI105" i="243"/>
  <c r="AI117" i="243" s="1"/>
  <c r="AH104" i="243"/>
  <c r="AH116" i="243" s="1"/>
  <c r="AG112" i="243"/>
  <c r="X103" i="243"/>
  <c r="X115" i="243" s="1"/>
  <c r="M115" i="243"/>
  <c r="K111" i="243"/>
  <c r="V99" i="243"/>
  <c r="V111" i="243" s="1"/>
  <c r="S113" i="243"/>
  <c r="AC102" i="243"/>
  <c r="R114" i="243"/>
  <c r="M117" i="243"/>
  <c r="X105" i="243"/>
  <c r="X117" i="243" s="1"/>
  <c r="AK100" i="243"/>
  <c r="AK112" i="243" s="1"/>
  <c r="Z112" i="243"/>
  <c r="AB114" i="243"/>
  <c r="AJ104" i="243"/>
  <c r="AJ116" i="243" s="1"/>
  <c r="AA103" i="243"/>
  <c r="P115" i="243"/>
  <c r="V102" i="243"/>
  <c r="K114" i="243"/>
  <c r="Z99" i="243"/>
  <c r="Z111" i="243" s="1"/>
  <c r="O111" i="243"/>
  <c r="AE100" i="243"/>
  <c r="AE112" i="243" s="1"/>
  <c r="T112" i="243"/>
  <c r="AG99" i="243"/>
  <c r="AG111" i="243" s="1"/>
  <c r="AI99" i="243"/>
  <c r="AI111" i="243" s="1"/>
  <c r="U105" i="243"/>
  <c r="U117" i="243" s="1"/>
  <c r="J117" i="243"/>
  <c r="AG103" i="243"/>
  <c r="AG115" i="243" s="1"/>
  <c r="AA101" i="243"/>
  <c r="AA113" i="243" s="1"/>
  <c r="P113" i="243"/>
  <c r="AD99" i="243"/>
  <c r="AD111" i="243" s="1"/>
  <c r="S111" i="243"/>
  <c r="AH100" i="243"/>
  <c r="AH112" i="243" s="1"/>
  <c r="W112" i="243"/>
  <c r="Z105" i="243"/>
  <c r="Z117" i="243" s="1"/>
  <c r="O117" i="243"/>
  <c r="Y102" i="243"/>
  <c r="Y114" i="243" s="1"/>
  <c r="N114" i="243"/>
  <c r="AB101" i="243"/>
  <c r="AB113" i="243" s="1"/>
  <c r="Q113" i="243"/>
  <c r="M111" i="243"/>
  <c r="X99" i="243"/>
  <c r="X111" i="243" s="1"/>
  <c r="Y103" i="243"/>
  <c r="Y115" i="243" s="1"/>
  <c r="N115" i="243"/>
  <c r="AI101" i="243"/>
  <c r="AI113" i="243" s="1"/>
  <c r="AC105" i="243"/>
  <c r="R117" i="243"/>
  <c r="Z101" i="243"/>
  <c r="O113" i="243"/>
  <c r="AB103" i="243"/>
  <c r="AB115" i="243" s="1"/>
  <c r="Q115" i="243"/>
  <c r="AC104" i="243"/>
  <c r="R116" i="243"/>
  <c r="K117" i="243"/>
  <c r="V105" i="243"/>
  <c r="V117" i="243" s="1"/>
  <c r="AG101" i="243"/>
  <c r="AG113" i="243" s="1"/>
  <c r="V113" i="243"/>
  <c r="B6" i="185" a="1"/>
  <c r="T114" i="243" l="1"/>
  <c r="AC116" i="243"/>
  <c r="U115" i="243"/>
  <c r="AE116" i="243"/>
  <c r="AC117" i="243"/>
  <c r="AA115" i="243"/>
  <c r="S115" i="243"/>
  <c r="U102" i="243"/>
  <c r="U114" i="243" s="1"/>
  <c r="J114" i="243"/>
  <c r="AB105" i="243"/>
  <c r="AB117" i="243" s="1"/>
  <c r="Q117" i="243"/>
  <c r="W102" i="243"/>
  <c r="W114" i="243" s="1"/>
  <c r="L114" i="243"/>
  <c r="Z116" i="243"/>
  <c r="P117" i="243"/>
  <c r="AA105" i="243"/>
  <c r="AA117" i="243" s="1"/>
  <c r="AF102" i="243"/>
  <c r="AF114" i="243" s="1"/>
  <c r="W117" i="243"/>
  <c r="V114" i="243"/>
  <c r="Y105" i="243"/>
  <c r="Y117" i="243" s="1"/>
  <c r="N117" i="243"/>
  <c r="T117" i="243"/>
  <c r="AH102" i="243"/>
  <c r="AH114" i="243" s="1"/>
  <c r="AJ100" i="243"/>
  <c r="AJ112" i="243" s="1"/>
  <c r="Y112" i="243"/>
  <c r="AC114" i="243"/>
  <c r="AA99" i="243"/>
  <c r="AA111" i="243" s="1"/>
  <c r="P111" i="243"/>
  <c r="W99" i="243"/>
  <c r="W111" i="243" s="1"/>
  <c r="L111" i="243"/>
  <c r="U101" i="243"/>
  <c r="U113" i="243" s="1"/>
  <c r="J113" i="243"/>
  <c r="Z103" i="243"/>
  <c r="Z115" i="243" s="1"/>
  <c r="O115" i="243"/>
  <c r="Y101" i="243"/>
  <c r="Y113" i="243" s="1"/>
  <c r="N113" i="243"/>
  <c r="Z113" i="243"/>
  <c r="AF111" i="243"/>
  <c r="X104" i="243"/>
  <c r="X116" i="243" s="1"/>
  <c r="M116" i="243"/>
  <c r="AH99" i="243"/>
  <c r="AH111" i="243" s="1"/>
  <c r="I116" i="243"/>
  <c r="T104" i="243"/>
  <c r="T116" i="243" s="1"/>
  <c r="AK102" i="243"/>
  <c r="AK114" i="243" s="1"/>
  <c r="Z102" i="243"/>
  <c r="Z114" i="243" s="1"/>
  <c r="O114" i="243"/>
  <c r="U116" i="243"/>
  <c r="T111" i="243"/>
  <c r="W44" i="40" l="1" a="1"/>
  <c r="W44" i="40" s="1"/>
  <c r="I32" i="42" a="1"/>
  <c r="I32" i="42" s="1"/>
  <c r="C33" i="39" a="1"/>
  <c r="C33" i="39" s="1"/>
  <c r="W45" i="41" a="1"/>
  <c r="W45" i="41" s="1"/>
  <c r="W41" i="41" a="1"/>
  <c r="W41" i="41" s="1"/>
  <c r="D30" i="39" a="1"/>
  <c r="D30" i="39" s="1"/>
  <c r="G49" i="40" a="1"/>
  <c r="G49" i="40" s="1"/>
  <c r="F43" i="41" a="1"/>
  <c r="F43" i="41" s="1"/>
  <c r="D45" i="40" a="1"/>
  <c r="D45" i="40" s="1"/>
  <c r="O45" i="41" a="1"/>
  <c r="O45" i="41" s="1"/>
  <c r="H30" i="42" a="1"/>
  <c r="H30" i="42" s="1"/>
  <c r="I40" i="41" a="1"/>
  <c r="I40" i="41" s="1"/>
  <c r="S42" i="41" a="1"/>
  <c r="S42" i="41" s="1"/>
  <c r="E27" i="39" a="1"/>
  <c r="E27" i="39" s="1"/>
  <c r="J33" i="40" a="1"/>
  <c r="J33" i="40" s="1"/>
  <c r="H25" i="42" a="1"/>
  <c r="H25" i="42" s="1"/>
  <c r="C29" i="39" a="1"/>
  <c r="C29" i="39" s="1"/>
  <c r="C29" i="46"/>
  <c r="C28" i="39" a="1"/>
  <c r="C28" i="39" s="1"/>
  <c r="D30" i="42" a="1"/>
  <c r="D30" i="42" s="1"/>
  <c r="J26" i="40" a="1"/>
  <c r="J26" i="40" s="1"/>
  <c r="P47" i="40" a="1"/>
  <c r="P47" i="40" s="1"/>
  <c r="C30" i="42" a="1"/>
  <c r="C30" i="42" s="1"/>
  <c r="G51" i="40" a="1"/>
  <c r="G51" i="40" s="1"/>
  <c r="O46" i="40" a="1"/>
  <c r="O46" i="40" s="1"/>
  <c r="J25" i="43"/>
  <c r="C28" i="42" a="1"/>
  <c r="C28" i="42" s="1"/>
  <c r="T46" i="40" a="1"/>
  <c r="T46" i="40" s="1"/>
  <c r="I26" i="46"/>
  <c r="B32" i="42" a="1"/>
  <c r="B32" i="42" s="1"/>
  <c r="R42" i="41" a="1"/>
  <c r="R42" i="41" s="1"/>
  <c r="F28" i="41" a="1"/>
  <c r="F28" i="41" s="1"/>
  <c r="Q40" i="41" a="1"/>
  <c r="Q40" i="41" s="1"/>
  <c r="T51" i="40" a="1"/>
  <c r="T51" i="40" s="1"/>
  <c r="B33" i="39" a="1"/>
  <c r="B33" i="39" s="1"/>
  <c r="R41" i="41" a="1"/>
  <c r="R41" i="41" s="1"/>
  <c r="H28" i="39" a="1"/>
  <c r="H28" i="39" s="1"/>
  <c r="C32" i="39" a="1"/>
  <c r="C32" i="39" s="1"/>
  <c r="W48" i="41" a="1"/>
  <c r="W48" i="41" s="1"/>
  <c r="B33" i="40" a="1"/>
  <c r="B33" i="40" s="1"/>
  <c r="J39" i="40" a="1"/>
  <c r="J39" i="40" s="1"/>
  <c r="F51" i="40" a="1"/>
  <c r="F51" i="40" s="1"/>
  <c r="E33" i="41" a="1"/>
  <c r="E33" i="41" s="1"/>
  <c r="H30" i="41" a="1"/>
  <c r="H30" i="41" s="1"/>
  <c r="Q44" i="40" a="1"/>
  <c r="Q44" i="40" s="1"/>
  <c r="E26" i="42" a="1"/>
  <c r="E26" i="42" s="1"/>
  <c r="U46" i="41" a="1"/>
  <c r="U46" i="41" s="1"/>
  <c r="H45" i="40" a="1"/>
  <c r="H45" i="40" s="1"/>
  <c r="C39" i="41" a="1"/>
  <c r="C39" i="41" s="1"/>
  <c r="B45" i="41" a="1"/>
  <c r="B45" i="41" s="1"/>
  <c r="O44" i="41" a="1"/>
  <c r="O44" i="41" s="1"/>
  <c r="B30" i="39" a="1"/>
  <c r="B30" i="39" s="1"/>
  <c r="D29" i="44"/>
  <c r="B48" i="40" a="1"/>
  <c r="B48" i="40" s="1"/>
  <c r="H33" i="39" a="1"/>
  <c r="H33" i="39" s="1"/>
  <c r="O41" i="40" a="1"/>
  <c r="O41" i="40" s="1"/>
  <c r="D45" i="41" a="1"/>
  <c r="D45" i="41" s="1"/>
  <c r="G33" i="42" a="1"/>
  <c r="G33" i="42" s="1"/>
  <c r="P39" i="41" a="1"/>
  <c r="P39" i="41" s="1"/>
  <c r="G26" i="41" a="1"/>
  <c r="G26" i="41" s="1"/>
  <c r="F26" i="42" a="1"/>
  <c r="F26" i="42" s="1"/>
  <c r="C51" i="40" a="1"/>
  <c r="C51" i="40" s="1"/>
  <c r="C32" i="40" a="1"/>
  <c r="C32" i="40" s="1"/>
  <c r="B44" i="40" a="1"/>
  <c r="B44" i="40" s="1"/>
  <c r="D25" i="42" a="1"/>
  <c r="D25" i="42" s="1"/>
  <c r="O43" i="40" a="1"/>
  <c r="O43" i="40" s="1"/>
  <c r="D33" i="42" a="1"/>
  <c r="D33" i="42" s="1"/>
  <c r="F46" i="41" a="1"/>
  <c r="F46" i="41" s="1"/>
  <c r="D26" i="39" a="1"/>
  <c r="D26" i="39" s="1"/>
  <c r="D25" i="40" a="1"/>
  <c r="D25" i="40" s="1"/>
  <c r="E30" i="39" a="1"/>
  <c r="E30" i="39" s="1"/>
  <c r="C31" i="39" a="1"/>
  <c r="C31" i="39" s="1"/>
  <c r="I28" i="42" a="1"/>
  <c r="I28" i="42" s="1"/>
  <c r="T41" i="40" a="1"/>
  <c r="T41" i="40" s="1"/>
  <c r="E28" i="42" a="1"/>
  <c r="E28" i="42" s="1"/>
  <c r="G47" i="41" a="1"/>
  <c r="G47" i="41" s="1"/>
  <c r="U48" i="41" a="1"/>
  <c r="U48" i="41" s="1"/>
  <c r="G25" i="39" a="1"/>
  <c r="G25" i="39" s="1"/>
  <c r="H44" i="41" a="1"/>
  <c r="H44" i="41" s="1"/>
  <c r="E31" i="44"/>
  <c r="I42" i="41" a="1"/>
  <c r="I42" i="41" s="1"/>
  <c r="C44" i="40" a="1"/>
  <c r="C44" i="40" s="1"/>
  <c r="D31" i="39" a="1"/>
  <c r="D31" i="39" s="1"/>
  <c r="E48" i="41" a="1"/>
  <c r="E48" i="41" s="1"/>
  <c r="J26" i="41" a="1"/>
  <c r="J26" i="41" s="1"/>
  <c r="P45" i="41" a="1"/>
  <c r="P45" i="41" s="1"/>
  <c r="I48" i="41" a="1"/>
  <c r="I48" i="41" s="1"/>
  <c r="Q47" i="41" a="1"/>
  <c r="Q47" i="41" s="1"/>
  <c r="H26" i="39" a="1"/>
  <c r="H26" i="39" s="1"/>
  <c r="R46" i="40" a="1"/>
  <c r="R46" i="40" s="1"/>
  <c r="E27" i="46"/>
  <c r="F34" i="45"/>
  <c r="W43" i="40" a="1"/>
  <c r="W43" i="40" s="1"/>
  <c r="I31" i="40" a="1"/>
  <c r="I31" i="40" s="1"/>
  <c r="I27" i="42" a="1"/>
  <c r="I27" i="42" s="1"/>
  <c r="E43" i="41" a="1"/>
  <c r="E43" i="41" s="1"/>
  <c r="E33" i="39" a="1"/>
  <c r="E33" i="39" s="1"/>
  <c r="G25" i="42" a="1"/>
  <c r="G25" i="42" s="1"/>
  <c r="H27" i="42" a="1"/>
  <c r="H27" i="42" s="1"/>
  <c r="R46" i="41" a="1"/>
  <c r="R46" i="41" s="1"/>
  <c r="B47" i="40" a="1"/>
  <c r="B47" i="40" s="1"/>
  <c r="B28" i="39" a="1"/>
  <c r="B28" i="39" s="1"/>
  <c r="C25" i="40" a="1"/>
  <c r="C25" i="40" s="1"/>
  <c r="D32" i="41" a="1"/>
  <c r="D32" i="41" s="1"/>
  <c r="C26" i="42" a="1"/>
  <c r="C26" i="42" s="1"/>
  <c r="V41" i="41" a="1"/>
  <c r="V41" i="41" s="1"/>
  <c r="C25" i="41" a="1"/>
  <c r="C25" i="41" s="1"/>
  <c r="J34" i="42" a="1"/>
  <c r="J34" i="42" s="1"/>
  <c r="G32" i="43"/>
  <c r="G34" i="39" a="1"/>
  <c r="G34" i="39" s="1"/>
  <c r="C33" i="42" a="1"/>
  <c r="C33" i="42" s="1"/>
  <c r="H31" i="39" a="1"/>
  <c r="H31" i="39" s="1"/>
  <c r="U50" i="41" a="1"/>
  <c r="U50" i="41" s="1"/>
  <c r="C43" i="40" a="1"/>
  <c r="C43" i="40" s="1"/>
  <c r="D30" i="41" a="1"/>
  <c r="D30" i="41" s="1"/>
  <c r="E45" i="40" a="1"/>
  <c r="E45" i="40" s="1"/>
  <c r="P44" i="41" a="1"/>
  <c r="P44" i="41" s="1"/>
  <c r="U44" i="41" a="1"/>
  <c r="U44" i="41" s="1"/>
  <c r="H42" i="41" a="1"/>
  <c r="H42" i="41" s="1"/>
  <c r="E26" i="39" a="1"/>
  <c r="E26" i="39" s="1"/>
  <c r="J25" i="41" a="1"/>
  <c r="J25" i="41" s="1"/>
  <c r="G31" i="39" a="1"/>
  <c r="G31" i="39" s="1"/>
  <c r="I39" i="41" a="1"/>
  <c r="I39" i="41" s="1"/>
  <c r="I34" i="42" a="1"/>
  <c r="I34" i="42" s="1"/>
  <c r="H31" i="42" a="1"/>
  <c r="H31" i="42" s="1"/>
  <c r="B30" i="42" a="1"/>
  <c r="B30" i="42" s="1"/>
  <c r="B26" i="40" a="1"/>
  <c r="B26" i="40" s="1"/>
  <c r="G32" i="42" a="1"/>
  <c r="G32" i="42" s="1"/>
  <c r="H41" i="40" a="1"/>
  <c r="H41" i="40" s="1"/>
  <c r="B28" i="42" a="1"/>
  <c r="B28" i="42" s="1"/>
  <c r="V50" i="41" a="1"/>
  <c r="V50" i="41" s="1"/>
  <c r="I33" i="42" a="1"/>
  <c r="I33" i="42" s="1"/>
  <c r="H26" i="44"/>
  <c r="C47" i="41" a="1"/>
  <c r="C47" i="41" s="1"/>
  <c r="H45" i="41" a="1"/>
  <c r="H45" i="41" s="1"/>
  <c r="E45" i="41" a="1"/>
  <c r="E45" i="41" s="1"/>
  <c r="R39" i="41" a="1"/>
  <c r="R39" i="41" s="1"/>
  <c r="H50" i="41" a="1"/>
  <c r="H50" i="41" s="1"/>
  <c r="E33" i="40" a="1"/>
  <c r="E33" i="40" s="1"/>
  <c r="I34" i="41" a="1"/>
  <c r="I34" i="41" s="1"/>
  <c r="G43" i="41" a="1"/>
  <c r="G43" i="41" s="1"/>
  <c r="I44" i="41" a="1"/>
  <c r="I44" i="41" s="1"/>
  <c r="J25" i="40" a="1"/>
  <c r="J25" i="40" s="1"/>
  <c r="J46" i="41" a="1"/>
  <c r="J46" i="41" s="1"/>
  <c r="H26" i="42" a="1"/>
  <c r="H26" i="42" s="1"/>
  <c r="G47" i="40" a="1"/>
  <c r="G47" i="40" s="1"/>
  <c r="J44" i="41" a="1"/>
  <c r="J44" i="41" s="1"/>
  <c r="H34" i="39" a="1"/>
  <c r="H34" i="39" s="1"/>
  <c r="D29" i="42" a="1"/>
  <c r="D29" i="42" s="1"/>
  <c r="G42" i="41" a="1"/>
  <c r="G42" i="41" s="1"/>
  <c r="E30" i="41" a="1"/>
  <c r="E30" i="41" s="1"/>
  <c r="H29" i="39" a="1"/>
  <c r="H29" i="39" s="1"/>
  <c r="F26" i="40" a="1"/>
  <c r="F26" i="40" s="1"/>
  <c r="B33" i="41" a="1"/>
  <c r="B33" i="41" s="1"/>
  <c r="D28" i="40" a="1"/>
  <c r="D28" i="40" s="1"/>
  <c r="H47" i="41" a="1"/>
  <c r="H47" i="41" s="1"/>
  <c r="J40" i="41" a="1"/>
  <c r="J40" i="41" s="1"/>
  <c r="K43" i="41" a="1"/>
  <c r="K43" i="41" s="1"/>
  <c r="U39" i="41" a="1"/>
  <c r="U39" i="41" s="1"/>
  <c r="F39" i="41" a="1"/>
  <c r="F39" i="41" s="1"/>
  <c r="H33" i="42" a="1"/>
  <c r="H33" i="42" s="1"/>
  <c r="J47" i="41" a="1"/>
  <c r="J47" i="41" s="1"/>
  <c r="H29" i="45"/>
  <c r="O44" i="40" a="1"/>
  <c r="O44" i="40" s="1"/>
  <c r="G31" i="42" a="1"/>
  <c r="G31" i="42" s="1"/>
  <c r="R43" i="41" a="1"/>
  <c r="R43" i="41" s="1"/>
  <c r="V42" i="41" a="1"/>
  <c r="V42" i="41" s="1"/>
  <c r="D27" i="39" a="1"/>
  <c r="D27" i="39" s="1"/>
  <c r="S48" i="40" a="1"/>
  <c r="S48" i="40" s="1"/>
  <c r="G26" i="42" a="1"/>
  <c r="G26" i="42" s="1"/>
  <c r="B33" i="42" a="1"/>
  <c r="B33" i="42" s="1"/>
  <c r="B28" i="41" a="1"/>
  <c r="B28" i="41" s="1"/>
  <c r="C34" i="41" a="1"/>
  <c r="C34" i="41" s="1"/>
  <c r="E33" i="42" a="1"/>
  <c r="E33" i="42" s="1"/>
  <c r="B27" i="42" a="1"/>
  <c r="B27" i="42" s="1"/>
  <c r="B29" i="42" a="1"/>
  <c r="B29" i="42" s="1"/>
  <c r="C48" i="41" a="1"/>
  <c r="C48" i="41" s="1"/>
  <c r="D34" i="39" a="1"/>
  <c r="D34" i="39" s="1"/>
  <c r="E25" i="42" a="1"/>
  <c r="E25" i="42" s="1"/>
  <c r="J27" i="43"/>
  <c r="B32" i="39" a="1"/>
  <c r="B32" i="39" s="1"/>
  <c r="I41" i="40" a="1"/>
  <c r="I41" i="40" s="1"/>
  <c r="H27" i="39" a="1"/>
  <c r="H27" i="39" s="1"/>
  <c r="J30" i="42" a="1"/>
  <c r="J30" i="42" s="1"/>
  <c r="K40" i="41" a="1"/>
  <c r="K40" i="41" s="1"/>
  <c r="F48" i="41" a="1"/>
  <c r="F48" i="41" s="1"/>
  <c r="Q46" i="41" a="1"/>
  <c r="Q46" i="41" s="1"/>
  <c r="B46" i="40" a="1"/>
  <c r="B46" i="40" s="1"/>
  <c r="C29" i="42" a="1"/>
  <c r="C29" i="42" s="1"/>
  <c r="F34" i="42" a="1"/>
  <c r="F34" i="42" s="1"/>
  <c r="D26" i="42" a="1"/>
  <c r="D26" i="42" s="1"/>
  <c r="B47" i="41" a="1"/>
  <c r="B47" i="41" s="1"/>
  <c r="D34" i="44"/>
  <c r="C33" i="41" a="1"/>
  <c r="C33" i="41" s="1"/>
  <c r="D46" i="41" a="1"/>
  <c r="D46" i="41" s="1"/>
  <c r="B34" i="42" a="1"/>
  <c r="B34" i="42" s="1"/>
  <c r="C27" i="39" a="1"/>
  <c r="C27" i="39" s="1"/>
  <c r="C34" i="42" a="1"/>
  <c r="C34" i="42" s="1"/>
  <c r="I28" i="41" a="1"/>
  <c r="I28" i="41" s="1"/>
  <c r="C31" i="40" a="1"/>
  <c r="C31" i="40" s="1"/>
  <c r="D41" i="40" a="1"/>
  <c r="D41" i="40" s="1"/>
  <c r="P41" i="41" a="1"/>
  <c r="P41" i="41" s="1"/>
  <c r="C30" i="40" a="1"/>
  <c r="C30" i="40" s="1"/>
  <c r="G32" i="39" a="1"/>
  <c r="G32" i="39" s="1"/>
  <c r="B43" i="40" a="1"/>
  <c r="B43" i="40" s="1"/>
  <c r="E25" i="46"/>
  <c r="O42" i="41" a="1"/>
  <c r="O42" i="41" s="1"/>
  <c r="B39" i="40" a="1"/>
  <c r="B39" i="40" s="1"/>
  <c r="R47" i="41" a="1"/>
  <c r="R47" i="41" s="1"/>
  <c r="G30" i="39" a="1"/>
  <c r="G30" i="39" s="1"/>
  <c r="O51" i="40" a="1"/>
  <c r="O51" i="40" s="1"/>
  <c r="F28" i="44"/>
  <c r="P49" i="40" a="1"/>
  <c r="P49" i="40" s="1"/>
  <c r="C25" i="39" a="1"/>
  <c r="C25" i="39" s="1"/>
  <c r="U42" i="40" a="1"/>
  <c r="U42" i="40" s="1"/>
  <c r="D31" i="40" a="1"/>
  <c r="D31" i="40" s="1"/>
  <c r="J40" i="40" a="1"/>
  <c r="J40" i="40" s="1"/>
  <c r="J32" i="42" a="1"/>
  <c r="J32" i="42" s="1"/>
  <c r="F25" i="42" a="1"/>
  <c r="F25" i="42" s="1"/>
  <c r="E31" i="39" a="1"/>
  <c r="E31" i="39" s="1"/>
  <c r="J34" i="40" a="1"/>
  <c r="J34" i="40" s="1"/>
  <c r="G34" i="40" a="1"/>
  <c r="G34" i="40" s="1"/>
  <c r="W42" i="40" a="1"/>
  <c r="W42" i="40" s="1"/>
  <c r="E40" i="40" a="1"/>
  <c r="E40" i="40" s="1"/>
  <c r="S50" i="41" a="1"/>
  <c r="S50" i="41" s="1"/>
  <c r="G30" i="42" a="1"/>
  <c r="G30" i="42" s="1"/>
  <c r="J42" i="41" a="1"/>
  <c r="J42" i="41" s="1"/>
  <c r="I45" i="41" a="1"/>
  <c r="I45" i="41" s="1"/>
  <c r="G27" i="42" a="1"/>
  <c r="G27" i="42" s="1"/>
  <c r="S44" i="41" a="1"/>
  <c r="S44" i="41" s="1"/>
  <c r="V42" i="40" a="1"/>
  <c r="V42" i="40" s="1"/>
  <c r="F29" i="44"/>
  <c r="K51" i="40" a="1"/>
  <c r="K51" i="40" s="1"/>
  <c r="D29" i="43"/>
  <c r="H34" i="42" a="1"/>
  <c r="H34" i="42" s="1"/>
  <c r="E47" i="40" a="1"/>
  <c r="E47" i="40" s="1"/>
  <c r="F29" i="42" a="1"/>
  <c r="F29" i="42" s="1"/>
  <c r="G34" i="41" a="1"/>
  <c r="G34" i="41" s="1"/>
  <c r="W46" i="40" a="1"/>
  <c r="W46" i="40" s="1"/>
  <c r="P46" i="40" a="1"/>
  <c r="P46" i="40" s="1"/>
  <c r="H47" i="40" a="1"/>
  <c r="H47" i="40" s="1"/>
  <c r="S40" i="41" a="1"/>
  <c r="S40" i="41" s="1"/>
  <c r="Q43" i="41" a="1"/>
  <c r="Q43" i="41" s="1"/>
  <c r="I45" i="40" a="1"/>
  <c r="I45" i="40" s="1"/>
  <c r="D32" i="43"/>
  <c r="I25" i="42" a="1"/>
  <c r="I25" i="42" s="1"/>
  <c r="E34" i="42" a="1"/>
  <c r="E34" i="42" s="1"/>
  <c r="B31" i="45"/>
  <c r="F28" i="42" a="1"/>
  <c r="F28" i="42" s="1"/>
  <c r="T44" i="41" a="1"/>
  <c r="T44" i="41" s="1"/>
  <c r="C46" i="41" a="1"/>
  <c r="C46" i="41" s="1"/>
  <c r="H51" i="40" a="1"/>
  <c r="H51" i="40" s="1"/>
  <c r="S46" i="40" a="1"/>
  <c r="S46" i="40" s="1"/>
  <c r="C41" i="41" a="1"/>
  <c r="C41" i="41" s="1"/>
  <c r="F40" i="41" a="1"/>
  <c r="F40" i="41" s="1"/>
  <c r="K44" i="40" a="1"/>
  <c r="K44" i="40" s="1"/>
  <c r="F30" i="44"/>
  <c r="H39" i="41" a="1"/>
  <c r="H39" i="41" s="1"/>
  <c r="Q40" i="40" a="1"/>
  <c r="Q40" i="40" s="1"/>
  <c r="D43" i="41" a="1"/>
  <c r="D43" i="41" s="1"/>
  <c r="U41" i="41" a="1"/>
  <c r="U41" i="41" s="1"/>
  <c r="H28" i="40" a="1"/>
  <c r="H28" i="40" s="1"/>
  <c r="V39" i="40" a="1"/>
  <c r="V39" i="40" s="1"/>
  <c r="F33" i="42" a="1"/>
  <c r="F33" i="42" s="1"/>
  <c r="B46" i="41" a="1"/>
  <c r="B46" i="41" s="1"/>
  <c r="I26" i="41" a="1"/>
  <c r="I26" i="41" s="1"/>
  <c r="O40" i="41" a="1"/>
  <c r="O40" i="41" s="1"/>
  <c r="G41" i="41" a="1"/>
  <c r="G41" i="41" s="1"/>
  <c r="C31" i="41" a="1"/>
  <c r="C31" i="41" s="1"/>
  <c r="H32" i="39" a="1"/>
  <c r="H32" i="39" s="1"/>
  <c r="D28" i="42" a="1"/>
  <c r="D28" i="42" s="1"/>
  <c r="P40" i="41" a="1"/>
  <c r="P40" i="41" s="1"/>
  <c r="J32" i="41" a="1"/>
  <c r="J32" i="41" s="1"/>
  <c r="G28" i="39" a="1"/>
  <c r="G28" i="39" s="1"/>
  <c r="T43" i="40" a="1"/>
  <c r="T43" i="40" s="1"/>
  <c r="J25" i="42" a="1"/>
  <c r="J25" i="42" s="1"/>
  <c r="B34" i="39" a="1"/>
  <c r="B34" i="39" s="1"/>
  <c r="J45" i="40" a="1"/>
  <c r="J45" i="40" s="1"/>
  <c r="Q42" i="40" a="1"/>
  <c r="Q42" i="40" s="1"/>
  <c r="D29" i="39" a="1"/>
  <c r="D29" i="39" s="1"/>
  <c r="B31" i="41" a="1"/>
  <c r="B31" i="41" s="1"/>
  <c r="K40" i="40" a="1"/>
  <c r="K40" i="40" s="1"/>
  <c r="P50" i="41" a="1"/>
  <c r="P50" i="41" s="1"/>
  <c r="H34" i="44"/>
  <c r="E39" i="41" a="1"/>
  <c r="E39" i="41" s="1"/>
  <c r="G28" i="42" a="1"/>
  <c r="G28" i="42" s="1"/>
  <c r="Q47" i="40" a="1"/>
  <c r="Q47" i="40" s="1"/>
  <c r="G33" i="40" a="1"/>
  <c r="G33" i="40" s="1"/>
  <c r="B31" i="40" a="1"/>
  <c r="B31" i="40" s="1"/>
  <c r="Q45" i="40" a="1"/>
  <c r="Q45" i="40" s="1"/>
  <c r="R48" i="41" a="1"/>
  <c r="R48" i="41" s="1"/>
  <c r="S48" i="41" a="1"/>
  <c r="S48" i="41" s="1"/>
  <c r="E44" i="40" a="1"/>
  <c r="E44" i="40" s="1"/>
  <c r="I32" i="41" a="1"/>
  <c r="I32" i="41" s="1"/>
  <c r="E41" i="41" a="1"/>
  <c r="E41" i="41" s="1"/>
  <c r="J30" i="40" a="1"/>
  <c r="J30" i="40" s="1"/>
  <c r="B27" i="39" a="1"/>
  <c r="B27" i="39" s="1"/>
  <c r="F33" i="40" a="1"/>
  <c r="F33" i="40" s="1"/>
  <c r="F27" i="42" a="1"/>
  <c r="F27" i="42" s="1"/>
  <c r="B26" i="41" a="1"/>
  <c r="B26" i="41" s="1"/>
  <c r="E40" i="41" a="1"/>
  <c r="E40" i="41" s="1"/>
  <c r="J31" i="42" a="1"/>
  <c r="J31" i="42" s="1"/>
  <c r="S49" i="40" a="1"/>
  <c r="S49" i="40" s="1"/>
  <c r="R45" i="41" a="1"/>
  <c r="R45" i="41" s="1"/>
  <c r="H39" i="40" a="1"/>
  <c r="H39" i="40" s="1"/>
  <c r="G43" i="40" a="1"/>
  <c r="G43" i="40" s="1"/>
  <c r="E32" i="41" a="1"/>
  <c r="E32" i="41" s="1"/>
  <c r="C32" i="41" a="1"/>
  <c r="C32" i="41" s="1"/>
  <c r="B25" i="42" a="1"/>
  <c r="B25" i="42" s="1"/>
  <c r="D27" i="43"/>
  <c r="P42" i="41" a="1"/>
  <c r="P42" i="41" s="1"/>
  <c r="B31" i="39" a="1"/>
  <c r="B31" i="39" s="1"/>
  <c r="B28" i="43"/>
  <c r="E32" i="40" a="1"/>
  <c r="E32" i="40" s="1"/>
  <c r="O50" i="41" a="1"/>
  <c r="O50" i="41" s="1"/>
  <c r="W44" i="41" a="1"/>
  <c r="W44" i="41" s="1"/>
  <c r="J48" i="40" a="1"/>
  <c r="J48" i="40" s="1"/>
  <c r="P45" i="40" a="1"/>
  <c r="P45" i="40" s="1"/>
  <c r="H25" i="39" a="1"/>
  <c r="H25" i="39" s="1"/>
  <c r="O48" i="41" a="1"/>
  <c r="O48" i="41" s="1"/>
  <c r="C27" i="45"/>
  <c r="D51" i="40" a="1"/>
  <c r="D51" i="40" s="1"/>
  <c r="D28" i="39" a="1"/>
  <c r="D28" i="39" s="1"/>
  <c r="O40" i="40" a="1"/>
  <c r="O40" i="40" s="1"/>
  <c r="I33" i="41" a="1"/>
  <c r="I33" i="41" s="1"/>
  <c r="F41" i="40" a="1"/>
  <c r="F41" i="40" s="1"/>
  <c r="C30" i="39" a="1"/>
  <c r="C30" i="39" s="1"/>
  <c r="J32" i="40" a="1"/>
  <c r="J32" i="40" s="1"/>
  <c r="D46" i="40" a="1"/>
  <c r="D46" i="40" s="1"/>
  <c r="J26" i="44"/>
  <c r="H34" i="43"/>
  <c r="E32" i="39" a="1"/>
  <c r="E32" i="39" s="1"/>
  <c r="H48" i="40" a="1"/>
  <c r="H48" i="40" s="1"/>
  <c r="W50" i="41" a="1"/>
  <c r="W50" i="41" s="1"/>
  <c r="H42" i="40" a="1"/>
  <c r="H42" i="40" s="1"/>
  <c r="G31" i="43"/>
  <c r="G26" i="39" a="1"/>
  <c r="G26" i="39" s="1"/>
  <c r="D31" i="46"/>
  <c r="G29" i="39" a="1"/>
  <c r="G29" i="39" s="1"/>
  <c r="E33" i="46"/>
  <c r="H46" i="41" a="1"/>
  <c r="H46" i="41" s="1"/>
  <c r="G50" i="41" a="1"/>
  <c r="G50" i="41" s="1"/>
  <c r="J26" i="42" a="1"/>
  <c r="J26" i="42" s="1"/>
  <c r="G29" i="42" a="1"/>
  <c r="G29" i="42" s="1"/>
  <c r="H32" i="40" a="1"/>
  <c r="H32" i="40" s="1"/>
  <c r="C45" i="41" a="1"/>
  <c r="C45" i="41" s="1"/>
  <c r="B30" i="40" a="1"/>
  <c r="B30" i="40" s="1"/>
  <c r="I25" i="40" a="1"/>
  <c r="I25" i="40" s="1"/>
  <c r="H31" i="46"/>
  <c r="F32" i="40" a="1"/>
  <c r="F32" i="40" s="1"/>
  <c r="F31" i="42" a="1"/>
  <c r="F31" i="42" s="1"/>
  <c r="C27" i="42" a="1"/>
  <c r="C27" i="42" s="1"/>
  <c r="F46" i="40" a="1"/>
  <c r="F46" i="40" s="1"/>
  <c r="C48" i="40" a="1"/>
  <c r="C48" i="40" s="1"/>
  <c r="G42" i="40" a="1"/>
  <c r="G42" i="40" s="1"/>
  <c r="S43" i="40" a="1"/>
  <c r="S43" i="40" s="1"/>
  <c r="D49" i="40" a="1"/>
  <c r="D49" i="40" s="1"/>
  <c r="F50" i="41" a="1"/>
  <c r="F50" i="41" s="1"/>
  <c r="V46" i="40" a="1"/>
  <c r="V46" i="40" s="1"/>
  <c r="D34" i="42" a="1"/>
  <c r="D34" i="42" s="1"/>
  <c r="C34" i="39" a="1"/>
  <c r="C34" i="39" s="1"/>
  <c r="I27" i="46"/>
  <c r="B34" i="46"/>
  <c r="F31" i="43"/>
  <c r="D41" i="41" a="1"/>
  <c r="D41" i="41" s="1"/>
  <c r="J27" i="42" a="1"/>
  <c r="J27" i="42" s="1"/>
  <c r="O39" i="41" a="1"/>
  <c r="O39" i="41" s="1"/>
  <c r="I43" i="41" a="1"/>
  <c r="I43" i="41" s="1"/>
  <c r="B26" i="42" a="1"/>
  <c r="B26" i="42" s="1"/>
  <c r="E29" i="42" a="1"/>
  <c r="E29" i="42" s="1"/>
  <c r="F28" i="38" a="1"/>
  <c r="F28" i="38" s="1"/>
  <c r="F40" i="40" a="1"/>
  <c r="F40" i="40" s="1"/>
  <c r="W39" i="41" a="1"/>
  <c r="W39" i="41" s="1"/>
  <c r="T46" i="41" a="1"/>
  <c r="T46" i="41" s="1"/>
  <c r="I30" i="40" a="1"/>
  <c r="I30" i="40" s="1"/>
  <c r="C31" i="44"/>
  <c r="I29" i="46"/>
  <c r="C40" i="41" a="1"/>
  <c r="C40" i="41" s="1"/>
  <c r="E29" i="44"/>
  <c r="I25" i="41" a="1"/>
  <c r="I25" i="41" s="1"/>
  <c r="B48" i="41" a="1"/>
  <c r="B48" i="41" s="1"/>
  <c r="G48" i="41" a="1"/>
  <c r="G48" i="41" s="1"/>
  <c r="R45" i="40" a="1"/>
  <c r="R45" i="40" s="1"/>
  <c r="C26" i="39" a="1"/>
  <c r="C26" i="39" s="1"/>
  <c r="E50" i="41" a="1"/>
  <c r="E50" i="41" s="1"/>
  <c r="F34" i="40" a="1"/>
  <c r="F34" i="40" s="1"/>
  <c r="G32" i="41" a="1"/>
  <c r="G32" i="41" s="1"/>
  <c r="Q39" i="40" a="1"/>
  <c r="Q39" i="40" s="1"/>
  <c r="D33" i="39" a="1"/>
  <c r="D33" i="39" s="1"/>
  <c r="C45" i="40" a="1"/>
  <c r="C45" i="40" s="1"/>
  <c r="T41" i="41" a="1"/>
  <c r="T41" i="41" s="1"/>
  <c r="H41" i="41" a="1"/>
  <c r="H41" i="41" s="1"/>
  <c r="V47" i="41" a="1"/>
  <c r="V47" i="41" s="1"/>
  <c r="E32" i="42" a="1"/>
  <c r="E32" i="42" s="1"/>
  <c r="O41" i="41" a="1"/>
  <c r="O41" i="41" s="1"/>
  <c r="I50" i="41" a="1"/>
  <c r="I50" i="41" s="1"/>
  <c r="B51" i="40" a="1"/>
  <c r="B51" i="40" s="1"/>
  <c r="J33" i="41" a="1"/>
  <c r="J33" i="41" s="1"/>
  <c r="G31" i="45"/>
  <c r="S43" i="41" a="1"/>
  <c r="S43" i="41" s="1"/>
  <c r="F30" i="38" a="1"/>
  <c r="F30" i="38" s="1"/>
  <c r="V45" i="41" a="1"/>
  <c r="V45" i="41" s="1"/>
  <c r="P46" i="41" a="1"/>
  <c r="P46" i="41" s="1"/>
  <c r="T42" i="41" a="1"/>
  <c r="T42" i="41" s="1"/>
  <c r="T42" i="40" a="1"/>
  <c r="T42" i="40" s="1"/>
  <c r="I29" i="42" a="1"/>
  <c r="I29" i="42" s="1"/>
  <c r="K50" i="41" a="1"/>
  <c r="K50" i="41" s="1"/>
  <c r="G27" i="43"/>
  <c r="B39" i="41" a="1"/>
  <c r="B39" i="41" s="1"/>
  <c r="O45" i="40" a="1"/>
  <c r="O45" i="40" s="1"/>
  <c r="O42" i="40" a="1"/>
  <c r="O42" i="40" s="1"/>
  <c r="E25" i="39" a="1"/>
  <c r="E25" i="39" s="1"/>
  <c r="V41" i="40" a="1"/>
  <c r="V41" i="40" s="1"/>
  <c r="H25" i="46"/>
  <c r="V48" i="40" a="1"/>
  <c r="V48" i="40" s="1"/>
  <c r="D47" i="41" a="1"/>
  <c r="D47" i="41" s="1"/>
  <c r="I28" i="38" a="1"/>
  <c r="I28" i="38" s="1"/>
  <c r="G31" i="44"/>
  <c r="G30" i="45"/>
  <c r="D26" i="40" a="1"/>
  <c r="D26" i="40" s="1"/>
  <c r="G40" i="41" a="1"/>
  <c r="G40" i="41" s="1"/>
  <c r="J29" i="42" a="1"/>
  <c r="J29" i="42" s="1"/>
  <c r="O47" i="41" a="1"/>
  <c r="O47" i="41" s="1"/>
  <c r="G39" i="41" a="1"/>
  <c r="G39" i="41" s="1"/>
  <c r="F25" i="46"/>
  <c r="F28" i="40" a="1"/>
  <c r="F28" i="40" s="1"/>
  <c r="B31" i="42" a="1"/>
  <c r="B31" i="42" s="1"/>
  <c r="S47" i="41" a="1"/>
  <c r="S47" i="41" s="1"/>
  <c r="E26" i="41" a="1"/>
  <c r="E26" i="41" s="1"/>
  <c r="C40" i="40" a="1"/>
  <c r="C40" i="40" s="1"/>
  <c r="T47" i="41" a="1"/>
  <c r="T47" i="41" s="1"/>
  <c r="P41" i="40" a="1"/>
  <c r="P41" i="40" s="1"/>
  <c r="D31" i="42" a="1"/>
  <c r="D31" i="42" s="1"/>
  <c r="J31" i="40" a="1"/>
  <c r="J31" i="40" s="1"/>
  <c r="H32" i="41" a="1"/>
  <c r="H32" i="41" s="1"/>
  <c r="V40" i="40" a="1"/>
  <c r="V40" i="40" s="1"/>
  <c r="P39" i="40" a="1"/>
  <c r="P39" i="40" s="1"/>
  <c r="G44" i="40" a="1"/>
  <c r="G44" i="40" s="1"/>
  <c r="F34" i="38" a="1"/>
  <c r="F34" i="38" s="1"/>
  <c r="E28" i="40" a="1"/>
  <c r="E28" i="40" s="1"/>
  <c r="R39" i="40" a="1"/>
  <c r="R39" i="40" s="1"/>
  <c r="B29" i="44"/>
  <c r="K39" i="41" a="1"/>
  <c r="K39" i="41" s="1"/>
  <c r="H34" i="41" a="1"/>
  <c r="H34" i="41" s="1"/>
  <c r="Q48" i="41" a="1"/>
  <c r="Q48" i="41" s="1"/>
  <c r="K46" i="41" a="1"/>
  <c r="K46" i="41" s="1"/>
  <c r="B29" i="39" a="1"/>
  <c r="B29" i="39" s="1"/>
  <c r="C33" i="44"/>
  <c r="D33" i="43"/>
  <c r="S41" i="40" a="1"/>
  <c r="S41" i="40" s="1"/>
  <c r="U40" i="41" a="1"/>
  <c r="U40" i="41" s="1"/>
  <c r="S39" i="41" a="1"/>
  <c r="S39" i="41" s="1"/>
  <c r="P44" i="40" a="1"/>
  <c r="P44" i="40" s="1"/>
  <c r="E27" i="42" a="1"/>
  <c r="E27" i="42" s="1"/>
  <c r="C28" i="43"/>
  <c r="H33" i="41" a="1"/>
  <c r="H33" i="41" s="1"/>
  <c r="C30" i="41" a="1"/>
  <c r="C30" i="41" s="1"/>
  <c r="H33" i="43"/>
  <c r="I25" i="45"/>
  <c r="D34" i="40" a="1"/>
  <c r="D34" i="40" s="1"/>
  <c r="V45" i="40" a="1"/>
  <c r="V45" i="40" s="1"/>
  <c r="R49" i="40" a="1"/>
  <c r="R49" i="40" s="1"/>
  <c r="C28" i="46"/>
  <c r="G26" i="45"/>
  <c r="W41" i="40" a="1"/>
  <c r="W41" i="40" s="1"/>
  <c r="K46" i="40" a="1"/>
  <c r="K46" i="40" s="1"/>
  <c r="Q41" i="40" a="1"/>
  <c r="Q41" i="40" s="1"/>
  <c r="G28" i="46"/>
  <c r="C47" i="40" a="1"/>
  <c r="C47" i="40" s="1"/>
  <c r="R40" i="41" a="1"/>
  <c r="R40" i="41" s="1"/>
  <c r="T43" i="41" a="1"/>
  <c r="T43" i="41" s="1"/>
  <c r="I51" i="40" a="1"/>
  <c r="I51" i="40" s="1"/>
  <c r="E41" i="40" a="1"/>
  <c r="E41" i="40" s="1"/>
  <c r="K43" i="40" a="1"/>
  <c r="K43" i="40" s="1"/>
  <c r="I34" i="44"/>
  <c r="D34" i="41" a="1"/>
  <c r="D34" i="41" s="1"/>
  <c r="I31" i="41" a="1"/>
  <c r="I31" i="41" s="1"/>
  <c r="H25" i="40" a="1"/>
  <c r="H25" i="40" s="1"/>
  <c r="F33" i="46"/>
  <c r="G31" i="41" a="1"/>
  <c r="G31" i="41" s="1"/>
  <c r="C31" i="42" a="1"/>
  <c r="C31" i="42" s="1"/>
  <c r="U47" i="41" a="1"/>
  <c r="U47" i="41" s="1"/>
  <c r="E48" i="40" a="1"/>
  <c r="E48" i="40" s="1"/>
  <c r="J42" i="40" a="1"/>
  <c r="J42" i="40" s="1"/>
  <c r="D31" i="41" a="1"/>
  <c r="D31" i="41" s="1"/>
  <c r="E30" i="42" a="1"/>
  <c r="E30" i="42" s="1"/>
  <c r="D32" i="45"/>
  <c r="J31" i="45"/>
  <c r="W39" i="40" a="1"/>
  <c r="W39" i="40" s="1"/>
  <c r="V40" i="41" a="1"/>
  <c r="V40" i="41" s="1"/>
  <c r="G29" i="44"/>
  <c r="H40" i="41" a="1"/>
  <c r="H40" i="41" s="1"/>
  <c r="J34" i="41" a="1"/>
  <c r="J34" i="41" s="1"/>
  <c r="I47" i="41" a="1"/>
  <c r="I47" i="41" s="1"/>
  <c r="E34" i="41" a="1"/>
  <c r="E34" i="41" s="1"/>
  <c r="H27" i="43"/>
  <c r="D48" i="41" a="1"/>
  <c r="D48" i="41" s="1"/>
  <c r="B28" i="40" a="1"/>
  <c r="B28" i="40" s="1"/>
  <c r="H31" i="43"/>
  <c r="B34" i="40" a="1"/>
  <c r="B34" i="40" s="1"/>
  <c r="W51" i="40" a="1"/>
  <c r="W51" i="40" s="1"/>
  <c r="D30" i="44"/>
  <c r="C25" i="44"/>
  <c r="H46" i="40" a="1"/>
  <c r="H46" i="40" s="1"/>
  <c r="B42" i="40" a="1"/>
  <c r="B42" i="40" s="1"/>
  <c r="C42" i="41" a="1"/>
  <c r="C42" i="41" s="1"/>
  <c r="W49" i="40" a="1"/>
  <c r="W49" i="40" s="1"/>
  <c r="Q39" i="41" a="1"/>
  <c r="Q39" i="41" s="1"/>
  <c r="K45" i="41" a="1"/>
  <c r="K45" i="41" s="1"/>
  <c r="E39" i="40" a="1"/>
  <c r="E39" i="40" s="1"/>
  <c r="C26" i="41" a="1"/>
  <c r="C26" i="41" s="1"/>
  <c r="U45" i="41" a="1"/>
  <c r="U45" i="41" s="1"/>
  <c r="C31" i="46"/>
  <c r="B45" i="40" a="1"/>
  <c r="B45" i="40" s="1"/>
  <c r="S45" i="41" a="1"/>
  <c r="S45" i="41" s="1"/>
  <c r="I33" i="40" a="1"/>
  <c r="I33" i="40" s="1"/>
  <c r="G27" i="46"/>
  <c r="F34" i="44"/>
  <c r="P43" i="40" a="1"/>
  <c r="P43" i="40" s="1"/>
  <c r="C34" i="44"/>
  <c r="C30" i="45"/>
  <c r="D44" i="41" a="1"/>
  <c r="D44" i="41" s="1"/>
  <c r="K41" i="40" a="1"/>
  <c r="K41" i="40" s="1"/>
  <c r="J30" i="43"/>
  <c r="W47" i="41" a="1"/>
  <c r="W47" i="41" s="1"/>
  <c r="D28" i="41" a="1"/>
  <c r="D28" i="41" s="1"/>
  <c r="P40" i="40" a="1"/>
  <c r="P40" i="40" s="1"/>
  <c r="H32" i="43"/>
  <c r="E28" i="41" a="1"/>
  <c r="E28" i="41" s="1"/>
  <c r="D48" i="40" a="1"/>
  <c r="D48" i="40" s="1"/>
  <c r="B42" i="41" a="1"/>
  <c r="B42" i="41" s="1"/>
  <c r="T50" i="41" a="1"/>
  <c r="T50" i="41" s="1"/>
  <c r="O49" i="40" a="1"/>
  <c r="O49" i="40" s="1"/>
  <c r="J25" i="45"/>
  <c r="F31" i="38" a="1"/>
  <c r="F31" i="38" s="1"/>
  <c r="I43" i="40" a="1"/>
  <c r="I43" i="40" s="1"/>
  <c r="I25" i="43"/>
  <c r="C33" i="40" a="1"/>
  <c r="C33" i="40" s="1"/>
  <c r="B27" i="43"/>
  <c r="D27" i="45"/>
  <c r="I29" i="45"/>
  <c r="U41" i="40" a="1"/>
  <c r="U41" i="40" s="1"/>
  <c r="I32" i="40" a="1"/>
  <c r="I32" i="40" s="1"/>
  <c r="F30" i="42" a="1"/>
  <c r="F30" i="42" s="1"/>
  <c r="J50" i="41" a="1"/>
  <c r="J50" i="41" s="1"/>
  <c r="U47" i="40" a="1"/>
  <c r="U47" i="40" s="1"/>
  <c r="H34" i="40" a="1"/>
  <c r="H34" i="40" s="1"/>
  <c r="C49" i="40" a="1"/>
  <c r="C49" i="40" s="1"/>
  <c r="D42" i="40" a="1"/>
  <c r="D42" i="40" s="1"/>
  <c r="H32" i="42" a="1"/>
  <c r="H32" i="42" s="1"/>
  <c r="W40" i="41" a="1"/>
  <c r="W40" i="41" s="1"/>
  <c r="V44" i="41" a="1"/>
  <c r="V44" i="41" s="1"/>
  <c r="G33" i="41" a="1"/>
  <c r="G33" i="41" s="1"/>
  <c r="I31" i="42" a="1"/>
  <c r="I31" i="42" s="1"/>
  <c r="W46" i="41" a="1"/>
  <c r="W46" i="41" s="1"/>
  <c r="E29" i="39" a="1"/>
  <c r="E29" i="39" s="1"/>
  <c r="H28" i="42" a="1"/>
  <c r="H28" i="42" s="1"/>
  <c r="G45" i="41" a="1"/>
  <c r="G45" i="41" s="1"/>
  <c r="P48" i="40" a="1"/>
  <c r="P48" i="40" s="1"/>
  <c r="C28" i="45"/>
  <c r="F45" i="41" a="1"/>
  <c r="F45" i="41" s="1"/>
  <c r="F29" i="45"/>
  <c r="I26" i="42" a="1"/>
  <c r="I26" i="42" s="1"/>
  <c r="H29" i="43"/>
  <c r="E46" i="41" a="1"/>
  <c r="E46" i="41" s="1"/>
  <c r="F26" i="38" a="1"/>
  <c r="F26" i="38" s="1"/>
  <c r="E27" i="44"/>
  <c r="C29" i="45"/>
  <c r="F32" i="42" a="1"/>
  <c r="F32" i="42" s="1"/>
  <c r="G48" i="40" a="1"/>
  <c r="G48" i="40" s="1"/>
  <c r="J47" i="40" a="1"/>
  <c r="J47" i="40" s="1"/>
  <c r="B26" i="39" a="1"/>
  <c r="B26" i="39" s="1"/>
  <c r="S47" i="40" a="1"/>
  <c r="S47" i="40" s="1"/>
  <c r="T39" i="40" a="1"/>
  <c r="T39" i="40" s="1"/>
  <c r="Q51" i="40" a="1"/>
  <c r="Q51" i="40" s="1"/>
  <c r="D27" i="42" a="1"/>
  <c r="D27" i="42" s="1"/>
  <c r="H25" i="41" a="1"/>
  <c r="H25" i="41" s="1"/>
  <c r="O47" i="40" a="1"/>
  <c r="O47" i="40" s="1"/>
  <c r="G33" i="43"/>
  <c r="G34" i="42" a="1"/>
  <c r="G34" i="42" s="1"/>
  <c r="E42" i="40" a="1"/>
  <c r="E42" i="40" s="1"/>
  <c r="I40" i="40" a="1"/>
  <c r="I40" i="40" s="1"/>
  <c r="G25" i="41" a="1"/>
  <c r="G25" i="41" s="1"/>
  <c r="G44" i="41" a="1"/>
  <c r="G44" i="41" s="1"/>
  <c r="D33" i="44"/>
  <c r="S40" i="40" a="1"/>
  <c r="S40" i="40" s="1"/>
  <c r="V49" i="40" a="1"/>
  <c r="V49" i="40" s="1"/>
  <c r="V46" i="41" a="1"/>
  <c r="V46" i="41" s="1"/>
  <c r="D40" i="40" a="1"/>
  <c r="D40" i="40" s="1"/>
  <c r="F25" i="41" a="1"/>
  <c r="F25" i="41" s="1"/>
  <c r="F31" i="41" a="1"/>
  <c r="F31" i="41" s="1"/>
  <c r="E32" i="45"/>
  <c r="I46" i="40" a="1"/>
  <c r="I46" i="40" s="1"/>
  <c r="B44" i="41" a="1"/>
  <c r="B44" i="41" s="1"/>
  <c r="G46" i="40" a="1"/>
  <c r="G46" i="40" s="1"/>
  <c r="J30" i="45"/>
  <c r="E28" i="46"/>
  <c r="W42" i="41" a="1"/>
  <c r="W42" i="41" s="1"/>
  <c r="I32" i="38" a="1"/>
  <c r="I32" i="38" s="1"/>
  <c r="D39" i="40" a="1"/>
  <c r="D39" i="40" s="1"/>
  <c r="V44" i="40" a="1"/>
  <c r="V44" i="40" s="1"/>
  <c r="E31" i="42" a="1"/>
  <c r="E31" i="42" s="1"/>
  <c r="B25" i="45"/>
  <c r="D30" i="46"/>
  <c r="H30" i="39" a="1"/>
  <c r="H30" i="39" s="1"/>
  <c r="D33" i="41" a="1"/>
  <c r="D33" i="41" s="1"/>
  <c r="C32" i="45"/>
  <c r="U46" i="40" a="1"/>
  <c r="U46" i="40" s="1"/>
  <c r="R50" i="41" a="1"/>
  <c r="R50" i="41" s="1"/>
  <c r="R41" i="40" a="1"/>
  <c r="R41" i="40" s="1"/>
  <c r="I30" i="42" a="1"/>
  <c r="I30" i="42" s="1"/>
  <c r="B25" i="39" a="1"/>
  <c r="B25" i="39" s="1"/>
  <c r="J48" i="41" a="1"/>
  <c r="J48" i="41" s="1"/>
  <c r="E31" i="41" a="1"/>
  <c r="E31" i="41" s="1"/>
  <c r="C25" i="42" a="1"/>
  <c r="C25" i="42" s="1"/>
  <c r="G46" i="41" a="1"/>
  <c r="G46" i="41" s="1"/>
  <c r="D39" i="41" a="1"/>
  <c r="D39" i="41" s="1"/>
  <c r="E28" i="39" a="1"/>
  <c r="E28" i="39" s="1"/>
  <c r="B49" i="40" a="1"/>
  <c r="B49" i="40" s="1"/>
  <c r="C44" i="41" a="1"/>
  <c r="C44" i="41" s="1"/>
  <c r="F27" i="44"/>
  <c r="D25" i="43"/>
  <c r="I31" i="44"/>
  <c r="C27" i="44"/>
  <c r="J49" i="40" a="1"/>
  <c r="J49" i="40" s="1"/>
  <c r="F30" i="41" a="1"/>
  <c r="F30" i="41" s="1"/>
  <c r="V43" i="40" a="1"/>
  <c r="V43" i="40" s="1"/>
  <c r="B50" i="41" a="1"/>
  <c r="B50" i="41" s="1"/>
  <c r="H33" i="44"/>
  <c r="C29" i="44"/>
  <c r="G39" i="40" a="1"/>
  <c r="G39" i="40" s="1"/>
  <c r="S46" i="41" a="1"/>
  <c r="S46" i="41" s="1"/>
  <c r="K47" i="40" a="1"/>
  <c r="K47" i="40" s="1"/>
  <c r="J31" i="41" a="1"/>
  <c r="J31" i="41" s="1"/>
  <c r="D42" i="41" a="1"/>
  <c r="D42" i="41" s="1"/>
  <c r="D31" i="45"/>
  <c r="G28" i="44"/>
  <c r="Q46" i="40" a="1"/>
  <c r="Q46" i="40" s="1"/>
  <c r="J27" i="38" a="1"/>
  <c r="J27" i="38" s="1"/>
  <c r="I30" i="44"/>
  <c r="E25" i="44"/>
  <c r="E42" i="41" a="1"/>
  <c r="E42" i="41" s="1"/>
  <c r="V39" i="41" a="1"/>
  <c r="V39" i="41" s="1"/>
  <c r="G25" i="44"/>
  <c r="G34" i="44"/>
  <c r="J26" i="45"/>
  <c r="D34" i="43"/>
  <c r="J28" i="40" a="1"/>
  <c r="J28" i="40" s="1"/>
  <c r="B31" i="43"/>
  <c r="H32" i="44"/>
  <c r="C28" i="40" a="1"/>
  <c r="C28" i="40" s="1"/>
  <c r="D26" i="44"/>
  <c r="E28" i="44"/>
  <c r="D29" i="45"/>
  <c r="O39" i="40" a="1"/>
  <c r="O39" i="40" s="1"/>
  <c r="C27" i="43"/>
  <c r="G28" i="43"/>
  <c r="K48" i="41" a="1"/>
  <c r="K48" i="41" s="1"/>
  <c r="B31" i="44"/>
  <c r="T49" i="40" a="1"/>
  <c r="T49" i="40" s="1"/>
  <c r="F27" i="46"/>
  <c r="H26" i="43"/>
  <c r="E30" i="44"/>
  <c r="F26" i="45"/>
  <c r="J44" i="40" a="1"/>
  <c r="J44" i="40" s="1"/>
  <c r="J27" i="44"/>
  <c r="F29" i="46"/>
  <c r="B40" i="40" a="1"/>
  <c r="B40" i="40" s="1"/>
  <c r="U39" i="40" a="1"/>
  <c r="U39" i="40" s="1"/>
  <c r="C34" i="46"/>
  <c r="G33" i="39" a="1"/>
  <c r="G33" i="39" s="1"/>
  <c r="H30" i="40" a="1"/>
  <c r="H30" i="40" s="1"/>
  <c r="D26" i="46"/>
  <c r="H26" i="45"/>
  <c r="G31" i="46"/>
  <c r="E30" i="46"/>
  <c r="J30" i="38" a="1"/>
  <c r="J30" i="38" s="1"/>
  <c r="I26" i="40" a="1"/>
  <c r="I26" i="40" s="1"/>
  <c r="O48" i="40" a="1"/>
  <c r="O48" i="40" s="1"/>
  <c r="I32" i="46"/>
  <c r="H43" i="40" a="1"/>
  <c r="H43" i="40" s="1"/>
  <c r="T40" i="40" a="1"/>
  <c r="T40" i="40" s="1"/>
  <c r="F25" i="38" a="1"/>
  <c r="F25" i="38" s="1"/>
  <c r="B30" i="41" a="1"/>
  <c r="B30" i="41" s="1"/>
  <c r="F42" i="41" a="1"/>
  <c r="F42" i="41" s="1"/>
  <c r="I30" i="38" a="1"/>
  <c r="I30" i="38" s="1"/>
  <c r="P48" i="41" a="1"/>
  <c r="P48" i="41" s="1"/>
  <c r="D33" i="45"/>
  <c r="I42" i="40" a="1"/>
  <c r="I42" i="40" s="1"/>
  <c r="B33" i="46"/>
  <c r="E28" i="45"/>
  <c r="T48" i="41" a="1"/>
  <c r="T48" i="41" s="1"/>
  <c r="F31" i="45"/>
  <c r="G40" i="40" a="1"/>
  <c r="G40" i="40" s="1"/>
  <c r="G29" i="45"/>
  <c r="E33" i="44"/>
  <c r="D30" i="40" a="1"/>
  <c r="D30" i="40" s="1"/>
  <c r="F27" i="45"/>
  <c r="B31" i="46"/>
  <c r="F47" i="41" a="1"/>
  <c r="F47" i="41" s="1"/>
  <c r="C26" i="43"/>
  <c r="G27" i="39" a="1"/>
  <c r="G27" i="39" s="1"/>
  <c r="P47" i="41" a="1"/>
  <c r="P47" i="41" s="1"/>
  <c r="T45" i="41" a="1"/>
  <c r="T45" i="41" s="1"/>
  <c r="T39" i="41" a="1"/>
  <c r="T39" i="41" s="1"/>
  <c r="E44" i="41" a="1"/>
  <c r="E44" i="41" s="1"/>
  <c r="J26" i="43"/>
  <c r="C26" i="40" a="1"/>
  <c r="C26" i="40" s="1"/>
  <c r="E49" i="40" a="1"/>
  <c r="E49" i="40" s="1"/>
  <c r="E29" i="46"/>
  <c r="C39" i="40" a="1"/>
  <c r="C39" i="40" s="1"/>
  <c r="B32" i="43"/>
  <c r="I46" i="41" a="1"/>
  <c r="I46" i="41" s="1"/>
  <c r="F33" i="44"/>
  <c r="G41" i="40" a="1"/>
  <c r="G41" i="40" s="1"/>
  <c r="B32" i="40" a="1"/>
  <c r="B32" i="40" s="1"/>
  <c r="C34" i="40" a="1"/>
  <c r="C34" i="40" s="1"/>
  <c r="B41" i="41" a="1"/>
  <c r="B41" i="41" s="1"/>
  <c r="H29" i="42" a="1"/>
  <c r="H29" i="42" s="1"/>
  <c r="H34" i="45"/>
  <c r="C30" i="43"/>
  <c r="E25" i="43"/>
  <c r="G33" i="46"/>
  <c r="E26" i="40" a="1"/>
  <c r="E26" i="40" s="1"/>
  <c r="E34" i="45"/>
  <c r="I32" i="45"/>
  <c r="V48" i="41" a="1"/>
  <c r="V48" i="41" s="1"/>
  <c r="E25" i="45"/>
  <c r="H25" i="45"/>
  <c r="D31" i="43"/>
  <c r="I33" i="44"/>
  <c r="F42" i="40" a="1"/>
  <c r="F42" i="40" s="1"/>
  <c r="I33" i="38" a="1"/>
  <c r="I33" i="38" s="1"/>
  <c r="H33" i="40" a="1"/>
  <c r="H33" i="40" s="1"/>
  <c r="I34" i="46"/>
  <c r="H28" i="45"/>
  <c r="F44" i="41" a="1"/>
  <c r="F44" i="41" s="1"/>
  <c r="J28" i="42" a="1"/>
  <c r="J28" i="42" s="1"/>
  <c r="C31" i="45"/>
  <c r="H43" i="41" a="1"/>
  <c r="H43" i="41" s="1"/>
  <c r="F32" i="41" a="1"/>
  <c r="F32" i="41" s="1"/>
  <c r="K42" i="40" a="1"/>
  <c r="K42" i="40" s="1"/>
  <c r="D44" i="40" a="1"/>
  <c r="D44" i="40" s="1"/>
  <c r="P51" i="40" a="1"/>
  <c r="P51" i="40" s="1"/>
  <c r="I32" i="44"/>
  <c r="D32" i="42" a="1"/>
  <c r="D32" i="42" s="1"/>
  <c r="B29" i="46"/>
  <c r="C43" i="41" a="1"/>
  <c r="C43" i="41" s="1"/>
  <c r="H44" i="40" a="1"/>
  <c r="H44" i="40" s="1"/>
  <c r="J25" i="44"/>
  <c r="Q43" i="40" a="1"/>
  <c r="Q43" i="40" s="1"/>
  <c r="B32" i="44"/>
  <c r="I33" i="43"/>
  <c r="F31" i="40" a="1"/>
  <c r="F31" i="40" s="1"/>
  <c r="I29" i="44"/>
  <c r="I28" i="40" a="1"/>
  <c r="I28" i="40" s="1"/>
  <c r="C28" i="41" a="1"/>
  <c r="C28" i="41" s="1"/>
  <c r="H31" i="41" a="1"/>
  <c r="H31" i="41" s="1"/>
  <c r="R43" i="40" a="1"/>
  <c r="R43" i="40" s="1"/>
  <c r="G25" i="45"/>
  <c r="B32" i="45"/>
  <c r="F43" i="40" a="1"/>
  <c r="F43" i="40" s="1"/>
  <c r="G27" i="45"/>
  <c r="H48" i="41" a="1"/>
  <c r="H48" i="41" s="1"/>
  <c r="E31" i="40" a="1"/>
  <c r="E31" i="40" s="1"/>
  <c r="V51" i="40" a="1"/>
  <c r="V51" i="40" s="1"/>
  <c r="J31" i="44"/>
  <c r="H26" i="41" a="1"/>
  <c r="H26" i="41" s="1"/>
  <c r="G30" i="44"/>
  <c r="F32" i="38" a="1"/>
  <c r="F32" i="38" s="1"/>
  <c r="H28" i="44"/>
  <c r="E28" i="43"/>
  <c r="W40" i="40" a="1"/>
  <c r="W40" i="40" s="1"/>
  <c r="G27" i="44"/>
  <c r="H32" i="45"/>
  <c r="J32" i="45"/>
  <c r="G29" i="43"/>
  <c r="I27" i="38" a="1"/>
  <c r="I27" i="38" s="1"/>
  <c r="B33" i="43"/>
  <c r="G32" i="40" a="1"/>
  <c r="G32" i="40" s="1"/>
  <c r="B27" i="44"/>
  <c r="E27" i="45"/>
  <c r="C41" i="40" a="1"/>
  <c r="C41" i="40" s="1"/>
  <c r="J41" i="41" a="1"/>
  <c r="J41" i="41" s="1"/>
  <c r="O43" i="41" a="1"/>
  <c r="O43" i="41" s="1"/>
  <c r="V47" i="40" a="1"/>
  <c r="V47" i="40" s="1"/>
  <c r="D25" i="41" a="1"/>
  <c r="D25" i="41" s="1"/>
  <c r="J33" i="42" a="1"/>
  <c r="J33" i="42" s="1"/>
  <c r="H28" i="41" a="1"/>
  <c r="H28" i="41" s="1"/>
  <c r="I28" i="44"/>
  <c r="G31" i="40" a="1"/>
  <c r="G31" i="40" s="1"/>
  <c r="D47" i="40" a="1"/>
  <c r="D47" i="40" s="1"/>
  <c r="C50" i="41" a="1"/>
  <c r="C50" i="41" s="1"/>
  <c r="W47" i="40" a="1"/>
  <c r="W47" i="40" s="1"/>
  <c r="H30" i="45"/>
  <c r="K47" i="41" a="1"/>
  <c r="K47" i="41" s="1"/>
  <c r="F34" i="43"/>
  <c r="B28" i="45"/>
  <c r="G30" i="41" a="1"/>
  <c r="G30" i="41" s="1"/>
  <c r="F30" i="40" a="1"/>
  <c r="F30" i="40" s="1"/>
  <c r="D33" i="40" a="1"/>
  <c r="D33" i="40" s="1"/>
  <c r="B32" i="41" a="1"/>
  <c r="B32" i="41" s="1"/>
  <c r="Q49" i="40" a="1"/>
  <c r="Q49" i="40" s="1"/>
  <c r="E26" i="46"/>
  <c r="U44" i="40" a="1"/>
  <c r="U44" i="40" s="1"/>
  <c r="H26" i="40" a="1"/>
  <c r="H26" i="40" s="1"/>
  <c r="U48" i="40" a="1"/>
  <c r="U48" i="40" s="1"/>
  <c r="C33" i="45"/>
  <c r="D29" i="46"/>
  <c r="E25" i="41" a="1"/>
  <c r="E25" i="41" s="1"/>
  <c r="G34" i="43"/>
  <c r="D25" i="45"/>
  <c r="D32" i="44"/>
  <c r="O46" i="41" a="1"/>
  <c r="O46" i="41" s="1"/>
  <c r="J31" i="43"/>
  <c r="H27" i="45"/>
  <c r="H28" i="43"/>
  <c r="D28" i="45"/>
  <c r="F25" i="44"/>
  <c r="J34" i="38" a="1"/>
  <c r="J34" i="38" s="1"/>
  <c r="I27" i="45"/>
  <c r="J28" i="41" a="1"/>
  <c r="J28" i="41" s="1"/>
  <c r="Q41" i="41" a="1"/>
  <c r="Q41" i="41" s="1"/>
  <c r="B26" i="43"/>
  <c r="B27" i="46"/>
  <c r="T47" i="40" a="1"/>
  <c r="T47" i="40" s="1"/>
  <c r="C42" i="40" a="1"/>
  <c r="C42" i="40" s="1"/>
  <c r="I31" i="46"/>
  <c r="D33" i="46"/>
  <c r="H31" i="44"/>
  <c r="R47" i="40" a="1"/>
  <c r="R47" i="40" s="1"/>
  <c r="H49" i="40" a="1"/>
  <c r="H49" i="40" s="1"/>
  <c r="I48" i="40" a="1"/>
  <c r="I48" i="40" s="1"/>
  <c r="E31" i="46"/>
  <c r="B25" i="46"/>
  <c r="G26" i="46"/>
  <c r="U42" i="41" a="1"/>
  <c r="U42" i="41" s="1"/>
  <c r="B34" i="43"/>
  <c r="K39" i="40" a="1"/>
  <c r="K39" i="40" s="1"/>
  <c r="F26" i="41" a="1"/>
  <c r="F26" i="41" s="1"/>
  <c r="E29" i="43"/>
  <c r="J29" i="38" a="1"/>
  <c r="J29" i="38" s="1"/>
  <c r="J25" i="38" a="1"/>
  <c r="J25" i="38" s="1"/>
  <c r="G28" i="45"/>
  <c r="H25" i="44"/>
  <c r="E46" i="40" a="1"/>
  <c r="E46" i="40" s="1"/>
  <c r="B25" i="44"/>
  <c r="J45" i="41" a="1"/>
  <c r="J45" i="41" s="1"/>
  <c r="E25" i="40" a="1"/>
  <c r="E25" i="40" s="1"/>
  <c r="D32" i="40" a="1"/>
  <c r="D32" i="40" s="1"/>
  <c r="P43" i="41" a="1"/>
  <c r="P43" i="41" s="1"/>
  <c r="I29" i="38" a="1"/>
  <c r="I29" i="38" s="1"/>
  <c r="F26" i="44"/>
  <c r="I28" i="43"/>
  <c r="B29" i="45"/>
  <c r="B40" i="41" a="1"/>
  <c r="B40" i="41" s="1"/>
  <c r="J28" i="45"/>
  <c r="E51" i="40" a="1"/>
  <c r="E51" i="40" s="1"/>
  <c r="D30" i="45"/>
  <c r="F29" i="38" a="1"/>
  <c r="F29" i="38" s="1"/>
  <c r="C25" i="46"/>
  <c r="F25" i="45"/>
  <c r="C28" i="44"/>
  <c r="J33" i="45"/>
  <c r="B30" i="45"/>
  <c r="J33" i="44"/>
  <c r="D31" i="44"/>
  <c r="G25" i="46"/>
  <c r="G26" i="43"/>
  <c r="I25" i="38" a="1"/>
  <c r="I25" i="38" s="1"/>
  <c r="B30" i="43"/>
  <c r="G26" i="44"/>
  <c r="C32" i="46"/>
  <c r="F44" i="40" a="1"/>
  <c r="F44" i="40" s="1"/>
  <c r="W45" i="40" a="1"/>
  <c r="W45" i="40" s="1"/>
  <c r="E31" i="43"/>
  <c r="F31" i="44"/>
  <c r="B32" i="46"/>
  <c r="P42" i="40" a="1"/>
  <c r="P42" i="40" s="1"/>
  <c r="S39" i="40" a="1"/>
  <c r="S39" i="40" s="1"/>
  <c r="I29" i="43"/>
  <c r="F32" i="46"/>
  <c r="E33" i="45"/>
  <c r="D34" i="46"/>
  <c r="G30" i="40" a="1"/>
  <c r="G30" i="40" s="1"/>
  <c r="W48" i="40" a="1"/>
  <c r="W48" i="40" s="1"/>
  <c r="K41" i="41" a="1"/>
  <c r="K41" i="41" s="1"/>
  <c r="F41" i="41" a="1"/>
  <c r="F41" i="41" s="1"/>
  <c r="C25" i="45"/>
  <c r="R44" i="41" a="1"/>
  <c r="R44" i="41" s="1"/>
  <c r="I30" i="46"/>
  <c r="Q42" i="41" a="1"/>
  <c r="Q42" i="41" s="1"/>
  <c r="H30" i="44"/>
  <c r="F45" i="40" a="1"/>
  <c r="F45" i="40" s="1"/>
  <c r="I32" i="43"/>
  <c r="F27" i="38" a="1"/>
  <c r="F27" i="38" s="1"/>
  <c r="G25" i="40" a="1"/>
  <c r="G25" i="40" s="1"/>
  <c r="E27" i="43"/>
  <c r="F30" i="46"/>
  <c r="H25" i="43"/>
  <c r="C26" i="46"/>
  <c r="E26" i="45"/>
  <c r="B43" i="41" a="1"/>
  <c r="B43" i="41" s="1"/>
  <c r="C30" i="44"/>
  <c r="C34" i="43"/>
  <c r="F30" i="43"/>
  <c r="F25" i="40" a="1"/>
  <c r="F25" i="40" s="1"/>
  <c r="T44" i="40" a="1"/>
  <c r="T44" i="40" s="1"/>
  <c r="I26" i="38" a="1"/>
  <c r="I26" i="38" s="1"/>
  <c r="J32" i="43"/>
  <c r="B33" i="45"/>
  <c r="D50" i="41" a="1"/>
  <c r="D50" i="41" s="1"/>
  <c r="F26" i="46"/>
  <c r="E30" i="43"/>
  <c r="I33" i="45"/>
  <c r="K44" i="41" a="1"/>
  <c r="K44" i="41" s="1"/>
  <c r="D30" i="43"/>
  <c r="D28" i="46"/>
  <c r="D40" i="41" a="1"/>
  <c r="D40" i="41" s="1"/>
  <c r="D26" i="45"/>
  <c r="E34" i="44"/>
  <c r="F32" i="44"/>
  <c r="B34" i="41" a="1"/>
  <c r="B34" i="41" s="1"/>
  <c r="F30" i="45"/>
  <c r="D28" i="44"/>
  <c r="Q44" i="41" a="1"/>
  <c r="Q44" i="41" s="1"/>
  <c r="B33" i="44"/>
  <c r="C33" i="43"/>
  <c r="F29" i="43"/>
  <c r="D32" i="46"/>
  <c r="J32" i="44"/>
  <c r="I27" i="43"/>
  <c r="E33" i="43"/>
  <c r="I31" i="43"/>
  <c r="G32" i="45"/>
  <c r="K42" i="41" a="1"/>
  <c r="K42" i="41" s="1"/>
  <c r="F47" i="40" a="1"/>
  <c r="F47" i="40" s="1"/>
  <c r="R40" i="40" a="1"/>
  <c r="R40" i="40" s="1"/>
  <c r="B25" i="43"/>
  <c r="J32" i="38" a="1"/>
  <c r="J32" i="38" s="1"/>
  <c r="I30" i="41" a="1"/>
  <c r="I30" i="41" s="1"/>
  <c r="C26" i="45"/>
  <c r="B27" i="45"/>
  <c r="R51" i="40" a="1"/>
  <c r="R51" i="40" s="1"/>
  <c r="C32" i="42" a="1"/>
  <c r="C32" i="42" s="1"/>
  <c r="B30" i="46"/>
  <c r="J39" i="41" a="1"/>
  <c r="J39" i="41" s="1"/>
  <c r="J29" i="43"/>
  <c r="F32" i="45"/>
  <c r="E31" i="45"/>
  <c r="G34" i="46"/>
  <c r="S41" i="41" a="1"/>
  <c r="S41" i="41" s="1"/>
  <c r="J33" i="38" a="1"/>
  <c r="J33" i="38" s="1"/>
  <c r="K48" i="40" a="1"/>
  <c r="K48" i="40" s="1"/>
  <c r="B41" i="40" a="1"/>
  <c r="B41" i="40" s="1"/>
  <c r="B26" i="44"/>
  <c r="J34" i="45"/>
  <c r="F33" i="45"/>
  <c r="E30" i="45"/>
  <c r="R42" i="40" a="1"/>
  <c r="R42" i="40" s="1"/>
  <c r="D25" i="44"/>
  <c r="D26" i="43"/>
  <c r="B28" i="46"/>
  <c r="J28" i="38" a="1"/>
  <c r="J28" i="38" s="1"/>
  <c r="I31" i="45"/>
  <c r="F33" i="41" a="1"/>
  <c r="F33" i="41" s="1"/>
  <c r="G28" i="41" a="1"/>
  <c r="G28" i="41" s="1"/>
  <c r="J41" i="40" a="1"/>
  <c r="J41" i="40" s="1"/>
  <c r="G29" i="46"/>
  <c r="C29" i="43"/>
  <c r="F34" i="46"/>
  <c r="H27" i="46"/>
  <c r="J43" i="40" a="1"/>
  <c r="J43" i="40" s="1"/>
  <c r="B26" i="45"/>
  <c r="D34" i="45"/>
  <c r="H27" i="44"/>
  <c r="E32" i="44"/>
  <c r="J43" i="41" a="1"/>
  <c r="J43" i="41" s="1"/>
  <c r="C26" i="44"/>
  <c r="H30" i="43"/>
  <c r="W43" i="41" a="1"/>
  <c r="W43" i="41" s="1"/>
  <c r="D26" i="41" a="1"/>
  <c r="D26" i="41" s="1"/>
  <c r="D43" i="40" a="1"/>
  <c r="D43" i="40" s="1"/>
  <c r="G30" i="46"/>
  <c r="I27" i="44"/>
  <c r="R44" i="40" a="1"/>
  <c r="R44" i="40" s="1"/>
  <c r="I25" i="44"/>
  <c r="E32" i="43"/>
  <c r="G32" i="44"/>
  <c r="J26" i="38" a="1"/>
  <c r="J26" i="38" s="1"/>
  <c r="B28" i="44"/>
  <c r="J34" i="44"/>
  <c r="G33" i="44"/>
  <c r="G34" i="45"/>
  <c r="F48" i="40" a="1"/>
  <c r="F48" i="40" s="1"/>
  <c r="H29" i="44"/>
  <c r="G45" i="40" a="1"/>
  <c r="G45" i="40" s="1"/>
  <c r="D27" i="46"/>
  <c r="I49" i="40" a="1"/>
  <c r="I49" i="40" s="1"/>
  <c r="H40" i="40" a="1"/>
  <c r="H40" i="40" s="1"/>
  <c r="F27" i="43"/>
  <c r="F32" i="43"/>
  <c r="T48" i="40" a="1"/>
  <c r="T48" i="40" s="1"/>
  <c r="B29" i="43"/>
  <c r="D25" i="39" a="1"/>
  <c r="D25" i="39" s="1"/>
  <c r="Q45" i="41" a="1"/>
  <c r="Q45" i="41" s="1"/>
  <c r="E26" i="43"/>
  <c r="D27" i="44"/>
  <c r="C30" i="46"/>
  <c r="U43" i="41" a="1"/>
  <c r="U43" i="41" s="1"/>
  <c r="H29" i="46"/>
  <c r="H32" i="46"/>
  <c r="C25" i="43"/>
  <c r="H31" i="40" a="1"/>
  <c r="H31" i="40" s="1"/>
  <c r="E34" i="43"/>
  <c r="E34" i="46"/>
  <c r="I28" i="46"/>
  <c r="I44" i="40" a="1"/>
  <c r="I44" i="40" s="1"/>
  <c r="I26" i="44"/>
  <c r="I34" i="43"/>
  <c r="G30" i="43"/>
  <c r="J28" i="43"/>
  <c r="B34" i="45"/>
  <c r="E43" i="40" a="1"/>
  <c r="E43" i="40" s="1"/>
  <c r="V43" i="41" a="1"/>
  <c r="V43" i="41" s="1"/>
  <c r="I47" i="40" a="1"/>
  <c r="I47" i="40" s="1"/>
  <c r="I39" i="40" a="1"/>
  <c r="I39" i="40" s="1"/>
  <c r="U51" i="40" a="1"/>
  <c r="U51" i="40" s="1"/>
  <c r="T40" i="41" a="1"/>
  <c r="T40" i="41" s="1"/>
  <c r="F33" i="38" a="1"/>
  <c r="F33" i="38" s="1"/>
  <c r="F33" i="43"/>
  <c r="K49" i="40" a="1"/>
  <c r="K49" i="40" s="1"/>
  <c r="H28" i="46"/>
  <c r="E47" i="41" a="1"/>
  <c r="E47" i="41" s="1"/>
  <c r="S45" i="40" a="1"/>
  <c r="S45" i="40" s="1"/>
  <c r="S51" i="40" a="1"/>
  <c r="S51" i="40" s="1"/>
  <c r="E26" i="44"/>
  <c r="C33" i="46"/>
  <c r="I34" i="45"/>
  <c r="D28" i="43"/>
  <c r="H26" i="46"/>
  <c r="C46" i="40" a="1"/>
  <c r="C46" i="40" s="1"/>
  <c r="F28" i="46"/>
  <c r="G33" i="45"/>
  <c r="S42" i="40" a="1"/>
  <c r="S42" i="40" s="1"/>
  <c r="J51" i="40" a="1"/>
  <c r="J51" i="40" s="1"/>
  <c r="F34" i="41" a="1"/>
  <c r="F34" i="41" s="1"/>
  <c r="G28" i="40" a="1"/>
  <c r="G28" i="40" s="1"/>
  <c r="I26" i="43"/>
  <c r="I31" i="38" a="1"/>
  <c r="I31" i="38" s="1"/>
  <c r="I25" i="46"/>
  <c r="C34" i="45"/>
  <c r="U40" i="40" a="1"/>
  <c r="U40" i="40" s="1"/>
  <c r="I26" i="45"/>
  <c r="I34" i="40" a="1"/>
  <c r="I34" i="40" s="1"/>
  <c r="F28" i="43"/>
  <c r="G32" i="46"/>
  <c r="C32" i="44"/>
  <c r="J29" i="44"/>
  <c r="F28" i="45"/>
  <c r="Q50" i="41" a="1"/>
  <c r="Q50" i="41" s="1"/>
  <c r="H33" i="45"/>
  <c r="E30" i="40" a="1"/>
  <c r="E30" i="40" s="1"/>
  <c r="I30" i="43"/>
  <c r="J34" i="43"/>
  <c r="J46" i="40" a="1"/>
  <c r="J46" i="40" s="1"/>
  <c r="B34" i="44"/>
  <c r="G25" i="43"/>
  <c r="K45" i="40" a="1"/>
  <c r="K45" i="40" s="1"/>
  <c r="I28" i="45"/>
  <c r="J33" i="43"/>
  <c r="H34" i="46"/>
  <c r="Q48" i="40" a="1"/>
  <c r="Q48" i="40" s="1"/>
  <c r="D25" i="46"/>
  <c r="C32" i="43"/>
  <c r="D32" i="39" a="1"/>
  <c r="D32" i="39" s="1"/>
  <c r="I33" i="46"/>
  <c r="F39" i="40" a="1"/>
  <c r="F39" i="40" s="1"/>
  <c r="U49" i="40" a="1"/>
  <c r="U49" i="40" s="1"/>
  <c r="B30" i="44"/>
  <c r="J30" i="44"/>
  <c r="I30" i="45"/>
  <c r="E32" i="46"/>
  <c r="F49" i="40" a="1"/>
  <c r="F49" i="40" s="1"/>
  <c r="E34" i="39" a="1"/>
  <c r="E34" i="39" s="1"/>
  <c r="F25" i="43"/>
  <c r="H31" i="45"/>
  <c r="U43" i="40" a="1"/>
  <c r="U43" i="40" s="1"/>
  <c r="E29" i="45"/>
  <c r="B26" i="46"/>
  <c r="H30" i="46"/>
  <c r="C31" i="43"/>
  <c r="F26" i="43"/>
  <c r="I41" i="41" a="1"/>
  <c r="I41" i="41" s="1"/>
  <c r="J27" i="45"/>
  <c r="J28" i="44"/>
  <c r="H33" i="46"/>
  <c r="I34" i="38" a="1"/>
  <c r="I34" i="38" s="1"/>
  <c r="F31" i="46"/>
  <c r="J29" i="45"/>
  <c r="R48" i="40" a="1"/>
  <c r="R48" i="40" s="1"/>
  <c r="E34" i="40" a="1"/>
  <c r="E34" i="40" s="1"/>
  <c r="U45" i="40" a="1"/>
  <c r="U45" i="40" s="1"/>
  <c r="S44" i="40" a="1"/>
  <c r="S44" i="40" s="1"/>
  <c r="J31" i="38" a="1"/>
  <c r="J31" i="38" s="1"/>
  <c r="T45" i="40" a="1"/>
  <c r="T45" i="40" s="1"/>
  <c r="G26" i="40" a="1"/>
  <c r="G26" i="40" s="1"/>
  <c r="C27" i="46"/>
  <c r="U50" i="40" l="1" a="1"/>
  <c r="U50" i="40" s="1"/>
  <c r="H29" i="40" a="1"/>
  <c r="H29" i="40" s="1"/>
  <c r="Q50" i="40" a="1"/>
  <c r="Q50" i="40" s="1"/>
  <c r="D29" i="40" a="1"/>
  <c r="D29" i="40" s="1"/>
  <c r="AA64" i="191" a="1"/>
  <c r="AA64" i="191" s="1"/>
  <c r="AS72" i="191" a="1"/>
  <c r="AS72" i="191" s="1"/>
  <c r="AP66" i="191" a="1"/>
  <c r="AP66" i="191" s="1"/>
  <c r="T69" i="191" a="1"/>
  <c r="T69" i="191" s="1"/>
  <c r="AC60" i="191" a="1"/>
  <c r="AC60" i="191" s="1"/>
  <c r="AK67" i="191" a="1"/>
  <c r="AK67" i="191" s="1"/>
  <c r="K72" i="191" a="1"/>
  <c r="K72" i="191" s="1"/>
  <c r="E61" i="191" a="1"/>
  <c r="E61" i="191" s="1"/>
  <c r="S62" i="191" a="1"/>
  <c r="S62" i="191" s="1"/>
  <c r="AH60" i="191" a="1"/>
  <c r="AH60" i="191" s="1"/>
  <c r="T63" i="191" a="1"/>
  <c r="T63" i="191" s="1"/>
  <c r="Z72" i="191" a="1"/>
  <c r="Z72" i="191" s="1"/>
  <c r="L68" i="191" a="1"/>
  <c r="L68" i="191" s="1"/>
  <c r="Z63" i="191" a="1"/>
  <c r="Z63" i="191" s="1"/>
  <c r="V68" i="191" a="1"/>
  <c r="V68" i="191" s="1"/>
  <c r="AK71" i="191" a="1"/>
  <c r="AK71" i="191" s="1"/>
  <c r="K65" i="191" a="1"/>
  <c r="K65" i="191" s="1"/>
  <c r="U72" i="191" a="1"/>
  <c r="U72" i="191" s="1"/>
  <c r="C65" i="191" a="1"/>
  <c r="C65" i="191" s="1"/>
  <c r="AT65" i="191" a="1"/>
  <c r="AT65" i="191" s="1"/>
  <c r="L71" i="191" a="1"/>
  <c r="L71" i="191" s="1"/>
  <c r="AA66" i="191" a="1"/>
  <c r="AA66" i="191" s="1"/>
  <c r="AD66" i="191" a="1"/>
  <c r="AD66" i="191" s="1"/>
  <c r="AN64" i="191" a="1"/>
  <c r="AN64" i="191" s="1"/>
  <c r="X60" i="191" a="1"/>
  <c r="X60" i="191" s="1"/>
  <c r="AU70" i="191" a="1"/>
  <c r="AU70" i="191" s="1"/>
  <c r="AJ71" i="191" a="1"/>
  <c r="AJ71" i="191" s="1"/>
  <c r="AM64" i="191" a="1"/>
  <c r="AM64" i="191" s="1"/>
  <c r="K70" i="191" a="1"/>
  <c r="K70" i="191" s="1"/>
  <c r="AH64" i="191" a="1"/>
  <c r="AH64" i="191" s="1"/>
  <c r="AK62" i="191" a="1"/>
  <c r="AK62" i="191" s="1"/>
  <c r="K68" i="191" a="1"/>
  <c r="K68" i="191" s="1"/>
  <c r="I64" i="191" a="1"/>
  <c r="I64" i="191" s="1"/>
  <c r="AI62" i="191" a="1"/>
  <c r="AI62" i="191" s="1"/>
  <c r="AD62" i="191" a="1"/>
  <c r="AD62" i="191" s="1"/>
  <c r="V61" i="191" a="1"/>
  <c r="V61" i="191" s="1"/>
  <c r="E72" i="191" a="1"/>
  <c r="E72" i="191" s="1"/>
  <c r="AU65" i="191" a="1"/>
  <c r="AU65" i="191" s="1"/>
  <c r="AI72" i="191" a="1"/>
  <c r="AI72" i="191" s="1"/>
  <c r="AB64" i="191" a="1"/>
  <c r="AB64" i="191" s="1"/>
  <c r="I60" i="191" a="1"/>
  <c r="I60" i="191" s="1"/>
  <c r="AR72" i="191" a="1"/>
  <c r="AR72" i="191" s="1"/>
  <c r="P67" i="191" a="1"/>
  <c r="P67" i="191" s="1"/>
  <c r="G60" i="191" a="1"/>
  <c r="G60" i="191" s="1"/>
  <c r="AR69" i="191" a="1"/>
  <c r="AR69" i="191" s="1"/>
  <c r="AS60" i="191" a="1"/>
  <c r="AS60" i="191" s="1"/>
  <c r="AB69" i="191" a="1"/>
  <c r="AB69" i="191" s="1"/>
  <c r="M68" i="191" a="1"/>
  <c r="M68" i="191" s="1"/>
  <c r="P64" i="191" a="1"/>
  <c r="P64" i="191" s="1"/>
  <c r="AJ62" i="191" a="1"/>
  <c r="AJ62" i="191" s="1"/>
  <c r="AJ69" i="191" a="1"/>
  <c r="AJ69" i="191" s="1"/>
  <c r="C66" i="191" a="1"/>
  <c r="C66" i="191" s="1"/>
  <c r="AP72" i="191" a="1"/>
  <c r="AP72" i="191" s="1"/>
  <c r="W61" i="191" a="1"/>
  <c r="W61" i="191" s="1"/>
  <c r="K71" i="191" a="1"/>
  <c r="K71" i="191" s="1"/>
  <c r="P71" i="191" a="1"/>
  <c r="P71" i="191" s="1"/>
  <c r="AS61" i="191" a="1"/>
  <c r="AS61" i="191" s="1"/>
  <c r="AP65" i="191" a="1"/>
  <c r="AP65" i="191" s="1"/>
  <c r="AT67" i="191" a="1"/>
  <c r="AT67" i="191" s="1"/>
  <c r="X65" i="191" a="1"/>
  <c r="X65" i="191" s="1"/>
  <c r="AG67" i="191" a="1"/>
  <c r="AG67" i="191" s="1"/>
  <c r="AJ64" i="191" a="1"/>
  <c r="AJ64" i="191" s="1"/>
  <c r="AA65" i="191" a="1"/>
  <c r="AA65" i="191" s="1"/>
  <c r="AI70" i="191" a="1"/>
  <c r="AI70" i="191" s="1"/>
  <c r="H61" i="191" a="1"/>
  <c r="H61" i="191" s="1"/>
  <c r="N70" i="191" a="1"/>
  <c r="N70" i="191" s="1"/>
  <c r="E70" i="191" a="1"/>
  <c r="E70" i="191" s="1"/>
  <c r="E67" i="191" a="1"/>
  <c r="E67" i="191" s="1"/>
  <c r="Y66" i="191" a="1"/>
  <c r="Y66" i="191" s="1"/>
  <c r="D69" i="191" a="1"/>
  <c r="D69" i="191" s="1"/>
  <c r="AV61" i="191" a="1"/>
  <c r="AV61" i="191" s="1"/>
  <c r="M71" i="191" a="1"/>
  <c r="M71" i="191" s="1"/>
  <c r="C60" i="191" a="1"/>
  <c r="C60" i="191" s="1"/>
  <c r="R61" i="191" a="1"/>
  <c r="R61" i="191" s="1"/>
  <c r="X62" i="191" a="1"/>
  <c r="X62" i="191" s="1"/>
  <c r="F71" i="191" a="1"/>
  <c r="F71" i="191" s="1"/>
  <c r="AJ61" i="191" a="1"/>
  <c r="AJ61" i="191" s="1"/>
  <c r="AL66" i="191" a="1"/>
  <c r="AL66" i="191" s="1"/>
  <c r="AH66" i="191" a="1"/>
  <c r="AH66" i="191" s="1"/>
  <c r="E62" i="191" a="1"/>
  <c r="E62" i="191" s="1"/>
  <c r="S69" i="191" a="1"/>
  <c r="S69" i="191" s="1"/>
  <c r="AT71" i="191" a="1"/>
  <c r="AT71" i="191" s="1"/>
  <c r="C62" i="191" a="1"/>
  <c r="C62" i="191" s="1"/>
  <c r="R72" i="191" a="1"/>
  <c r="R72" i="191" s="1"/>
  <c r="Z66" i="191" a="1"/>
  <c r="Z66" i="191" s="1"/>
  <c r="AL69" i="191" a="1"/>
  <c r="AL69" i="191" s="1"/>
  <c r="AV70" i="191" a="1"/>
  <c r="AV70" i="191" s="1"/>
  <c r="J63" i="191" a="1"/>
  <c r="J63" i="191" s="1"/>
  <c r="AF64" i="191" a="1"/>
  <c r="AF64" i="191" s="1"/>
  <c r="S70" i="191" a="1"/>
  <c r="S70" i="191" s="1"/>
  <c r="Q69" i="191" a="1"/>
  <c r="Q69" i="191" s="1"/>
  <c r="Y69" i="191" a="1"/>
  <c r="Y69" i="191" s="1"/>
  <c r="S63" i="191" a="1"/>
  <c r="S63" i="191" s="1"/>
  <c r="M65" i="191" a="1"/>
  <c r="M65" i="191" s="1"/>
  <c r="AR70" i="191" a="1"/>
  <c r="AR70" i="191" s="1"/>
  <c r="AO63" i="191" a="1"/>
  <c r="AO63" i="191" s="1"/>
  <c r="T65" i="191" a="1"/>
  <c r="T65" i="191" s="1"/>
  <c r="AQ71" i="191" a="1"/>
  <c r="AQ71" i="191" s="1"/>
  <c r="K63" i="191" a="1"/>
  <c r="K63" i="191" s="1"/>
  <c r="AH69" i="191" a="1"/>
  <c r="AH69" i="191" s="1"/>
  <c r="F69" i="191" a="1"/>
  <c r="F69" i="191" s="1"/>
  <c r="V60" i="191" a="1"/>
  <c r="V60" i="191" s="1"/>
  <c r="AM68" i="191" a="1"/>
  <c r="AM68" i="191" s="1"/>
  <c r="AQ69" i="191" a="1"/>
  <c r="AQ69" i="191" s="1"/>
  <c r="AH65" i="191" a="1"/>
  <c r="AH65" i="191" s="1"/>
  <c r="U69" i="191" a="1"/>
  <c r="U69" i="191" s="1"/>
  <c r="AQ66" i="191" a="1"/>
  <c r="AQ66" i="191" s="1"/>
  <c r="AK63" i="191" a="1"/>
  <c r="AK63" i="191" s="1"/>
  <c r="N62" i="191" a="1"/>
  <c r="N62" i="191" s="1"/>
  <c r="AR63" i="191" a="1"/>
  <c r="AR63" i="191" s="1"/>
  <c r="J61" i="191" a="1"/>
  <c r="J61" i="191" s="1"/>
  <c r="AR60" i="191" a="1"/>
  <c r="AR60" i="191" s="1"/>
  <c r="AV68" i="191" a="1"/>
  <c r="AV68" i="191" s="1"/>
  <c r="H63" i="191" a="1"/>
  <c r="H63" i="191" s="1"/>
  <c r="AI65" i="191" a="1"/>
  <c r="AI65" i="191" s="1"/>
  <c r="AB72" i="191" a="1"/>
  <c r="AB72" i="191" s="1"/>
  <c r="U61" i="191" a="1"/>
  <c r="U61" i="191" s="1"/>
  <c r="G66" i="191" a="1"/>
  <c r="G66" i="191" s="1"/>
  <c r="T71" i="191" a="1"/>
  <c r="T71" i="191" s="1"/>
  <c r="O64" i="191" a="1"/>
  <c r="O64" i="191" s="1"/>
  <c r="C61" i="191" a="1"/>
  <c r="C61" i="191" s="1"/>
  <c r="U60" i="191" a="1"/>
  <c r="U60" i="191" s="1"/>
  <c r="AF60" i="191" a="1"/>
  <c r="AF60" i="191" s="1"/>
  <c r="AU60" i="191" a="1"/>
  <c r="AU60" i="191" s="1"/>
  <c r="AR71" i="191" a="1"/>
  <c r="AR71" i="191" s="1"/>
  <c r="AT60" i="191" a="1"/>
  <c r="AT60" i="191" s="1"/>
  <c r="M62" i="191" a="1"/>
  <c r="M62" i="191" s="1"/>
  <c r="Y67" i="191" a="1"/>
  <c r="Y67" i="191" s="1"/>
  <c r="AS62" i="191" a="1"/>
  <c r="AS62" i="191" s="1"/>
  <c r="Z68" i="191" a="1"/>
  <c r="Z68" i="191" s="1"/>
  <c r="R63" i="191" a="1"/>
  <c r="R63" i="191" s="1"/>
  <c r="AQ62" i="191" a="1"/>
  <c r="AQ62" i="191" s="1"/>
  <c r="AL62" i="191" a="1"/>
  <c r="AL62" i="191" s="1"/>
  <c r="L60" i="191" a="1"/>
  <c r="L60" i="191" s="1"/>
  <c r="AB70" i="191" a="1"/>
  <c r="AB70" i="191" s="1"/>
  <c r="P62" i="191" a="1"/>
  <c r="P62" i="191" s="1"/>
  <c r="AD63" i="191" a="1"/>
  <c r="AD63" i="191" s="1"/>
  <c r="U65" i="191" a="1"/>
  <c r="U65" i="191" s="1"/>
  <c r="H65" i="191" a="1"/>
  <c r="H65" i="191" s="1"/>
  <c r="F68" i="191" a="1"/>
  <c r="F68" i="191" s="1"/>
  <c r="AO71" i="191" a="1"/>
  <c r="AO71" i="191" s="1"/>
  <c r="K64" i="191" a="1"/>
  <c r="K64" i="191" s="1"/>
  <c r="K66" i="191" a="1"/>
  <c r="K66" i="191" s="1"/>
  <c r="V72" i="191" a="1"/>
  <c r="V72" i="191" s="1"/>
  <c r="J67" i="191" a="1"/>
  <c r="J67" i="191" s="1"/>
  <c r="T68" i="191" a="1"/>
  <c r="T68" i="191" s="1"/>
  <c r="I71" i="191" a="1"/>
  <c r="I71" i="191" s="1"/>
  <c r="D64" i="191" a="1"/>
  <c r="D64" i="191" s="1"/>
  <c r="AF69" i="191" a="1"/>
  <c r="AF69" i="191" s="1"/>
  <c r="AE60" i="191" a="1"/>
  <c r="AE60" i="191" s="1"/>
  <c r="AG68" i="191" a="1"/>
  <c r="AG68" i="191" s="1"/>
  <c r="AS63" i="191" a="1"/>
  <c r="AS63" i="191" s="1"/>
  <c r="G71" i="191" a="1"/>
  <c r="G71" i="191" s="1"/>
  <c r="P65" i="191" a="1"/>
  <c r="P65" i="191" s="1"/>
  <c r="AF66" i="191" a="1"/>
  <c r="AF66" i="191" s="1"/>
  <c r="X71" i="191" a="1"/>
  <c r="X71" i="191" s="1"/>
  <c r="AG61" i="191" a="1"/>
  <c r="AG61" i="191" s="1"/>
  <c r="AO60" i="191" a="1"/>
  <c r="AO60" i="191" s="1"/>
  <c r="R67" i="191" a="1"/>
  <c r="R67" i="191" s="1"/>
  <c r="V67" i="191" a="1"/>
  <c r="V67" i="191" s="1"/>
  <c r="AC69" i="191" a="1"/>
  <c r="AC69" i="191" s="1"/>
  <c r="AC61" i="191" a="1"/>
  <c r="AC61" i="191" s="1"/>
  <c r="M64" i="191" a="1"/>
  <c r="M64" i="191" s="1"/>
  <c r="L61" i="191" a="1"/>
  <c r="L61" i="191" s="1"/>
  <c r="Q67" i="191" a="1"/>
  <c r="Q67" i="191" s="1"/>
  <c r="S61" i="191" a="1"/>
  <c r="S61" i="191" s="1"/>
  <c r="AG66" i="191" a="1"/>
  <c r="AG66" i="191" s="1"/>
  <c r="D68" i="191" a="1"/>
  <c r="D68" i="191" s="1"/>
  <c r="Q70" i="191" a="1"/>
  <c r="Q70" i="191" s="1"/>
  <c r="Y63" i="191" a="1"/>
  <c r="Y63" i="191" s="1"/>
  <c r="W72" i="191" a="1"/>
  <c r="W72" i="191" s="1"/>
  <c r="U70" i="191" a="1"/>
  <c r="U70" i="191" s="1"/>
  <c r="AJ60" i="191" a="1"/>
  <c r="AJ60" i="191" s="1"/>
  <c r="AG64" i="191" a="1"/>
  <c r="AG64" i="191" s="1"/>
  <c r="AD72" i="191" a="1"/>
  <c r="AD72" i="191" s="1"/>
  <c r="AF65" i="191" a="1"/>
  <c r="AF65" i="191" s="1"/>
  <c r="AA69" i="191" a="1"/>
  <c r="AA69" i="191" s="1"/>
  <c r="D60" i="191" a="1"/>
  <c r="D60" i="191" s="1"/>
  <c r="AG62" i="191" a="1"/>
  <c r="AG62" i="191" s="1"/>
  <c r="X72" i="191" a="1"/>
  <c r="X72" i="191" s="1"/>
  <c r="M61" i="191" a="1"/>
  <c r="M61" i="191" s="1"/>
  <c r="AH62" i="191" a="1"/>
  <c r="AH62" i="191" s="1"/>
  <c r="V69" i="191" a="1"/>
  <c r="V69" i="191" s="1"/>
  <c r="AB63" i="191" a="1"/>
  <c r="AB63" i="191" s="1"/>
  <c r="AH72" i="191" a="1"/>
  <c r="AH72" i="191" s="1"/>
  <c r="AS68" i="191" a="1"/>
  <c r="AS68" i="191" s="1"/>
  <c r="D62" i="191" a="1"/>
  <c r="D62" i="191" s="1"/>
  <c r="AB71" i="191" a="1"/>
  <c r="AB71" i="191" s="1"/>
  <c r="E60" i="191" a="1"/>
  <c r="E60" i="191" s="1"/>
  <c r="M72" i="191" a="1"/>
  <c r="M72" i="191" s="1"/>
  <c r="AA63" i="191" a="1"/>
  <c r="AA63" i="191" s="1"/>
  <c r="K67" i="191" a="1"/>
  <c r="K67" i="191" s="1"/>
  <c r="AP67" i="191" a="1"/>
  <c r="AP67" i="191" s="1"/>
  <c r="C64" i="191" a="1"/>
  <c r="C64" i="191" s="1"/>
  <c r="R64" i="191" a="1"/>
  <c r="R64" i="191" s="1"/>
  <c r="AN63" i="191" a="1"/>
  <c r="AN63" i="191" s="1"/>
  <c r="AQ61" i="191" a="1"/>
  <c r="AQ61" i="191" s="1"/>
  <c r="AO69" i="191" a="1"/>
  <c r="AO69" i="191" s="1"/>
  <c r="AO67" i="191" a="1"/>
  <c r="AO67" i="191" s="1"/>
  <c r="F66" i="191" a="1"/>
  <c r="F66" i="191" s="1"/>
  <c r="AV69" i="191" a="1"/>
  <c r="AV69" i="191" s="1"/>
  <c r="AF68" i="191" a="1"/>
  <c r="AF68" i="191" s="1"/>
  <c r="AN65" i="191" a="1"/>
  <c r="AN65" i="191" s="1"/>
  <c r="AG70" i="191" a="1"/>
  <c r="AG70" i="191" s="1"/>
  <c r="AB61" i="191" a="1"/>
  <c r="AB61" i="191" s="1"/>
  <c r="O67" i="191" a="1"/>
  <c r="O67" i="191" s="1"/>
  <c r="AP69" i="191" a="1"/>
  <c r="AP69" i="191" s="1"/>
  <c r="AU66" i="191" a="1"/>
  <c r="AU66" i="191" s="1"/>
  <c r="AK69" i="191" a="1"/>
  <c r="AK69" i="191" s="1"/>
  <c r="Y70" i="191" a="1"/>
  <c r="Y70" i="191" s="1"/>
  <c r="W60" i="191" a="1"/>
  <c r="W60" i="191" s="1"/>
  <c r="H68" i="191" a="1"/>
  <c r="H68" i="191" s="1"/>
  <c r="AI64" i="191" a="1"/>
  <c r="AI64" i="191" s="1"/>
  <c r="I66" i="191" a="1"/>
  <c r="I66" i="191" s="1"/>
  <c r="S67" i="191" a="1"/>
  <c r="S67" i="191" s="1"/>
  <c r="X67" i="191" a="1"/>
  <c r="X67" i="191" s="1"/>
  <c r="F63" i="191" a="1"/>
  <c r="F63" i="191" s="1"/>
  <c r="Z70" i="191" a="1"/>
  <c r="Z70" i="191" s="1"/>
  <c r="AC68" i="191" a="1"/>
  <c r="AC68" i="191" s="1"/>
  <c r="AS67" i="191" a="1"/>
  <c r="AS67" i="191" s="1"/>
  <c r="V65" i="191" a="1"/>
  <c r="V65" i="191" s="1"/>
  <c r="AV62" i="191" a="1"/>
  <c r="AV62" i="191" s="1"/>
  <c r="AR62" i="191" a="1"/>
  <c r="AR62" i="191" s="1"/>
  <c r="O62" i="191" a="1"/>
  <c r="O62" i="191" s="1"/>
  <c r="AR64" i="191" a="1"/>
  <c r="AR64" i="191" s="1"/>
  <c r="W66" i="191" a="1"/>
  <c r="W66" i="191" s="1"/>
  <c r="AL70" i="191" a="1"/>
  <c r="AL70" i="191" s="1"/>
  <c r="AU61" i="191" a="1"/>
  <c r="AU61" i="191" s="1"/>
  <c r="AM60" i="191" a="1"/>
  <c r="AM60" i="191" s="1"/>
  <c r="AC71" i="191" a="1"/>
  <c r="AC71" i="191" s="1"/>
  <c r="AJ67" i="191" a="1"/>
  <c r="AJ67" i="191" s="1"/>
  <c r="AV72" i="191" a="1"/>
  <c r="AV72" i="191" s="1"/>
  <c r="U64" i="191" a="1"/>
  <c r="U64" i="191" s="1"/>
  <c r="Q60" i="191" a="1"/>
  <c r="Q60" i="191" s="1"/>
  <c r="P68" i="191" a="1"/>
  <c r="P68" i="191" s="1"/>
  <c r="AQ72" i="191" a="1"/>
  <c r="AQ72" i="191" s="1"/>
  <c r="I61" i="191" a="1"/>
  <c r="I61" i="191" s="1"/>
  <c r="Q68" i="191" a="1"/>
  <c r="Q68" i="191" s="1"/>
  <c r="AL64" i="191" a="1"/>
  <c r="AL64" i="191" s="1"/>
  <c r="U62" i="191" a="1"/>
  <c r="U62" i="191" s="1"/>
  <c r="G69" i="191" a="1"/>
  <c r="G69" i="191" s="1"/>
  <c r="AC67" i="191" a="1"/>
  <c r="AC67" i="191" s="1"/>
  <c r="AJ65" i="191" a="1"/>
  <c r="AJ65" i="191" s="1"/>
  <c r="AV64" i="191" a="1"/>
  <c r="AV64" i="191" s="1"/>
  <c r="N67" i="191" a="1"/>
  <c r="N67" i="191" s="1"/>
  <c r="P72" i="191" a="1"/>
  <c r="P72" i="191" s="1"/>
  <c r="T60" i="191" a="1"/>
  <c r="T60" i="191" s="1"/>
  <c r="AP61" i="191" a="1"/>
  <c r="AP61" i="191" s="1"/>
  <c r="N71" i="191" a="1"/>
  <c r="N71" i="191" s="1"/>
  <c r="Z60" i="191" a="1"/>
  <c r="Z60" i="191" s="1"/>
  <c r="AV71" i="191" a="1"/>
  <c r="AV71" i="191" s="1"/>
  <c r="AO66" i="191" a="1"/>
  <c r="AO66" i="191" s="1"/>
  <c r="S68" i="191" a="1"/>
  <c r="S68" i="191" s="1"/>
  <c r="C72" i="191" a="1"/>
  <c r="C72" i="191" s="1"/>
  <c r="AC72" i="191" a="1"/>
  <c r="AC72" i="191" s="1"/>
  <c r="AL65" i="191" a="1"/>
  <c r="AL65" i="191" s="1"/>
  <c r="AN71" i="191" a="1"/>
  <c r="AN71" i="191" s="1"/>
  <c r="M60" i="191" a="1"/>
  <c r="M60" i="191" s="1"/>
  <c r="AT69" i="191" a="1"/>
  <c r="AT69" i="191" s="1"/>
  <c r="V71" i="191" a="1"/>
  <c r="V71" i="191" s="1"/>
  <c r="AI60" i="191" a="1"/>
  <c r="AI60" i="191" s="1"/>
  <c r="O70" i="191" a="1"/>
  <c r="O70" i="191" s="1"/>
  <c r="M66" i="191" a="1"/>
  <c r="M66" i="191" s="1"/>
  <c r="AA61" i="191" a="1"/>
  <c r="AA61" i="191" s="1"/>
  <c r="AN66" i="191" a="1"/>
  <c r="AN66" i="191" s="1"/>
  <c r="W65" i="191" a="1"/>
  <c r="W65" i="191" s="1"/>
  <c r="AT66" i="191" a="1"/>
  <c r="AT66" i="191" s="1"/>
  <c r="AG63" i="191" a="1"/>
  <c r="AG63" i="191" s="1"/>
  <c r="Q62" i="191" a="1"/>
  <c r="Q62" i="191" s="1"/>
  <c r="J69" i="191" a="1"/>
  <c r="J69" i="191" s="1"/>
  <c r="J65" i="191" a="1"/>
  <c r="J65" i="191" s="1"/>
  <c r="AT64" i="191" a="1"/>
  <c r="AT64" i="191" s="1"/>
  <c r="AR68" i="191" a="1"/>
  <c r="AR68" i="191" s="1"/>
  <c r="AM65" i="191" a="1"/>
  <c r="AM65" i="191" s="1"/>
  <c r="AG69" i="191" a="1"/>
  <c r="AG69" i="191" s="1"/>
  <c r="AD68" i="191" a="1"/>
  <c r="AD68" i="191" s="1"/>
  <c r="AO62" i="191" a="1"/>
  <c r="AO62" i="191" s="1"/>
  <c r="AF72" i="191" a="1"/>
  <c r="AF72" i="191" s="1"/>
  <c r="J64" i="191" a="1"/>
  <c r="J64" i="191" s="1"/>
  <c r="X61" i="191" a="1"/>
  <c r="X61" i="191" s="1"/>
  <c r="D61" i="191" a="1"/>
  <c r="D61" i="191" s="1"/>
  <c r="AJ63" i="191" a="1"/>
  <c r="AJ63" i="191" s="1"/>
  <c r="AC66" i="191" a="1"/>
  <c r="AC66" i="191" s="1"/>
  <c r="E69" i="191" a="1"/>
  <c r="E69" i="191" s="1"/>
  <c r="AP63" i="191" a="1"/>
  <c r="AP63" i="191" s="1"/>
  <c r="AP71" i="191" a="1"/>
  <c r="AP71" i="191" s="1"/>
  <c r="AR61" i="191" a="1"/>
  <c r="AR61" i="191" s="1"/>
  <c r="AO65" i="191" a="1"/>
  <c r="AO65" i="191" s="1"/>
  <c r="AJ72" i="191" a="1"/>
  <c r="AJ72" i="191" s="1"/>
  <c r="AB60" i="191" a="1"/>
  <c r="AB60" i="191" s="1"/>
  <c r="N66" i="191" a="1"/>
  <c r="N66" i="191" s="1"/>
  <c r="AH71" i="191" a="1"/>
  <c r="AH71" i="191" s="1"/>
  <c r="I67" i="191" a="1"/>
  <c r="I67" i="191" s="1"/>
  <c r="AQ68" i="191" a="1"/>
  <c r="AQ68" i="191" s="1"/>
  <c r="G65" i="191" a="1"/>
  <c r="G65" i="191" s="1"/>
  <c r="AN60" i="191" a="1"/>
  <c r="AN60" i="191" s="1"/>
  <c r="AJ68" i="191" a="1"/>
  <c r="AJ68" i="191" s="1"/>
  <c r="F72" i="191" a="1"/>
  <c r="F72" i="191" s="1"/>
  <c r="N68" i="191" a="1"/>
  <c r="N68" i="191" s="1"/>
  <c r="AF70" i="191" a="1"/>
  <c r="AF70" i="191" s="1"/>
  <c r="AI71" i="191" a="1"/>
  <c r="AI71" i="191" s="1"/>
  <c r="AE61" i="191" a="1"/>
  <c r="AE61" i="191" s="1"/>
  <c r="W63" i="191" a="1"/>
  <c r="W63" i="191" s="1"/>
  <c r="AM66" i="191" a="1"/>
  <c r="AM66" i="191" s="1"/>
  <c r="G62" i="191" a="1"/>
  <c r="G62" i="191" s="1"/>
  <c r="C71" i="191" a="1"/>
  <c r="C71" i="191" s="1"/>
  <c r="AH70" i="191" a="1"/>
  <c r="AH70" i="191" s="1"/>
  <c r="X64" i="191" a="1"/>
  <c r="X64" i="191" s="1"/>
  <c r="R65" i="191" a="1"/>
  <c r="R65" i="191" s="1"/>
  <c r="Y71" i="191" a="1"/>
  <c r="Y71" i="191" s="1"/>
  <c r="AC64" i="191" a="1"/>
  <c r="AC64" i="191" s="1"/>
  <c r="AP70" i="191" a="1"/>
  <c r="AP70" i="191" s="1"/>
  <c r="R62" i="191" a="1"/>
  <c r="R62" i="191" s="1"/>
  <c r="AV60" i="191" a="1"/>
  <c r="AV60" i="191" s="1"/>
  <c r="AN68" i="191" a="1"/>
  <c r="AN68" i="191" s="1"/>
  <c r="L67" i="191" a="1"/>
  <c r="L67" i="191" s="1"/>
  <c r="P61" i="191" a="1"/>
  <c r="P61" i="191" s="1"/>
  <c r="P69" i="191" a="1"/>
  <c r="P69" i="191" s="1"/>
  <c r="J62" i="191" a="1"/>
  <c r="J62" i="191" s="1"/>
  <c r="W71" i="191" a="1"/>
  <c r="W71" i="191" s="1"/>
  <c r="H67" i="191" a="1"/>
  <c r="H67" i="191" s="1"/>
  <c r="Z61" i="191" a="1"/>
  <c r="Z61" i="191" s="1"/>
  <c r="I70" i="191" a="1"/>
  <c r="I70" i="191" s="1"/>
  <c r="X70" i="191" a="1"/>
  <c r="X70" i="191" s="1"/>
  <c r="F64" i="191" a="1"/>
  <c r="F64" i="191" s="1"/>
  <c r="O71" i="191" a="1"/>
  <c r="O71" i="191" s="1"/>
  <c r="AM67" i="191" a="1"/>
  <c r="AM67" i="191" s="1"/>
  <c r="Z67" i="191" a="1"/>
  <c r="Z67" i="191" s="1"/>
  <c r="AL71" i="191" a="1"/>
  <c r="AL71" i="191" s="1"/>
  <c r="AH68" i="191" a="1"/>
  <c r="AH68" i="191" s="1"/>
  <c r="U68" i="191" a="1"/>
  <c r="U68" i="191" s="1"/>
  <c r="AF63" i="191" a="1"/>
  <c r="AF63" i="191" s="1"/>
  <c r="AD67" i="191" a="1"/>
  <c r="AD67" i="191" s="1"/>
  <c r="M70" i="191" a="1"/>
  <c r="M70" i="191" s="1"/>
  <c r="S60" i="191" a="1"/>
  <c r="S60" i="191" s="1"/>
  <c r="Z64" i="191" a="1"/>
  <c r="Z64" i="191" s="1"/>
  <c r="P70" i="191" a="1"/>
  <c r="P70" i="191" s="1"/>
  <c r="F67" i="191" a="1"/>
  <c r="F67" i="191" s="1"/>
  <c r="O69" i="191" a="1"/>
  <c r="O69" i="191" s="1"/>
  <c r="J60" i="191" a="1"/>
  <c r="J60" i="191" s="1"/>
  <c r="Q65" i="191" a="1"/>
  <c r="Q65" i="191" s="1"/>
  <c r="AP60" i="191" a="1"/>
  <c r="AP60" i="191" s="1"/>
  <c r="W67" i="191" a="1"/>
  <c r="W67" i="191" s="1"/>
  <c r="AG71" i="191" a="1"/>
  <c r="AG71" i="191" s="1"/>
  <c r="L66" i="191" a="1"/>
  <c r="L66" i="191" s="1"/>
  <c r="AA71" i="191" a="1"/>
  <c r="AA71" i="191" s="1"/>
  <c r="Q66" i="191" a="1"/>
  <c r="Q66" i="191" s="1"/>
  <c r="I63" i="191" a="1"/>
  <c r="I63" i="191" s="1"/>
  <c r="J72" i="191" a="1"/>
  <c r="J72" i="191" s="1"/>
  <c r="AV66" i="191" a="1"/>
  <c r="AV66" i="191" s="1"/>
  <c r="AQ63" i="191" a="1"/>
  <c r="AQ63" i="191" s="1"/>
  <c r="T64" i="191" a="1"/>
  <c r="T64" i="191" s="1"/>
  <c r="AK72" i="191" a="1"/>
  <c r="AK72" i="191" s="1"/>
  <c r="V64" i="191" a="1"/>
  <c r="V64" i="191" s="1"/>
  <c r="L69" i="191" a="1"/>
  <c r="L69" i="191" s="1"/>
  <c r="Y64" i="191" a="1"/>
  <c r="Y64" i="191" s="1"/>
  <c r="H70" i="191" a="1"/>
  <c r="H70" i="191" s="1"/>
  <c r="J70" i="191" a="1"/>
  <c r="J70" i="191" s="1"/>
  <c r="AQ60" i="191" a="1"/>
  <c r="AQ60" i="191" s="1"/>
  <c r="AS64" i="191" a="1"/>
  <c r="AS64" i="191" s="1"/>
  <c r="V70" i="191" a="1"/>
  <c r="V70" i="191" s="1"/>
  <c r="L63" i="191" a="1"/>
  <c r="L63" i="191" s="1"/>
  <c r="S72" i="191" a="1"/>
  <c r="S72" i="191" s="1"/>
  <c r="AE71" i="191" a="1"/>
  <c r="AE71" i="191" s="1"/>
  <c r="N64" i="191" a="1"/>
  <c r="N64" i="191" s="1"/>
  <c r="I68" i="191" a="1"/>
  <c r="I68" i="191" s="1"/>
  <c r="AD69" i="191" a="1"/>
  <c r="AD69" i="191" s="1"/>
  <c r="D63" i="191" a="1"/>
  <c r="D63" i="191" s="1"/>
  <c r="N72" i="191" a="1"/>
  <c r="N72" i="191" s="1"/>
  <c r="H66" i="191" a="1"/>
  <c r="H66" i="191" s="1"/>
  <c r="K62" i="191" a="1"/>
  <c r="K62" i="191" s="1"/>
  <c r="D71" i="191" a="1"/>
  <c r="D71" i="191" s="1"/>
  <c r="U66" i="191" a="1"/>
  <c r="U66" i="191" s="1"/>
  <c r="AT72" i="191" a="1"/>
  <c r="AT72" i="191" s="1"/>
  <c r="AH67" i="191" a="1"/>
  <c r="AH67" i="191" s="1"/>
  <c r="G63" i="191" a="1"/>
  <c r="G63" i="191" s="1"/>
  <c r="L65" i="191" a="1"/>
  <c r="L65" i="191" s="1"/>
  <c r="H69" i="191" a="1"/>
  <c r="H69" i="191" s="1"/>
  <c r="E63" i="191" a="1"/>
  <c r="E63" i="191" s="1"/>
  <c r="AM71" i="191" a="1"/>
  <c r="AM71" i="191" s="1"/>
  <c r="Y62" i="191" a="1"/>
  <c r="Y62" i="191" s="1"/>
  <c r="AJ70" i="191" a="1"/>
  <c r="AJ70" i="191" s="1"/>
  <c r="O66" i="191" a="1"/>
  <c r="O66" i="191" s="1"/>
  <c r="AU62" i="191" a="1"/>
  <c r="AU62" i="191" s="1"/>
  <c r="Y65" i="191" a="1"/>
  <c r="Y65" i="191" s="1"/>
  <c r="N65" i="191" a="1"/>
  <c r="N65" i="191" s="1"/>
  <c r="AI63" i="191" a="1"/>
  <c r="AI63" i="191" s="1"/>
  <c r="AL68" i="191" a="1"/>
  <c r="AL68" i="191" s="1"/>
  <c r="Q64" i="191" a="1"/>
  <c r="Q64" i="191" s="1"/>
  <c r="R66" i="191" a="1"/>
  <c r="R66" i="191" s="1"/>
  <c r="AF71" i="191" a="1"/>
  <c r="AF71" i="191" s="1"/>
  <c r="AL60" i="191" a="1"/>
  <c r="AL60" i="191" s="1"/>
  <c r="AA68" i="191" a="1"/>
  <c r="AA68" i="191" s="1"/>
  <c r="C70" i="191" a="1"/>
  <c r="C70" i="191" s="1"/>
  <c r="AK66" i="191" a="1"/>
  <c r="AK66" i="191" s="1"/>
  <c r="AM69" i="191" a="1"/>
  <c r="AM69" i="191" s="1"/>
  <c r="S65" i="191" a="1"/>
  <c r="S65" i="191" s="1"/>
  <c r="AF61" i="191" a="1"/>
  <c r="AF61" i="191" s="1"/>
  <c r="AS70" i="191" a="1"/>
  <c r="AS70" i="191" s="1"/>
  <c r="I62" i="191" a="1"/>
  <c r="I62" i="191" s="1"/>
  <c r="AC62" i="191" a="1"/>
  <c r="AC62" i="191" s="1"/>
  <c r="H62" i="191" a="1"/>
  <c r="H62" i="191" s="1"/>
  <c r="AU67" i="191" a="1"/>
  <c r="AU67" i="191" s="1"/>
  <c r="AK68" i="191" a="1"/>
  <c r="AK68" i="191" s="1"/>
  <c r="AN70" i="191" a="1"/>
  <c r="AN70" i="191" s="1"/>
  <c r="D65" i="191" a="1"/>
  <c r="D65" i="191" s="1"/>
  <c r="W68" i="191" a="1"/>
  <c r="W68" i="191" s="1"/>
  <c r="I72" i="191" a="1"/>
  <c r="I72" i="191" s="1"/>
  <c r="Q61" i="191" a="1"/>
  <c r="Q61" i="191" s="1"/>
  <c r="X68" i="191" a="1"/>
  <c r="X68" i="191" s="1"/>
  <c r="AP62" i="191" a="1"/>
  <c r="AP62" i="191" s="1"/>
  <c r="AT68" i="191" a="1"/>
  <c r="AT68" i="191" s="1"/>
  <c r="AQ64" i="191" a="1"/>
  <c r="AQ64" i="191" s="1"/>
  <c r="F60" i="191" a="1"/>
  <c r="F60" i="191" s="1"/>
  <c r="Y72" i="191" a="1"/>
  <c r="Y72" i="191" s="1"/>
  <c r="S64" i="191" a="1"/>
  <c r="S64" i="191" s="1"/>
  <c r="AD71" i="191" a="1"/>
  <c r="AD71" i="191" s="1"/>
  <c r="AK65" i="191" a="1"/>
  <c r="AK65" i="191" s="1"/>
  <c r="AH61" i="191" a="1"/>
  <c r="AH61" i="191" s="1"/>
  <c r="G70" i="191" a="1"/>
  <c r="G70" i="191" s="1"/>
  <c r="N69" i="191" a="1"/>
  <c r="N69" i="191" s="1"/>
  <c r="L64" i="191" a="1"/>
  <c r="L64" i="191" s="1"/>
  <c r="AV63" i="191" a="1"/>
  <c r="AV63" i="191" s="1"/>
  <c r="AN62" i="191" a="1"/>
  <c r="AN62" i="191" s="1"/>
  <c r="AU63" i="191" a="1"/>
  <c r="AU63" i="191" s="1"/>
  <c r="AM70" i="191" a="1"/>
  <c r="AM70" i="191" s="1"/>
  <c r="AT62" i="191" a="1"/>
  <c r="AT62" i="191" s="1"/>
  <c r="AE66" i="191" a="1"/>
  <c r="AE66" i="191" s="1"/>
  <c r="AI67" i="191" a="1"/>
  <c r="AI67" i="191" s="1"/>
  <c r="U71" i="191" a="1"/>
  <c r="U71" i="191" s="1"/>
  <c r="AC70" i="191" a="1"/>
  <c r="AC70" i="191" s="1"/>
  <c r="AA60" i="191" a="1"/>
  <c r="AA60" i="191" s="1"/>
  <c r="AO61" i="191" a="1"/>
  <c r="AO61" i="191" s="1"/>
  <c r="AP68" i="191" a="1"/>
  <c r="AP68" i="191" s="1"/>
  <c r="T66" i="191" a="1"/>
  <c r="T66" i="191" s="1"/>
  <c r="AI61" i="191" a="1"/>
  <c r="AI61" i="191" s="1"/>
  <c r="N61" i="191" a="1"/>
  <c r="N61" i="191" s="1"/>
  <c r="W64" i="191" a="1"/>
  <c r="W64" i="191" s="1"/>
  <c r="AE70" i="191" a="1"/>
  <c r="AE70" i="191" s="1"/>
  <c r="T61" i="191" a="1"/>
  <c r="T61" i="191" s="1"/>
  <c r="G61" i="191" a="1"/>
  <c r="G61" i="191" s="1"/>
  <c r="R69" i="191" a="1"/>
  <c r="R69" i="191" s="1"/>
  <c r="F61" i="191" a="1"/>
  <c r="F61" i="191" s="1"/>
  <c r="AU72" i="191" a="1"/>
  <c r="AU72" i="191" s="1"/>
  <c r="L72" i="191" a="1"/>
  <c r="L72" i="191" s="1"/>
  <c r="AS65" i="191" a="1"/>
  <c r="AS65" i="191" s="1"/>
  <c r="AE72" i="191" a="1"/>
  <c r="AE72" i="191" s="1"/>
  <c r="X63" i="191" a="1"/>
  <c r="X63" i="191" s="1"/>
  <c r="G72" i="191" a="1"/>
  <c r="G72" i="191" s="1"/>
  <c r="P60" i="191" a="1"/>
  <c r="P60" i="191" s="1"/>
  <c r="AO70" i="191" a="1"/>
  <c r="AO70" i="191" s="1"/>
  <c r="R60" i="191" a="1"/>
  <c r="R60" i="191" s="1"/>
  <c r="AD60" i="191" a="1"/>
  <c r="AD60" i="191" s="1"/>
  <c r="D70" i="191" a="1"/>
  <c r="D70" i="191" s="1"/>
  <c r="AD65" i="191" a="1"/>
  <c r="AD65" i="191" s="1"/>
  <c r="H60" i="191" a="1"/>
  <c r="H60" i="191" s="1"/>
  <c r="AQ67" i="191" a="1"/>
  <c r="AQ67" i="191" s="1"/>
  <c r="X69" i="191" a="1"/>
  <c r="X69" i="191" s="1"/>
  <c r="X66" i="191" a="1"/>
  <c r="X66" i="191" s="1"/>
  <c r="V62" i="191" a="1"/>
  <c r="V62" i="191" s="1"/>
  <c r="P66" i="191" a="1"/>
  <c r="P66" i="191" s="1"/>
  <c r="AM63" i="191" a="1"/>
  <c r="AM63" i="191" s="1"/>
  <c r="AF67" i="191" a="1"/>
  <c r="AF67" i="191" s="1"/>
  <c r="N63" i="191" a="1"/>
  <c r="N63" i="191" s="1"/>
  <c r="Q71" i="191" a="1"/>
  <c r="Q71" i="191" s="1"/>
  <c r="C67" i="191" a="1"/>
  <c r="C67" i="191" s="1"/>
  <c r="AN69" i="191" a="1"/>
  <c r="AN69" i="191" s="1"/>
  <c r="AU71" i="191" a="1"/>
  <c r="AU71" i="191" s="1"/>
  <c r="AL61" i="191" a="1"/>
  <c r="AL61" i="191" s="1"/>
  <c r="AQ65" i="191" a="1"/>
  <c r="AQ65" i="191" s="1"/>
  <c r="W62" i="191" a="1"/>
  <c r="W62" i="191" s="1"/>
  <c r="E64" i="191" a="1"/>
  <c r="E64" i="191" s="1"/>
  <c r="AD70" i="191" a="1"/>
  <c r="AD70" i="191" s="1"/>
  <c r="AB68" i="191" a="1"/>
  <c r="AB68" i="191" s="1"/>
  <c r="D67" i="191" a="1"/>
  <c r="D67" i="191" s="1"/>
  <c r="R70" i="191" a="1"/>
  <c r="R70" i="191" s="1"/>
  <c r="O60" i="191" a="1"/>
  <c r="O60" i="191" s="1"/>
  <c r="J71" i="191" a="1"/>
  <c r="J71" i="191" s="1"/>
  <c r="Y68" i="191" a="1"/>
  <c r="Y68" i="191" s="1"/>
  <c r="AE64" i="191" a="1"/>
  <c r="AE64" i="191" s="1"/>
  <c r="S71" i="191" a="1"/>
  <c r="S71" i="191" s="1"/>
  <c r="D72" i="191" a="1"/>
  <c r="D72" i="191" s="1"/>
  <c r="AP64" i="191" a="1"/>
  <c r="AP64" i="191" s="1"/>
  <c r="AG72" i="191" a="1"/>
  <c r="AG72" i="191" s="1"/>
  <c r="Z62" i="191" a="1"/>
  <c r="Z62" i="191" s="1"/>
  <c r="AL67" i="191" a="1"/>
  <c r="AL67" i="191" s="1"/>
  <c r="AD64" i="191" a="1"/>
  <c r="AD64" i="191" s="1"/>
  <c r="AI66" i="191" a="1"/>
  <c r="AI66" i="191" s="1"/>
  <c r="AA70" i="191" a="1"/>
  <c r="AA70" i="191" s="1"/>
  <c r="AA67" i="191" a="1"/>
  <c r="AA67" i="191" s="1"/>
  <c r="AI68" i="191" a="1"/>
  <c r="AI68" i="191" s="1"/>
  <c r="H71" i="191" a="1"/>
  <c r="H71" i="191" s="1"/>
  <c r="AR66" i="191" a="1"/>
  <c r="AR66" i="191" s="1"/>
  <c r="AU69" i="191" a="1"/>
  <c r="AU69" i="191" s="1"/>
  <c r="AL72" i="191" a="1"/>
  <c r="AL72" i="191" s="1"/>
  <c r="AN61" i="191" a="1"/>
  <c r="AN61" i="191" s="1"/>
  <c r="E71" i="191" a="1"/>
  <c r="E71" i="191" s="1"/>
  <c r="E68" i="191" a="1"/>
  <c r="E68" i="191" s="1"/>
  <c r="AB62" i="191" a="1"/>
  <c r="AB62" i="191" s="1"/>
  <c r="W70" i="191" a="1"/>
  <c r="W70" i="191" s="1"/>
  <c r="O68" i="191" a="1"/>
  <c r="O68" i="191" s="1"/>
  <c r="E65" i="191" a="1"/>
  <c r="E65" i="191" s="1"/>
  <c r="AT70" i="191" a="1"/>
  <c r="AT70" i="191" s="1"/>
  <c r="AG60" i="191" a="1"/>
  <c r="AG60" i="191" s="1"/>
  <c r="AL63" i="191" a="1"/>
  <c r="AL63" i="191" s="1"/>
  <c r="R68" i="191" a="1"/>
  <c r="R68" i="191" s="1"/>
  <c r="Y61" i="191" a="1"/>
  <c r="Y61" i="191" s="1"/>
  <c r="AE68" i="191" a="1"/>
  <c r="AE68" i="191" s="1"/>
  <c r="P63" i="191" a="1"/>
  <c r="P63" i="191" s="1"/>
  <c r="M67" i="191" a="1"/>
  <c r="M67" i="191" s="1"/>
  <c r="W69" i="191" a="1"/>
  <c r="W69" i="191" s="1"/>
  <c r="AM62" i="191" a="1"/>
  <c r="AM62" i="191" s="1"/>
  <c r="G64" i="191" a="1"/>
  <c r="G64" i="191" s="1"/>
  <c r="O65" i="191" a="1"/>
  <c r="O65" i="191" s="1"/>
  <c r="AE67" i="191" a="1"/>
  <c r="AE67" i="191" s="1"/>
  <c r="K61" i="191" a="1"/>
  <c r="K61" i="191" s="1"/>
  <c r="S66" i="191" a="1"/>
  <c r="S66" i="191" s="1"/>
  <c r="L62" i="191" a="1"/>
  <c r="L62" i="191" s="1"/>
  <c r="Z71" i="191" a="1"/>
  <c r="Z71" i="191" s="1"/>
  <c r="Q63" i="191" a="1"/>
  <c r="Q63" i="191" s="1"/>
  <c r="Q72" i="191" a="1"/>
  <c r="Q72" i="191" s="1"/>
  <c r="F70" i="191" a="1"/>
  <c r="F70" i="191" s="1"/>
  <c r="AK64" i="191" a="1"/>
  <c r="AK64" i="191" s="1"/>
  <c r="C63" i="191" a="1"/>
  <c r="C63" i="191" s="1"/>
  <c r="AN72" i="191" a="1"/>
  <c r="AN72" i="191" s="1"/>
  <c r="O72" i="191" a="1"/>
  <c r="O72" i="191" s="1"/>
  <c r="N60" i="191" a="1"/>
  <c r="N60" i="191" s="1"/>
  <c r="AI69" i="191" a="1"/>
  <c r="AI69" i="191" s="1"/>
  <c r="H72" i="191" a="1"/>
  <c r="H72" i="191" s="1"/>
  <c r="AB65" i="191" a="1"/>
  <c r="AB65" i="191" s="1"/>
  <c r="M69" i="191" a="1"/>
  <c r="M69" i="191" s="1"/>
  <c r="AJ66" i="191" a="1"/>
  <c r="AJ66" i="191" s="1"/>
  <c r="T70" i="191" a="1"/>
  <c r="T70" i="191" s="1"/>
  <c r="F62" i="191" a="1"/>
  <c r="F62" i="191" s="1"/>
  <c r="AV65" i="191" a="1"/>
  <c r="AV65" i="191" s="1"/>
  <c r="T62" i="191" a="1"/>
  <c r="T62" i="191" s="1"/>
  <c r="L70" i="191" a="1"/>
  <c r="L70" i="191" s="1"/>
  <c r="AB66" i="191" a="1"/>
  <c r="AB66" i="191" s="1"/>
  <c r="AA72" i="191" a="1"/>
  <c r="AA72" i="191" s="1"/>
  <c r="AR65" i="191" a="1"/>
  <c r="AR65" i="191" s="1"/>
  <c r="AS69" i="191" a="1"/>
  <c r="AS69" i="191" s="1"/>
  <c r="AK60" i="191" a="1"/>
  <c r="AK60" i="191" s="1"/>
  <c r="K60" i="191" a="1"/>
  <c r="K60" i="191" s="1"/>
  <c r="AE69" i="191" a="1"/>
  <c r="AE69" i="191" s="1"/>
  <c r="T72" i="191" a="1"/>
  <c r="T72" i="191" s="1"/>
  <c r="U63" i="191" a="1"/>
  <c r="U63" i="191" s="1"/>
  <c r="C69" i="191" a="1"/>
  <c r="C69" i="191" s="1"/>
  <c r="AR67" i="191" a="1"/>
  <c r="AR67" i="191" s="1"/>
  <c r="O63" i="191" a="1"/>
  <c r="O63" i="191" s="1"/>
  <c r="AT63" i="191" a="1"/>
  <c r="AT63" i="191" s="1"/>
  <c r="AH63" i="191" a="1"/>
  <c r="AH63" i="191" s="1"/>
  <c r="M63" i="191" a="1"/>
  <c r="M63" i="191" s="1"/>
  <c r="AO68" i="191" a="1"/>
  <c r="AO68" i="191" s="1"/>
  <c r="O61" i="191" a="1"/>
  <c r="O61" i="191" s="1"/>
  <c r="AQ70" i="191" a="1"/>
  <c r="AQ70" i="191" s="1"/>
  <c r="AF62" i="191" a="1"/>
  <c r="AF62" i="191" s="1"/>
  <c r="AK61" i="191" a="1"/>
  <c r="AK61" i="191" s="1"/>
  <c r="AC65" i="191" a="1"/>
  <c r="AC65" i="191" s="1"/>
  <c r="AE65" i="191" a="1"/>
  <c r="AE65" i="191" s="1"/>
  <c r="V66" i="191" a="1"/>
  <c r="V66" i="191" s="1"/>
  <c r="AU64" i="191" a="1"/>
  <c r="AU64" i="191" s="1"/>
  <c r="V63" i="191" a="1"/>
  <c r="V63" i="191" s="1"/>
  <c r="AM72" i="191" a="1"/>
  <c r="AM72" i="191" s="1"/>
  <c r="AO64" i="191" a="1"/>
  <c r="AO64" i="191" s="1"/>
  <c r="Y60" i="191" a="1"/>
  <c r="Y60" i="191" s="1"/>
  <c r="K69" i="191" a="1"/>
  <c r="K69" i="191" s="1"/>
  <c r="AT61" i="191" a="1"/>
  <c r="AT61" i="191" s="1"/>
  <c r="D66" i="191" a="1"/>
  <c r="D66" i="191" s="1"/>
  <c r="AE62" i="191" a="1"/>
  <c r="AE62" i="191" s="1"/>
  <c r="AA62" i="191" a="1"/>
  <c r="AA62" i="191" s="1"/>
  <c r="G68" i="191" a="1"/>
  <c r="G68" i="191" s="1"/>
  <c r="I69" i="191" a="1"/>
  <c r="I69" i="191" s="1"/>
  <c r="AG65" i="191" a="1"/>
  <c r="AG65" i="191" s="1"/>
  <c r="Z69" i="191" a="1"/>
  <c r="Z69" i="191" s="1"/>
  <c r="I65" i="191" a="1"/>
  <c r="I65" i="191" s="1"/>
  <c r="R71" i="191" a="1"/>
  <c r="R71" i="191" s="1"/>
  <c r="AS71" i="191" a="1"/>
  <c r="AS71" i="191" s="1"/>
  <c r="AM61" i="191" a="1"/>
  <c r="AM61" i="191" s="1"/>
  <c r="F65" i="191" a="1"/>
  <c r="F65" i="191" s="1"/>
  <c r="AK70" i="191" a="1"/>
  <c r="AK70" i="191" s="1"/>
  <c r="AB67" i="191" a="1"/>
  <c r="AB67" i="191" s="1"/>
  <c r="AO72" i="191" a="1"/>
  <c r="AO72" i="191" s="1"/>
  <c r="Z65" i="191" a="1"/>
  <c r="Z65" i="191" s="1"/>
  <c r="AS66" i="191" a="1"/>
  <c r="AS66" i="191" s="1"/>
  <c r="AV67" i="191" a="1"/>
  <c r="AV67" i="191" s="1"/>
  <c r="AU68" i="191" a="1"/>
  <c r="AU68" i="191" s="1"/>
  <c r="T67" i="191" a="1"/>
  <c r="T67" i="191" s="1"/>
  <c r="J68" i="191" a="1"/>
  <c r="J68" i="191" s="1"/>
  <c r="J66" i="191" a="1"/>
  <c r="J66" i="191" s="1"/>
  <c r="AE63" i="191" a="1"/>
  <c r="AE63" i="191" s="1"/>
  <c r="E66" i="191" a="1"/>
  <c r="E66" i="191" s="1"/>
  <c r="U67" i="191" a="1"/>
  <c r="U67" i="191" s="1"/>
  <c r="AC63" i="191" a="1"/>
  <c r="AC63" i="191" s="1"/>
  <c r="C68" i="191" a="1"/>
  <c r="C68" i="191" s="1"/>
  <c r="G67" i="191" a="1"/>
  <c r="G67" i="191" s="1"/>
  <c r="H64" i="191" a="1"/>
  <c r="H64" i="191" s="1"/>
  <c r="AD61" i="191" a="1"/>
  <c r="AD61" i="191" s="1"/>
  <c r="AN67" i="191" a="1"/>
  <c r="AN67" i="191" s="1"/>
  <c r="D49" i="41" a="1"/>
  <c r="D49" i="41" s="1"/>
  <c r="C27" i="41" a="1"/>
  <c r="C27" i="41" s="1"/>
  <c r="I49" i="41" a="1"/>
  <c r="I49" i="41" s="1"/>
  <c r="H27" i="41" a="1"/>
  <c r="H27" i="41" s="1"/>
  <c r="B29" i="41" a="1"/>
  <c r="B29" i="41" s="1"/>
  <c r="O49" i="41" a="1"/>
  <c r="O49" i="41" s="1"/>
  <c r="J29" i="41" a="1"/>
  <c r="J29" i="41" s="1"/>
  <c r="W49" i="41" a="1"/>
  <c r="W49" i="41" s="1"/>
  <c r="T49" i="41" a="1"/>
  <c r="T49" i="41" s="1"/>
  <c r="G29" i="41" a="1"/>
  <c r="G29" i="41" s="1"/>
  <c r="G27" i="40" a="1"/>
  <c r="G27" i="40" s="1"/>
  <c r="H50" i="40" a="1"/>
  <c r="H50" i="40" s="1"/>
  <c r="V50" i="40" a="1"/>
  <c r="V50" i="40" s="1"/>
  <c r="I29" i="40" a="1"/>
  <c r="I29" i="40" s="1"/>
  <c r="J50" i="40" a="1"/>
  <c r="J50" i="40" s="1"/>
  <c r="I27" i="40" a="1"/>
  <c r="I27" i="40" s="1"/>
  <c r="J27" i="40" a="1"/>
  <c r="J27" i="40" s="1"/>
  <c r="K50" i="40" a="1"/>
  <c r="K50" i="40" s="1"/>
  <c r="B25" i="41" a="1"/>
  <c r="B25" i="41" s="1"/>
  <c r="B49" i="41" a="1"/>
  <c r="B49" i="41" s="1"/>
  <c r="C29" i="41" a="1"/>
  <c r="C29" i="41" s="1"/>
  <c r="P49" i="41" a="1"/>
  <c r="P49" i="41" s="1"/>
  <c r="I50" i="40" a="1"/>
  <c r="I50" i="40" s="1"/>
  <c r="H27" i="40" a="1"/>
  <c r="H27" i="40" s="1"/>
  <c r="I27" i="41" a="1"/>
  <c r="I27" i="41" s="1"/>
  <c r="J49" i="41" a="1"/>
  <c r="J49" i="41" s="1"/>
  <c r="T50" i="40" a="1"/>
  <c r="T50" i="40" s="1"/>
  <c r="G29" i="40" a="1"/>
  <c r="G29" i="40" s="1"/>
  <c r="E27" i="40" a="1"/>
  <c r="E27" i="40" s="1"/>
  <c r="F50" i="40" a="1"/>
  <c r="F50" i="40" s="1"/>
  <c r="R50" i="40" a="1"/>
  <c r="R50" i="40" s="1"/>
  <c r="E29" i="40" a="1"/>
  <c r="E29" i="40" s="1"/>
  <c r="AQ58" i="190" a="1"/>
  <c r="AQ58" i="190" s="1"/>
  <c r="AI63" i="190" a="1"/>
  <c r="AI63" i="190" s="1"/>
  <c r="O64" i="190" a="1"/>
  <c r="O64" i="190" s="1"/>
  <c r="AS62" i="190" a="1"/>
  <c r="AS62" i="190" s="1"/>
  <c r="M63" i="190" a="1"/>
  <c r="M63" i="190" s="1"/>
  <c r="T40" i="39" a="1"/>
  <c r="T40" i="39" s="1"/>
  <c r="AB64" i="190" a="1"/>
  <c r="AB64" i="190" s="1"/>
  <c r="Y58" i="190" a="1"/>
  <c r="Y58" i="190" s="1"/>
  <c r="L64" i="190" a="1"/>
  <c r="L64" i="190" s="1"/>
  <c r="T39" i="39" a="1"/>
  <c r="T39" i="39" s="1"/>
  <c r="E40" i="39" a="1"/>
  <c r="E40" i="39" s="1"/>
  <c r="D50" i="186" a="1"/>
  <c r="D50" i="186" s="1"/>
  <c r="J50" i="186" s="1"/>
  <c r="D59" i="190" a="1"/>
  <c r="D59" i="190" s="1"/>
  <c r="AN60" i="190" a="1"/>
  <c r="AN60" i="190" s="1"/>
  <c r="C55" i="187" a="1"/>
  <c r="C55" i="187" s="1"/>
  <c r="I55" i="187" s="1"/>
  <c r="D53" i="185" a="1"/>
  <c r="D53" i="185" s="1"/>
  <c r="J53" i="185" s="1"/>
  <c r="Y63" i="190" a="1"/>
  <c r="Y63" i="190" s="1"/>
  <c r="R45" i="39" a="1"/>
  <c r="R45" i="39" s="1"/>
  <c r="AR65" i="190" a="1"/>
  <c r="AR65" i="190" s="1"/>
  <c r="K66" i="190" a="1"/>
  <c r="K66" i="190" s="1"/>
  <c r="G52" i="187" a="1"/>
  <c r="G52" i="187" s="1"/>
  <c r="N52" i="187" s="1"/>
  <c r="Q41" i="39" a="1"/>
  <c r="Q41" i="39" s="1"/>
  <c r="M62" i="190" a="1"/>
  <c r="M62" i="190" s="1"/>
  <c r="AL59" i="190" a="1"/>
  <c r="AL59" i="190" s="1"/>
  <c r="F55" i="186" a="1"/>
  <c r="F55" i="186" s="1"/>
  <c r="L55" i="186" s="1"/>
  <c r="D39" i="39" a="1"/>
  <c r="D39" i="39" s="1"/>
  <c r="T42" i="39" a="1"/>
  <c r="T42" i="39" s="1"/>
  <c r="X63" i="190" a="1"/>
  <c r="X63" i="190" s="1"/>
  <c r="W60" i="190" a="1"/>
  <c r="W60" i="190" s="1"/>
  <c r="V47" i="39" a="1"/>
  <c r="V47" i="39" s="1"/>
  <c r="AE65" i="190" a="1"/>
  <c r="AE65" i="190" s="1"/>
  <c r="W44" i="39" a="1"/>
  <c r="W44" i="39" s="1"/>
  <c r="G50" i="185" a="1"/>
  <c r="G50" i="185" s="1"/>
  <c r="M50" i="185" s="1"/>
  <c r="U47" i="39" a="1"/>
  <c r="U47" i="39" s="1"/>
  <c r="D55" i="186" a="1"/>
  <c r="D55" i="186" s="1"/>
  <c r="J55" i="186" s="1"/>
  <c r="F46" i="185" a="1"/>
  <c r="F46" i="185" s="1"/>
  <c r="L46" i="185" s="1"/>
  <c r="Z64" i="190" a="1"/>
  <c r="Z64" i="190" s="1"/>
  <c r="AA66" i="190" a="1"/>
  <c r="AA66" i="190" s="1"/>
  <c r="G54" i="185" a="1"/>
  <c r="G54" i="185" s="1"/>
  <c r="M54" i="185" s="1"/>
  <c r="B48" i="185" a="1"/>
  <c r="B48" i="185" s="1"/>
  <c r="H48" i="185" s="1"/>
  <c r="B55" i="186" a="1"/>
  <c r="B55" i="186" s="1"/>
  <c r="H55" i="186" s="1"/>
  <c r="E48" i="186" a="1"/>
  <c r="E48" i="186" s="1"/>
  <c r="K48" i="186" s="1"/>
  <c r="H47" i="39" a="1"/>
  <c r="H47" i="39" s="1"/>
  <c r="I65" i="190" a="1"/>
  <c r="I65" i="190" s="1"/>
  <c r="AV65" i="190" a="1"/>
  <c r="AV65" i="190" s="1"/>
  <c r="AR58" i="190" a="1"/>
  <c r="AR58" i="190" s="1"/>
  <c r="T65" i="190" a="1"/>
  <c r="T65" i="190" s="1"/>
  <c r="S46" i="39" a="1"/>
  <c r="S46" i="39" s="1"/>
  <c r="I39" i="39" a="1"/>
  <c r="I39" i="39" s="1"/>
  <c r="U58" i="190" a="1"/>
  <c r="U58" i="190" s="1"/>
  <c r="C50" i="185" a="1"/>
  <c r="C50" i="185" s="1"/>
  <c r="I50" i="185" s="1"/>
  <c r="J40" i="39" a="1"/>
  <c r="J40" i="39" s="1"/>
  <c r="G40" i="39" a="1"/>
  <c r="G40" i="39" s="1"/>
  <c r="E46" i="185" a="1"/>
  <c r="E46" i="185" s="1"/>
  <c r="K46" i="185" s="1"/>
  <c r="AO60" i="190" a="1"/>
  <c r="AO60" i="190" s="1"/>
  <c r="D47" i="187" a="1"/>
  <c r="D47" i="187" s="1"/>
  <c r="K47" i="187" s="1"/>
  <c r="O61" i="190" a="1"/>
  <c r="O61" i="190" s="1"/>
  <c r="B54" i="187" a="1"/>
  <c r="B54" i="187" s="1"/>
  <c r="H54" i="187" s="1"/>
  <c r="C51" i="185" a="1"/>
  <c r="C51" i="185" s="1"/>
  <c r="I51" i="185" s="1"/>
  <c r="B47" i="187" a="1"/>
  <c r="B47" i="187" s="1"/>
  <c r="H47" i="187" s="1"/>
  <c r="AL62" i="190" a="1"/>
  <c r="AL62" i="190" s="1"/>
  <c r="AL63" i="190" a="1"/>
  <c r="AL63" i="190" s="1"/>
  <c r="AT62" i="190" a="1"/>
  <c r="AT62" i="190" s="1"/>
  <c r="D55" i="185" a="1"/>
  <c r="D55" i="185" s="1"/>
  <c r="J55" i="185" s="1"/>
  <c r="D41" i="39" a="1"/>
  <c r="D41" i="39" s="1"/>
  <c r="J45" i="39" a="1"/>
  <c r="J45" i="39" s="1"/>
  <c r="C47" i="185" a="1"/>
  <c r="C47" i="185" s="1"/>
  <c r="I47" i="185" s="1"/>
  <c r="AL65" i="190" a="1"/>
  <c r="AL65" i="190" s="1"/>
  <c r="F66" i="190" a="1"/>
  <c r="F66" i="190" s="1"/>
  <c r="W45" i="39" a="1"/>
  <c r="W45" i="39" s="1"/>
  <c r="AO58" i="190" a="1"/>
  <c r="AO58" i="190" s="1"/>
  <c r="G65" i="190" a="1"/>
  <c r="G65" i="190" s="1"/>
  <c r="U61" i="190" a="1"/>
  <c r="U61" i="190" s="1"/>
  <c r="G47" i="39" a="1"/>
  <c r="G47" i="39" s="1"/>
  <c r="O59" i="190" a="1"/>
  <c r="O59" i="190" s="1"/>
  <c r="V40" i="39" a="1"/>
  <c r="V40" i="39" s="1"/>
  <c r="AV61" i="190" a="1"/>
  <c r="AV61" i="190" s="1"/>
  <c r="M64" i="190" a="1"/>
  <c r="M64" i="190" s="1"/>
  <c r="D62" i="190" a="1"/>
  <c r="D62" i="190" s="1"/>
  <c r="G48" i="187" a="1"/>
  <c r="G48" i="187" s="1"/>
  <c r="N48" i="187" s="1"/>
  <c r="L60" i="190" a="1"/>
  <c r="L60" i="190" s="1"/>
  <c r="W62" i="190" a="1"/>
  <c r="W62" i="190" s="1"/>
  <c r="AG61" i="190" a="1"/>
  <c r="AG61" i="190" s="1"/>
  <c r="D44" i="39" a="1"/>
  <c r="D44" i="39" s="1"/>
  <c r="M59" i="190" a="1"/>
  <c r="M59" i="190" s="1"/>
  <c r="D48" i="186" a="1"/>
  <c r="D48" i="186" s="1"/>
  <c r="J48" i="186" s="1"/>
  <c r="AJ61" i="190" a="1"/>
  <c r="AJ61" i="190" s="1"/>
  <c r="AO63" i="190" a="1"/>
  <c r="AO63" i="190" s="1"/>
  <c r="U46" i="39" a="1"/>
  <c r="U46" i="39" s="1"/>
  <c r="Z62" i="190" a="1"/>
  <c r="Z62" i="190" s="1"/>
  <c r="AQ65" i="190" a="1"/>
  <c r="AQ65" i="190" s="1"/>
  <c r="Q66" i="190" a="1"/>
  <c r="Q66" i="190" s="1"/>
  <c r="B48" i="186" a="1"/>
  <c r="B48" i="186" s="1"/>
  <c r="H48" i="186" s="1"/>
  <c r="AH62" i="190" a="1"/>
  <c r="AH62" i="190" s="1"/>
  <c r="G46" i="186" a="1"/>
  <c r="G46" i="186" s="1"/>
  <c r="M46" i="186" s="1"/>
  <c r="V39" i="39" a="1"/>
  <c r="V39" i="39" s="1"/>
  <c r="Y64" i="190" a="1"/>
  <c r="Y64" i="190" s="1"/>
  <c r="E49" i="186" a="1"/>
  <c r="E49" i="186" s="1"/>
  <c r="K49" i="186" s="1"/>
  <c r="E54" i="186" a="1"/>
  <c r="E54" i="186" s="1"/>
  <c r="K54" i="186" s="1"/>
  <c r="E59" i="190" a="1"/>
  <c r="E59" i="190" s="1"/>
  <c r="W43" i="39" a="1"/>
  <c r="W43" i="39" s="1"/>
  <c r="G51" i="186" a="1"/>
  <c r="G51" i="186" s="1"/>
  <c r="M51" i="186" s="1"/>
  <c r="F65" i="190" a="1"/>
  <c r="F65" i="190" s="1"/>
  <c r="X62" i="190" a="1"/>
  <c r="X62" i="190" s="1"/>
  <c r="AG66" i="190" a="1"/>
  <c r="AG66" i="190" s="1"/>
  <c r="H59" i="190" a="1"/>
  <c r="H59" i="190" s="1"/>
  <c r="AV64" i="190" a="1"/>
  <c r="AV64" i="190" s="1"/>
  <c r="Q42" i="39" a="1"/>
  <c r="Q42" i="39" s="1"/>
  <c r="N62" i="190" a="1"/>
  <c r="N62" i="190" s="1"/>
  <c r="W66" i="190" a="1"/>
  <c r="W66" i="190" s="1"/>
  <c r="P63" i="190" a="1"/>
  <c r="P63" i="190" s="1"/>
  <c r="L59" i="190" a="1"/>
  <c r="L59" i="190" s="1"/>
  <c r="I46" i="39" a="1"/>
  <c r="I46" i="39" s="1"/>
  <c r="T47" i="39" a="1"/>
  <c r="T47" i="39" s="1"/>
  <c r="AO65" i="190" a="1"/>
  <c r="AO65" i="190" s="1"/>
  <c r="F51" i="186" a="1"/>
  <c r="F51" i="186" s="1"/>
  <c r="L51" i="186" s="1"/>
  <c r="V46" i="39" a="1"/>
  <c r="V46" i="39" s="1"/>
  <c r="E55" i="187" a="1"/>
  <c r="E55" i="187" s="1"/>
  <c r="L55" i="187" s="1"/>
  <c r="E50" i="186" a="1"/>
  <c r="E50" i="186" s="1"/>
  <c r="K50" i="186" s="1"/>
  <c r="V60" i="190" a="1"/>
  <c r="V60" i="190" s="1"/>
  <c r="W64" i="190" a="1"/>
  <c r="W64" i="190" s="1"/>
  <c r="G51" i="185" a="1"/>
  <c r="G51" i="185" s="1"/>
  <c r="M51" i="185" s="1"/>
  <c r="R66" i="190" a="1"/>
  <c r="R66" i="190" s="1"/>
  <c r="C63" i="190" a="1"/>
  <c r="C63" i="190" s="1"/>
  <c r="B50" i="187" a="1"/>
  <c r="B50" i="187" s="1"/>
  <c r="H50" i="187" s="1"/>
  <c r="F52" i="186" a="1"/>
  <c r="F52" i="186" s="1"/>
  <c r="L52" i="186" s="1"/>
  <c r="D46" i="39" a="1"/>
  <c r="D46" i="39" s="1"/>
  <c r="E49" i="185" a="1"/>
  <c r="E49" i="185" s="1"/>
  <c r="K49" i="185" s="1"/>
  <c r="P60" i="190" a="1"/>
  <c r="P60" i="190" s="1"/>
  <c r="AL66" i="190" a="1"/>
  <c r="AL66" i="190" s="1"/>
  <c r="W41" i="39" a="1"/>
  <c r="W41" i="39" s="1"/>
  <c r="H63" i="190" a="1"/>
  <c r="H63" i="190" s="1"/>
  <c r="C47" i="39" a="1"/>
  <c r="C47" i="39" s="1"/>
  <c r="AL58" i="190" a="1"/>
  <c r="AL58" i="190" s="1"/>
  <c r="F46" i="39" a="1"/>
  <c r="F46" i="39" s="1"/>
  <c r="AM59" i="190" a="1"/>
  <c r="AM59" i="190" s="1"/>
  <c r="B41" i="39" a="1"/>
  <c r="B41" i="39" s="1"/>
  <c r="AQ63" i="190" a="1"/>
  <c r="AQ63" i="190" s="1"/>
  <c r="D52" i="187" a="1"/>
  <c r="D52" i="187" s="1"/>
  <c r="K52" i="187" s="1"/>
  <c r="R47" i="39" a="1"/>
  <c r="R47" i="39" s="1"/>
  <c r="F44" i="39" a="1"/>
  <c r="F44" i="39" s="1"/>
  <c r="AA61" i="190" a="1"/>
  <c r="AA61" i="190" s="1"/>
  <c r="AF60" i="190" a="1"/>
  <c r="AF60" i="190" s="1"/>
  <c r="Y65" i="190" a="1"/>
  <c r="Y65" i="190" s="1"/>
  <c r="D51" i="186" a="1"/>
  <c r="D51" i="186" s="1"/>
  <c r="J51" i="186" s="1"/>
  <c r="F52" i="185" a="1"/>
  <c r="F52" i="185" s="1"/>
  <c r="L52" i="185" s="1"/>
  <c r="E47" i="186" a="1"/>
  <c r="E47" i="186" s="1"/>
  <c r="K47" i="186" s="1"/>
  <c r="AM58" i="190" a="1"/>
  <c r="AM58" i="190" s="1"/>
  <c r="P65" i="190" a="1"/>
  <c r="P65" i="190" s="1"/>
  <c r="F60" i="190" a="1"/>
  <c r="F60" i="190" s="1"/>
  <c r="J41" i="39" a="1"/>
  <c r="J41" i="39" s="1"/>
  <c r="AD58" i="190" a="1"/>
  <c r="AD58" i="190" s="1"/>
  <c r="AT59" i="190" a="1"/>
  <c r="AT59" i="190" s="1"/>
  <c r="K60" i="190" a="1"/>
  <c r="K60" i="190" s="1"/>
  <c r="J47" i="39" a="1"/>
  <c r="J47" i="39" s="1"/>
  <c r="AV66" i="190" a="1"/>
  <c r="AV66" i="190" s="1"/>
  <c r="V45" i="39" a="1"/>
  <c r="V45" i="39" s="1"/>
  <c r="AU64" i="190" a="1"/>
  <c r="AU64" i="190" s="1"/>
  <c r="V64" i="190" a="1"/>
  <c r="V64" i="190" s="1"/>
  <c r="B51" i="185" a="1"/>
  <c r="B51" i="185" s="1"/>
  <c r="H51" i="185" s="1"/>
  <c r="B51" i="186" a="1"/>
  <c r="B51" i="186" s="1"/>
  <c r="H51" i="186" s="1"/>
  <c r="S65" i="190" a="1"/>
  <c r="S65" i="190" s="1"/>
  <c r="O39" i="39" a="1"/>
  <c r="O39" i="39" s="1"/>
  <c r="AG60" i="190" a="1"/>
  <c r="AG60" i="190" s="1"/>
  <c r="AE66" i="190" a="1"/>
  <c r="AE66" i="190" s="1"/>
  <c r="K62" i="190" a="1"/>
  <c r="K62" i="190" s="1"/>
  <c r="C64" i="190" a="1"/>
  <c r="C64" i="190" s="1"/>
  <c r="U39" i="39" a="1"/>
  <c r="U39" i="39" s="1"/>
  <c r="C53" i="187" a="1"/>
  <c r="C53" i="187" s="1"/>
  <c r="I53" i="187" s="1"/>
  <c r="G61" i="190" a="1"/>
  <c r="G61" i="190" s="1"/>
  <c r="F45" i="39" a="1"/>
  <c r="F45" i="39" s="1"/>
  <c r="F47" i="186" a="1"/>
  <c r="F47" i="186" s="1"/>
  <c r="L47" i="186" s="1"/>
  <c r="AT60" i="190" a="1"/>
  <c r="AT60" i="190" s="1"/>
  <c r="G55" i="187" a="1"/>
  <c r="G55" i="187" s="1"/>
  <c r="N55" i="187" s="1"/>
  <c r="AH61" i="190" a="1"/>
  <c r="AH61" i="190" s="1"/>
  <c r="AI59" i="190" a="1"/>
  <c r="AI59" i="190" s="1"/>
  <c r="G46" i="185" a="1"/>
  <c r="G46" i="185" s="1"/>
  <c r="M46" i="185" s="1"/>
  <c r="AM65" i="190" a="1"/>
  <c r="AM65" i="190" s="1"/>
  <c r="E60" i="190" a="1"/>
  <c r="E60" i="190" s="1"/>
  <c r="D45" i="39" a="1"/>
  <c r="D45" i="39" s="1"/>
  <c r="AB60" i="190" a="1"/>
  <c r="AB60" i="190" s="1"/>
  <c r="AJ60" i="190" a="1"/>
  <c r="AJ60" i="190" s="1"/>
  <c r="H64" i="190" a="1"/>
  <c r="H64" i="190" s="1"/>
  <c r="L58" i="190" a="1"/>
  <c r="L58" i="190" s="1"/>
  <c r="AK60" i="190" a="1"/>
  <c r="AK60" i="190" s="1"/>
  <c r="AP59" i="190" a="1"/>
  <c r="AP59" i="190" s="1"/>
  <c r="J59" i="190" a="1"/>
  <c r="J59" i="190" s="1"/>
  <c r="R59" i="190" a="1"/>
  <c r="R59" i="190" s="1"/>
  <c r="F49" i="186" a="1"/>
  <c r="F49" i="186" s="1"/>
  <c r="L49" i="186" s="1"/>
  <c r="F64" i="190" a="1"/>
  <c r="F64" i="190" s="1"/>
  <c r="AD63" i="190" a="1"/>
  <c r="AD63" i="190" s="1"/>
  <c r="F47" i="39" a="1"/>
  <c r="F47" i="39" s="1"/>
  <c r="T64" i="190" a="1"/>
  <c r="T64" i="190" s="1"/>
  <c r="Z58" i="190" a="1"/>
  <c r="Z58" i="190" s="1"/>
  <c r="AJ66" i="190" a="1"/>
  <c r="AJ66" i="190" s="1"/>
  <c r="AN58" i="190" a="1"/>
  <c r="AN58" i="190" s="1"/>
  <c r="C58" i="190" a="1"/>
  <c r="C58" i="190" s="1"/>
  <c r="F61" i="190" a="1"/>
  <c r="F61" i="190" s="1"/>
  <c r="Q59" i="190" a="1"/>
  <c r="Q59" i="190" s="1"/>
  <c r="Y62" i="190" a="1"/>
  <c r="Y62" i="190" s="1"/>
  <c r="C48" i="185" a="1"/>
  <c r="C48" i="185" s="1"/>
  <c r="I48" i="185" s="1"/>
  <c r="AP66" i="190" a="1"/>
  <c r="AP66" i="190" s="1"/>
  <c r="N64" i="190" a="1"/>
  <c r="N64" i="190" s="1"/>
  <c r="F54" i="187" a="1"/>
  <c r="F54" i="187" s="1"/>
  <c r="M54" i="187" s="1"/>
  <c r="Q39" i="39" a="1"/>
  <c r="Q39" i="39" s="1"/>
  <c r="F39" i="39" a="1"/>
  <c r="F39" i="39" s="1"/>
  <c r="AH64" i="190" a="1"/>
  <c r="AH64" i="190" s="1"/>
  <c r="D46" i="186" a="1"/>
  <c r="D46" i="186" s="1"/>
  <c r="J46" i="186" s="1"/>
  <c r="P43" i="39" a="1"/>
  <c r="P43" i="39" s="1"/>
  <c r="AV62" i="190" a="1"/>
  <c r="AV62" i="190" s="1"/>
  <c r="D47" i="39" a="1"/>
  <c r="D47" i="39" s="1"/>
  <c r="Q45" i="39" a="1"/>
  <c r="Q45" i="39" s="1"/>
  <c r="C59" i="190" a="1"/>
  <c r="C59" i="190" s="1"/>
  <c r="E52" i="186" a="1"/>
  <c r="E52" i="186" s="1"/>
  <c r="K52" i="186" s="1"/>
  <c r="G53" i="186" a="1"/>
  <c r="G53" i="186" s="1"/>
  <c r="M53" i="186" s="1"/>
  <c r="AU62" i="190" a="1"/>
  <c r="AU62" i="190" s="1"/>
  <c r="G63" i="190" a="1"/>
  <c r="G63" i="190" s="1"/>
  <c r="G47" i="185" a="1"/>
  <c r="G47" i="185" s="1"/>
  <c r="M47" i="185" s="1"/>
  <c r="F50" i="185" a="1"/>
  <c r="F50" i="185" s="1"/>
  <c r="L50" i="185" s="1"/>
  <c r="U64" i="190" a="1"/>
  <c r="U64" i="190" s="1"/>
  <c r="AG58" i="190" a="1"/>
  <c r="AG58" i="190" s="1"/>
  <c r="I47" i="39" a="1"/>
  <c r="I47" i="39" s="1"/>
  <c r="R62" i="190" a="1"/>
  <c r="R62" i="190" s="1"/>
  <c r="AF59" i="190" a="1"/>
  <c r="AF59" i="190" s="1"/>
  <c r="AA58" i="190" a="1"/>
  <c r="AA58" i="190" s="1"/>
  <c r="E62" i="190" a="1"/>
  <c r="E62" i="190" s="1"/>
  <c r="AI61" i="190" a="1"/>
  <c r="AI61" i="190" s="1"/>
  <c r="W63" i="190" a="1"/>
  <c r="W63" i="190" s="1"/>
  <c r="AN59" i="190" a="1"/>
  <c r="AN59" i="190" s="1"/>
  <c r="AI65" i="190" a="1"/>
  <c r="AI65" i="190" s="1"/>
  <c r="AK64" i="190" a="1"/>
  <c r="AK64" i="190" s="1"/>
  <c r="K40" i="39" a="1"/>
  <c r="K40" i="39" s="1"/>
  <c r="AO62" i="190" a="1"/>
  <c r="AO62" i="190" s="1"/>
  <c r="B55" i="185" a="1"/>
  <c r="B55" i="185" s="1"/>
  <c r="H55" i="185" s="1"/>
  <c r="E47" i="187" a="1"/>
  <c r="E47" i="187" s="1"/>
  <c r="L47" i="187" s="1"/>
  <c r="G45" i="39" a="1"/>
  <c r="G45" i="39" s="1"/>
  <c r="O40" i="39" a="1"/>
  <c r="O40" i="39" s="1"/>
  <c r="AB61" i="190" a="1"/>
  <c r="AB61" i="190" s="1"/>
  <c r="P41" i="39" a="1"/>
  <c r="P41" i="39" s="1"/>
  <c r="AV60" i="190" a="1"/>
  <c r="AV60" i="190" s="1"/>
  <c r="G53" i="187" a="1"/>
  <c r="G53" i="187" s="1"/>
  <c r="N53" i="187" s="1"/>
  <c r="C40" i="39" a="1"/>
  <c r="C40" i="39" s="1"/>
  <c r="V43" i="39" a="1"/>
  <c r="V43" i="39" s="1"/>
  <c r="S64" i="190" a="1"/>
  <c r="S64" i="190" s="1"/>
  <c r="N61" i="190" a="1"/>
  <c r="N61" i="190" s="1"/>
  <c r="F42" i="39" a="1"/>
  <c r="F42" i="39" s="1"/>
  <c r="F50" i="186" a="1"/>
  <c r="F50" i="186" s="1"/>
  <c r="L50" i="186" s="1"/>
  <c r="D50" i="187" a="1"/>
  <c r="D50" i="187" s="1"/>
  <c r="K50" i="187" s="1"/>
  <c r="C61" i="190" a="1"/>
  <c r="C61" i="190" s="1"/>
  <c r="W39" i="39" a="1"/>
  <c r="W39" i="39" s="1"/>
  <c r="F51" i="187" a="1"/>
  <c r="F51" i="187" s="1"/>
  <c r="M51" i="187" s="1"/>
  <c r="H44" i="39" a="1"/>
  <c r="H44" i="39" s="1"/>
  <c r="U45" i="39" a="1"/>
  <c r="U45" i="39" s="1"/>
  <c r="AQ61" i="190" a="1"/>
  <c r="AQ61" i="190" s="1"/>
  <c r="D48" i="187" a="1"/>
  <c r="D48" i="187" s="1"/>
  <c r="K48" i="187" s="1"/>
  <c r="S59" i="190" a="1"/>
  <c r="S59" i="190" s="1"/>
  <c r="D47" i="185" a="1"/>
  <c r="D47" i="185" s="1"/>
  <c r="J47" i="185" s="1"/>
  <c r="S45" i="39" a="1"/>
  <c r="S45" i="39" s="1"/>
  <c r="C49" i="185" a="1"/>
  <c r="C49" i="185" s="1"/>
  <c r="I49" i="185" s="1"/>
  <c r="S58" i="190" a="1"/>
  <c r="S58" i="190" s="1"/>
  <c r="C54" i="185" a="1"/>
  <c r="C54" i="185" s="1"/>
  <c r="I54" i="185" s="1"/>
  <c r="B39" i="39" a="1"/>
  <c r="B39" i="39" s="1"/>
  <c r="T58" i="190" a="1"/>
  <c r="T58" i="190" s="1"/>
  <c r="K44" i="39" a="1"/>
  <c r="K44" i="39" s="1"/>
  <c r="AT58" i="190" a="1"/>
  <c r="AT58" i="190" s="1"/>
  <c r="R65" i="190" a="1"/>
  <c r="R65" i="190" s="1"/>
  <c r="E55" i="186" a="1"/>
  <c r="E55" i="186" s="1"/>
  <c r="K55" i="186" s="1"/>
  <c r="AA62" i="190" a="1"/>
  <c r="AA62" i="190" s="1"/>
  <c r="C53" i="185" a="1"/>
  <c r="C53" i="185" s="1"/>
  <c r="I53" i="185" s="1"/>
  <c r="E42" i="39" a="1"/>
  <c r="E42" i="39" s="1"/>
  <c r="C44" i="39" a="1"/>
  <c r="C44" i="39" s="1"/>
  <c r="AC62" i="190" a="1"/>
  <c r="AC62" i="190" s="1"/>
  <c r="B50" i="185" a="1"/>
  <c r="B50" i="185" s="1"/>
  <c r="H50" i="185" s="1"/>
  <c r="G46" i="39" a="1"/>
  <c r="G46" i="39" s="1"/>
  <c r="AG65" i="190" a="1"/>
  <c r="AG65" i="190" s="1"/>
  <c r="F40" i="39" a="1"/>
  <c r="F40" i="39" s="1"/>
  <c r="AH60" i="190" a="1"/>
  <c r="AH60" i="190" s="1"/>
  <c r="AB66" i="190" a="1"/>
  <c r="AB66" i="190" s="1"/>
  <c r="F46" i="186" a="1"/>
  <c r="F46" i="186" s="1"/>
  <c r="L46" i="186" s="1"/>
  <c r="F46" i="187" a="1"/>
  <c r="F46" i="187" s="1"/>
  <c r="M46" i="187" s="1"/>
  <c r="D49" i="187" a="1"/>
  <c r="D49" i="187" s="1"/>
  <c r="K49" i="187" s="1"/>
  <c r="V66" i="190" a="1"/>
  <c r="V66" i="190" s="1"/>
  <c r="N65" i="190" a="1"/>
  <c r="N65" i="190" s="1"/>
  <c r="D53" i="186" a="1"/>
  <c r="D53" i="186" s="1"/>
  <c r="J53" i="186" s="1"/>
  <c r="AM64" i="190" a="1"/>
  <c r="AM64" i="190" s="1"/>
  <c r="B55" i="187" a="1"/>
  <c r="B55" i="187" s="1"/>
  <c r="H55" i="187" s="1"/>
  <c r="T46" i="39" a="1"/>
  <c r="T46" i="39" s="1"/>
  <c r="D65" i="190" a="1"/>
  <c r="D65" i="190" s="1"/>
  <c r="V62" i="190" a="1"/>
  <c r="V62" i="190" s="1"/>
  <c r="B49" i="185" a="1"/>
  <c r="B49" i="185" s="1"/>
  <c r="H49" i="185" s="1"/>
  <c r="C46" i="187" a="1"/>
  <c r="C46" i="187" s="1"/>
  <c r="I46" i="187" s="1"/>
  <c r="B44" i="39" a="1"/>
  <c r="B44" i="39" s="1"/>
  <c r="Q47" i="39" a="1"/>
  <c r="Q47" i="39" s="1"/>
  <c r="F63" i="190" a="1"/>
  <c r="F63" i="190" s="1"/>
  <c r="C54" i="187" a="1"/>
  <c r="C54" i="187" s="1"/>
  <c r="I54" i="187" s="1"/>
  <c r="U60" i="190" a="1"/>
  <c r="U60" i="190" s="1"/>
  <c r="AL60" i="190" a="1"/>
  <c r="AL60" i="190" s="1"/>
  <c r="D55" i="187" a="1"/>
  <c r="D55" i="187" s="1"/>
  <c r="K55" i="187" s="1"/>
  <c r="D54" i="186" a="1"/>
  <c r="D54" i="186" s="1"/>
  <c r="J54" i="186" s="1"/>
  <c r="E64" i="190" a="1"/>
  <c r="E64" i="190" s="1"/>
  <c r="F53" i="186" a="1"/>
  <c r="F53" i="186" s="1"/>
  <c r="L53" i="186" s="1"/>
  <c r="AU58" i="190" a="1"/>
  <c r="AU58" i="190" s="1"/>
  <c r="AA64" i="190" a="1"/>
  <c r="AA64" i="190" s="1"/>
  <c r="AF64" i="190" a="1"/>
  <c r="AF64" i="190" s="1"/>
  <c r="AN64" i="190" a="1"/>
  <c r="AN64" i="190" s="1"/>
  <c r="Y66" i="190" a="1"/>
  <c r="Y66" i="190" s="1"/>
  <c r="I59" i="190" a="1"/>
  <c r="I59" i="190" s="1"/>
  <c r="D52" i="186" a="1"/>
  <c r="D52" i="186" s="1"/>
  <c r="J52" i="186" s="1"/>
  <c r="G49" i="187" a="1"/>
  <c r="G49" i="187" s="1"/>
  <c r="N49" i="187" s="1"/>
  <c r="W42" i="39" a="1"/>
  <c r="W42" i="39" s="1"/>
  <c r="O62" i="190" a="1"/>
  <c r="O62" i="190" s="1"/>
  <c r="AF58" i="190" a="1"/>
  <c r="AF58" i="190" s="1"/>
  <c r="F62" i="190" a="1"/>
  <c r="F62" i="190" s="1"/>
  <c r="AQ64" i="190" a="1"/>
  <c r="AQ64" i="190" s="1"/>
  <c r="W47" i="39" a="1"/>
  <c r="W47" i="39" s="1"/>
  <c r="W59" i="190" a="1"/>
  <c r="W59" i="190" s="1"/>
  <c r="G47" i="186" a="1"/>
  <c r="G47" i="186" s="1"/>
  <c r="M47" i="186" s="1"/>
  <c r="U65" i="190" a="1"/>
  <c r="U65" i="190" s="1"/>
  <c r="AR64" i="190" a="1"/>
  <c r="AR64" i="190" s="1"/>
  <c r="O66" i="190" a="1"/>
  <c r="O66" i="190" s="1"/>
  <c r="S47" i="39" a="1"/>
  <c r="S47" i="39" s="1"/>
  <c r="N63" i="190" a="1"/>
  <c r="N63" i="190" s="1"/>
  <c r="V63" i="190" a="1"/>
  <c r="V63" i="190" s="1"/>
  <c r="E46" i="187" a="1"/>
  <c r="E46" i="187" s="1"/>
  <c r="L46" i="187" s="1"/>
  <c r="W40" i="39" a="1"/>
  <c r="W40" i="39" s="1"/>
  <c r="E47" i="39" a="1"/>
  <c r="E47" i="39" s="1"/>
  <c r="K65" i="190" a="1"/>
  <c r="K65" i="190" s="1"/>
  <c r="AG63" i="190" a="1"/>
  <c r="AG63" i="190" s="1"/>
  <c r="V65" i="190" a="1"/>
  <c r="V65" i="190" s="1"/>
  <c r="AU59" i="190" a="1"/>
  <c r="AU59" i="190" s="1"/>
  <c r="S66" i="190" a="1"/>
  <c r="S66" i="190" s="1"/>
  <c r="X59" i="190" a="1"/>
  <c r="X59" i="190" s="1"/>
  <c r="C52" i="185" a="1"/>
  <c r="C52" i="185" s="1"/>
  <c r="I52" i="185" s="1"/>
  <c r="E52" i="185" a="1"/>
  <c r="E52" i="185" s="1"/>
  <c r="K52" i="185" s="1"/>
  <c r="C47" i="186" a="1"/>
  <c r="C47" i="186" s="1"/>
  <c r="I47" i="186" s="1"/>
  <c r="AC58" i="190" a="1"/>
  <c r="AC58" i="190" s="1"/>
  <c r="T45" i="39" a="1"/>
  <c r="T45" i="39" s="1"/>
  <c r="H46" i="39" a="1"/>
  <c r="H46" i="39" s="1"/>
  <c r="E51" i="187" a="1"/>
  <c r="E51" i="187" s="1"/>
  <c r="L51" i="187" s="1"/>
  <c r="P64" i="190" a="1"/>
  <c r="P64" i="190" s="1"/>
  <c r="W58" i="190" a="1"/>
  <c r="W58" i="190" s="1"/>
  <c r="P46" i="39" a="1"/>
  <c r="P46" i="39" s="1"/>
  <c r="L63" i="190" a="1"/>
  <c r="L63" i="190" s="1"/>
  <c r="AS61" i="190" a="1"/>
  <c r="AS61" i="190" s="1"/>
  <c r="AT65" i="190" a="1"/>
  <c r="AT65" i="190" s="1"/>
  <c r="AC59" i="190" a="1"/>
  <c r="AC59" i="190" s="1"/>
  <c r="U62" i="190" a="1"/>
  <c r="U62" i="190" s="1"/>
  <c r="X60" i="190" a="1"/>
  <c r="X60" i="190" s="1"/>
  <c r="AI66" i="190" a="1"/>
  <c r="AI66" i="190" s="1"/>
  <c r="E53" i="186" a="1"/>
  <c r="E53" i="186" s="1"/>
  <c r="K53" i="186" s="1"/>
  <c r="I63" i="190" a="1"/>
  <c r="I63" i="190" s="1"/>
  <c r="C55" i="185" a="1"/>
  <c r="C55" i="185" s="1"/>
  <c r="I55" i="185" s="1"/>
  <c r="B42" i="39" a="1"/>
  <c r="B42" i="39" s="1"/>
  <c r="F59" i="190" a="1"/>
  <c r="F59" i="190" s="1"/>
  <c r="Q65" i="190" a="1"/>
  <c r="Q65" i="190" s="1"/>
  <c r="C48" i="187" a="1"/>
  <c r="C48" i="187" s="1"/>
  <c r="I48" i="187" s="1"/>
  <c r="J48" i="187" s="1"/>
  <c r="V59" i="190" a="1"/>
  <c r="V59" i="190" s="1"/>
  <c r="F41" i="39" a="1"/>
  <c r="F41" i="39" s="1"/>
  <c r="Z61" i="190" a="1"/>
  <c r="Z61" i="190" s="1"/>
  <c r="G60" i="190" a="1"/>
  <c r="G60" i="190" s="1"/>
  <c r="O63" i="190" a="1"/>
  <c r="O63" i="190" s="1"/>
  <c r="R41" i="39" a="1"/>
  <c r="R41" i="39" s="1"/>
  <c r="I64" i="190" a="1"/>
  <c r="I64" i="190" s="1"/>
  <c r="AC64" i="190" a="1"/>
  <c r="AC64" i="190" s="1"/>
  <c r="S39" i="39" a="1"/>
  <c r="S39" i="39" s="1"/>
  <c r="AI58" i="190" a="1"/>
  <c r="AI58" i="190" s="1"/>
  <c r="J58" i="190" a="1"/>
  <c r="J58" i="190" s="1"/>
  <c r="AB58" i="190" a="1"/>
  <c r="AB58" i="190" s="1"/>
  <c r="V61" i="190" a="1"/>
  <c r="V61" i="190" s="1"/>
  <c r="R42" i="39" a="1"/>
  <c r="R42" i="39" s="1"/>
  <c r="AE63" i="190" a="1"/>
  <c r="AE63" i="190" s="1"/>
  <c r="G54" i="187" a="1"/>
  <c r="G54" i="187" s="1"/>
  <c r="N54" i="187" s="1"/>
  <c r="C39" i="39" a="1"/>
  <c r="C39" i="39" s="1"/>
  <c r="C42" i="39" a="1"/>
  <c r="C42" i="39" s="1"/>
  <c r="R63" i="190" a="1"/>
  <c r="R63" i="190" s="1"/>
  <c r="E46" i="186" a="1"/>
  <c r="E46" i="186" s="1"/>
  <c r="K46" i="186" s="1"/>
  <c r="AJ62" i="190" a="1"/>
  <c r="AJ62" i="190" s="1"/>
  <c r="Y61" i="190" a="1"/>
  <c r="Y61" i="190" s="1"/>
  <c r="AV59" i="190" a="1"/>
  <c r="AV59" i="190" s="1"/>
  <c r="R61" i="190" a="1"/>
  <c r="R61" i="190" s="1"/>
  <c r="AD61" i="190" a="1"/>
  <c r="AD61" i="190" s="1"/>
  <c r="AS64" i="190" a="1"/>
  <c r="AS64" i="190" s="1"/>
  <c r="G64" i="190" a="1"/>
  <c r="G64" i="190" s="1"/>
  <c r="AJ65" i="190" a="1"/>
  <c r="AJ65" i="190" s="1"/>
  <c r="S62" i="190" a="1"/>
  <c r="S62" i="190" s="1"/>
  <c r="D52" i="185" a="1"/>
  <c r="D52" i="185" s="1"/>
  <c r="J52" i="185" s="1"/>
  <c r="V58" i="190" a="1"/>
  <c r="V58" i="190" s="1"/>
  <c r="Q58" i="190" a="1"/>
  <c r="Q58" i="190" s="1"/>
  <c r="AH58" i="190" a="1"/>
  <c r="AH58" i="190" s="1"/>
  <c r="R64" i="190" a="1"/>
  <c r="R64" i="190" s="1"/>
  <c r="E41" i="39" a="1"/>
  <c r="E41" i="39" s="1"/>
  <c r="E44" i="39" a="1"/>
  <c r="E44" i="39" s="1"/>
  <c r="Q60" i="190" a="1"/>
  <c r="Q60" i="190" s="1"/>
  <c r="E45" i="39" a="1"/>
  <c r="E45" i="39" s="1"/>
  <c r="AH59" i="190" a="1"/>
  <c r="AH59" i="190" s="1"/>
  <c r="U42" i="39" a="1"/>
  <c r="U42" i="39" s="1"/>
  <c r="V44" i="39" a="1"/>
  <c r="V44" i="39" s="1"/>
  <c r="G48" i="186" a="1"/>
  <c r="G48" i="186" s="1"/>
  <c r="M48" i="186" s="1"/>
  <c r="D58" i="190" a="1"/>
  <c r="D58" i="190" s="1"/>
  <c r="S40" i="39" a="1"/>
  <c r="S40" i="39" s="1"/>
  <c r="B49" i="186" a="1"/>
  <c r="B49" i="186" s="1"/>
  <c r="H49" i="186" s="1"/>
  <c r="T43" i="39" a="1"/>
  <c r="T43" i="39" s="1"/>
  <c r="I41" i="39" a="1"/>
  <c r="I41" i="39" s="1"/>
  <c r="AF61" i="190" a="1"/>
  <c r="AF61" i="190" s="1"/>
  <c r="AE62" i="190" a="1"/>
  <c r="AE62" i="190" s="1"/>
  <c r="K42" i="39" a="1"/>
  <c r="K42" i="39" s="1"/>
  <c r="D47" i="186" a="1"/>
  <c r="D47" i="186" s="1"/>
  <c r="J47" i="186" s="1"/>
  <c r="F48" i="186" a="1"/>
  <c r="F48" i="186" s="1"/>
  <c r="L48" i="186" s="1"/>
  <c r="H45" i="39" a="1"/>
  <c r="H45" i="39" s="1"/>
  <c r="K61" i="190" a="1"/>
  <c r="K61" i="190" s="1"/>
  <c r="C46" i="186" a="1"/>
  <c r="C46" i="186" s="1"/>
  <c r="I46" i="186" s="1"/>
  <c r="G52" i="185" a="1"/>
  <c r="G52" i="185" s="1"/>
  <c r="M52" i="185" s="1"/>
  <c r="E47" i="185" a="1"/>
  <c r="E47" i="185" s="1"/>
  <c r="K47" i="185" s="1"/>
  <c r="G48" i="185" a="1"/>
  <c r="G48" i="185" s="1"/>
  <c r="M48" i="185" s="1"/>
  <c r="F49" i="187" a="1"/>
  <c r="F49" i="187" s="1"/>
  <c r="M49" i="187" s="1"/>
  <c r="L66" i="190" a="1"/>
  <c r="L66" i="190" s="1"/>
  <c r="F48" i="187" a="1"/>
  <c r="F48" i="187" s="1"/>
  <c r="M48" i="187" s="1"/>
  <c r="AK66" i="190" a="1"/>
  <c r="AK66" i="190" s="1"/>
  <c r="AK63" i="190" a="1"/>
  <c r="AK63" i="190" s="1"/>
  <c r="AD64" i="190" a="1"/>
  <c r="AD64" i="190" s="1"/>
  <c r="E50" i="185" a="1"/>
  <c r="E50" i="185" s="1"/>
  <c r="K50" i="185" s="1"/>
  <c r="AH63" i="190" a="1"/>
  <c r="AH63" i="190" s="1"/>
  <c r="AP64" i="190" a="1"/>
  <c r="AP64" i="190" s="1"/>
  <c r="G41" i="39" a="1"/>
  <c r="G41" i="39" s="1"/>
  <c r="AQ59" i="190" a="1"/>
  <c r="AQ59" i="190" s="1"/>
  <c r="C51" i="187" a="1"/>
  <c r="C51" i="187" s="1"/>
  <c r="I51" i="187" s="1"/>
  <c r="O42" i="39" a="1"/>
  <c r="O42" i="39" s="1"/>
  <c r="W65" i="190" a="1"/>
  <c r="W65" i="190" s="1"/>
  <c r="F53" i="185" a="1"/>
  <c r="F53" i="185" s="1"/>
  <c r="L53" i="185" s="1"/>
  <c r="M60" i="190" a="1"/>
  <c r="M60" i="190" s="1"/>
  <c r="D54" i="187" a="1"/>
  <c r="D54" i="187" s="1"/>
  <c r="K54" i="187" s="1"/>
  <c r="G49" i="185" a="1"/>
  <c r="G49" i="185" s="1"/>
  <c r="M49" i="185" s="1"/>
  <c r="B53" i="186" a="1"/>
  <c r="B53" i="186" s="1"/>
  <c r="H53" i="186" s="1"/>
  <c r="AM62" i="190" a="1"/>
  <c r="AM62" i="190" s="1"/>
  <c r="AM61" i="190" a="1"/>
  <c r="AM61" i="190" s="1"/>
  <c r="O43" i="39" a="1"/>
  <c r="O43" i="39" s="1"/>
  <c r="AK62" i="190" a="1"/>
  <c r="AK62" i="190" s="1"/>
  <c r="D46" i="187" a="1"/>
  <c r="D46" i="187" s="1"/>
  <c r="K46" i="187" s="1"/>
  <c r="M65" i="190" a="1"/>
  <c r="M65" i="190" s="1"/>
  <c r="AJ63" i="190" a="1"/>
  <c r="AJ63" i="190" s="1"/>
  <c r="H62" i="190" a="1"/>
  <c r="H62" i="190" s="1"/>
  <c r="T62" i="190" a="1"/>
  <c r="T62" i="190" s="1"/>
  <c r="AC60" i="190" a="1"/>
  <c r="AC60" i="190" s="1"/>
  <c r="C66" i="190" a="1"/>
  <c r="C66" i="190" s="1"/>
  <c r="H58" i="190" a="1"/>
  <c r="H58" i="190" s="1"/>
  <c r="AO66" i="190" a="1"/>
  <c r="AO66" i="190" s="1"/>
  <c r="O45" i="39" a="1"/>
  <c r="O45" i="39" s="1"/>
  <c r="E46" i="39" a="1"/>
  <c r="E46" i="39" s="1"/>
  <c r="AA65" i="190" a="1"/>
  <c r="AA65" i="190" s="1"/>
  <c r="L65" i="190" a="1"/>
  <c r="L65" i="190" s="1"/>
  <c r="M66" i="190" a="1"/>
  <c r="M66" i="190" s="1"/>
  <c r="E49" i="187" a="1"/>
  <c r="E49" i="187" s="1"/>
  <c r="L49" i="187" s="1"/>
  <c r="AC63" i="190" a="1"/>
  <c r="AC63" i="190" s="1"/>
  <c r="D63" i="190" a="1"/>
  <c r="D63" i="190" s="1"/>
  <c r="F50" i="187" a="1"/>
  <c r="F50" i="187" s="1"/>
  <c r="M50" i="187" s="1"/>
  <c r="AQ60" i="190" a="1"/>
  <c r="AQ60" i="190" s="1"/>
  <c r="O58" i="190" a="1"/>
  <c r="O58" i="190" s="1"/>
  <c r="B47" i="185" a="1"/>
  <c r="B47" i="185" s="1"/>
  <c r="H47" i="185" s="1"/>
  <c r="U44" i="39" a="1"/>
  <c r="U44" i="39" s="1"/>
  <c r="G39" i="39" a="1"/>
  <c r="G39" i="39" s="1"/>
  <c r="AK65" i="190" a="1"/>
  <c r="AK65" i="190" s="1"/>
  <c r="AE64" i="190" a="1"/>
  <c r="AE64" i="190" s="1"/>
  <c r="D50" i="185" a="1"/>
  <c r="D50" i="185" s="1"/>
  <c r="J50" i="185" s="1"/>
  <c r="K41" i="39" a="1"/>
  <c r="K41" i="39" s="1"/>
  <c r="T61" i="190" a="1"/>
  <c r="T61" i="190" s="1"/>
  <c r="D49" i="185" a="1"/>
  <c r="D49" i="185" s="1"/>
  <c r="J49" i="185" s="1"/>
  <c r="C52" i="187" a="1"/>
  <c r="C52" i="187" s="1"/>
  <c r="I52" i="187" s="1"/>
  <c r="J52" i="187" s="1"/>
  <c r="C41" i="39" a="1"/>
  <c r="C41" i="39" s="1"/>
  <c r="O65" i="190" a="1"/>
  <c r="O65" i="190" s="1"/>
  <c r="Q40" i="39" a="1"/>
  <c r="Q40" i="39" s="1"/>
  <c r="Q63" i="190" a="1"/>
  <c r="Q63" i="190" s="1"/>
  <c r="B47" i="186" a="1"/>
  <c r="B47" i="186" s="1"/>
  <c r="H47" i="186" s="1"/>
  <c r="G51" i="187" a="1"/>
  <c r="G51" i="187" s="1"/>
  <c r="N51" i="187" s="1"/>
  <c r="O41" i="39" a="1"/>
  <c r="O41" i="39" s="1"/>
  <c r="AD65" i="190" a="1"/>
  <c r="AD65" i="190" s="1"/>
  <c r="D51" i="187" a="1"/>
  <c r="D51" i="187" s="1"/>
  <c r="K51" i="187" s="1"/>
  <c r="Q46" i="39" a="1"/>
  <c r="Q46" i="39" s="1"/>
  <c r="T44" i="39" a="1"/>
  <c r="T44" i="39" s="1"/>
  <c r="AK61" i="190" a="1"/>
  <c r="AK61" i="190" s="1"/>
  <c r="AA63" i="190" a="1"/>
  <c r="AA63" i="190" s="1"/>
  <c r="D64" i="190" a="1"/>
  <c r="D64" i="190" s="1"/>
  <c r="E51" i="186" a="1"/>
  <c r="E51" i="186" s="1"/>
  <c r="K51" i="186" s="1"/>
  <c r="B46" i="186" a="1"/>
  <c r="B46" i="186" s="1"/>
  <c r="H46" i="186" s="1"/>
  <c r="B6" i="186" s="1"/>
  <c r="H61" i="190" a="1"/>
  <c r="H61" i="190" s="1"/>
  <c r="C54" i="186" a="1"/>
  <c r="C54" i="186" s="1"/>
  <c r="I54" i="186" s="1"/>
  <c r="G49" i="186" a="1"/>
  <c r="G49" i="186" s="1"/>
  <c r="M49" i="186" s="1"/>
  <c r="P44" i="39" a="1"/>
  <c r="P44" i="39" s="1"/>
  <c r="AC61" i="190" a="1"/>
  <c r="AC61" i="190" s="1"/>
  <c r="AS59" i="190" a="1"/>
  <c r="AS59" i="190" s="1"/>
  <c r="E53" i="187" a="1"/>
  <c r="E53" i="187" s="1"/>
  <c r="L53" i="187" s="1"/>
  <c r="B46" i="39" a="1"/>
  <c r="B46" i="39" s="1"/>
  <c r="I60" i="190" a="1"/>
  <c r="I60" i="190" s="1"/>
  <c r="K45" i="39" a="1"/>
  <c r="K45" i="39" s="1"/>
  <c r="F54" i="186" a="1"/>
  <c r="F54" i="186" s="1"/>
  <c r="L54" i="186" s="1"/>
  <c r="Z65" i="190" a="1"/>
  <c r="Z65" i="190" s="1"/>
  <c r="AD59" i="190" a="1"/>
  <c r="AD59" i="190" s="1"/>
  <c r="B46" i="187" a="1"/>
  <c r="B46" i="187" s="1"/>
  <c r="H46" i="187" s="1"/>
  <c r="D40" i="39" a="1"/>
  <c r="D40" i="39" s="1"/>
  <c r="Z66" i="190" a="1"/>
  <c r="Z66" i="190" s="1"/>
  <c r="I61" i="190" a="1"/>
  <c r="I61" i="190" s="1"/>
  <c r="AR66" i="190" a="1"/>
  <c r="AR66" i="190" s="1"/>
  <c r="E55" i="185" a="1"/>
  <c r="E55" i="185" s="1"/>
  <c r="K55" i="185" s="1"/>
  <c r="J61" i="190" a="1"/>
  <c r="J61" i="190" s="1"/>
  <c r="F48" i="185" a="1"/>
  <c r="F48" i="185" s="1"/>
  <c r="L48" i="185" s="1"/>
  <c r="I62" i="190" a="1"/>
  <c r="I62" i="190" s="1"/>
  <c r="C49" i="187" a="1"/>
  <c r="C49" i="187" s="1"/>
  <c r="I49" i="187" s="1"/>
  <c r="J49" i="187" s="1"/>
  <c r="AB63" i="190" a="1"/>
  <c r="AB63" i="190" s="1"/>
  <c r="Z60" i="190" a="1"/>
  <c r="Z60" i="190" s="1"/>
  <c r="T66" i="190" a="1"/>
  <c r="T66" i="190" s="1"/>
  <c r="R44" i="39" a="1"/>
  <c r="R44" i="39" s="1"/>
  <c r="AE60" i="190" a="1"/>
  <c r="AE60" i="190" s="1"/>
  <c r="AS58" i="190" a="1"/>
  <c r="AS58" i="190" s="1"/>
  <c r="I44" i="39" a="1"/>
  <c r="I44" i="39" s="1"/>
  <c r="V42" i="39" a="1"/>
  <c r="V42" i="39" s="1"/>
  <c r="AC66" i="190" a="1"/>
  <c r="AC66" i="190" s="1"/>
  <c r="G55" i="185" a="1"/>
  <c r="G55" i="185" s="1"/>
  <c r="M55" i="185" s="1"/>
  <c r="AQ62" i="190" a="1"/>
  <c r="AQ62" i="190" s="1"/>
  <c r="F52" i="187" a="1"/>
  <c r="F52" i="187" s="1"/>
  <c r="M52" i="187" s="1"/>
  <c r="N58" i="190" a="1"/>
  <c r="N58" i="190" s="1"/>
  <c r="AI60" i="190" a="1"/>
  <c r="AI60" i="190" s="1"/>
  <c r="N60" i="190" a="1"/>
  <c r="N60" i="190" s="1"/>
  <c r="E53" i="185" a="1"/>
  <c r="E53" i="185" s="1"/>
  <c r="K53" i="185" s="1"/>
  <c r="T59" i="190" a="1"/>
  <c r="T59" i="190" s="1"/>
  <c r="B46" i="185" a="1"/>
  <c r="B46" i="185" s="1"/>
  <c r="H46" i="185" s="1"/>
  <c r="D60" i="190" a="1"/>
  <c r="D60" i="190" s="1"/>
  <c r="J62" i="190" a="1"/>
  <c r="J62" i="190" s="1"/>
  <c r="P59" i="190" a="1"/>
  <c r="P59" i="190" s="1"/>
  <c r="K47" i="39" a="1"/>
  <c r="K47" i="39" s="1"/>
  <c r="AG62" i="190" a="1"/>
  <c r="AG62" i="190" s="1"/>
  <c r="AP58" i="190" a="1"/>
  <c r="AP58" i="190" s="1"/>
  <c r="R60" i="190" a="1"/>
  <c r="R60" i="190" s="1"/>
  <c r="H39" i="39" a="1"/>
  <c r="H39" i="39" s="1"/>
  <c r="O60" i="190" a="1"/>
  <c r="O60" i="190" s="1"/>
  <c r="K58" i="190" a="1"/>
  <c r="K58" i="190" s="1"/>
  <c r="J42" i="39" a="1"/>
  <c r="J42" i="39" s="1"/>
  <c r="F49" i="185" a="1"/>
  <c r="F49" i="185" s="1"/>
  <c r="L49" i="185" s="1"/>
  <c r="E48" i="185" a="1"/>
  <c r="E48" i="185" s="1"/>
  <c r="K48" i="185" s="1"/>
  <c r="AP60" i="190" a="1"/>
  <c r="AP60" i="190" s="1"/>
  <c r="Y59" i="190" a="1"/>
  <c r="Y59" i="190" s="1"/>
  <c r="Z59" i="190" a="1"/>
  <c r="Z59" i="190" s="1"/>
  <c r="P47" i="39" a="1"/>
  <c r="P47" i="39" s="1"/>
  <c r="AV58" i="190" a="1"/>
  <c r="AV58" i="190" s="1"/>
  <c r="AJ59" i="190" a="1"/>
  <c r="AJ59" i="190" s="1"/>
  <c r="D54" i="185" a="1"/>
  <c r="D54" i="185" s="1"/>
  <c r="J54" i="185" s="1"/>
  <c r="G42" i="39" a="1"/>
  <c r="G42" i="39" s="1"/>
  <c r="C65" i="190" a="1"/>
  <c r="C65" i="190" s="1"/>
  <c r="O46" i="39" a="1"/>
  <c r="O46" i="39" s="1"/>
  <c r="G66" i="190" a="1"/>
  <c r="G66" i="190" s="1"/>
  <c r="X58" i="190" a="1"/>
  <c r="X58" i="190" s="1"/>
  <c r="K59" i="190" a="1"/>
  <c r="K59" i="190" s="1"/>
  <c r="U63" i="190" a="1"/>
  <c r="U63" i="190" s="1"/>
  <c r="AG59" i="190" a="1"/>
  <c r="AG59" i="190" s="1"/>
  <c r="H41" i="39" a="1"/>
  <c r="H41" i="39" s="1"/>
  <c r="AO61" i="190" a="1"/>
  <c r="AO61" i="190" s="1"/>
  <c r="AA59" i="190" a="1"/>
  <c r="AA59" i="190" s="1"/>
  <c r="G50" i="187" a="1"/>
  <c r="G50" i="187" s="1"/>
  <c r="N50" i="187" s="1"/>
  <c r="C43" i="39" a="1"/>
  <c r="C43" i="39" s="1"/>
  <c r="E48" i="187" a="1"/>
  <c r="E48" i="187" s="1"/>
  <c r="L48" i="187" s="1"/>
  <c r="C46" i="39" a="1"/>
  <c r="C46" i="39" s="1"/>
  <c r="Z63" i="190" a="1"/>
  <c r="Z63" i="190" s="1"/>
  <c r="I66" i="190" a="1"/>
  <c r="I66" i="190" s="1"/>
  <c r="T41" i="39" a="1"/>
  <c r="T41" i="39" s="1"/>
  <c r="J63" i="190" a="1"/>
  <c r="J63" i="190" s="1"/>
  <c r="B49" i="187" a="1"/>
  <c r="B49" i="187" s="1"/>
  <c r="H49" i="187" s="1"/>
  <c r="AL64" i="190" a="1"/>
  <c r="AL64" i="190" s="1"/>
  <c r="B53" i="187" a="1"/>
  <c r="B53" i="187" s="1"/>
  <c r="H53" i="187" s="1"/>
  <c r="C47" i="187" a="1"/>
  <c r="C47" i="187" s="1"/>
  <c r="I47" i="187" s="1"/>
  <c r="J47" i="187" s="1"/>
  <c r="C60" i="190" a="1"/>
  <c r="C60" i="190" s="1"/>
  <c r="B40" i="39" a="1"/>
  <c r="B40" i="39" s="1"/>
  <c r="AB65" i="190" a="1"/>
  <c r="AB65" i="190" s="1"/>
  <c r="T63" i="190" a="1"/>
  <c r="T63" i="190" s="1"/>
  <c r="P66" i="190" a="1"/>
  <c r="P66" i="190" s="1"/>
  <c r="P62" i="190" a="1"/>
  <c r="P62" i="190" s="1"/>
  <c r="H43" i="39" a="1"/>
  <c r="H43" i="39" s="1"/>
  <c r="P42" i="39" a="1"/>
  <c r="P42" i="39" s="1"/>
  <c r="C49" i="186" a="1"/>
  <c r="C49" i="186" s="1"/>
  <c r="I49" i="186" s="1"/>
  <c r="Y60" i="190" a="1"/>
  <c r="Y60" i="190" s="1"/>
  <c r="O47" i="39" a="1"/>
  <c r="O47" i="39" s="1"/>
  <c r="Q43" i="39" a="1"/>
  <c r="Q43" i="39" s="1"/>
  <c r="AL61" i="190" a="1"/>
  <c r="AL61" i="190" s="1"/>
  <c r="E58" i="190" a="1"/>
  <c r="E58" i="190" s="1"/>
  <c r="AO64" i="190" a="1"/>
  <c r="AO64" i="190" s="1"/>
  <c r="G59" i="190" a="1"/>
  <c r="G59" i="190" s="1"/>
  <c r="B51" i="187" a="1"/>
  <c r="B51" i="187" s="1"/>
  <c r="H51" i="187" s="1"/>
  <c r="B54" i="185" a="1"/>
  <c r="B54" i="185" s="1"/>
  <c r="H54" i="185" s="1"/>
  <c r="AR61" i="190" a="1"/>
  <c r="AR61" i="190" s="1"/>
  <c r="Q62" i="190" a="1"/>
  <c r="Q62" i="190" s="1"/>
  <c r="AQ66" i="190" a="1"/>
  <c r="AQ66" i="190" s="1"/>
  <c r="K64" i="190" a="1"/>
  <c r="K64" i="190" s="1"/>
  <c r="AI64" i="190" a="1"/>
  <c r="AI64" i="190" s="1"/>
  <c r="G47" i="187" a="1"/>
  <c r="G47" i="187" s="1"/>
  <c r="N47" i="187" s="1"/>
  <c r="G50" i="186" a="1"/>
  <c r="G50" i="186" s="1"/>
  <c r="M50" i="186" s="1"/>
  <c r="AH66" i="190" a="1"/>
  <c r="AH66" i="190" s="1"/>
  <c r="X61" i="190" a="1"/>
  <c r="X61" i="190" s="1"/>
  <c r="S61" i="190" a="1"/>
  <c r="S61" i="190" s="1"/>
  <c r="J43" i="39" a="1"/>
  <c r="J43" i="39" s="1"/>
  <c r="K46" i="39" a="1"/>
  <c r="K46" i="39" s="1"/>
  <c r="H60" i="190" a="1"/>
  <c r="H60" i="190" s="1"/>
  <c r="AU66" i="190" a="1"/>
  <c r="AU66" i="190" s="1"/>
  <c r="F54" i="185" a="1"/>
  <c r="F54" i="185" s="1"/>
  <c r="L54" i="185" s="1"/>
  <c r="E65" i="190" a="1"/>
  <c r="E65" i="190" s="1"/>
  <c r="AN61" i="190" a="1"/>
  <c r="AN61" i="190" s="1"/>
  <c r="AS65" i="190" a="1"/>
  <c r="AS65" i="190" s="1"/>
  <c r="L62" i="190" a="1"/>
  <c r="L62" i="190" s="1"/>
  <c r="F43" i="39" a="1"/>
  <c r="F43" i="39" s="1"/>
  <c r="AU61" i="190" a="1"/>
  <c r="AU61" i="190" s="1"/>
  <c r="AB62" i="190" a="1"/>
  <c r="AB62" i="190" s="1"/>
  <c r="B52" i="185" a="1"/>
  <c r="B52" i="185" s="1"/>
  <c r="H52" i="185" s="1"/>
  <c r="B54" i="186" a="1"/>
  <c r="B54" i="186" s="1"/>
  <c r="H54" i="186" s="1"/>
  <c r="U43" i="39" a="1"/>
  <c r="U43" i="39" s="1"/>
  <c r="E54" i="185" a="1"/>
  <c r="E54" i="185" s="1"/>
  <c r="K54" i="185" s="1"/>
  <c r="P39" i="39" a="1"/>
  <c r="P39" i="39" s="1"/>
  <c r="H42" i="39" a="1"/>
  <c r="H42" i="39" s="1"/>
  <c r="AS66" i="190" a="1"/>
  <c r="AS66" i="190" s="1"/>
  <c r="E54" i="187" a="1"/>
  <c r="E54" i="187" s="1"/>
  <c r="L54" i="187" s="1"/>
  <c r="G43" i="39" a="1"/>
  <c r="G43" i="39" s="1"/>
  <c r="AC65" i="190" a="1"/>
  <c r="AC65" i="190" s="1"/>
  <c r="Q44" i="39" a="1"/>
  <c r="Q44" i="39" s="1"/>
  <c r="B52" i="186" a="1"/>
  <c r="B52" i="186" s="1"/>
  <c r="H52" i="186" s="1"/>
  <c r="F58" i="190" a="1"/>
  <c r="F58" i="190" s="1"/>
  <c r="AE61" i="190" a="1"/>
  <c r="AE61" i="190" s="1"/>
  <c r="U59" i="190" a="1"/>
  <c r="U59" i="190" s="1"/>
  <c r="N59" i="190" a="1"/>
  <c r="N59" i="190" s="1"/>
  <c r="I42" i="39" a="1"/>
  <c r="I42" i="39" s="1"/>
  <c r="D49" i="186" a="1"/>
  <c r="D49" i="186" s="1"/>
  <c r="J49" i="186" s="1"/>
  <c r="N66" i="190" a="1"/>
  <c r="N66" i="190" s="1"/>
  <c r="M58" i="190" a="1"/>
  <c r="M58" i="190" s="1"/>
  <c r="U41" i="39" a="1"/>
  <c r="U41" i="39" s="1"/>
  <c r="AR63" i="190" a="1"/>
  <c r="AR63" i="190" s="1"/>
  <c r="S42" i="39" a="1"/>
  <c r="S42" i="39" s="1"/>
  <c r="R43" i="39" a="1"/>
  <c r="R43" i="39" s="1"/>
  <c r="AB59" i="190" a="1"/>
  <c r="AB59" i="190" s="1"/>
  <c r="R39" i="39" a="1"/>
  <c r="R39" i="39" s="1"/>
  <c r="K39" i="39" a="1"/>
  <c r="K39" i="39" s="1"/>
  <c r="AF65" i="190" a="1"/>
  <c r="AF65" i="190" s="1"/>
  <c r="AF62" i="190" a="1"/>
  <c r="AF62" i="190" s="1"/>
  <c r="D61" i="190" a="1"/>
  <c r="D61" i="190" s="1"/>
  <c r="H65" i="190" a="1"/>
  <c r="H65" i="190" s="1"/>
  <c r="F51" i="185" a="1"/>
  <c r="F51" i="185" s="1"/>
  <c r="L51" i="185" s="1"/>
  <c r="AM60" i="190" a="1"/>
  <c r="AM60" i="190" s="1"/>
  <c r="F53" i="187" a="1"/>
  <c r="F53" i="187" s="1"/>
  <c r="M53" i="187" s="1"/>
  <c r="AD60" i="190" a="1"/>
  <c r="AD60" i="190" s="1"/>
  <c r="U40" i="39" a="1"/>
  <c r="U40" i="39" s="1"/>
  <c r="G62" i="190" a="1"/>
  <c r="G62" i="190" s="1"/>
  <c r="S60" i="190" a="1"/>
  <c r="S60" i="190" s="1"/>
  <c r="W46" i="39" a="1"/>
  <c r="W46" i="39" s="1"/>
  <c r="H66" i="190" a="1"/>
  <c r="H66" i="190" s="1"/>
  <c r="R58" i="190" a="1"/>
  <c r="R58" i="190" s="1"/>
  <c r="B43" i="39" a="1"/>
  <c r="B43" i="39" s="1"/>
  <c r="E43" i="39" a="1"/>
  <c r="E43" i="39" s="1"/>
  <c r="J44" i="39" a="1"/>
  <c r="J44" i="39" s="1"/>
  <c r="J64" i="190" a="1"/>
  <c r="J64" i="190" s="1"/>
  <c r="E51" i="185" a="1"/>
  <c r="E51" i="185" s="1"/>
  <c r="K51" i="185" s="1"/>
  <c r="S41" i="39" a="1"/>
  <c r="S41" i="39" s="1"/>
  <c r="R46" i="39" a="1"/>
  <c r="R46" i="39" s="1"/>
  <c r="AJ58" i="190" a="1"/>
  <c r="AJ58" i="190" s="1"/>
  <c r="AD66" i="190" a="1"/>
  <c r="AD66" i="190" s="1"/>
  <c r="AD62" i="190" a="1"/>
  <c r="AD62" i="190" s="1"/>
  <c r="W61" i="190" a="1"/>
  <c r="W61" i="190" s="1"/>
  <c r="T60" i="190" a="1"/>
  <c r="T60" i="190" s="1"/>
  <c r="I58" i="190" a="1"/>
  <c r="I58" i="190" s="1"/>
  <c r="G52" i="186" a="1"/>
  <c r="G52" i="186" s="1"/>
  <c r="M52" i="186" s="1"/>
  <c r="C45" i="39" a="1"/>
  <c r="C45" i="39" s="1"/>
  <c r="AT66" i="190" a="1"/>
  <c r="AT66" i="190" s="1"/>
  <c r="C50" i="187" a="1"/>
  <c r="C50" i="187" s="1"/>
  <c r="I50" i="187" s="1"/>
  <c r="J50" i="187" s="1"/>
  <c r="D43" i="39" a="1"/>
  <c r="D43" i="39" s="1"/>
  <c r="I45" i="39" a="1"/>
  <c r="I45" i="39" s="1"/>
  <c r="E50" i="187" a="1"/>
  <c r="E50" i="187" s="1"/>
  <c r="L50" i="187" s="1"/>
  <c r="E52" i="187" a="1"/>
  <c r="E52" i="187" s="1"/>
  <c r="L52" i="187" s="1"/>
  <c r="AN66" i="190" a="1"/>
  <c r="AN66" i="190" s="1"/>
  <c r="B50" i="186" a="1"/>
  <c r="B50" i="186" s="1"/>
  <c r="H50" i="186" s="1"/>
  <c r="AA60" i="190" a="1"/>
  <c r="AA60" i="190" s="1"/>
  <c r="AS60" i="190" a="1"/>
  <c r="AS60" i="190" s="1"/>
  <c r="AE58" i="190" a="1"/>
  <c r="AE58" i="190" s="1"/>
  <c r="V41" i="39" a="1"/>
  <c r="V41" i="39" s="1"/>
  <c r="F55" i="187" a="1"/>
  <c r="F55" i="187" s="1"/>
  <c r="M55" i="187" s="1"/>
  <c r="C53" i="186" a="1"/>
  <c r="C53" i="186" s="1"/>
  <c r="I53" i="186" s="1"/>
  <c r="G44" i="39" a="1"/>
  <c r="G44" i="39" s="1"/>
  <c r="R40" i="39" a="1"/>
  <c r="R40" i="39" s="1"/>
  <c r="AM63" i="190" a="1"/>
  <c r="AM63" i="190" s="1"/>
  <c r="D53" i="187" a="1"/>
  <c r="D53" i="187" s="1"/>
  <c r="K53" i="187" s="1"/>
  <c r="B48" i="187" a="1"/>
  <c r="B48" i="187" s="1"/>
  <c r="H48" i="187" s="1"/>
  <c r="AK59" i="190" a="1"/>
  <c r="AK59" i="190" s="1"/>
  <c r="AH65" i="190" a="1"/>
  <c r="AH65" i="190" s="1"/>
  <c r="G53" i="185" a="1"/>
  <c r="G53" i="185" s="1"/>
  <c r="M53" i="185" s="1"/>
  <c r="AO59" i="190" a="1"/>
  <c r="AO59" i="190" s="1"/>
  <c r="E63" i="190" a="1"/>
  <c r="E63" i="190" s="1"/>
  <c r="AV63" i="190" a="1"/>
  <c r="AV63" i="190" s="1"/>
  <c r="AN62" i="190" a="1"/>
  <c r="AN62" i="190" s="1"/>
  <c r="K63" i="190" a="1"/>
  <c r="K63" i="190" s="1"/>
  <c r="AN65" i="190" a="1"/>
  <c r="AN65" i="190" s="1"/>
  <c r="D42" i="39" a="1"/>
  <c r="D42" i="39" s="1"/>
  <c r="D66" i="190" a="1"/>
  <c r="D66" i="190" s="1"/>
  <c r="E61" i="190" a="1"/>
  <c r="E61" i="190" s="1"/>
  <c r="AM66" i="190" a="1"/>
  <c r="AM66" i="190" s="1"/>
  <c r="O44" i="39" a="1"/>
  <c r="O44" i="39" s="1"/>
  <c r="J46" i="39" a="1"/>
  <c r="J46" i="39" s="1"/>
  <c r="AU60" i="190" a="1"/>
  <c r="AU60" i="190" s="1"/>
  <c r="AP61" i="190" a="1"/>
  <c r="AP61" i="190" s="1"/>
  <c r="F47" i="187" a="1"/>
  <c r="F47" i="187" s="1"/>
  <c r="M47" i="187" s="1"/>
  <c r="B45" i="39" a="1"/>
  <c r="B45" i="39" s="1"/>
  <c r="C52" i="186" a="1"/>
  <c r="C52" i="186" s="1"/>
  <c r="I52" i="186" s="1"/>
  <c r="C55" i="186" a="1"/>
  <c r="C55" i="186" s="1"/>
  <c r="I55" i="186" s="1"/>
  <c r="B53" i="185" a="1"/>
  <c r="B53" i="185" s="1"/>
  <c r="H53" i="185" s="1"/>
  <c r="K43" i="39" a="1"/>
  <c r="K43" i="39" s="1"/>
  <c r="C46" i="185" a="1"/>
  <c r="C46" i="185" s="1"/>
  <c r="I46" i="185" s="1"/>
  <c r="P45" i="39" a="1"/>
  <c r="P45" i="39" s="1"/>
  <c r="Q64" i="190" a="1"/>
  <c r="Q64" i="190" s="1"/>
  <c r="C48" i="186" a="1"/>
  <c r="C48" i="186" s="1"/>
  <c r="I48" i="186" s="1"/>
  <c r="S43" i="39" a="1"/>
  <c r="S43" i="39" s="1"/>
  <c r="E39" i="39" a="1"/>
  <c r="E39" i="39" s="1"/>
  <c r="AP65" i="190" a="1"/>
  <c r="AP65" i="190" s="1"/>
  <c r="G58" i="190" a="1"/>
  <c r="G58" i="190" s="1"/>
  <c r="AT63" i="190" a="1"/>
  <c r="AT63" i="190" s="1"/>
  <c r="F55" i="185" a="1"/>
  <c r="F55" i="185" s="1"/>
  <c r="L55" i="185" s="1"/>
  <c r="B52" i="187" a="1"/>
  <c r="B52" i="187" s="1"/>
  <c r="H52" i="187" s="1"/>
  <c r="P58" i="190" a="1"/>
  <c r="P58" i="190" s="1"/>
  <c r="X64" i="190" a="1"/>
  <c r="X64" i="190" s="1"/>
  <c r="G54" i="186" a="1"/>
  <c r="G54" i="186" s="1"/>
  <c r="M54" i="186" s="1"/>
  <c r="I43" i="39" a="1"/>
  <c r="I43" i="39" s="1"/>
  <c r="AT61" i="190" a="1"/>
  <c r="AT61" i="190" s="1"/>
  <c r="AU65" i="190" a="1"/>
  <c r="AU65" i="190" s="1"/>
  <c r="AI62" i="190" a="1"/>
  <c r="AI62" i="190" s="1"/>
  <c r="AF63" i="190" a="1"/>
  <c r="AF63" i="190" s="1"/>
  <c r="E66" i="190" a="1"/>
  <c r="E66" i="190" s="1"/>
  <c r="J60" i="190" a="1"/>
  <c r="J60" i="190" s="1"/>
  <c r="X65" i="190" a="1"/>
  <c r="X65" i="190" s="1"/>
  <c r="AP62" i="190" a="1"/>
  <c r="AP62" i="190" s="1"/>
  <c r="S44" i="39" a="1"/>
  <c r="S44" i="39" s="1"/>
  <c r="G55" i="186" a="1"/>
  <c r="G55" i="186" s="1"/>
  <c r="M55" i="186" s="1"/>
  <c r="AG64" i="190" a="1"/>
  <c r="AG64" i="190" s="1"/>
  <c r="AU63" i="190" a="1"/>
  <c r="AU63" i="190" s="1"/>
  <c r="C51" i="186" a="1"/>
  <c r="C51" i="186" s="1"/>
  <c r="I51" i="186" s="1"/>
  <c r="B47" i="39" a="1"/>
  <c r="B47" i="39" s="1"/>
  <c r="AK58" i="190" a="1"/>
  <c r="AK58" i="190" s="1"/>
  <c r="S63" i="190" a="1"/>
  <c r="S63" i="190" s="1"/>
  <c r="AS63" i="190" a="1"/>
  <c r="AS63" i="190" s="1"/>
  <c r="AT64" i="190" a="1"/>
  <c r="AT64" i="190" s="1"/>
  <c r="C62" i="190" a="1"/>
  <c r="C62" i="190" s="1"/>
  <c r="M61" i="190" a="1"/>
  <c r="M61" i="190" s="1"/>
  <c r="H40" i="39" a="1"/>
  <c r="H40" i="39" s="1"/>
  <c r="X66" i="190" a="1"/>
  <c r="X66" i="190" s="1"/>
  <c r="AP63" i="190" a="1"/>
  <c r="AP63" i="190" s="1"/>
  <c r="C50" i="186" a="1"/>
  <c r="C50" i="186" s="1"/>
  <c r="I50" i="186" s="1"/>
  <c r="AE59" i="190" a="1"/>
  <c r="AE59" i="190" s="1"/>
  <c r="I40" i="39" a="1"/>
  <c r="I40" i="39" s="1"/>
  <c r="G46" i="187" a="1"/>
  <c r="G46" i="187" s="1"/>
  <c r="N46" i="187" s="1"/>
  <c r="F47" i="185" a="1"/>
  <c r="F47" i="185" s="1"/>
  <c r="L47" i="185" s="1"/>
  <c r="J39" i="39" a="1"/>
  <c r="J39" i="39" s="1"/>
  <c r="AF66" i="190" a="1"/>
  <c r="AF66" i="190" s="1"/>
  <c r="J65" i="190" a="1"/>
  <c r="J65" i="190" s="1"/>
  <c r="AR60" i="190" a="1"/>
  <c r="AR60" i="190" s="1"/>
  <c r="AJ64" i="190" a="1"/>
  <c r="AJ64" i="190" s="1"/>
  <c r="P61" i="190" a="1"/>
  <c r="P61" i="190" s="1"/>
  <c r="D51" i="185" a="1"/>
  <c r="D51" i="185" s="1"/>
  <c r="J51" i="185" s="1"/>
  <c r="AR59" i="190" a="1"/>
  <c r="AR59" i="190" s="1"/>
  <c r="D48" i="185" a="1"/>
  <c r="D48" i="185" s="1"/>
  <c r="J48" i="185" s="1"/>
  <c r="P40" i="39" a="1"/>
  <c r="P40" i="39" s="1"/>
  <c r="AR62" i="190" a="1"/>
  <c r="AR62" i="190" s="1"/>
  <c r="L61" i="190" a="1"/>
  <c r="L61" i="190" s="1"/>
  <c r="Q61" i="190" a="1"/>
  <c r="Q61" i="190" s="1"/>
  <c r="U66" i="190" a="1"/>
  <c r="U66" i="190" s="1"/>
  <c r="AN63" i="190" a="1"/>
  <c r="AN63" i="190" s="1"/>
  <c r="D46" i="185" a="1"/>
  <c r="D46" i="185" s="1"/>
  <c r="J46" i="185" s="1"/>
  <c r="J66" i="190" a="1"/>
  <c r="J66" i="190" s="1"/>
  <c r="D54" i="193" a="1"/>
  <c r="D54" i="193" s="1"/>
  <c r="I41" i="42" a="1"/>
  <c r="I41" i="42" s="1"/>
  <c r="C51" i="193" a="1"/>
  <c r="C51" i="193" s="1"/>
  <c r="O72" i="192" a="1"/>
  <c r="O72" i="192" s="1"/>
  <c r="O41" i="42" a="1"/>
  <c r="O41" i="42" s="1"/>
  <c r="U44" i="42" a="1"/>
  <c r="U44" i="42" s="1"/>
  <c r="U65" i="192" a="1"/>
  <c r="U65" i="192" s="1"/>
  <c r="E72" i="192" a="1"/>
  <c r="E72" i="192" s="1"/>
  <c r="N67" i="192" a="1"/>
  <c r="N67" i="192" s="1"/>
  <c r="H44" i="42" a="1"/>
  <c r="H44" i="42" s="1"/>
  <c r="W41" i="42" a="1"/>
  <c r="W41" i="42" s="1"/>
  <c r="K72" i="192" a="1"/>
  <c r="K72" i="192" s="1"/>
  <c r="R44" i="42" a="1"/>
  <c r="R44" i="42" s="1"/>
  <c r="V71" i="192" a="1"/>
  <c r="V71" i="192" s="1"/>
  <c r="AB64" i="192" a="1"/>
  <c r="AB64" i="192" s="1"/>
  <c r="H68" i="192" a="1"/>
  <c r="H68" i="192" s="1"/>
  <c r="S66" i="192" a="1"/>
  <c r="S66" i="192" s="1"/>
  <c r="H65" i="192" a="1"/>
  <c r="H65" i="192" s="1"/>
  <c r="AS66" i="192" a="1"/>
  <c r="AS66" i="192" s="1"/>
  <c r="AF62" i="192" a="1"/>
  <c r="AF62" i="192" s="1"/>
  <c r="AM68" i="192" a="1"/>
  <c r="AM68" i="192" s="1"/>
  <c r="Y70" i="192" a="1"/>
  <c r="Y70" i="192" s="1"/>
  <c r="AT64" i="192" a="1"/>
  <c r="AT64" i="192" s="1"/>
  <c r="C69" i="192" a="1"/>
  <c r="C69" i="192" s="1"/>
  <c r="J46" i="42" a="1"/>
  <c r="J46" i="42" s="1"/>
  <c r="AC65" i="192" a="1"/>
  <c r="AC65" i="192" s="1"/>
  <c r="E56" i="193" a="1"/>
  <c r="E56" i="193" s="1"/>
  <c r="G20" i="193" s="1"/>
  <c r="D61" i="192" a="1"/>
  <c r="D61" i="192" s="1"/>
  <c r="AJ66" i="192" a="1"/>
  <c r="AJ66" i="192" s="1"/>
  <c r="AM67" i="192" a="1"/>
  <c r="AM67" i="192" s="1"/>
  <c r="P69" i="192" a="1"/>
  <c r="P69" i="192" s="1"/>
  <c r="AO69" i="192" a="1"/>
  <c r="AO69" i="192" s="1"/>
  <c r="AA63" i="192" a="1"/>
  <c r="AA63" i="192" s="1"/>
  <c r="U71" i="192" a="1"/>
  <c r="U71" i="192" s="1"/>
  <c r="V72" i="192" a="1"/>
  <c r="V72" i="192" s="1"/>
  <c r="T70" i="192" a="1"/>
  <c r="T70" i="192" s="1"/>
  <c r="H64" i="192" a="1"/>
  <c r="H64" i="192" s="1"/>
  <c r="H69" i="192" a="1"/>
  <c r="H69" i="192" s="1"/>
  <c r="H62" i="192" a="1"/>
  <c r="H62" i="192" s="1"/>
  <c r="T46" i="42" a="1"/>
  <c r="T46" i="42" s="1"/>
  <c r="E69" i="192" a="1"/>
  <c r="E69" i="192" s="1"/>
  <c r="AT65" i="192" a="1"/>
  <c r="AT65" i="192" s="1"/>
  <c r="AB65" i="192" a="1"/>
  <c r="AB65" i="192" s="1"/>
  <c r="T64" i="192" a="1"/>
  <c r="T64" i="192" s="1"/>
  <c r="E43" i="42" a="1"/>
  <c r="E43" i="42" s="1"/>
  <c r="AM70" i="192" a="1"/>
  <c r="AM70" i="192" s="1"/>
  <c r="AD63" i="192" a="1"/>
  <c r="AD63" i="192" s="1"/>
  <c r="AU65" i="192" a="1"/>
  <c r="AU65" i="192" s="1"/>
  <c r="AV68" i="192" a="1"/>
  <c r="AV68" i="192" s="1"/>
  <c r="E62" i="192" a="1"/>
  <c r="E62" i="192" s="1"/>
  <c r="AU66" i="192" a="1"/>
  <c r="AU66" i="192" s="1"/>
  <c r="F50" i="193" a="1"/>
  <c r="F50" i="193" s="1"/>
  <c r="H14" i="193" s="1"/>
  <c r="Q40" i="42" a="1"/>
  <c r="Q40" i="42" s="1"/>
  <c r="T41" i="42" a="1"/>
  <c r="T41" i="42" s="1"/>
  <c r="AF71" i="192" a="1"/>
  <c r="AF71" i="192" s="1"/>
  <c r="B49" i="193" a="1"/>
  <c r="B49" i="193" s="1"/>
  <c r="B56" i="188" a="1"/>
  <c r="B56" i="188" s="1"/>
  <c r="N62" i="192" a="1"/>
  <c r="N62" i="192" s="1"/>
  <c r="AC60" i="192" a="1"/>
  <c r="AC60" i="192" s="1"/>
  <c r="O65" i="192" a="1"/>
  <c r="O65" i="192" s="1"/>
  <c r="AI68" i="192" a="1"/>
  <c r="AI68" i="192" s="1"/>
  <c r="AL67" i="192" a="1"/>
  <c r="AL67" i="192" s="1"/>
  <c r="G60" i="192" a="1"/>
  <c r="G60" i="192" s="1"/>
  <c r="AM69" i="192" a="1"/>
  <c r="AM69" i="192" s="1"/>
  <c r="AM66" i="192" a="1"/>
  <c r="AM66" i="192" s="1"/>
  <c r="AO67" i="192" a="1"/>
  <c r="AO67" i="192" s="1"/>
  <c r="Y68" i="192" a="1"/>
  <c r="Y68" i="192" s="1"/>
  <c r="AN60" i="192" a="1"/>
  <c r="AN60" i="192" s="1"/>
  <c r="X66" i="192" a="1"/>
  <c r="X66" i="192" s="1"/>
  <c r="S65" i="192" a="1"/>
  <c r="S65" i="192" s="1"/>
  <c r="S61" i="192" a="1"/>
  <c r="S61" i="192" s="1"/>
  <c r="K61" i="192" a="1"/>
  <c r="K61" i="192" s="1"/>
  <c r="Z70" i="192" a="1"/>
  <c r="Z70" i="192" s="1"/>
  <c r="X62" i="192" a="1"/>
  <c r="X62" i="192" s="1"/>
  <c r="H61" i="192" a="1"/>
  <c r="H61" i="192" s="1"/>
  <c r="F48" i="193" a="1"/>
  <c r="F48" i="193" s="1"/>
  <c r="H12" i="193" s="1"/>
  <c r="I44" i="42" a="1"/>
  <c r="I44" i="42" s="1"/>
  <c r="E54" i="188" a="1"/>
  <c r="E54" i="188" s="1"/>
  <c r="G14" i="188" s="1"/>
  <c r="AB61" i="192" a="1"/>
  <c r="AB61" i="192" s="1"/>
  <c r="C63" i="192" a="1"/>
  <c r="C63" i="192" s="1"/>
  <c r="AH61" i="192" a="1"/>
  <c r="AH61" i="192" s="1"/>
  <c r="J41" i="42" a="1"/>
  <c r="J41" i="42" s="1"/>
  <c r="AH63" i="192" a="1"/>
  <c r="AH63" i="192" s="1"/>
  <c r="AL66" i="192" a="1"/>
  <c r="AL66" i="192" s="1"/>
  <c r="E61" i="192" a="1"/>
  <c r="E61" i="192" s="1"/>
  <c r="U60" i="192" a="1"/>
  <c r="U60" i="192" s="1"/>
  <c r="AU70" i="192" a="1"/>
  <c r="AU70" i="192" s="1"/>
  <c r="AH60" i="192" a="1"/>
  <c r="AH60" i="192" s="1"/>
  <c r="C66" i="192" a="1"/>
  <c r="C66" i="192" s="1"/>
  <c r="Y61" i="192" a="1"/>
  <c r="Y61" i="192" s="1"/>
  <c r="C62" i="192" a="1"/>
  <c r="C62" i="192" s="1"/>
  <c r="S60" i="192" a="1"/>
  <c r="S60" i="192" s="1"/>
  <c r="D51" i="193" a="1"/>
  <c r="D51" i="193" s="1"/>
  <c r="AI62" i="192" a="1"/>
  <c r="AI62" i="192" s="1"/>
  <c r="V39" i="42" a="1"/>
  <c r="V39" i="42" s="1"/>
  <c r="AA62" i="192" a="1"/>
  <c r="AA62" i="192" s="1"/>
  <c r="S40" i="42" a="1"/>
  <c r="S40" i="42" s="1"/>
  <c r="AR72" i="192" a="1"/>
  <c r="AR72" i="192" s="1"/>
  <c r="I43" i="42" a="1"/>
  <c r="I43" i="42" s="1"/>
  <c r="AA72" i="192" a="1"/>
  <c r="AA72" i="192" s="1"/>
  <c r="AT61" i="192" a="1"/>
  <c r="AT61" i="192" s="1"/>
  <c r="T42" i="42" a="1"/>
  <c r="T42" i="42" s="1"/>
  <c r="AS69" i="192" a="1"/>
  <c r="AS69" i="192" s="1"/>
  <c r="F61" i="192" a="1"/>
  <c r="F61" i="192" s="1"/>
  <c r="J62" i="192" a="1"/>
  <c r="J62" i="192" s="1"/>
  <c r="AG68" i="192" a="1"/>
  <c r="AG68" i="192" s="1"/>
  <c r="K40" i="42" a="1"/>
  <c r="K40" i="42" s="1"/>
  <c r="R70" i="192" a="1"/>
  <c r="R70" i="192" s="1"/>
  <c r="G65" i="192" a="1"/>
  <c r="G65" i="192" s="1"/>
  <c r="P43" i="42" a="1"/>
  <c r="P43" i="42" s="1"/>
  <c r="U42" i="42" a="1"/>
  <c r="U42" i="42" s="1"/>
  <c r="B61" i="188" a="1"/>
  <c r="B61" i="188" s="1"/>
  <c r="AA67" i="192" a="1"/>
  <c r="AA67" i="192" s="1"/>
  <c r="D62" i="192" a="1"/>
  <c r="D62" i="192" s="1"/>
  <c r="AQ61" i="192" a="1"/>
  <c r="AQ61" i="192" s="1"/>
  <c r="AG69" i="192" a="1"/>
  <c r="AG69" i="192" s="1"/>
  <c r="D65" i="192" a="1"/>
  <c r="D65" i="192" s="1"/>
  <c r="S42" i="42" a="1"/>
  <c r="S42" i="42" s="1"/>
  <c r="AQ60" i="192" a="1"/>
  <c r="AQ60" i="192" s="1"/>
  <c r="P63" i="192" a="1"/>
  <c r="P63" i="192" s="1"/>
  <c r="G63" i="192" a="1"/>
  <c r="G63" i="192" s="1"/>
  <c r="M65" i="192" a="1"/>
  <c r="M65" i="192" s="1"/>
  <c r="AA68" i="192" a="1"/>
  <c r="AA68" i="192" s="1"/>
  <c r="AC63" i="192" a="1"/>
  <c r="AC63" i="192" s="1"/>
  <c r="B50" i="193" a="1"/>
  <c r="B50" i="193" s="1"/>
  <c r="M62" i="192" a="1"/>
  <c r="M62" i="192" s="1"/>
  <c r="AS60" i="192" a="1"/>
  <c r="AS60" i="192" s="1"/>
  <c r="R71" i="192" a="1"/>
  <c r="R71" i="192" s="1"/>
  <c r="F56" i="188" a="1"/>
  <c r="F56" i="188" s="1"/>
  <c r="H16" i="188" s="1"/>
  <c r="AG72" i="192" a="1"/>
  <c r="AG72" i="192" s="1"/>
  <c r="X60" i="192" a="1"/>
  <c r="X60" i="192" s="1"/>
  <c r="AV64" i="192" a="1"/>
  <c r="AV64" i="192" s="1"/>
  <c r="Y66" i="192" a="1"/>
  <c r="Y66" i="192" s="1"/>
  <c r="AI63" i="192" a="1"/>
  <c r="AI63" i="192" s="1"/>
  <c r="R43" i="42" a="1"/>
  <c r="R43" i="42" s="1"/>
  <c r="AK63" i="192" a="1"/>
  <c r="AK63" i="192" s="1"/>
  <c r="E53" i="193" a="1"/>
  <c r="E53" i="193" s="1"/>
  <c r="G17" i="193" s="1"/>
  <c r="D50" i="193" a="1"/>
  <c r="D50" i="193" s="1"/>
  <c r="J71" i="192" a="1"/>
  <c r="J71" i="192" s="1"/>
  <c r="AJ63" i="192" a="1"/>
  <c r="AJ63" i="192" s="1"/>
  <c r="AE69" i="192" a="1"/>
  <c r="AE69" i="192" s="1"/>
  <c r="AC62" i="192" a="1"/>
  <c r="AC62" i="192" s="1"/>
  <c r="AE66" i="192" a="1"/>
  <c r="AE66" i="192" s="1"/>
  <c r="H66" i="192" a="1"/>
  <c r="H66" i="192" s="1"/>
  <c r="X71" i="192" a="1"/>
  <c r="X71" i="192" s="1"/>
  <c r="AP60" i="192" a="1"/>
  <c r="AP60" i="192" s="1"/>
  <c r="I68" i="192" a="1"/>
  <c r="I68" i="192" s="1"/>
  <c r="AG66" i="192" a="1"/>
  <c r="AG66" i="192" s="1"/>
  <c r="P61" i="192" a="1"/>
  <c r="P61" i="192" s="1"/>
  <c r="R72" i="192" a="1"/>
  <c r="R72" i="192" s="1"/>
  <c r="E55" i="193" a="1"/>
  <c r="E55" i="193" s="1"/>
  <c r="G19" i="193" s="1"/>
  <c r="AI64" i="192" a="1"/>
  <c r="AI64" i="192" s="1"/>
  <c r="AL71" i="192" a="1"/>
  <c r="AL71" i="192" s="1"/>
  <c r="AL65" i="192" a="1"/>
  <c r="AL65" i="192" s="1"/>
  <c r="E53" i="188" a="1"/>
  <c r="E53" i="188" s="1"/>
  <c r="G13" i="188" s="1"/>
  <c r="B55" i="188" a="1"/>
  <c r="B55" i="188" s="1"/>
  <c r="W67" i="192" a="1"/>
  <c r="W67" i="192" s="1"/>
  <c r="AP63" i="192" a="1"/>
  <c r="AP63" i="192" s="1"/>
  <c r="AK65" i="192" a="1"/>
  <c r="AK65" i="192" s="1"/>
  <c r="AS64" i="192" a="1"/>
  <c r="AS64" i="192" s="1"/>
  <c r="W39" i="42" a="1"/>
  <c r="W39" i="42" s="1"/>
  <c r="I70" i="192" a="1"/>
  <c r="I70" i="192" s="1"/>
  <c r="R41" i="42" a="1"/>
  <c r="R41" i="42" s="1"/>
  <c r="AD68" i="192" a="1"/>
  <c r="AD68" i="192" s="1"/>
  <c r="L70" i="192" a="1"/>
  <c r="L70" i="192" s="1"/>
  <c r="F52" i="193" a="1"/>
  <c r="F52" i="193" s="1"/>
  <c r="H16" i="193" s="1"/>
  <c r="AD70" i="192" a="1"/>
  <c r="AD70" i="192" s="1"/>
  <c r="AU64" i="192" a="1"/>
  <c r="AU64" i="192" s="1"/>
  <c r="V40" i="42" a="1"/>
  <c r="V40" i="42" s="1"/>
  <c r="K71" i="192" a="1"/>
  <c r="K71" i="192" s="1"/>
  <c r="T72" i="192" a="1"/>
  <c r="T72" i="192" s="1"/>
  <c r="L66" i="192" a="1"/>
  <c r="L66" i="192" s="1"/>
  <c r="K68" i="192" a="1"/>
  <c r="K68" i="192" s="1"/>
  <c r="AA60" i="192" a="1"/>
  <c r="AA60" i="192" s="1"/>
  <c r="AD60" i="192" a="1"/>
  <c r="AD60" i="192" s="1"/>
  <c r="G41" i="42" a="1"/>
  <c r="G41" i="42" s="1"/>
  <c r="U46" i="42" a="1"/>
  <c r="U46" i="42" s="1"/>
  <c r="H60" i="192" a="1"/>
  <c r="H60" i="192" s="1"/>
  <c r="J44" i="42" a="1"/>
  <c r="J44" i="42" s="1"/>
  <c r="C56" i="188" a="1"/>
  <c r="C56" i="188" s="1"/>
  <c r="AO65" i="192" a="1"/>
  <c r="AO65" i="192" s="1"/>
  <c r="I65" i="192" a="1"/>
  <c r="I65" i="192" s="1"/>
  <c r="C55" i="193" a="1"/>
  <c r="C55" i="193" s="1"/>
  <c r="T61" i="192" a="1"/>
  <c r="T61" i="192" s="1"/>
  <c r="G46" i="42" a="1"/>
  <c r="G46" i="42" s="1"/>
  <c r="P44" i="42" a="1"/>
  <c r="P44" i="42" s="1"/>
  <c r="P64" i="192" a="1"/>
  <c r="P64" i="192" s="1"/>
  <c r="G40" i="42" a="1"/>
  <c r="G40" i="42" s="1"/>
  <c r="P66" i="192" a="1"/>
  <c r="P66" i="192" s="1"/>
  <c r="G71" i="192" a="1"/>
  <c r="G71" i="192" s="1"/>
  <c r="W46" i="42" a="1"/>
  <c r="W46" i="42" s="1"/>
  <c r="C68" i="192" a="1"/>
  <c r="C68" i="192" s="1"/>
  <c r="AK60" i="192" a="1"/>
  <c r="AK60" i="192" s="1"/>
  <c r="X68" i="192" a="1"/>
  <c r="X68" i="192" s="1"/>
  <c r="R46" i="42" a="1"/>
  <c r="R46" i="42" s="1"/>
  <c r="C50" i="193" a="1"/>
  <c r="C50" i="193" s="1"/>
  <c r="AA65" i="192" a="1"/>
  <c r="AA65" i="192" s="1"/>
  <c r="AG65" i="192" a="1"/>
  <c r="AG65" i="192" s="1"/>
  <c r="E60" i="192" a="1"/>
  <c r="E60" i="192" s="1"/>
  <c r="P46" i="42" a="1"/>
  <c r="P46" i="42" s="1"/>
  <c r="L60" i="192" a="1"/>
  <c r="L60" i="192" s="1"/>
  <c r="AV65" i="192" a="1"/>
  <c r="AV65" i="192" s="1"/>
  <c r="AO62" i="192" a="1"/>
  <c r="AO62" i="192" s="1"/>
  <c r="M63" i="192" a="1"/>
  <c r="M63" i="192" s="1"/>
  <c r="AU68" i="192" a="1"/>
  <c r="AU68" i="192" s="1"/>
  <c r="M60" i="192" a="1"/>
  <c r="M60" i="192" s="1"/>
  <c r="Q68" i="192" a="1"/>
  <c r="Q68" i="192" s="1"/>
  <c r="P41" i="42" a="1"/>
  <c r="P41" i="42" s="1"/>
  <c r="AH66" i="192" a="1"/>
  <c r="AH66" i="192" s="1"/>
  <c r="AS70" i="192" a="1"/>
  <c r="AS70" i="192" s="1"/>
  <c r="K69" i="192" a="1"/>
  <c r="K69" i="192" s="1"/>
  <c r="AV69" i="192" a="1"/>
  <c r="AV69" i="192" s="1"/>
  <c r="D56" i="193" a="1"/>
  <c r="D56" i="193" s="1"/>
  <c r="V66" i="192" a="1"/>
  <c r="V66" i="192" s="1"/>
  <c r="V45" i="42" a="1"/>
  <c r="V45" i="42" s="1"/>
  <c r="E45" i="42" a="1"/>
  <c r="E45" i="42" s="1"/>
  <c r="L71" i="192" a="1"/>
  <c r="L71" i="192" s="1"/>
  <c r="N61" i="192" a="1"/>
  <c r="N61" i="192" s="1"/>
  <c r="AB71" i="192" a="1"/>
  <c r="AB71" i="192" s="1"/>
  <c r="P70" i="192" a="1"/>
  <c r="P70" i="192" s="1"/>
  <c r="AF60" i="192" a="1"/>
  <c r="AF60" i="192" s="1"/>
  <c r="AV70" i="192" a="1"/>
  <c r="AV70" i="192" s="1"/>
  <c r="K63" i="192" a="1"/>
  <c r="K63" i="192" s="1"/>
  <c r="O40" i="42" a="1"/>
  <c r="O40" i="42" s="1"/>
  <c r="Z64" i="192" a="1"/>
  <c r="Z64" i="192" s="1"/>
  <c r="G61" i="192" a="1"/>
  <c r="G61" i="192" s="1"/>
  <c r="V70" i="192" a="1"/>
  <c r="V70" i="192" s="1"/>
  <c r="K45" i="42" a="1"/>
  <c r="K45" i="42" s="1"/>
  <c r="W69" i="192" a="1"/>
  <c r="W69" i="192" s="1"/>
  <c r="C59" i="188" a="1"/>
  <c r="C59" i="188" s="1"/>
  <c r="Q43" i="42" a="1"/>
  <c r="Q43" i="42" s="1"/>
  <c r="I67" i="192" a="1"/>
  <c r="I67" i="192" s="1"/>
  <c r="AV72" i="192" a="1"/>
  <c r="AV72" i="192" s="1"/>
  <c r="AK72" i="192" a="1"/>
  <c r="AK72" i="192" s="1"/>
  <c r="S70" i="192" a="1"/>
  <c r="S70" i="192" s="1"/>
  <c r="B45" i="42" a="1"/>
  <c r="B45" i="42" s="1"/>
  <c r="O61" i="192" a="1"/>
  <c r="O61" i="192" s="1"/>
  <c r="AL68" i="192" a="1"/>
  <c r="AL68" i="192" s="1"/>
  <c r="B46" i="42" a="1"/>
  <c r="B46" i="42" s="1"/>
  <c r="T69" i="192" a="1"/>
  <c r="T69" i="192" s="1"/>
  <c r="AP62" i="192" a="1"/>
  <c r="AP62" i="192" s="1"/>
  <c r="AJ60" i="192" a="1"/>
  <c r="AJ60" i="192" s="1"/>
  <c r="C53" i="193" a="1"/>
  <c r="C53" i="193" s="1"/>
  <c r="U67" i="192" a="1"/>
  <c r="U67" i="192" s="1"/>
  <c r="D60" i="188" a="1"/>
  <c r="D60" i="188" s="1"/>
  <c r="AO66" i="192" a="1"/>
  <c r="AO66" i="192" s="1"/>
  <c r="J68" i="192" a="1"/>
  <c r="J68" i="192" s="1"/>
  <c r="D42" i="42" a="1"/>
  <c r="D42" i="42" s="1"/>
  <c r="N71" i="192" a="1"/>
  <c r="N71" i="192" s="1"/>
  <c r="S68" i="192" a="1"/>
  <c r="S68" i="192" s="1"/>
  <c r="AV60" i="192" a="1"/>
  <c r="AV60" i="192" s="1"/>
  <c r="S46" i="42" a="1"/>
  <c r="S46" i="42" s="1"/>
  <c r="AN69" i="192" a="1"/>
  <c r="AN69" i="192" s="1"/>
  <c r="F56" i="193" a="1"/>
  <c r="F56" i="193" s="1"/>
  <c r="H20" i="193" s="1"/>
  <c r="AK68" i="192" a="1"/>
  <c r="AK68" i="192" s="1"/>
  <c r="E51" i="193" a="1"/>
  <c r="E51" i="193" s="1"/>
  <c r="G15" i="193" s="1"/>
  <c r="V68" i="192" a="1"/>
  <c r="V68" i="192" s="1"/>
  <c r="J45" i="42" a="1"/>
  <c r="J45" i="42" s="1"/>
  <c r="P39" i="42" a="1"/>
  <c r="P39" i="42" s="1"/>
  <c r="AG61" i="192" a="1"/>
  <c r="AG61" i="192" s="1"/>
  <c r="F65" i="192" a="1"/>
  <c r="F65" i="192" s="1"/>
  <c r="U63" i="192" a="1"/>
  <c r="U63" i="192" s="1"/>
  <c r="V65" i="192" a="1"/>
  <c r="V65" i="192" s="1"/>
  <c r="AU72" i="192" a="1"/>
  <c r="AU72" i="192" s="1"/>
  <c r="R45" i="42" a="1"/>
  <c r="R45" i="42" s="1"/>
  <c r="AS72" i="192" a="1"/>
  <c r="AS72" i="192" s="1"/>
  <c r="J64" i="192" a="1"/>
  <c r="J64" i="192" s="1"/>
  <c r="AF72" i="192" a="1"/>
  <c r="AF72" i="192" s="1"/>
  <c r="G39" i="42" a="1"/>
  <c r="G39" i="42" s="1"/>
  <c r="C70" i="192" a="1"/>
  <c r="C70" i="192" s="1"/>
  <c r="D45" i="42" a="1"/>
  <c r="D45" i="42" s="1"/>
  <c r="C48" i="193" a="1"/>
  <c r="C48" i="193" s="1"/>
  <c r="E12" i="193" s="1"/>
  <c r="Y64" i="192" a="1"/>
  <c r="Y64" i="192" s="1"/>
  <c r="D53" i="188" a="1"/>
  <c r="D53" i="188" s="1"/>
  <c r="F13" i="188" s="1"/>
  <c r="K70" i="192" a="1"/>
  <c r="K70" i="192" s="1"/>
  <c r="AP64" i="192" a="1"/>
  <c r="AP64" i="192" s="1"/>
  <c r="AG63" i="192" a="1"/>
  <c r="AG63" i="192" s="1"/>
  <c r="V41" i="42" a="1"/>
  <c r="V41" i="42" s="1"/>
  <c r="T65" i="192" a="1"/>
  <c r="T65" i="192" s="1"/>
  <c r="X63" i="192" a="1"/>
  <c r="X63" i="192" s="1"/>
  <c r="AM62" i="192" a="1"/>
  <c r="AM62" i="192" s="1"/>
  <c r="F60" i="192" a="1"/>
  <c r="F60" i="192" s="1"/>
  <c r="M66" i="192" a="1"/>
  <c r="M66" i="192" s="1"/>
  <c r="E63" i="192" a="1"/>
  <c r="E63" i="192" s="1"/>
  <c r="F59" i="188" a="1"/>
  <c r="F59" i="188" s="1"/>
  <c r="H19" i="188" s="1"/>
  <c r="D60" i="192" a="1"/>
  <c r="D60" i="192" s="1"/>
  <c r="R66" i="192" a="1"/>
  <c r="R66" i="192" s="1"/>
  <c r="Y63" i="192" a="1"/>
  <c r="Y63" i="192" s="1"/>
  <c r="B53" i="193" a="1"/>
  <c r="B53" i="193" s="1"/>
  <c r="AK62" i="192" a="1"/>
  <c r="AK62" i="192" s="1"/>
  <c r="F71" i="192" a="1"/>
  <c r="F71" i="192" s="1"/>
  <c r="AT62" i="192" a="1"/>
  <c r="AT62" i="192" s="1"/>
  <c r="T63" i="192" a="1"/>
  <c r="T63" i="192" s="1"/>
  <c r="O43" i="42" a="1"/>
  <c r="O43" i="42" s="1"/>
  <c r="AR64" i="192" a="1"/>
  <c r="AR64" i="192" s="1"/>
  <c r="L63" i="192" a="1"/>
  <c r="L63" i="192" s="1"/>
  <c r="D55" i="193" a="1"/>
  <c r="D55" i="193" s="1"/>
  <c r="D43" i="42" a="1"/>
  <c r="D43" i="42" s="1"/>
  <c r="AQ64" i="192" a="1"/>
  <c r="AQ64" i="192" s="1"/>
  <c r="F69" i="192" a="1"/>
  <c r="F69" i="192" s="1"/>
  <c r="D55" i="188" a="1"/>
  <c r="D55" i="188" s="1"/>
  <c r="Q64" i="192" a="1"/>
  <c r="Q64" i="192" s="1"/>
  <c r="V61" i="192" a="1"/>
  <c r="V61" i="192" s="1"/>
  <c r="AE65" i="192" a="1"/>
  <c r="AE65" i="192" s="1"/>
  <c r="G72" i="192" a="1"/>
  <c r="G72" i="192" s="1"/>
  <c r="AF63" i="192" a="1"/>
  <c r="AF63" i="192" s="1"/>
  <c r="O63" i="192" a="1"/>
  <c r="O63" i="192" s="1"/>
  <c r="W65" i="192" a="1"/>
  <c r="W65" i="192" s="1"/>
  <c r="E60" i="188" a="1"/>
  <c r="E60" i="188" s="1"/>
  <c r="G20" i="188" s="1"/>
  <c r="F70" i="192" a="1"/>
  <c r="F70" i="192" s="1"/>
  <c r="S64" i="192" a="1"/>
  <c r="S64" i="192" s="1"/>
  <c r="O44" i="42" a="1"/>
  <c r="O44" i="42" s="1"/>
  <c r="D48" i="193" a="1"/>
  <c r="D48" i="193" s="1"/>
  <c r="F12" i="193" s="1"/>
  <c r="B42" i="42" a="1"/>
  <c r="B42" i="42" s="1"/>
  <c r="H42" i="42" a="1"/>
  <c r="H42" i="42" s="1"/>
  <c r="AQ65" i="192" a="1"/>
  <c r="AQ65" i="192" s="1"/>
  <c r="Z71" i="192" a="1"/>
  <c r="Z71" i="192" s="1"/>
  <c r="C60" i="188" a="1"/>
  <c r="C60" i="188" s="1"/>
  <c r="M68" i="192" a="1"/>
  <c r="M68" i="192" s="1"/>
  <c r="AB69" i="192" a="1"/>
  <c r="AB69" i="192" s="1"/>
  <c r="Z62" i="192" a="1"/>
  <c r="Z62" i="192" s="1"/>
  <c r="R62" i="192" a="1"/>
  <c r="R62" i="192" s="1"/>
  <c r="Y65" i="192" a="1"/>
  <c r="Y65" i="192" s="1"/>
  <c r="P65" i="192" a="1"/>
  <c r="P65" i="192" s="1"/>
  <c r="AA66" i="192" a="1"/>
  <c r="AA66" i="192" s="1"/>
  <c r="K44" i="42" a="1"/>
  <c r="K44" i="42" s="1"/>
  <c r="U70" i="192" a="1"/>
  <c r="U70" i="192" s="1"/>
  <c r="AQ72" i="192" a="1"/>
  <c r="AQ72" i="192" s="1"/>
  <c r="J40" i="42" a="1"/>
  <c r="J40" i="42" s="1"/>
  <c r="AC64" i="192" a="1"/>
  <c r="AC64" i="192" s="1"/>
  <c r="C60" i="192" a="1"/>
  <c r="C60" i="192" s="1"/>
  <c r="G64" i="192" a="1"/>
  <c r="G64" i="192" s="1"/>
  <c r="B40" i="42" a="1"/>
  <c r="B40" i="42" s="1"/>
  <c r="AC69" i="192" a="1"/>
  <c r="AC69" i="192" s="1"/>
  <c r="E70" i="192" a="1"/>
  <c r="E70" i="192" s="1"/>
  <c r="J69" i="192" a="1"/>
  <c r="J69" i="192" s="1"/>
  <c r="C52" i="193" a="1"/>
  <c r="C52" i="193" s="1"/>
  <c r="D58" i="188" a="1"/>
  <c r="D58" i="188" s="1"/>
  <c r="B56" i="193" a="1"/>
  <c r="B56" i="193" s="1"/>
  <c r="P60" i="192" a="1"/>
  <c r="P60" i="192" s="1"/>
  <c r="H40" i="42" a="1"/>
  <c r="H40" i="42" s="1"/>
  <c r="AO70" i="192" a="1"/>
  <c r="AO70" i="192" s="1"/>
  <c r="AE64" i="192" a="1"/>
  <c r="AE64" i="192" s="1"/>
  <c r="AJ65" i="192" a="1"/>
  <c r="AJ65" i="192" s="1"/>
  <c r="AS67" i="192" a="1"/>
  <c r="AS67" i="192" s="1"/>
  <c r="D69" i="192" a="1"/>
  <c r="D69" i="192" s="1"/>
  <c r="AK61" i="192" a="1"/>
  <c r="AK61" i="192" s="1"/>
  <c r="W72" i="192" a="1"/>
  <c r="W72" i="192" s="1"/>
  <c r="C65" i="192" a="1"/>
  <c r="C65" i="192" s="1"/>
  <c r="R40" i="42" a="1"/>
  <c r="R40" i="42" s="1"/>
  <c r="V67" i="192" a="1"/>
  <c r="V67" i="192" s="1"/>
  <c r="D44" i="42" a="1"/>
  <c r="D44" i="42" s="1"/>
  <c r="M71" i="192" a="1"/>
  <c r="M71" i="192" s="1"/>
  <c r="L69" i="192" a="1"/>
  <c r="L69" i="192" s="1"/>
  <c r="F40" i="42" a="1"/>
  <c r="F40" i="42" s="1"/>
  <c r="AF61" i="192" a="1"/>
  <c r="AF61" i="192" s="1"/>
  <c r="AQ71" i="192" a="1"/>
  <c r="AQ71" i="192" s="1"/>
  <c r="AJ67" i="192" a="1"/>
  <c r="AJ67" i="192" s="1"/>
  <c r="AB67" i="192" a="1"/>
  <c r="AB67" i="192" s="1"/>
  <c r="I61" i="192" a="1"/>
  <c r="I61" i="192" s="1"/>
  <c r="F55" i="188" a="1"/>
  <c r="F55" i="188" s="1"/>
  <c r="H15" i="188" s="1"/>
  <c r="C49" i="193" a="1"/>
  <c r="C49" i="193" s="1"/>
  <c r="E13" i="193" s="1"/>
  <c r="AF69" i="192" a="1"/>
  <c r="AF69" i="192" s="1"/>
  <c r="AP71" i="192" a="1"/>
  <c r="AP71" i="192" s="1"/>
  <c r="R61" i="192" a="1"/>
  <c r="R61" i="192" s="1"/>
  <c r="J66" i="192" a="1"/>
  <c r="J66" i="192" s="1"/>
  <c r="J63" i="192" a="1"/>
  <c r="J63" i="192" s="1"/>
  <c r="U41" i="42" a="1"/>
  <c r="U41" i="42" s="1"/>
  <c r="AT60" i="192" a="1"/>
  <c r="AT60" i="192" s="1"/>
  <c r="AQ68" i="192" a="1"/>
  <c r="AQ68" i="192" s="1"/>
  <c r="Q39" i="42" a="1"/>
  <c r="Q39" i="42" s="1"/>
  <c r="Q72" i="192" a="1"/>
  <c r="Q72" i="192" s="1"/>
  <c r="AN68" i="192" a="1"/>
  <c r="AN68" i="192" s="1"/>
  <c r="AF66" i="192" a="1"/>
  <c r="AF66" i="192" s="1"/>
  <c r="AH69" i="192" a="1"/>
  <c r="AH69" i="192" s="1"/>
  <c r="Z61" i="192" a="1"/>
  <c r="Z61" i="192" s="1"/>
  <c r="Z65" i="192" a="1"/>
  <c r="Z65" i="192" s="1"/>
  <c r="AR70" i="192" a="1"/>
  <c r="AR70" i="192" s="1"/>
  <c r="V64" i="192" a="1"/>
  <c r="V64" i="192" s="1"/>
  <c r="G68" i="192" a="1"/>
  <c r="G68" i="192" s="1"/>
  <c r="AV71" i="192" a="1"/>
  <c r="AV71" i="192" s="1"/>
  <c r="F42" i="42" a="1"/>
  <c r="F42" i="42" s="1"/>
  <c r="E46" i="42" a="1"/>
  <c r="E46" i="42" s="1"/>
  <c r="O67" i="192" a="1"/>
  <c r="O67" i="192" s="1"/>
  <c r="AJ69" i="192" a="1"/>
  <c r="AJ69" i="192" s="1"/>
  <c r="AB72" i="192" a="1"/>
  <c r="AB72" i="192" s="1"/>
  <c r="F43" i="42" a="1"/>
  <c r="F43" i="42" s="1"/>
  <c r="T44" i="42" a="1"/>
  <c r="T44" i="42" s="1"/>
  <c r="AK69" i="192" a="1"/>
  <c r="AK69" i="192" s="1"/>
  <c r="AU67" i="192" a="1"/>
  <c r="AU67" i="192" s="1"/>
  <c r="J61" i="192" a="1"/>
  <c r="J61" i="192" s="1"/>
  <c r="K62" i="192" a="1"/>
  <c r="K62" i="192" s="1"/>
  <c r="AR71" i="192" a="1"/>
  <c r="AR71" i="192" s="1"/>
  <c r="N65" i="192" a="1"/>
  <c r="N65" i="192" s="1"/>
  <c r="N70" i="192" a="1"/>
  <c r="N70" i="192" s="1"/>
  <c r="AO61" i="192" a="1"/>
  <c r="AO61" i="192" s="1"/>
  <c r="F72" i="192" a="1"/>
  <c r="F72" i="192" s="1"/>
  <c r="F58" i="188" a="1"/>
  <c r="F58" i="188" s="1"/>
  <c r="H18" i="188" s="1"/>
  <c r="AB70" i="192" a="1"/>
  <c r="AB70" i="192" s="1"/>
  <c r="AN63" i="192" a="1"/>
  <c r="AN63" i="192" s="1"/>
  <c r="R63" i="192" a="1"/>
  <c r="R63" i="192" s="1"/>
  <c r="F54" i="188" a="1"/>
  <c r="F54" i="188" s="1"/>
  <c r="H14" i="188" s="1"/>
  <c r="E59" i="188" a="1"/>
  <c r="E59" i="188" s="1"/>
  <c r="G19" i="188" s="1"/>
  <c r="V63" i="192" a="1"/>
  <c r="V63" i="192" s="1"/>
  <c r="AQ69" i="192" a="1"/>
  <c r="AQ69" i="192" s="1"/>
  <c r="AN72" i="192" a="1"/>
  <c r="AN72" i="192" s="1"/>
  <c r="M69" i="192" a="1"/>
  <c r="M69" i="192" s="1"/>
  <c r="AH64" i="192" a="1"/>
  <c r="AH64" i="192" s="1"/>
  <c r="R60" i="192" a="1"/>
  <c r="R60" i="192" s="1"/>
  <c r="Y69" i="192" a="1"/>
  <c r="Y69" i="192" s="1"/>
  <c r="M72" i="192" a="1"/>
  <c r="M72" i="192" s="1"/>
  <c r="W70" i="192" a="1"/>
  <c r="W70" i="192" s="1"/>
  <c r="AR61" i="192" a="1"/>
  <c r="AR61" i="192" s="1"/>
  <c r="AA64" i="192" a="1"/>
  <c r="AA64" i="192" s="1"/>
  <c r="W66" i="192" a="1"/>
  <c r="W66" i="192" s="1"/>
  <c r="C44" i="42" a="1"/>
  <c r="C44" i="42" s="1"/>
  <c r="AF67" i="192" a="1"/>
  <c r="AF67" i="192" s="1"/>
  <c r="T68" i="192" a="1"/>
  <c r="T68" i="192" s="1"/>
  <c r="AM65" i="192" a="1"/>
  <c r="AM65" i="192" s="1"/>
  <c r="AN66" i="192" a="1"/>
  <c r="AN66" i="192" s="1"/>
  <c r="T60" i="192" a="1"/>
  <c r="T60" i="192" s="1"/>
  <c r="AN62" i="192" a="1"/>
  <c r="AN62" i="192" s="1"/>
  <c r="K41" i="42" a="1"/>
  <c r="K41" i="42" s="1"/>
  <c r="O42" i="42" a="1"/>
  <c r="O42" i="42" s="1"/>
  <c r="L72" i="192" a="1"/>
  <c r="L72" i="192" s="1"/>
  <c r="AP70" i="192" a="1"/>
  <c r="AP70" i="192" s="1"/>
  <c r="AC71" i="192" a="1"/>
  <c r="AC71" i="192" s="1"/>
  <c r="W60" i="192" a="1"/>
  <c r="W60" i="192" s="1"/>
  <c r="G44" i="42" a="1"/>
  <c r="G44" i="42" s="1"/>
  <c r="AG60" i="192" a="1"/>
  <c r="AG60" i="192" s="1"/>
  <c r="Q69" i="192" a="1"/>
  <c r="Q69" i="192" s="1"/>
  <c r="AN71" i="192" a="1"/>
  <c r="AN71" i="192" s="1"/>
  <c r="E40" i="42" a="1"/>
  <c r="E40" i="42" s="1"/>
  <c r="AT71" i="192" a="1"/>
  <c r="AT71" i="192" s="1"/>
  <c r="AJ70" i="192" a="1"/>
  <c r="AJ70" i="192" s="1"/>
  <c r="AD64" i="192" a="1"/>
  <c r="AD64" i="192" s="1"/>
  <c r="AK70" i="192" a="1"/>
  <c r="AK70" i="192" s="1"/>
  <c r="AT70" i="192" a="1"/>
  <c r="AT70" i="192" s="1"/>
  <c r="C54" i="188" a="1"/>
  <c r="C54" i="188" s="1"/>
  <c r="E14" i="188" s="1"/>
  <c r="M67" i="192" a="1"/>
  <c r="M67" i="192" s="1"/>
  <c r="AP61" i="192" a="1"/>
  <c r="AP61" i="192" s="1"/>
  <c r="AT68" i="192" a="1"/>
  <c r="AT68" i="192" s="1"/>
  <c r="J39" i="42" a="1"/>
  <c r="J39" i="42" s="1"/>
  <c r="AD69" i="192" a="1"/>
  <c r="AD69" i="192" s="1"/>
  <c r="F68" i="192" a="1"/>
  <c r="F68" i="192" s="1"/>
  <c r="L65" i="192" a="1"/>
  <c r="L65" i="192" s="1"/>
  <c r="B54" i="193" a="1"/>
  <c r="B54" i="193" s="1"/>
  <c r="Z72" i="192" a="1"/>
  <c r="Z72" i="192" s="1"/>
  <c r="E56" i="188" a="1"/>
  <c r="E56" i="188" s="1"/>
  <c r="G16" i="188" s="1"/>
  <c r="AA61" i="192" a="1"/>
  <c r="AA61" i="192" s="1"/>
  <c r="I69" i="192" a="1"/>
  <c r="I69" i="192" s="1"/>
  <c r="D54" i="188" a="1"/>
  <c r="D54" i="188" s="1"/>
  <c r="F14" i="188" s="1"/>
  <c r="AJ61" i="192" a="1"/>
  <c r="AJ61" i="192" s="1"/>
  <c r="E65" i="192" a="1"/>
  <c r="E65" i="192" s="1"/>
  <c r="T67" i="192" a="1"/>
  <c r="T67" i="192" s="1"/>
  <c r="AL70" i="192" a="1"/>
  <c r="AL70" i="192" s="1"/>
  <c r="R65" i="192" a="1"/>
  <c r="R65" i="192" s="1"/>
  <c r="H63" i="192" a="1"/>
  <c r="H63" i="192" s="1"/>
  <c r="AB66" i="192" a="1"/>
  <c r="AB66" i="192" s="1"/>
  <c r="AI67" i="192" a="1"/>
  <c r="AI67" i="192" s="1"/>
  <c r="O60" i="192" a="1"/>
  <c r="O60" i="192" s="1"/>
  <c r="AD66" i="192" a="1"/>
  <c r="AD66" i="192" s="1"/>
  <c r="R39" i="42" a="1"/>
  <c r="R39" i="42" s="1"/>
  <c r="E41" i="42" a="1"/>
  <c r="E41" i="42" s="1"/>
  <c r="T39" i="42" a="1"/>
  <c r="T39" i="42" s="1"/>
  <c r="AR68" i="192" a="1"/>
  <c r="AR68" i="192" s="1"/>
  <c r="B54" i="188" a="1"/>
  <c r="B54" i="188" s="1"/>
  <c r="AM63" i="192" a="1"/>
  <c r="AM63" i="192" s="1"/>
  <c r="K42" i="42" a="1"/>
  <c r="K42" i="42" s="1"/>
  <c r="E57" i="188" a="1"/>
  <c r="E57" i="188" s="1"/>
  <c r="G17" i="188" s="1"/>
  <c r="AO63" i="192" a="1"/>
  <c r="AO63" i="192" s="1"/>
  <c r="AL69" i="192" a="1"/>
  <c r="AL69" i="192" s="1"/>
  <c r="AN61" i="192" a="1"/>
  <c r="AN61" i="192" s="1"/>
  <c r="Y71" i="192" a="1"/>
  <c r="Y71" i="192" s="1"/>
  <c r="E61" i="188" a="1"/>
  <c r="E61" i="188" s="1"/>
  <c r="G21" i="188" s="1"/>
  <c r="S67" i="192" a="1"/>
  <c r="S67" i="192" s="1"/>
  <c r="I71" i="192" a="1"/>
  <c r="I71" i="192" s="1"/>
  <c r="F39" i="42" a="1"/>
  <c r="F39" i="42" s="1"/>
  <c r="B52" i="193" a="1"/>
  <c r="B52" i="193" s="1"/>
  <c r="N63" i="192" a="1"/>
  <c r="N63" i="192" s="1"/>
  <c r="O39" i="42" a="1"/>
  <c r="O39" i="42" s="1"/>
  <c r="Q41" i="42" a="1"/>
  <c r="Q41" i="42" s="1"/>
  <c r="W45" i="42" a="1"/>
  <c r="W45" i="42" s="1"/>
  <c r="C53" i="188" a="1"/>
  <c r="C53" i="188" s="1"/>
  <c r="E13" i="188" s="1"/>
  <c r="V46" i="42" a="1"/>
  <c r="V46" i="42" s="1"/>
  <c r="S63" i="192" a="1"/>
  <c r="S63" i="192" s="1"/>
  <c r="Q42" i="42" a="1"/>
  <c r="Q42" i="42" s="1"/>
  <c r="AS71" i="192" a="1"/>
  <c r="AS71" i="192" s="1"/>
  <c r="AF65" i="192" a="1"/>
  <c r="AF65" i="192" s="1"/>
  <c r="H41" i="42" a="1"/>
  <c r="H41" i="42" s="1"/>
  <c r="N66" i="192" a="1"/>
  <c r="N66" i="192" s="1"/>
  <c r="Q60" i="192" a="1"/>
  <c r="Q60" i="192" s="1"/>
  <c r="C71" i="192" a="1"/>
  <c r="C71" i="192" s="1"/>
  <c r="B51" i="193" a="1"/>
  <c r="B51" i="193" s="1"/>
  <c r="D49" i="193" a="1"/>
  <c r="D49" i="193" s="1"/>
  <c r="F13" i="193" s="1"/>
  <c r="AN64" i="192" a="1"/>
  <c r="AN64" i="192" s="1"/>
  <c r="I66" i="192" a="1"/>
  <c r="I66" i="192" s="1"/>
  <c r="AO71" i="192" a="1"/>
  <c r="AO71" i="192" s="1"/>
  <c r="S43" i="42" a="1"/>
  <c r="S43" i="42" s="1"/>
  <c r="Y60" i="192" a="1"/>
  <c r="Y60" i="192" s="1"/>
  <c r="AI66" i="192" a="1"/>
  <c r="AI66" i="192" s="1"/>
  <c r="O62" i="192" a="1"/>
  <c r="O62" i="192" s="1"/>
  <c r="W42" i="42" a="1"/>
  <c r="W42" i="42" s="1"/>
  <c r="AM64" i="192" a="1"/>
  <c r="AM64" i="192" s="1"/>
  <c r="O71" i="192" a="1"/>
  <c r="O71" i="192" s="1"/>
  <c r="H43" i="42" a="1"/>
  <c r="H43" i="42" s="1"/>
  <c r="AC61" i="192" a="1"/>
  <c r="AC61" i="192" s="1"/>
  <c r="AT69" i="192" a="1"/>
  <c r="AT69" i="192" s="1"/>
  <c r="AB68" i="192" a="1"/>
  <c r="AB68" i="192" s="1"/>
  <c r="AI65" i="192" a="1"/>
  <c r="AI65" i="192" s="1"/>
  <c r="AO72" i="192" a="1"/>
  <c r="AO72" i="192" s="1"/>
  <c r="I63" i="192" a="1"/>
  <c r="I63" i="192" s="1"/>
  <c r="G66" i="192" a="1"/>
  <c r="G66" i="192" s="1"/>
  <c r="X70" i="192" a="1"/>
  <c r="X70" i="192" s="1"/>
  <c r="AE68" i="192" a="1"/>
  <c r="AE68" i="192" s="1"/>
  <c r="Z68" i="192" a="1"/>
  <c r="Z68" i="192" s="1"/>
  <c r="F53" i="193" a="1"/>
  <c r="F53" i="193" s="1"/>
  <c r="H17" i="193" s="1"/>
  <c r="AM60" i="192" a="1"/>
  <c r="AM60" i="192" s="1"/>
  <c r="Q71" i="192" a="1"/>
  <c r="Q71" i="192" s="1"/>
  <c r="D68" i="192" a="1"/>
  <c r="D68" i="192" s="1"/>
  <c r="J70" i="192" a="1"/>
  <c r="J70" i="192" s="1"/>
  <c r="R67" i="192" a="1"/>
  <c r="R67" i="192" s="1"/>
  <c r="P72" i="192" a="1"/>
  <c r="P72" i="192" s="1"/>
  <c r="C55" i="188" a="1"/>
  <c r="C55" i="188" s="1"/>
  <c r="E71" i="192" a="1"/>
  <c r="E71" i="192" s="1"/>
  <c r="F54" i="193" a="1"/>
  <c r="F54" i="193" s="1"/>
  <c r="H18" i="193" s="1"/>
  <c r="AL63" i="192" a="1"/>
  <c r="AL63" i="192" s="1"/>
  <c r="X64" i="192" a="1"/>
  <c r="X64" i="192" s="1"/>
  <c r="AR60" i="192" a="1"/>
  <c r="AR60" i="192" s="1"/>
  <c r="AL72" i="192" a="1"/>
  <c r="AL72" i="192" s="1"/>
  <c r="AS68" i="192" a="1"/>
  <c r="AS68" i="192" s="1"/>
  <c r="I64" i="192" a="1"/>
  <c r="I64" i="192" s="1"/>
  <c r="S72" i="192" a="1"/>
  <c r="S72" i="192" s="1"/>
  <c r="W44" i="42" a="1"/>
  <c r="W44" i="42" s="1"/>
  <c r="S45" i="42" a="1"/>
  <c r="S45" i="42" s="1"/>
  <c r="Z67" i="192" a="1"/>
  <c r="Z67" i="192" s="1"/>
  <c r="O69" i="192" a="1"/>
  <c r="O69" i="192" s="1"/>
  <c r="C40" i="42" a="1"/>
  <c r="C40" i="42" s="1"/>
  <c r="E49" i="193" a="1"/>
  <c r="E49" i="193" s="1"/>
  <c r="G13" i="193" s="1"/>
  <c r="AH71" i="192" a="1"/>
  <c r="AH71" i="192" s="1"/>
  <c r="U61" i="192" a="1"/>
  <c r="U61" i="192" s="1"/>
  <c r="E44" i="42" a="1"/>
  <c r="E44" i="42" s="1"/>
  <c r="AH68" i="192" a="1"/>
  <c r="AH68" i="192" s="1"/>
  <c r="D64" i="192" a="1"/>
  <c r="D64" i="192" s="1"/>
  <c r="B58" i="188" a="1"/>
  <c r="B58" i="188" s="1"/>
  <c r="AH70" i="192" a="1"/>
  <c r="AH70" i="192" s="1"/>
  <c r="P62" i="192" a="1"/>
  <c r="P62" i="192" s="1"/>
  <c r="L61" i="192" a="1"/>
  <c r="L61" i="192" s="1"/>
  <c r="E64" i="192" a="1"/>
  <c r="E64" i="192" s="1"/>
  <c r="V43" i="42" a="1"/>
  <c r="V43" i="42" s="1"/>
  <c r="X69" i="192" a="1"/>
  <c r="X69" i="192" s="1"/>
  <c r="AC72" i="192" a="1"/>
  <c r="AC72" i="192" s="1"/>
  <c r="N69" i="192" a="1"/>
  <c r="N69" i="192" s="1"/>
  <c r="F61" i="188" a="1"/>
  <c r="F61" i="188" s="1"/>
  <c r="H21" i="188" s="1"/>
  <c r="AF68" i="192" a="1"/>
  <c r="AF68" i="192" s="1"/>
  <c r="P68" i="192" a="1"/>
  <c r="P68" i="192" s="1"/>
  <c r="AL60" i="192" a="1"/>
  <c r="AL60" i="192" s="1"/>
  <c r="J65" i="192" a="1"/>
  <c r="J65" i="192" s="1"/>
  <c r="Q70" i="192" a="1"/>
  <c r="Q70" i="192" s="1"/>
  <c r="AC66" i="192" a="1"/>
  <c r="AC66" i="192" s="1"/>
  <c r="D59" i="188" a="1"/>
  <c r="D59" i="188" s="1"/>
  <c r="O45" i="42" a="1"/>
  <c r="O45" i="42" s="1"/>
  <c r="K60" i="192" a="1"/>
  <c r="K60" i="192" s="1"/>
  <c r="G70" i="192" a="1"/>
  <c r="G70" i="192" s="1"/>
  <c r="Q46" i="42" a="1"/>
  <c r="Q46" i="42" s="1"/>
  <c r="AV63" i="192" a="1"/>
  <c r="AV63" i="192" s="1"/>
  <c r="F66" i="192" a="1"/>
  <c r="F66" i="192" s="1"/>
  <c r="W62" i="192" a="1"/>
  <c r="W62" i="192" s="1"/>
  <c r="E55" i="188" a="1"/>
  <c r="E55" i="188" s="1"/>
  <c r="G15" i="188" s="1"/>
  <c r="F64" i="192" a="1"/>
  <c r="F64" i="192" s="1"/>
  <c r="AE70" i="192" a="1"/>
  <c r="AE70" i="192" s="1"/>
  <c r="F45" i="42" a="1"/>
  <c r="F45" i="42" s="1"/>
  <c r="I62" i="192" a="1"/>
  <c r="I62" i="192" s="1"/>
  <c r="AQ67" i="192" a="1"/>
  <c r="AQ67" i="192" s="1"/>
  <c r="D41" i="42" a="1"/>
  <c r="D41" i="42" s="1"/>
  <c r="Z60" i="192" a="1"/>
  <c r="Z60" i="192" s="1"/>
  <c r="AB60" i="192" a="1"/>
  <c r="AB60" i="192" s="1"/>
  <c r="T45" i="42" a="1"/>
  <c r="T45" i="42" s="1"/>
  <c r="P67" i="192" a="1"/>
  <c r="P67" i="192" s="1"/>
  <c r="T66" i="192" a="1"/>
  <c r="T66" i="192" s="1"/>
  <c r="AK67" i="192" a="1"/>
  <c r="AK67" i="192" s="1"/>
  <c r="AF70" i="192" a="1"/>
  <c r="AF70" i="192" s="1"/>
  <c r="Z66" i="192" a="1"/>
  <c r="Z66" i="192" s="1"/>
  <c r="W40" i="42" a="1"/>
  <c r="W40" i="42" s="1"/>
  <c r="AP72" i="192" a="1"/>
  <c r="AP72" i="192" s="1"/>
  <c r="AE67" i="192" a="1"/>
  <c r="AE67" i="192" s="1"/>
  <c r="M70" i="192" a="1"/>
  <c r="M70" i="192" s="1"/>
  <c r="K46" i="42" a="1"/>
  <c r="K46" i="42" s="1"/>
  <c r="D66" i="192" a="1"/>
  <c r="D66" i="192" s="1"/>
  <c r="X61" i="192" a="1"/>
  <c r="X61" i="192" s="1"/>
  <c r="AE60" i="192" a="1"/>
  <c r="AE60" i="192" s="1"/>
  <c r="AC67" i="192" a="1"/>
  <c r="AC67" i="192" s="1"/>
  <c r="R42" i="42" a="1"/>
  <c r="R42" i="42" s="1"/>
  <c r="AU61" i="192" a="1"/>
  <c r="AU61" i="192" s="1"/>
  <c r="H45" i="42" a="1"/>
  <c r="H45" i="42" s="1"/>
  <c r="P71" i="192" a="1"/>
  <c r="P71" i="192" s="1"/>
  <c r="AP69" i="192" a="1"/>
  <c r="AP69" i="192" s="1"/>
  <c r="AK64" i="192" a="1"/>
  <c r="AK64" i="192" s="1"/>
  <c r="AU62" i="192" a="1"/>
  <c r="AU62" i="192" s="1"/>
  <c r="AR62" i="192" a="1"/>
  <c r="AR62" i="192" s="1"/>
  <c r="AL62" i="192" a="1"/>
  <c r="AL62" i="192" s="1"/>
  <c r="D71" i="192" a="1"/>
  <c r="D71" i="192" s="1"/>
  <c r="B48" i="193" a="1"/>
  <c r="B48" i="193" s="1"/>
  <c r="AH67" i="192" a="1"/>
  <c r="AH67" i="192" s="1"/>
  <c r="AS63" i="192" a="1"/>
  <c r="AS63" i="192" s="1"/>
  <c r="I39" i="42" a="1"/>
  <c r="I39" i="42" s="1"/>
  <c r="E68" i="192" a="1"/>
  <c r="E68" i="192" s="1"/>
  <c r="AS61" i="192" a="1"/>
  <c r="AS61" i="192" s="1"/>
  <c r="U62" i="192" a="1"/>
  <c r="U62" i="192" s="1"/>
  <c r="Y62" i="192" a="1"/>
  <c r="Y62" i="192" s="1"/>
  <c r="AG70" i="192" a="1"/>
  <c r="AG70" i="192" s="1"/>
  <c r="J60" i="192" a="1"/>
  <c r="J60" i="192" s="1"/>
  <c r="B39" i="42" a="1"/>
  <c r="B39" i="42" s="1"/>
  <c r="D52" i="193" a="1"/>
  <c r="D52" i="193" s="1"/>
  <c r="U72" i="192" a="1"/>
  <c r="U72" i="192" s="1"/>
  <c r="X72" i="192" a="1"/>
  <c r="X72" i="192" s="1"/>
  <c r="E67" i="192" a="1"/>
  <c r="E67" i="192" s="1"/>
  <c r="I42" i="42" a="1"/>
  <c r="I42" i="42" s="1"/>
  <c r="AL61" i="192" a="1"/>
  <c r="AL61" i="192" s="1"/>
  <c r="G69" i="192" a="1"/>
  <c r="G69" i="192" s="1"/>
  <c r="I46" i="42" a="1"/>
  <c r="I46" i="42" s="1"/>
  <c r="AA70" i="192" a="1"/>
  <c r="AA70" i="192" s="1"/>
  <c r="R69" i="192" a="1"/>
  <c r="R69" i="192" s="1"/>
  <c r="C41" i="42" a="1"/>
  <c r="C41" i="42" s="1"/>
  <c r="AU63" i="192" a="1"/>
  <c r="AU63" i="192" s="1"/>
  <c r="B44" i="42" a="1"/>
  <c r="B44" i="42" s="1"/>
  <c r="H67" i="192" a="1"/>
  <c r="H67" i="192" s="1"/>
  <c r="C54" i="193" a="1"/>
  <c r="C54" i="193" s="1"/>
  <c r="G43" i="42" a="1"/>
  <c r="G43" i="42" s="1"/>
  <c r="AI72" i="192" a="1"/>
  <c r="AI72" i="192" s="1"/>
  <c r="AQ70" i="192" a="1"/>
  <c r="AQ70" i="192" s="1"/>
  <c r="L62" i="192" a="1"/>
  <c r="L62" i="192" s="1"/>
  <c r="L68" i="192" a="1"/>
  <c r="L68" i="192" s="1"/>
  <c r="W68" i="192" a="1"/>
  <c r="W68" i="192" s="1"/>
  <c r="AB63" i="192" a="1"/>
  <c r="AB63" i="192" s="1"/>
  <c r="B57" i="188" a="1"/>
  <c r="B57" i="188" s="1"/>
  <c r="C46" i="42" a="1"/>
  <c r="C46" i="42" s="1"/>
  <c r="L64" i="192" a="1"/>
  <c r="L64" i="192" s="1"/>
  <c r="P45" i="42" a="1"/>
  <c r="P45" i="42" s="1"/>
  <c r="AH72" i="192" a="1"/>
  <c r="AH72" i="192" s="1"/>
  <c r="F55" i="193" a="1"/>
  <c r="F55" i="193" s="1"/>
  <c r="H19" i="193" s="1"/>
  <c r="U43" i="42" a="1"/>
  <c r="U43" i="42" s="1"/>
  <c r="AR65" i="192" a="1"/>
  <c r="AR65" i="192" s="1"/>
  <c r="AB62" i="192" a="1"/>
  <c r="AB62" i="192" s="1"/>
  <c r="AV67" i="192" a="1"/>
  <c r="AV67" i="192" s="1"/>
  <c r="U69" i="192" a="1"/>
  <c r="U69" i="192" s="1"/>
  <c r="AE71" i="192" a="1"/>
  <c r="AE71" i="192" s="1"/>
  <c r="F51" i="193" a="1"/>
  <c r="F51" i="193" s="1"/>
  <c r="H15" i="193" s="1"/>
  <c r="D39" i="42" a="1"/>
  <c r="D39" i="42" s="1"/>
  <c r="AV61" i="192" a="1"/>
  <c r="AV61" i="192" s="1"/>
  <c r="D40" i="42" a="1"/>
  <c r="D40" i="42" s="1"/>
  <c r="T43" i="42" a="1"/>
  <c r="T43" i="42" s="1"/>
  <c r="B59" i="188" a="1"/>
  <c r="B59" i="188" s="1"/>
  <c r="U40" i="42" a="1"/>
  <c r="U40" i="42" s="1"/>
  <c r="AO60" i="192" a="1"/>
  <c r="AO60" i="192" s="1"/>
  <c r="Y67" i="192" a="1"/>
  <c r="Y67" i="192" s="1"/>
  <c r="Q45" i="42" a="1"/>
  <c r="Q45" i="42" s="1"/>
  <c r="E48" i="193" a="1"/>
  <c r="E48" i="193" s="1"/>
  <c r="G12" i="193" s="1"/>
  <c r="C61" i="192" a="1"/>
  <c r="C61" i="192" s="1"/>
  <c r="D70" i="192" a="1"/>
  <c r="D70" i="192" s="1"/>
  <c r="O70" i="192" a="1"/>
  <c r="O70" i="192" s="1"/>
  <c r="F49" i="193" a="1"/>
  <c r="F49" i="193" s="1"/>
  <c r="H13" i="193" s="1"/>
  <c r="H70" i="192" a="1"/>
  <c r="H70" i="192" s="1"/>
  <c r="AQ62" i="192" a="1"/>
  <c r="AQ62" i="192" s="1"/>
  <c r="V42" i="42" a="1"/>
  <c r="V42" i="42" s="1"/>
  <c r="N72" i="192" a="1"/>
  <c r="N72" i="192" s="1"/>
  <c r="M64" i="192" a="1"/>
  <c r="M64" i="192" s="1"/>
  <c r="AP65" i="192" a="1"/>
  <c r="AP65" i="192" s="1"/>
  <c r="AN67" i="192" a="1"/>
  <c r="AN67" i="192" s="1"/>
  <c r="AG67" i="192" a="1"/>
  <c r="AG67" i="192" s="1"/>
  <c r="J72" i="192" a="1"/>
  <c r="J72" i="192" s="1"/>
  <c r="AS65" i="192" a="1"/>
  <c r="AS65" i="192" s="1"/>
  <c r="S71" i="192" a="1"/>
  <c r="S71" i="192" s="1"/>
  <c r="H39" i="42" a="1"/>
  <c r="H39" i="42" s="1"/>
  <c r="AG71" i="192" a="1"/>
  <c r="AG71" i="192" s="1"/>
  <c r="F62" i="192" a="1"/>
  <c r="F62" i="192" s="1"/>
  <c r="F46" i="42" a="1"/>
  <c r="F46" i="42" s="1"/>
  <c r="D61" i="188" a="1"/>
  <c r="D61" i="188" s="1"/>
  <c r="J42" i="42" a="1"/>
  <c r="J42" i="42" s="1"/>
  <c r="E54" i="193" a="1"/>
  <c r="E54" i="193" s="1"/>
  <c r="G18" i="193" s="1"/>
  <c r="E52" i="193" a="1"/>
  <c r="E52" i="193" s="1"/>
  <c r="G16" i="193" s="1"/>
  <c r="S39" i="42" a="1"/>
  <c r="S39" i="42" s="1"/>
  <c r="F53" i="188" a="1"/>
  <c r="F53" i="188" s="1"/>
  <c r="H13" i="188" s="1"/>
  <c r="AT63" i="192" a="1"/>
  <c r="AT63" i="192" s="1"/>
  <c r="AM61" i="192" a="1"/>
  <c r="AM61" i="192" s="1"/>
  <c r="O66" i="192" a="1"/>
  <c r="O66" i="192" s="1"/>
  <c r="AL64" i="192" a="1"/>
  <c r="AL64" i="192" s="1"/>
  <c r="AR66" i="192" a="1"/>
  <c r="AR66" i="192" s="1"/>
  <c r="C61" i="188" a="1"/>
  <c r="C61" i="188" s="1"/>
  <c r="L67" i="192" a="1"/>
  <c r="L67" i="192" s="1"/>
  <c r="K66" i="192" a="1"/>
  <c r="K66" i="192" s="1"/>
  <c r="Q63" i="192" a="1"/>
  <c r="Q63" i="192" s="1"/>
  <c r="R64" i="192" a="1"/>
  <c r="R64" i="192" s="1"/>
  <c r="F57" i="188" a="1"/>
  <c r="F57" i="188" s="1"/>
  <c r="H17" i="188" s="1"/>
  <c r="Q62" i="192" a="1"/>
  <c r="Q62" i="192" s="1"/>
  <c r="AQ63" i="192" a="1"/>
  <c r="AQ63" i="192" s="1"/>
  <c r="AH62" i="192" a="1"/>
  <c r="AH62" i="192" s="1"/>
  <c r="AI61" i="192" a="1"/>
  <c r="AI61" i="192" s="1"/>
  <c r="B41" i="42" a="1"/>
  <c r="B41" i="42" s="1"/>
  <c r="AQ66" i="192" a="1"/>
  <c r="AQ66" i="192" s="1"/>
  <c r="G45" i="42" a="1"/>
  <c r="G45" i="42" s="1"/>
  <c r="D53" i="193" a="1"/>
  <c r="D53" i="193" s="1"/>
  <c r="S69" i="192" a="1"/>
  <c r="S69" i="192" s="1"/>
  <c r="AD71" i="192" a="1"/>
  <c r="AD71" i="192" s="1"/>
  <c r="I45" i="42" a="1"/>
  <c r="I45" i="42" s="1"/>
  <c r="T71" i="192" a="1"/>
  <c r="T71" i="192" s="1"/>
  <c r="J43" i="42" a="1"/>
  <c r="J43" i="42" s="1"/>
  <c r="P42" i="42" a="1"/>
  <c r="P42" i="42" s="1"/>
  <c r="D67" i="192" a="1"/>
  <c r="D67" i="192" s="1"/>
  <c r="W43" i="42" a="1"/>
  <c r="W43" i="42" s="1"/>
  <c r="J67" i="192" a="1"/>
  <c r="J67" i="192" s="1"/>
  <c r="S62" i="192" a="1"/>
  <c r="S62" i="192" s="1"/>
  <c r="T40" i="42" a="1"/>
  <c r="T40" i="42" s="1"/>
  <c r="H72" i="192" a="1"/>
  <c r="H72" i="192" s="1"/>
  <c r="B60" i="188" a="1"/>
  <c r="B60" i="188" s="1"/>
  <c r="F41" i="42" a="1"/>
  <c r="F41" i="42" s="1"/>
  <c r="G62" i="192" a="1"/>
  <c r="G62" i="192" s="1"/>
  <c r="D72" i="192" a="1"/>
  <c r="D72" i="192" s="1"/>
  <c r="K67" i="192" a="1"/>
  <c r="K67" i="192" s="1"/>
  <c r="D63" i="192" a="1"/>
  <c r="D63" i="192" s="1"/>
  <c r="AJ68" i="192" a="1"/>
  <c r="AJ68" i="192" s="1"/>
  <c r="D46" i="42" a="1"/>
  <c r="D46" i="42" s="1"/>
  <c r="C72" i="192" a="1"/>
  <c r="C72" i="192" s="1"/>
  <c r="C58" i="188" a="1"/>
  <c r="C58" i="188" s="1"/>
  <c r="AC68" i="192" a="1"/>
  <c r="AC68" i="192" s="1"/>
  <c r="D56" i="188" a="1"/>
  <c r="D56" i="188" s="1"/>
  <c r="AK66" i="192" a="1"/>
  <c r="AK66" i="192" s="1"/>
  <c r="AE72" i="192" a="1"/>
  <c r="AE72" i="192" s="1"/>
  <c r="AN70" i="192" a="1"/>
  <c r="AN70" i="192" s="1"/>
  <c r="V69" i="192" a="1"/>
  <c r="V69" i="192" s="1"/>
  <c r="C64" i="192" a="1"/>
  <c r="C64" i="192" s="1"/>
  <c r="Z63" i="192" a="1"/>
  <c r="Z63" i="192" s="1"/>
  <c r="W63" i="192" a="1"/>
  <c r="W63" i="192" s="1"/>
  <c r="W61" i="192" a="1"/>
  <c r="W61" i="192" s="1"/>
  <c r="AO64" i="192" a="1"/>
  <c r="AO64" i="192" s="1"/>
  <c r="W64" i="192" a="1"/>
  <c r="W64" i="192" s="1"/>
  <c r="F63" i="192" a="1"/>
  <c r="F63" i="192" s="1"/>
  <c r="K43" i="42" a="1"/>
  <c r="K43" i="42" s="1"/>
  <c r="AJ71" i="192" a="1"/>
  <c r="AJ71" i="192" s="1"/>
  <c r="I60" i="192" a="1"/>
  <c r="I60" i="192" s="1"/>
  <c r="AR63" i="192" a="1"/>
  <c r="AR63" i="192" s="1"/>
  <c r="AT72" i="192" a="1"/>
  <c r="AT72" i="192" s="1"/>
  <c r="I72" i="192" a="1"/>
  <c r="I72" i="192" s="1"/>
  <c r="AT67" i="192" a="1"/>
  <c r="AT67" i="192" s="1"/>
  <c r="H71" i="192" a="1"/>
  <c r="H71" i="192" s="1"/>
  <c r="AF64" i="192" a="1"/>
  <c r="AF64" i="192" s="1"/>
  <c r="AP67" i="192" a="1"/>
  <c r="AP67" i="192" s="1"/>
  <c r="AD67" i="192" a="1"/>
  <c r="AD67" i="192" s="1"/>
  <c r="B55" i="193" a="1"/>
  <c r="B55" i="193" s="1"/>
  <c r="AR69" i="192" a="1"/>
  <c r="AR69" i="192" s="1"/>
  <c r="X67" i="192" a="1"/>
  <c r="X67" i="192" s="1"/>
  <c r="AS62" i="192" a="1"/>
  <c r="AS62" i="192" s="1"/>
  <c r="AR67" i="192" a="1"/>
  <c r="AR67" i="192" s="1"/>
  <c r="AP66" i="192" a="1"/>
  <c r="AP66" i="192" s="1"/>
  <c r="AJ64" i="192" a="1"/>
  <c r="AJ64" i="192" s="1"/>
  <c r="H46" i="42" a="1"/>
  <c r="H46" i="42" s="1"/>
  <c r="D57" i="188" a="1"/>
  <c r="D57" i="188" s="1"/>
  <c r="K64" i="192" a="1"/>
  <c r="K64" i="192" s="1"/>
  <c r="B53" i="188" a="1"/>
  <c r="B53" i="188" s="1"/>
  <c r="AC70" i="192" a="1"/>
  <c r="AC70" i="192" s="1"/>
  <c r="F67" i="192" a="1"/>
  <c r="F67" i="192" s="1"/>
  <c r="E58" i="188" a="1"/>
  <c r="E58" i="188" s="1"/>
  <c r="G18" i="188" s="1"/>
  <c r="V62" i="192" a="1"/>
  <c r="V62" i="192" s="1"/>
  <c r="C57" i="188" a="1"/>
  <c r="C57" i="188" s="1"/>
  <c r="AD62" i="192" a="1"/>
  <c r="AD62" i="192" s="1"/>
  <c r="O68" i="192" a="1"/>
  <c r="O68" i="192" s="1"/>
  <c r="AE63" i="192" a="1"/>
  <c r="AE63" i="192" s="1"/>
  <c r="AG64" i="192" a="1"/>
  <c r="AG64" i="192" s="1"/>
  <c r="E42" i="42" a="1"/>
  <c r="E42" i="42" s="1"/>
  <c r="U68" i="192" a="1"/>
  <c r="U68" i="192" s="1"/>
  <c r="AE61" i="192" a="1"/>
  <c r="AE61" i="192" s="1"/>
  <c r="K39" i="42" a="1"/>
  <c r="K39" i="42" s="1"/>
  <c r="C67" i="192" a="1"/>
  <c r="C67" i="192" s="1"/>
  <c r="W71" i="192" a="1"/>
  <c r="W71" i="192" s="1"/>
  <c r="C56" i="193" a="1"/>
  <c r="C56" i="193" s="1"/>
  <c r="O64" i="192" a="1"/>
  <c r="O64" i="192" s="1"/>
  <c r="AE62" i="192" a="1"/>
  <c r="AE62" i="192" s="1"/>
  <c r="E39" i="42" a="1"/>
  <c r="E39" i="42" s="1"/>
  <c r="X65" i="192" a="1"/>
  <c r="X65" i="192" s="1"/>
  <c r="O46" i="42" a="1"/>
  <c r="O46" i="42" s="1"/>
  <c r="S44" i="42" a="1"/>
  <c r="S44" i="42" s="1"/>
  <c r="P40" i="42" a="1"/>
  <c r="P40" i="42" s="1"/>
  <c r="AJ72" i="192" a="1"/>
  <c r="AJ72" i="192" s="1"/>
  <c r="AI69" i="192" a="1"/>
  <c r="AI69" i="192" s="1"/>
  <c r="Q65" i="192" a="1"/>
  <c r="Q65" i="192" s="1"/>
  <c r="N60" i="192" a="1"/>
  <c r="N60" i="192" s="1"/>
  <c r="N68" i="192" a="1"/>
  <c r="N68" i="192" s="1"/>
  <c r="F60" i="188" a="1"/>
  <c r="F60" i="188" s="1"/>
  <c r="H20" i="188" s="1"/>
  <c r="AV62" i="192" a="1"/>
  <c r="AV62" i="192" s="1"/>
  <c r="U66" i="192" a="1"/>
  <c r="U66" i="192" s="1"/>
  <c r="AD65" i="192" a="1"/>
  <c r="AD65" i="192" s="1"/>
  <c r="Q44" i="42" a="1"/>
  <c r="Q44" i="42" s="1"/>
  <c r="I40" i="42" a="1"/>
  <c r="I40" i="42" s="1"/>
  <c r="AU71" i="192" a="1"/>
  <c r="AU71" i="192" s="1"/>
  <c r="E66" i="192" a="1"/>
  <c r="E66" i="192" s="1"/>
  <c r="AI71" i="192" a="1"/>
  <c r="AI71" i="192" s="1"/>
  <c r="AU69" i="192" a="1"/>
  <c r="AU69" i="192" s="1"/>
  <c r="AA71" i="192" a="1"/>
  <c r="AA71" i="192" s="1"/>
  <c r="F44" i="42" a="1"/>
  <c r="F44" i="42" s="1"/>
  <c r="AJ62" i="192" a="1"/>
  <c r="AJ62" i="192" s="1"/>
  <c r="AD61" i="192" a="1"/>
  <c r="AD61" i="192" s="1"/>
  <c r="AT66" i="192" a="1"/>
  <c r="AT66" i="192" s="1"/>
  <c r="AU60" i="192" a="1"/>
  <c r="AU60" i="192" s="1"/>
  <c r="U64" i="192" a="1"/>
  <c r="U64" i="192" s="1"/>
  <c r="Q66" i="192" a="1"/>
  <c r="Q66" i="192" s="1"/>
  <c r="C39" i="42" a="1"/>
  <c r="C39" i="42" s="1"/>
  <c r="U45" i="42" a="1"/>
  <c r="U45" i="42" s="1"/>
  <c r="V44" i="42" a="1"/>
  <c r="V44" i="42" s="1"/>
  <c r="AD72" i="192" a="1"/>
  <c r="AD72" i="192" s="1"/>
  <c r="AN65" i="192" a="1"/>
  <c r="AN65" i="192" s="1"/>
  <c r="AM72" i="192" a="1"/>
  <c r="AM72" i="192" s="1"/>
  <c r="AO68" i="192" a="1"/>
  <c r="AO68" i="192" s="1"/>
  <c r="Z69" i="192" a="1"/>
  <c r="Z69" i="192" s="1"/>
  <c r="V60" i="192" a="1"/>
  <c r="V60" i="192" s="1"/>
  <c r="AV66" i="192" a="1"/>
  <c r="AV66" i="192" s="1"/>
  <c r="G42" i="42" a="1"/>
  <c r="G42" i="42" s="1"/>
  <c r="T62" i="192" a="1"/>
  <c r="T62" i="192" s="1"/>
  <c r="AG62" i="192" a="1"/>
  <c r="AG62" i="192" s="1"/>
  <c r="C43" i="42" a="1"/>
  <c r="C43" i="42" s="1"/>
  <c r="AM71" i="192" a="1"/>
  <c r="AM71" i="192" s="1"/>
  <c r="B43" i="42" a="1"/>
  <c r="B43" i="42" s="1"/>
  <c r="M61" i="192" a="1"/>
  <c r="M61" i="192" s="1"/>
  <c r="K65" i="192" a="1"/>
  <c r="K65" i="192" s="1"/>
  <c r="AH65" i="192" a="1"/>
  <c r="AH65" i="192" s="1"/>
  <c r="AA69" i="192" a="1"/>
  <c r="AA69" i="192" s="1"/>
  <c r="R68" i="192" a="1"/>
  <c r="R68" i="192" s="1"/>
  <c r="S41" i="42" a="1"/>
  <c r="S41" i="42" s="1"/>
  <c r="AI60" i="192" a="1"/>
  <c r="AI60" i="192" s="1"/>
  <c r="AI70" i="192" a="1"/>
  <c r="AI70" i="192" s="1"/>
  <c r="U39" i="42" a="1"/>
  <c r="U39" i="42" s="1"/>
  <c r="Y72" i="192" a="1"/>
  <c r="Y72" i="192" s="1"/>
  <c r="C42" i="42" a="1"/>
  <c r="C42" i="42" s="1"/>
  <c r="N64" i="192" a="1"/>
  <c r="N64" i="192" s="1"/>
  <c r="AK71" i="192" a="1"/>
  <c r="AK71" i="192" s="1"/>
  <c r="Q67" i="192" a="1"/>
  <c r="Q67" i="192" s="1"/>
  <c r="C45" i="42" a="1"/>
  <c r="C45" i="42" s="1"/>
  <c r="E50" i="193" a="1"/>
  <c r="E50" i="193" s="1"/>
  <c r="G14" i="193" s="1"/>
  <c r="Q61" i="192" a="1"/>
  <c r="Q61" i="192" s="1"/>
  <c r="AP68" i="192" a="1"/>
  <c r="AP68" i="192" s="1"/>
  <c r="G67" i="192" a="1"/>
  <c r="G67" i="192" s="1"/>
  <c r="G50" i="40" a="1"/>
  <c r="G50" i="40" s="1"/>
  <c r="F27" i="40" a="1"/>
  <c r="F27" i="40" s="1"/>
  <c r="U49" i="41" a="1"/>
  <c r="U49" i="41" s="1"/>
  <c r="H29" i="41" a="1"/>
  <c r="H29" i="41" s="1"/>
  <c r="J30" i="41" a="1"/>
  <c r="J30" i="41" s="1"/>
  <c r="E27" i="41" a="1"/>
  <c r="E27" i="41" s="1"/>
  <c r="F49" i="41" a="1"/>
  <c r="F49" i="41" s="1"/>
  <c r="H49" i="41" a="1"/>
  <c r="H49" i="41" s="1"/>
  <c r="G27" i="41" a="1"/>
  <c r="G27" i="41" s="1"/>
  <c r="E49" i="41" a="1"/>
  <c r="E49" i="41" s="1"/>
  <c r="D27" i="41" a="1"/>
  <c r="D27" i="41" s="1"/>
  <c r="W50" i="40" a="1"/>
  <c r="W50" i="40" s="1"/>
  <c r="J29" i="40" a="1"/>
  <c r="J29" i="40" s="1"/>
  <c r="K49" i="41" a="1"/>
  <c r="K49" i="41" s="1"/>
  <c r="J27" i="41" a="1"/>
  <c r="J27" i="41" s="1"/>
  <c r="F27" i="41" a="1"/>
  <c r="F27" i="41" s="1"/>
  <c r="G49" i="41" a="1"/>
  <c r="G49" i="41" s="1"/>
  <c r="S49" i="41" a="1"/>
  <c r="S49" i="41" s="1"/>
  <c r="F29" i="41" a="1"/>
  <c r="F29" i="41" s="1"/>
  <c r="S50" i="40" a="1"/>
  <c r="S50" i="40" s="1"/>
  <c r="F29" i="40" a="1"/>
  <c r="F29" i="40" s="1"/>
  <c r="E29" i="41" a="1"/>
  <c r="E29" i="41" s="1"/>
  <c r="R49" i="41" a="1"/>
  <c r="R49" i="41" s="1"/>
  <c r="P50" i="40" a="1"/>
  <c r="P50" i="40" s="1"/>
  <c r="C29" i="40" a="1"/>
  <c r="C29" i="40" s="1"/>
  <c r="B27" i="40" a="1"/>
  <c r="B27" i="40" s="1"/>
  <c r="C50" i="40" a="1"/>
  <c r="C50" i="40" s="1"/>
  <c r="D27" i="40" a="1"/>
  <c r="D27" i="40" s="1"/>
  <c r="E50" i="40" a="1"/>
  <c r="E50" i="40" s="1"/>
  <c r="B29" i="40" a="1"/>
  <c r="B29" i="40" s="1"/>
  <c r="O50" i="40" a="1"/>
  <c r="O50" i="40" s="1"/>
  <c r="Q49" i="41" a="1"/>
  <c r="Q49" i="41" s="1"/>
  <c r="D29" i="41" a="1"/>
  <c r="D29" i="41" s="1"/>
  <c r="B27" i="41" a="1"/>
  <c r="B27" i="41" s="1"/>
  <c r="C49" i="41" a="1"/>
  <c r="C49" i="41" s="1"/>
  <c r="V49" i="41" a="1"/>
  <c r="V49" i="41" s="1"/>
  <c r="I29" i="41" a="1"/>
  <c r="I29" i="41" s="1"/>
  <c r="B25" i="40" a="1"/>
  <c r="B25" i="40" s="1"/>
  <c r="B50" i="40" a="1"/>
  <c r="B50" i="40" s="1"/>
  <c r="C27" i="40" a="1"/>
  <c r="C27" i="40" s="1"/>
  <c r="D50" i="40" a="1"/>
  <c r="D50" i="40" s="1"/>
  <c r="T18" i="190" l="1" a="1"/>
  <c r="T18" i="190" s="1"/>
  <c r="Q16" i="190" a="1"/>
  <c r="Q16" i="190" s="1"/>
  <c r="J18" i="190" a="1"/>
  <c r="J18" i="190" s="1"/>
  <c r="K20" i="190" a="1"/>
  <c r="K20" i="190" s="1"/>
  <c r="G21" i="190" a="1"/>
  <c r="G21" i="190" s="1"/>
  <c r="I18" i="190" a="1"/>
  <c r="I18" i="190" s="1"/>
  <c r="Q19" i="190" a="1"/>
  <c r="Q19" i="190" s="1"/>
  <c r="V18" i="190" a="1"/>
  <c r="V18" i="190" s="1"/>
  <c r="L17" i="190" a="1"/>
  <c r="L17" i="190" s="1"/>
  <c r="G18" i="190" a="1"/>
  <c r="G18" i="190" s="1"/>
  <c r="G17" i="190" a="1"/>
  <c r="G17" i="190" s="1"/>
  <c r="S19" i="190" a="1"/>
  <c r="S19" i="190" s="1"/>
  <c r="V21" i="190" a="1"/>
  <c r="V21" i="190" s="1"/>
  <c r="U19" i="190" a="1"/>
  <c r="U19" i="190" s="1"/>
  <c r="L21" i="190" a="1"/>
  <c r="L21" i="190" s="1"/>
  <c r="K17" i="190" a="1"/>
  <c r="K17" i="190" s="1"/>
  <c r="I20" i="190" a="1"/>
  <c r="I20" i="190" s="1"/>
  <c r="R16" i="190" a="1"/>
  <c r="R16" i="190" s="1"/>
  <c r="W21" i="190" a="1"/>
  <c r="W21" i="190" s="1"/>
  <c r="V20" i="190" a="1"/>
  <c r="V20" i="190" s="1"/>
  <c r="W18" i="190" a="1"/>
  <c r="W18" i="190" s="1"/>
  <c r="S22" i="190" a="1"/>
  <c r="S22" i="190" s="1"/>
  <c r="T19" i="190" a="1"/>
  <c r="T19" i="190" s="1"/>
  <c r="R22" i="190" a="1"/>
  <c r="R22" i="190" s="1"/>
  <c r="R17" i="190" a="1"/>
  <c r="R17" i="190" s="1"/>
  <c r="S18" i="190" a="1"/>
  <c r="S18" i="190" s="1"/>
  <c r="J21" i="190" a="1"/>
  <c r="J21" i="190" s="1"/>
  <c r="W17" i="190" a="1"/>
  <c r="W17" i="190" s="1"/>
  <c r="T20" i="190" a="1"/>
  <c r="T20" i="190" s="1"/>
  <c r="V17" i="190" a="1"/>
  <c r="V17" i="190" s="1"/>
  <c r="Q20" i="190" a="1"/>
  <c r="Q20" i="190" s="1"/>
  <c r="W20" i="190" a="1"/>
  <c r="W20" i="190" s="1"/>
  <c r="M21" i="190" a="1"/>
  <c r="M21" i="190" s="1"/>
  <c r="K21" i="190" a="1"/>
  <c r="K21" i="190" s="1"/>
  <c r="J20" i="190" a="1"/>
  <c r="J20" i="190" s="1"/>
  <c r="T17" i="190" a="1"/>
  <c r="T17" i="190" s="1"/>
  <c r="T22" i="190" a="1"/>
  <c r="T22" i="190" s="1"/>
  <c r="J17" i="190" a="1"/>
  <c r="J17" i="190" s="1"/>
  <c r="V16" i="190" a="1"/>
  <c r="V16" i="190" s="1"/>
  <c r="T16" i="190" a="1"/>
  <c r="T16" i="190" s="1"/>
  <c r="Q17" i="190" a="1"/>
  <c r="Q17" i="190" s="1"/>
  <c r="T21" i="190" a="1"/>
  <c r="T21" i="190" s="1"/>
  <c r="U21" i="190" a="1"/>
  <c r="U21" i="190" s="1"/>
  <c r="L18" i="190" a="1"/>
  <c r="L18" i="190" s="1"/>
  <c r="R20" i="190" a="1"/>
  <c r="R20" i="190" s="1"/>
  <c r="G20" i="190" a="1"/>
  <c r="G20" i="190" s="1"/>
  <c r="S20" i="190" a="1"/>
  <c r="S20" i="190" s="1"/>
  <c r="Q21" i="190" a="1"/>
  <c r="Q21" i="190" s="1"/>
  <c r="W22" i="190" a="1"/>
  <c r="W22" i="190" s="1"/>
  <c r="Q22" i="190" a="1"/>
  <c r="Q22" i="190" s="1"/>
  <c r="R18" i="190" a="1"/>
  <c r="R18" i="190" s="1"/>
  <c r="S17" i="190" a="1"/>
  <c r="S17" i="190" s="1"/>
  <c r="R19" i="190" a="1"/>
  <c r="R19" i="190" s="1"/>
  <c r="R21" i="190" a="1"/>
  <c r="R21" i="190" s="1"/>
  <c r="M20" i="190" a="1"/>
  <c r="M20" i="190" s="1"/>
  <c r="S16" i="190" a="1"/>
  <c r="S16" i="190" s="1"/>
  <c r="I21" i="190" a="1"/>
  <c r="I21" i="190" s="1"/>
  <c r="L20" i="190" a="1"/>
  <c r="L20" i="190" s="1"/>
  <c r="S21" i="190" a="1"/>
  <c r="S21" i="190" s="1"/>
  <c r="V19" i="190" a="1"/>
  <c r="V19" i="190" s="1"/>
  <c r="U17" i="190" a="1"/>
  <c r="U17" i="190" s="1"/>
  <c r="K18" i="190" a="1"/>
  <c r="K18" i="190" s="1"/>
  <c r="U16" i="190" a="1"/>
  <c r="U16" i="190" s="1"/>
  <c r="W16" i="190" a="1"/>
  <c r="W16" i="190" s="1"/>
  <c r="U18" i="190" a="1"/>
  <c r="U18" i="190" s="1"/>
  <c r="W19" i="190" a="1"/>
  <c r="W19" i="190" s="1"/>
  <c r="M18" i="190" a="1"/>
  <c r="M18" i="190" s="1"/>
  <c r="V22" i="190" a="1"/>
  <c r="V22" i="190" s="1"/>
  <c r="M17" i="190" a="1"/>
  <c r="M17" i="190" s="1"/>
  <c r="I17" i="190" a="1"/>
  <c r="I17" i="190" s="1"/>
  <c r="Q18" i="190" a="1"/>
  <c r="Q18" i="190" s="1"/>
  <c r="U20" i="190" a="1"/>
  <c r="U20" i="190" s="1"/>
  <c r="U22" i="190" a="1"/>
  <c r="U22" i="190" s="1"/>
  <c r="F17" i="193"/>
  <c r="F18" i="193"/>
  <c r="F16" i="193"/>
  <c r="F14" i="193"/>
  <c r="F19" i="193"/>
  <c r="F20" i="193"/>
  <c r="B6" i="185"/>
  <c r="F14" i="186"/>
  <c r="G20" i="186"/>
  <c r="G14" i="186"/>
  <c r="G17" i="186"/>
  <c r="H21" i="186"/>
  <c r="F13" i="186"/>
  <c r="F19" i="186"/>
  <c r="F21" i="186"/>
  <c r="H15" i="186"/>
  <c r="F17" i="186"/>
  <c r="H14" i="186"/>
  <c r="G21" i="186"/>
  <c r="G18" i="186"/>
  <c r="H13" i="186"/>
  <c r="G16" i="186"/>
  <c r="F15" i="186"/>
  <c r="H20" i="186"/>
  <c r="G15" i="186"/>
  <c r="H18" i="186"/>
  <c r="H16" i="186"/>
  <c r="H17" i="186"/>
  <c r="F20" i="186"/>
  <c r="F18" i="186"/>
  <c r="G13" i="186"/>
  <c r="G19" i="186"/>
  <c r="H19" i="186"/>
  <c r="J46" i="187"/>
  <c r="B6" i="187" s="1"/>
  <c r="J21" i="191" a="1"/>
  <c r="J21" i="191" s="1"/>
  <c r="R20" i="191" a="1"/>
  <c r="R20" i="191" s="1"/>
  <c r="V18" i="191" a="1"/>
  <c r="V18" i="191" s="1"/>
  <c r="M17" i="191" a="1"/>
  <c r="M17" i="191" s="1"/>
  <c r="W20" i="191" a="1"/>
  <c r="W20" i="191" s="1"/>
  <c r="W24" i="191" a="1"/>
  <c r="W24" i="191" s="1"/>
  <c r="U20" i="191" a="1"/>
  <c r="U20" i="191" s="1"/>
  <c r="R22" i="191" a="1"/>
  <c r="R22" i="191" s="1"/>
  <c r="R19" i="191" a="1"/>
  <c r="R19" i="191" s="1"/>
  <c r="V21" i="191" a="1"/>
  <c r="V21" i="191" s="1"/>
  <c r="W19" i="191" a="1"/>
  <c r="W19" i="191" s="1"/>
  <c r="U22" i="191" a="1"/>
  <c r="U22" i="191" s="1"/>
  <c r="I18" i="191" a="1"/>
  <c r="I18" i="191" s="1"/>
  <c r="R18" i="191" a="1"/>
  <c r="R18" i="191" s="1"/>
  <c r="I22" i="191" a="1"/>
  <c r="I22" i="191" s="1"/>
  <c r="G17" i="191" a="1"/>
  <c r="G17" i="191" s="1"/>
  <c r="Q17" i="191" a="1"/>
  <c r="Q17" i="191" s="1"/>
  <c r="Q18" i="191" a="1"/>
  <c r="Q18" i="191" s="1"/>
  <c r="S18" i="191" a="1"/>
  <c r="S18" i="191" s="1"/>
  <c r="G18" i="191" a="1"/>
  <c r="G18" i="191" s="1"/>
  <c r="T22" i="191" a="1"/>
  <c r="T22" i="191" s="1"/>
  <c r="G22" i="191" a="1"/>
  <c r="G22" i="191" s="1"/>
  <c r="T17" i="191" a="1"/>
  <c r="T17" i="191" s="1"/>
  <c r="T16" i="191" a="1"/>
  <c r="T16" i="191" s="1"/>
  <c r="V19" i="191" a="1"/>
  <c r="V19" i="191" s="1"/>
  <c r="V22" i="191" a="1"/>
  <c r="V22" i="191" s="1"/>
  <c r="Q24" i="191" a="1"/>
  <c r="Q24" i="191" s="1"/>
  <c r="R17" i="191" a="1"/>
  <c r="R17" i="191" s="1"/>
  <c r="K18" i="191" a="1"/>
  <c r="K18" i="191" s="1"/>
  <c r="S20" i="191" a="1"/>
  <c r="S20" i="191" s="1"/>
  <c r="T20" i="191" a="1"/>
  <c r="T20" i="191" s="1"/>
  <c r="U16" i="191" a="1"/>
  <c r="U16" i="191" s="1"/>
  <c r="Q20" i="191" a="1"/>
  <c r="Q20" i="191" s="1"/>
  <c r="L22" i="191" a="1"/>
  <c r="L22" i="191" s="1"/>
  <c r="L17" i="191" a="1"/>
  <c r="L17" i="191" s="1"/>
  <c r="G21" i="191" a="1"/>
  <c r="G21" i="191" s="1"/>
  <c r="M21" i="191" a="1"/>
  <c r="M21" i="191" s="1"/>
  <c r="I21" i="191" a="1"/>
  <c r="I21" i="191" s="1"/>
  <c r="T23" i="191" a="1"/>
  <c r="T23" i="191" s="1"/>
  <c r="S21" i="191" a="1"/>
  <c r="S21" i="191" s="1"/>
  <c r="J22" i="191" a="1"/>
  <c r="J22" i="191" s="1"/>
  <c r="V17" i="191" a="1"/>
  <c r="V17" i="191" s="1"/>
  <c r="T18" i="191" a="1"/>
  <c r="T18" i="191" s="1"/>
  <c r="T24" i="191" a="1"/>
  <c r="T24" i="191" s="1"/>
  <c r="M18" i="191" a="1"/>
  <c r="M18" i="191" s="1"/>
  <c r="V20" i="191" a="1"/>
  <c r="V20" i="191" s="1"/>
  <c r="V24" i="191" a="1"/>
  <c r="V24" i="191" s="1"/>
  <c r="W16" i="191" a="1"/>
  <c r="W16" i="191" s="1"/>
  <c r="S19" i="191" a="1"/>
  <c r="S19" i="191" s="1"/>
  <c r="S24" i="191" a="1"/>
  <c r="S24" i="191" s="1"/>
  <c r="Q16" i="191" a="1"/>
  <c r="Q16" i="191" s="1"/>
  <c r="T21" i="191" a="1"/>
  <c r="T21" i="191" s="1"/>
  <c r="J18" i="191" a="1"/>
  <c r="J18" i="191" s="1"/>
  <c r="S16" i="191" a="1"/>
  <c r="S16" i="191" s="1"/>
  <c r="W21" i="191" a="1"/>
  <c r="W21" i="191" s="1"/>
  <c r="U18" i="191" a="1"/>
  <c r="U18" i="191" s="1"/>
  <c r="U23" i="191" a="1"/>
  <c r="U23" i="191" s="1"/>
  <c r="W22" i="191" a="1"/>
  <c r="W22" i="191" s="1"/>
  <c r="R23" i="191" a="1"/>
  <c r="R23" i="191" s="1"/>
  <c r="L18" i="191" a="1"/>
  <c r="L18" i="191" s="1"/>
  <c r="V16" i="191" a="1"/>
  <c r="V16" i="191" s="1"/>
  <c r="K22" i="191" a="1"/>
  <c r="K22" i="191" s="1"/>
  <c r="W18" i="191" a="1"/>
  <c r="W18" i="191" s="1"/>
  <c r="R21" i="191" a="1"/>
  <c r="R21" i="191" s="1"/>
  <c r="W17" i="191" a="1"/>
  <c r="W17" i="191" s="1"/>
  <c r="R24" i="191" a="1"/>
  <c r="R24" i="191" s="1"/>
  <c r="S23" i="191" a="1"/>
  <c r="S23" i="191" s="1"/>
  <c r="S17" i="191" a="1"/>
  <c r="S17" i="191" s="1"/>
  <c r="U21" i="191" a="1"/>
  <c r="U21" i="191" s="1"/>
  <c r="I17" i="191" a="1"/>
  <c r="I17" i="191" s="1"/>
  <c r="R16" i="191" a="1"/>
  <c r="R16" i="191" s="1"/>
  <c r="T19" i="191" a="1"/>
  <c r="T19" i="191" s="1"/>
  <c r="U17" i="191" a="1"/>
  <c r="U17" i="191" s="1"/>
  <c r="Q19" i="191" a="1"/>
  <c r="Q19" i="191" s="1"/>
  <c r="S22" i="191" a="1"/>
  <c r="S22" i="191" s="1"/>
  <c r="L21" i="191" a="1"/>
  <c r="L21" i="191" s="1"/>
  <c r="Q23" i="191" a="1"/>
  <c r="Q23" i="191" s="1"/>
  <c r="M22" i="191" a="1"/>
  <c r="M22" i="191" s="1"/>
  <c r="U24" i="191" a="1"/>
  <c r="U24" i="191" s="1"/>
  <c r="V23" i="191" a="1"/>
  <c r="V23" i="191" s="1"/>
  <c r="U19" i="191" a="1"/>
  <c r="U19" i="191" s="1"/>
  <c r="Q22" i="191" a="1"/>
  <c r="Q22" i="191" s="1"/>
  <c r="J17" i="191" a="1"/>
  <c r="J17" i="191" s="1"/>
  <c r="K21" i="191" a="1"/>
  <c r="K21" i="191" s="1"/>
  <c r="Q21" i="191" a="1"/>
  <c r="Q21" i="191" s="1"/>
  <c r="K17" i="191" a="1"/>
  <c r="K17" i="191" s="1"/>
  <c r="W23" i="191" a="1"/>
  <c r="W23" i="191" s="1"/>
  <c r="J51" i="187"/>
  <c r="F15" i="188"/>
  <c r="F19" i="188"/>
  <c r="B8" i="188"/>
  <c r="F21" i="188"/>
  <c r="F17" i="188"/>
  <c r="F20" i="188"/>
  <c r="F18" i="188"/>
  <c r="J53" i="187"/>
  <c r="Q19" i="192" a="1"/>
  <c r="Q19" i="192" s="1"/>
  <c r="R22" i="192" a="1"/>
  <c r="R22" i="192" s="1"/>
  <c r="Q24" i="192" a="1"/>
  <c r="Q24" i="192" s="1"/>
  <c r="W20" i="192" a="1"/>
  <c r="W20" i="192" s="1"/>
  <c r="G19" i="192" a="1"/>
  <c r="G19" i="192" s="1"/>
  <c r="W18" i="192" a="1"/>
  <c r="W18" i="192" s="1"/>
  <c r="K17" i="192" a="1"/>
  <c r="K17" i="192" s="1"/>
  <c r="I17" i="192" a="1"/>
  <c r="I17" i="192" s="1"/>
  <c r="I24" i="192" a="1"/>
  <c r="I24" i="192" s="1"/>
  <c r="J19" i="192" a="1"/>
  <c r="J19" i="192" s="1"/>
  <c r="V24" i="192" a="1"/>
  <c r="V24" i="192" s="1"/>
  <c r="K22" i="192" a="1"/>
  <c r="K22" i="192" s="1"/>
  <c r="L20" i="192" a="1"/>
  <c r="L20" i="192" s="1"/>
  <c r="V18" i="192" a="1"/>
  <c r="V18" i="192" s="1"/>
  <c r="L17" i="192" a="1"/>
  <c r="L17" i="192" s="1"/>
  <c r="J24" i="192" a="1"/>
  <c r="J24" i="192" s="1"/>
  <c r="L23" i="192" a="1"/>
  <c r="L23" i="192" s="1"/>
  <c r="M23" i="192" a="1"/>
  <c r="M23" i="192" s="1"/>
  <c r="Q16" i="192" a="1"/>
  <c r="Q16" i="192" s="1"/>
  <c r="S16" i="192" a="1"/>
  <c r="S16" i="192" s="1"/>
  <c r="G21" i="192" a="1"/>
  <c r="G21" i="192" s="1"/>
  <c r="U23" i="192" a="1"/>
  <c r="U23" i="192" s="1"/>
  <c r="I16" i="192" a="1"/>
  <c r="I16" i="192" s="1"/>
  <c r="U20" i="192" a="1"/>
  <c r="U20" i="192" s="1"/>
  <c r="L18" i="192" a="1"/>
  <c r="L18" i="192" s="1"/>
  <c r="T20" i="192" a="1"/>
  <c r="T20" i="192" s="1"/>
  <c r="Q21" i="192" a="1"/>
  <c r="Q21" i="192" s="1"/>
  <c r="V16" i="192" a="1"/>
  <c r="V16" i="192" s="1"/>
  <c r="I18" i="192" a="1"/>
  <c r="I18" i="192" s="1"/>
  <c r="U24" i="192" a="1"/>
  <c r="U24" i="192" s="1"/>
  <c r="S23" i="192" a="1"/>
  <c r="S23" i="192" s="1"/>
  <c r="U17" i="192" a="1"/>
  <c r="U17" i="192" s="1"/>
  <c r="K20" i="192" a="1"/>
  <c r="K20" i="192" s="1"/>
  <c r="T19" i="192" a="1"/>
  <c r="T19" i="192" s="1"/>
  <c r="I21" i="192" a="1"/>
  <c r="I21" i="192" s="1"/>
  <c r="J18" i="192" a="1"/>
  <c r="J18" i="192" s="1"/>
  <c r="K18" i="192" a="1"/>
  <c r="K18" i="192" s="1"/>
  <c r="W23" i="192" a="1"/>
  <c r="W23" i="192" s="1"/>
  <c r="V22" i="192" a="1"/>
  <c r="V22" i="192" s="1"/>
  <c r="T22" i="192" a="1"/>
  <c r="T22" i="192" s="1"/>
  <c r="K19" i="192" a="1"/>
  <c r="K19" i="192" s="1"/>
  <c r="R24" i="192" a="1"/>
  <c r="R24" i="192" s="1"/>
  <c r="L24" i="192" a="1"/>
  <c r="L24" i="192" s="1"/>
  <c r="S18" i="192" a="1"/>
  <c r="S18" i="192" s="1"/>
  <c r="G22" i="192" a="1"/>
  <c r="G22" i="192" s="1"/>
  <c r="R20" i="192" a="1"/>
  <c r="R20" i="192" s="1"/>
  <c r="G23" i="192" a="1"/>
  <c r="G23" i="192" s="1"/>
  <c r="S19" i="192" a="1"/>
  <c r="S19" i="192" s="1"/>
  <c r="U22" i="192" a="1"/>
  <c r="U22" i="192" s="1"/>
  <c r="S20" i="192" a="1"/>
  <c r="S20" i="192" s="1"/>
  <c r="V23" i="192" a="1"/>
  <c r="V23" i="192" s="1"/>
  <c r="T18" i="192" a="1"/>
  <c r="T18" i="192" s="1"/>
  <c r="M17" i="192" a="1"/>
  <c r="M17" i="192" s="1"/>
  <c r="V21" i="192" a="1"/>
  <c r="V21" i="192" s="1"/>
  <c r="L16" i="192" a="1"/>
  <c r="L16" i="192" s="1"/>
  <c r="J22" i="192" a="1"/>
  <c r="J22" i="192" s="1"/>
  <c r="L21" i="192" a="1"/>
  <c r="L21" i="192" s="1"/>
  <c r="J17" i="192" a="1"/>
  <c r="J17" i="192" s="1"/>
  <c r="U21" i="192" a="1"/>
  <c r="U21" i="192" s="1"/>
  <c r="L19" i="192" a="1"/>
  <c r="L19" i="192" s="1"/>
  <c r="M20" i="192" a="1"/>
  <c r="M20" i="192" s="1"/>
  <c r="M21" i="192" a="1"/>
  <c r="M21" i="192" s="1"/>
  <c r="R17" i="192" a="1"/>
  <c r="R17" i="192" s="1"/>
  <c r="Q18" i="192" a="1"/>
  <c r="Q18" i="192" s="1"/>
  <c r="R16" i="192" a="1"/>
  <c r="R16" i="192" s="1"/>
  <c r="S21" i="192" a="1"/>
  <c r="S21" i="192" s="1"/>
  <c r="G18" i="192" a="1"/>
  <c r="G18" i="192" s="1"/>
  <c r="T21" i="192" a="1"/>
  <c r="T21" i="192" s="1"/>
  <c r="U19" i="192" a="1"/>
  <c r="U19" i="192" s="1"/>
  <c r="W22" i="192" a="1"/>
  <c r="W22" i="192" s="1"/>
  <c r="M18" i="192" a="1"/>
  <c r="M18" i="192" s="1"/>
  <c r="T23" i="192" a="1"/>
  <c r="T23" i="192" s="1"/>
  <c r="S22" i="192" a="1"/>
  <c r="S22" i="192" s="1"/>
  <c r="Q20" i="192" a="1"/>
  <c r="Q20" i="192" s="1"/>
  <c r="K24" i="192" a="1"/>
  <c r="K24" i="192" s="1"/>
  <c r="K23" i="192" a="1"/>
  <c r="K23" i="192" s="1"/>
  <c r="T24" i="192" a="1"/>
  <c r="T24" i="192" s="1"/>
  <c r="W17" i="192" a="1"/>
  <c r="W17" i="192" s="1"/>
  <c r="M16" i="192" a="1"/>
  <c r="M16" i="192" s="1"/>
  <c r="V19" i="192" a="1"/>
  <c r="V19" i="192" s="1"/>
  <c r="W16" i="192" a="1"/>
  <c r="W16" i="192" s="1"/>
  <c r="Q23" i="192" a="1"/>
  <c r="Q23" i="192" s="1"/>
  <c r="I22" i="192" a="1"/>
  <c r="I22" i="192" s="1"/>
  <c r="J20" i="192" a="1"/>
  <c r="J20" i="192" s="1"/>
  <c r="M24" i="192" a="1"/>
  <c r="M24" i="192" s="1"/>
  <c r="Q22" i="192" a="1"/>
  <c r="Q22" i="192" s="1"/>
  <c r="R23" i="192" a="1"/>
  <c r="R23" i="192" s="1"/>
  <c r="R21" i="192" a="1"/>
  <c r="R21" i="192" s="1"/>
  <c r="S24" i="192" a="1"/>
  <c r="S24" i="192" s="1"/>
  <c r="J21" i="192" a="1"/>
  <c r="J21" i="192" s="1"/>
  <c r="T16" i="192" a="1"/>
  <c r="T16" i="192" s="1"/>
  <c r="K21" i="192" a="1"/>
  <c r="K21" i="192" s="1"/>
  <c r="I23" i="192" a="1"/>
  <c r="I23" i="192" s="1"/>
  <c r="J23" i="192" a="1"/>
  <c r="J23" i="192" s="1"/>
  <c r="U18" i="192" a="1"/>
  <c r="U18" i="192" s="1"/>
  <c r="S17" i="192" a="1"/>
  <c r="S17" i="192" s="1"/>
  <c r="W24" i="192" a="1"/>
  <c r="W24" i="192" s="1"/>
  <c r="V17" i="192" a="1"/>
  <c r="V17" i="192" s="1"/>
  <c r="G17" i="192" a="1"/>
  <c r="G17" i="192" s="1"/>
  <c r="W19" i="192" a="1"/>
  <c r="W19" i="192" s="1"/>
  <c r="R19" i="192" a="1"/>
  <c r="R19" i="192" s="1"/>
  <c r="U16" i="192" a="1"/>
  <c r="U16" i="192" s="1"/>
  <c r="G20" i="192" a="1"/>
  <c r="G20" i="192" s="1"/>
  <c r="I19" i="192" a="1"/>
  <c r="I19" i="192" s="1"/>
  <c r="V20" i="192" a="1"/>
  <c r="V20" i="192" s="1"/>
  <c r="I20" i="192" a="1"/>
  <c r="I20" i="192" s="1"/>
  <c r="T17" i="192" a="1"/>
  <c r="T17" i="192" s="1"/>
  <c r="L22" i="192" a="1"/>
  <c r="L22" i="192" s="1"/>
  <c r="G24" i="192" a="1"/>
  <c r="G24" i="192" s="1"/>
  <c r="M22" i="192" a="1"/>
  <c r="M22" i="192" s="1"/>
  <c r="J16" i="192" a="1"/>
  <c r="J16" i="192" s="1"/>
  <c r="G16" i="192" a="1"/>
  <c r="G16" i="192" s="1"/>
  <c r="M19" i="192" a="1"/>
  <c r="M19" i="192" s="1"/>
  <c r="K16" i="192" a="1"/>
  <c r="K16" i="192" s="1"/>
  <c r="W21" i="192" a="1"/>
  <c r="W21" i="192" s="1"/>
  <c r="Q17" i="192" a="1"/>
  <c r="Q17" i="192" s="1"/>
  <c r="R18" i="192" a="1"/>
  <c r="R18" i="192" s="1"/>
  <c r="J54" i="187"/>
  <c r="J55" i="187"/>
  <c r="B7" i="191" l="1"/>
  <c r="B7" i="190"/>
  <c r="G15" i="187"/>
  <c r="H17" i="187"/>
  <c r="H19" i="187"/>
  <c r="H20" i="187"/>
  <c r="H13" i="187"/>
  <c r="H14" i="187"/>
  <c r="G13" i="187"/>
  <c r="F15" i="187"/>
  <c r="F21" i="187"/>
  <c r="G18" i="187"/>
  <c r="F19" i="187"/>
  <c r="G16" i="187"/>
  <c r="G20" i="187"/>
  <c r="G14" i="187"/>
  <c r="F20" i="187"/>
  <c r="H15" i="187"/>
  <c r="F17" i="187"/>
  <c r="F13" i="187"/>
  <c r="H18" i="187"/>
  <c r="G17" i="187"/>
  <c r="F14" i="187"/>
  <c r="H16" i="187"/>
  <c r="G19" i="187"/>
  <c r="F18" i="187"/>
  <c r="H21" i="187"/>
  <c r="G21" i="187"/>
  <c r="G16" i="185"/>
  <c r="G20" i="185"/>
  <c r="H21" i="185"/>
  <c r="F17" i="185"/>
  <c r="H14" i="185"/>
  <c r="F13" i="185"/>
  <c r="G14" i="185"/>
  <c r="G15" i="185"/>
  <c r="F18" i="185"/>
  <c r="G21" i="185"/>
  <c r="G19" i="185"/>
  <c r="H19" i="185"/>
  <c r="G13" i="185"/>
  <c r="F20" i="185"/>
  <c r="F21" i="185"/>
  <c r="H20" i="185"/>
  <c r="H18" i="185"/>
  <c r="H16" i="185"/>
  <c r="G18" i="185"/>
  <c r="F19" i="185"/>
  <c r="G17" i="185"/>
  <c r="H13" i="185"/>
  <c r="H15" i="185"/>
  <c r="H17" i="185"/>
  <c r="F15" i="185"/>
  <c r="F14" i="185"/>
  <c r="I19" i="190" l="1" a="1"/>
  <c r="I19" i="190" s="1"/>
  <c r="L22" i="190" a="1"/>
  <c r="L22" i="190" s="1"/>
  <c r="L19" i="190" a="1"/>
  <c r="L19" i="190" s="1"/>
  <c r="L16" i="190" a="1"/>
  <c r="L16" i="190" s="1"/>
  <c r="K19" i="190" a="1"/>
  <c r="K19" i="190" s="1"/>
  <c r="M16" i="190" a="1"/>
  <c r="M16" i="190" s="1"/>
  <c r="G19" i="190" a="1"/>
  <c r="G19" i="190" s="1"/>
  <c r="G16" i="190" a="1"/>
  <c r="G16" i="190" s="1"/>
  <c r="M22" i="190" a="1"/>
  <c r="M22" i="190" s="1"/>
  <c r="I22" i="190" a="1"/>
  <c r="I22" i="190" s="1"/>
  <c r="M19" i="190" a="1"/>
  <c r="M19" i="190" s="1"/>
  <c r="K22" i="190" a="1"/>
  <c r="K22" i="190" s="1"/>
  <c r="J16" i="190" a="1"/>
  <c r="J16" i="190" s="1"/>
  <c r="G22" i="190" a="1"/>
  <c r="G22" i="190" s="1"/>
  <c r="J22" i="190" a="1"/>
  <c r="J22" i="190" s="1"/>
  <c r="I16" i="190" a="1"/>
  <c r="I16" i="190" s="1"/>
  <c r="J19" i="190" a="1"/>
  <c r="J19" i="190" s="1"/>
  <c r="K16" i="190" a="1"/>
  <c r="K16" i="190" s="1"/>
  <c r="G16" i="191" a="1"/>
  <c r="G16" i="191" s="1"/>
  <c r="I23" i="191" a="1"/>
  <c r="I23" i="191" s="1"/>
  <c r="M24" i="191" a="1"/>
  <c r="M24" i="191" s="1"/>
  <c r="J24" i="191" a="1"/>
  <c r="J24" i="191" s="1"/>
  <c r="L19" i="191" a="1"/>
  <c r="L19" i="191" s="1"/>
  <c r="G20" i="191" a="1"/>
  <c r="G20" i="191" s="1"/>
  <c r="G23" i="191" a="1"/>
  <c r="G23" i="191" s="1"/>
  <c r="M23" i="191" a="1"/>
  <c r="M23" i="191" s="1"/>
  <c r="L20" i="191" a="1"/>
  <c r="L20" i="191" s="1"/>
  <c r="K19" i="191" a="1"/>
  <c r="K19" i="191" s="1"/>
  <c r="K16" i="191" a="1"/>
  <c r="K16" i="191" s="1"/>
  <c r="J19" i="191" a="1"/>
  <c r="J19" i="191" s="1"/>
  <c r="K20" i="191" a="1"/>
  <c r="K20" i="191" s="1"/>
  <c r="M20" i="191" a="1"/>
  <c r="M20" i="191" s="1"/>
  <c r="I16" i="191" a="1"/>
  <c r="I16" i="191" s="1"/>
  <c r="J23" i="191" a="1"/>
  <c r="J23" i="191" s="1"/>
  <c r="G24" i="191" a="1"/>
  <c r="G24" i="191" s="1"/>
  <c r="I19" i="191" a="1"/>
  <c r="I19" i="191" s="1"/>
  <c r="J20" i="191" a="1"/>
  <c r="J20" i="191" s="1"/>
  <c r="J16" i="191" a="1"/>
  <c r="J16" i="191" s="1"/>
  <c r="M16" i="191" a="1"/>
  <c r="M16" i="191" s="1"/>
  <c r="K24" i="191" a="1"/>
  <c r="K24" i="191" s="1"/>
  <c r="G19" i="191" a="1"/>
  <c r="G19" i="191" s="1"/>
  <c r="L23" i="191" a="1"/>
  <c r="L23" i="191" s="1"/>
  <c r="I24" i="191" a="1"/>
  <c r="I24" i="191" s="1"/>
  <c r="L24" i="191" a="1"/>
  <c r="L24" i="191" s="1"/>
  <c r="L16" i="191" a="1"/>
  <c r="L16" i="191" s="1"/>
  <c r="I20" i="191" a="1"/>
  <c r="I20" i="191" s="1"/>
  <c r="K23" i="191" a="1"/>
  <c r="K23" i="191" s="1"/>
  <c r="M19" i="191" a="1"/>
  <c r="M19" i="19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83476C6-CC7F-4AD1-9BA2-ED3D9076C0B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40FD871-2DF1-427C-B36A-A57059FB6B4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B51" authorId="0" shapeId="0" xr:uid="{4676AE7F-E70A-4109-9086-B779E4459E2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C51" authorId="0" shapeId="0" xr:uid="{65794AF3-7DBB-4796-992A-DBE08DEE04E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D51" authorId="0" shapeId="0" xr:uid="{129DA016-9146-4C46-86F0-49150C10DD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E51" authorId="0" shapeId="0" xr:uid="{8073AE5C-95E9-45E1-8523-72ADF742C2C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52640B8C-69D4-46CF-8743-66FE0D433E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B51" authorId="0" shapeId="0" xr:uid="{2C22632B-4D0B-44F1-A0A2-23AEE5EBC2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C51" authorId="0" shapeId="0" xr:uid="{FF3DE073-119C-4032-B12C-271452C70A2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D51" authorId="0" shapeId="0" xr:uid="{45D350BC-E7F4-45B9-B4EB-7E2296CC4E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  <comment ref="E51" authorId="0" shapeId="0" xr:uid="{C99346C9-AA99-4334-85E6-77E201AB65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2016US$/tCO2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73A982B-A905-49D4-9194-BA3A7E8BD9B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23FF0AE-EBB5-41FD-8CB3-9DB323981B8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67B4C7B-02BD-4827-937D-FE0D25D7A4C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C4DD8A5-4C96-4A14-A4FC-A3BCF10E54F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69" authorId="0" shapeId="0" xr:uid="{963E1D6D-D88B-4FD7-84B5-72BDE79F2E0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D69" authorId="0" shapeId="0" xr:uid="{A573771B-CFB5-40C2-9B4E-D0712A8E238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E69" authorId="0" shapeId="0" xr:uid="{EE25AB3D-3D33-4D8A-BE1A-B59368EFC5B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F69" authorId="0" shapeId="0" xr:uid="{5804E25B-02E5-45AD-95F4-A30FE4B6F9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G69" authorId="0" shapeId="0" xr:uid="{694CEDF4-2EED-42D7-9F44-D744A2F8D16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H69" authorId="0" shapeId="0" xr:uid="{1E1E58B9-DE70-4844-BDBD-DB2FB9FFF63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I69" authorId="0" shapeId="0" xr:uid="{B76F8BBD-FD12-4EF2-892C-F0BE1E93CF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  <comment ref="J69" authorId="0" shapeId="0" xr:uid="{7FA1BDD1-5F11-42C4-A884-57B367630BA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other is defined as always renewable (geotherma + marine + selected other renewable sources)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53EB16D-F6D6-4059-8BC1-6C73149D46D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5" authorId="0" shapeId="0" xr:uid="{2D719AB2-AC71-4E92-94DA-1E1AA61ED5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the interpretation is: 0.05 mn cars corresponds to 1 bn passenger km (that is, 20,000 passenger km per car)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EF3D315-41F5-4036-9A77-6469D183292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A64" authorId="0" shapeId="0" xr:uid="{54D6C182-DFAA-4E2B-AA61-916A5CCFA400}">
      <text>
        <r>
          <rPr>
            <b/>
            <sz val="9"/>
            <color indexed="81"/>
            <rFont val="Tahoma"/>
            <charset val="1"/>
          </rPr>
          <t>Shyamal:</t>
        </r>
        <r>
          <rPr>
            <sz val="9"/>
            <color indexed="81"/>
            <rFont val="Tahoma"/>
            <charset val="1"/>
          </rPr>
          <t xml:space="preserve">
Geothermal + tidal power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7F745C4-9591-4C3F-8DE5-A5F7F122A7F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3225CF21-9C73-42E4-89EE-D261E87D69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44D0D7E-16DC-486C-AA1C-E799EF49FB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7600008-5155-4E78-830F-012D02629AC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C5" authorId="0" shapeId="0" xr:uid="{63277F6D-B71C-408D-B693-2813B68F6C6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Note that the interpretation is: 0.05 mn cars corresponds to 1 bn passenger km (that is, 20,000 passenger km per car)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7D241C07-DCE2-413A-9757-8260BCF353F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0C5B515-2086-4275-BF27-E58478BF46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3433F75-BDD1-494C-9726-C6F5BF27868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08E9DE0-C1CB-4145-AFE7-D5AC48CF64B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4830FCEA-D490-4EA9-9915-B5EAA574CBB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292C388B-AF23-44A9-BA8D-30E3E02E303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0529A6B0-C00A-4D0F-9254-CA31518FBEE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BFDB2B3F-50BC-4786-B00B-B4429F24E7A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6E4D8B7-9A85-4A2F-AF8E-DE68BAFC257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B8AF68C-70CC-4E4C-854B-982A28330A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D3A5397D-AE96-4859-87C7-268F3C12B85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75CAF8B-EBE3-43FC-9B2F-4ACF0DA13B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B7A4D78-3612-4E5E-8456-48C041FBAE0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1BA61143-15AA-4E9D-BF19-FE22DB8FD65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E9A02FFF-A0BE-4F31-BFE0-C34A08E792C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B12" authorId="0" shapeId="0" xr:uid="{87F8CBD6-FF07-4CC5-BC11-1B4BDE90613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Adjustment factor for converting 2005US$ to 2016US$ (taken from HSBC scenarios data cleaning folder)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BE72B9E-80C2-4EA2-9606-250834FFA0B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49D1C246-CD38-4A45-ACBF-EEAAA121F48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53000720-6687-4176-B27B-2E1972BD255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AC0458C9-06BA-470F-947F-4E7C82567E3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6486966C-75D2-4A7E-8722-559CCA1E02B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  <comment ref="E52" authorId="0" shapeId="0" xr:uid="{9ACBA035-FE74-403C-AE5C-81F941BD909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processing gains</t>
        </r>
      </text>
    </comment>
    <comment ref="E57" authorId="0" shapeId="0" xr:uid="{C7872952-A376-483D-A70E-7C9F394BCFD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processing gains</t>
        </r>
      </text>
    </comment>
    <comment ref="E62" authorId="0" shapeId="0" xr:uid="{E18C1506-4F75-4D63-8614-60A533A5C1E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processing gains</t>
        </r>
      </text>
    </comment>
    <comment ref="E67" authorId="0" shapeId="0" xr:uid="{594A4B5B-0020-44B0-8B60-411046FDB2A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biofuels</t>
        </r>
      </text>
    </comment>
    <comment ref="E72" authorId="0" shapeId="0" xr:uid="{DB95089A-D1CE-479E-93B4-1C085860125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biofuels</t>
        </r>
      </text>
    </comment>
    <comment ref="E77" authorId="0" shapeId="0" xr:uid="{0D1674E5-26DF-43C0-8E35-4877C8BE8CC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Includes biofuels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9F0B3814-5E3B-4520-B085-3CEEA5B5EFB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151A272-A370-4A28-B31D-E413A9F8002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34C2A170-2767-4831-869F-72ED84A664E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A3" authorId="0" shapeId="0" xr:uid="{FC5E5C76-1A42-4184-985F-6CB0EE7E16E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When copying this worksheet to other workbooks, include the sheets listed here, to avoid creating links between workbooks.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Shyamal</author>
  </authors>
  <commentList>
    <comment ref="D11" authorId="0" shapeId="0" xr:uid="{EF402995-65E1-4AB3-8C53-A6548C2BE70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No climate action beyond current policies</t>
        </r>
      </text>
    </comment>
    <comment ref="D13" authorId="0" shapeId="0" xr:uid="{6D8DF9A4-0875-4E27-85E5-020083DB596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Paris INDCs</t>
        </r>
      </text>
    </comment>
    <comment ref="H14" authorId="0" shapeId="0" xr:uid="{65826334-1543-4A99-A9C6-7F4AF2374FF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5" authorId="0" shapeId="0" xr:uid="{24883E2A-6B7A-4FFC-B5DA-6554C3B1F77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6" authorId="0" shapeId="0" xr:uid="{5436FB1F-CD55-4AA3-B494-18132CB0033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16" authorId="0" shapeId="0" xr:uid="{D131BCA9-4947-4F56-B594-78DD75B74BC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17" authorId="0" shapeId="0" xr:uid="{3F18A91F-E51B-42E0-A51F-A9EC1884AC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17" authorId="0" shapeId="0" xr:uid="{36B169B0-F48D-4220-9AE7-6B14C18BA3F7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18" authorId="0" shapeId="0" xr:uid="{1210E1F9-BCBF-4AB6-B65D-CBBE1D4C31B5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19" authorId="0" shapeId="0" xr:uid="{0D5E8FF3-BE14-4787-8E38-C9A9EEDEBC0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0" authorId="0" shapeId="0" xr:uid="{6A1467F8-0536-4EEA-8297-1378EF0A371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1" authorId="0" shapeId="0" xr:uid="{3437156C-1526-47D9-9027-C630E579B76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2" authorId="0" shapeId="0" xr:uid="{EC4DD45D-2E40-4ECA-B0AC-C84C6C8C1CD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3" authorId="0" shapeId="0" xr:uid="{70BE03EC-7019-4453-A1E2-C94984A14BB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4" authorId="0" shapeId="0" xr:uid="{F6DED39C-8CCE-4C92-BEBE-A344D5FC983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5" authorId="0" shapeId="0" xr:uid="{F54CBCCE-406D-4F6A-874F-5DE7401D20A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6" authorId="0" shapeId="0" xr:uid="{AD401542-446D-415B-ADA2-42550A481A6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7" authorId="0" shapeId="0" xr:uid="{374B929B-CD7C-4301-B460-F81B9B62738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8" authorId="0" shapeId="0" xr:uid="{86DB4A06-A30F-43DA-9EBF-68E32486432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29" authorId="0" shapeId="0" xr:uid="{85CCB002-F3A9-4BF0-8A9C-E36A9241609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29" authorId="0" shapeId="0" xr:uid="{4C46968C-F1E2-433B-9402-D994B9E2A9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30" authorId="0" shapeId="0" xr:uid="{A2E4D664-0E4A-4255-B76C-8B43545E010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30" authorId="0" shapeId="0" xr:uid="{65EE6D24-BA00-4BBB-9F64-8AEAAE6A006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D31" authorId="0" shapeId="0" xr:uid="{8FB1E939-B9C8-4738-B531-107308D63F6D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1" authorId="0" shapeId="0" xr:uid="{80D16FE2-01AC-43F6-A0A4-C27FB920C8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2" authorId="0" shapeId="0" xr:uid="{DC021C82-6586-4A34-A13F-46A9C11F11E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2" authorId="0" shapeId="0" xr:uid="{A9A86892-7388-4CAD-89B4-8565F2C772B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3" authorId="0" shapeId="0" xr:uid="{4B769973-8ACB-4194-AD92-2B4156F3AA7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3" authorId="0" shapeId="0" xr:uid="{92ED938F-ED8B-48F4-A6A2-6C49B0B1C54A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4" authorId="0" shapeId="0" xr:uid="{F3D1A87C-6C59-4A7F-BF7C-694E20F6B5D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4" authorId="0" shapeId="0" xr:uid="{F61261EF-D379-4E97-BA55-04B13175BC4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5" authorId="0" shapeId="0" xr:uid="{4FFA6AC3-4798-442F-9D99-91C5534FF16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5" authorId="0" shapeId="0" xr:uid="{32DCCA39-37DC-4374-AF28-BBDE1D52E9D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36" authorId="0" shapeId="0" xr:uid="{6C5828E2-EB63-4599-9C86-4FE3B8382B1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7" authorId="0" shapeId="0" xr:uid="{2018F7D0-118E-4EF7-B110-2AF7B6D32F5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7" authorId="0" shapeId="0" xr:uid="{90D5700B-E220-4E35-B5FA-B523E9A942F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8" authorId="0" shapeId="0" xr:uid="{ED0D14EF-0CE3-4D83-9CC8-759320D613C3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8" authorId="0" shapeId="0" xr:uid="{0A972EED-EE3A-4ABF-A2FC-0164598CDC9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39" authorId="0" shapeId="0" xr:uid="{EBCB03C3-46E3-4962-A81F-D8F8695FD39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39" authorId="0" shapeId="0" xr:uid="{E71457B7-C03F-4CDA-963A-619E11E8F0B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0" authorId="0" shapeId="0" xr:uid="{10DD675F-69F0-4A64-9D54-1881FBA7145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0" authorId="0" shapeId="0" xr:uid="{1EA24E09-AD8C-415D-BA09-4B9A622CDDFE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1" authorId="0" shapeId="0" xr:uid="{82A88DA1-9121-44E7-93DF-880C30920F8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1" authorId="0" shapeId="0" xr:uid="{4CC271E4-2E19-40FF-8421-DED9B2B12C1B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D42" authorId="0" shapeId="0" xr:uid="{F5444AD5-3E74-497C-8F59-D2388D46B31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2" authorId="0" shapeId="0" xr:uid="{44C26C98-27D6-4539-99FA-36FE3E98BC69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42" authorId="0" shapeId="0" xr:uid="{EB55CB49-1364-4148-B07B-29ACF2A7E3C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D43" authorId="0" shapeId="0" xr:uid="{4FF93D0B-DA0E-48F0-B068-68CA2577D592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Interpolated budget based on IPCC 1.5SR scenarios</t>
        </r>
      </text>
    </comment>
    <comment ref="H43" authorId="0" shapeId="0" xr:uid="{D64334D9-E0AA-4A10-8CB0-BFB0CC1B52D6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I43" authorId="0" shapeId="0" xr:uid="{37AAD139-0137-4DB6-9BB3-3F8395898E4F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Most conservative (high) assumptions around biomass costs possible without breaking the model.</t>
        </r>
      </text>
    </comment>
    <comment ref="H44" authorId="0" shapeId="0" xr:uid="{DDB38BC8-EA94-49F7-97C4-AE281573A53C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5" authorId="0" shapeId="0" xr:uid="{B7087475-AF9A-47D4-874B-99B0972A5E1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6" authorId="0" shapeId="0" xr:uid="{831F25AF-F003-47DA-80C7-8437BD4FE204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7" authorId="0" shapeId="0" xr:uid="{5B6E7FB5-2418-4DA6-A1ED-6944FA747E40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8" authorId="0" shapeId="0" xr:uid="{56557645-D154-48F3-8E0A-408D86AF48F8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  <comment ref="H49" authorId="0" shapeId="0" xr:uid="{20A8B6B4-CA69-42CB-AF41-A0C4DE209471}">
      <text>
        <r>
          <rPr>
            <b/>
            <sz val="9"/>
            <color indexed="81"/>
            <rFont val="Tahoma"/>
            <family val="2"/>
          </rPr>
          <t>Shyamal:</t>
        </r>
        <r>
          <rPr>
            <sz val="9"/>
            <color indexed="81"/>
            <rFont val="Tahoma"/>
            <family val="2"/>
          </rPr>
          <t xml:space="preserve">
Cap reduction in coal consumption in early years.
Is it possible to calibrate this in the same way as the existing renewable energy growth rate caps?</t>
        </r>
      </text>
    </comment>
  </commentList>
</comments>
</file>

<file path=xl/sharedStrings.xml><?xml version="1.0" encoding="utf-8"?>
<sst xmlns="http://schemas.openxmlformats.org/spreadsheetml/2006/main" count="18149" uniqueCount="1065">
  <si>
    <t>Notes</t>
  </si>
  <si>
    <t>Source:</t>
  </si>
  <si>
    <t>Units:</t>
  </si>
  <si>
    <t>URL:</t>
  </si>
  <si>
    <t>Notes:</t>
  </si>
  <si>
    <t>Description:</t>
  </si>
  <si>
    <t>If copy include:</t>
  </si>
  <si>
    <t>Date accessed:</t>
  </si>
  <si>
    <t>Scenario</t>
  </si>
  <si>
    <t>Attribute</t>
  </si>
  <si>
    <t>Region\Period</t>
  </si>
  <si>
    <t>Vivid_0A</t>
  </si>
  <si>
    <t>VAR_Ncap</t>
  </si>
  <si>
    <t>Vivid_0A_BAU</t>
  </si>
  <si>
    <t>Vivid_0B</t>
  </si>
  <si>
    <t>Vivid_1</t>
  </si>
  <si>
    <t>Vivid_10</t>
  </si>
  <si>
    <t>Vivid_11</t>
  </si>
  <si>
    <t>Vivid_12</t>
  </si>
  <si>
    <t>Vivid_13</t>
  </si>
  <si>
    <t>Vivid_14</t>
  </si>
  <si>
    <t>Vivid_15</t>
  </si>
  <si>
    <t>Vivid_16</t>
  </si>
  <si>
    <t>Vivid_17</t>
  </si>
  <si>
    <t>Vivid_18</t>
  </si>
  <si>
    <t>Vivid_19</t>
  </si>
  <si>
    <t>Vivid_2</t>
  </si>
  <si>
    <t>Vivid_20</t>
  </si>
  <si>
    <t>Vivid_21</t>
  </si>
  <si>
    <t>Vivid_22</t>
  </si>
  <si>
    <t>Vivid_23</t>
  </si>
  <si>
    <t>Vivid_24</t>
  </si>
  <si>
    <t>Vivid_25</t>
  </si>
  <si>
    <t>Vivid_26</t>
  </si>
  <si>
    <t>Vivid_27</t>
  </si>
  <si>
    <t>Vivid_28</t>
  </si>
  <si>
    <t>Vivid_29</t>
  </si>
  <si>
    <t>Vivid_3</t>
  </si>
  <si>
    <t>Vivid_30</t>
  </si>
  <si>
    <t>Vivid_31</t>
  </si>
  <si>
    <t>Vivid_32</t>
  </si>
  <si>
    <t>Vivid_33</t>
  </si>
  <si>
    <t>Vivid_34</t>
  </si>
  <si>
    <t>Vivid_35</t>
  </si>
  <si>
    <t>Vivid_4</t>
  </si>
  <si>
    <t>Vivid_5</t>
  </si>
  <si>
    <t>Vivid_6</t>
  </si>
  <si>
    <t>Vivid_7</t>
  </si>
  <si>
    <t>Vivid_8</t>
  </si>
  <si>
    <t>Vivid_9</t>
  </si>
  <si>
    <t>Commodity</t>
  </si>
  <si>
    <t>TRADST</t>
  </si>
  <si>
    <t>TRAGSL</t>
  </si>
  <si>
    <t>TRALPG</t>
  </si>
  <si>
    <t>TRANGA</t>
  </si>
  <si>
    <t>CommoditySet</t>
  </si>
  <si>
    <t>PRIM FUELS - COA</t>
  </si>
  <si>
    <t>PRIM FUELS - GAS</t>
  </si>
  <si>
    <t>PRIM FUELS - OIL</t>
  </si>
  <si>
    <t>ProcessSet</t>
  </si>
  <si>
    <t>MIN - COA</t>
  </si>
  <si>
    <t>MIN - GAS</t>
  </si>
  <si>
    <t>MIN - OIL</t>
  </si>
  <si>
    <t>POWGEN - BIO</t>
  </si>
  <si>
    <t>POWGEN - COA</t>
  </si>
  <si>
    <t>POWGEN - GAS</t>
  </si>
  <si>
    <t>POWGEN - GEO</t>
  </si>
  <si>
    <t>POWGEN - HYD</t>
  </si>
  <si>
    <t>POWGEN - NUC</t>
  </si>
  <si>
    <t>POWGEN - OIL</t>
  </si>
  <si>
    <t>POWGEN - SOPV</t>
  </si>
  <si>
    <t>POWGEN - SOTH</t>
  </si>
  <si>
    <t>POWGEN - WIN</t>
  </si>
  <si>
    <t>POWGEN - BIO CCS</t>
  </si>
  <si>
    <t>POWGEN - GAS CCS</t>
  </si>
  <si>
    <t>POWGEN - TID</t>
  </si>
  <si>
    <t>Region</t>
  </si>
  <si>
    <t>VAR_FOut</t>
  </si>
  <si>
    <t>R1: TIAM scenario run specifications</t>
  </si>
  <si>
    <t>Vivid Economics</t>
  </si>
  <si>
    <t>https://vivideconomics.sharepoint.com/:f:/s/projects/171211HSB/ElsIfHvwMR5IuhmzX_PnrZkBmWU06RfQez379oR3vVBtJA?e=gIMaOe</t>
  </si>
  <si>
    <t>N/A</t>
  </si>
  <si>
    <t>Amendments to the Imperial TIAM (TIMES Integrated Assessment Model) runs used for BHP, proposed as part of new scenario runs; shared with Adam Hawkes in 10/2018</t>
  </si>
  <si>
    <t>Note that these have changed in light of the IPCC 1.5SR carbon budgets and discussions with Adam - full list TBC</t>
  </si>
  <si>
    <t>Scenario parameters</t>
  </si>
  <si>
    <t>Scenario no.</t>
  </si>
  <si>
    <t>Scenario description</t>
  </si>
  <si>
    <t>Carbon budget</t>
  </si>
  <si>
    <t>Timing (when does climate action start)</t>
  </si>
  <si>
    <t>Technology cost assumptions (base)</t>
  </si>
  <si>
    <t>Iterations on tech. cost assumptions (cheapest technology scenarios)</t>
  </si>
  <si>
    <t>Lower bound on coal consumption</t>
  </si>
  <si>
    <t>Biomass CCS / NETs cost assumptions</t>
  </si>
  <si>
    <t>0A</t>
  </si>
  <si>
    <t>None</t>
  </si>
  <si>
    <t>-</t>
  </si>
  <si>
    <t>'Expect the unexpected'</t>
  </si>
  <si>
    <t>Current / Expect unexpected</t>
  </si>
  <si>
    <t>BAU callibration scenario - interpreted as 'No Policy Action'</t>
  </si>
  <si>
    <t>0B</t>
  </si>
  <si>
    <t>Paris INDCs lower bound scenario - interpreted as 'Current Policies'</t>
  </si>
  <si>
    <t>Current 2DS, 2020 start, 'Expect the Unexpected'</t>
  </si>
  <si>
    <t>2DS</t>
  </si>
  <si>
    <t>Early (2020)</t>
  </si>
  <si>
    <t>Yes - see comment</t>
  </si>
  <si>
    <t>Early 2DS</t>
  </si>
  <si>
    <t>Current 2DS, 2030 start, 'Expect the Unexpected'</t>
  </si>
  <si>
    <t>Delay (2030)</t>
  </si>
  <si>
    <t>Delayed 2DS</t>
  </si>
  <si>
    <t>Current 2DS, 2020 start, 'Expect the Unexpected' but with cheap renewables</t>
  </si>
  <si>
    <t>Renewables cheap</t>
  </si>
  <si>
    <t>Cheap renewables + early 2DS</t>
  </si>
  <si>
    <t>Current 2DS, 2030 start, 'Expect the Unexpected' but with cheap renewables</t>
  </si>
  <si>
    <t>Cheap renewables + delay 2DS</t>
  </si>
  <si>
    <t>Current 2DS, 2020 start, 'Expect the Unexpected' but with cheap CCS</t>
  </si>
  <si>
    <t>CCS cheap</t>
  </si>
  <si>
    <t>Cheap CCS + early 2DS</t>
  </si>
  <si>
    <t>Current 2DS, 2030 start, 'Expect the Unexpected' but with cheap CCS</t>
  </si>
  <si>
    <t>Cheap CCS + delay 2DS</t>
  </si>
  <si>
    <t>Current 2DS, 2020 start, 'Expect the Unexpected' but with cheap EVs</t>
  </si>
  <si>
    <t>EVs cheap</t>
  </si>
  <si>
    <t xml:space="preserve">Cheap EVs + early 2DS </t>
  </si>
  <si>
    <t>Current 2DS, 2030 start, 'Expect the Unexpected' but with cheap EVs</t>
  </si>
  <si>
    <t>Cheap EVs + delay 2DS</t>
  </si>
  <si>
    <t>Current 2DS, 2020 start, 'Expect the Unexpected' but with cheap energy efficiency</t>
  </si>
  <si>
    <t>Efficiency cheap</t>
  </si>
  <si>
    <t>Cheap energy efficiency + early 2DS</t>
  </si>
  <si>
    <t>Current 2DS, 2030 start, 'Expect the Unexpected' but with cheap energy efficiency</t>
  </si>
  <si>
    <t>Cheap energy efficiency + delay 2DS</t>
  </si>
  <si>
    <t>Current 2DS, 2020 start, 'Expect the Unexpected' but with most conservative biomass CCS / NET technology cost assumptions</t>
  </si>
  <si>
    <t>Most conservative</t>
  </si>
  <si>
    <t>2DS early with most conservative BECCS / NET assumptions</t>
  </si>
  <si>
    <t>Current 2DS, 2030 start, 'Expect the Unexpected' but with most conservative biomass CCS / NET technology cost assumptions</t>
  </si>
  <si>
    <t>2DS delayed with most conservative BECCS / NET assumptions</t>
  </si>
  <si>
    <t>Current 1.5DS, 2020 start, 'Expect the Unexpected'</t>
  </si>
  <si>
    <t>1.5DS</t>
  </si>
  <si>
    <t>Early 1.5DS</t>
  </si>
  <si>
    <t>Current 1.5DS, 2030 start, 'Expect the Unexpected'</t>
  </si>
  <si>
    <t>Delayed 1.5DS</t>
  </si>
  <si>
    <t>Current 1.5DS, 2020 start, 'Expect the Unexpected' but with cheap renewables</t>
  </si>
  <si>
    <t>Cheap renewables + early 1.5DS</t>
  </si>
  <si>
    <t>Current 1.5DS, 2030 start, 'Expect the Unexpected' but with cheap renewables</t>
  </si>
  <si>
    <t>Cheap renewables + delay 1.5DS</t>
  </si>
  <si>
    <t>Current 1.5DS, 2020 start, 'Expect the Unexpected' but with cheap CCS</t>
  </si>
  <si>
    <t>Cheap CCS + early 1.5DS</t>
  </si>
  <si>
    <t>Current 1.5DS, 2030 start, 'Expect the Unexpected' but with cheap CCS</t>
  </si>
  <si>
    <t>Cheap CCS + delay 1.5DS</t>
  </si>
  <si>
    <t>Current 1.5DS, 2020 start, 'Expect the Unexpected' but with cheap EVs</t>
  </si>
  <si>
    <t xml:space="preserve">Cheap EVs + early 1.5DS </t>
  </si>
  <si>
    <t>Current 1.5DS, 2030 start, 'Expect the Unexpected' but with cheap EVs</t>
  </si>
  <si>
    <t>Cheap EVs + delay 1.5DS</t>
  </si>
  <si>
    <t>Current 1.5DS, 2020 start, 'Expect the Unexpected' but with cheap energy efficiency</t>
  </si>
  <si>
    <t>Cheap energy efficiency + early 1.5DS</t>
  </si>
  <si>
    <t>Current 1.5DS, 2030 start, 'Expect the Unexpected' but with cheap energy efficiency</t>
  </si>
  <si>
    <t>Cheap energy efficiency + delay 1.5DS</t>
  </si>
  <si>
    <t>Current 1.5DS, 2020 start, 'Expect the Unexpected' but with most conservative biomass CCS / NET technology cost assumptions</t>
  </si>
  <si>
    <t>1.5DS early with most conservative BECCS / NET assumptions</t>
  </si>
  <si>
    <t>Current 1.5DS, 2030 start, 'Expect the Unexpected' but with most conservative biomass CCS / NET technology cost assumptions</t>
  </si>
  <si>
    <t>1.5DS delayed with most conservative BECCS / NET assumptions</t>
  </si>
  <si>
    <t>Current 1.75DS, 2020 start, 'Expect the Unexpected'</t>
  </si>
  <si>
    <t>1.75DS</t>
  </si>
  <si>
    <t>Early 1.75DS</t>
  </si>
  <si>
    <t>Current 1.75DS, 2030 start, 'Expect the Unexpected'</t>
  </si>
  <si>
    <t>Delayed 1.75DS</t>
  </si>
  <si>
    <t>Current 1.75DS, 2020 start, 'Expect the Unexpected' but with cheap renewables</t>
  </si>
  <si>
    <t>Cheap renewables + early 1.75DS</t>
  </si>
  <si>
    <t>Current 1.75DS, 2030 start, 'Expect the Unexpected' but with cheap renewables</t>
  </si>
  <si>
    <t>Cheap renewables + delay 1.75DS</t>
  </si>
  <si>
    <t>Current 1.75DS, 2020 start, 'Expect the Unexpected' but with cheap CCS</t>
  </si>
  <si>
    <t>Cheap CCS + early 1.75DS</t>
  </si>
  <si>
    <t>Current 1.75DS, 2030 start, 'Expect the Unexpected' but with cheap CCS</t>
  </si>
  <si>
    <t>Cheap CCS + delay 1.75DS</t>
  </si>
  <si>
    <t>Current 1.75DS, 2020 start, 'Expect the Unexpected' but with cheap EVs</t>
  </si>
  <si>
    <t xml:space="preserve">Cheap EVs + early 1.75DS </t>
  </si>
  <si>
    <t>Current 1.75DS, 2030 start, 'Expect the Unexpected' but with cheap EVs</t>
  </si>
  <si>
    <t>Cheap EVs + delay 1.75DS</t>
  </si>
  <si>
    <t>Current 1.75DS, 2020 start, 'Expect the Unexpected' but with cheap energy efficiency</t>
  </si>
  <si>
    <t>Cheap energy efficiency + early 1.75DS</t>
  </si>
  <si>
    <t>Current 1.75DS, 2030 start, 'Expect the Unexpected' but with cheap energy efficiency</t>
  </si>
  <si>
    <t>Cheap energy efficiency + delay 1.75DS</t>
  </si>
  <si>
    <t>Current 1.75DS, 2020 start, 'Expect the Unexpected' but with most conservative biomass CCS / NET technology cost assumptions</t>
  </si>
  <si>
    <t>1.75DS early with most conservative BECCS / NET assumptions</t>
  </si>
  <si>
    <t>1.75DS delayed with most conservative BECCS / NET assumptions</t>
  </si>
  <si>
    <t>AA_VehicleOilNewCapacity</t>
  </si>
  <si>
    <t>Parameters:</t>
  </si>
  <si>
    <t>Indirect parameters:</t>
  </si>
  <si>
    <t>Sum range</t>
  </si>
  <si>
    <t>Column 1</t>
  </si>
  <si>
    <t>Column 2</t>
  </si>
  <si>
    <t>Row 1</t>
  </si>
  <si>
    <t>Column 3</t>
  </si>
  <si>
    <t>Row 2</t>
  </si>
  <si>
    <t>Year</t>
  </si>
  <si>
    <t>$E$7:$O$7</t>
  </si>
  <si>
    <t>Scenario name</t>
  </si>
  <si>
    <t>0A_BAU</t>
  </si>
  <si>
    <t>Vivid Paris NDCs - WEO New Policies Scenario emissions pathway run through TIAM</t>
  </si>
  <si>
    <t>Vivid BAU - WEO Current Policies Scenario emissions pathway run through TIAM</t>
  </si>
  <si>
    <t>Cleaned results</t>
  </si>
  <si>
    <t>Sums over oil-fired vehicle capacity under all TIAM scenarios and produces charts capable of showing as many scenarios as desired</t>
  </si>
  <si>
    <t>Chart (at most 12 scenarios)</t>
  </si>
  <si>
    <t>Selection</t>
  </si>
  <si>
    <t>AA_TotalCO2Net</t>
  </si>
  <si>
    <t>Sums over CO2 emissions under all TIAM scenarios and produces charts capable of showing as many scenarios as desired</t>
  </si>
  <si>
    <t>$D$7:$O$7</t>
  </si>
  <si>
    <t>W2. Total CO2 Net</t>
  </si>
  <si>
    <t>W1. Vehicle oil new cap</t>
  </si>
  <si>
    <t>AA_RoadTransportFossil</t>
  </si>
  <si>
    <t>$E$7:$P$7</t>
  </si>
  <si>
    <t>W4. Road Transport Electricity</t>
  </si>
  <si>
    <t>W3. Road Transport Fossil</t>
  </si>
  <si>
    <t>AA_RoadTransportElectricity</t>
  </si>
  <si>
    <t>Sums over road transport electricity use under all TIAM scenarios and produces charts capable of showing as many scenarios as desired</t>
  </si>
  <si>
    <t>Sums over road transport fossil fuel use under all TIAM scenarios and produces charts capable of showing as many scenarios as desired</t>
  </si>
  <si>
    <t>W5. Road Transport Biofuels</t>
  </si>
  <si>
    <t>Sums over road transport biofuel use under all TIAM scenarios and produces charts capable of showing as many scenarios as desired</t>
  </si>
  <si>
    <t>AA_RoadTransportBiofuels</t>
  </si>
  <si>
    <t>AA_PrimEnergCons</t>
  </si>
  <si>
    <t>W6. Prim Energy Cons</t>
  </si>
  <si>
    <t>AA_PrimaryEnergyProd</t>
  </si>
  <si>
    <t>Sums over primary energy production under all TIAM scenarios and produces charts capable of showing as many scenarios as desired</t>
  </si>
  <si>
    <t>AA_PowerNewCap</t>
  </si>
  <si>
    <t>Sums over new power generation capacity under all TIAM scenarios and produces charts capable of showing as many scenarios as desired</t>
  </si>
  <si>
    <t>W8. Power New Cap</t>
  </si>
  <si>
    <t>AA_PowerGen</t>
  </si>
  <si>
    <t>Sums over total power generation capacity under all TIAM scenarios and produces charts capable of showing as many scenarios as desired</t>
  </si>
  <si>
    <t>Sums over total power generation under all TIAM scenarios and produces charts capable of showing as many scenarios as desired</t>
  </si>
  <si>
    <t>W9. Power Total Gen</t>
  </si>
  <si>
    <t>AA_PowerCap</t>
  </si>
  <si>
    <t>W10. Power Total Cap</t>
  </si>
  <si>
    <t>Iron &amp; steel demand (Mtonnes)</t>
  </si>
  <si>
    <t>Sums over iron &amp; steel production under all TIAM scenarios and produces charts capable of showing as many scenarios as desired</t>
  </si>
  <si>
    <t>W11. Iron Steel Demand</t>
  </si>
  <si>
    <t>AA_IronSteelDemand</t>
  </si>
  <si>
    <t>$G$7:$R$7</t>
  </si>
  <si>
    <t>W12. Heat Pump New Cap</t>
  </si>
  <si>
    <t>Sums over heat pump new capacity under all TIAM scenarios and produces charts capable of showing as many scenarios as desired</t>
  </si>
  <si>
    <t>$D$7:$N$7</t>
  </si>
  <si>
    <t>Heat output from new capacity (PJ) if run at 100% capacity</t>
  </si>
  <si>
    <t>AA_EVNewCapacity</t>
  </si>
  <si>
    <t>Sums over new EV capacity under all TIAM scenarios and produces charts capable of showing as many scenarios as desired</t>
  </si>
  <si>
    <t>Billion passenger km from new capacity</t>
  </si>
  <si>
    <t>W13. EV new capacity</t>
  </si>
  <si>
    <t>$E$7:$M$7</t>
  </si>
  <si>
    <t>AA_CO2Captured</t>
  </si>
  <si>
    <t>W14. CO2 Captured</t>
  </si>
  <si>
    <t>Sums over CO2 captured under all TIAM scenarios and produces charts capable of showing as many scenarios as desired</t>
  </si>
  <si>
    <t>2016US$/tCO2</t>
  </si>
  <si>
    <t>AA_CarbonPrice</t>
  </si>
  <si>
    <t>Averages carbon prices under all TIAM scenarios and produces charts capable of showing as many scenarios as desired</t>
  </si>
  <si>
    <t>W15. Carbon Prices</t>
  </si>
  <si>
    <t>$D$7:$L$7</t>
  </si>
  <si>
    <t>Fuel</t>
  </si>
  <si>
    <t>Biofuels</t>
  </si>
  <si>
    <t>Coal</t>
  </si>
  <si>
    <t>Gas</t>
  </si>
  <si>
    <t>Hydro</t>
  </si>
  <si>
    <t>Nuclear</t>
  </si>
  <si>
    <t>Other</t>
  </si>
  <si>
    <t>Solar</t>
  </si>
  <si>
    <t>Wind</t>
  </si>
  <si>
    <t>TIAM BAU - No Policy Action</t>
  </si>
  <si>
    <t>MIN - BIO</t>
  </si>
  <si>
    <t>MIN - HYD</t>
  </si>
  <si>
    <t>MIN - NUC</t>
  </si>
  <si>
    <t>W7. Primary Energy Prod (TPES)</t>
  </si>
  <si>
    <t>Oil</t>
  </si>
  <si>
    <t>AA_HeatPumpNewCap</t>
  </si>
  <si>
    <t>CO2 emissions (2012 - 50) GtCO2</t>
  </si>
  <si>
    <t>$B$8:$B$3000</t>
  </si>
  <si>
    <t>$C$8:$C$3000</t>
  </si>
  <si>
    <t>$D$8:$D$3000</t>
  </si>
  <si>
    <t>Road transport fossil energy use (PJ)</t>
  </si>
  <si>
    <t>Road transport electricity use (PJ)</t>
  </si>
  <si>
    <t>Road transport biofuels use (PJ)</t>
  </si>
  <si>
    <t>$B$8:$B$2000</t>
  </si>
  <si>
    <t>$C$8:$C$2000</t>
  </si>
  <si>
    <t>$D$8:$D$2000</t>
  </si>
  <si>
    <t>$B$8:$B$6000</t>
  </si>
  <si>
    <t>$C$8:$C$6000</t>
  </si>
  <si>
    <t>$D$8:$D$6000</t>
  </si>
  <si>
    <t>$B$8:$B$6500</t>
  </si>
  <si>
    <t>$C$8:$C$6500</t>
  </si>
  <si>
    <t>$D$8:$D$6500</t>
  </si>
  <si>
    <t>$B$8:$B$7000</t>
  </si>
  <si>
    <t>$C$8:$C$7000</t>
  </si>
  <si>
    <t>$D$8:$D$7000</t>
  </si>
  <si>
    <t>Carbon captured (GtCO2)</t>
  </si>
  <si>
    <t>AA_TransNewCapacity</t>
  </si>
  <si>
    <t>Commodity\Period</t>
  </si>
  <si>
    <t>TRB</t>
  </si>
  <si>
    <t>TRC</t>
  </si>
  <si>
    <t>TRE</t>
  </si>
  <si>
    <t>TRH</t>
  </si>
  <si>
    <t>TRL</t>
  </si>
  <si>
    <t>TRM</t>
  </si>
  <si>
    <t>TRT</t>
  </si>
  <si>
    <t>TRW</t>
  </si>
  <si>
    <t>TRA_$AFV</t>
  </si>
  <si>
    <t>TRA_$ELC</t>
  </si>
  <si>
    <t>TRA_$ICE</t>
  </si>
  <si>
    <t>TRA_$OIL-HYBRID</t>
  </si>
  <si>
    <t>TRA_$HH2</t>
  </si>
  <si>
    <t>TRA_$PHEV</t>
  </si>
  <si>
    <t>TRABDL</t>
  </si>
  <si>
    <t>TRAELC</t>
  </si>
  <si>
    <t>TRAETH</t>
  </si>
  <si>
    <t>TRAMET</t>
  </si>
  <si>
    <t>TRAHH2</t>
  </si>
  <si>
    <t>$B$8:$B$3300</t>
  </si>
  <si>
    <t>$C$8:$C$3300</t>
  </si>
  <si>
    <t>$D$8:$D$3300</t>
  </si>
  <si>
    <t>W17. Transport service output</t>
  </si>
  <si>
    <t>AA_TransServiceOut</t>
  </si>
  <si>
    <t>Sums over transport service output under all TIAM scenarios and produces charts capable of showing as many scenarios as desired</t>
  </si>
  <si>
    <t>Sums over transport vehicle new capacity under all TIAM scenarios and produces charts capable of showing as many scenarios as desired</t>
  </si>
  <si>
    <t>W18. Transport energy consumption</t>
  </si>
  <si>
    <t>Sums over transport energy consumption under all TIAM scenarios and produces charts capable of showing as many scenarios as desired</t>
  </si>
  <si>
    <t>AA_TransEnergyConsumption</t>
  </si>
  <si>
    <t>Sums over transport vehicle total capacity under all TIAM scenarios and produces charts capable of showing as many scenarios as desired</t>
  </si>
  <si>
    <t>AA_TransCapacity</t>
  </si>
  <si>
    <t>W19. Transport total capacity</t>
  </si>
  <si>
    <t>W16. Transport new capacity</t>
  </si>
  <si>
    <t>Alternative fuel vehicles = ethanol, methanol, LPG, natural gas etc.</t>
  </si>
  <si>
    <t>Electric</t>
  </si>
  <si>
    <t>Alternative fuels</t>
  </si>
  <si>
    <t>Hydrogen</t>
  </si>
  <si>
    <t>ICE</t>
  </si>
  <si>
    <t>Hybrid (non-plug-in)</t>
  </si>
  <si>
    <t>Hybrid (plug-in)</t>
  </si>
  <si>
    <t>Mode</t>
  </si>
  <si>
    <t>Buses</t>
  </si>
  <si>
    <t>Commercial services</t>
  </si>
  <si>
    <t>Three wheels</t>
  </si>
  <si>
    <t>Heavy trucks</t>
  </si>
  <si>
    <t>Light vehicles</t>
  </si>
  <si>
    <t>Medium trucks</t>
  </si>
  <si>
    <t>Cars</t>
  </si>
  <si>
    <t>Two wheels</t>
  </si>
  <si>
    <t>Biodiesel</t>
  </si>
  <si>
    <t>Diesel</t>
  </si>
  <si>
    <t>Electricity</t>
  </si>
  <si>
    <t>Ethanol</t>
  </si>
  <si>
    <t>Gasoline</t>
  </si>
  <si>
    <t>LPG</t>
  </si>
  <si>
    <t>Methanol</t>
  </si>
  <si>
    <t>Vehicle type</t>
  </si>
  <si>
    <t>O3. Oil output</t>
  </si>
  <si>
    <t>Figure of oil outputacross TIAM scenarios (including comparison against WEO)</t>
  </si>
  <si>
    <t>W7, W20, R1, R2</t>
  </si>
  <si>
    <t>Values in highlighted cells have been replaced with WEO 2018 / other values to match existing assumptions around climate scenarios</t>
  </si>
  <si>
    <t>Units conversion:</t>
  </si>
  <si>
    <t>PJ -&gt; Mb/day</t>
  </si>
  <si>
    <t>Adjustment factor:</t>
  </si>
  <si>
    <t>Average ratio of BP statistical review to TIAM 0A scenario in historical series (2007, 2012)</t>
  </si>
  <si>
    <t>Key:</t>
  </si>
  <si>
    <t>Scenarios shown in grey are not depicted in the figure, but are retained for reference purposes</t>
  </si>
  <si>
    <t>TIAM values highlighted in yellow involve bespoke assumptions beingn made to the original outputs - 2017, 2020 and 2030 delayed values are set equal to WEO NPS; all other values are adjusted by the ratio of BP Statistical Review oil output to TIAM oil output in 2007 - 2012</t>
  </si>
  <si>
    <t>Output figure for analyst paper</t>
  </si>
  <si>
    <t>No Policy Action</t>
  </si>
  <si>
    <t>Paris NDCs</t>
  </si>
  <si>
    <t>2020 Action</t>
  </si>
  <si>
    <t>2030 Action</t>
  </si>
  <si>
    <t>1.75DS Action</t>
  </si>
  <si>
    <t>Renewable Revolution</t>
  </si>
  <si>
    <t>CCS Storm</t>
  </si>
  <si>
    <t>EVs Unplugged</t>
  </si>
  <si>
    <t>Efficiency Boost</t>
  </si>
  <si>
    <t>CPS WEO 18</t>
  </si>
  <si>
    <t>WEO CPS</t>
  </si>
  <si>
    <t>NPS WEO 18</t>
  </si>
  <si>
    <t>WEO NPS</t>
  </si>
  <si>
    <t>SDS WEO 18</t>
  </si>
  <si>
    <t>WEO SDS</t>
  </si>
  <si>
    <t>Processed TIAM data for final calculations</t>
  </si>
  <si>
    <t>Oil (PJ)</t>
  </si>
  <si>
    <t>Oil (Mb/day)</t>
  </si>
  <si>
    <t>Processed Comparator data for final calculations</t>
  </si>
  <si>
    <t>CPS WEO 16</t>
  </si>
  <si>
    <t>NPS WEO 16</t>
  </si>
  <si>
    <t>450 WEO 16</t>
  </si>
  <si>
    <t>RTS ETP 17</t>
  </si>
  <si>
    <t>2DS ETP 17</t>
  </si>
  <si>
    <t>B2DS ETP 17</t>
  </si>
  <si>
    <t>Sky Shell</t>
  </si>
  <si>
    <t>BP Statistical Review</t>
  </si>
  <si>
    <t>O1. Output summary</t>
  </si>
  <si>
    <t>Summary table of scenario outputs compared to comparator scenarios (note that a subset of the comparator scenarios should be used when presenting final results)</t>
  </si>
  <si>
    <t>Output table for analyst paper</t>
  </si>
  <si>
    <t>Carbon price</t>
  </si>
  <si>
    <t>Fossil fuel demand</t>
  </si>
  <si>
    <t>Cleantech deployment</t>
  </si>
  <si>
    <t>Category</t>
  </si>
  <si>
    <t>EVs</t>
  </si>
  <si>
    <t>Renewables</t>
  </si>
  <si>
    <t>Policy</t>
  </si>
  <si>
    <t>Technology</t>
  </si>
  <si>
    <t>EVs  Unplugged</t>
  </si>
  <si>
    <t>Comparators</t>
  </si>
  <si>
    <t>450 Scenario, World Energy Outlook 2016</t>
  </si>
  <si>
    <t>2016 WEO 450</t>
  </si>
  <si>
    <t>2018 WEO 450</t>
  </si>
  <si>
    <t>2017 ETP 2DS</t>
  </si>
  <si>
    <t>2017 ETP B2DS</t>
  </si>
  <si>
    <t>Sky Scenario, Shell</t>
  </si>
  <si>
    <t>Shell Sky</t>
  </si>
  <si>
    <t>Carbon prices</t>
  </si>
  <si>
    <t>O2. Carbon prices</t>
  </si>
  <si>
    <t>W15, W22, R1</t>
  </si>
  <si>
    <t>No Policy Action (BAU) scenario carbon prices are 0 by construction</t>
  </si>
  <si>
    <t>All other prices are implicit carbon prices under the scenario, relative to BAU and are calculated by differencing the TIAM carbon price under the scenario from the BAU / No Policy Action carbon price (see W15 for more details) - WEO 2016 carbon prices provided purely for reference purposes</t>
  </si>
  <si>
    <t>O4. Gas output</t>
  </si>
  <si>
    <t>Figure of gas output across TIAM scenarios (including comparison against WEO)</t>
  </si>
  <si>
    <t>PJ -&gt; bn m3 / yr</t>
  </si>
  <si>
    <t>2018 WEO CPS</t>
  </si>
  <si>
    <t>2018 WEO NPS</t>
  </si>
  <si>
    <t>2018 WEO SDS</t>
  </si>
  <si>
    <t>Gas (PJ)</t>
  </si>
  <si>
    <t>Gas (bcm)</t>
  </si>
  <si>
    <t>O5. Coal output</t>
  </si>
  <si>
    <t>Figure of coal output across TIAM scenarios (including comparison against WEO)</t>
  </si>
  <si>
    <t>PJ -&gt; Mn tonnes hard coal</t>
  </si>
  <si>
    <t>Coal (PJ)</t>
  </si>
  <si>
    <t>Coal (Mtce)</t>
  </si>
  <si>
    <t>Figure of total renewable capacity across TIAM scenarios (including comparison against WEO)</t>
  </si>
  <si>
    <t>W10, W21, R1</t>
  </si>
  <si>
    <t>Sheet used is Total power generation capacity (GW)</t>
  </si>
  <si>
    <t>GW -&gt; TW</t>
  </si>
  <si>
    <t>TIAM values highlighted in yellow involve bespoke assumptions beingn made to the original outputs - largely set equal to WEO NPS</t>
  </si>
  <si>
    <t>Total capacity (GW)</t>
  </si>
  <si>
    <t>Units</t>
  </si>
  <si>
    <t>TW</t>
  </si>
  <si>
    <t>Figure of EV deploymnet across TIAM scenarios (including comparison against WEO)</t>
  </si>
  <si>
    <t>R1, R12, R14, R15, W19</t>
  </si>
  <si>
    <t>Sheet used is Total EV capacity; all values adjusted by the ratio of TIAM 1.75DS to EVO 2DS (unless values are set equal to EVO NPS explicitly)</t>
  </si>
  <si>
    <t>Bn passenger km -&gt; mn vehicles</t>
  </si>
  <si>
    <t>Note that this doesn't make a difference anymore</t>
  </si>
  <si>
    <t>TIAM adjustment factor (ratio of TIAM 1.75DS to EVO 2DS)</t>
  </si>
  <si>
    <t>EVO 2017 RTS</t>
  </si>
  <si>
    <t>Reference Technology Scenario, Global EV Outlook 2017 IEA</t>
  </si>
  <si>
    <t>EVO RTS</t>
  </si>
  <si>
    <t>EVO 2017 Paris</t>
  </si>
  <si>
    <t>Paris NDCs, Global EV Outlook 2017 IEA</t>
  </si>
  <si>
    <t>EVO NPS</t>
  </si>
  <si>
    <t>EVO 2017 2DS</t>
  </si>
  <si>
    <t>2 Degrees Scenario, Global EV Outlook 2017 IEA</t>
  </si>
  <si>
    <t>EVO 2DS</t>
  </si>
  <si>
    <t>EVs (bn pass km)</t>
  </si>
  <si>
    <t>EVs (mn vehicles)</t>
  </si>
  <si>
    <t>Lookup</t>
  </si>
  <si>
    <t>EVO 2017 HIST</t>
  </si>
  <si>
    <t>Mn vehicles stock</t>
  </si>
  <si>
    <t>EVO 2018 HIST</t>
  </si>
  <si>
    <t>RTS</t>
  </si>
  <si>
    <t>EVO 2017 B2DS</t>
  </si>
  <si>
    <t>B2DS</t>
  </si>
  <si>
    <t>O8. Total primary energy supply mix</t>
  </si>
  <si>
    <t>Figure of total primary energy supply mix across TIAM scenarios (including comparison against WEO)</t>
  </si>
  <si>
    <t>R1, W7, W23</t>
  </si>
  <si>
    <t>No Policy Action and Paris NDC TIAM scenarios are not shown in the figure - instead WEO CPS and NPS are used as comparison points</t>
  </si>
  <si>
    <t>PJ -&gt; EJ</t>
  </si>
  <si>
    <t>Other renewables</t>
  </si>
  <si>
    <t>Fuel 2</t>
  </si>
  <si>
    <t>O9. Power generation mix</t>
  </si>
  <si>
    <t>Figure of power generation mix across TIAM scenarios (including comparison against WEO)</t>
  </si>
  <si>
    <t>R1, W9, W24</t>
  </si>
  <si>
    <t>PJ -&gt; TWh</t>
  </si>
  <si>
    <t>O10. Power generation capacity mix</t>
  </si>
  <si>
    <t>Figure of power generation capacity mix across TIAM scenarios (including comparison against WEO)</t>
  </si>
  <si>
    <t>R1, W10, W21</t>
  </si>
  <si>
    <t>No Policy Action and Parid NDC TIAM scenarios are not shown in the figure - instead WEO CPS and NPS are used as comparison points</t>
  </si>
  <si>
    <t>Oreserve sheet. Wind + solar capacity deployment</t>
  </si>
  <si>
    <t>Figure of wind and solar total capacity across TIAM scenarios (including comparison against WEO)</t>
  </si>
  <si>
    <t>W20. Fossil fuel production (public data processing)</t>
  </si>
  <si>
    <t>Aggregates fossil fuel production to Vivid categories (if relevant) and interpolates / extrapolates across model years</t>
  </si>
  <si>
    <t>R1, R2, R3 - 6</t>
  </si>
  <si>
    <t>Extrapolated values are shaded in yellow</t>
  </si>
  <si>
    <t>Varies by scenario provider - data is consolidated into chart units (Mb/day for oil, Mtce for coal, Bcm for gas) using the conversion factors set out below</t>
  </si>
  <si>
    <t>Unit conversion:</t>
  </si>
  <si>
    <t>Factor</t>
  </si>
  <si>
    <t>Units base</t>
  </si>
  <si>
    <t>Units final</t>
  </si>
  <si>
    <t>PJ</t>
  </si>
  <si>
    <t>Mtce</t>
  </si>
  <si>
    <t>Mb/day</t>
  </si>
  <si>
    <t>bcm</t>
  </si>
  <si>
    <t>EJ</t>
  </si>
  <si>
    <t>Data in output sheet categories and units</t>
  </si>
  <si>
    <t>Data read in from research sheets</t>
  </si>
  <si>
    <t>Sheet</t>
  </si>
  <si>
    <t>Subcat</t>
  </si>
  <si>
    <t>R3</t>
  </si>
  <si>
    <t>Steam coal</t>
  </si>
  <si>
    <t>Coking coal</t>
  </si>
  <si>
    <t>Lignite</t>
  </si>
  <si>
    <t>R4</t>
  </si>
  <si>
    <t>R5</t>
  </si>
  <si>
    <t>R6</t>
  </si>
  <si>
    <t>W21. Total generation capacity (public data processing)</t>
  </si>
  <si>
    <t>Aggregates power generation capacity to Vivid categories (if relevant) and interpolates / extrapolates across model years</t>
  </si>
  <si>
    <t>R1, R2, R5, R9, R10</t>
  </si>
  <si>
    <t>GW</t>
  </si>
  <si>
    <t>R9</t>
  </si>
  <si>
    <t>Bioenergy</t>
  </si>
  <si>
    <t>Solar PV</t>
  </si>
  <si>
    <t>CSP</t>
  </si>
  <si>
    <t>Geothermal</t>
  </si>
  <si>
    <t>Marine</t>
  </si>
  <si>
    <t>R10</t>
  </si>
  <si>
    <t>Coal with CCS</t>
  </si>
  <si>
    <t>Natural gas</t>
  </si>
  <si>
    <t>Natural gas with CCS</t>
  </si>
  <si>
    <t>Biomass and waste</t>
  </si>
  <si>
    <t>Biomass with CCS</t>
  </si>
  <si>
    <t>Hydro (excl. pumped storage)</t>
  </si>
  <si>
    <t>Wind onshore</t>
  </si>
  <si>
    <t>Wind offshore</t>
  </si>
  <si>
    <t>Solar CSP</t>
  </si>
  <si>
    <t>Ocean</t>
  </si>
  <si>
    <t>R1, R2, R11</t>
  </si>
  <si>
    <t>2015US$/tCO2</t>
  </si>
  <si>
    <t>Sectors</t>
  </si>
  <si>
    <t>R11</t>
  </si>
  <si>
    <t>W23. Total primary energy supply (public data processing)</t>
  </si>
  <si>
    <t>Aggregates total primary energy supply to Vivid categories (if relevant) and interpolates / extrapolates across model years</t>
  </si>
  <si>
    <t>R1, R2, R5 - 8</t>
  </si>
  <si>
    <t>Varies by scenario provider (consolidated units are PJ)</t>
  </si>
  <si>
    <t>Base unit</t>
  </si>
  <si>
    <t>Final unit</t>
  </si>
  <si>
    <t>Mtoe</t>
  </si>
  <si>
    <t>R7</t>
  </si>
  <si>
    <t>R8</t>
  </si>
  <si>
    <t>Natural Gas</t>
  </si>
  <si>
    <t>Biomass Gasified</t>
  </si>
  <si>
    <t>Biomass / Waste Solids</t>
  </si>
  <si>
    <t>Biomass Traditional</t>
  </si>
  <si>
    <t>Hydro-electricity</t>
  </si>
  <si>
    <t>Other Renewables</t>
  </si>
  <si>
    <t>W24. Total power generation by source (public data processing)</t>
  </si>
  <si>
    <t>Aggregates power generation by source to Vivid categories (if relevant) and interpolates / extrapolates across model years</t>
  </si>
  <si>
    <t>R1, R2, R5, R6, R9, R10</t>
  </si>
  <si>
    <t>Extrapolated values are shaded in yellow - note that negative extrapolated values are capped at 0 (cannot have negative power generation from coal power!)</t>
  </si>
  <si>
    <t>TWh</t>
  </si>
  <si>
    <t>Current Policies Scenario, World Energy Outlook 2016</t>
  </si>
  <si>
    <t>New Policies Scenario, World Energy Outlook 2016</t>
  </si>
  <si>
    <t>Current Policies Scenario, World Energy Outlook 2018</t>
  </si>
  <si>
    <t>New Policies Scenario, World Energy Outlook 2018</t>
  </si>
  <si>
    <t>Sustainable Development Scenario, World Energy Outlook 2018</t>
  </si>
  <si>
    <t>Reference Technologies Scenario, Energy Technology Perspectives 2017</t>
  </si>
  <si>
    <t>2 Degrees Scenario, Energy Technology Perspectives 2017</t>
  </si>
  <si>
    <t>Below 2 Degrees Scenario (1.75DS), Energy Technology Perspectives 2017</t>
  </si>
  <si>
    <t>Sky Scenario, Royal Dutch Shell</t>
  </si>
  <si>
    <t>R2: Unit conversion factors</t>
  </si>
  <si>
    <t>See previous scenario analysis spreadsheets</t>
  </si>
  <si>
    <t>Varies</t>
  </si>
  <si>
    <t>Source</t>
  </si>
  <si>
    <t>Link</t>
  </si>
  <si>
    <t>Unit change</t>
  </si>
  <si>
    <t>From</t>
  </si>
  <si>
    <t>To</t>
  </si>
  <si>
    <t>IEA Unit Converter</t>
  </si>
  <si>
    <t>https://www.iea.org/statistics/resources/unitconverter/</t>
  </si>
  <si>
    <t>PJ -&gt; Mtoe</t>
  </si>
  <si>
    <t>BP Conversion factors</t>
  </si>
  <si>
    <t>https://www.bp.com/content/dam/bp/en/corporate/pdf/energy-economics/statistical-review-2017/bp-statistical-review-of%20world%20energy-2017-approximate-conversion-factors.pdf</t>
  </si>
  <si>
    <t>toe -&gt; Barrels</t>
  </si>
  <si>
    <t>PJ -&gt; TBtu</t>
  </si>
  <si>
    <t>Tbtu -&gt; Bn cubic metres</t>
  </si>
  <si>
    <t>toe -&gt; Tonne hard coal</t>
  </si>
  <si>
    <t>toe -&gt; Tonne lignite</t>
  </si>
  <si>
    <t>World Bank GDP deflator</t>
  </si>
  <si>
    <t>https://data.worldbank.org/indicator/NY.GDP.DEFL.ZS</t>
  </si>
  <si>
    <t>2015US$ -&gt; 2016US$</t>
  </si>
  <si>
    <t>2005US$ -&gt; 2016US$</t>
  </si>
  <si>
    <t>R3: WEO 2018 fossil fuel production</t>
  </si>
  <si>
    <t>World Energy Outlook 2018, IEA</t>
  </si>
  <si>
    <t>https://vivideconomics.sharepoint.com/:f:/s/projects/171211HSB/EmrbmJn2RilKsHvL5OmSAX0BJa51d4CaXNhaEDcxnOCF_g?e=l1kbLJ</t>
  </si>
  <si>
    <t>Varies by fuel (see column headers)</t>
  </si>
  <si>
    <t>Fossil fuel supply sheet</t>
  </si>
  <si>
    <t>New Policies Scenario</t>
  </si>
  <si>
    <t>Current Policies and Sustainable Development Scenarios</t>
  </si>
  <si>
    <t>Production</t>
  </si>
  <si>
    <r>
      <t xml:space="preserve">Shares </t>
    </r>
    <r>
      <rPr>
        <sz val="8.5"/>
        <color theme="0"/>
        <rFont val="Calibri"/>
        <family val="2"/>
        <scheme val="minor"/>
      </rPr>
      <t>(%)</t>
    </r>
  </si>
  <si>
    <r>
      <t xml:space="preserve">CAAGR </t>
    </r>
    <r>
      <rPr>
        <sz val="8.5"/>
        <color theme="0"/>
        <rFont val="Calibri"/>
        <family val="2"/>
        <scheme val="minor"/>
      </rPr>
      <t>(%)</t>
    </r>
  </si>
  <si>
    <t>2017e-40</t>
  </si>
  <si>
    <t>NPS</t>
  </si>
  <si>
    <t>Current Policies</t>
  </si>
  <si>
    <t>Sustainable Development</t>
  </si>
  <si>
    <t xml:space="preserve">CPS  </t>
  </si>
  <si>
    <t>SDS</t>
  </si>
  <si>
    <t>CPS</t>
  </si>
  <si>
    <r>
      <t xml:space="preserve">Oil production and supply </t>
    </r>
    <r>
      <rPr>
        <sz val="8.5"/>
        <color theme="0"/>
        <rFont val="Calibri"/>
        <family val="2"/>
        <scheme val="minor"/>
      </rPr>
      <t>(mb/d)</t>
    </r>
  </si>
  <si>
    <t>North America</t>
  </si>
  <si>
    <t>Canada</t>
  </si>
  <si>
    <t>Mexico</t>
  </si>
  <si>
    <t>United States</t>
  </si>
  <si>
    <t>Central and South America</t>
  </si>
  <si>
    <t>Argentina</t>
  </si>
  <si>
    <t>Brazil</t>
  </si>
  <si>
    <t>Ecuador</t>
  </si>
  <si>
    <t>Venezuela</t>
  </si>
  <si>
    <t>Europe</t>
  </si>
  <si>
    <t>Norway</t>
  </si>
  <si>
    <t>Africa</t>
  </si>
  <si>
    <t>Algeria</t>
  </si>
  <si>
    <t>Angola</t>
  </si>
  <si>
    <t>Congo</t>
  </si>
  <si>
    <t>Equatorial Guinea</t>
  </si>
  <si>
    <t>Gabon</t>
  </si>
  <si>
    <t>Libya</t>
  </si>
  <si>
    <t>Nigeria</t>
  </si>
  <si>
    <t>Middle East</t>
  </si>
  <si>
    <t>Iran</t>
  </si>
  <si>
    <t>Iraq</t>
  </si>
  <si>
    <t>Kuwait</t>
  </si>
  <si>
    <t>Qatar</t>
  </si>
  <si>
    <t>Saudi Arabia</t>
  </si>
  <si>
    <t>United Arab Emirates</t>
  </si>
  <si>
    <t>Eurasia</t>
  </si>
  <si>
    <t>Kazakhstan</t>
  </si>
  <si>
    <t>Russia</t>
  </si>
  <si>
    <t>Asia Pacific</t>
  </si>
  <si>
    <t>China</t>
  </si>
  <si>
    <t>India</t>
  </si>
  <si>
    <t>OECD</t>
  </si>
  <si>
    <t>Non-OECD</t>
  </si>
  <si>
    <t>Advanced economies</t>
  </si>
  <si>
    <t>Developing economies</t>
  </si>
  <si>
    <t>Non-OPEC</t>
  </si>
  <si>
    <t>Conventional crude oil</t>
  </si>
  <si>
    <t>Tight oil</t>
  </si>
  <si>
    <t>Natural gas liquids</t>
  </si>
  <si>
    <t>Canada oil sands</t>
  </si>
  <si>
    <t>Other production</t>
  </si>
  <si>
    <t>OPEC</t>
  </si>
  <si>
    <t>Venezuela extra-heavy oil</t>
  </si>
  <si>
    <t>World production</t>
  </si>
  <si>
    <t>Extra-heavy oil and bitumen</t>
  </si>
  <si>
    <t>Processing gains</t>
  </si>
  <si>
    <t>World supply</t>
  </si>
  <si>
    <r>
      <t xml:space="preserve">Natural gas production </t>
    </r>
    <r>
      <rPr>
        <sz val="8.5"/>
        <color theme="0"/>
        <rFont val="Calibri"/>
        <family val="2"/>
        <scheme val="minor"/>
      </rPr>
      <t>(bcm)</t>
    </r>
  </si>
  <si>
    <t>European Union</t>
  </si>
  <si>
    <t>Mozambique</t>
  </si>
  <si>
    <t>Azerbaijan</t>
  </si>
  <si>
    <t>Turkmenistan</t>
  </si>
  <si>
    <t>Australia</t>
  </si>
  <si>
    <t>Indonesia</t>
  </si>
  <si>
    <t>Rest of Southeast Asia</t>
  </si>
  <si>
    <t xml:space="preserve">World </t>
  </si>
  <si>
    <t>Conventional gas</t>
  </si>
  <si>
    <t>Tight gas</t>
  </si>
  <si>
    <t>Shale gas</t>
  </si>
  <si>
    <t>Coalbed methane</t>
  </si>
  <si>
    <r>
      <t xml:space="preserve">Coal production </t>
    </r>
    <r>
      <rPr>
        <sz val="8.5"/>
        <color theme="0"/>
        <rFont val="Calibri"/>
        <family val="2"/>
        <scheme val="minor"/>
      </rPr>
      <t>(Mtce)</t>
    </r>
  </si>
  <si>
    <t>Colombia</t>
  </si>
  <si>
    <t>South Africa</t>
  </si>
  <si>
    <t>World</t>
  </si>
  <si>
    <t>Source: World Energy Outlook 2018</t>
  </si>
  <si>
    <t>© 2018 OECD/IEA</t>
  </si>
  <si>
    <t>R4: WEO 2016 fossil fuel production</t>
  </si>
  <si>
    <t>World Energy Outlook 2016, IEA</t>
  </si>
  <si>
    <t>https://vivideconomics.sharepoint.com/:f:/s/projects/171211HSB/EhQ7Q-hhYYtOr3b5aEtAHOABsVz7k-fkZiM8Kmjh9Dmanw?e=JiIOjf</t>
  </si>
  <si>
    <t>Current Policies and 450 Scenarios</t>
  </si>
  <si>
    <t>2014-40</t>
  </si>
  <si>
    <t>Current Policies Scenario</t>
  </si>
  <si>
    <t>450 Scenario</t>
  </si>
  <si>
    <t xml:space="preserve">450  </t>
  </si>
  <si>
    <t>Americas</t>
  </si>
  <si>
    <t>Asia Oceania</t>
  </si>
  <si>
    <t>E. Europe/Eurasia</t>
  </si>
  <si>
    <t>Asia</t>
  </si>
  <si>
    <t>Latin America</t>
  </si>
  <si>
    <t>World oil production</t>
  </si>
  <si>
    <t>Crude oil</t>
  </si>
  <si>
    <t>Unconventional oil</t>
  </si>
  <si>
    <t>World oil supply</t>
  </si>
  <si>
    <t>World biofuels supply</t>
  </si>
  <si>
    <t>World liquids supply</t>
  </si>
  <si>
    <t>Unconventional gas</t>
  </si>
  <si>
    <t>Source: World Energy Outlook 2016</t>
  </si>
  <si>
    <t>© 2016 OECD/IEA</t>
  </si>
  <si>
    <t>R5: ETP 2017 summary sheet</t>
  </si>
  <si>
    <t>Energy Technology Perspectives 2017, IEA</t>
  </si>
  <si>
    <t>https://vivideconomics.sharepoint.com/:f:/s/projects/171211HSB/EuIM4WSj97NLuV_3V5hJZg0BPRanDyOl3OEd6Jd-hI5nqg?e=EShGAo</t>
  </si>
  <si>
    <t>Varies by category (see column headers)</t>
  </si>
  <si>
    <t>WORLD sheet</t>
  </si>
  <si>
    <t>World - Reference Technology Scenario</t>
  </si>
  <si>
    <t>World - 2°C Scenario</t>
  </si>
  <si>
    <t>World - Beyond 2°C Scenario</t>
  </si>
  <si>
    <t>Total primary energy demand (PJ)</t>
  </si>
  <si>
    <t>Total</t>
  </si>
  <si>
    <t>Memo: Biofuels and waste (excl. conversion losses of liquid and gaseous biofuels production)</t>
  </si>
  <si>
    <t>Fuel input electricity and heat generation (PJ)</t>
  </si>
  <si>
    <t>Final energy demand (PJ)</t>
  </si>
  <si>
    <t>Heat</t>
  </si>
  <si>
    <t>Final energy demand industry sector (PJ)</t>
  </si>
  <si>
    <t>Final energy demand non-energy use (PJ)</t>
  </si>
  <si>
    <t>Final energy demand transport sector (PJ)</t>
  </si>
  <si>
    <t>Biomass</t>
  </si>
  <si>
    <t>Final energy demand residential sector (PJ)</t>
  </si>
  <si>
    <t>Final energy demand services sector (PJ)</t>
  </si>
  <si>
    <t>Final energy demand agriculture, fisheries and forestry sector (PJ)</t>
  </si>
  <si>
    <t>Gross electricity generation (TWh)</t>
  </si>
  <si>
    <t>Gross electricity capacity (GW)</t>
  </si>
  <si>
    <t>Direct CO2 emissions (Mt CO2)</t>
  </si>
  <si>
    <t>Industry</t>
  </si>
  <si>
    <t>Buildings, agriculture, fishing, non-specified other</t>
  </si>
  <si>
    <t>Transport</t>
  </si>
  <si>
    <t>Power</t>
  </si>
  <si>
    <t>Other transformation</t>
  </si>
  <si>
    <t>CO2 captured (Mt CO2)</t>
  </si>
  <si>
    <t>BECCS, CO2 captured (Mt CO2)</t>
  </si>
  <si>
    <t>R6: Sky Scenario World sheet</t>
  </si>
  <si>
    <t>https://vivideconomics.sharepoint.com/:f:/s/projects/171211HSB/EntvJT1U0-BKsR2-7FdKhGEBiBc8PqWDQuGdH3CaU8Wqfg?e=hChgw2</t>
  </si>
  <si>
    <t>World sheet</t>
  </si>
  <si>
    <t>Population By Region</t>
  </si>
  <si>
    <t>(Million People)</t>
  </si>
  <si>
    <t>Developed Asia Pacific</t>
  </si>
  <si>
    <t>Developing Asia Pacific</t>
  </si>
  <si>
    <t>International marine bunkers</t>
  </si>
  <si>
    <t>GDP By Region</t>
  </si>
  <si>
    <t>(USD Billion (PPP, 2010 USD))</t>
  </si>
  <si>
    <t xml:space="preserve">Total Final Consumption - By Sector </t>
  </si>
  <si>
    <t>(EJ / year)</t>
  </si>
  <si>
    <t>Heavy Industry</t>
  </si>
  <si>
    <t>Agriculture &amp; Other Industry</t>
  </si>
  <si>
    <t>Services</t>
  </si>
  <si>
    <t>Passenger Transport - Ship</t>
  </si>
  <si>
    <t>Passenger Transport - Rail</t>
  </si>
  <si>
    <t>Passenger Transport - Road</t>
  </si>
  <si>
    <t>Passenger Transport - Air</t>
  </si>
  <si>
    <t>Freight Transport - Ship</t>
  </si>
  <si>
    <t>Freight Transport - Rail</t>
  </si>
  <si>
    <t>Freight Transport - Road</t>
  </si>
  <si>
    <t>Freight Transport - Air</t>
  </si>
  <si>
    <t>Residential - Heating &amp; Cooking</t>
  </si>
  <si>
    <t>Residential - Lighting &amp; Appliances</t>
  </si>
  <si>
    <t>Non Energy Use</t>
  </si>
  <si>
    <t xml:space="preserve">Total Final Consumption - By Carrier </t>
  </si>
  <si>
    <t>Solid Hydrocarbon Fuels</t>
  </si>
  <si>
    <t>Liquid Hydrocarbon Fuels</t>
  </si>
  <si>
    <t>Gaseous Hydrocarbon Fuels</t>
  </si>
  <si>
    <t>Biomass - Commercial</t>
  </si>
  <si>
    <t>Biomass - Traditional</t>
  </si>
  <si>
    <t>Total Primary Energy - By Source</t>
  </si>
  <si>
    <t>6-1</t>
  </si>
  <si>
    <t>Energy Service - By Carrier - Passenger Transport Road</t>
  </si>
  <si>
    <t>Trillion vehicle km / year</t>
  </si>
  <si>
    <t>6-2</t>
  </si>
  <si>
    <t>Energy Service - By Carrier - Freight Transport Road</t>
  </si>
  <si>
    <t>Trillion tonne km / year</t>
  </si>
  <si>
    <t>7-1</t>
  </si>
  <si>
    <t>Total Final Consumption - By Carrier - Heavy Industry</t>
  </si>
  <si>
    <t>EJ / year</t>
  </si>
  <si>
    <t>Electricity - Commercial</t>
  </si>
  <si>
    <t>Heat - Commercial</t>
  </si>
  <si>
    <t>7-2</t>
  </si>
  <si>
    <t>Total Final Consumption - By Carrier - Agriculture &amp; Other Industry</t>
  </si>
  <si>
    <t>Electricity - Distributed Solar PV</t>
  </si>
  <si>
    <t>Heat - Distributed Solar Thermal</t>
  </si>
  <si>
    <t>7-3</t>
  </si>
  <si>
    <t>Total Final Consumption - By Carrier - Services</t>
  </si>
  <si>
    <t>7-4</t>
  </si>
  <si>
    <t>Total Final Consumption - By Carrier - Passenger Transport - Ship</t>
  </si>
  <si>
    <t>7-5</t>
  </si>
  <si>
    <t>Total Final Consumption - By Carrier - Passenger Transport - Rail</t>
  </si>
  <si>
    <t>7-6</t>
  </si>
  <si>
    <t>Total Final Consumption - By Carrier - Passenger Transport - Road</t>
  </si>
  <si>
    <t>7-7</t>
  </si>
  <si>
    <t>Total Final Consumption - By Carrier - Passenger Transport - Air</t>
  </si>
  <si>
    <t>7-8</t>
  </si>
  <si>
    <t>Total Final Consumption - By Carrier - Freight Transport - Ship</t>
  </si>
  <si>
    <t>7-9</t>
  </si>
  <si>
    <t>Total Final Consumption - By Carrier - Freight Transport - Rail</t>
  </si>
  <si>
    <t>7-10</t>
  </si>
  <si>
    <t>Total Final Consumption - By Carrier - Freight Transport - Road</t>
  </si>
  <si>
    <t>7-11</t>
  </si>
  <si>
    <t>Total Final Consumption - By Carrier - Freight Transport - Air</t>
  </si>
  <si>
    <t>7-12</t>
  </si>
  <si>
    <t>Total Final Consumption - By Carrier - Residential - Heating &amp; Cooking</t>
  </si>
  <si>
    <t>7-13</t>
  </si>
  <si>
    <t>Total Final Consumption - By Carrier - Residential - Lighting &amp; Appliances</t>
  </si>
  <si>
    <t>7-14</t>
  </si>
  <si>
    <t>Total Final Consumption - By Carrier - Non Energy Use</t>
  </si>
  <si>
    <t>8-1</t>
  </si>
  <si>
    <t>Total Primary Energy - By Carrier - Oil</t>
  </si>
  <si>
    <t>8-2</t>
  </si>
  <si>
    <t>Total Primary Energy - By Carrier - Biofuels</t>
  </si>
  <si>
    <t>8-3</t>
  </si>
  <si>
    <t>Total Primary Energy - By Carrier - Natural Gas</t>
  </si>
  <si>
    <t>8-4</t>
  </si>
  <si>
    <t>Total Primary Energy - By Carrier - Coal</t>
  </si>
  <si>
    <t>8-5</t>
  </si>
  <si>
    <t>Total Primary Energy - By Carrier - Nuclear</t>
  </si>
  <si>
    <t>8-6</t>
  </si>
  <si>
    <t>Total Primary Energy - By Carrier - Hydro-electricity</t>
  </si>
  <si>
    <t>8-7</t>
  </si>
  <si>
    <t>Total Primary Energy - By Carrier - Solar</t>
  </si>
  <si>
    <t>8-8</t>
  </si>
  <si>
    <t>Total Primary Energy - By Carrier - Wind</t>
  </si>
  <si>
    <t>8-9</t>
  </si>
  <si>
    <t>Total Primary Energy - By Carrier - Other Renewables</t>
  </si>
  <si>
    <t>9-1</t>
  </si>
  <si>
    <t>Electricity Total Final Consumption - By Source</t>
  </si>
  <si>
    <t>9-2</t>
  </si>
  <si>
    <t>Electricity Total Final Consumption - By Sector - Total Electricity</t>
  </si>
  <si>
    <r>
      <t>Net CO</t>
    </r>
    <r>
      <rPr>
        <b/>
        <vertAlign val="subscript"/>
        <sz val="10"/>
        <color rgb="FF404040"/>
        <rFont val="Arial"/>
        <family val="2"/>
      </rPr>
      <t>2</t>
    </r>
    <r>
      <rPr>
        <b/>
        <sz val="10"/>
        <color rgb="FF404040"/>
        <rFont val="Arial"/>
        <family val="2"/>
      </rPr>
      <t xml:space="preserve"> Emissions - By Point of Emission</t>
    </r>
  </si>
  <si>
    <r>
      <t>Gt CO</t>
    </r>
    <r>
      <rPr>
        <b/>
        <vertAlign val="subscript"/>
        <sz val="10"/>
        <color theme="0"/>
        <rFont val="Arial"/>
        <family val="2"/>
      </rPr>
      <t>2</t>
    </r>
    <r>
      <rPr>
        <b/>
        <sz val="10"/>
        <color theme="0"/>
        <rFont val="Arial"/>
        <family val="2"/>
      </rPr>
      <t xml:space="preserve"> / year</t>
    </r>
  </si>
  <si>
    <t>Emissions Captured by CCS - By Point of Emission</t>
  </si>
  <si>
    <t>R7: WEO 2018 energy balance</t>
  </si>
  <si>
    <t>World_balance sheet</t>
  </si>
  <si>
    <t>World: New Policies Scenario</t>
  </si>
  <si>
    <t>World: Current Policies and Sustainable Development Scenarios</t>
  </si>
  <si>
    <r>
      <t xml:space="preserve">Energy demand </t>
    </r>
    <r>
      <rPr>
        <sz val="9"/>
        <color theme="0"/>
        <rFont val="Calibri"/>
        <family val="2"/>
        <scheme val="minor"/>
      </rPr>
      <t>(Mtoe)</t>
    </r>
  </si>
  <si>
    <r>
      <t xml:space="preserve">Shares </t>
    </r>
    <r>
      <rPr>
        <sz val="9"/>
        <color theme="0"/>
        <rFont val="Calibri"/>
        <family val="2"/>
        <scheme val="minor"/>
      </rPr>
      <t>(%)</t>
    </r>
  </si>
  <si>
    <r>
      <t xml:space="preserve">CAAGR </t>
    </r>
    <r>
      <rPr>
        <sz val="9"/>
        <color theme="0"/>
        <rFont val="Calibri"/>
        <family val="2"/>
        <scheme val="minor"/>
      </rPr>
      <t>(%)</t>
    </r>
  </si>
  <si>
    <t>2017e</t>
  </si>
  <si>
    <t>2017e-2040</t>
  </si>
  <si>
    <t>Sustainable Development Scenario</t>
  </si>
  <si>
    <t>TPED</t>
  </si>
  <si>
    <t>Power generation</t>
  </si>
  <si>
    <t>Other energy sector</t>
  </si>
  <si>
    <t xml:space="preserve">  Electricity</t>
  </si>
  <si>
    <t>TFC</t>
  </si>
  <si>
    <t xml:space="preserve">   Of which: bunkers</t>
  </si>
  <si>
    <t>Other fuels</t>
  </si>
  <si>
    <t>Buildings</t>
  </si>
  <si>
    <t xml:space="preserve">   Traditional biomass</t>
  </si>
  <si>
    <t xml:space="preserve">   Petrochem. feedstock</t>
  </si>
  <si>
    <t>R8: WEO 2016 energy balance</t>
  </si>
  <si>
    <t>World: Current Policies and 450 Scenarios</t>
  </si>
  <si>
    <t>2014-2040</t>
  </si>
  <si>
    <t xml:space="preserve">   Of which: Bunkers</t>
  </si>
  <si>
    <t xml:space="preserve">  Of which: Bunkers</t>
  </si>
  <si>
    <t>R9: WEO 2018 electricity generation, capacity, CO2</t>
  </si>
  <si>
    <t>World_Elec_CO2 sheet</t>
  </si>
  <si>
    <r>
      <t xml:space="preserve">Electricity generation </t>
    </r>
    <r>
      <rPr>
        <sz val="9"/>
        <color theme="0"/>
        <rFont val="Calibri"/>
        <family val="2"/>
        <scheme val="minor"/>
      </rPr>
      <t>(TWh)</t>
    </r>
  </si>
  <si>
    <t xml:space="preserve"> NPS   </t>
  </si>
  <si>
    <t>Total generation</t>
  </si>
  <si>
    <r>
      <t xml:space="preserve">Electrical capacity </t>
    </r>
    <r>
      <rPr>
        <sz val="9"/>
        <color theme="0"/>
        <rFont val="Calibri"/>
        <family val="2"/>
        <scheme val="minor"/>
      </rPr>
      <t>(GW)</t>
    </r>
  </si>
  <si>
    <t xml:space="preserve"> NPS</t>
  </si>
  <si>
    <t>Total capacity</t>
  </si>
  <si>
    <r>
      <t>CO</t>
    </r>
    <r>
      <rPr>
        <b/>
        <vertAlign val="subscript"/>
        <sz val="9"/>
        <color theme="0"/>
        <rFont val="Calibri"/>
        <family val="2"/>
        <scheme val="minor"/>
      </rPr>
      <t>2</t>
    </r>
    <r>
      <rPr>
        <b/>
        <sz val="9"/>
        <color theme="0"/>
        <rFont val="Calibri"/>
        <family val="2"/>
        <scheme val="minor"/>
      </rPr>
      <t xml:space="preserve"> emissions </t>
    </r>
    <r>
      <rPr>
        <sz val="9"/>
        <color theme="0"/>
        <rFont val="Calibri"/>
        <family val="2"/>
        <scheme val="minor"/>
      </rPr>
      <t>(Mt)</t>
    </r>
  </si>
  <si>
    <r>
      <t>Total CO</t>
    </r>
    <r>
      <rPr>
        <b/>
        <vertAlign val="subscript"/>
        <sz val="9"/>
        <color rgb="FF0070C0"/>
        <rFont val="Calibri"/>
        <family val="2"/>
        <scheme val="minor"/>
      </rPr>
      <t>2</t>
    </r>
  </si>
  <si>
    <r>
      <t>Total CO</t>
    </r>
    <r>
      <rPr>
        <b/>
        <vertAlign val="subscript"/>
        <sz val="9"/>
        <color theme="9" tint="-0.249977111117893"/>
        <rFont val="Calibri"/>
        <family val="2"/>
        <scheme val="minor"/>
      </rPr>
      <t>2</t>
    </r>
  </si>
  <si>
    <t xml:space="preserve">  Transport</t>
  </si>
  <si>
    <t>Indicators</t>
  </si>
  <si>
    <t>Population</t>
  </si>
  <si>
    <t>Share of World population</t>
  </si>
  <si>
    <t>n.a.</t>
  </si>
  <si>
    <t>GDP ($2017 billion, PPP)</t>
  </si>
  <si>
    <t>Share of World GDP</t>
  </si>
  <si>
    <t>GDP per capita ($2017, PPP)</t>
  </si>
  <si>
    <t>GDP ($2017 billion, MER)</t>
  </si>
  <si>
    <t>TPED/GDP (toe per $1000, PPP)</t>
  </si>
  <si>
    <t>TFC/GDP (toe per $1000, PPP)</t>
  </si>
  <si>
    <t>TPED per capita (toe)</t>
  </si>
  <si>
    <t>R10: WEO 2016 electricity generation, capacity, CO2</t>
  </si>
  <si>
    <t>R11: WEO 2016 carbon prices</t>
  </si>
  <si>
    <t>US$2015/tCO2</t>
  </si>
  <si>
    <t>Page 39 (53/684) in World Energy Outlook 2016 pdf</t>
  </si>
  <si>
    <t>Shaded cells are assumed values along CPS based on exclusion from the CO2 prices assumptions table</t>
  </si>
  <si>
    <t>Power, industry, aviation</t>
  </si>
  <si>
    <t>Korea</t>
  </si>
  <si>
    <t>Power, industry</t>
  </si>
  <si>
    <t>Chile</t>
  </si>
  <si>
    <t>United States, Canada, Japan, Korea, Australia, New Zealand</t>
  </si>
  <si>
    <t>China, Russia, Brazil, South Africa</t>
  </si>
  <si>
    <t>R12: Global EV Outlook 2017 stock</t>
  </si>
  <si>
    <t>Global EV Outlook 2017, IEA</t>
  </si>
  <si>
    <t>https://vivideconomics.sharepoint.com/:f:/s/projects/171211HSB/Egy3sgUZif1JgGa7Ek65VFUBbt7YRK0EPZTwrHOUcWq14w?e=WFbVGb</t>
  </si>
  <si>
    <t>Thousand vehicles</t>
  </si>
  <si>
    <t>Page 49 (51/71)</t>
  </si>
  <si>
    <t>Electric car stock (BEV and PHEV) by country, 2005 - 16</t>
  </si>
  <si>
    <t>France</t>
  </si>
  <si>
    <t>Germany</t>
  </si>
  <si>
    <t>Japan</t>
  </si>
  <si>
    <t>Netherlands</t>
  </si>
  <si>
    <t>Sweden</t>
  </si>
  <si>
    <t>United Kingdom</t>
  </si>
  <si>
    <t>Others</t>
  </si>
  <si>
    <t>R13: Global EV Outlook 2017 sales</t>
  </si>
  <si>
    <t>Page 50 (52/71)</t>
  </si>
  <si>
    <t>Electric car sales (BEV and PHEV) by country, 2005 - 16</t>
  </si>
  <si>
    <t>R14: Global EV Outlook 2017 scenario stock</t>
  </si>
  <si>
    <t>Page 25 (27/71)</t>
  </si>
  <si>
    <t>Electric vehicle stock by scenario</t>
  </si>
  <si>
    <t>R15: Global EV Outlook 2018 stock</t>
  </si>
  <si>
    <t>Global EV Outlook 2018, IEA</t>
  </si>
  <si>
    <t>Page 107 (104/139)</t>
  </si>
  <si>
    <t>Electric car stock (BEV and PHEV) by country, 2005 - 17</t>
  </si>
  <si>
    <t>Finland</t>
  </si>
  <si>
    <t>New Zealand</t>
  </si>
  <si>
    <t>Portugal</t>
  </si>
  <si>
    <t>Thailand</t>
  </si>
  <si>
    <t>R16: Global EV Outlook 2018 sales</t>
  </si>
  <si>
    <t>Page 109 (106/139)</t>
  </si>
  <si>
    <t>Electric car sales (BEV and PHEV) by country, 2005 - 17</t>
  </si>
  <si>
    <t>R17. BP Statistical Review 2018 oil production</t>
  </si>
  <si>
    <t>BP Statistical Review of World Energy 2018, All data spreadsheet</t>
  </si>
  <si>
    <t>https://vivideconomics.sharepoint.com/:f:/s/projects/171211HSB/EjE5tPPx8ypHja6oKpK2rgABk7zrruHIIAaeDbC5LRpJJg?e=u99pVZ</t>
  </si>
  <si>
    <t>thousand barrels daily</t>
  </si>
  <si>
    <t>Sheet is Oil Production - Barrels</t>
  </si>
  <si>
    <t>Oil production (thousand barrels per day)</t>
  </si>
  <si>
    <t>Growth rate per annum</t>
  </si>
  <si>
    <t>Share</t>
  </si>
  <si>
    <t>Thousand barrels daily</t>
  </si>
  <si>
    <t>2006-16</t>
  </si>
  <si>
    <t>US</t>
  </si>
  <si>
    <t>Total North America</t>
  </si>
  <si>
    <t>Peru</t>
  </si>
  <si>
    <t>Trinidad &amp; Tobago</t>
  </si>
  <si>
    <t>Other S. &amp; Cent. America</t>
  </si>
  <si>
    <t>Total S. &amp; Cent. America</t>
  </si>
  <si>
    <t>Denmark</t>
  </si>
  <si>
    <t>n/a</t>
  </si>
  <si>
    <t>Italy</t>
  </si>
  <si>
    <t>Romania</t>
  </si>
  <si>
    <t>Other Europe</t>
  </si>
  <si>
    <t>Total Europe</t>
  </si>
  <si>
    <t>Russian Federation</t>
  </si>
  <si>
    <t>USSR</t>
  </si>
  <si>
    <t>Uzbekistan</t>
  </si>
  <si>
    <t>Other CIS</t>
  </si>
  <si>
    <t>Total CIS</t>
  </si>
  <si>
    <t>Oman</t>
  </si>
  <si>
    <t>Syria</t>
  </si>
  <si>
    <t>Yemen</t>
  </si>
  <si>
    <t>Other Middle East</t>
  </si>
  <si>
    <t>Total Middle East</t>
  </si>
  <si>
    <t>Chad</t>
  </si>
  <si>
    <t xml:space="preserve">Republic of Congo </t>
  </si>
  <si>
    <t>Egypt</t>
  </si>
  <si>
    <t>South Sudan</t>
  </si>
  <si>
    <t>Sudan</t>
  </si>
  <si>
    <t>Tunisia</t>
  </si>
  <si>
    <t>Other Africa</t>
  </si>
  <si>
    <t>Total Africa</t>
  </si>
  <si>
    <t>Brunei</t>
  </si>
  <si>
    <t>Malaysia</t>
  </si>
  <si>
    <t>Vietnam</t>
  </si>
  <si>
    <t>Other Asia Pacific</t>
  </si>
  <si>
    <t>Total Asia Pacific</t>
  </si>
  <si>
    <t>Total World</t>
  </si>
  <si>
    <t>of which: OECD</t>
  </si>
  <si>
    <t xml:space="preserve">                 Non-OECD</t>
  </si>
  <si>
    <t xml:space="preserve">                 OPEC</t>
  </si>
  <si>
    <t xml:space="preserve">                 Non-OPEC </t>
  </si>
  <si>
    <t xml:space="preserve">                 European Union #</t>
  </si>
  <si>
    <t xml:space="preserve"> * Includes crude oil, shale oil, oil sands and NGLs (natural gas liquids - the liquid content of natural gas where this is recovered separately).</t>
  </si>
  <si>
    <t xml:space="preserve">  Excludes liquid fuels from other sources such as biomass and derivatives of coal and natural gas.</t>
  </si>
  <si>
    <t xml:space="preserve"> ^ Less than 0.05.</t>
  </si>
  <si>
    <r>
      <t>w</t>
    </r>
    <r>
      <rPr>
        <sz val="8"/>
        <rFont val="Arial"/>
        <family val="2"/>
      </rPr>
      <t xml:space="preserve"> Less than 0.05%.</t>
    </r>
  </si>
  <si>
    <t>n/a not available.</t>
  </si>
  <si>
    <t>USSR includes Georgia and the Baltic States.</t>
  </si>
  <si>
    <t xml:space="preserve"> # Excludes Estonia, Latvia and Lithuania prior to 1985 and Croatia and Slovenia prior to 1990.</t>
  </si>
  <si>
    <t xml:space="preserve">Note: Annual changes and shares of total are calculated using thousand barrels daily figures. </t>
  </si>
  <si>
    <t>R18. BP Statistical Review 2018 gas production</t>
  </si>
  <si>
    <t>billion cubic metres</t>
  </si>
  <si>
    <t>Sheet is Gas Production - Bcm</t>
  </si>
  <si>
    <t>Gas production (bcm)</t>
  </si>
  <si>
    <t>Billion cubic metres</t>
  </si>
  <si>
    <t>Bolivia</t>
  </si>
  <si>
    <t>Poland</t>
  </si>
  <si>
    <t>Ukraine</t>
  </si>
  <si>
    <t>Bahrain</t>
  </si>
  <si>
    <t>Bangladesh</t>
  </si>
  <si>
    <t>Myanmar</t>
  </si>
  <si>
    <t>Pakistan</t>
  </si>
  <si>
    <t xml:space="preserve"> * Excludes gas flared or recycled. Includes natural gas produced for Gas-to-Liquids transformation.</t>
  </si>
  <si>
    <t>Source: Includes data from Cedigaz.</t>
  </si>
  <si>
    <t xml:space="preserve"> n/a not available.</t>
  </si>
  <si>
    <r>
      <rPr>
        <b/>
        <sz val="8"/>
        <rFont val="Arial"/>
        <family val="2"/>
      </rPr>
      <t>Notes:</t>
    </r>
    <r>
      <rPr>
        <sz val="8"/>
        <rFont val="Arial"/>
        <family val="2"/>
      </rPr>
      <t xml:space="preserve"> As far as possible, the data above represent standard cubic metres (measured at 15oC and 1013 mbar); as they are derived directly from tonnes</t>
    </r>
  </si>
  <si>
    <t xml:space="preserve">of oil equivalent using an average conversion factor and have been standardized using a Gross Calorific Value (GCV) of 40 MJ/m3, </t>
  </si>
  <si>
    <t>they do not necessarily equate with gas volumes expressed in specific national terms.</t>
  </si>
  <si>
    <t>Annual changes and shares of total are calculated using billion cubic metres figures.</t>
  </si>
  <si>
    <t>Growth rates are adjusted for leap years.</t>
  </si>
  <si>
    <t>Million tonnes of coal equivalent</t>
  </si>
  <si>
    <t>Sheet is Coal Production - Tonnes</t>
  </si>
  <si>
    <t>Coal production (million tonnes coal equivalent)</t>
  </si>
  <si>
    <t xml:space="preserve">Million tonnes </t>
  </si>
  <si>
    <t>Bulgaria</t>
  </si>
  <si>
    <t>Czech Republic</t>
  </si>
  <si>
    <t>Greece</t>
  </si>
  <si>
    <t>Hungary</t>
  </si>
  <si>
    <t>Serbia</t>
  </si>
  <si>
    <t>Spain</t>
  </si>
  <si>
    <t>Turkey</t>
  </si>
  <si>
    <t>Zimbabwe</t>
  </si>
  <si>
    <t>Mongolia</t>
  </si>
  <si>
    <t>South Korea</t>
  </si>
  <si>
    <t xml:space="preserve"> * Commercial solid fuels only, i.e. bituminous coal and anthracite (hard coal), and lignite and brown (sub-bituminous) coal, and other commercial solid fuels. Includes coal produced for Coal-to-Liquids and Coal-to-Gas transformations.</t>
  </si>
  <si>
    <t>Notes: Annual changes and shares of total are calculated using million tonnes figures.</t>
  </si>
  <si>
    <t>O6. Total renewable capacity</t>
  </si>
  <si>
    <t>Ratio of WEO CPS to TIAM 0A scenario in constructed 2016 values</t>
  </si>
  <si>
    <t>TIAM values highlighted in yellow involve bespoke assumptions beingn made to the original outputs - largely set equal to WEO NPS - 2030 values include the addition of the difference between Vivid Paris and WEO NPS</t>
  </si>
  <si>
    <t>Categorisation</t>
  </si>
  <si>
    <t>Parameter:</t>
  </si>
  <si>
    <t>Scaling factor between 2030 WEO NPS renewable capacity and 2030 TIAM NDCs renewable capacity</t>
  </si>
  <si>
    <t>R19. BP Statistical Review 2018 coal production</t>
  </si>
  <si>
    <t>W22. Carbon prices (public data processing)</t>
  </si>
  <si>
    <t>Aggregates carbon prices to Vivid categories (if relevant) and interpolates / extrapolates across model years</t>
  </si>
  <si>
    <t>US$/tCO2</t>
  </si>
  <si>
    <t>ICEs (bn pass km)</t>
  </si>
  <si>
    <t>Other (bn pass km)</t>
  </si>
  <si>
    <t>ICEs (mn vehicles)</t>
  </si>
  <si>
    <t>Other (mn vehicles)</t>
  </si>
  <si>
    <t>Total (mn vehicles)</t>
  </si>
  <si>
    <t>Other low-carbon</t>
  </si>
  <si>
    <t>O7. EV fleet</t>
  </si>
  <si>
    <t>O11. EV deployment</t>
  </si>
  <si>
    <t>EV deployment by year</t>
  </si>
  <si>
    <t>Base capacity</t>
  </si>
  <si>
    <t>LB year</t>
  </si>
  <si>
    <t>UB year</t>
  </si>
  <si>
    <t>Delta total capacity</t>
  </si>
  <si>
    <t>Replacement capacity</t>
  </si>
  <si>
    <t>EV sales</t>
  </si>
  <si>
    <t>$B$8:$B$650</t>
  </si>
  <si>
    <t>$C$8:$C$650</t>
  </si>
  <si>
    <t>$B$8:$B$630</t>
  </si>
  <si>
    <t>$C$8:$C$630</t>
  </si>
  <si>
    <t>$D$8:$D$630</t>
  </si>
  <si>
    <t>$B$8:$B$5000</t>
  </si>
  <si>
    <t>$C$8:$C$5000</t>
  </si>
  <si>
    <t>$D$8:$D$5000</t>
  </si>
  <si>
    <t>Vivid_5v2</t>
  </si>
  <si>
    <t>Replacing Vivid_36 with Vivid_5v2 in lookup tables</t>
  </si>
  <si>
    <t>5v2</t>
  </si>
  <si>
    <t>Current 2DS, 2020 start, 'Expect the unexpceted' but with expensive renewables (cheap CCS)</t>
  </si>
  <si>
    <t>Renewables EXPENSIVE / cheap CCS</t>
  </si>
  <si>
    <t>$B$8:$B$700</t>
  </si>
  <si>
    <t>$C$8:$C$700</t>
  </si>
  <si>
    <t>O2a. Carbon prices with regional variation</t>
  </si>
  <si>
    <t>Figure of carbon prices in the 'lack of coordination' scenario</t>
  </si>
  <si>
    <t>Figure of carbon prices across TIAM scenarios</t>
  </si>
  <si>
    <t>W15, W22, R1, R2a</t>
  </si>
  <si>
    <t>All carbon prices are implicit carbon prices under the scenario, relative to BAU and are calculated by differencing the TIAM carbon price under the scenario from the BAU / No Policy Action carbon price (see W15 for more details) - WEO 2016 carbon prices provided purely for reference purposes</t>
  </si>
  <si>
    <t>Regional variation factors are taken from the old TIAM scenarios spreadsheet - convergence year is assumed to be 2055</t>
  </si>
  <si>
    <t>Lack of coordination</t>
  </si>
  <si>
    <t>Global</t>
  </si>
  <si>
    <t>Regional 'lack of coordination' factors</t>
  </si>
  <si>
    <t>R2a: Regional variation in carbon prices weights</t>
  </si>
  <si>
    <t>https://vivideconomics.sharepoint.com/:x:/s/projects/171211HSB/EcDViT9xU41Bl7tzW2Mys7oBcB6KYtrHWITcVZBCGdpIsQ?e=urU225</t>
  </si>
  <si>
    <t>Source is set of inputs to the data cleaning process; sheet = W3 top range (C7:G14)</t>
  </si>
  <si>
    <t>Combined CO2 price (EUR 2015 /tCO2)</t>
  </si>
  <si>
    <t>Ratios</t>
  </si>
  <si>
    <t>Region code</t>
  </si>
  <si>
    <t>CO2 price full regions</t>
  </si>
  <si>
    <t>CO2 price developed and developing regions</t>
  </si>
  <si>
    <t>Ratio full regions</t>
  </si>
  <si>
    <t>Ratio developed and developing regions</t>
  </si>
  <si>
    <t>NAM</t>
  </si>
  <si>
    <t>LAM</t>
  </si>
  <si>
    <t>EUR</t>
  </si>
  <si>
    <t>ASI</t>
  </si>
  <si>
    <t>AFR</t>
  </si>
  <si>
    <t>Africa &amp; ME</t>
  </si>
  <si>
    <t>AUS</t>
  </si>
  <si>
    <t>Australasia</t>
  </si>
  <si>
    <t>Aggregate</t>
  </si>
  <si>
    <t>Raw data read in</t>
  </si>
  <si>
    <t>Extrapolated so factors imply convergence by 2055</t>
  </si>
  <si>
    <t>Weights</t>
  </si>
  <si>
    <t>What do we do about the lack of coordination scenario? The difference is only on carbon prices so perhaps we just explicitly say this…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</si>
</sst>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_-* #,##0.00_-;\-* #,##0.00_-;_-* &quot;-&quot;??_-;_-@_-"/>
    <numFmt numFmtId="165" formatCode="0.0"/>
    <numFmt numFmtId="166" formatCode="0.0%"/>
    <numFmt numFmtId="167" formatCode="#,##0.0000"/>
    <numFmt numFmtId="168" formatCode="###0\ ;\-###0\ ;\-\ "/>
    <numFmt numFmtId="169" formatCode="###0&quot;e&quot;\ ;\-###0\ ;\-\ "/>
    <numFmt numFmtId="170" formatCode="#\ ##0\ ;\-#\ ##0\ ;\-\ "/>
    <numFmt numFmtId="171" formatCode="0\ ;\-0\ ;\-\ "/>
    <numFmt numFmtId="172" formatCode="0.0\ ;\-0.0\ ;\-\ "/>
    <numFmt numFmtId="173" formatCode="#\ ##0.0;\-#\ ##0.0;\-"/>
    <numFmt numFmtId="174" formatCode="0\ \ ;\-0\ \ ;\-\ \ "/>
    <numFmt numFmtId="175" formatCode="0.0;\-0.0;\-"/>
    <numFmt numFmtId="176" formatCode="##\ ##0.0;\-##\ ##0.0;\-"/>
    <numFmt numFmtId="177" formatCode="#\ ##0"/>
    <numFmt numFmtId="178" formatCode="0\ "/>
    <numFmt numFmtId="179" formatCode="0.0\ \ ;\-0.0\ \ ;\-\ \ "/>
    <numFmt numFmtId="180" formatCode="0;\-0;\-"/>
    <numFmt numFmtId="181" formatCode="#\ ##0;\-#\ ##0;\-"/>
    <numFmt numFmtId="182" formatCode="0.000"/>
    <numFmt numFmtId="183" formatCode="[&gt;0.5]0;[=0]\-;\^"/>
    <numFmt numFmtId="184" formatCode="[&lt;-0.0005]\-0.0%;[&gt;0.0005]0.0%;#\♦"/>
    <numFmt numFmtId="185" formatCode="[&gt;0.05]0.0;[=0]\-;\^"/>
  </numFmts>
  <fonts count="8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9"/>
      <name val="Geneva"/>
      <family val="2"/>
    </font>
    <font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8"/>
      <color indexed="8"/>
      <name val="Arial"/>
      <family val="2"/>
    </font>
    <font>
      <sz val="6"/>
      <name val="Arial"/>
      <family val="2"/>
    </font>
    <font>
      <sz val="7"/>
      <color indexed="8"/>
      <name val="Arial"/>
      <family val="2"/>
    </font>
    <font>
      <b/>
      <sz val="7"/>
      <color indexed="9"/>
      <name val="Arial"/>
      <family val="2"/>
    </font>
    <font>
      <sz val="6.5"/>
      <name val="Arial"/>
      <family val="2"/>
    </font>
    <font>
      <b/>
      <sz val="8.5"/>
      <color indexed="50"/>
      <name val="Arial"/>
      <family val="2"/>
    </font>
    <font>
      <b/>
      <sz val="7"/>
      <name val="Arial"/>
      <family val="2"/>
    </font>
    <font>
      <sz val="14"/>
      <color indexed="50"/>
      <name val="Arial"/>
      <family val="2"/>
    </font>
    <font>
      <sz val="11"/>
      <color indexed="8"/>
      <name val="Calibri"/>
      <family val="2"/>
    </font>
    <font>
      <b/>
      <sz val="2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6"/>
      <color indexed="9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b/>
      <sz val="8.5"/>
      <color theme="0"/>
      <name val="Calibri"/>
      <family val="2"/>
      <scheme val="minor"/>
    </font>
    <font>
      <sz val="8.5"/>
      <color theme="0"/>
      <name val="Calibri"/>
      <family val="2"/>
      <scheme val="minor"/>
    </font>
    <font>
      <b/>
      <sz val="8.5"/>
      <name val="Calibri"/>
      <family val="2"/>
      <scheme val="minor"/>
    </font>
    <font>
      <sz val="8.5"/>
      <color rgb="FFEBF7FF"/>
      <name val="Calibri"/>
      <family val="2"/>
      <scheme val="minor"/>
    </font>
    <font>
      <sz val="8.5"/>
      <name val="Calibri"/>
      <family val="2"/>
      <scheme val="minor"/>
    </font>
    <font>
      <i/>
      <sz val="8.5"/>
      <name val="Calibri"/>
      <family val="2"/>
      <scheme val="minor"/>
    </font>
    <font>
      <sz val="8.5"/>
      <color theme="0" tint="-0.499984740745262"/>
      <name val="Calibri"/>
      <family val="2"/>
      <scheme val="minor"/>
    </font>
    <font>
      <sz val="8"/>
      <name val="Calibri"/>
      <family val="2"/>
      <scheme val="minor"/>
    </font>
    <font>
      <sz val="8.5"/>
      <color rgb="FF0070C0"/>
      <name val="Calibri"/>
      <family val="2"/>
      <scheme val="minor"/>
    </font>
    <font>
      <sz val="8.5"/>
      <color theme="9" tint="-0.249977111117893"/>
      <name val="Calibri"/>
      <family val="2"/>
      <scheme val="minor"/>
    </font>
    <font>
      <i/>
      <sz val="8.5"/>
      <color theme="0" tint="-0.499984740745262"/>
      <name val="Calibri"/>
      <family val="2"/>
      <scheme val="minor"/>
    </font>
    <font>
      <b/>
      <sz val="8.5"/>
      <color rgb="FF0070C0"/>
      <name val="Calibri"/>
      <family val="2"/>
      <scheme val="minor"/>
    </font>
    <font>
      <b/>
      <sz val="8.5"/>
      <color theme="9" tint="-0.249977111117893"/>
      <name val="Calibri"/>
      <family val="2"/>
      <scheme val="minor"/>
    </font>
    <font>
      <sz val="8.5"/>
      <color theme="1"/>
      <name val="Calibri"/>
      <family val="2"/>
      <scheme val="minor"/>
    </font>
    <font>
      <i/>
      <sz val="8"/>
      <name val="Calibri"/>
      <family val="2"/>
      <scheme val="minor"/>
    </font>
    <font>
      <i/>
      <sz val="8"/>
      <name val="Calibri"/>
      <family val="2"/>
    </font>
    <font>
      <sz val="8"/>
      <name val="Calibri"/>
      <family val="2"/>
    </font>
    <font>
      <b/>
      <sz val="18"/>
      <color indexed="9"/>
      <name val="Calibri"/>
      <family val="2"/>
    </font>
    <font>
      <sz val="18"/>
      <color indexed="9"/>
      <name val="Calibri"/>
      <family val="2"/>
    </font>
    <font>
      <sz val="8.5"/>
      <name val="Calibri"/>
      <family val="2"/>
    </font>
    <font>
      <b/>
      <sz val="8.5"/>
      <color indexed="9"/>
      <name val="Calibri"/>
      <family val="2"/>
    </font>
    <font>
      <b/>
      <sz val="22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rgb="FF404040"/>
      <name val="Arial"/>
      <family val="2"/>
    </font>
    <font>
      <b/>
      <sz val="10"/>
      <color theme="1"/>
      <name val="Times New Roman"/>
      <family val="1"/>
    </font>
    <font>
      <b/>
      <sz val="10"/>
      <color theme="0"/>
      <name val="Arial"/>
      <family val="2"/>
    </font>
    <font>
      <b/>
      <sz val="10"/>
      <color rgb="FF404040"/>
      <name val="Arial"/>
      <family val="2"/>
    </font>
    <font>
      <b/>
      <sz val="9"/>
      <color theme="0"/>
      <name val="Arial"/>
      <family val="2"/>
    </font>
    <font>
      <b/>
      <sz val="9"/>
      <color rgb="FF404040"/>
      <name val="Arial"/>
      <family val="2"/>
    </font>
    <font>
      <b/>
      <vertAlign val="subscript"/>
      <sz val="10"/>
      <color rgb="FF404040"/>
      <name val="Arial"/>
      <family val="2"/>
    </font>
    <font>
      <b/>
      <vertAlign val="subscript"/>
      <sz val="10"/>
      <color theme="0"/>
      <name val="Arial"/>
      <family val="2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b/>
      <vertAlign val="subscript"/>
      <sz val="9"/>
      <color theme="0"/>
      <name val="Calibri"/>
      <family val="2"/>
      <scheme val="minor"/>
    </font>
    <font>
      <b/>
      <vertAlign val="subscript"/>
      <sz val="9"/>
      <color rgb="FF0070C0"/>
      <name val="Calibri"/>
      <family val="2"/>
      <scheme val="minor"/>
    </font>
    <font>
      <b/>
      <vertAlign val="subscript"/>
      <sz val="9"/>
      <color theme="9" tint="-0.249977111117893"/>
      <name val="Calibri"/>
      <family val="2"/>
      <scheme val="minor"/>
    </font>
    <font>
      <sz val="9"/>
      <color rgb="FF0070C0"/>
      <name val="Calibri"/>
      <family val="2"/>
      <scheme val="minor"/>
    </font>
    <font>
      <sz val="9"/>
      <color theme="9" tint="-0.249977111117893"/>
      <name val="Calibri"/>
      <family val="2"/>
      <scheme val="minor"/>
    </font>
    <font>
      <b/>
      <sz val="8"/>
      <name val="Arial"/>
      <family val="2"/>
    </font>
    <font>
      <sz val="8"/>
      <name val="Wingdings"/>
      <charset val="2"/>
    </font>
  </fonts>
  <fills count="3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499984740745262"/>
        <bgColor indexed="64"/>
      </patternFill>
    </fill>
    <fill>
      <patternFill patternType="solid">
        <fgColor theme="4" tint="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34998626667073579"/>
        <bgColor indexed="8"/>
      </patternFill>
    </fill>
    <fill>
      <patternFill patternType="solid">
        <fgColor indexed="9"/>
        <bgColor indexed="8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EDF2F7"/>
        <bgColor indexed="64"/>
      </patternFill>
    </fill>
    <fill>
      <patternFill patternType="solid">
        <fgColor theme="0" tint="-0.14999847407452621"/>
        <bgColor indexed="8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23"/>
        <bgColor indexed="8"/>
      </patternFill>
    </fill>
    <fill>
      <patternFill patternType="solid">
        <fgColor theme="3" tint="0.59999389629810485"/>
        <bgColor indexed="8"/>
      </patternFill>
    </fill>
    <fill>
      <patternFill patternType="solid">
        <fgColor theme="7"/>
        <bgColor indexed="64"/>
      </patternFill>
    </fill>
    <fill>
      <patternFill patternType="solid">
        <fgColor theme="7" tint="0.249977111117893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003C88"/>
        <bgColor indexed="64"/>
      </patternFill>
    </fill>
    <fill>
      <patternFill patternType="solid">
        <fgColor rgb="FFB2C4DB"/>
        <bgColor indexed="64"/>
      </patternFill>
    </fill>
    <fill>
      <patternFill patternType="solid">
        <fgColor rgb="FFCCD8E7"/>
        <bgColor indexed="64"/>
      </patternFill>
    </fill>
    <fill>
      <patternFill patternType="solid">
        <fgColor rgb="FFE5EBF3"/>
        <bgColor indexed="64"/>
      </patternFill>
    </fill>
    <fill>
      <patternFill patternType="solid">
        <fgColor rgb="FFFBCE07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89999084444715716"/>
        <bgColor indexed="64"/>
      </patternFill>
    </fill>
    <fill>
      <patternFill patternType="solid">
        <fgColor rgb="FFFFFF00"/>
        <bgColor indexed="64"/>
      </patternFill>
    </fill>
  </fills>
  <borders count="11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0070C0"/>
      </left>
      <right/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rgb="FF0070C0"/>
      </right>
      <top/>
      <bottom style="thin">
        <color theme="0"/>
      </bottom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 style="thin">
        <color theme="0"/>
      </bottom>
      <diagonal/>
    </border>
    <border>
      <left/>
      <right style="thin">
        <color rgb="FF0070C0"/>
      </right>
      <top/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9" tint="-0.24994659260841701"/>
      </right>
      <top style="thin">
        <color theme="0"/>
      </top>
      <bottom/>
      <diagonal/>
    </border>
    <border>
      <left/>
      <right/>
      <top/>
      <bottom style="thin">
        <color theme="3" tint="-0.249977111117893"/>
      </bottom>
      <diagonal/>
    </border>
    <border>
      <left/>
      <right style="thin">
        <color theme="3" tint="0.59996337778862885"/>
      </right>
      <top/>
      <bottom style="thin">
        <color theme="3" tint="-0.249977111117893"/>
      </bottom>
      <diagonal/>
    </border>
    <border>
      <left style="thin">
        <color theme="9"/>
      </left>
      <right/>
      <top/>
      <bottom style="thin">
        <color theme="5" tint="-0.499984740745262"/>
      </bottom>
      <diagonal/>
    </border>
    <border>
      <left/>
      <right style="thin">
        <color theme="9"/>
      </right>
      <top/>
      <bottom style="thin">
        <color theme="5" tint="-0.499984740745262"/>
      </bottom>
      <diagonal/>
    </border>
    <border>
      <left style="thin">
        <color theme="3" tint="-0.249977111117893"/>
      </left>
      <right/>
      <top style="thin">
        <color theme="3" tint="-0.249977111117893"/>
      </top>
      <bottom style="thin">
        <color theme="3" tint="-0.249977111117893"/>
      </bottom>
      <diagonal/>
    </border>
    <border>
      <left/>
      <right/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 style="thin">
        <color theme="5" tint="-0.499984740745262"/>
      </left>
      <right/>
      <top style="thin">
        <color theme="5" tint="-0.499984740745262"/>
      </top>
      <bottom style="thin">
        <color theme="5" tint="-0.499984740745262"/>
      </bottom>
      <diagonal/>
    </border>
    <border>
      <left/>
      <right/>
      <top style="thin">
        <color theme="5" tint="-0.499984740745262"/>
      </top>
      <bottom style="thin">
        <color theme="5" tint="-0.499984740745262"/>
      </bottom>
      <diagonal/>
    </border>
    <border>
      <left/>
      <right style="thin">
        <color theme="5" tint="-0.499984740745262"/>
      </right>
      <top style="thin">
        <color theme="5" tint="-0.499984740745262"/>
      </top>
      <bottom style="thin">
        <color theme="5" tint="-0.499984740745262"/>
      </bottom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0691854609822"/>
      </right>
      <top/>
      <bottom/>
      <diagonal/>
    </border>
    <border>
      <left/>
      <right/>
      <top style="thin">
        <color rgb="FF0070C0"/>
      </top>
      <bottom/>
      <diagonal/>
    </border>
    <border>
      <left style="thin">
        <color theme="0" tint="-0.14993743705557422"/>
      </left>
      <right/>
      <top style="thin">
        <color rgb="FF0070C0"/>
      </top>
      <bottom/>
      <diagonal/>
    </border>
    <border>
      <left/>
      <right style="thin">
        <color theme="0" tint="-0.14990691854609822"/>
      </right>
      <top style="thin">
        <color rgb="FF0070C0"/>
      </top>
      <bottom/>
      <diagonal/>
    </border>
    <border>
      <left/>
      <right/>
      <top style="thin">
        <color theme="9" tint="-0.24994659260841701"/>
      </top>
      <bottom/>
      <diagonal/>
    </border>
    <border>
      <left/>
      <right/>
      <top/>
      <bottom style="thin">
        <color theme="9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/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 style="thin">
        <color theme="4" tint="0.79995117038483843"/>
      </bottom>
      <diagonal/>
    </border>
    <border>
      <left/>
      <right style="thin">
        <color theme="0" tint="-0.1499069185460982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4" tint="0.79995117038483843"/>
      </bottom>
      <diagonal/>
    </border>
    <border>
      <left style="thin">
        <color theme="9" tint="0.59996337778862885"/>
      </left>
      <right/>
      <top style="thin">
        <color theme="9"/>
      </top>
      <bottom/>
      <diagonal/>
    </border>
    <border>
      <left/>
      <right style="thin">
        <color theme="9" tint="0.59996337778862885"/>
      </right>
      <top style="thin">
        <color theme="9"/>
      </top>
      <bottom/>
      <diagonal/>
    </border>
    <border>
      <left style="thin">
        <color theme="9" tint="0.59996337778862885"/>
      </left>
      <right/>
      <top/>
      <bottom style="thin">
        <color theme="9"/>
      </bottom>
      <diagonal/>
    </border>
    <border>
      <left/>
      <right style="thin">
        <color theme="9" tint="0.59996337778862885"/>
      </right>
      <top/>
      <bottom style="thin">
        <color theme="9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9" tint="0.59996337778862885"/>
      </bottom>
      <diagonal/>
    </border>
    <border>
      <left/>
      <right/>
      <top style="thin">
        <color theme="9"/>
      </top>
      <bottom style="thin">
        <color theme="9" tint="0.59996337778862885"/>
      </bottom>
      <diagonal/>
    </border>
    <border>
      <left/>
      <right style="thin">
        <color theme="9" tint="0.59996337778862885"/>
      </right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theme="3" tint="0.79998168889431442"/>
      </bottom>
      <diagonal/>
    </border>
    <border>
      <left style="thin">
        <color theme="0" tint="-0.14993743705557422"/>
      </left>
      <right/>
      <top/>
      <bottom style="thin">
        <color theme="3" tint="0.79998168889431442"/>
      </bottom>
      <diagonal/>
    </border>
    <border>
      <left/>
      <right style="thin">
        <color theme="0" tint="-0.14990691854609822"/>
      </right>
      <top/>
      <bottom style="thin">
        <color theme="3" tint="0.79998168889431442"/>
      </bottom>
      <diagonal/>
    </border>
    <border>
      <left/>
      <right/>
      <top/>
      <bottom style="thin">
        <color theme="9" tint="0.59999389629810485"/>
      </bottom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0" tint="-0.14993743705557422"/>
      </left>
      <right/>
      <top/>
      <bottom style="thin">
        <color theme="3" tint="0.39997558519241921"/>
      </bottom>
      <diagonal/>
    </border>
    <border>
      <left/>
      <right style="thin">
        <color theme="0" tint="-0.14990691854609822"/>
      </right>
      <top/>
      <bottom style="thin">
        <color theme="3" tint="0.39997558519241921"/>
      </bottom>
      <diagonal/>
    </border>
    <border>
      <left style="thin">
        <color theme="4" tint="0.79998168889431442"/>
      </left>
      <right/>
      <top style="thin">
        <color theme="3" tint="0.39997558519241921"/>
      </top>
      <bottom style="thin">
        <color theme="3" tint="-0.249977111117893"/>
      </bottom>
      <diagonal/>
    </border>
    <border>
      <left/>
      <right/>
      <top style="thin">
        <color theme="3" tint="0.39997558519241921"/>
      </top>
      <bottom/>
      <diagonal/>
    </border>
    <border>
      <left/>
      <right style="thin">
        <color theme="0" tint="-0.14990691854609822"/>
      </right>
      <top style="thin">
        <color theme="3" tint="0.39997558519241921"/>
      </top>
      <bottom/>
      <diagonal/>
    </border>
    <border>
      <left style="thin">
        <color theme="0" tint="-0.14990691854609822"/>
      </left>
      <right style="thin">
        <color theme="4" tint="0.79998168889431442"/>
      </right>
      <top style="thin">
        <color theme="3" tint="0.39997558519241921"/>
      </top>
      <bottom style="thin">
        <color theme="3" tint="-0.249977111117893"/>
      </bottom>
      <diagonal/>
    </border>
    <border>
      <left style="thin">
        <color theme="9" tint="0.59996337778862885"/>
      </left>
      <right/>
      <top style="thin">
        <color theme="9"/>
      </top>
      <bottom style="thin">
        <color theme="5" tint="-0.499984740745262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 tint="0.59996337778862885"/>
      </right>
      <top style="thin">
        <color theme="9"/>
      </top>
      <bottom style="thin">
        <color theme="5" tint="-0.499984740745262"/>
      </bottom>
      <diagonal/>
    </border>
    <border>
      <left/>
      <right/>
      <top/>
      <bottom style="thin">
        <color theme="9" tint="0.59996337778862885"/>
      </bottom>
      <diagonal/>
    </border>
    <border>
      <left/>
      <right/>
      <top/>
      <bottom style="medium">
        <color indexed="30"/>
      </bottom>
      <diagonal/>
    </border>
    <border>
      <left style="thin">
        <color theme="0" tint="-0.14993743705557422"/>
      </left>
      <right/>
      <top style="thin">
        <color theme="3" tint="0.39997558519241921"/>
      </top>
      <bottom/>
      <diagonal/>
    </border>
    <border>
      <left style="medium">
        <color theme="0"/>
      </left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 style="thin">
        <color rgb="FF404040"/>
      </bottom>
      <diagonal/>
    </border>
    <border>
      <left/>
      <right/>
      <top style="thick">
        <color theme="0"/>
      </top>
      <bottom/>
      <diagonal/>
    </border>
    <border>
      <left style="thin">
        <color rgb="FF404040"/>
      </left>
      <right style="thin">
        <color rgb="FF404040"/>
      </right>
      <top style="thin">
        <color rgb="FF404040"/>
      </top>
      <bottom style="thin">
        <color rgb="FF404040"/>
      </bottom>
      <diagonal/>
    </border>
    <border>
      <left style="thin">
        <color rgb="FF404040"/>
      </left>
      <right style="thin">
        <color rgb="FF404040"/>
      </right>
      <top/>
      <bottom style="thin">
        <color rgb="FF404040"/>
      </bottom>
      <diagonal/>
    </border>
    <border>
      <left style="thin">
        <color rgb="FF404040"/>
      </left>
      <right style="thick">
        <color rgb="FF404040"/>
      </right>
      <top/>
      <bottom style="thin">
        <color rgb="FF404040"/>
      </bottom>
      <diagonal/>
    </border>
    <border>
      <left/>
      <right style="thin">
        <color rgb="FF404040"/>
      </right>
      <top/>
      <bottom style="thin">
        <color rgb="FF404040"/>
      </bottom>
      <diagonal/>
    </border>
    <border>
      <left style="thin">
        <color rgb="FF404040"/>
      </left>
      <right style="thick">
        <color rgb="FF404040"/>
      </right>
      <top style="thin">
        <color rgb="FF404040"/>
      </top>
      <bottom style="thin">
        <color rgb="FF404040"/>
      </bottom>
      <diagonal/>
    </border>
    <border>
      <left/>
      <right style="thin">
        <color rgb="FF404040"/>
      </right>
      <top style="thin">
        <color rgb="FF404040"/>
      </top>
      <bottom style="thin">
        <color rgb="FF40404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/>
      <bottom style="thin">
        <color rgb="FF404040"/>
      </bottom>
      <diagonal/>
    </border>
    <border>
      <left/>
      <right style="thin">
        <color theme="4" tint="0.59996337778862885"/>
      </right>
      <top/>
      <bottom/>
      <diagonal/>
    </border>
    <border>
      <left/>
      <right style="thin">
        <color rgb="FFFF9900"/>
      </right>
      <top/>
      <bottom/>
      <diagonal/>
    </border>
    <border>
      <left/>
      <right style="thin">
        <color theme="0" tint="-0.14993743705557422"/>
      </right>
      <top/>
      <bottom/>
      <diagonal/>
    </border>
    <border>
      <left/>
      <right style="thin">
        <color theme="4" tint="0.79998168889431442"/>
      </right>
      <top/>
      <bottom/>
      <diagonal/>
    </border>
    <border>
      <left/>
      <right/>
      <top/>
      <bottom style="thin">
        <color theme="4"/>
      </bottom>
      <diagonal/>
    </border>
    <border>
      <left style="thin">
        <color theme="0" tint="-0.14993743705557422"/>
      </left>
      <right/>
      <top/>
      <bottom style="thin">
        <color theme="4"/>
      </bottom>
      <diagonal/>
    </border>
    <border>
      <left/>
      <right style="thin">
        <color theme="0" tint="-0.14993743705557422"/>
      </right>
      <top/>
      <bottom style="thin">
        <color theme="4"/>
      </bottom>
      <diagonal/>
    </border>
    <border>
      <left style="thin">
        <color theme="0" tint="-0.14993743705557422"/>
      </left>
      <right style="thin">
        <color theme="4" tint="0.79998168889431442"/>
      </right>
      <top style="thin">
        <color theme="4"/>
      </top>
      <bottom/>
      <diagonal/>
    </border>
    <border>
      <left/>
      <right style="thin">
        <color theme="9" tint="0.79998168889431442"/>
      </right>
      <top style="thin">
        <color theme="9"/>
      </top>
      <bottom style="thin">
        <color theme="9" tint="0.59996337778862885"/>
      </bottom>
      <diagonal/>
    </border>
    <border>
      <left/>
      <right/>
      <top/>
      <bottom style="thin">
        <color rgb="FF0070C0"/>
      </bottom>
      <diagonal/>
    </border>
    <border>
      <left style="thin">
        <color theme="0" tint="-0.14993743705557422"/>
      </left>
      <right/>
      <top/>
      <bottom style="thin">
        <color rgb="FF0070C0"/>
      </bottom>
      <diagonal/>
    </border>
    <border>
      <left/>
      <right style="thin">
        <color theme="0" tint="-0.14993743705557422"/>
      </right>
      <top/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/>
      <top style="thin">
        <color rgb="FF0070C0"/>
      </top>
      <bottom style="thin">
        <color rgb="FF0070C0"/>
      </bottom>
      <diagonal/>
    </border>
    <border>
      <left/>
      <right style="thin">
        <color theme="0" tint="-0.14993743705557422"/>
      </right>
      <top style="thin">
        <color rgb="FF0070C0"/>
      </top>
      <bottom style="thin">
        <color rgb="FF0070C0"/>
      </bottom>
      <diagonal/>
    </border>
    <border>
      <left style="thin">
        <color theme="0" tint="-0.14993743705557422"/>
      </left>
      <right style="thin">
        <color theme="4" tint="0.79998168889431442"/>
      </right>
      <top style="thin">
        <color rgb="FF0070C0"/>
      </top>
      <bottom style="thin">
        <color rgb="FF0070C0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 tint="0.79998168889431442"/>
      </right>
      <top style="thin">
        <color theme="9"/>
      </top>
      <bottom style="thin">
        <color theme="9"/>
      </bottom>
      <diagonal/>
    </border>
    <border>
      <left/>
      <right/>
      <top/>
      <bottom style="medium">
        <color rgb="FF0070C0"/>
      </bottom>
      <diagonal/>
    </border>
    <border>
      <left/>
      <right/>
      <top style="medium">
        <color rgb="FF0070C0"/>
      </top>
      <bottom/>
      <diagonal/>
    </border>
    <border>
      <left/>
      <right/>
      <top style="thin">
        <color theme="4"/>
      </top>
      <bottom/>
      <diagonal/>
    </border>
    <border>
      <left style="thin">
        <color theme="0" tint="-0.14993743705557422"/>
      </left>
      <right/>
      <top style="thin">
        <color theme="4"/>
      </top>
      <bottom/>
      <diagonal/>
    </border>
    <border>
      <left/>
      <right style="thin">
        <color theme="0" tint="-0.14993743705557422"/>
      </right>
      <top style="thin">
        <color theme="4"/>
      </top>
      <bottom/>
      <diagonal/>
    </border>
    <border>
      <left/>
      <right style="thin">
        <color theme="9" tint="-0.24994659260841701"/>
      </right>
      <top/>
      <bottom/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9" tint="0.79998168889431442"/>
      </right>
      <top style="thin">
        <color theme="9"/>
      </top>
      <bottom/>
      <diagonal/>
    </border>
    <border>
      <left/>
      <right style="thin">
        <color theme="0" tint="-0.14996795556505021"/>
      </right>
      <top/>
      <bottom style="thin">
        <color rgb="FF0070C0"/>
      </bottom>
      <diagonal/>
    </border>
    <border>
      <left style="thin">
        <color theme="0" tint="-0.14996795556505021"/>
      </left>
      <right/>
      <top/>
      <bottom style="thin">
        <color rgb="FF0070C0"/>
      </bottom>
      <diagonal/>
    </border>
    <border>
      <left/>
      <right style="thin">
        <color theme="0" tint="-0.14996795556505021"/>
      </right>
      <top style="thin">
        <color rgb="FF0070C0"/>
      </top>
      <bottom/>
      <diagonal/>
    </border>
    <border>
      <left style="thin">
        <color theme="0" tint="-0.14996795556505021"/>
      </left>
      <right/>
      <top style="thin">
        <color rgb="FF0070C0"/>
      </top>
      <bottom/>
      <diagonal/>
    </border>
    <border>
      <left/>
      <right/>
      <top/>
      <bottom style="hair">
        <color theme="9"/>
      </bottom>
      <diagonal/>
    </border>
    <border>
      <left/>
      <right/>
      <top style="hair">
        <color rgb="FF0070C0"/>
      </top>
      <bottom/>
      <diagonal/>
    </border>
    <border>
      <left/>
      <right style="thin">
        <color theme="0" tint="-0.14996795556505021"/>
      </right>
      <top style="hair">
        <color rgb="FF0070C0"/>
      </top>
      <bottom/>
      <diagonal/>
    </border>
    <border>
      <left style="thin">
        <color theme="0" tint="-0.14996795556505021"/>
      </left>
      <right/>
      <top style="hair">
        <color rgb="FF0070C0"/>
      </top>
      <bottom/>
      <diagonal/>
    </border>
    <border>
      <left/>
      <right/>
      <top/>
      <bottom style="thin">
        <color rgb="FFFF9900"/>
      </bottom>
      <diagonal/>
    </border>
    <border>
      <left/>
      <right style="medium">
        <color auto="1"/>
      </right>
      <top/>
      <bottom/>
      <diagonal/>
    </border>
  </borders>
  <cellStyleXfs count="29">
    <xf numFmtId="0" fontId="0" fillId="0" borderId="0"/>
    <xf numFmtId="0" fontId="3" fillId="0" borderId="0" applyFill="0" applyBorder="0"/>
    <xf numFmtId="0" fontId="16" fillId="0" borderId="0"/>
    <xf numFmtId="0" fontId="10" fillId="0" borderId="0">
      <alignment horizontal="right"/>
    </xf>
    <xf numFmtId="0" fontId="14" fillId="0" borderId="0"/>
    <xf numFmtId="0" fontId="9" fillId="0" borderId="0"/>
    <xf numFmtId="0" fontId="12" fillId="0" borderId="0"/>
    <xf numFmtId="0" fontId="15" fillId="0" borderId="2" applyNumberFormat="0" applyAlignment="0"/>
    <xf numFmtId="0" fontId="6" fillId="0" borderId="0" applyAlignment="0">
      <alignment horizontal="left"/>
    </xf>
    <xf numFmtId="0" fontId="6" fillId="0" borderId="0">
      <alignment horizontal="right"/>
    </xf>
    <xf numFmtId="166" fontId="6" fillId="0" borderId="0">
      <alignment horizontal="right"/>
    </xf>
    <xf numFmtId="165" fontId="11" fillId="0" borderId="0">
      <alignment horizontal="right"/>
    </xf>
    <xf numFmtId="0" fontId="13" fillId="0" borderId="0"/>
    <xf numFmtId="164" fontId="4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166" fontId="4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7" fillId="0" borderId="0"/>
    <xf numFmtId="0" fontId="7" fillId="0" borderId="0"/>
    <xf numFmtId="164" fontId="2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5" fillId="0" borderId="0" applyFill="0" applyBorder="0"/>
    <xf numFmtId="166" fontId="4" fillId="0" borderId="0" applyFont="0" applyFill="0" applyBorder="0" applyAlignment="0" applyProtection="0"/>
    <xf numFmtId="0" fontId="22" fillId="0" borderId="0" applyNumberFormat="0" applyFill="0" applyBorder="0" applyAlignment="0" applyProtection="0"/>
    <xf numFmtId="9" fontId="2" fillId="0" borderId="0" applyFont="0" applyFill="0" applyBorder="0" applyAlignment="0" applyProtection="0"/>
    <xf numFmtId="0" fontId="60" fillId="0" borderId="0"/>
  </cellStyleXfs>
  <cellXfs count="825">
    <xf numFmtId="0" fontId="0" fillId="0" borderId="0" xfId="0"/>
    <xf numFmtId="0" fontId="18" fillId="6" borderId="1" xfId="0" applyFont="1" applyFill="1" applyBorder="1" applyAlignment="1">
      <alignment vertical="center"/>
    </xf>
    <xf numFmtId="0" fontId="0" fillId="5" borderId="0" xfId="0" applyFill="1"/>
    <xf numFmtId="0" fontId="0" fillId="3" borderId="0" xfId="0" applyFill="1"/>
    <xf numFmtId="0" fontId="1" fillId="3" borderId="0" xfId="0" applyFont="1" applyFill="1"/>
    <xf numFmtId="0" fontId="0" fillId="2" borderId="0" xfId="0" applyFill="1"/>
    <xf numFmtId="0" fontId="22" fillId="5" borderId="0" xfId="26" applyFill="1"/>
    <xf numFmtId="14" fontId="0" fillId="5" borderId="0" xfId="0" applyNumberFormat="1" applyFill="1"/>
    <xf numFmtId="0" fontId="21" fillId="5" borderId="0" xfId="0" applyFont="1" applyFill="1"/>
    <xf numFmtId="0" fontId="23" fillId="3" borderId="0" xfId="0" applyFont="1" applyFill="1"/>
    <xf numFmtId="0" fontId="23" fillId="3" borderId="0" xfId="0" applyFont="1" applyFill="1" applyAlignment="1">
      <alignment wrapText="1"/>
    </xf>
    <xf numFmtId="0" fontId="23" fillId="3" borderId="0" xfId="0" quotePrefix="1" applyFont="1" applyFill="1" applyAlignment="1">
      <alignment horizontal="left" vertical="center" wrapText="1"/>
    </xf>
    <xf numFmtId="0" fontId="23" fillId="3" borderId="0" xfId="0" applyFont="1" applyFill="1" applyAlignment="1">
      <alignment horizontal="left" vertical="center" wrapText="1"/>
    </xf>
    <xf numFmtId="0" fontId="18" fillId="4" borderId="0" xfId="0" applyFont="1" applyFill="1"/>
    <xf numFmtId="4" fontId="0" fillId="3" borderId="0" xfId="0" applyNumberFormat="1" applyFill="1"/>
    <xf numFmtId="0" fontId="1" fillId="2" borderId="3" xfId="0" applyFont="1" applyFill="1" applyBorder="1"/>
    <xf numFmtId="0" fontId="0" fillId="2" borderId="3" xfId="0" applyFill="1" applyBorder="1"/>
    <xf numFmtId="0" fontId="0" fillId="7" borderId="0" xfId="0" applyFill="1"/>
    <xf numFmtId="0" fontId="0" fillId="3" borderId="0" xfId="0" applyFill="1" applyAlignment="1">
      <alignment wrapText="1"/>
    </xf>
    <xf numFmtId="0" fontId="18" fillId="8" borderId="1" xfId="0" applyFont="1" applyFill="1" applyBorder="1" applyAlignment="1">
      <alignment vertical="center"/>
    </xf>
    <xf numFmtId="0" fontId="0" fillId="9" borderId="0" xfId="0" applyFill="1"/>
    <xf numFmtId="0" fontId="0" fillId="9" borderId="0" xfId="0" quotePrefix="1" applyFill="1"/>
    <xf numFmtId="0" fontId="1" fillId="9" borderId="0" xfId="0" applyFont="1" applyFill="1"/>
    <xf numFmtId="167" fontId="0" fillId="9" borderId="0" xfId="0" applyNumberFormat="1" applyFill="1"/>
    <xf numFmtId="0" fontId="1" fillId="9" borderId="3" xfId="0" applyFont="1" applyFill="1" applyBorder="1"/>
    <xf numFmtId="0" fontId="0" fillId="9" borderId="3" xfId="0" applyFill="1" applyBorder="1"/>
    <xf numFmtId="0" fontId="0" fillId="3" borderId="4" xfId="0" applyFill="1" applyBorder="1" applyAlignment="1">
      <alignment vertical="center"/>
    </xf>
    <xf numFmtId="0" fontId="0" fillId="3" borderId="4" xfId="0" applyFill="1" applyBorder="1"/>
    <xf numFmtId="0" fontId="0" fillId="3" borderId="0" xfId="0" applyFill="1" applyAlignment="1">
      <alignment vertical="center"/>
    </xf>
    <xf numFmtId="0" fontId="0" fillId="10" borderId="0" xfId="0" applyFill="1"/>
    <xf numFmtId="3" fontId="0" fillId="10" borderId="0" xfId="0" applyNumberFormat="1" applyFill="1"/>
    <xf numFmtId="3" fontId="0" fillId="7" borderId="0" xfId="0" applyNumberFormat="1" applyFill="1"/>
    <xf numFmtId="0" fontId="0" fillId="3" borderId="5" xfId="0" applyFill="1" applyBorder="1"/>
    <xf numFmtId="3" fontId="0" fillId="3" borderId="5" xfId="0" applyNumberFormat="1" applyFill="1" applyBorder="1"/>
    <xf numFmtId="3" fontId="0" fillId="3" borderId="0" xfId="0" applyNumberFormat="1" applyFill="1"/>
    <xf numFmtId="0" fontId="0" fillId="3" borderId="6" xfId="0" applyFill="1" applyBorder="1"/>
    <xf numFmtId="4" fontId="0" fillId="3" borderId="6" xfId="0" applyNumberFormat="1" applyFill="1" applyBorder="1"/>
    <xf numFmtId="0" fontId="0" fillId="11" borderId="0" xfId="0" applyFill="1"/>
    <xf numFmtId="3" fontId="0" fillId="11" borderId="0" xfId="0" applyNumberFormat="1" applyFill="1"/>
    <xf numFmtId="0" fontId="0" fillId="3" borderId="1" xfId="0" applyFill="1" applyBorder="1"/>
    <xf numFmtId="3" fontId="0" fillId="7" borderId="1" xfId="0" applyNumberFormat="1" applyFill="1" applyBorder="1"/>
    <xf numFmtId="0" fontId="0" fillId="3" borderId="7" xfId="0" applyFill="1" applyBorder="1"/>
    <xf numFmtId="4" fontId="0" fillId="3" borderId="7" xfId="0" applyNumberFormat="1" applyFill="1" applyBorder="1"/>
    <xf numFmtId="3" fontId="0" fillId="7" borderId="5" xfId="0" applyNumberFormat="1" applyFill="1" applyBorder="1"/>
    <xf numFmtId="4" fontId="0" fillId="7" borderId="0" xfId="0" applyNumberFormat="1" applyFill="1"/>
    <xf numFmtId="0" fontId="0" fillId="3" borderId="6" xfId="0" applyFill="1" applyBorder="1" applyAlignment="1">
      <alignment horizontal="center"/>
    </xf>
    <xf numFmtId="0" fontId="0" fillId="3" borderId="0" xfId="0" applyFill="1" applyAlignment="1">
      <alignment horizontal="center"/>
    </xf>
    <xf numFmtId="3" fontId="0" fillId="3" borderId="6" xfId="0" applyNumberFormat="1" applyFill="1" applyBorder="1"/>
    <xf numFmtId="0" fontId="0" fillId="3" borderId="8" xfId="0" applyFill="1" applyBorder="1"/>
    <xf numFmtId="0" fontId="0" fillId="3" borderId="8" xfId="0" applyFill="1" applyBorder="1" applyAlignment="1">
      <alignment horizontal="center"/>
    </xf>
    <xf numFmtId="4" fontId="0" fillId="3" borderId="8" xfId="0" applyNumberFormat="1" applyFill="1" applyBorder="1"/>
    <xf numFmtId="167" fontId="0" fillId="2" borderId="0" xfId="0" applyNumberFormat="1" applyFill="1"/>
    <xf numFmtId="3" fontId="0" fillId="3" borderId="1" xfId="0" applyNumberFormat="1" applyFill="1" applyBorder="1"/>
    <xf numFmtId="0" fontId="0" fillId="7" borderId="5" xfId="0" applyFill="1" applyBorder="1"/>
    <xf numFmtId="0" fontId="0" fillId="7" borderId="1" xfId="0" applyFill="1" applyBorder="1"/>
    <xf numFmtId="0" fontId="22" fillId="3" borderId="0" xfId="26" applyFill="1"/>
    <xf numFmtId="167" fontId="0" fillId="3" borderId="0" xfId="0" applyNumberFormat="1" applyFill="1"/>
    <xf numFmtId="0" fontId="28" fillId="12" borderId="0" xfId="0" applyFont="1" applyFill="1" applyAlignment="1">
      <alignment vertical="center"/>
    </xf>
    <xf numFmtId="0" fontId="29" fillId="13" borderId="0" xfId="0" applyFont="1" applyFill="1" applyAlignment="1">
      <alignment vertical="center"/>
    </xf>
    <xf numFmtId="0" fontId="30" fillId="13" borderId="0" xfId="0" applyFont="1" applyFill="1" applyAlignment="1" applyProtection="1">
      <alignment vertical="center"/>
      <protection locked="0"/>
    </xf>
    <xf numFmtId="0" fontId="31" fillId="14" borderId="9" xfId="0" applyFont="1" applyFill="1" applyBorder="1" applyAlignment="1">
      <alignment vertical="center"/>
    </xf>
    <xf numFmtId="0" fontId="31" fillId="14" borderId="0" xfId="0" applyFont="1" applyFill="1" applyAlignment="1">
      <alignment horizontal="center" vertical="center"/>
    </xf>
    <xf numFmtId="0" fontId="31" fillId="14" borderId="11" xfId="0" applyFont="1" applyFill="1" applyBorder="1" applyAlignment="1">
      <alignment horizontal="center" vertical="center" wrapText="1"/>
    </xf>
    <xf numFmtId="0" fontId="33" fillId="15" borderId="12" xfId="0" applyFont="1" applyFill="1" applyBorder="1" applyAlignment="1">
      <alignment vertical="center"/>
    </xf>
    <xf numFmtId="0" fontId="31" fillId="15" borderId="0" xfId="0" applyFont="1" applyFill="1" applyAlignment="1">
      <alignment horizontal="center" vertical="center" wrapText="1"/>
    </xf>
    <xf numFmtId="0" fontId="32" fillId="15" borderId="0" xfId="0" applyFont="1" applyFill="1" applyAlignment="1">
      <alignment horizontal="center" vertical="center" wrapText="1"/>
    </xf>
    <xf numFmtId="9" fontId="31" fillId="14" borderId="9" xfId="0" applyNumberFormat="1" applyFont="1" applyFill="1" applyBorder="1" applyAlignment="1">
      <alignment horizontal="left" vertical="center"/>
    </xf>
    <xf numFmtId="168" fontId="31" fillId="14" borderId="0" xfId="0" applyNumberFormat="1" applyFont="1" applyFill="1" applyAlignment="1">
      <alignment horizontal="right" vertical="center"/>
    </xf>
    <xf numFmtId="169" fontId="31" fillId="14" borderId="0" xfId="0" applyNumberFormat="1" applyFont="1" applyFill="1" applyAlignment="1">
      <alignment horizontal="right" vertical="center"/>
    </xf>
    <xf numFmtId="169" fontId="31" fillId="14" borderId="0" xfId="0" applyNumberFormat="1" applyFont="1" applyFill="1" applyAlignment="1">
      <alignment vertical="center"/>
    </xf>
    <xf numFmtId="0" fontId="31" fillId="14" borderId="0" xfId="0" applyFont="1" applyFill="1" applyAlignment="1">
      <alignment vertical="center"/>
    </xf>
    <xf numFmtId="0" fontId="31" fillId="14" borderId="14" xfId="0" applyFont="1" applyFill="1" applyBorder="1" applyAlignment="1">
      <alignment horizontal="center" vertical="center" wrapText="1"/>
    </xf>
    <xf numFmtId="168" fontId="31" fillId="15" borderId="0" xfId="0" applyNumberFormat="1" applyFont="1" applyFill="1" applyAlignment="1">
      <alignment horizontal="right" vertical="center"/>
    </xf>
    <xf numFmtId="0" fontId="31" fillId="15" borderId="0" xfId="0" applyFont="1" applyFill="1" applyAlignment="1">
      <alignment horizontal="center" vertical="center"/>
    </xf>
    <xf numFmtId="9" fontId="31" fillId="16" borderId="17" xfId="0" applyNumberFormat="1" applyFont="1" applyFill="1" applyBorder="1" applyAlignment="1">
      <alignment horizontal="left" vertical="center"/>
    </xf>
    <xf numFmtId="168" fontId="31" fillId="16" borderId="0" xfId="0" applyNumberFormat="1" applyFont="1" applyFill="1" applyAlignment="1">
      <alignment horizontal="right" vertical="center"/>
    </xf>
    <xf numFmtId="169" fontId="31" fillId="16" borderId="0" xfId="0" applyNumberFormat="1" applyFont="1" applyFill="1" applyAlignment="1">
      <alignment horizontal="center" vertical="center"/>
    </xf>
    <xf numFmtId="0" fontId="31" fillId="16" borderId="0" xfId="0" applyFont="1" applyFill="1" applyAlignment="1">
      <alignment horizontal="center" vertical="center"/>
    </xf>
    <xf numFmtId="168" fontId="31" fillId="16" borderId="0" xfId="0" applyNumberFormat="1" applyFont="1" applyFill="1" applyAlignment="1">
      <alignment horizontal="center" vertical="center"/>
    </xf>
    <xf numFmtId="0" fontId="31" fillId="16" borderId="18" xfId="0" applyFont="1" applyFill="1" applyBorder="1" applyAlignment="1">
      <alignment horizontal="center" vertical="center" wrapText="1"/>
    </xf>
    <xf numFmtId="0" fontId="31" fillId="17" borderId="19" xfId="0" applyFont="1" applyFill="1" applyBorder="1" applyAlignment="1">
      <alignment vertical="center"/>
    </xf>
    <xf numFmtId="0" fontId="31" fillId="17" borderId="0" xfId="0" applyFont="1" applyFill="1" applyAlignment="1">
      <alignment horizontal="center" vertical="center"/>
    </xf>
    <xf numFmtId="0" fontId="31" fillId="17" borderId="0" xfId="0" applyFont="1" applyFill="1" applyAlignment="1">
      <alignment horizontal="right" vertical="center"/>
    </xf>
    <xf numFmtId="0" fontId="31" fillId="17" borderId="0" xfId="0" quotePrefix="1" applyFont="1" applyFill="1" applyAlignment="1">
      <alignment horizontal="right" vertical="center"/>
    </xf>
    <xf numFmtId="0" fontId="31" fillId="17" borderId="0" xfId="0" applyFont="1" applyFill="1" applyAlignment="1">
      <alignment horizontal="right" vertical="center" indent="1"/>
    </xf>
    <xf numFmtId="0" fontId="31" fillId="17" borderId="20" xfId="0" applyFont="1" applyFill="1" applyBorder="1" applyAlignment="1">
      <alignment horizontal="right" vertical="center" indent="1"/>
    </xf>
    <xf numFmtId="9" fontId="31" fillId="18" borderId="21" xfId="0" applyNumberFormat="1" applyFont="1" applyFill="1" applyBorder="1" applyAlignment="1">
      <alignment horizontal="centerContinuous" vertical="center"/>
    </xf>
    <xf numFmtId="168" fontId="31" fillId="18" borderId="22" xfId="0" applyNumberFormat="1" applyFont="1" applyFill="1" applyBorder="1" applyAlignment="1">
      <alignment horizontal="centerContinuous" vertical="center"/>
    </xf>
    <xf numFmtId="0" fontId="31" fillId="18" borderId="22" xfId="0" applyFont="1" applyFill="1" applyBorder="1" applyAlignment="1">
      <alignment horizontal="centerContinuous" vertical="center"/>
    </xf>
    <xf numFmtId="0" fontId="31" fillId="18" borderId="23" xfId="0" applyFont="1" applyFill="1" applyBorder="1" applyAlignment="1">
      <alignment horizontal="centerContinuous" vertical="center" wrapText="1"/>
    </xf>
    <xf numFmtId="9" fontId="31" fillId="19" borderId="24" xfId="0" applyNumberFormat="1" applyFont="1" applyFill="1" applyBorder="1" applyAlignment="1">
      <alignment horizontal="centerContinuous" vertical="center"/>
    </xf>
    <xf numFmtId="0" fontId="34" fillId="19" borderId="25" xfId="0" applyFont="1" applyFill="1" applyBorder="1" applyAlignment="1">
      <alignment horizontal="centerContinuous" vertical="center"/>
    </xf>
    <xf numFmtId="0" fontId="34" fillId="19" borderId="26" xfId="0" applyFont="1" applyFill="1" applyBorder="1" applyAlignment="1">
      <alignment horizontal="centerContinuous" vertical="center"/>
    </xf>
    <xf numFmtId="0" fontId="35" fillId="20" borderId="0" xfId="0" applyFont="1" applyFill="1" applyAlignment="1">
      <alignment horizontal="left" vertical="center"/>
    </xf>
    <xf numFmtId="168" fontId="35" fillId="20" borderId="0" xfId="0" applyNumberFormat="1" applyFont="1" applyFill="1" applyAlignment="1">
      <alignment horizontal="right" vertical="center"/>
    </xf>
    <xf numFmtId="168" fontId="35" fillId="21" borderId="0" xfId="0" applyNumberFormat="1" applyFont="1" applyFill="1" applyAlignment="1">
      <alignment horizontal="right" vertical="center"/>
    </xf>
    <xf numFmtId="170" fontId="35" fillId="20" borderId="0" xfId="0" applyNumberFormat="1" applyFont="1" applyFill="1" applyAlignment="1">
      <alignment horizontal="right" vertical="center"/>
    </xf>
    <xf numFmtId="171" fontId="35" fillId="20" borderId="27" xfId="27" applyNumberFormat="1" applyFont="1" applyFill="1" applyBorder="1" applyAlignment="1">
      <alignment horizontal="right" vertical="center"/>
    </xf>
    <xf numFmtId="171" fontId="35" fillId="20" borderId="0" xfId="27" applyNumberFormat="1" applyFont="1" applyFill="1" applyAlignment="1">
      <alignment horizontal="right" vertical="center"/>
    </xf>
    <xf numFmtId="170" fontId="35" fillId="20" borderId="28" xfId="0" applyNumberFormat="1" applyFont="1" applyFill="1" applyBorder="1" applyAlignment="1">
      <alignment horizontal="right" vertical="center"/>
    </xf>
    <xf numFmtId="172" fontId="35" fillId="20" borderId="0" xfId="27" applyNumberFormat="1" applyFont="1" applyFill="1" applyAlignment="1">
      <alignment horizontal="right" vertical="center" indent="1"/>
    </xf>
    <xf numFmtId="0" fontId="35" fillId="0" borderId="0" xfId="0" applyFont="1" applyAlignment="1">
      <alignment horizontal="left" vertical="center"/>
    </xf>
    <xf numFmtId="173" fontId="35" fillId="7" borderId="0" xfId="0" applyNumberFormat="1" applyFont="1" applyFill="1" applyAlignment="1">
      <alignment horizontal="right" vertical="center"/>
    </xf>
    <xf numFmtId="173" fontId="35" fillId="0" borderId="0" xfId="0" applyNumberFormat="1" applyFont="1" applyAlignment="1">
      <alignment horizontal="right" vertical="center"/>
    </xf>
    <xf numFmtId="174" fontId="35" fillId="7" borderId="0" xfId="27" applyNumberFormat="1" applyFont="1" applyFill="1" applyAlignment="1">
      <alignment horizontal="right" vertical="center"/>
    </xf>
    <xf numFmtId="174" fontId="35" fillId="0" borderId="0" xfId="27" applyNumberFormat="1" applyFont="1" applyAlignment="1">
      <alignment horizontal="right" vertical="center"/>
    </xf>
    <xf numFmtId="175" fontId="35" fillId="7" borderId="0" xfId="27" applyNumberFormat="1" applyFont="1" applyFill="1" applyAlignment="1">
      <alignment horizontal="right" vertical="center" indent="1"/>
    </xf>
    <xf numFmtId="175" fontId="35" fillId="0" borderId="0" xfId="27" applyNumberFormat="1" applyFont="1" applyAlignment="1">
      <alignment horizontal="right" vertical="center" indent="1"/>
    </xf>
    <xf numFmtId="0" fontId="35" fillId="20" borderId="0" xfId="0" applyFont="1" applyFill="1" applyAlignment="1">
      <alignment horizontal="left" vertical="center" indent="1"/>
    </xf>
    <xf numFmtId="0" fontId="30" fillId="22" borderId="0" xfId="0" applyFont="1" applyFill="1" applyAlignment="1" applyProtection="1">
      <alignment vertical="center"/>
      <protection locked="0"/>
    </xf>
    <xf numFmtId="0" fontId="30" fillId="13" borderId="10" xfId="0" applyFont="1" applyFill="1" applyBorder="1" applyAlignment="1" applyProtection="1">
      <alignment vertical="center"/>
      <protection locked="0"/>
    </xf>
    <xf numFmtId="0" fontId="36" fillId="20" borderId="0" xfId="0" applyFont="1" applyFill="1" applyAlignment="1">
      <alignment horizontal="left" vertical="center" indent="1"/>
    </xf>
    <xf numFmtId="168" fontId="36" fillId="20" borderId="0" xfId="0" applyNumberFormat="1" applyFont="1" applyFill="1" applyAlignment="1">
      <alignment horizontal="right" vertical="center"/>
    </xf>
    <xf numFmtId="168" fontId="36" fillId="21" borderId="0" xfId="0" applyNumberFormat="1" applyFont="1" applyFill="1" applyAlignment="1">
      <alignment horizontal="right" vertical="center"/>
    </xf>
    <xf numFmtId="170" fontId="36" fillId="20" borderId="0" xfId="0" applyNumberFormat="1" applyFont="1" applyFill="1" applyAlignment="1">
      <alignment horizontal="right" vertical="center"/>
    </xf>
    <xf numFmtId="171" fontId="36" fillId="20" borderId="27" xfId="27" applyNumberFormat="1" applyFont="1" applyFill="1" applyBorder="1" applyAlignment="1">
      <alignment horizontal="right" vertical="center"/>
    </xf>
    <xf numFmtId="171" fontId="36" fillId="20" borderId="0" xfId="27" applyNumberFormat="1" applyFont="1" applyFill="1" applyAlignment="1">
      <alignment horizontal="right" vertical="center"/>
    </xf>
    <xf numFmtId="170" fontId="36" fillId="20" borderId="28" xfId="0" applyNumberFormat="1" applyFont="1" applyFill="1" applyBorder="1" applyAlignment="1">
      <alignment horizontal="right" vertical="center"/>
    </xf>
    <xf numFmtId="172" fontId="36" fillId="20" borderId="0" xfId="27" applyNumberFormat="1" applyFont="1" applyFill="1" applyAlignment="1">
      <alignment horizontal="right" vertical="center" indent="1"/>
    </xf>
    <xf numFmtId="0" fontId="37" fillId="20" borderId="29" xfId="0" applyFont="1" applyFill="1" applyBorder="1" applyAlignment="1">
      <alignment horizontal="left" vertical="center"/>
    </xf>
    <xf numFmtId="168" fontId="37" fillId="20" borderId="29" xfId="0" applyNumberFormat="1" applyFont="1" applyFill="1" applyBorder="1" applyAlignment="1">
      <alignment horizontal="right" vertical="center"/>
    </xf>
    <xf numFmtId="168" fontId="37" fillId="21" borderId="29" xfId="0" applyNumberFormat="1" applyFont="1" applyFill="1" applyBorder="1" applyAlignment="1">
      <alignment horizontal="right" vertical="center"/>
    </xf>
    <xf numFmtId="170" fontId="37" fillId="20" borderId="29" xfId="0" applyNumberFormat="1" applyFont="1" applyFill="1" applyBorder="1" applyAlignment="1">
      <alignment horizontal="right" vertical="center"/>
    </xf>
    <xf numFmtId="171" fontId="37" fillId="20" borderId="30" xfId="27" applyNumberFormat="1" applyFont="1" applyFill="1" applyBorder="1" applyAlignment="1">
      <alignment horizontal="right" vertical="center"/>
    </xf>
    <xf numFmtId="171" fontId="37" fillId="20" borderId="29" xfId="27" applyNumberFormat="1" applyFont="1" applyFill="1" applyBorder="1" applyAlignment="1">
      <alignment horizontal="right" vertical="center"/>
    </xf>
    <xf numFmtId="170" fontId="37" fillId="20" borderId="31" xfId="0" applyNumberFormat="1" applyFont="1" applyFill="1" applyBorder="1" applyAlignment="1">
      <alignment horizontal="right" vertical="center"/>
    </xf>
    <xf numFmtId="172" fontId="37" fillId="20" borderId="29" xfId="27" applyNumberFormat="1" applyFont="1" applyFill="1" applyBorder="1" applyAlignment="1">
      <alignment horizontal="right" vertical="center" indent="1"/>
    </xf>
    <xf numFmtId="0" fontId="37" fillId="0" borderId="32" xfId="0" applyFont="1" applyBorder="1" applyAlignment="1">
      <alignment horizontal="left" vertical="center"/>
    </xf>
    <xf numFmtId="173" fontId="37" fillId="7" borderId="32" xfId="0" applyNumberFormat="1" applyFont="1" applyFill="1" applyBorder="1" applyAlignment="1">
      <alignment horizontal="right" vertical="center"/>
    </xf>
    <xf numFmtId="173" fontId="37" fillId="0" borderId="32" xfId="0" applyNumberFormat="1" applyFont="1" applyBorder="1" applyAlignment="1">
      <alignment horizontal="right" vertical="center"/>
    </xf>
    <xf numFmtId="174" fontId="37" fillId="7" borderId="32" xfId="27" applyNumberFormat="1" applyFont="1" applyFill="1" applyBorder="1" applyAlignment="1">
      <alignment horizontal="right" vertical="center"/>
    </xf>
    <xf numFmtId="174" fontId="37" fillId="0" borderId="32" xfId="27" applyNumberFormat="1" applyFont="1" applyBorder="1" applyAlignment="1">
      <alignment horizontal="right" vertical="center"/>
    </xf>
    <xf numFmtId="175" fontId="37" fillId="7" borderId="32" xfId="27" applyNumberFormat="1" applyFont="1" applyFill="1" applyBorder="1" applyAlignment="1">
      <alignment horizontal="right" vertical="center" indent="1"/>
    </xf>
    <xf numFmtId="175" fontId="37" fillId="0" borderId="32" xfId="27" applyNumberFormat="1" applyFont="1" applyBorder="1" applyAlignment="1">
      <alignment horizontal="right" vertical="center" indent="1"/>
    </xf>
    <xf numFmtId="0" fontId="37" fillId="20" borderId="0" xfId="0" applyFont="1" applyFill="1" applyAlignment="1">
      <alignment horizontal="left" vertical="center"/>
    </xf>
    <xf numFmtId="168" fontId="37" fillId="20" borderId="0" xfId="0" applyNumberFormat="1" applyFont="1" applyFill="1" applyAlignment="1">
      <alignment horizontal="right" vertical="center"/>
    </xf>
    <xf numFmtId="168" fontId="37" fillId="21" borderId="0" xfId="0" applyNumberFormat="1" applyFont="1" applyFill="1" applyAlignment="1">
      <alignment horizontal="right" vertical="center"/>
    </xf>
    <xf numFmtId="170" fontId="37" fillId="20" borderId="0" xfId="0" applyNumberFormat="1" applyFont="1" applyFill="1" applyAlignment="1">
      <alignment horizontal="right" vertical="center"/>
    </xf>
    <xf numFmtId="171" fontId="37" fillId="20" borderId="27" xfId="27" applyNumberFormat="1" applyFont="1" applyFill="1" applyBorder="1" applyAlignment="1">
      <alignment horizontal="right" vertical="center"/>
    </xf>
    <xf numFmtId="171" fontId="37" fillId="20" borderId="0" xfId="27" applyNumberFormat="1" applyFont="1" applyFill="1" applyAlignment="1">
      <alignment horizontal="right" vertical="center"/>
    </xf>
    <xf numFmtId="170" fontId="37" fillId="20" borderId="28" xfId="0" applyNumberFormat="1" applyFont="1" applyFill="1" applyBorder="1" applyAlignment="1">
      <alignment horizontal="right" vertical="center"/>
    </xf>
    <xf numFmtId="172" fontId="37" fillId="20" borderId="0" xfId="27" applyNumberFormat="1" applyFont="1" applyFill="1" applyAlignment="1">
      <alignment horizontal="right" vertical="center" indent="1"/>
    </xf>
    <xf numFmtId="0" fontId="37" fillId="0" borderId="0" xfId="0" applyFont="1" applyAlignment="1">
      <alignment horizontal="left" vertical="center"/>
    </xf>
    <xf numFmtId="173" fontId="37" fillId="7" borderId="0" xfId="0" applyNumberFormat="1" applyFont="1" applyFill="1" applyAlignment="1">
      <alignment horizontal="right" vertical="center"/>
    </xf>
    <xf numFmtId="173" fontId="37" fillId="0" borderId="0" xfId="0" applyNumberFormat="1" applyFont="1" applyAlignment="1">
      <alignment horizontal="right" vertical="center"/>
    </xf>
    <xf numFmtId="174" fontId="37" fillId="7" borderId="0" xfId="27" applyNumberFormat="1" applyFont="1" applyFill="1" applyAlignment="1">
      <alignment horizontal="right" vertical="center"/>
    </xf>
    <xf numFmtId="174" fontId="37" fillId="0" borderId="0" xfId="27" applyNumberFormat="1" applyFont="1" applyAlignment="1">
      <alignment horizontal="right" vertical="center"/>
    </xf>
    <xf numFmtId="175" fontId="37" fillId="7" borderId="0" xfId="27" applyNumberFormat="1" applyFont="1" applyFill="1" applyAlignment="1">
      <alignment horizontal="right" vertical="center" indent="1"/>
    </xf>
    <xf numFmtId="175" fontId="37" fillId="0" borderId="0" xfId="27" applyNumberFormat="1" applyFont="1" applyAlignment="1">
      <alignment horizontal="right" vertical="center" indent="1"/>
    </xf>
    <xf numFmtId="0" fontId="38" fillId="20" borderId="0" xfId="0" applyFont="1" applyFill="1" applyAlignment="1">
      <alignment vertical="center"/>
    </xf>
    <xf numFmtId="0" fontId="37" fillId="0" borderId="33" xfId="0" applyFont="1" applyBorder="1" applyAlignment="1">
      <alignment horizontal="left" vertical="center"/>
    </xf>
    <xf numFmtId="173" fontId="37" fillId="7" borderId="33" xfId="0" applyNumberFormat="1" applyFont="1" applyFill="1" applyBorder="1" applyAlignment="1">
      <alignment horizontal="right" vertical="center"/>
    </xf>
    <xf numFmtId="173" fontId="37" fillId="0" borderId="33" xfId="0" applyNumberFormat="1" applyFont="1" applyBorder="1" applyAlignment="1">
      <alignment horizontal="right" vertical="center"/>
    </xf>
    <xf numFmtId="174" fontId="37" fillId="7" borderId="33" xfId="27" applyNumberFormat="1" applyFont="1" applyFill="1" applyBorder="1" applyAlignment="1">
      <alignment horizontal="right" vertical="center"/>
    </xf>
    <xf numFmtId="174" fontId="37" fillId="0" borderId="33" xfId="27" applyNumberFormat="1" applyFont="1" applyBorder="1" applyAlignment="1">
      <alignment horizontal="right" vertical="center"/>
    </xf>
    <xf numFmtId="175" fontId="37" fillId="7" borderId="33" xfId="27" applyNumberFormat="1" applyFont="1" applyFill="1" applyBorder="1" applyAlignment="1">
      <alignment horizontal="right" vertical="center" indent="1"/>
    </xf>
    <xf numFmtId="175" fontId="37" fillId="0" borderId="33" xfId="27" applyNumberFormat="1" applyFont="1" applyBorder="1" applyAlignment="1">
      <alignment horizontal="right" vertical="center" indent="1"/>
    </xf>
    <xf numFmtId="0" fontId="39" fillId="23" borderId="34" xfId="0" applyFont="1" applyFill="1" applyBorder="1" applyAlignment="1">
      <alignment horizontal="left" vertical="center"/>
    </xf>
    <xf numFmtId="168" fontId="39" fillId="23" borderId="35" xfId="0" applyNumberFormat="1" applyFont="1" applyFill="1" applyBorder="1" applyAlignment="1">
      <alignment horizontal="right" vertical="center"/>
    </xf>
    <xf numFmtId="170" fontId="39" fillId="23" borderId="35" xfId="0" applyNumberFormat="1" applyFont="1" applyFill="1" applyBorder="1" applyAlignment="1">
      <alignment horizontal="right" vertical="center"/>
    </xf>
    <xf numFmtId="171" fontId="39" fillId="23" borderId="36" xfId="27" applyNumberFormat="1" applyFont="1" applyFill="1" applyBorder="1" applyAlignment="1">
      <alignment horizontal="right" vertical="center"/>
    </xf>
    <xf numFmtId="171" fontId="39" fillId="23" borderId="35" xfId="27" applyNumberFormat="1" applyFont="1" applyFill="1" applyBorder="1" applyAlignment="1">
      <alignment horizontal="right" vertical="center"/>
    </xf>
    <xf numFmtId="170" fontId="39" fillId="23" borderId="37" xfId="0" applyNumberFormat="1" applyFont="1" applyFill="1" applyBorder="1" applyAlignment="1">
      <alignment horizontal="right" vertical="center"/>
    </xf>
    <xf numFmtId="172" fontId="39" fillId="23" borderId="38" xfId="27" applyNumberFormat="1" applyFont="1" applyFill="1" applyBorder="1" applyAlignment="1">
      <alignment horizontal="right" vertical="center" indent="1"/>
    </xf>
    <xf numFmtId="0" fontId="40" fillId="24" borderId="39" xfId="0" applyFont="1" applyFill="1" applyBorder="1" applyAlignment="1">
      <alignment horizontal="left" vertical="center"/>
    </xf>
    <xf numFmtId="173" fontId="40" fillId="24" borderId="0" xfId="0" applyNumberFormat="1" applyFont="1" applyFill="1" applyAlignment="1">
      <alignment horizontal="right" vertical="center"/>
    </xf>
    <xf numFmtId="174" fontId="40" fillId="24" borderId="0" xfId="27" applyNumberFormat="1" applyFont="1" applyFill="1" applyAlignment="1">
      <alignment horizontal="right" vertical="center"/>
    </xf>
    <xf numFmtId="175" fontId="40" fillId="24" borderId="0" xfId="27" applyNumberFormat="1" applyFont="1" applyFill="1" applyAlignment="1">
      <alignment horizontal="right" vertical="center" indent="1"/>
    </xf>
    <xf numFmtId="175" fontId="40" fillId="24" borderId="40" xfId="27" applyNumberFormat="1" applyFont="1" applyFill="1" applyBorder="1" applyAlignment="1">
      <alignment horizontal="right" vertical="center" indent="1"/>
    </xf>
    <xf numFmtId="0" fontId="41" fillId="20" borderId="0" xfId="0" applyFont="1" applyFill="1" applyAlignment="1">
      <alignment horizontal="left" vertical="center" indent="1"/>
    </xf>
    <xf numFmtId="168" fontId="41" fillId="20" borderId="0" xfId="0" applyNumberFormat="1" applyFont="1" applyFill="1" applyAlignment="1">
      <alignment horizontal="right" vertical="center"/>
    </xf>
    <xf numFmtId="168" fontId="41" fillId="21" borderId="0" xfId="0" applyNumberFormat="1" applyFont="1" applyFill="1" applyAlignment="1">
      <alignment horizontal="right" vertical="center"/>
    </xf>
    <xf numFmtId="170" fontId="41" fillId="20" borderId="0" xfId="0" applyNumberFormat="1" applyFont="1" applyFill="1" applyAlignment="1">
      <alignment horizontal="right" vertical="center"/>
    </xf>
    <xf numFmtId="171" fontId="41" fillId="20" borderId="27" xfId="27" applyNumberFormat="1" applyFont="1" applyFill="1" applyBorder="1" applyAlignment="1">
      <alignment horizontal="right" vertical="center"/>
    </xf>
    <xf numFmtId="171" fontId="41" fillId="20" borderId="0" xfId="27" applyNumberFormat="1" applyFont="1" applyFill="1" applyAlignment="1">
      <alignment horizontal="right" vertical="center"/>
    </xf>
    <xf numFmtId="170" fontId="41" fillId="20" borderId="28" xfId="0" applyNumberFormat="1" applyFont="1" applyFill="1" applyBorder="1" applyAlignment="1">
      <alignment horizontal="right" vertical="center"/>
    </xf>
    <xf numFmtId="172" fontId="41" fillId="20" borderId="0" xfId="27" applyNumberFormat="1" applyFont="1" applyFill="1" applyAlignment="1">
      <alignment horizontal="right" vertical="center" indent="1"/>
    </xf>
    <xf numFmtId="0" fontId="40" fillId="24" borderId="41" xfId="0" applyFont="1" applyFill="1" applyBorder="1" applyAlignment="1">
      <alignment horizontal="left" vertical="center"/>
    </xf>
    <xf numFmtId="173" fontId="40" fillId="24" borderId="33" xfId="0" applyNumberFormat="1" applyFont="1" applyFill="1" applyBorder="1" applyAlignment="1">
      <alignment horizontal="right" vertical="center"/>
    </xf>
    <xf numFmtId="174" fontId="40" fillId="24" borderId="33" xfId="27" applyNumberFormat="1" applyFont="1" applyFill="1" applyBorder="1" applyAlignment="1">
      <alignment horizontal="right" vertical="center"/>
    </xf>
    <xf numFmtId="175" fontId="40" fillId="24" borderId="33" xfId="27" applyNumberFormat="1" applyFont="1" applyFill="1" applyBorder="1" applyAlignment="1">
      <alignment horizontal="right" vertical="center" indent="1"/>
    </xf>
    <xf numFmtId="175" fontId="40" fillId="24" borderId="42" xfId="27" applyNumberFormat="1" applyFont="1" applyFill="1" applyBorder="1" applyAlignment="1">
      <alignment horizontal="right" vertical="center" indent="1"/>
    </xf>
    <xf numFmtId="0" fontId="42" fillId="23" borderId="34" xfId="0" applyFont="1" applyFill="1" applyBorder="1" applyAlignment="1">
      <alignment horizontal="left" vertical="center"/>
    </xf>
    <xf numFmtId="168" fontId="42" fillId="23" borderId="35" xfId="0" applyNumberFormat="1" applyFont="1" applyFill="1" applyBorder="1" applyAlignment="1">
      <alignment horizontal="right" vertical="center"/>
    </xf>
    <xf numFmtId="170" fontId="42" fillId="23" borderId="35" xfId="0" applyNumberFormat="1" applyFont="1" applyFill="1" applyBorder="1" applyAlignment="1">
      <alignment horizontal="right" vertical="center"/>
    </xf>
    <xf numFmtId="171" fontId="42" fillId="23" borderId="36" xfId="27" applyNumberFormat="1" applyFont="1" applyFill="1" applyBorder="1" applyAlignment="1">
      <alignment horizontal="right" vertical="center"/>
    </xf>
    <xf numFmtId="171" fontId="42" fillId="23" borderId="35" xfId="27" applyNumberFormat="1" applyFont="1" applyFill="1" applyBorder="1" applyAlignment="1">
      <alignment horizontal="right" vertical="center"/>
    </xf>
    <xf numFmtId="170" fontId="42" fillId="23" borderId="37" xfId="0" applyNumberFormat="1" applyFont="1" applyFill="1" applyBorder="1" applyAlignment="1">
      <alignment horizontal="right" vertical="center"/>
    </xf>
    <xf numFmtId="172" fontId="42" fillId="23" borderId="38" xfId="27" applyNumberFormat="1" applyFont="1" applyFill="1" applyBorder="1" applyAlignment="1">
      <alignment horizontal="right" vertical="center" indent="1"/>
    </xf>
    <xf numFmtId="0" fontId="43" fillId="24" borderId="43" xfId="0" applyFont="1" applyFill="1" applyBorder="1" applyAlignment="1">
      <alignment horizontal="left" vertical="center"/>
    </xf>
    <xf numFmtId="173" fontId="43" fillId="24" borderId="44" xfId="0" applyNumberFormat="1" applyFont="1" applyFill="1" applyBorder="1" applyAlignment="1">
      <alignment horizontal="right" vertical="center"/>
    </xf>
    <xf numFmtId="174" fontId="43" fillId="24" borderId="44" xfId="27" applyNumberFormat="1" applyFont="1" applyFill="1" applyBorder="1" applyAlignment="1">
      <alignment horizontal="right" vertical="center"/>
    </xf>
    <xf numFmtId="175" fontId="43" fillId="24" borderId="44" xfId="27" applyNumberFormat="1" applyFont="1" applyFill="1" applyBorder="1" applyAlignment="1">
      <alignment horizontal="right" vertical="center" indent="1"/>
    </xf>
    <xf numFmtId="175" fontId="43" fillId="24" borderId="45" xfId="27" applyNumberFormat="1" applyFont="1" applyFill="1" applyBorder="1" applyAlignment="1">
      <alignment horizontal="right" vertical="center" indent="1"/>
    </xf>
    <xf numFmtId="0" fontId="35" fillId="20" borderId="46" xfId="0" applyFont="1" applyFill="1" applyBorder="1" applyAlignment="1">
      <alignment horizontal="left" vertical="center"/>
    </xf>
    <xf numFmtId="168" fontId="35" fillId="20" borderId="46" xfId="0" applyNumberFormat="1" applyFont="1" applyFill="1" applyBorder="1" applyAlignment="1">
      <alignment horizontal="right" vertical="center"/>
    </xf>
    <xf numFmtId="168" fontId="35" fillId="21" borderId="46" xfId="0" applyNumberFormat="1" applyFont="1" applyFill="1" applyBorder="1" applyAlignment="1">
      <alignment horizontal="right" vertical="center"/>
    </xf>
    <xf numFmtId="170" fontId="35" fillId="20" borderId="46" xfId="0" applyNumberFormat="1" applyFont="1" applyFill="1" applyBorder="1" applyAlignment="1">
      <alignment horizontal="right" vertical="center"/>
    </xf>
    <xf numFmtId="171" fontId="35" fillId="20" borderId="47" xfId="27" applyNumberFormat="1" applyFont="1" applyFill="1" applyBorder="1" applyAlignment="1">
      <alignment horizontal="right" vertical="center"/>
    </xf>
    <xf numFmtId="171" fontId="35" fillId="20" borderId="46" xfId="27" applyNumberFormat="1" applyFont="1" applyFill="1" applyBorder="1" applyAlignment="1">
      <alignment horizontal="right" vertical="center"/>
    </xf>
    <xf numFmtId="170" fontId="35" fillId="20" borderId="48" xfId="0" applyNumberFormat="1" applyFont="1" applyFill="1" applyBorder="1" applyAlignment="1">
      <alignment horizontal="right" vertical="center"/>
    </xf>
    <xf numFmtId="172" fontId="35" fillId="20" borderId="46" xfId="27" applyNumberFormat="1" applyFont="1" applyFill="1" applyBorder="1" applyAlignment="1">
      <alignment horizontal="right" vertical="center" indent="1"/>
    </xf>
    <xf numFmtId="0" fontId="35" fillId="0" borderId="49" xfId="0" applyFont="1" applyBorder="1" applyAlignment="1">
      <alignment horizontal="left" vertical="center"/>
    </xf>
    <xf numFmtId="173" fontId="35" fillId="7" borderId="49" xfId="0" applyNumberFormat="1" applyFont="1" applyFill="1" applyBorder="1" applyAlignment="1">
      <alignment horizontal="right" vertical="center"/>
    </xf>
    <xf numFmtId="173" fontId="35" fillId="0" borderId="49" xfId="0" applyNumberFormat="1" applyFont="1" applyBorder="1" applyAlignment="1">
      <alignment horizontal="right" vertical="center"/>
    </xf>
    <xf numFmtId="174" fontId="35" fillId="7" borderId="49" xfId="27" applyNumberFormat="1" applyFont="1" applyFill="1" applyBorder="1" applyAlignment="1">
      <alignment horizontal="right" vertical="center"/>
    </xf>
    <xf numFmtId="174" fontId="35" fillId="0" borderId="49" xfId="27" applyNumberFormat="1" applyFont="1" applyBorder="1" applyAlignment="1">
      <alignment horizontal="right" vertical="center"/>
    </xf>
    <xf numFmtId="175" fontId="35" fillId="7" borderId="49" xfId="27" applyNumberFormat="1" applyFont="1" applyFill="1" applyBorder="1" applyAlignment="1">
      <alignment horizontal="right" vertical="center" indent="1"/>
    </xf>
    <xf numFmtId="175" fontId="35" fillId="0" borderId="49" xfId="27" applyNumberFormat="1" applyFont="1" applyBorder="1" applyAlignment="1">
      <alignment horizontal="right" vertical="center" indent="1"/>
    </xf>
    <xf numFmtId="0" fontId="35" fillId="20" borderId="50" xfId="0" applyFont="1" applyFill="1" applyBorder="1" applyAlignment="1">
      <alignment horizontal="left" vertical="center"/>
    </xf>
    <xf numFmtId="168" fontId="35" fillId="20" borderId="50" xfId="0" applyNumberFormat="1" applyFont="1" applyFill="1" applyBorder="1" applyAlignment="1">
      <alignment horizontal="right" vertical="center"/>
    </xf>
    <xf numFmtId="168" fontId="35" fillId="21" borderId="50" xfId="0" applyNumberFormat="1" applyFont="1" applyFill="1" applyBorder="1" applyAlignment="1">
      <alignment horizontal="right" vertical="center"/>
    </xf>
    <xf numFmtId="170" fontId="35" fillId="20" borderId="50" xfId="0" applyNumberFormat="1" applyFont="1" applyFill="1" applyBorder="1" applyAlignment="1">
      <alignment horizontal="right" vertical="center"/>
    </xf>
    <xf numFmtId="171" fontId="35" fillId="20" borderId="51" xfId="27" applyNumberFormat="1" applyFont="1" applyFill="1" applyBorder="1" applyAlignment="1">
      <alignment horizontal="right" vertical="center"/>
    </xf>
    <xf numFmtId="171" fontId="35" fillId="20" borderId="50" xfId="27" applyNumberFormat="1" applyFont="1" applyFill="1" applyBorder="1" applyAlignment="1">
      <alignment horizontal="right" vertical="center"/>
    </xf>
    <xf numFmtId="170" fontId="35" fillId="20" borderId="52" xfId="0" applyNumberFormat="1" applyFont="1" applyFill="1" applyBorder="1" applyAlignment="1">
      <alignment horizontal="right" vertical="center"/>
    </xf>
    <xf numFmtId="172" fontId="35" fillId="20" borderId="50" xfId="27" applyNumberFormat="1" applyFont="1" applyFill="1" applyBorder="1" applyAlignment="1">
      <alignment horizontal="right" vertical="center" indent="1"/>
    </xf>
    <xf numFmtId="0" fontId="35" fillId="0" borderId="33" xfId="0" applyFont="1" applyBorder="1" applyAlignment="1">
      <alignment horizontal="left" vertical="center"/>
    </xf>
    <xf numFmtId="173" fontId="35" fillId="7" borderId="33" xfId="0" applyNumberFormat="1" applyFont="1" applyFill="1" applyBorder="1" applyAlignment="1">
      <alignment horizontal="right" vertical="center"/>
    </xf>
    <xf numFmtId="173" fontId="35" fillId="0" borderId="33" xfId="0" applyNumberFormat="1" applyFont="1" applyBorder="1" applyAlignment="1">
      <alignment horizontal="right" vertical="center"/>
    </xf>
    <xf numFmtId="174" fontId="35" fillId="7" borderId="33" xfId="27" applyNumberFormat="1" applyFont="1" applyFill="1" applyBorder="1" applyAlignment="1">
      <alignment horizontal="right" vertical="center"/>
    </xf>
    <xf numFmtId="174" fontId="35" fillId="0" borderId="33" xfId="27" applyNumberFormat="1" applyFont="1" applyBorder="1" applyAlignment="1">
      <alignment horizontal="right" vertical="center"/>
    </xf>
    <xf numFmtId="175" fontId="35" fillId="7" borderId="33" xfId="27" applyNumberFormat="1" applyFont="1" applyFill="1" applyBorder="1" applyAlignment="1">
      <alignment horizontal="right" vertical="center" indent="1"/>
    </xf>
    <xf numFmtId="175" fontId="35" fillId="0" borderId="33" xfId="27" applyNumberFormat="1" applyFont="1" applyBorder="1" applyAlignment="1">
      <alignment horizontal="right" vertical="center" indent="1"/>
    </xf>
    <xf numFmtId="0" fontId="42" fillId="23" borderId="53" xfId="0" applyFont="1" applyFill="1" applyBorder="1" applyAlignment="1">
      <alignment horizontal="left" vertical="center"/>
    </xf>
    <xf numFmtId="168" fontId="42" fillId="23" borderId="54" xfId="0" applyNumberFormat="1" applyFont="1" applyFill="1" applyBorder="1" applyAlignment="1">
      <alignment horizontal="right" vertical="center"/>
    </xf>
    <xf numFmtId="170" fontId="42" fillId="23" borderId="54" xfId="0" applyNumberFormat="1" applyFont="1" applyFill="1" applyBorder="1" applyAlignment="1">
      <alignment horizontal="right" vertical="center"/>
    </xf>
    <xf numFmtId="171" fontId="42" fillId="23" borderId="27" xfId="27" applyNumberFormat="1" applyFont="1" applyFill="1" applyBorder="1" applyAlignment="1">
      <alignment horizontal="right" vertical="center"/>
    </xf>
    <xf numFmtId="171" fontId="42" fillId="23" borderId="0" xfId="27" applyNumberFormat="1" applyFont="1" applyFill="1" applyAlignment="1">
      <alignment horizontal="right" vertical="center"/>
    </xf>
    <xf numFmtId="170" fontId="42" fillId="23" borderId="55" xfId="0" applyNumberFormat="1" applyFont="1" applyFill="1" applyBorder="1" applyAlignment="1">
      <alignment horizontal="right" vertical="center"/>
    </xf>
    <xf numFmtId="172" fontId="42" fillId="23" borderId="56" xfId="27" applyNumberFormat="1" applyFont="1" applyFill="1" applyBorder="1" applyAlignment="1">
      <alignment horizontal="right" vertical="center" indent="1"/>
    </xf>
    <xf numFmtId="0" fontId="43" fillId="24" borderId="57" xfId="0" applyFont="1" applyFill="1" applyBorder="1" applyAlignment="1">
      <alignment horizontal="left" vertical="center"/>
    </xf>
    <xf numFmtId="173" fontId="43" fillId="24" borderId="58" xfId="0" applyNumberFormat="1" applyFont="1" applyFill="1" applyBorder="1" applyAlignment="1">
      <alignment horizontal="right" vertical="center"/>
    </xf>
    <xf numFmtId="174" fontId="43" fillId="24" borderId="58" xfId="27" applyNumberFormat="1" applyFont="1" applyFill="1" applyBorder="1" applyAlignment="1">
      <alignment horizontal="right" vertical="center"/>
    </xf>
    <xf numFmtId="175" fontId="43" fillId="24" borderId="58" xfId="27" applyNumberFormat="1" applyFont="1" applyFill="1" applyBorder="1" applyAlignment="1">
      <alignment horizontal="right" vertical="center" indent="1"/>
    </xf>
    <xf numFmtId="175" fontId="43" fillId="24" borderId="59" xfId="27" applyNumberFormat="1" applyFont="1" applyFill="1" applyBorder="1" applyAlignment="1">
      <alignment horizontal="right" vertical="center" indent="1"/>
    </xf>
    <xf numFmtId="170" fontId="35" fillId="21" borderId="0" xfId="0" applyNumberFormat="1" applyFont="1" applyFill="1" applyAlignment="1">
      <alignment horizontal="right" vertical="center"/>
    </xf>
    <xf numFmtId="170" fontId="35" fillId="7" borderId="0" xfId="0" applyNumberFormat="1" applyFont="1" applyFill="1" applyAlignment="1">
      <alignment horizontal="right" vertical="center"/>
    </xf>
    <xf numFmtId="170" fontId="35" fillId="0" borderId="0" xfId="0" applyNumberFormat="1" applyFont="1" applyAlignment="1">
      <alignment horizontal="right" vertical="center"/>
    </xf>
    <xf numFmtId="170" fontId="36" fillId="21" borderId="0" xfId="0" applyNumberFormat="1" applyFont="1" applyFill="1" applyAlignment="1">
      <alignment horizontal="right" vertical="center"/>
    </xf>
    <xf numFmtId="170" fontId="37" fillId="21" borderId="29" xfId="0" applyNumberFormat="1" applyFont="1" applyFill="1" applyBorder="1" applyAlignment="1">
      <alignment horizontal="right" vertical="center"/>
    </xf>
    <xf numFmtId="170" fontId="37" fillId="7" borderId="32" xfId="0" applyNumberFormat="1" applyFont="1" applyFill="1" applyBorder="1" applyAlignment="1">
      <alignment horizontal="right" vertical="center"/>
    </xf>
    <xf numFmtId="170" fontId="37" fillId="0" borderId="32" xfId="0" applyNumberFormat="1" applyFont="1" applyBorder="1" applyAlignment="1">
      <alignment horizontal="right" vertical="center"/>
    </xf>
    <xf numFmtId="170" fontId="37" fillId="21" borderId="0" xfId="0" applyNumberFormat="1" applyFont="1" applyFill="1" applyAlignment="1">
      <alignment horizontal="right" vertical="center"/>
    </xf>
    <xf numFmtId="170" fontId="37" fillId="7" borderId="0" xfId="0" applyNumberFormat="1" applyFont="1" applyFill="1" applyAlignment="1">
      <alignment horizontal="right" vertical="center"/>
    </xf>
    <xf numFmtId="170" fontId="37" fillId="0" borderId="0" xfId="0" applyNumberFormat="1" applyFont="1" applyAlignment="1">
      <alignment horizontal="right" vertical="center"/>
    </xf>
    <xf numFmtId="170" fontId="37" fillId="7" borderId="33" xfId="0" applyNumberFormat="1" applyFont="1" applyFill="1" applyBorder="1" applyAlignment="1">
      <alignment horizontal="right" vertical="center"/>
    </xf>
    <xf numFmtId="170" fontId="37" fillId="0" borderId="33" xfId="0" applyNumberFormat="1" applyFont="1" applyBorder="1" applyAlignment="1">
      <alignment horizontal="right" vertical="center"/>
    </xf>
    <xf numFmtId="170" fontId="43" fillId="24" borderId="60" xfId="0" applyNumberFormat="1" applyFont="1" applyFill="1" applyBorder="1" applyAlignment="1">
      <alignment horizontal="right" vertical="center"/>
    </xf>
    <xf numFmtId="174" fontId="43" fillId="24" borderId="60" xfId="27" applyNumberFormat="1" applyFont="1" applyFill="1" applyBorder="1" applyAlignment="1">
      <alignment horizontal="right" vertical="center"/>
    </xf>
    <xf numFmtId="175" fontId="43" fillId="24" borderId="60" xfId="27" applyNumberFormat="1" applyFont="1" applyFill="1" applyBorder="1" applyAlignment="1">
      <alignment horizontal="right" vertical="center" indent="1"/>
    </xf>
    <xf numFmtId="0" fontId="44" fillId="0" borderId="0" xfId="0" applyFont="1" applyAlignment="1">
      <alignment horizontal="left" vertical="center"/>
    </xf>
    <xf numFmtId="170" fontId="35" fillId="21" borderId="50" xfId="0" applyNumberFormat="1" applyFont="1" applyFill="1" applyBorder="1" applyAlignment="1">
      <alignment horizontal="right" vertical="center"/>
    </xf>
    <xf numFmtId="170" fontId="35" fillId="7" borderId="33" xfId="0" applyNumberFormat="1" applyFont="1" applyFill="1" applyBorder="1" applyAlignment="1">
      <alignment horizontal="right" vertical="center"/>
    </xf>
    <xf numFmtId="170" fontId="35" fillId="0" borderId="33" xfId="0" applyNumberFormat="1" applyFont="1" applyBorder="1" applyAlignment="1">
      <alignment horizontal="right" vertical="center"/>
    </xf>
    <xf numFmtId="0" fontId="45" fillId="20" borderId="0" xfId="0" applyFont="1" applyFill="1" applyAlignment="1">
      <alignment vertical="center"/>
    </xf>
    <xf numFmtId="0" fontId="38" fillId="20" borderId="0" xfId="0" applyFont="1" applyFill="1" applyAlignment="1" applyProtection="1">
      <alignment vertical="center"/>
      <protection locked="0"/>
    </xf>
    <xf numFmtId="0" fontId="38" fillId="20" borderId="0" xfId="0" applyFont="1" applyFill="1" applyAlignment="1">
      <alignment horizontal="right" vertical="center"/>
    </xf>
    <xf numFmtId="0" fontId="46" fillId="13" borderId="0" xfId="0" applyFont="1" applyFill="1" applyAlignment="1" applyProtection="1">
      <alignment vertical="center"/>
      <protection locked="0"/>
    </xf>
    <xf numFmtId="0" fontId="47" fillId="13" borderId="0" xfId="0" applyFont="1" applyFill="1" applyAlignment="1" applyProtection="1">
      <alignment horizontal="right" vertical="center"/>
      <protection locked="0"/>
    </xf>
    <xf numFmtId="0" fontId="48" fillId="25" borderId="0" xfId="1" applyFont="1" applyFill="1" applyAlignment="1">
      <alignment horizontal="centerContinuous" vertical="center"/>
    </xf>
    <xf numFmtId="0" fontId="49" fillId="25" borderId="0" xfId="1" applyFont="1" applyFill="1" applyAlignment="1" applyProtection="1">
      <alignment vertical="center"/>
      <protection locked="0"/>
    </xf>
    <xf numFmtId="0" fontId="29" fillId="13" borderId="61" xfId="1" applyFont="1" applyFill="1" applyBorder="1" applyAlignment="1">
      <alignment vertical="center"/>
    </xf>
    <xf numFmtId="0" fontId="30" fillId="13" borderId="0" xfId="1" applyFont="1" applyFill="1" applyAlignment="1" applyProtection="1">
      <alignment vertical="center"/>
      <protection locked="0"/>
    </xf>
    <xf numFmtId="0" fontId="29" fillId="13" borderId="0" xfId="1" applyFont="1" applyFill="1" applyAlignment="1">
      <alignment vertical="center"/>
    </xf>
    <xf numFmtId="0" fontId="31" fillId="14" borderId="0" xfId="1" applyFont="1" applyFill="1" applyAlignment="1">
      <alignment vertical="center"/>
    </xf>
    <xf numFmtId="0" fontId="31" fillId="14" borderId="10" xfId="1" applyFont="1" applyFill="1" applyBorder="1" applyAlignment="1">
      <alignment horizontal="center" vertical="center" wrapText="1"/>
    </xf>
    <xf numFmtId="0" fontId="33" fillId="15" borderId="0" xfId="1" applyFont="1" applyFill="1" applyAlignment="1">
      <alignment vertical="center"/>
    </xf>
    <xf numFmtId="9" fontId="31" fillId="14" borderId="0" xfId="1" applyNumberFormat="1" applyFont="1" applyFill="1" applyAlignment="1">
      <alignment horizontal="left" vertical="center"/>
    </xf>
    <xf numFmtId="168" fontId="31" fillId="14" borderId="0" xfId="1" applyNumberFormat="1" applyFont="1" applyFill="1" applyAlignment="1">
      <alignment horizontal="right" vertical="center"/>
    </xf>
    <xf numFmtId="0" fontId="31" fillId="14" borderId="0" xfId="1" applyFont="1" applyFill="1" applyAlignment="1">
      <alignment horizontal="center" vertical="center" wrapText="1"/>
    </xf>
    <xf numFmtId="168" fontId="31" fillId="15" borderId="0" xfId="1" applyNumberFormat="1" applyFont="1" applyFill="1" applyAlignment="1">
      <alignment horizontal="right" vertical="center"/>
    </xf>
    <xf numFmtId="0" fontId="50" fillId="26" borderId="0" xfId="1" applyFont="1" applyFill="1" applyAlignment="1">
      <alignment vertical="center"/>
    </xf>
    <xf numFmtId="0" fontId="51" fillId="26" borderId="0" xfId="1" applyFont="1" applyFill="1" applyAlignment="1">
      <alignment horizontal="centerContinuous" vertical="center"/>
    </xf>
    <xf numFmtId="0" fontId="51" fillId="26" borderId="0" xfId="1" applyFont="1" applyFill="1" applyAlignment="1">
      <alignment horizontal="center" vertical="center"/>
    </xf>
    <xf numFmtId="0" fontId="31" fillId="17" borderId="0" xfId="1" applyFont="1" applyFill="1" applyAlignment="1">
      <alignment vertical="center"/>
    </xf>
    <xf numFmtId="0" fontId="31" fillId="17" borderId="0" xfId="1" applyFont="1" applyFill="1" applyAlignment="1">
      <alignment horizontal="right" vertical="center"/>
    </xf>
    <xf numFmtId="0" fontId="31" fillId="17" borderId="0" xfId="1" quotePrefix="1" applyFont="1" applyFill="1" applyAlignment="1">
      <alignment horizontal="right" vertical="center"/>
    </xf>
    <xf numFmtId="0" fontId="31" fillId="17" borderId="0" xfId="1" applyFont="1" applyFill="1" applyAlignment="1">
      <alignment horizontal="right" vertical="center" indent="1"/>
    </xf>
    <xf numFmtId="0" fontId="42" fillId="23" borderId="0" xfId="1" applyFont="1" applyFill="1" applyAlignment="1">
      <alignment horizontal="left" vertical="center"/>
    </xf>
    <xf numFmtId="173" fontId="42" fillId="23" borderId="0" xfId="1" applyNumberFormat="1" applyFont="1" applyFill="1" applyAlignment="1">
      <alignment horizontal="right" vertical="center"/>
    </xf>
    <xf numFmtId="172" fontId="42" fillId="23" borderId="0" xfId="27" applyNumberFormat="1" applyFont="1" applyFill="1" applyAlignment="1">
      <alignment horizontal="right" vertical="center" indent="1"/>
    </xf>
    <xf numFmtId="0" fontId="43" fillId="24" borderId="44" xfId="1" applyFont="1" applyFill="1" applyBorder="1" applyAlignment="1">
      <alignment horizontal="left" vertical="center"/>
    </xf>
    <xf numFmtId="173" fontId="43" fillId="24" borderId="44" xfId="1" applyNumberFormat="1" applyFont="1" applyFill="1" applyBorder="1" applyAlignment="1">
      <alignment horizontal="right" vertical="center"/>
    </xf>
    <xf numFmtId="0" fontId="35" fillId="20" borderId="0" xfId="1" applyFont="1" applyFill="1" applyAlignment="1">
      <alignment horizontal="left" vertical="center" indent="1"/>
    </xf>
    <xf numFmtId="173" fontId="35" fillId="20" borderId="0" xfId="1" applyNumberFormat="1" applyFont="1" applyFill="1" applyAlignment="1">
      <alignment horizontal="right" vertical="center"/>
    </xf>
    <xf numFmtId="0" fontId="35" fillId="0" borderId="0" xfId="1" applyFont="1" applyAlignment="1">
      <alignment horizontal="left" vertical="center" indent="1"/>
    </xf>
    <xf numFmtId="173" fontId="35" fillId="7" borderId="0" xfId="1" applyNumberFormat="1" applyFont="1" applyFill="1" applyAlignment="1">
      <alignment horizontal="right" vertical="center"/>
    </xf>
    <xf numFmtId="173" fontId="35" fillId="0" borderId="0" xfId="1" applyNumberFormat="1" applyFont="1" applyAlignment="1">
      <alignment horizontal="right" vertical="center"/>
    </xf>
    <xf numFmtId="0" fontId="43" fillId="24" borderId="60" xfId="1" applyFont="1" applyFill="1" applyBorder="1" applyAlignment="1">
      <alignment horizontal="left" vertical="center"/>
    </xf>
    <xf numFmtId="173" fontId="43" fillId="24" borderId="60" xfId="1" applyNumberFormat="1" applyFont="1" applyFill="1" applyBorder="1" applyAlignment="1">
      <alignment horizontal="right" vertical="center"/>
    </xf>
    <xf numFmtId="0" fontId="29" fillId="13" borderId="0" xfId="1" applyFont="1" applyFill="1" applyAlignment="1" applyProtection="1">
      <alignment vertical="center"/>
      <protection locked="0"/>
    </xf>
    <xf numFmtId="0" fontId="35" fillId="20" borderId="50" xfId="1" applyFont="1" applyFill="1" applyBorder="1" applyAlignment="1">
      <alignment horizontal="left" vertical="center" indent="1"/>
    </xf>
    <xf numFmtId="173" fontId="35" fillId="20" borderId="50" xfId="1" applyNumberFormat="1" applyFont="1" applyFill="1" applyBorder="1" applyAlignment="1">
      <alignment horizontal="right" vertical="center"/>
    </xf>
    <xf numFmtId="0" fontId="35" fillId="0" borderId="33" xfId="1" applyFont="1" applyBorder="1" applyAlignment="1">
      <alignment horizontal="left" vertical="center" indent="1"/>
    </xf>
    <xf numFmtId="173" fontId="35" fillId="7" borderId="33" xfId="1" applyNumberFormat="1" applyFont="1" applyFill="1" applyBorder="1" applyAlignment="1">
      <alignment horizontal="right" vertical="center"/>
    </xf>
    <xf numFmtId="173" fontId="35" fillId="0" borderId="33" xfId="1" applyNumberFormat="1" applyFont="1" applyBorder="1" applyAlignment="1">
      <alignment horizontal="right" vertical="center"/>
    </xf>
    <xf numFmtId="0" fontId="35" fillId="20" borderId="46" xfId="1" applyFont="1" applyFill="1" applyBorder="1" applyAlignment="1">
      <alignment horizontal="left" vertical="center" indent="1"/>
    </xf>
    <xf numFmtId="173" fontId="35" fillId="20" borderId="46" xfId="1" applyNumberFormat="1" applyFont="1" applyFill="1" applyBorder="1" applyAlignment="1">
      <alignment horizontal="right" vertical="center"/>
    </xf>
    <xf numFmtId="0" fontId="35" fillId="0" borderId="49" xfId="1" applyFont="1" applyBorder="1" applyAlignment="1">
      <alignment horizontal="left" vertical="center" indent="1"/>
    </xf>
    <xf numFmtId="173" fontId="35" fillId="7" borderId="49" xfId="1" applyNumberFormat="1" applyFont="1" applyFill="1" applyBorder="1" applyAlignment="1">
      <alignment horizontal="right" vertical="center"/>
    </xf>
    <xf numFmtId="173" fontId="35" fillId="0" borderId="49" xfId="1" applyNumberFormat="1" applyFont="1" applyBorder="1" applyAlignment="1">
      <alignment horizontal="right" vertical="center"/>
    </xf>
    <xf numFmtId="0" fontId="35" fillId="20" borderId="50" xfId="1" applyFont="1" applyFill="1" applyBorder="1" applyAlignment="1">
      <alignment horizontal="left" vertical="center"/>
    </xf>
    <xf numFmtId="176" fontId="35" fillId="20" borderId="50" xfId="1" applyNumberFormat="1" applyFont="1" applyFill="1" applyBorder="1" applyAlignment="1">
      <alignment horizontal="right" vertical="center"/>
    </xf>
    <xf numFmtId="0" fontId="35" fillId="0" borderId="33" xfId="1" applyFont="1" applyBorder="1" applyAlignment="1">
      <alignment horizontal="left" vertical="center"/>
    </xf>
    <xf numFmtId="0" fontId="42" fillId="23" borderId="54" xfId="1" applyFont="1" applyFill="1" applyBorder="1" applyAlignment="1">
      <alignment horizontal="left" vertical="center"/>
    </xf>
    <xf numFmtId="173" fontId="42" fillId="23" borderId="54" xfId="1" applyNumberFormat="1" applyFont="1" applyFill="1" applyBorder="1" applyAlignment="1">
      <alignment horizontal="right" vertical="center"/>
    </xf>
    <xf numFmtId="171" fontId="42" fillId="23" borderId="62" xfId="27" applyNumberFormat="1" applyFont="1" applyFill="1" applyBorder="1" applyAlignment="1">
      <alignment horizontal="right" vertical="center"/>
    </xf>
    <xf numFmtId="171" fontId="42" fillId="23" borderId="54" xfId="27" applyNumberFormat="1" applyFont="1" applyFill="1" applyBorder="1" applyAlignment="1">
      <alignment horizontal="right" vertical="center"/>
    </xf>
    <xf numFmtId="172" fontId="42" fillId="23" borderId="54" xfId="27" applyNumberFormat="1" applyFont="1" applyFill="1" applyBorder="1" applyAlignment="1">
      <alignment horizontal="right" vertical="center" indent="1"/>
    </xf>
    <xf numFmtId="0" fontId="43" fillId="24" borderId="58" xfId="1" applyFont="1" applyFill="1" applyBorder="1" applyAlignment="1">
      <alignment horizontal="left" vertical="center"/>
    </xf>
    <xf numFmtId="173" fontId="43" fillId="24" borderId="58" xfId="1" applyNumberFormat="1" applyFont="1" applyFill="1" applyBorder="1" applyAlignment="1">
      <alignment horizontal="right" vertical="center"/>
    </xf>
    <xf numFmtId="0" fontId="35" fillId="3" borderId="50" xfId="1" applyFont="1" applyFill="1" applyBorder="1" applyAlignment="1">
      <alignment horizontal="left" vertical="center"/>
    </xf>
    <xf numFmtId="173" fontId="35" fillId="3" borderId="50" xfId="1" applyNumberFormat="1" applyFont="1" applyFill="1" applyBorder="1" applyAlignment="1">
      <alignment horizontal="right" vertical="center"/>
    </xf>
    <xf numFmtId="171" fontId="35" fillId="3" borderId="51" xfId="27" applyNumberFormat="1" applyFont="1" applyFill="1" applyBorder="1" applyAlignment="1">
      <alignment horizontal="right" vertical="center"/>
    </xf>
    <xf numFmtId="171" fontId="35" fillId="3" borderId="50" xfId="27" applyNumberFormat="1" applyFont="1" applyFill="1" applyBorder="1" applyAlignment="1">
      <alignment horizontal="right" vertical="center"/>
    </xf>
    <xf numFmtId="172" fontId="35" fillId="3" borderId="50" xfId="27" applyNumberFormat="1" applyFont="1" applyFill="1" applyBorder="1" applyAlignment="1">
      <alignment horizontal="right" vertical="center" indent="1"/>
    </xf>
    <xf numFmtId="0" fontId="35" fillId="3" borderId="33" xfId="1" applyFont="1" applyFill="1" applyBorder="1" applyAlignment="1">
      <alignment horizontal="left" vertical="center"/>
    </xf>
    <xf numFmtId="173" fontId="35" fillId="3" borderId="33" xfId="1" applyNumberFormat="1" applyFont="1" applyFill="1" applyBorder="1" applyAlignment="1">
      <alignment horizontal="right" vertical="center"/>
    </xf>
    <xf numFmtId="174" fontId="35" fillId="3" borderId="33" xfId="27" applyNumberFormat="1" applyFont="1" applyFill="1" applyBorder="1" applyAlignment="1">
      <alignment horizontal="right" vertical="center"/>
    </xf>
    <xf numFmtId="175" fontId="35" fillId="3" borderId="33" xfId="27" applyNumberFormat="1" applyFont="1" applyFill="1" applyBorder="1" applyAlignment="1">
      <alignment horizontal="right" vertical="center" indent="1"/>
    </xf>
    <xf numFmtId="170" fontId="42" fillId="23" borderId="0" xfId="1" applyNumberFormat="1" applyFont="1" applyFill="1" applyAlignment="1">
      <alignment horizontal="right" vertical="center"/>
    </xf>
    <xf numFmtId="170" fontId="43" fillId="24" borderId="60" xfId="1" applyNumberFormat="1" applyFont="1" applyFill="1" applyBorder="1" applyAlignment="1">
      <alignment horizontal="right" vertical="center"/>
    </xf>
    <xf numFmtId="170" fontId="35" fillId="20" borderId="0" xfId="1" applyNumberFormat="1" applyFont="1" applyFill="1" applyAlignment="1">
      <alignment horizontal="right" vertical="center"/>
    </xf>
    <xf numFmtId="170" fontId="35" fillId="7" borderId="0" xfId="1" applyNumberFormat="1" applyFont="1" applyFill="1" applyAlignment="1">
      <alignment horizontal="right" vertical="center"/>
    </xf>
    <xf numFmtId="170" fontId="35" fillId="0" borderId="0" xfId="1" applyNumberFormat="1" applyFont="1" applyAlignment="1">
      <alignment horizontal="right" vertical="center"/>
    </xf>
    <xf numFmtId="0" fontId="43" fillId="24" borderId="0" xfId="1" applyFont="1" applyFill="1" applyAlignment="1">
      <alignment horizontal="left" vertical="center"/>
    </xf>
    <xf numFmtId="170" fontId="43" fillId="24" borderId="0" xfId="1" applyNumberFormat="1" applyFont="1" applyFill="1" applyAlignment="1">
      <alignment horizontal="right" vertical="center"/>
    </xf>
    <xf numFmtId="174" fontId="43" fillId="24" borderId="0" xfId="27" applyNumberFormat="1" applyFont="1" applyFill="1" applyAlignment="1">
      <alignment horizontal="right" vertical="center"/>
    </xf>
    <xf numFmtId="175" fontId="43" fillId="24" borderId="0" xfId="27" applyNumberFormat="1" applyFont="1" applyFill="1" applyAlignment="1">
      <alignment horizontal="right" vertical="center" indent="1"/>
    </xf>
    <xf numFmtId="170" fontId="35" fillId="20" borderId="50" xfId="1" applyNumberFormat="1" applyFont="1" applyFill="1" applyBorder="1" applyAlignment="1">
      <alignment horizontal="right" vertical="center"/>
    </xf>
    <xf numFmtId="170" fontId="35" fillId="7" borderId="33" xfId="1" applyNumberFormat="1" applyFont="1" applyFill="1" applyBorder="1" applyAlignment="1">
      <alignment horizontal="right" vertical="center"/>
    </xf>
    <xf numFmtId="170" fontId="35" fillId="0" borderId="33" xfId="1" applyNumberFormat="1" applyFont="1" applyBorder="1" applyAlignment="1">
      <alignment horizontal="right" vertical="center"/>
    </xf>
    <xf numFmtId="0" fontId="36" fillId="20" borderId="0" xfId="1" applyFont="1" applyFill="1" applyAlignment="1">
      <alignment horizontal="left" vertical="center" indent="1"/>
    </xf>
    <xf numFmtId="170" fontId="36" fillId="20" borderId="0" xfId="1" applyNumberFormat="1" applyFont="1" applyFill="1" applyAlignment="1">
      <alignment horizontal="right" vertical="center"/>
    </xf>
    <xf numFmtId="0" fontId="36" fillId="0" borderId="0" xfId="1" applyFont="1" applyAlignment="1">
      <alignment horizontal="left" vertical="center" indent="1"/>
    </xf>
    <xf numFmtId="170" fontId="36" fillId="7" borderId="0" xfId="1" applyNumberFormat="1" applyFont="1" applyFill="1" applyAlignment="1">
      <alignment horizontal="right" vertical="center"/>
    </xf>
    <xf numFmtId="170" fontId="36" fillId="0" borderId="0" xfId="1" applyNumberFormat="1" applyFont="1" applyAlignment="1">
      <alignment horizontal="right" vertical="center"/>
    </xf>
    <xf numFmtId="174" fontId="36" fillId="7" borderId="0" xfId="27" applyNumberFormat="1" applyFont="1" applyFill="1" applyAlignment="1">
      <alignment horizontal="right" vertical="center"/>
    </xf>
    <xf numFmtId="174" fontId="36" fillId="0" borderId="0" xfId="27" applyNumberFormat="1" applyFont="1" applyAlignment="1">
      <alignment horizontal="right" vertical="center"/>
    </xf>
    <xf numFmtId="175" fontId="36" fillId="7" borderId="0" xfId="27" applyNumberFormat="1" applyFont="1" applyFill="1" applyAlignment="1">
      <alignment horizontal="right" vertical="center" indent="1"/>
    </xf>
    <xf numFmtId="175" fontId="36" fillId="0" borderId="0" xfId="27" applyNumberFormat="1" applyFont="1" applyAlignment="1">
      <alignment horizontal="right" vertical="center" indent="1"/>
    </xf>
    <xf numFmtId="0" fontId="47" fillId="13" borderId="0" xfId="1" applyFont="1" applyFill="1" applyAlignment="1" applyProtection="1">
      <alignment vertical="center"/>
      <protection locked="0"/>
    </xf>
    <xf numFmtId="0" fontId="36" fillId="20" borderId="50" xfId="1" applyFont="1" applyFill="1" applyBorder="1" applyAlignment="1">
      <alignment horizontal="left" vertical="center" indent="1"/>
    </xf>
    <xf numFmtId="170" fontId="36" fillId="20" borderId="50" xfId="1" applyNumberFormat="1" applyFont="1" applyFill="1" applyBorder="1" applyAlignment="1">
      <alignment horizontal="right" vertical="center"/>
    </xf>
    <xf numFmtId="171" fontId="36" fillId="20" borderId="51" xfId="27" applyNumberFormat="1" applyFont="1" applyFill="1" applyBorder="1" applyAlignment="1">
      <alignment horizontal="right" vertical="center"/>
    </xf>
    <xf numFmtId="171" fontId="36" fillId="20" borderId="50" xfId="27" applyNumberFormat="1" applyFont="1" applyFill="1" applyBorder="1" applyAlignment="1">
      <alignment horizontal="right" vertical="center"/>
    </xf>
    <xf numFmtId="172" fontId="36" fillId="20" borderId="50" xfId="27" applyNumberFormat="1" applyFont="1" applyFill="1" applyBorder="1" applyAlignment="1">
      <alignment horizontal="right" vertical="center" indent="1"/>
    </xf>
    <xf numFmtId="0" fontId="36" fillId="0" borderId="33" xfId="1" applyFont="1" applyBorder="1" applyAlignment="1">
      <alignment horizontal="left" vertical="center" indent="1"/>
    </xf>
    <xf numFmtId="170" fontId="36" fillId="7" borderId="33" xfId="1" applyNumberFormat="1" applyFont="1" applyFill="1" applyBorder="1" applyAlignment="1">
      <alignment horizontal="right" vertical="center"/>
    </xf>
    <xf numFmtId="170" fontId="36" fillId="0" borderId="33" xfId="1" applyNumberFormat="1" applyFont="1" applyBorder="1" applyAlignment="1">
      <alignment horizontal="right" vertical="center"/>
    </xf>
    <xf numFmtId="174" fontId="36" fillId="7" borderId="33" xfId="27" applyNumberFormat="1" applyFont="1" applyFill="1" applyBorder="1" applyAlignment="1">
      <alignment horizontal="right" vertical="center"/>
    </xf>
    <xf numFmtId="174" fontId="36" fillId="0" borderId="33" xfId="27" applyNumberFormat="1" applyFont="1" applyBorder="1" applyAlignment="1">
      <alignment horizontal="right" vertical="center"/>
    </xf>
    <xf numFmtId="175" fontId="36" fillId="7" borderId="33" xfId="27" applyNumberFormat="1" applyFont="1" applyFill="1" applyBorder="1" applyAlignment="1">
      <alignment horizontal="right" vertical="center" indent="1"/>
    </xf>
    <xf numFmtId="175" fontId="36" fillId="0" borderId="33" xfId="27" applyNumberFormat="1" applyFont="1" applyBorder="1" applyAlignment="1">
      <alignment horizontal="right" vertical="center" indent="1"/>
    </xf>
    <xf numFmtId="0" fontId="46" fillId="13" borderId="0" xfId="1" applyFont="1" applyFill="1" applyAlignment="1">
      <alignment vertical="center"/>
    </xf>
    <xf numFmtId="0" fontId="47" fillId="13" borderId="0" xfId="1" applyFont="1" applyFill="1" applyAlignment="1">
      <alignment vertical="center"/>
    </xf>
    <xf numFmtId="0" fontId="47" fillId="13" borderId="0" xfId="1" applyFont="1" applyFill="1" applyAlignment="1">
      <alignment horizontal="right" vertical="center"/>
    </xf>
    <xf numFmtId="177" fontId="52" fillId="27" borderId="0" xfId="0" applyNumberFormat="1" applyFont="1" applyFill="1" applyAlignment="1">
      <alignment horizontal="left" vertical="center"/>
    </xf>
    <xf numFmtId="1" fontId="53" fillId="28" borderId="0" xfId="0" applyNumberFormat="1" applyFont="1" applyFill="1" applyAlignment="1">
      <alignment vertical="center"/>
    </xf>
    <xf numFmtId="1" fontId="54" fillId="28" borderId="0" xfId="0" applyNumberFormat="1" applyFont="1" applyFill="1" applyAlignment="1">
      <alignment vertical="center"/>
    </xf>
    <xf numFmtId="1" fontId="0" fillId="3" borderId="0" xfId="0" applyNumberFormat="1" applyFill="1"/>
    <xf numFmtId="1" fontId="55" fillId="3" borderId="0" xfId="0" applyNumberFormat="1" applyFont="1" applyFill="1"/>
    <xf numFmtId="177" fontId="24" fillId="28" borderId="0" xfId="0" applyNumberFormat="1" applyFont="1" applyFill="1"/>
    <xf numFmtId="177" fontId="25" fillId="28" borderId="0" xfId="0" applyNumberFormat="1" applyFont="1" applyFill="1"/>
    <xf numFmtId="177" fontId="25" fillId="3" borderId="0" xfId="0" applyNumberFormat="1" applyFont="1" applyFill="1"/>
    <xf numFmtId="177" fontId="0" fillId="3" borderId="0" xfId="0" applyNumberFormat="1" applyFill="1"/>
    <xf numFmtId="177" fontId="1" fillId="3" borderId="0" xfId="0" applyNumberFormat="1" applyFont="1" applyFill="1"/>
    <xf numFmtId="177" fontId="56" fillId="3" borderId="0" xfId="0" applyNumberFormat="1" applyFont="1" applyFill="1"/>
    <xf numFmtId="0" fontId="56" fillId="0" borderId="0" xfId="0" applyFont="1"/>
    <xf numFmtId="177" fontId="57" fillId="3" borderId="0" xfId="0" applyNumberFormat="1" applyFont="1" applyFill="1"/>
    <xf numFmtId="177" fontId="58" fillId="3" borderId="0" xfId="0" applyNumberFormat="1" applyFont="1" applyFill="1"/>
    <xf numFmtId="177" fontId="0" fillId="3" borderId="0" xfId="0" applyNumberFormat="1" applyFill="1" applyAlignment="1">
      <alignment wrapText="1"/>
    </xf>
    <xf numFmtId="177" fontId="0" fillId="3" borderId="0" xfId="0" applyNumberFormat="1" applyFill="1" applyAlignment="1">
      <alignment horizontal="left" vertical="top" wrapText="1"/>
    </xf>
    <xf numFmtId="177" fontId="1" fillId="3" borderId="0" xfId="0" applyNumberFormat="1" applyFont="1" applyFill="1" applyAlignment="1">
      <alignment wrapText="1"/>
    </xf>
    <xf numFmtId="0" fontId="59" fillId="0" borderId="0" xfId="0" applyFont="1" applyAlignment="1">
      <alignment vertical="center"/>
    </xf>
    <xf numFmtId="0" fontId="0" fillId="29" borderId="0" xfId="0" applyFill="1"/>
    <xf numFmtId="0" fontId="59" fillId="29" borderId="0" xfId="0" applyFont="1" applyFill="1" applyAlignment="1">
      <alignment vertical="center"/>
    </xf>
    <xf numFmtId="0" fontId="61" fillId="30" borderId="63" xfId="28" applyFont="1" applyFill="1" applyBorder="1" applyAlignment="1">
      <alignment horizontal="right" vertical="center" indent="1"/>
    </xf>
    <xf numFmtId="0" fontId="61" fillId="30" borderId="64" xfId="28" applyFont="1" applyFill="1" applyBorder="1" applyAlignment="1">
      <alignment horizontal="left" vertical="center" indent="1"/>
    </xf>
    <xf numFmtId="0" fontId="61" fillId="30" borderId="65" xfId="28" applyFont="1" applyFill="1" applyBorder="1" applyAlignment="1">
      <alignment horizontal="center" vertical="center"/>
    </xf>
    <xf numFmtId="0" fontId="62" fillId="31" borderId="65" xfId="28" applyFont="1" applyFill="1" applyBorder="1" applyAlignment="1">
      <alignment horizontal="center" vertical="center"/>
    </xf>
    <xf numFmtId="0" fontId="62" fillId="32" borderId="65" xfId="28" applyFont="1" applyFill="1" applyBorder="1" applyAlignment="1">
      <alignment horizontal="center" vertical="center"/>
    </xf>
    <xf numFmtId="0" fontId="62" fillId="33" borderId="65" xfId="28" applyFont="1" applyFill="1" applyBorder="1" applyAlignment="1">
      <alignment horizontal="center" vertical="center"/>
    </xf>
    <xf numFmtId="0" fontId="62" fillId="34" borderId="66" xfId="28" applyFont="1" applyFill="1" applyBorder="1" applyAlignment="1">
      <alignment horizontal="right" vertical="center" indent="1"/>
    </xf>
    <xf numFmtId="0" fontId="62" fillId="34" borderId="66" xfId="28" applyFont="1" applyFill="1" applyBorder="1" applyAlignment="1">
      <alignment horizontal="left" vertical="center" wrapText="1" indent="1"/>
    </xf>
    <xf numFmtId="0" fontId="59" fillId="29" borderId="68" xfId="0" applyFont="1" applyFill="1" applyBorder="1" applyAlignment="1">
      <alignment horizontal="right" vertical="center" indent="1"/>
    </xf>
    <xf numFmtId="0" fontId="59" fillId="29" borderId="68" xfId="0" applyFont="1" applyFill="1" applyBorder="1" applyAlignment="1">
      <alignment horizontal="left" vertical="center" indent="1"/>
    </xf>
    <xf numFmtId="165" fontId="0" fillId="0" borderId="69" xfId="0" applyNumberFormat="1" applyBorder="1" applyAlignment="1">
      <alignment horizontal="right" vertical="center" indent="1"/>
    </xf>
    <xf numFmtId="165" fontId="0" fillId="0" borderId="70" xfId="0" applyNumberFormat="1" applyBorder="1" applyAlignment="1">
      <alignment horizontal="right" vertical="center" indent="1"/>
    </xf>
    <xf numFmtId="165" fontId="0" fillId="0" borderId="71" xfId="0" applyNumberFormat="1" applyBorder="1" applyAlignment="1">
      <alignment horizontal="right" vertical="center" indent="1"/>
    </xf>
    <xf numFmtId="165" fontId="0" fillId="0" borderId="68" xfId="0" applyNumberFormat="1" applyBorder="1" applyAlignment="1">
      <alignment horizontal="right" vertical="center" indent="1"/>
    </xf>
    <xf numFmtId="165" fontId="0" fillId="0" borderId="72" xfId="0" applyNumberFormat="1" applyBorder="1" applyAlignment="1">
      <alignment horizontal="right" vertical="center" indent="1"/>
    </xf>
    <xf numFmtId="165" fontId="0" fillId="0" borderId="73" xfId="0" applyNumberFormat="1" applyBorder="1" applyAlignment="1">
      <alignment horizontal="right" vertical="center" indent="1"/>
    </xf>
    <xf numFmtId="165" fontId="0" fillId="0" borderId="68" xfId="0" applyNumberFormat="1" applyBorder="1" applyAlignment="1">
      <alignment horizontal="right" vertical="center" wrapText="1" indent="1"/>
    </xf>
    <xf numFmtId="0" fontId="7" fillId="3" borderId="0" xfId="0" applyFont="1" applyFill="1"/>
    <xf numFmtId="0" fontId="61" fillId="35" borderId="74" xfId="0" applyFont="1" applyFill="1" applyBorder="1" applyAlignment="1">
      <alignment horizontal="right" vertical="center" indent="1"/>
    </xf>
    <xf numFmtId="165" fontId="63" fillId="30" borderId="74" xfId="0" applyNumberFormat="1" applyFont="1" applyFill="1" applyBorder="1" applyAlignment="1">
      <alignment horizontal="right" vertical="center" indent="1"/>
    </xf>
    <xf numFmtId="165" fontId="64" fillId="31" borderId="74" xfId="0" applyNumberFormat="1" applyFont="1" applyFill="1" applyBorder="1" applyAlignment="1">
      <alignment horizontal="right" vertical="center" indent="1"/>
    </xf>
    <xf numFmtId="165" fontId="64" fillId="32" borderId="74" xfId="0" applyNumberFormat="1" applyFont="1" applyFill="1" applyBorder="1" applyAlignment="1">
      <alignment horizontal="right" vertical="center" indent="1"/>
    </xf>
    <xf numFmtId="165" fontId="64" fillId="33" borderId="74" xfId="0" applyNumberFormat="1" applyFont="1" applyFill="1" applyBorder="1" applyAlignment="1">
      <alignment horizontal="right" vertical="center" indent="1"/>
    </xf>
    <xf numFmtId="0" fontId="62" fillId="34" borderId="75" xfId="28" applyFont="1" applyFill="1" applyBorder="1" applyAlignment="1">
      <alignment horizontal="right" vertical="center" indent="1"/>
    </xf>
    <xf numFmtId="0" fontId="62" fillId="34" borderId="75" xfId="28" applyFont="1" applyFill="1" applyBorder="1" applyAlignment="1">
      <alignment horizontal="left" vertical="center" indent="1"/>
    </xf>
    <xf numFmtId="1" fontId="0" fillId="0" borderId="69" xfId="0" applyNumberFormat="1" applyBorder="1" applyAlignment="1">
      <alignment horizontal="right" vertical="center" indent="1"/>
    </xf>
    <xf numFmtId="1" fontId="0" fillId="0" borderId="70" xfId="0" applyNumberFormat="1" applyBorder="1" applyAlignment="1">
      <alignment horizontal="right" vertical="center" indent="1"/>
    </xf>
    <xf numFmtId="1" fontId="0" fillId="0" borderId="71" xfId="0" applyNumberFormat="1" applyBorder="1" applyAlignment="1">
      <alignment horizontal="right" vertical="center" indent="1"/>
    </xf>
    <xf numFmtId="1" fontId="0" fillId="0" borderId="68" xfId="0" applyNumberFormat="1" applyBorder="1" applyAlignment="1">
      <alignment horizontal="right" vertical="center" indent="1"/>
    </xf>
    <xf numFmtId="1" fontId="0" fillId="0" borderId="72" xfId="0" applyNumberFormat="1" applyBorder="1" applyAlignment="1">
      <alignment horizontal="right" vertical="center" indent="1"/>
    </xf>
    <xf numFmtId="1" fontId="0" fillId="0" borderId="73" xfId="0" applyNumberFormat="1" applyBorder="1" applyAlignment="1">
      <alignment horizontal="right" vertical="center" indent="1"/>
    </xf>
    <xf numFmtId="1" fontId="63" fillId="30" borderId="74" xfId="0" applyNumberFormat="1" applyFont="1" applyFill="1" applyBorder="1" applyAlignment="1">
      <alignment horizontal="right" vertical="center" indent="1"/>
    </xf>
    <xf numFmtId="1" fontId="64" fillId="31" borderId="74" xfId="0" applyNumberFormat="1" applyFont="1" applyFill="1" applyBorder="1" applyAlignment="1">
      <alignment horizontal="right" vertical="center" indent="1"/>
    </xf>
    <xf numFmtId="1" fontId="64" fillId="32" borderId="74" xfId="0" applyNumberFormat="1" applyFont="1" applyFill="1" applyBorder="1" applyAlignment="1">
      <alignment horizontal="right" vertical="center" indent="1"/>
    </xf>
    <xf numFmtId="1" fontId="64" fillId="33" borderId="74" xfId="0" applyNumberFormat="1" applyFont="1" applyFill="1" applyBorder="1" applyAlignment="1">
      <alignment horizontal="right" vertical="center" indent="1"/>
    </xf>
    <xf numFmtId="0" fontId="62" fillId="34" borderId="75" xfId="28" applyFont="1" applyFill="1" applyBorder="1" applyAlignment="1">
      <alignment horizontal="left" vertical="center" wrapText="1" indent="1"/>
    </xf>
    <xf numFmtId="2" fontId="0" fillId="0" borderId="69" xfId="0" applyNumberFormat="1" applyBorder="1" applyAlignment="1">
      <alignment horizontal="right" vertical="center" indent="1"/>
    </xf>
    <xf numFmtId="2" fontId="0" fillId="0" borderId="70" xfId="0" applyNumberFormat="1" applyBorder="1" applyAlignment="1">
      <alignment horizontal="right" vertical="center" indent="1"/>
    </xf>
    <xf numFmtId="2" fontId="0" fillId="0" borderId="71" xfId="0" applyNumberFormat="1" applyBorder="1" applyAlignment="1">
      <alignment horizontal="right" vertical="center" indent="1"/>
    </xf>
    <xf numFmtId="2" fontId="0" fillId="0" borderId="68" xfId="0" applyNumberFormat="1" applyBorder="1" applyAlignment="1">
      <alignment horizontal="right" vertical="center" indent="1"/>
    </xf>
    <xf numFmtId="2" fontId="0" fillId="0" borderId="72" xfId="0" applyNumberFormat="1" applyBorder="1" applyAlignment="1">
      <alignment horizontal="right" vertical="center" indent="1"/>
    </xf>
    <xf numFmtId="2" fontId="0" fillId="0" borderId="73" xfId="0" applyNumberFormat="1" applyBorder="1" applyAlignment="1">
      <alignment horizontal="right" vertical="center" indent="1"/>
    </xf>
    <xf numFmtId="2" fontId="63" fillId="30" borderId="74" xfId="0" applyNumberFormat="1" applyFont="1" applyFill="1" applyBorder="1" applyAlignment="1">
      <alignment horizontal="right" vertical="center" indent="1"/>
    </xf>
    <xf numFmtId="2" fontId="64" fillId="31" borderId="74" xfId="0" applyNumberFormat="1" applyFont="1" applyFill="1" applyBorder="1" applyAlignment="1">
      <alignment horizontal="right" vertical="center" indent="1"/>
    </xf>
    <xf numFmtId="2" fontId="64" fillId="32" borderId="74" xfId="0" applyNumberFormat="1" applyFont="1" applyFill="1" applyBorder="1" applyAlignment="1">
      <alignment horizontal="right" vertical="center" indent="1"/>
    </xf>
    <xf numFmtId="2" fontId="64" fillId="33" borderId="74" xfId="0" applyNumberFormat="1" applyFont="1" applyFill="1" applyBorder="1" applyAlignment="1">
      <alignment horizontal="right" vertical="center" indent="1"/>
    </xf>
    <xf numFmtId="0" fontId="68" fillId="36" borderId="0" xfId="0" applyFont="1" applyFill="1" applyAlignment="1" applyProtection="1">
      <alignment vertical="center"/>
      <protection locked="0"/>
    </xf>
    <xf numFmtId="0" fontId="69" fillId="14" borderId="0" xfId="0" applyFont="1" applyFill="1" applyAlignment="1">
      <alignment vertical="center"/>
    </xf>
    <xf numFmtId="0" fontId="69" fillId="14" borderId="0" xfId="0" applyFont="1" applyFill="1" applyAlignment="1">
      <alignment horizontal="centerContinuous" vertical="center" wrapText="1"/>
    </xf>
    <xf numFmtId="0" fontId="69" fillId="14" borderId="0" xfId="0" applyFont="1" applyFill="1" applyAlignment="1">
      <alignment horizontal="centerContinuous" vertical="center"/>
    </xf>
    <xf numFmtId="0" fontId="70" fillId="14" borderId="0" xfId="0" applyFont="1" applyFill="1" applyAlignment="1">
      <alignment horizontal="centerContinuous" vertical="center" wrapText="1"/>
    </xf>
    <xf numFmtId="0" fontId="69" fillId="14" borderId="0" xfId="0" applyFont="1" applyFill="1" applyAlignment="1">
      <alignment horizontal="center" vertical="center" wrapText="1"/>
    </xf>
    <xf numFmtId="0" fontId="71" fillId="15" borderId="0" xfId="0" applyFont="1" applyFill="1" applyAlignment="1">
      <alignment vertical="center"/>
    </xf>
    <xf numFmtId="0" fontId="69" fillId="15" borderId="0" xfId="0" applyFont="1" applyFill="1" applyAlignment="1">
      <alignment horizontal="centerContinuous" vertical="center" wrapText="1"/>
    </xf>
    <xf numFmtId="0" fontId="70" fillId="15" borderId="0" xfId="0" applyFont="1" applyFill="1" applyAlignment="1">
      <alignment horizontal="centerContinuous" vertical="center" wrapText="1"/>
    </xf>
    <xf numFmtId="9" fontId="69" fillId="14" borderId="0" xfId="0" applyNumberFormat="1" applyFont="1" applyFill="1" applyAlignment="1">
      <alignment horizontal="left" vertical="center"/>
    </xf>
    <xf numFmtId="168" fontId="69" fillId="14" borderId="0" xfId="0" applyNumberFormat="1" applyFont="1" applyFill="1" applyAlignment="1">
      <alignment horizontal="right" vertical="center"/>
    </xf>
    <xf numFmtId="168" fontId="69" fillId="14" borderId="0" xfId="0" applyNumberFormat="1" applyFont="1" applyFill="1" applyAlignment="1">
      <alignment vertical="center"/>
    </xf>
    <xf numFmtId="168" fontId="69" fillId="15" borderId="0" xfId="0" applyNumberFormat="1" applyFont="1" applyFill="1" applyAlignment="1">
      <alignment horizontal="right" vertical="center"/>
    </xf>
    <xf numFmtId="0" fontId="72" fillId="16" borderId="0" xfId="0" applyFont="1" applyFill="1" applyAlignment="1">
      <alignment vertical="center"/>
    </xf>
    <xf numFmtId="0" fontId="69" fillId="16" borderId="0" xfId="0" applyFont="1" applyFill="1" applyAlignment="1">
      <alignment horizontal="centerContinuous" vertical="center"/>
    </xf>
    <xf numFmtId="0" fontId="69" fillId="16" borderId="0" xfId="0" applyFont="1" applyFill="1" applyAlignment="1">
      <alignment horizontal="center" vertical="center"/>
    </xf>
    <xf numFmtId="0" fontId="69" fillId="16" borderId="76" xfId="0" applyFont="1" applyFill="1" applyBorder="1" applyAlignment="1">
      <alignment horizontal="center" vertical="center"/>
    </xf>
    <xf numFmtId="0" fontId="72" fillId="20" borderId="0" xfId="0" applyFont="1" applyFill="1" applyAlignment="1" applyProtection="1">
      <alignment vertical="center"/>
      <protection locked="0"/>
    </xf>
    <xf numFmtId="0" fontId="69" fillId="17" borderId="0" xfId="0" applyFont="1" applyFill="1" applyAlignment="1">
      <alignment vertical="center"/>
    </xf>
    <xf numFmtId="0" fontId="69" fillId="17" borderId="0" xfId="0" applyFont="1" applyFill="1" applyAlignment="1">
      <alignment horizontal="centerContinuous" vertical="center"/>
    </xf>
    <xf numFmtId="0" fontId="69" fillId="17" borderId="0" xfId="0" applyFont="1" applyFill="1" applyAlignment="1">
      <alignment horizontal="right" vertical="center"/>
    </xf>
    <xf numFmtId="0" fontId="69" fillId="17" borderId="0" xfId="0" quotePrefix="1" applyFont="1" applyFill="1" applyAlignment="1">
      <alignment horizontal="right" vertical="center"/>
    </xf>
    <xf numFmtId="0" fontId="69" fillId="17" borderId="0" xfId="0" applyFont="1" applyFill="1" applyAlignment="1">
      <alignment horizontal="center" vertical="center"/>
    </xf>
    <xf numFmtId="0" fontId="69" fillId="17" borderId="77" xfId="0" applyFont="1" applyFill="1" applyBorder="1" applyAlignment="1">
      <alignment horizontal="center" vertical="center"/>
    </xf>
    <xf numFmtId="0" fontId="73" fillId="23" borderId="0" xfId="0" applyFont="1" applyFill="1" applyAlignment="1">
      <alignment horizontal="left" vertical="center"/>
    </xf>
    <xf numFmtId="170" fontId="73" fillId="23" borderId="0" xfId="0" applyNumberFormat="1" applyFont="1" applyFill="1" applyAlignment="1">
      <alignment horizontal="right" vertical="center"/>
    </xf>
    <xf numFmtId="171" fontId="73" fillId="23" borderId="27" xfId="27" applyNumberFormat="1" applyFont="1" applyFill="1" applyBorder="1" applyAlignment="1">
      <alignment horizontal="right" vertical="center"/>
    </xf>
    <xf numFmtId="171" fontId="73" fillId="23" borderId="78" xfId="27" applyNumberFormat="1" applyFont="1" applyFill="1" applyBorder="1" applyAlignment="1">
      <alignment horizontal="right" vertical="center"/>
    </xf>
    <xf numFmtId="175" fontId="73" fillId="23" borderId="79" xfId="27" applyNumberFormat="1" applyFont="1" applyFill="1" applyBorder="1" applyAlignment="1">
      <alignment horizontal="right" vertical="center" indent="2"/>
    </xf>
    <xf numFmtId="0" fontId="74" fillId="24" borderId="60" xfId="0" applyFont="1" applyFill="1" applyBorder="1" applyAlignment="1">
      <alignment horizontal="left" vertical="center"/>
    </xf>
    <xf numFmtId="170" fontId="74" fillId="24" borderId="60" xfId="0" applyNumberFormat="1" applyFont="1" applyFill="1" applyBorder="1" applyAlignment="1">
      <alignment horizontal="right" vertical="center"/>
    </xf>
    <xf numFmtId="174" fontId="74" fillId="24" borderId="60" xfId="27" applyNumberFormat="1" applyFont="1" applyFill="1" applyBorder="1" applyAlignment="1">
      <alignment horizontal="right" vertical="center"/>
    </xf>
    <xf numFmtId="175" fontId="74" fillId="24" borderId="60" xfId="27" applyNumberFormat="1" applyFont="1" applyFill="1" applyBorder="1" applyAlignment="1">
      <alignment horizontal="right" vertical="center" indent="1"/>
    </xf>
    <xf numFmtId="0" fontId="72" fillId="20" borderId="0" xfId="0" applyFont="1" applyFill="1" applyAlignment="1">
      <alignment horizontal="left" vertical="center"/>
    </xf>
    <xf numFmtId="170" fontId="72" fillId="20" borderId="0" xfId="0" applyNumberFormat="1" applyFont="1" applyFill="1" applyAlignment="1">
      <alignment horizontal="right" vertical="center"/>
    </xf>
    <xf numFmtId="170" fontId="23" fillId="21" borderId="0" xfId="0" applyNumberFormat="1" applyFont="1" applyFill="1" applyAlignment="1">
      <alignment horizontal="right" vertical="center"/>
    </xf>
    <xf numFmtId="171" fontId="72" fillId="20" borderId="27" xfId="27" applyNumberFormat="1" applyFont="1" applyFill="1" applyBorder="1" applyAlignment="1">
      <alignment horizontal="right" vertical="center"/>
    </xf>
    <xf numFmtId="171" fontId="72" fillId="20" borderId="78" xfId="27" applyNumberFormat="1" applyFont="1" applyFill="1" applyBorder="1" applyAlignment="1">
      <alignment horizontal="right" vertical="center"/>
    </xf>
    <xf numFmtId="175" fontId="72" fillId="20" borderId="0" xfId="27" applyNumberFormat="1" applyFont="1" applyFill="1" applyAlignment="1">
      <alignment horizontal="right" vertical="center" indent="2"/>
    </xf>
    <xf numFmtId="0" fontId="72" fillId="0" borderId="0" xfId="0" applyFont="1" applyAlignment="1">
      <alignment horizontal="left" vertical="center"/>
    </xf>
    <xf numFmtId="170" fontId="72" fillId="7" borderId="0" xfId="0" applyNumberFormat="1" applyFont="1" applyFill="1" applyAlignment="1">
      <alignment horizontal="right" vertical="center"/>
    </xf>
    <xf numFmtId="170" fontId="72" fillId="0" borderId="0" xfId="0" applyNumberFormat="1" applyFont="1" applyAlignment="1">
      <alignment horizontal="right" vertical="center"/>
    </xf>
    <xf numFmtId="174" fontId="72" fillId="7" borderId="0" xfId="27" applyNumberFormat="1" applyFont="1" applyFill="1" applyAlignment="1">
      <alignment horizontal="right" vertical="center"/>
    </xf>
    <xf numFmtId="174" fontId="72" fillId="0" borderId="0" xfId="27" applyNumberFormat="1" applyFont="1" applyAlignment="1">
      <alignment horizontal="right" vertical="center"/>
    </xf>
    <xf numFmtId="175" fontId="72" fillId="7" borderId="0" xfId="27" applyNumberFormat="1" applyFont="1" applyFill="1" applyAlignment="1">
      <alignment horizontal="right" vertical="center" indent="1"/>
    </xf>
    <xf numFmtId="175" fontId="72" fillId="0" borderId="0" xfId="27" applyNumberFormat="1" applyFont="1" applyAlignment="1">
      <alignment horizontal="right" vertical="center" indent="1"/>
    </xf>
    <xf numFmtId="170" fontId="72" fillId="21" borderId="0" xfId="0" applyNumberFormat="1" applyFont="1" applyFill="1" applyAlignment="1">
      <alignment horizontal="right" vertical="center"/>
    </xf>
    <xf numFmtId="0" fontId="72" fillId="20" borderId="80" xfId="0" applyFont="1" applyFill="1" applyBorder="1" applyAlignment="1">
      <alignment horizontal="left" vertical="center"/>
    </xf>
    <xf numFmtId="170" fontId="72" fillId="20" borderId="80" xfId="0" applyNumberFormat="1" applyFont="1" applyFill="1" applyBorder="1" applyAlignment="1">
      <alignment horizontal="right" vertical="center"/>
    </xf>
    <xf numFmtId="170" fontId="72" fillId="21" borderId="80" xfId="0" applyNumberFormat="1" applyFont="1" applyFill="1" applyBorder="1" applyAlignment="1">
      <alignment horizontal="right" vertical="center"/>
    </xf>
    <xf numFmtId="171" fontId="72" fillId="20" borderId="81" xfId="27" applyNumberFormat="1" applyFont="1" applyFill="1" applyBorder="1" applyAlignment="1">
      <alignment horizontal="right" vertical="center"/>
    </xf>
    <xf numFmtId="171" fontId="72" fillId="20" borderId="82" xfId="27" applyNumberFormat="1" applyFont="1" applyFill="1" applyBorder="1" applyAlignment="1">
      <alignment horizontal="right" vertical="center"/>
    </xf>
    <xf numFmtId="175" fontId="72" fillId="20" borderId="80" xfId="27" applyNumberFormat="1" applyFont="1" applyFill="1" applyBorder="1" applyAlignment="1">
      <alignment horizontal="right" vertical="center" indent="2"/>
    </xf>
    <xf numFmtId="0" fontId="71" fillId="20" borderId="0" xfId="0" applyFont="1" applyFill="1" applyAlignment="1" applyProtection="1">
      <alignment vertical="center"/>
      <protection locked="0"/>
    </xf>
    <xf numFmtId="175" fontId="73" fillId="23" borderId="83" xfId="27" applyNumberFormat="1" applyFont="1" applyFill="1" applyBorder="1" applyAlignment="1">
      <alignment horizontal="right" vertical="center" indent="2"/>
    </xf>
    <xf numFmtId="0" fontId="74" fillId="24" borderId="44" xfId="0" applyFont="1" applyFill="1" applyBorder="1" applyAlignment="1">
      <alignment horizontal="left" vertical="center"/>
    </xf>
    <xf numFmtId="170" fontId="74" fillId="24" borderId="44" xfId="0" applyNumberFormat="1" applyFont="1" applyFill="1" applyBorder="1" applyAlignment="1">
      <alignment horizontal="right" vertical="center"/>
    </xf>
    <xf numFmtId="174" fontId="74" fillId="24" borderId="44" xfId="27" applyNumberFormat="1" applyFont="1" applyFill="1" applyBorder="1" applyAlignment="1">
      <alignment horizontal="right" vertical="center"/>
    </xf>
    <xf numFmtId="175" fontId="74" fillId="24" borderId="44" xfId="27" applyNumberFormat="1" applyFont="1" applyFill="1" applyBorder="1" applyAlignment="1">
      <alignment horizontal="right" vertical="center" indent="1"/>
    </xf>
    <xf numFmtId="175" fontId="74" fillId="24" borderId="84" xfId="27" applyNumberFormat="1" applyFont="1" applyFill="1" applyBorder="1" applyAlignment="1">
      <alignment horizontal="right" vertical="center" indent="1"/>
    </xf>
    <xf numFmtId="0" fontId="75" fillId="20" borderId="80" xfId="0" applyFont="1" applyFill="1" applyBorder="1" applyAlignment="1">
      <alignment horizontal="left" vertical="center"/>
    </xf>
    <xf numFmtId="170" fontId="75" fillId="20" borderId="80" xfId="0" applyNumberFormat="1" applyFont="1" applyFill="1" applyBorder="1" applyAlignment="1">
      <alignment horizontal="right" vertical="center"/>
    </xf>
    <xf numFmtId="170" fontId="75" fillId="21" borderId="80" xfId="0" applyNumberFormat="1" applyFont="1" applyFill="1" applyBorder="1" applyAlignment="1">
      <alignment horizontal="right" vertical="center"/>
    </xf>
    <xf numFmtId="175" fontId="75" fillId="20" borderId="80" xfId="27" applyNumberFormat="1" applyFont="1" applyFill="1" applyBorder="1" applyAlignment="1">
      <alignment horizontal="right" vertical="center" indent="2"/>
    </xf>
    <xf numFmtId="0" fontId="75" fillId="0" borderId="0" xfId="0" applyFont="1" applyAlignment="1">
      <alignment horizontal="left" vertical="center"/>
    </xf>
    <xf numFmtId="170" fontId="75" fillId="7" borderId="0" xfId="0" applyNumberFormat="1" applyFont="1" applyFill="1" applyAlignment="1">
      <alignment horizontal="right" vertical="center"/>
    </xf>
    <xf numFmtId="170" fontId="75" fillId="0" borderId="0" xfId="0" applyNumberFormat="1" applyFont="1" applyAlignment="1">
      <alignment horizontal="right" vertical="center"/>
    </xf>
    <xf numFmtId="174" fontId="75" fillId="7" borderId="0" xfId="27" applyNumberFormat="1" applyFont="1" applyFill="1" applyAlignment="1">
      <alignment horizontal="right" vertical="center"/>
    </xf>
    <xf numFmtId="174" fontId="75" fillId="0" borderId="0" xfId="27" applyNumberFormat="1" applyFont="1" applyAlignment="1">
      <alignment horizontal="right" vertical="center"/>
    </xf>
    <xf numFmtId="175" fontId="75" fillId="7" borderId="0" xfId="27" applyNumberFormat="1" applyFont="1" applyFill="1" applyAlignment="1">
      <alignment horizontal="right" vertical="center" indent="1"/>
    </xf>
    <xf numFmtId="175" fontId="75" fillId="0" borderId="0" xfId="27" applyNumberFormat="1" applyFont="1" applyAlignment="1">
      <alignment horizontal="right" vertical="center" indent="1"/>
    </xf>
    <xf numFmtId="0" fontId="75" fillId="20" borderId="0" xfId="0" applyFont="1" applyFill="1" applyAlignment="1">
      <alignment horizontal="left" vertical="center"/>
    </xf>
    <xf numFmtId="170" fontId="75" fillId="20" borderId="0" xfId="0" applyNumberFormat="1" applyFont="1" applyFill="1" applyAlignment="1">
      <alignment horizontal="right" vertical="center"/>
    </xf>
    <xf numFmtId="170" fontId="75" fillId="21" borderId="0" xfId="0" applyNumberFormat="1" applyFont="1" applyFill="1" applyAlignment="1">
      <alignment horizontal="right" vertical="center"/>
    </xf>
    <xf numFmtId="171" fontId="75" fillId="20" borderId="27" xfId="27" applyNumberFormat="1" applyFont="1" applyFill="1" applyBorder="1" applyAlignment="1">
      <alignment horizontal="right" vertical="center"/>
    </xf>
    <xf numFmtId="171" fontId="75" fillId="20" borderId="78" xfId="27" applyNumberFormat="1" applyFont="1" applyFill="1" applyBorder="1" applyAlignment="1">
      <alignment horizontal="right" vertical="center"/>
    </xf>
    <xf numFmtId="175" fontId="75" fillId="20" borderId="0" xfId="27" applyNumberFormat="1" applyFont="1" applyFill="1" applyAlignment="1">
      <alignment horizontal="right" vertical="center" indent="2"/>
    </xf>
    <xf numFmtId="0" fontId="75" fillId="3" borderId="0" xfId="0" applyFont="1" applyFill="1" applyAlignment="1">
      <alignment horizontal="left" vertical="center"/>
    </xf>
    <xf numFmtId="0" fontId="72" fillId="20" borderId="85" xfId="0" applyFont="1" applyFill="1" applyBorder="1" applyAlignment="1">
      <alignment horizontal="left" vertical="center"/>
    </xf>
    <xf numFmtId="170" fontId="72" fillId="20" borderId="85" xfId="0" applyNumberFormat="1" applyFont="1" applyFill="1" applyBorder="1" applyAlignment="1">
      <alignment horizontal="right" vertical="center"/>
    </xf>
    <xf numFmtId="170" fontId="72" fillId="21" borderId="85" xfId="0" applyNumberFormat="1" applyFont="1" applyFill="1" applyBorder="1" applyAlignment="1">
      <alignment horizontal="right" vertical="center"/>
    </xf>
    <xf numFmtId="171" fontId="72" fillId="20" borderId="86" xfId="27" applyNumberFormat="1" applyFont="1" applyFill="1" applyBorder="1" applyAlignment="1">
      <alignment horizontal="right" vertical="center"/>
    </xf>
    <xf numFmtId="171" fontId="72" fillId="20" borderId="87" xfId="27" applyNumberFormat="1" applyFont="1" applyFill="1" applyBorder="1" applyAlignment="1">
      <alignment horizontal="right" vertical="center"/>
    </xf>
    <xf numFmtId="175" fontId="72" fillId="20" borderId="85" xfId="27" applyNumberFormat="1" applyFont="1" applyFill="1" applyBorder="1" applyAlignment="1">
      <alignment horizontal="right" vertical="center" indent="2"/>
    </xf>
    <xf numFmtId="0" fontId="73" fillId="23" borderId="88" xfId="0" applyFont="1" applyFill="1" applyBorder="1" applyAlignment="1">
      <alignment horizontal="left" vertical="center"/>
    </xf>
    <xf numFmtId="170" fontId="73" fillId="23" borderId="88" xfId="0" applyNumberFormat="1" applyFont="1" applyFill="1" applyBorder="1" applyAlignment="1">
      <alignment horizontal="right" vertical="center"/>
    </xf>
    <xf numFmtId="171" fontId="73" fillId="23" borderId="89" xfId="27" applyNumberFormat="1" applyFont="1" applyFill="1" applyBorder="1" applyAlignment="1">
      <alignment horizontal="right" vertical="center"/>
    </xf>
    <xf numFmtId="171" fontId="73" fillId="23" borderId="90" xfId="27" applyNumberFormat="1" applyFont="1" applyFill="1" applyBorder="1" applyAlignment="1">
      <alignment horizontal="right" vertical="center"/>
    </xf>
    <xf numFmtId="175" fontId="73" fillId="23" borderId="91" xfId="27" applyNumberFormat="1" applyFont="1" applyFill="1" applyBorder="1" applyAlignment="1">
      <alignment horizontal="right" vertical="center" indent="2"/>
    </xf>
    <xf numFmtId="0" fontId="74" fillId="24" borderId="92" xfId="0" applyFont="1" applyFill="1" applyBorder="1" applyAlignment="1">
      <alignment horizontal="left" vertical="center"/>
    </xf>
    <xf numFmtId="170" fontId="74" fillId="24" borderId="92" xfId="0" applyNumberFormat="1" applyFont="1" applyFill="1" applyBorder="1" applyAlignment="1">
      <alignment horizontal="right" vertical="center"/>
    </xf>
    <xf numFmtId="174" fontId="74" fillId="24" borderId="92" xfId="27" applyNumberFormat="1" applyFont="1" applyFill="1" applyBorder="1" applyAlignment="1">
      <alignment horizontal="right" vertical="center"/>
    </xf>
    <xf numFmtId="175" fontId="74" fillId="24" borderId="92" xfId="27" applyNumberFormat="1" applyFont="1" applyFill="1" applyBorder="1" applyAlignment="1">
      <alignment horizontal="right" vertical="center" indent="1"/>
    </xf>
    <xf numFmtId="175" fontId="74" fillId="24" borderId="93" xfId="27" applyNumberFormat="1" applyFont="1" applyFill="1" applyBorder="1" applyAlignment="1">
      <alignment horizontal="right" vertical="center" indent="1"/>
    </xf>
    <xf numFmtId="0" fontId="76" fillId="36" borderId="0" xfId="1" applyFont="1" applyFill="1" applyAlignment="1">
      <alignment horizontal="centerContinuous" vertical="center"/>
    </xf>
    <xf numFmtId="0" fontId="77" fillId="36" borderId="0" xfId="1" applyFont="1" applyFill="1" applyAlignment="1" applyProtection="1">
      <alignment vertical="center"/>
      <protection locked="0"/>
    </xf>
    <xf numFmtId="0" fontId="71" fillId="20" borderId="94" xfId="1" applyFont="1" applyFill="1" applyBorder="1" applyAlignment="1">
      <alignment vertical="center"/>
    </xf>
    <xf numFmtId="0" fontId="72" fillId="20" borderId="0" xfId="1" applyFont="1" applyFill="1" applyAlignment="1" applyProtection="1">
      <alignment vertical="center"/>
      <protection locked="0"/>
    </xf>
    <xf numFmtId="0" fontId="71" fillId="20" borderId="0" xfId="1" applyFont="1" applyFill="1" applyAlignment="1">
      <alignment vertical="center"/>
    </xf>
    <xf numFmtId="0" fontId="69" fillId="14" borderId="95" xfId="1" applyFont="1" applyFill="1" applyBorder="1" applyAlignment="1">
      <alignment vertical="center"/>
    </xf>
    <xf numFmtId="0" fontId="69" fillId="14" borderId="95" xfId="1" applyFont="1" applyFill="1" applyBorder="1" applyAlignment="1">
      <alignment horizontal="centerContinuous" vertical="center" wrapText="1"/>
    </xf>
    <xf numFmtId="0" fontId="69" fillId="14" borderId="95" xfId="1" applyFont="1" applyFill="1" applyBorder="1" applyAlignment="1">
      <alignment horizontal="centerContinuous" vertical="center"/>
    </xf>
    <xf numFmtId="0" fontId="70" fillId="14" borderId="95" xfId="1" applyFont="1" applyFill="1" applyBorder="1" applyAlignment="1">
      <alignment horizontal="centerContinuous" vertical="center" wrapText="1"/>
    </xf>
    <xf numFmtId="0" fontId="69" fillId="14" borderId="95" xfId="1" applyFont="1" applyFill="1" applyBorder="1" applyAlignment="1">
      <alignment horizontal="center" vertical="center" wrapText="1"/>
    </xf>
    <xf numFmtId="0" fontId="71" fillId="15" borderId="0" xfId="1" applyFont="1" applyFill="1" applyAlignment="1">
      <alignment vertical="center"/>
    </xf>
    <xf numFmtId="0" fontId="69" fillId="15" borderId="0" xfId="1" applyFont="1" applyFill="1" applyAlignment="1">
      <alignment horizontal="centerContinuous" vertical="center" wrapText="1"/>
    </xf>
    <xf numFmtId="0" fontId="70" fillId="15" borderId="0" xfId="1" applyFont="1" applyFill="1" applyAlignment="1">
      <alignment horizontal="centerContinuous" vertical="center" wrapText="1"/>
    </xf>
    <xf numFmtId="9" fontId="69" fillId="14" borderId="0" xfId="1" applyNumberFormat="1" applyFont="1" applyFill="1" applyAlignment="1">
      <alignment horizontal="left" vertical="center"/>
    </xf>
    <xf numFmtId="168" fontId="69" fillId="14" borderId="0" xfId="1" applyNumberFormat="1" applyFont="1" applyFill="1" applyAlignment="1">
      <alignment horizontal="right" vertical="center"/>
    </xf>
    <xf numFmtId="0" fontId="69" fillId="14" borderId="0" xfId="1" applyFont="1" applyFill="1" applyAlignment="1">
      <alignment vertical="center"/>
    </xf>
    <xf numFmtId="0" fontId="69" fillId="14" borderId="0" xfId="1" applyFont="1" applyFill="1" applyAlignment="1">
      <alignment horizontal="center" vertical="center" wrapText="1"/>
    </xf>
    <xf numFmtId="168" fontId="69" fillId="15" borderId="0" xfId="1" applyNumberFormat="1" applyFont="1" applyFill="1" applyAlignment="1">
      <alignment horizontal="right" vertical="center"/>
    </xf>
    <xf numFmtId="0" fontId="72" fillId="16" borderId="0" xfId="1" applyFont="1" applyFill="1" applyAlignment="1">
      <alignment vertical="center"/>
    </xf>
    <xf numFmtId="0" fontId="69" fillId="16" borderId="0" xfId="1" applyFont="1" applyFill="1" applyAlignment="1">
      <alignment horizontal="centerContinuous" vertical="center"/>
    </xf>
    <xf numFmtId="0" fontId="69" fillId="16" borderId="0" xfId="1" applyFont="1" applyFill="1" applyAlignment="1">
      <alignment horizontal="center" vertical="center"/>
    </xf>
    <xf numFmtId="0" fontId="69" fillId="17" borderId="0" xfId="1" applyFont="1" applyFill="1" applyAlignment="1">
      <alignment vertical="center"/>
    </xf>
    <xf numFmtId="0" fontId="69" fillId="17" borderId="0" xfId="1" applyFont="1" applyFill="1" applyAlignment="1">
      <alignment horizontal="centerContinuous" vertical="center"/>
    </xf>
    <xf numFmtId="0" fontId="69" fillId="17" borderId="0" xfId="1" applyFont="1" applyFill="1" applyAlignment="1">
      <alignment horizontal="right" vertical="center"/>
    </xf>
    <xf numFmtId="0" fontId="69" fillId="17" borderId="0" xfId="1" quotePrefix="1" applyFont="1" applyFill="1" applyAlignment="1">
      <alignment horizontal="right" vertical="center"/>
    </xf>
    <xf numFmtId="0" fontId="69" fillId="17" borderId="0" xfId="1" applyFont="1" applyFill="1" applyAlignment="1">
      <alignment horizontal="center" vertical="center"/>
    </xf>
    <xf numFmtId="0" fontId="73" fillId="23" borderId="0" xfId="1" applyFont="1" applyFill="1" applyAlignment="1">
      <alignment horizontal="left" vertical="center"/>
    </xf>
    <xf numFmtId="170" fontId="73" fillId="23" borderId="0" xfId="1" applyNumberFormat="1" applyFont="1" applyFill="1" applyAlignment="1">
      <alignment horizontal="right" vertical="center"/>
    </xf>
    <xf numFmtId="175" fontId="73" fillId="23" borderId="0" xfId="27" applyNumberFormat="1" applyFont="1" applyFill="1" applyAlignment="1">
      <alignment horizontal="right" vertical="center" indent="2"/>
    </xf>
    <xf numFmtId="0" fontId="74" fillId="24" borderId="60" xfId="1" applyFont="1" applyFill="1" applyBorder="1" applyAlignment="1">
      <alignment horizontal="left" vertical="center"/>
    </xf>
    <xf numFmtId="170" fontId="74" fillId="24" borderId="60" xfId="1" applyNumberFormat="1" applyFont="1" applyFill="1" applyBorder="1" applyAlignment="1">
      <alignment horizontal="right" vertical="center"/>
    </xf>
    <xf numFmtId="0" fontId="72" fillId="20" borderId="0" xfId="1" applyFont="1" applyFill="1" applyAlignment="1">
      <alignment horizontal="left" vertical="center"/>
    </xf>
    <xf numFmtId="170" fontId="72" fillId="20" borderId="0" xfId="1" applyNumberFormat="1" applyFont="1" applyFill="1" applyAlignment="1">
      <alignment horizontal="right" vertical="center"/>
    </xf>
    <xf numFmtId="0" fontId="72" fillId="0" borderId="0" xfId="1" applyFont="1" applyAlignment="1">
      <alignment horizontal="left" vertical="center"/>
    </xf>
    <xf numFmtId="170" fontId="72" fillId="7" borderId="0" xfId="1" applyNumberFormat="1" applyFont="1" applyFill="1" applyAlignment="1">
      <alignment horizontal="right" vertical="center"/>
    </xf>
    <xf numFmtId="170" fontId="72" fillId="0" borderId="0" xfId="1" applyNumberFormat="1" applyFont="1" applyAlignment="1">
      <alignment horizontal="right" vertical="center"/>
    </xf>
    <xf numFmtId="0" fontId="72" fillId="20" borderId="80" xfId="1" applyFont="1" applyFill="1" applyBorder="1" applyAlignment="1">
      <alignment horizontal="left" vertical="center"/>
    </xf>
    <xf numFmtId="170" fontId="72" fillId="20" borderId="80" xfId="1" applyNumberFormat="1" applyFont="1" applyFill="1" applyBorder="1" applyAlignment="1">
      <alignment horizontal="right" vertical="center"/>
    </xf>
    <xf numFmtId="0" fontId="71" fillId="20" borderId="0" xfId="1" applyFont="1" applyFill="1" applyAlignment="1" applyProtection="1">
      <alignment vertical="center"/>
      <protection locked="0"/>
    </xf>
    <xf numFmtId="0" fontId="73" fillId="23" borderId="96" xfId="1" applyFont="1" applyFill="1" applyBorder="1" applyAlignment="1">
      <alignment horizontal="left" vertical="center"/>
    </xf>
    <xf numFmtId="170" fontId="73" fillId="23" borderId="96" xfId="1" applyNumberFormat="1" applyFont="1" applyFill="1" applyBorder="1" applyAlignment="1">
      <alignment horizontal="right" vertical="center"/>
    </xf>
    <xf numFmtId="171" fontId="73" fillId="23" borderId="97" xfId="27" applyNumberFormat="1" applyFont="1" applyFill="1" applyBorder="1" applyAlignment="1">
      <alignment horizontal="right" vertical="center"/>
    </xf>
    <xf numFmtId="171" fontId="73" fillId="23" borderId="98" xfId="27" applyNumberFormat="1" applyFont="1" applyFill="1" applyBorder="1" applyAlignment="1">
      <alignment horizontal="right" vertical="center"/>
    </xf>
    <xf numFmtId="175" fontId="73" fillId="23" borderId="96" xfId="27" applyNumberFormat="1" applyFont="1" applyFill="1" applyBorder="1" applyAlignment="1">
      <alignment horizontal="right" vertical="center" indent="2"/>
    </xf>
    <xf numFmtId="0" fontId="74" fillId="24" borderId="44" xfId="1" applyFont="1" applyFill="1" applyBorder="1" applyAlignment="1">
      <alignment horizontal="left" vertical="center"/>
    </xf>
    <xf numFmtId="170" fontId="74" fillId="24" borderId="44" xfId="1" applyNumberFormat="1" applyFont="1" applyFill="1" applyBorder="1" applyAlignment="1">
      <alignment horizontal="right" vertical="center"/>
    </xf>
    <xf numFmtId="0" fontId="75" fillId="20" borderId="80" xfId="1" applyFont="1" applyFill="1" applyBorder="1" applyAlignment="1">
      <alignment horizontal="left" vertical="center"/>
    </xf>
    <xf numFmtId="170" fontId="75" fillId="20" borderId="80" xfId="1" applyNumberFormat="1" applyFont="1" applyFill="1" applyBorder="1" applyAlignment="1">
      <alignment horizontal="right" vertical="center"/>
    </xf>
    <xf numFmtId="0" fontId="75" fillId="0" borderId="0" xfId="1" applyFont="1" applyAlignment="1">
      <alignment horizontal="left" vertical="center"/>
    </xf>
    <xf numFmtId="170" fontId="75" fillId="7" borderId="0" xfId="1" applyNumberFormat="1" applyFont="1" applyFill="1" applyAlignment="1">
      <alignment horizontal="right" vertical="center"/>
    </xf>
    <xf numFmtId="170" fontId="75" fillId="0" borderId="0" xfId="1" applyNumberFormat="1" applyFont="1" applyAlignment="1">
      <alignment horizontal="right" vertical="center"/>
    </xf>
    <xf numFmtId="0" fontId="75" fillId="3" borderId="0" xfId="1" applyFont="1" applyFill="1" applyAlignment="1">
      <alignment horizontal="left" vertical="center"/>
    </xf>
    <xf numFmtId="170" fontId="75" fillId="20" borderId="0" xfId="1" applyNumberFormat="1" applyFont="1" applyFill="1" applyAlignment="1">
      <alignment horizontal="right" vertical="center"/>
    </xf>
    <xf numFmtId="0" fontId="72" fillId="20" borderId="85" xfId="1" applyFont="1" applyFill="1" applyBorder="1" applyAlignment="1">
      <alignment horizontal="left" vertical="center"/>
    </xf>
    <xf numFmtId="170" fontId="72" fillId="20" borderId="85" xfId="1" applyNumberFormat="1" applyFont="1" applyFill="1" applyBorder="1" applyAlignment="1">
      <alignment horizontal="right" vertical="center"/>
    </xf>
    <xf numFmtId="0" fontId="73" fillId="23" borderId="88" xfId="1" applyFont="1" applyFill="1" applyBorder="1" applyAlignment="1">
      <alignment horizontal="left" vertical="center"/>
    </xf>
    <xf numFmtId="170" fontId="73" fillId="23" borderId="88" xfId="1" applyNumberFormat="1" applyFont="1" applyFill="1" applyBorder="1" applyAlignment="1">
      <alignment horizontal="right" vertical="center"/>
    </xf>
    <xf numFmtId="175" fontId="73" fillId="23" borderId="88" xfId="27" applyNumberFormat="1" applyFont="1" applyFill="1" applyBorder="1" applyAlignment="1">
      <alignment horizontal="right" vertical="center" indent="2"/>
    </xf>
    <xf numFmtId="0" fontId="74" fillId="24" borderId="92" xfId="1" applyFont="1" applyFill="1" applyBorder="1" applyAlignment="1">
      <alignment horizontal="left" vertical="center"/>
    </xf>
    <xf numFmtId="170" fontId="74" fillId="24" borderId="92" xfId="1" applyNumberFormat="1" applyFont="1" applyFill="1" applyBorder="1" applyAlignment="1">
      <alignment horizontal="right" vertical="center"/>
    </xf>
    <xf numFmtId="0" fontId="45" fillId="20" borderId="0" xfId="1" applyFont="1" applyFill="1" applyAlignment="1">
      <alignment vertical="center"/>
    </xf>
    <xf numFmtId="0" fontId="38" fillId="20" borderId="0" xfId="1" applyFont="1" applyFill="1" applyAlignment="1">
      <alignment vertical="center"/>
    </xf>
    <xf numFmtId="0" fontId="38" fillId="20" borderId="0" xfId="1" applyFont="1" applyFill="1" applyAlignment="1">
      <alignment horizontal="right" vertical="center"/>
    </xf>
    <xf numFmtId="0" fontId="38" fillId="20" borderId="0" xfId="1" applyFont="1" applyFill="1" applyAlignment="1" applyProtection="1">
      <alignment vertical="center"/>
      <protection locked="0"/>
    </xf>
    <xf numFmtId="178" fontId="69" fillId="14" borderId="0" xfId="0" applyNumberFormat="1" applyFont="1" applyFill="1" applyAlignment="1">
      <alignment horizontal="right" vertical="center"/>
    </xf>
    <xf numFmtId="0" fontId="69" fillId="14" borderId="0" xfId="0" applyFont="1" applyFill="1" applyAlignment="1">
      <alignment horizontal="right" vertical="center"/>
    </xf>
    <xf numFmtId="178" fontId="69" fillId="15" borderId="0" xfId="0" applyNumberFormat="1" applyFont="1" applyFill="1" applyAlignment="1">
      <alignment horizontal="right" vertical="center"/>
    </xf>
    <xf numFmtId="0" fontId="69" fillId="17" borderId="33" xfId="0" applyFont="1" applyFill="1" applyBorder="1" applyAlignment="1">
      <alignment vertical="center"/>
    </xf>
    <xf numFmtId="0" fontId="69" fillId="17" borderId="33" xfId="0" applyFont="1" applyFill="1" applyBorder="1" applyAlignment="1">
      <alignment horizontal="centerContinuous" vertical="center"/>
    </xf>
    <xf numFmtId="0" fontId="69" fillId="17" borderId="33" xfId="0" applyFont="1" applyFill="1" applyBorder="1" applyAlignment="1">
      <alignment horizontal="right" vertical="center" indent="1"/>
    </xf>
    <xf numFmtId="0" fontId="69" fillId="17" borderId="100" xfId="0" applyFont="1" applyFill="1" applyBorder="1" applyAlignment="1">
      <alignment horizontal="right" vertical="center" indent="1"/>
    </xf>
    <xf numFmtId="170" fontId="73" fillId="23" borderId="101" xfId="0" applyNumberFormat="1" applyFont="1" applyFill="1" applyBorder="1" applyAlignment="1">
      <alignment horizontal="right" vertical="center"/>
    </xf>
    <xf numFmtId="171" fontId="73" fillId="23" borderId="102" xfId="27" applyNumberFormat="1" applyFont="1" applyFill="1" applyBorder="1" applyAlignment="1">
      <alignment horizontal="right" vertical="center"/>
    </xf>
    <xf numFmtId="179" fontId="73" fillId="23" borderId="102" xfId="27" applyNumberFormat="1" applyFont="1" applyFill="1" applyBorder="1" applyAlignment="1">
      <alignment horizontal="center" vertical="center"/>
    </xf>
    <xf numFmtId="180" fontId="74" fillId="24" borderId="44" xfId="27" applyNumberFormat="1" applyFont="1" applyFill="1" applyBorder="1" applyAlignment="1">
      <alignment horizontal="right" vertical="center" indent="1"/>
    </xf>
    <xf numFmtId="175" fontId="74" fillId="24" borderId="103" xfId="27" applyNumberFormat="1" applyFont="1" applyFill="1" applyBorder="1" applyAlignment="1">
      <alignment horizontal="right" vertical="center" indent="1"/>
    </xf>
    <xf numFmtId="170" fontId="72" fillId="20" borderId="101" xfId="0" applyNumberFormat="1" applyFont="1" applyFill="1" applyBorder="1" applyAlignment="1">
      <alignment horizontal="right" vertical="center"/>
    </xf>
    <xf numFmtId="171" fontId="72" fillId="20" borderId="102" xfId="27" applyNumberFormat="1" applyFont="1" applyFill="1" applyBorder="1" applyAlignment="1">
      <alignment horizontal="right" vertical="center"/>
    </xf>
    <xf numFmtId="171" fontId="72" fillId="20" borderId="101" xfId="27" applyNumberFormat="1" applyFont="1" applyFill="1" applyBorder="1" applyAlignment="1">
      <alignment horizontal="right" vertical="center"/>
    </xf>
    <xf numFmtId="179" fontId="72" fillId="20" borderId="102" xfId="27" applyNumberFormat="1" applyFont="1" applyFill="1" applyBorder="1" applyAlignment="1">
      <alignment horizontal="center" vertical="center"/>
    </xf>
    <xf numFmtId="170" fontId="72" fillId="3" borderId="0" xfId="0" applyNumberFormat="1" applyFont="1" applyFill="1" applyAlignment="1">
      <alignment horizontal="right" vertical="center"/>
    </xf>
    <xf numFmtId="180" fontId="72" fillId="7" borderId="0" xfId="27" applyNumberFormat="1" applyFont="1" applyFill="1" applyAlignment="1">
      <alignment horizontal="right" vertical="center" indent="1"/>
    </xf>
    <xf numFmtId="180" fontId="72" fillId="3" borderId="0" xfId="27" applyNumberFormat="1" applyFont="1" applyFill="1" applyAlignment="1">
      <alignment horizontal="right" vertical="center" indent="1"/>
    </xf>
    <xf numFmtId="175" fontId="72" fillId="3" borderId="0" xfId="27" applyNumberFormat="1" applyFont="1" applyFill="1" applyAlignment="1">
      <alignment horizontal="right" vertical="center" indent="1"/>
    </xf>
    <xf numFmtId="0" fontId="72" fillId="20" borderId="0" xfId="0" applyFont="1" applyFill="1" applyAlignment="1">
      <alignment horizontal="left" vertical="center" indent="1"/>
    </xf>
    <xf numFmtId="0" fontId="72" fillId="20" borderId="85" xfId="0" applyFont="1" applyFill="1" applyBorder="1" applyAlignment="1">
      <alignment horizontal="left" vertical="center" indent="1"/>
    </xf>
    <xf numFmtId="170" fontId="72" fillId="20" borderId="104" xfId="0" applyNumberFormat="1" applyFont="1" applyFill="1" applyBorder="1" applyAlignment="1">
      <alignment horizontal="right" vertical="center"/>
    </xf>
    <xf numFmtId="171" fontId="72" fillId="20" borderId="105" xfId="27" applyNumberFormat="1" applyFont="1" applyFill="1" applyBorder="1" applyAlignment="1">
      <alignment horizontal="right" vertical="center"/>
    </xf>
    <xf numFmtId="171" fontId="72" fillId="20" borderId="104" xfId="27" applyNumberFormat="1" applyFont="1" applyFill="1" applyBorder="1" applyAlignment="1">
      <alignment horizontal="right" vertical="center"/>
    </xf>
    <xf numFmtId="179" fontId="72" fillId="20" borderId="105" xfId="27" applyNumberFormat="1" applyFont="1" applyFill="1" applyBorder="1" applyAlignment="1">
      <alignment horizontal="center" vertical="center"/>
    </xf>
    <xf numFmtId="0" fontId="72" fillId="20" borderId="33" xfId="0" applyFont="1" applyFill="1" applyBorder="1" applyAlignment="1">
      <alignment horizontal="left" vertical="center" indent="1"/>
    </xf>
    <xf numFmtId="170" fontId="72" fillId="7" borderId="33" xfId="0" applyNumberFormat="1" applyFont="1" applyFill="1" applyBorder="1" applyAlignment="1">
      <alignment horizontal="right" vertical="center"/>
    </xf>
    <xf numFmtId="170" fontId="72" fillId="3" borderId="33" xfId="0" applyNumberFormat="1" applyFont="1" applyFill="1" applyBorder="1" applyAlignment="1">
      <alignment horizontal="right" vertical="center"/>
    </xf>
    <xf numFmtId="180" fontId="72" fillId="7" borderId="33" xfId="27" applyNumberFormat="1" applyFont="1" applyFill="1" applyBorder="1" applyAlignment="1">
      <alignment horizontal="right" vertical="center" indent="1"/>
    </xf>
    <xf numFmtId="180" fontId="72" fillId="3" borderId="33" xfId="27" applyNumberFormat="1" applyFont="1" applyFill="1" applyBorder="1" applyAlignment="1">
      <alignment horizontal="right" vertical="center" indent="1"/>
    </xf>
    <xf numFmtId="175" fontId="72" fillId="7" borderId="33" xfId="27" applyNumberFormat="1" applyFont="1" applyFill="1" applyBorder="1" applyAlignment="1">
      <alignment horizontal="right" vertical="center" indent="1"/>
    </xf>
    <xf numFmtId="175" fontId="72" fillId="3" borderId="33" xfId="27" applyNumberFormat="1" applyFont="1" applyFill="1" applyBorder="1" applyAlignment="1">
      <alignment horizontal="right" vertical="center" indent="1"/>
    </xf>
    <xf numFmtId="171" fontId="72" fillId="20" borderId="0" xfId="27" applyNumberFormat="1" applyFont="1" applyFill="1" applyAlignment="1">
      <alignment horizontal="right" vertical="center"/>
    </xf>
    <xf numFmtId="175" fontId="72" fillId="20" borderId="0" xfId="27" applyNumberFormat="1" applyFont="1" applyFill="1" applyAlignment="1">
      <alignment horizontal="right" vertical="center"/>
    </xf>
    <xf numFmtId="0" fontId="72" fillId="3" borderId="0" xfId="0" applyFont="1" applyFill="1" applyAlignment="1">
      <alignment horizontal="left" vertical="center"/>
    </xf>
    <xf numFmtId="180" fontId="72" fillId="3" borderId="0" xfId="27" applyNumberFormat="1" applyFont="1" applyFill="1" applyAlignment="1">
      <alignment horizontal="right" vertical="center"/>
    </xf>
    <xf numFmtId="175" fontId="72" fillId="3" borderId="0" xfId="27" applyNumberFormat="1" applyFont="1" applyFill="1" applyAlignment="1">
      <alignment horizontal="right" vertical="center"/>
    </xf>
    <xf numFmtId="180" fontId="69" fillId="17" borderId="33" xfId="0" applyNumberFormat="1" applyFont="1" applyFill="1" applyBorder="1" applyAlignment="1">
      <alignment horizontal="right" vertical="center" indent="1"/>
    </xf>
    <xf numFmtId="181" fontId="73" fillId="23" borderId="0" xfId="0" applyNumberFormat="1" applyFont="1" applyFill="1" applyAlignment="1">
      <alignment horizontal="right" vertical="center"/>
    </xf>
    <xf numFmtId="181" fontId="72" fillId="20" borderId="0" xfId="0" applyNumberFormat="1" applyFont="1" applyFill="1" applyAlignment="1">
      <alignment horizontal="right" vertical="center"/>
    </xf>
    <xf numFmtId="171" fontId="72" fillId="20" borderId="102" xfId="27" applyNumberFormat="1" applyFont="1" applyFill="1" applyBorder="1" applyAlignment="1">
      <alignment vertical="center"/>
    </xf>
    <xf numFmtId="171" fontId="72" fillId="20" borderId="101" xfId="27" applyNumberFormat="1" applyFont="1" applyFill="1" applyBorder="1" applyAlignment="1">
      <alignment vertical="center"/>
    </xf>
    <xf numFmtId="181" fontId="72" fillId="20" borderId="0" xfId="0" applyNumberFormat="1" applyFont="1" applyFill="1" applyAlignment="1">
      <alignment vertical="center"/>
    </xf>
    <xf numFmtId="181" fontId="75" fillId="20" borderId="0" xfId="0" applyNumberFormat="1" applyFont="1" applyFill="1" applyAlignment="1">
      <alignment horizontal="right" vertical="center"/>
    </xf>
    <xf numFmtId="181" fontId="72" fillId="20" borderId="85" xfId="0" applyNumberFormat="1" applyFont="1" applyFill="1" applyBorder="1" applyAlignment="1">
      <alignment horizontal="right" vertical="center"/>
    </xf>
    <xf numFmtId="171" fontId="72" fillId="20" borderId="105" xfId="27" applyNumberFormat="1" applyFont="1" applyFill="1" applyBorder="1" applyAlignment="1">
      <alignment vertical="center"/>
    </xf>
    <xf numFmtId="171" fontId="72" fillId="20" borderId="104" xfId="27" applyNumberFormat="1" applyFont="1" applyFill="1" applyBorder="1" applyAlignment="1">
      <alignment vertical="center"/>
    </xf>
    <xf numFmtId="177" fontId="72" fillId="20" borderId="0" xfId="0" applyNumberFormat="1" applyFont="1" applyFill="1" applyAlignment="1">
      <alignment vertical="center"/>
    </xf>
    <xf numFmtId="165" fontId="72" fillId="20" borderId="0" xfId="27" applyNumberFormat="1" applyFont="1" applyFill="1" applyAlignment="1">
      <alignment horizontal="center" vertical="center"/>
    </xf>
    <xf numFmtId="0" fontId="72" fillId="20" borderId="0" xfId="0" applyFont="1" applyFill="1" applyAlignment="1">
      <alignment vertical="center"/>
    </xf>
    <xf numFmtId="0" fontId="69" fillId="15" borderId="0" xfId="0" applyFont="1" applyFill="1" applyAlignment="1">
      <alignment horizontal="centerContinuous" vertical="center"/>
    </xf>
    <xf numFmtId="0" fontId="69" fillId="17" borderId="0" xfId="0" applyFont="1" applyFill="1" applyAlignment="1">
      <alignment horizontal="right" vertical="center" indent="1"/>
    </xf>
    <xf numFmtId="171" fontId="73" fillId="23" borderId="101" xfId="27" applyNumberFormat="1" applyFont="1" applyFill="1" applyBorder="1" applyAlignment="1">
      <alignment horizontal="right" vertical="center"/>
    </xf>
    <xf numFmtId="0" fontId="73" fillId="23" borderId="29" xfId="0" applyFont="1" applyFill="1" applyBorder="1" applyAlignment="1">
      <alignment horizontal="left" vertical="center" wrapText="1"/>
    </xf>
    <xf numFmtId="170" fontId="73" fillId="23" borderId="29" xfId="0" applyNumberFormat="1" applyFont="1" applyFill="1" applyBorder="1" applyAlignment="1">
      <alignment horizontal="right" vertical="center"/>
    </xf>
    <xf numFmtId="170" fontId="73" fillId="23" borderId="106" xfId="0" applyNumberFormat="1" applyFont="1" applyFill="1" applyBorder="1" applyAlignment="1">
      <alignment horizontal="right" vertical="center"/>
    </xf>
    <xf numFmtId="171" fontId="73" fillId="23" borderId="107" xfId="27" applyNumberFormat="1" applyFont="1" applyFill="1" applyBorder="1" applyAlignment="1">
      <alignment horizontal="right" vertical="center"/>
    </xf>
    <xf numFmtId="171" fontId="73" fillId="23" borderId="106" xfId="27" applyNumberFormat="1" applyFont="1" applyFill="1" applyBorder="1" applyAlignment="1">
      <alignment horizontal="right" vertical="center"/>
    </xf>
    <xf numFmtId="175" fontId="73" fillId="23" borderId="83" xfId="27" applyNumberFormat="1" applyFont="1" applyFill="1" applyBorder="1" applyAlignment="1">
      <alignment horizontal="center" vertical="center"/>
    </xf>
    <xf numFmtId="170" fontId="75" fillId="20" borderId="101" xfId="0" applyNumberFormat="1" applyFont="1" applyFill="1" applyBorder="1" applyAlignment="1">
      <alignment horizontal="right" vertical="center"/>
    </xf>
    <xf numFmtId="171" fontId="75" fillId="20" borderId="102" xfId="27" applyNumberFormat="1" applyFont="1" applyFill="1" applyBorder="1" applyAlignment="1">
      <alignment horizontal="right" vertical="center"/>
    </xf>
    <xf numFmtId="171" fontId="75" fillId="20" borderId="101" xfId="27" applyNumberFormat="1" applyFont="1" applyFill="1" applyBorder="1" applyAlignment="1">
      <alignment horizontal="right" vertical="center"/>
    </xf>
    <xf numFmtId="179" fontId="75" fillId="20" borderId="102" xfId="27" applyNumberFormat="1" applyFont="1" applyFill="1" applyBorder="1" applyAlignment="1">
      <alignment horizontal="center" vertical="center"/>
    </xf>
    <xf numFmtId="170" fontId="75" fillId="3" borderId="0" xfId="0" applyNumberFormat="1" applyFont="1" applyFill="1" applyAlignment="1">
      <alignment horizontal="right" vertical="center"/>
    </xf>
    <xf numFmtId="180" fontId="75" fillId="7" borderId="0" xfId="27" applyNumberFormat="1" applyFont="1" applyFill="1" applyAlignment="1">
      <alignment horizontal="right" vertical="center" indent="1"/>
    </xf>
    <xf numFmtId="180" fontId="75" fillId="3" borderId="0" xfId="27" applyNumberFormat="1" applyFont="1" applyFill="1" applyAlignment="1">
      <alignment horizontal="right" vertical="center" indent="1"/>
    </xf>
    <xf numFmtId="175" fontId="75" fillId="3" borderId="0" xfId="27" applyNumberFormat="1" applyFont="1" applyFill="1" applyAlignment="1">
      <alignment horizontal="right" vertical="center" indent="1"/>
    </xf>
    <xf numFmtId="0" fontId="72" fillId="20" borderId="108" xfId="0" applyFont="1" applyFill="1" applyBorder="1" applyAlignment="1">
      <alignment horizontal="left" vertical="center"/>
    </xf>
    <xf numFmtId="170" fontId="72" fillId="7" borderId="108" xfId="0" applyNumberFormat="1" applyFont="1" applyFill="1" applyBorder="1" applyAlignment="1">
      <alignment horizontal="right" vertical="center"/>
    </xf>
    <xf numFmtId="170" fontId="72" fillId="3" borderId="108" xfId="0" applyNumberFormat="1" applyFont="1" applyFill="1" applyBorder="1" applyAlignment="1">
      <alignment horizontal="right" vertical="center"/>
    </xf>
    <xf numFmtId="180" fontId="72" fillId="7" borderId="108" xfId="27" applyNumberFormat="1" applyFont="1" applyFill="1" applyBorder="1" applyAlignment="1">
      <alignment horizontal="right" vertical="center" indent="1"/>
    </xf>
    <xf numFmtId="180" fontId="72" fillId="3" borderId="108" xfId="27" applyNumberFormat="1" applyFont="1" applyFill="1" applyBorder="1" applyAlignment="1">
      <alignment horizontal="right" vertical="center" indent="1"/>
    </xf>
    <xf numFmtId="175" fontId="72" fillId="7" borderId="108" xfId="27" applyNumberFormat="1" applyFont="1" applyFill="1" applyBorder="1" applyAlignment="1">
      <alignment horizontal="right" vertical="center" indent="1"/>
    </xf>
    <xf numFmtId="175" fontId="72" fillId="3" borderId="108" xfId="27" applyNumberFormat="1" applyFont="1" applyFill="1" applyBorder="1" applyAlignment="1">
      <alignment horizontal="right" vertical="center" indent="1"/>
    </xf>
    <xf numFmtId="0" fontId="81" fillId="20" borderId="109" xfId="0" applyFont="1" applyFill="1" applyBorder="1" applyAlignment="1">
      <alignment horizontal="left" vertical="center"/>
    </xf>
    <xf numFmtId="170" fontId="81" fillId="20" borderId="109" xfId="0" applyNumberFormat="1" applyFont="1" applyFill="1" applyBorder="1" applyAlignment="1">
      <alignment horizontal="right" vertical="center"/>
    </xf>
    <xf numFmtId="170" fontId="81" fillId="21" borderId="109" xfId="0" applyNumberFormat="1" applyFont="1" applyFill="1" applyBorder="1" applyAlignment="1">
      <alignment horizontal="right" vertical="center"/>
    </xf>
    <xf numFmtId="170" fontId="81" fillId="20" borderId="110" xfId="0" applyNumberFormat="1" applyFont="1" applyFill="1" applyBorder="1" applyAlignment="1">
      <alignment horizontal="right" vertical="center"/>
    </xf>
    <xf numFmtId="171" fontId="81" fillId="20" borderId="111" xfId="27" applyNumberFormat="1" applyFont="1" applyFill="1" applyBorder="1" applyAlignment="1">
      <alignment horizontal="right" vertical="center"/>
    </xf>
    <xf numFmtId="171" fontId="81" fillId="20" borderId="110" xfId="27" applyNumberFormat="1" applyFont="1" applyFill="1" applyBorder="1" applyAlignment="1">
      <alignment horizontal="right" vertical="center"/>
    </xf>
    <xf numFmtId="179" fontId="81" fillId="20" borderId="111" xfId="27" applyNumberFormat="1" applyFont="1" applyFill="1" applyBorder="1" applyAlignment="1">
      <alignment horizontal="center" vertical="center"/>
    </xf>
    <xf numFmtId="0" fontId="82" fillId="3" borderId="0" xfId="0" applyFont="1" applyFill="1" applyAlignment="1">
      <alignment horizontal="left" vertical="center"/>
    </xf>
    <xf numFmtId="170" fontId="82" fillId="7" borderId="0" xfId="0" applyNumberFormat="1" applyFont="1" applyFill="1" applyAlignment="1">
      <alignment horizontal="right" vertical="center"/>
    </xf>
    <xf numFmtId="170" fontId="82" fillId="3" borderId="0" xfId="0" applyNumberFormat="1" applyFont="1" applyFill="1" applyAlignment="1">
      <alignment horizontal="right" vertical="center"/>
    </xf>
    <xf numFmtId="180" fontId="82" fillId="7" borderId="0" xfId="27" applyNumberFormat="1" applyFont="1" applyFill="1" applyAlignment="1">
      <alignment horizontal="right" vertical="center" indent="1"/>
    </xf>
    <xf numFmtId="180" fontId="82" fillId="3" borderId="0" xfId="27" applyNumberFormat="1" applyFont="1" applyFill="1" applyAlignment="1">
      <alignment horizontal="right" vertical="center" indent="1"/>
    </xf>
    <xf numFmtId="175" fontId="82" fillId="7" borderId="0" xfId="27" applyNumberFormat="1" applyFont="1" applyFill="1" applyAlignment="1">
      <alignment horizontal="right" vertical="center" indent="1"/>
    </xf>
    <xf numFmtId="175" fontId="82" fillId="3" borderId="0" xfId="27" applyNumberFormat="1" applyFont="1" applyFill="1" applyAlignment="1">
      <alignment horizontal="right" vertical="center" indent="1"/>
    </xf>
    <xf numFmtId="0" fontId="81" fillId="20" borderId="0" xfId="0" applyFont="1" applyFill="1" applyAlignment="1">
      <alignment horizontal="left" vertical="center"/>
    </xf>
    <xf numFmtId="170" fontId="81" fillId="20" borderId="0" xfId="0" applyNumberFormat="1" applyFont="1" applyFill="1" applyAlignment="1">
      <alignment horizontal="right" vertical="center"/>
    </xf>
    <xf numFmtId="170" fontId="81" fillId="21" borderId="0" xfId="0" applyNumberFormat="1" applyFont="1" applyFill="1" applyAlignment="1">
      <alignment horizontal="right" vertical="center"/>
    </xf>
    <xf numFmtId="170" fontId="81" fillId="20" borderId="101" xfId="0" applyNumberFormat="1" applyFont="1" applyFill="1" applyBorder="1" applyAlignment="1">
      <alignment horizontal="right" vertical="center"/>
    </xf>
    <xf numFmtId="171" fontId="81" fillId="20" borderId="102" xfId="27" applyNumberFormat="1" applyFont="1" applyFill="1" applyBorder="1" applyAlignment="1">
      <alignment horizontal="right" vertical="center"/>
    </xf>
    <xf numFmtId="171" fontId="81" fillId="20" borderId="101" xfId="27" applyNumberFormat="1" applyFont="1" applyFill="1" applyBorder="1" applyAlignment="1">
      <alignment horizontal="right" vertical="center"/>
    </xf>
    <xf numFmtId="179" fontId="81" fillId="20" borderId="102" xfId="27" applyNumberFormat="1" applyFont="1" applyFill="1" applyBorder="1" applyAlignment="1">
      <alignment horizontal="center" vertical="center"/>
    </xf>
    <xf numFmtId="0" fontId="81" fillId="20" borderId="85" xfId="0" applyFont="1" applyFill="1" applyBorder="1" applyAlignment="1" applyProtection="1">
      <alignment vertical="center"/>
      <protection locked="0"/>
    </xf>
    <xf numFmtId="170" fontId="81" fillId="20" borderId="85" xfId="0" applyNumberFormat="1" applyFont="1" applyFill="1" applyBorder="1" applyAlignment="1">
      <alignment horizontal="right" vertical="center"/>
    </xf>
    <xf numFmtId="170" fontId="81" fillId="21" borderId="85" xfId="0" applyNumberFormat="1" applyFont="1" applyFill="1" applyBorder="1" applyAlignment="1">
      <alignment horizontal="right" vertical="center"/>
    </xf>
    <xf numFmtId="170" fontId="81" fillId="20" borderId="104" xfId="0" applyNumberFormat="1" applyFont="1" applyFill="1" applyBorder="1" applyAlignment="1">
      <alignment horizontal="right" vertical="center"/>
    </xf>
    <xf numFmtId="171" fontId="81" fillId="20" borderId="105" xfId="27" applyNumberFormat="1" applyFont="1" applyFill="1" applyBorder="1" applyAlignment="1">
      <alignment horizontal="right" vertical="center"/>
    </xf>
    <xf numFmtId="171" fontId="81" fillId="20" borderId="85" xfId="27" applyNumberFormat="1" applyFont="1" applyFill="1" applyBorder="1" applyAlignment="1">
      <alignment horizontal="right" vertical="center"/>
    </xf>
    <xf numFmtId="179" fontId="81" fillId="20" borderId="105" xfId="27" applyNumberFormat="1" applyFont="1" applyFill="1" applyBorder="1" applyAlignment="1">
      <alignment horizontal="center" vertical="center"/>
    </xf>
    <xf numFmtId="0" fontId="82" fillId="3" borderId="33" xfId="0" applyFont="1" applyFill="1" applyBorder="1" applyAlignment="1">
      <alignment horizontal="left" vertical="center"/>
    </xf>
    <xf numFmtId="170" fontId="82" fillId="7" borderId="33" xfId="0" applyNumberFormat="1" applyFont="1" applyFill="1" applyBorder="1" applyAlignment="1">
      <alignment horizontal="right" vertical="center"/>
    </xf>
    <xf numFmtId="170" fontId="82" fillId="3" borderId="33" xfId="0" applyNumberFormat="1" applyFont="1" applyFill="1" applyBorder="1" applyAlignment="1">
      <alignment horizontal="right" vertical="center"/>
    </xf>
    <xf numFmtId="180" fontId="82" fillId="7" borderId="33" xfId="27" applyNumberFormat="1" applyFont="1" applyFill="1" applyBorder="1" applyAlignment="1">
      <alignment horizontal="right" vertical="center" indent="1"/>
    </xf>
    <xf numFmtId="180" fontId="82" fillId="3" borderId="33" xfId="27" applyNumberFormat="1" applyFont="1" applyFill="1" applyBorder="1" applyAlignment="1">
      <alignment horizontal="right" vertical="center" indent="1"/>
    </xf>
    <xf numFmtId="175" fontId="82" fillId="7" borderId="33" xfId="27" applyNumberFormat="1" applyFont="1" applyFill="1" applyBorder="1" applyAlignment="1">
      <alignment horizontal="right" vertical="center" indent="1"/>
    </xf>
    <xf numFmtId="175" fontId="82" fillId="3" borderId="33" xfId="27" applyNumberFormat="1" applyFont="1" applyFill="1" applyBorder="1" applyAlignment="1">
      <alignment horizontal="right" vertical="center" indent="1"/>
    </xf>
    <xf numFmtId="0" fontId="69" fillId="17" borderId="112" xfId="0" applyFont="1" applyFill="1" applyBorder="1" applyAlignment="1">
      <alignment vertical="center"/>
    </xf>
    <xf numFmtId="0" fontId="69" fillId="17" borderId="100" xfId="0" applyFont="1" applyFill="1" applyBorder="1" applyAlignment="1">
      <alignment horizontal="centerContinuous" vertical="center"/>
    </xf>
    <xf numFmtId="179" fontId="72" fillId="20" borderId="0" xfId="27" applyNumberFormat="1" applyFont="1" applyFill="1" applyAlignment="1">
      <alignment horizontal="center" vertical="center"/>
    </xf>
    <xf numFmtId="9" fontId="72" fillId="20" borderId="0" xfId="27" applyFont="1" applyFill="1" applyAlignment="1">
      <alignment horizontal="right" vertical="center"/>
    </xf>
    <xf numFmtId="9" fontId="72" fillId="21" borderId="0" xfId="27" applyFont="1" applyFill="1" applyAlignment="1">
      <alignment horizontal="right" vertical="center"/>
    </xf>
    <xf numFmtId="9" fontId="72" fillId="7" borderId="0" xfId="27" applyFont="1" applyFill="1" applyAlignment="1">
      <alignment horizontal="right" vertical="center"/>
    </xf>
    <xf numFmtId="9" fontId="72" fillId="3" borderId="0" xfId="27" applyFont="1" applyFill="1" applyAlignment="1">
      <alignment horizontal="right" vertical="center"/>
    </xf>
    <xf numFmtId="182" fontId="72" fillId="20" borderId="0" xfId="0" applyNumberFormat="1" applyFont="1" applyFill="1" applyAlignment="1">
      <alignment horizontal="right" vertical="center"/>
    </xf>
    <xf numFmtId="182" fontId="72" fillId="21" borderId="0" xfId="0" applyNumberFormat="1" applyFont="1" applyFill="1" applyAlignment="1">
      <alignment horizontal="right" vertical="center"/>
    </xf>
    <xf numFmtId="182" fontId="72" fillId="7" borderId="0" xfId="0" applyNumberFormat="1" applyFont="1" applyFill="1" applyAlignment="1">
      <alignment horizontal="right" vertical="center"/>
    </xf>
    <xf numFmtId="182" fontId="72" fillId="3" borderId="0" xfId="0" applyNumberFormat="1" applyFont="1" applyFill="1" applyAlignment="1">
      <alignment horizontal="right" vertical="center"/>
    </xf>
    <xf numFmtId="0" fontId="72" fillId="20" borderId="85" xfId="0" applyFont="1" applyFill="1" applyBorder="1" applyAlignment="1" applyProtection="1">
      <alignment vertical="center"/>
      <protection locked="0"/>
    </xf>
    <xf numFmtId="182" fontId="72" fillId="20" borderId="85" xfId="0" applyNumberFormat="1" applyFont="1" applyFill="1" applyBorder="1" applyAlignment="1">
      <alignment horizontal="right" vertical="center"/>
    </xf>
    <xf numFmtId="182" fontId="72" fillId="21" borderId="85" xfId="0" applyNumberFormat="1" applyFont="1" applyFill="1" applyBorder="1" applyAlignment="1">
      <alignment horizontal="right" vertical="center"/>
    </xf>
    <xf numFmtId="171" fontId="72" fillId="20" borderId="85" xfId="27" applyNumberFormat="1" applyFont="1" applyFill="1" applyBorder="1" applyAlignment="1">
      <alignment horizontal="right" vertical="center"/>
    </xf>
    <xf numFmtId="179" fontId="72" fillId="20" borderId="85" xfId="27" applyNumberFormat="1" applyFont="1" applyFill="1" applyBorder="1" applyAlignment="1">
      <alignment horizontal="center" vertical="center"/>
    </xf>
    <xf numFmtId="0" fontId="72" fillId="20" borderId="33" xfId="0" applyFont="1" applyFill="1" applyBorder="1" applyAlignment="1" applyProtection="1">
      <alignment vertical="center"/>
      <protection locked="0"/>
    </xf>
    <xf numFmtId="182" fontId="72" fillId="7" borderId="33" xfId="0" applyNumberFormat="1" applyFont="1" applyFill="1" applyBorder="1" applyAlignment="1">
      <alignment horizontal="right" vertical="center"/>
    </xf>
    <xf numFmtId="182" fontId="72" fillId="3" borderId="33" xfId="0" applyNumberFormat="1" applyFont="1" applyFill="1" applyBorder="1" applyAlignment="1">
      <alignment horizontal="right" vertical="center"/>
    </xf>
    <xf numFmtId="0" fontId="69" fillId="14" borderId="0" xfId="1" applyFont="1" applyFill="1" applyAlignment="1">
      <alignment horizontal="centerContinuous" vertical="center" wrapText="1"/>
    </xf>
    <xf numFmtId="0" fontId="69" fillId="14" borderId="0" xfId="1" applyFont="1" applyFill="1" applyAlignment="1">
      <alignment horizontal="centerContinuous" vertical="center"/>
    </xf>
    <xf numFmtId="178" fontId="69" fillId="14" borderId="0" xfId="1" applyNumberFormat="1" applyFont="1" applyFill="1" applyAlignment="1">
      <alignment horizontal="right" vertical="center"/>
    </xf>
    <xf numFmtId="0" fontId="69" fillId="14" borderId="0" xfId="1" applyFont="1" applyFill="1" applyAlignment="1">
      <alignment horizontal="right" vertical="center"/>
    </xf>
    <xf numFmtId="178" fontId="69" fillId="15" borderId="0" xfId="1" applyNumberFormat="1" applyFont="1" applyFill="1" applyAlignment="1">
      <alignment horizontal="right" vertical="center"/>
    </xf>
    <xf numFmtId="0" fontId="69" fillId="16" borderId="0" xfId="1" applyFont="1" applyFill="1" applyAlignment="1">
      <alignment horizontal="left" vertical="center" indent="2"/>
    </xf>
    <xf numFmtId="0" fontId="69" fillId="17" borderId="33" xfId="1" applyFont="1" applyFill="1" applyBorder="1" applyAlignment="1">
      <alignment vertical="center"/>
    </xf>
    <xf numFmtId="0" fontId="69" fillId="17" borderId="33" xfId="1" applyFont="1" applyFill="1" applyBorder="1" applyAlignment="1">
      <alignment horizontal="centerContinuous" vertical="center"/>
    </xf>
    <xf numFmtId="0" fontId="69" fillId="17" borderId="33" xfId="1" applyFont="1" applyFill="1" applyBorder="1" applyAlignment="1">
      <alignment horizontal="right" vertical="center" indent="1"/>
    </xf>
    <xf numFmtId="170" fontId="73" fillId="23" borderId="101" xfId="1" applyNumberFormat="1" applyFont="1" applyFill="1" applyBorder="1" applyAlignment="1">
      <alignment horizontal="right" vertical="center"/>
    </xf>
    <xf numFmtId="179" fontId="73" fillId="23" borderId="102" xfId="27" applyNumberFormat="1" applyFont="1" applyFill="1" applyBorder="1" applyAlignment="1">
      <alignment horizontal="right" vertical="center" indent="1"/>
    </xf>
    <xf numFmtId="170" fontId="72" fillId="20" borderId="101" xfId="1" applyNumberFormat="1" applyFont="1" applyFill="1" applyBorder="1" applyAlignment="1">
      <alignment horizontal="right" vertical="center"/>
    </xf>
    <xf numFmtId="179" fontId="72" fillId="20" borderId="102" xfId="27" applyNumberFormat="1" applyFont="1" applyFill="1" applyBorder="1" applyAlignment="1">
      <alignment horizontal="right" vertical="center" indent="1"/>
    </xf>
    <xf numFmtId="170" fontId="72" fillId="3" borderId="0" xfId="1" applyNumberFormat="1" applyFont="1" applyFill="1" applyAlignment="1">
      <alignment horizontal="right" vertical="center"/>
    </xf>
    <xf numFmtId="170" fontId="72" fillId="20" borderId="104" xfId="1" applyNumberFormat="1" applyFont="1" applyFill="1" applyBorder="1" applyAlignment="1">
      <alignment horizontal="right" vertical="center"/>
    </xf>
    <xf numFmtId="179" fontId="72" fillId="20" borderId="105" xfId="27" applyNumberFormat="1" applyFont="1" applyFill="1" applyBorder="1" applyAlignment="1">
      <alignment horizontal="right" vertical="center" indent="1"/>
    </xf>
    <xf numFmtId="0" fontId="72" fillId="20" borderId="33" xfId="1" applyFont="1" applyFill="1" applyBorder="1" applyAlignment="1">
      <alignment horizontal="left" vertical="center"/>
    </xf>
    <xf numFmtId="170" fontId="72" fillId="7" borderId="33" xfId="1" applyNumberFormat="1" applyFont="1" applyFill="1" applyBorder="1" applyAlignment="1">
      <alignment horizontal="right" vertical="center"/>
    </xf>
    <xf numFmtId="170" fontId="72" fillId="3" borderId="33" xfId="1" applyNumberFormat="1" applyFont="1" applyFill="1" applyBorder="1" applyAlignment="1">
      <alignment horizontal="right" vertical="center"/>
    </xf>
    <xf numFmtId="0" fontId="72" fillId="3" borderId="0" xfId="1" applyFont="1" applyFill="1" applyAlignment="1">
      <alignment horizontal="left" vertical="center"/>
    </xf>
    <xf numFmtId="180" fontId="69" fillId="17" borderId="33" xfId="1" applyNumberFormat="1" applyFont="1" applyFill="1" applyBorder="1" applyAlignment="1">
      <alignment horizontal="right" vertical="center" indent="1"/>
    </xf>
    <xf numFmtId="181" fontId="73" fillId="23" borderId="0" xfId="1" applyNumberFormat="1" applyFont="1" applyFill="1" applyAlignment="1">
      <alignment horizontal="right" vertical="center"/>
    </xf>
    <xf numFmtId="181" fontId="72" fillId="20" borderId="0" xfId="1" applyNumberFormat="1" applyFont="1" applyFill="1" applyAlignment="1">
      <alignment horizontal="right" vertical="center"/>
    </xf>
    <xf numFmtId="181" fontId="75" fillId="20" borderId="0" xfId="1" applyNumberFormat="1" applyFont="1" applyFill="1" applyAlignment="1">
      <alignment horizontal="right" vertical="center"/>
    </xf>
    <xf numFmtId="181" fontId="72" fillId="20" borderId="85" xfId="1" applyNumberFormat="1" applyFont="1" applyFill="1" applyBorder="1" applyAlignment="1">
      <alignment horizontal="right" vertical="center"/>
    </xf>
    <xf numFmtId="177" fontId="72" fillId="20" borderId="0" xfId="1" applyNumberFormat="1" applyFont="1" applyFill="1" applyAlignment="1">
      <alignment vertical="center"/>
    </xf>
    <xf numFmtId="0" fontId="72" fillId="20" borderId="0" xfId="1" applyFont="1" applyFill="1" applyAlignment="1">
      <alignment vertical="center"/>
    </xf>
    <xf numFmtId="0" fontId="69" fillId="15" borderId="0" xfId="1" applyFont="1" applyFill="1" applyAlignment="1">
      <alignment horizontal="centerContinuous" vertical="center"/>
    </xf>
    <xf numFmtId="0" fontId="69" fillId="17" borderId="0" xfId="1" applyFont="1" applyFill="1" applyAlignment="1">
      <alignment horizontal="right" vertical="center" indent="1"/>
    </xf>
    <xf numFmtId="0" fontId="73" fillId="23" borderId="29" xfId="1" applyFont="1" applyFill="1" applyBorder="1" applyAlignment="1">
      <alignment horizontal="left" vertical="center" wrapText="1"/>
    </xf>
    <xf numFmtId="170" fontId="73" fillId="23" borderId="29" xfId="1" applyNumberFormat="1" applyFont="1" applyFill="1" applyBorder="1" applyAlignment="1">
      <alignment horizontal="right" vertical="center"/>
    </xf>
    <xf numFmtId="170" fontId="73" fillId="23" borderId="106" xfId="1" applyNumberFormat="1" applyFont="1" applyFill="1" applyBorder="1" applyAlignment="1">
      <alignment horizontal="right" vertical="center"/>
    </xf>
    <xf numFmtId="179" fontId="73" fillId="23" borderId="107" xfId="27" applyNumberFormat="1" applyFont="1" applyFill="1" applyBorder="1" applyAlignment="1">
      <alignment horizontal="right" vertical="center" indent="1"/>
    </xf>
    <xf numFmtId="0" fontId="75" fillId="20" borderId="0" xfId="1" applyFont="1" applyFill="1" applyAlignment="1">
      <alignment horizontal="left" vertical="center"/>
    </xf>
    <xf numFmtId="170" fontId="75" fillId="20" borderId="101" xfId="1" applyNumberFormat="1" applyFont="1" applyFill="1" applyBorder="1" applyAlignment="1">
      <alignment horizontal="right" vertical="center"/>
    </xf>
    <xf numFmtId="179" fontId="75" fillId="20" borderId="102" xfId="27" applyNumberFormat="1" applyFont="1" applyFill="1" applyBorder="1" applyAlignment="1">
      <alignment horizontal="right" vertical="center" indent="1"/>
    </xf>
    <xf numFmtId="170" fontId="75" fillId="3" borderId="0" xfId="1" applyNumberFormat="1" applyFont="1" applyFill="1" applyAlignment="1">
      <alignment horizontal="right" vertical="center"/>
    </xf>
    <xf numFmtId="0" fontId="1" fillId="37" borderId="3" xfId="0" applyFont="1" applyFill="1" applyBorder="1"/>
    <xf numFmtId="0" fontId="0" fillId="37" borderId="3" xfId="0" applyFill="1" applyBorder="1"/>
    <xf numFmtId="0" fontId="83" fillId="3" borderId="0" xfId="0" applyFont="1" applyFill="1"/>
    <xf numFmtId="0" fontId="0" fillId="3" borderId="0" xfId="0" applyFill="1" applyAlignment="1">
      <alignment horizontal="right"/>
    </xf>
    <xf numFmtId="0" fontId="83" fillId="3" borderId="0" xfId="0" applyFont="1" applyFill="1" applyAlignment="1">
      <alignment horizontal="right"/>
    </xf>
    <xf numFmtId="183" fontId="0" fillId="3" borderId="0" xfId="0" applyNumberFormat="1" applyFill="1" applyAlignment="1">
      <alignment horizontal="right"/>
    </xf>
    <xf numFmtId="183" fontId="83" fillId="3" borderId="0" xfId="0" applyNumberFormat="1" applyFont="1" applyFill="1" applyAlignment="1">
      <alignment horizontal="right"/>
    </xf>
    <xf numFmtId="184" fontId="0" fillId="3" borderId="0" xfId="0" applyNumberFormat="1" applyFill="1" applyAlignment="1">
      <alignment horizontal="right"/>
    </xf>
    <xf numFmtId="0" fontId="83" fillId="3" borderId="1" xfId="0" applyFont="1" applyFill="1" applyBorder="1"/>
    <xf numFmtId="183" fontId="83" fillId="3" borderId="1" xfId="0" applyNumberFormat="1" applyFont="1" applyFill="1" applyBorder="1" applyAlignment="1">
      <alignment horizontal="right"/>
    </xf>
    <xf numFmtId="184" fontId="83" fillId="3" borderId="1" xfId="0" applyNumberFormat="1" applyFont="1" applyFill="1" applyBorder="1" applyAlignment="1">
      <alignment horizontal="right"/>
    </xf>
    <xf numFmtId="184" fontId="83" fillId="3" borderId="0" xfId="0" applyNumberFormat="1" applyFont="1" applyFill="1" applyAlignment="1">
      <alignment horizontal="right"/>
    </xf>
    <xf numFmtId="183" fontId="0" fillId="3" borderId="1" xfId="0" applyNumberFormat="1" applyFill="1" applyBorder="1" applyAlignment="1">
      <alignment horizontal="right"/>
    </xf>
    <xf numFmtId="184" fontId="0" fillId="3" borderId="1" xfId="0" applyNumberFormat="1" applyFill="1" applyBorder="1" applyAlignment="1">
      <alignment horizontal="right"/>
    </xf>
    <xf numFmtId="0" fontId="84" fillId="3" borderId="0" xfId="0" applyFont="1" applyFill="1"/>
    <xf numFmtId="0" fontId="3" fillId="3" borderId="0" xfId="0" applyFont="1" applyFill="1"/>
    <xf numFmtId="185" fontId="0" fillId="3" borderId="0" xfId="0" applyNumberFormat="1" applyFill="1" applyAlignment="1">
      <alignment horizontal="right"/>
    </xf>
    <xf numFmtId="185" fontId="83" fillId="3" borderId="0" xfId="0" applyNumberFormat="1" applyFont="1" applyFill="1" applyAlignment="1">
      <alignment horizontal="right"/>
    </xf>
    <xf numFmtId="185" fontId="83" fillId="3" borderId="1" xfId="0" applyNumberFormat="1" applyFont="1" applyFill="1" applyBorder="1" applyAlignment="1">
      <alignment horizontal="right"/>
    </xf>
    <xf numFmtId="166" fontId="0" fillId="3" borderId="0" xfId="15" applyFont="1" applyFill="1"/>
    <xf numFmtId="185" fontId="0" fillId="3" borderId="1" xfId="0" applyNumberFormat="1" applyFill="1" applyBorder="1" applyAlignment="1">
      <alignment horizontal="right"/>
    </xf>
    <xf numFmtId="0" fontId="3" fillId="3" borderId="0" xfId="0" applyFont="1" applyFill="1" applyAlignment="1">
      <alignment horizontal="right"/>
    </xf>
    <xf numFmtId="3" fontId="0" fillId="7" borderId="6" xfId="0" applyNumberFormat="1" applyFill="1" applyBorder="1"/>
    <xf numFmtId="3" fontId="0" fillId="7" borderId="8" xfId="0" applyNumberFormat="1" applyFill="1" applyBorder="1"/>
    <xf numFmtId="4" fontId="0" fillId="9" borderId="0" xfId="0" applyNumberFormat="1" applyFill="1"/>
    <xf numFmtId="0" fontId="0" fillId="3" borderId="113" xfId="0" applyFill="1" applyBorder="1"/>
    <xf numFmtId="4" fontId="0" fillId="3" borderId="113" xfId="0" applyNumberFormat="1" applyFill="1" applyBorder="1"/>
    <xf numFmtId="3" fontId="0" fillId="9" borderId="0" xfId="0" applyNumberFormat="1" applyFill="1"/>
    <xf numFmtId="1" fontId="0" fillId="7" borderId="0" xfId="0" applyNumberFormat="1" applyFill="1"/>
    <xf numFmtId="0" fontId="0" fillId="38" borderId="0" xfId="0" applyFill="1"/>
    <xf numFmtId="4" fontId="0" fillId="3" borderId="5" xfId="0" applyNumberFormat="1" applyFill="1" applyBorder="1"/>
    <xf numFmtId="0" fontId="21" fillId="9" borderId="0" xfId="0" applyFont="1" applyFill="1"/>
    <xf numFmtId="0" fontId="0" fillId="3" borderId="5" xfId="0" applyFill="1" applyBorder="1" applyAlignment="1">
      <alignment horizontal="center" vertical="center" textRotation="90"/>
    </xf>
    <xf numFmtId="0" fontId="0" fillId="3" borderId="0" xfId="0" applyFill="1" applyAlignment="1">
      <alignment horizontal="center" vertical="center" textRotation="90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4" xfId="0" applyFill="1" applyBorder="1" applyAlignment="1">
      <alignment horizontal="center"/>
    </xf>
    <xf numFmtId="0" fontId="0" fillId="3" borderId="0" xfId="0" applyFill="1" applyAlignment="1">
      <alignment horizontal="center" textRotation="90" wrapText="1"/>
    </xf>
    <xf numFmtId="0" fontId="0" fillId="3" borderId="0" xfId="0" applyFill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9" fontId="31" fillId="18" borderId="21" xfId="0" applyNumberFormat="1" applyFont="1" applyFill="1" applyBorder="1" applyAlignment="1">
      <alignment horizontal="center" vertical="center"/>
    </xf>
    <xf numFmtId="9" fontId="31" fillId="18" borderId="22" xfId="0" applyNumberFormat="1" applyFont="1" applyFill="1" applyBorder="1" applyAlignment="1">
      <alignment horizontal="center" vertical="center"/>
    </xf>
    <xf numFmtId="9" fontId="31" fillId="18" borderId="23" xfId="0" applyNumberFormat="1" applyFont="1" applyFill="1" applyBorder="1" applyAlignment="1">
      <alignment horizontal="center" vertical="center"/>
    </xf>
    <xf numFmtId="0" fontId="28" fillId="12" borderId="0" xfId="0" applyFont="1" applyFill="1" applyAlignment="1">
      <alignment horizontal="center" vertical="center" wrapText="1"/>
    </xf>
    <xf numFmtId="0" fontId="31" fillId="14" borderId="10" xfId="0" applyFont="1" applyFill="1" applyBorder="1" applyAlignment="1">
      <alignment horizontal="center" vertical="center" wrapText="1"/>
    </xf>
    <xf numFmtId="0" fontId="32" fillId="14" borderId="10" xfId="0" applyFont="1" applyFill="1" applyBorder="1" applyAlignment="1">
      <alignment horizontal="center" vertical="center" wrapText="1"/>
    </xf>
    <xf numFmtId="0" fontId="31" fillId="15" borderId="10" xfId="0" applyFont="1" applyFill="1" applyBorder="1" applyAlignment="1">
      <alignment horizontal="center" vertical="center" wrapText="1"/>
    </xf>
    <xf numFmtId="0" fontId="31" fillId="15" borderId="13" xfId="0" applyFont="1" applyFill="1" applyBorder="1" applyAlignment="1">
      <alignment horizontal="center" vertical="center" wrapText="1"/>
    </xf>
    <xf numFmtId="0" fontId="31" fillId="15" borderId="15" xfId="0" applyFont="1" applyFill="1" applyBorder="1" applyAlignment="1">
      <alignment horizontal="center" vertical="center"/>
    </xf>
    <xf numFmtId="0" fontId="31" fillId="15" borderId="15" xfId="0" applyFont="1" applyFill="1" applyBorder="1" applyAlignment="1">
      <alignment horizontal="center" vertical="center" wrapText="1"/>
    </xf>
    <xf numFmtId="0" fontId="31" fillId="15" borderId="16" xfId="0" applyFont="1" applyFill="1" applyBorder="1" applyAlignment="1">
      <alignment horizontal="center" vertical="center" wrapText="1"/>
    </xf>
    <xf numFmtId="168" fontId="31" fillId="16" borderId="0" xfId="0" applyNumberFormat="1" applyFont="1" applyFill="1" applyAlignment="1">
      <alignment horizontal="center" vertical="center"/>
    </xf>
    <xf numFmtId="0" fontId="31" fillId="17" borderId="0" xfId="0" applyFont="1" applyFill="1" applyAlignment="1">
      <alignment horizontal="center" vertical="center"/>
    </xf>
    <xf numFmtId="0" fontId="31" fillId="15" borderId="0" xfId="1" applyFont="1" applyFill="1" applyAlignment="1">
      <alignment horizontal="center" vertical="center"/>
    </xf>
    <xf numFmtId="0" fontId="31" fillId="15" borderId="0" xfId="1" applyFont="1" applyFill="1" applyAlignment="1">
      <alignment horizontal="center" vertical="center" wrapText="1"/>
    </xf>
    <xf numFmtId="0" fontId="31" fillId="14" borderId="10" xfId="1" applyFont="1" applyFill="1" applyBorder="1" applyAlignment="1">
      <alignment horizontal="center" vertical="center" wrapText="1"/>
    </xf>
    <xf numFmtId="0" fontId="32" fillId="14" borderId="10" xfId="1" applyFont="1" applyFill="1" applyBorder="1" applyAlignment="1">
      <alignment horizontal="center" vertical="center" wrapText="1"/>
    </xf>
    <xf numFmtId="0" fontId="31" fillId="15" borderId="10" xfId="1" applyFont="1" applyFill="1" applyBorder="1" applyAlignment="1">
      <alignment horizontal="center" vertical="center" wrapText="1"/>
    </xf>
    <xf numFmtId="0" fontId="32" fillId="15" borderId="10" xfId="1" applyFont="1" applyFill="1" applyBorder="1" applyAlignment="1">
      <alignment horizontal="center" vertical="center" wrapText="1"/>
    </xf>
    <xf numFmtId="9" fontId="31" fillId="18" borderId="22" xfId="1" applyNumberFormat="1" applyFont="1" applyFill="1" applyBorder="1" applyAlignment="1">
      <alignment horizontal="center" vertical="center"/>
    </xf>
    <xf numFmtId="0" fontId="31" fillId="19" borderId="0" xfId="0" applyFont="1" applyFill="1" applyAlignment="1">
      <alignment horizontal="center" vertical="center"/>
    </xf>
    <xf numFmtId="0" fontId="31" fillId="17" borderId="0" xfId="1" applyFont="1" applyFill="1" applyAlignment="1">
      <alignment horizontal="center" vertical="center"/>
    </xf>
    <xf numFmtId="0" fontId="31" fillId="19" borderId="25" xfId="0" applyFont="1" applyFill="1" applyBorder="1" applyAlignment="1">
      <alignment horizontal="center" vertical="center"/>
    </xf>
    <xf numFmtId="0" fontId="61" fillId="35" borderId="0" xfId="0" applyFont="1" applyFill="1" applyAlignment="1">
      <alignment horizontal="center" vertical="center"/>
    </xf>
    <xf numFmtId="0" fontId="61" fillId="35" borderId="67" xfId="0" applyFont="1" applyFill="1" applyBorder="1" applyAlignment="1">
      <alignment horizontal="center" vertical="center"/>
    </xf>
    <xf numFmtId="0" fontId="67" fillId="36" borderId="0" xfId="0" applyFont="1" applyFill="1" applyAlignment="1">
      <alignment horizontal="center" vertical="center"/>
    </xf>
    <xf numFmtId="0" fontId="69" fillId="15" borderId="0" xfId="0" applyFont="1" applyFill="1" applyAlignment="1">
      <alignment horizontal="center" vertical="center"/>
    </xf>
    <xf numFmtId="0" fontId="69" fillId="15" borderId="0" xfId="1" applyFont="1" applyFill="1" applyAlignment="1">
      <alignment horizontal="center" vertical="center"/>
    </xf>
    <xf numFmtId="0" fontId="69" fillId="15" borderId="0" xfId="0" applyFont="1" applyFill="1" applyAlignment="1">
      <alignment horizontal="center" vertical="center" wrapText="1"/>
    </xf>
    <xf numFmtId="0" fontId="69" fillId="15" borderId="99" xfId="0" applyFont="1" applyFill="1" applyBorder="1" applyAlignment="1">
      <alignment horizontal="center" vertical="center" wrapText="1"/>
    </xf>
    <xf numFmtId="0" fontId="70" fillId="15" borderId="0" xfId="0" applyFont="1" applyFill="1" applyAlignment="1">
      <alignment horizontal="center" vertical="center" wrapText="1"/>
    </xf>
    <xf numFmtId="0" fontId="69" fillId="17" borderId="33" xfId="0" applyFont="1" applyFill="1" applyBorder="1" applyAlignment="1">
      <alignment horizontal="center" vertical="center"/>
    </xf>
    <xf numFmtId="0" fontId="69" fillId="15" borderId="0" xfId="1" applyFont="1" applyFill="1" applyAlignment="1">
      <alignment horizontal="center" vertical="center" wrapText="1"/>
    </xf>
    <xf numFmtId="0" fontId="70" fillId="15" borderId="0" xfId="1" applyFont="1" applyFill="1" applyAlignment="1">
      <alignment horizontal="center" vertical="center" wrapText="1"/>
    </xf>
    <xf numFmtId="0" fontId="0" fillId="3" borderId="0" xfId="0" applyFill="1" applyAlignment="1">
      <alignment horizontal="right"/>
    </xf>
  </cellXfs>
  <cellStyles count="29">
    <cellStyle name="C01_Main head" xfId="2" xr:uid="{00000000-0005-0000-0000-000000000000}"/>
    <cellStyle name="C02_Column heads" xfId="3" xr:uid="{00000000-0005-0000-0000-000001000000}"/>
    <cellStyle name="C03_Sub head bold" xfId="4" xr:uid="{00000000-0005-0000-0000-000002000000}"/>
    <cellStyle name="C03a_Sub head" xfId="5" xr:uid="{00000000-0005-0000-0000-000003000000}"/>
    <cellStyle name="C04_Total text white bold" xfId="6" xr:uid="{00000000-0005-0000-0000-000004000000}"/>
    <cellStyle name="C04a_Total text black with rule" xfId="7" xr:uid="{00000000-0005-0000-0000-000005000000}"/>
    <cellStyle name="C05_Main text" xfId="8" xr:uid="{00000000-0005-0000-0000-000006000000}"/>
    <cellStyle name="C06_Figs" xfId="9" xr:uid="{00000000-0005-0000-0000-000007000000}"/>
    <cellStyle name="C07_Figs 1 dec percent" xfId="10" xr:uid="{00000000-0005-0000-0000-000008000000}"/>
    <cellStyle name="C08_Figs 1 decimal" xfId="11" xr:uid="{00000000-0005-0000-0000-000009000000}"/>
    <cellStyle name="C09_Notes" xfId="12" xr:uid="{00000000-0005-0000-0000-00000A000000}"/>
    <cellStyle name="Comma 2" xfId="13" xr:uid="{00000000-0005-0000-0000-00000B000000}"/>
    <cellStyle name="Comma 3 2" xfId="19" xr:uid="{00000000-0005-0000-0000-00000C000000}"/>
    <cellStyle name="Comma 5" xfId="16" xr:uid="{00000000-0005-0000-0000-00000D000000}"/>
    <cellStyle name="Hyperlink" xfId="26" builtinId="8"/>
    <cellStyle name="Hyperlink 2" xfId="14" xr:uid="{00000000-0005-0000-0000-00000E000000}"/>
    <cellStyle name="Normal" xfId="0" builtinId="0"/>
    <cellStyle name="Normal 2" xfId="1" xr:uid="{00000000-0005-0000-0000-000010000000}"/>
    <cellStyle name="Normal 3" xfId="17" xr:uid="{00000000-0005-0000-0000-000011000000}"/>
    <cellStyle name="Normal 3 2" xfId="18" xr:uid="{00000000-0005-0000-0000-000012000000}"/>
    <cellStyle name="Normal 33" xfId="22" xr:uid="{00000000-0005-0000-0000-000013000000}"/>
    <cellStyle name="Normal 8" xfId="20" xr:uid="{00000000-0005-0000-0000-000014000000}"/>
    <cellStyle name="Normal 9 10" xfId="24" xr:uid="{00000000-0005-0000-0000-000015000000}"/>
    <cellStyle name="Percent" xfId="27" builtinId="5"/>
    <cellStyle name="Percent 2" xfId="15" xr:uid="{00000000-0005-0000-0000-000016000000}"/>
    <cellStyle name="Percent 2 10" xfId="25" xr:uid="{00000000-0005-0000-0000-000017000000}"/>
    <cellStyle name="Percent 3" xfId="21" xr:uid="{00000000-0005-0000-0000-000018000000}"/>
    <cellStyle name="Percent 8" xfId="23" xr:uid="{00000000-0005-0000-0000-000019000000}"/>
    <cellStyle name="Table headers" xfId="28" xr:uid="{B6DE5C87-FF5A-4147-AA8C-FD7B2A6A68BC}"/>
  </cellStyles>
  <dxfs count="221">
    <dxf>
      <numFmt numFmtId="186" formatCode="[&gt;0.0005]0.0%;[=0]\-;#\♦"/>
    </dxf>
    <dxf>
      <numFmt numFmtId="187" formatCode="[&lt;-0.0005]\-0.0%;[=0]\-;#\♦"/>
    </dxf>
    <dxf>
      <font>
        <color theme="6" tint="-0.24994659260841701"/>
      </font>
    </dxf>
    <dxf>
      <font>
        <color theme="6" tint="-0.24994659260841701"/>
      </font>
    </dxf>
    <dxf>
      <numFmt numFmtId="186" formatCode="[&gt;0.0005]0.0%;[=0]\-;#\♦"/>
    </dxf>
    <dxf>
      <numFmt numFmtId="187" formatCode="[&lt;-0.0005]\-0.0%;[=0]\-;#\♦"/>
    </dxf>
    <dxf>
      <font>
        <color theme="6" tint="-0.24994659260841701"/>
      </font>
    </dxf>
    <dxf>
      <font>
        <color theme="6" tint="-0.24994659260841701"/>
      </font>
    </dxf>
    <dxf>
      <numFmt numFmtId="186" formatCode="[&gt;0.0005]0.0%;[=0]\-;#\♦"/>
    </dxf>
    <dxf>
      <numFmt numFmtId="187" formatCode="[&lt;-0.0005]\-0.0%;[=0]\-;#\♦"/>
    </dxf>
    <dxf>
      <numFmt numFmtId="186" formatCode="[&gt;0.0005]0.0%;[=0]\-;#\♦"/>
    </dxf>
    <dxf>
      <numFmt numFmtId="187" formatCode="[&lt;-0.0005]\-0.0%;[=0]\-;#\♦"/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6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6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5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  <dxf>
      <font>
        <color theme="6" tint="-0.24994659260841701"/>
      </font>
    </dxf>
  </dxfs>
  <tableStyles count="0" defaultTableStyle="TableStyleMedium2" defaultPivotStyle="PivotStyleLight16"/>
  <colors>
    <mruColors>
      <color rgb="FF000000"/>
      <color rgb="FFFFDB74"/>
      <color rgb="FFFFF9E3"/>
      <color rgb="FFFFF9D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69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929689239004093E-2"/>
          <c:y val="5.8268807664316684E-2"/>
          <c:w val="0.65664283874138829"/>
          <c:h val="0.85309417844434998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'O2. Carbon prices'!$C$10</c:f>
              <c:strCache>
                <c:ptCount val="1"/>
                <c:pt idx="0">
                  <c:v>Paris NDCs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prices'!$D$10:$G$10</c:f>
              <c:numCache>
                <c:formatCode>#,##0</c:formatCode>
                <c:ptCount val="4"/>
                <c:pt idx="0">
                  <c:v>15.376961862127992</c:v>
                </c:pt>
                <c:pt idx="1">
                  <c:v>39.564758867173879</c:v>
                </c:pt>
                <c:pt idx="2">
                  <c:v>21.369858712654917</c:v>
                </c:pt>
                <c:pt idx="3">
                  <c:v>15.112130456161747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6-4D30-9B76-6DACE0569EA4}"/>
            </c:ext>
          </c:extLst>
        </c:ser>
        <c:ser>
          <c:idx val="6"/>
          <c:order val="1"/>
          <c:tx>
            <c:strRef>
              <c:f>'O2. Carbon prices'!$C$16</c:f>
              <c:strCache>
                <c:ptCount val="1"/>
                <c:pt idx="0">
                  <c:v>EVs Unplugged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prices'!$D$16:$G$16</c:f>
              <c:numCache>
                <c:formatCode>#,##0</c:formatCode>
                <c:ptCount val="4"/>
                <c:pt idx="0">
                  <c:v>15.376961862127992</c:v>
                </c:pt>
                <c:pt idx="1">
                  <c:v>63.641431948536294</c:v>
                </c:pt>
                <c:pt idx="2">
                  <c:v>58.016084984967605</c:v>
                </c:pt>
                <c:pt idx="3">
                  <c:v>71.033295934439366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36-4D30-9B76-6DACE0569EA4}"/>
            </c:ext>
          </c:extLst>
        </c:ser>
        <c:ser>
          <c:idx val="7"/>
          <c:order val="2"/>
          <c:tx>
            <c:strRef>
              <c:f>'O2. Carbon prices'!$C$17</c:f>
              <c:strCache>
                <c:ptCount val="1"/>
                <c:pt idx="0">
                  <c:v>Efficiency Boost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prices'!$D$17:$G$17</c:f>
              <c:numCache>
                <c:formatCode>#,##0</c:formatCode>
                <c:ptCount val="4"/>
                <c:pt idx="0">
                  <c:v>15.376961862127992</c:v>
                </c:pt>
                <c:pt idx="1">
                  <c:v>63.936994586641688</c:v>
                </c:pt>
                <c:pt idx="2">
                  <c:v>56.374572227392932</c:v>
                </c:pt>
                <c:pt idx="3">
                  <c:v>57.326342665134227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36-4D30-9B76-6DACE0569EA4}"/>
            </c:ext>
          </c:extLst>
        </c:ser>
        <c:ser>
          <c:idx val="4"/>
          <c:order val="3"/>
          <c:tx>
            <c:strRef>
              <c:f>'O2. Carbon prices'!$C$14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prices'!$D$14:$G$14</c:f>
              <c:numCache>
                <c:formatCode>#,##0</c:formatCode>
                <c:ptCount val="4"/>
                <c:pt idx="0">
                  <c:v>15.376961862127992</c:v>
                </c:pt>
                <c:pt idx="1">
                  <c:v>67.416531723417123</c:v>
                </c:pt>
                <c:pt idx="2">
                  <c:v>60.638309178284246</c:v>
                </c:pt>
                <c:pt idx="3">
                  <c:v>73.655534488569728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36-4D30-9B76-6DACE0569EA4}"/>
            </c:ext>
          </c:extLst>
        </c:ser>
        <c:ser>
          <c:idx val="0"/>
          <c:order val="4"/>
          <c:tx>
            <c:strRef>
              <c:f>'O2. Carbon prices'!$C$11</c:f>
              <c:strCache>
                <c:ptCount val="1"/>
                <c:pt idx="0">
                  <c:v>2020 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prices'!$D$11:$G$11</c:f>
              <c:numCache>
                <c:formatCode>#,##0</c:formatCode>
                <c:ptCount val="4"/>
                <c:pt idx="0">
                  <c:v>15.376961862127992</c:v>
                </c:pt>
                <c:pt idx="1">
                  <c:v>73.149705726259512</c:v>
                </c:pt>
                <c:pt idx="2">
                  <c:v>68.650684479688096</c:v>
                </c:pt>
                <c:pt idx="3">
                  <c:v>74.105092960302713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36-4D30-9B76-6DACE0569EA4}"/>
            </c:ext>
          </c:extLst>
        </c:ser>
        <c:ser>
          <c:idx val="5"/>
          <c:order val="5"/>
          <c:tx>
            <c:strRef>
              <c:f>'O2. Carbon prices'!$C$15</c:f>
              <c:strCache>
                <c:ptCount val="1"/>
                <c:pt idx="0">
                  <c:v>CCS Storm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prices'!$D$15:$G$15</c:f>
              <c:numCache>
                <c:formatCode>#,##0</c:formatCode>
                <c:ptCount val="4"/>
                <c:pt idx="0">
                  <c:v>15.376961862127992</c:v>
                </c:pt>
                <c:pt idx="1">
                  <c:v>78.631318158910432</c:v>
                </c:pt>
                <c:pt idx="2">
                  <c:v>90.333472918906992</c:v>
                </c:pt>
                <c:pt idx="3">
                  <c:v>91.324113093300099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36-4D30-9B76-6DACE0569EA4}"/>
            </c:ext>
          </c:extLst>
        </c:ser>
        <c:ser>
          <c:idx val="2"/>
          <c:order val="6"/>
          <c:tx>
            <c:strRef>
              <c:f>'O2. Carbon prices'!$C$12</c:f>
              <c:strCache>
                <c:ptCount val="1"/>
                <c:pt idx="0">
                  <c:v>2030 Action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prices'!$D$12:$G$12</c:f>
              <c:numCache>
                <c:formatCode>#,##0</c:formatCode>
                <c:ptCount val="4"/>
                <c:pt idx="0">
                  <c:v>15.376961862127992</c:v>
                </c:pt>
                <c:pt idx="1">
                  <c:v>39.564758867173879</c:v>
                </c:pt>
                <c:pt idx="2">
                  <c:v>76.53540990087491</c:v>
                </c:pt>
                <c:pt idx="3">
                  <c:v>102.77679736211667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36-4D30-9B76-6DACE0569EA4}"/>
            </c:ext>
          </c:extLst>
        </c:ser>
        <c:ser>
          <c:idx val="3"/>
          <c:order val="7"/>
          <c:tx>
            <c:strRef>
              <c:f>'O2. Carbon prices'!$C$13</c:f>
              <c:strCache>
                <c:ptCount val="1"/>
                <c:pt idx="0">
                  <c:v>1.75DS Action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'O2. Carbon prices'!$D$9:$G$9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'O2. Carbon prices'!$D$13:$G$13</c:f>
              <c:numCache>
                <c:formatCode>#,##0</c:formatCode>
                <c:ptCount val="4"/>
                <c:pt idx="0">
                  <c:v>15.376961862127992</c:v>
                </c:pt>
                <c:pt idx="1">
                  <c:v>114.51751007340914</c:v>
                </c:pt>
                <c:pt idx="2">
                  <c:v>139.82184003454506</c:v>
                </c:pt>
                <c:pt idx="3">
                  <c:v>164.05976724594242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36-4D30-9B76-6DACE0569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Carbon price (2016US$/tCO</a:t>
                </a:r>
                <a:r>
                  <a:rPr lang="en-GB" sz="1800" b="0" baseline="-2500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2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3.6466255875090003E-3"/>
              <c:y val="0.19403172821024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929689239004093E-2"/>
          <c:y val="5.8268807664316684E-2"/>
          <c:w val="0.65664283874138829"/>
          <c:h val="0.85309417844434998"/>
        </c:manualLayout>
      </c:layout>
      <c:lineChart>
        <c:grouping val="standard"/>
        <c:varyColors val="0"/>
        <c:ser>
          <c:idx val="1"/>
          <c:order val="0"/>
          <c:tx>
            <c:strRef>
              <c:f>'02a. Carbon prices reg var'!$D$10</c:f>
              <c:strCache>
                <c:ptCount val="1"/>
                <c:pt idx="0">
                  <c:v>Global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var'!$E$10:$H$10</c:f>
              <c:numCache>
                <c:formatCode>#,##0</c:formatCode>
                <c:ptCount val="4"/>
                <c:pt idx="0">
                  <c:v>15.376961862127992</c:v>
                </c:pt>
                <c:pt idx="1">
                  <c:v>73.149705726259512</c:v>
                </c:pt>
                <c:pt idx="2">
                  <c:v>68.650684479688096</c:v>
                </c:pt>
                <c:pt idx="3">
                  <c:v>74.105092960302713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E-4A22-9813-E3ACA68706FC}"/>
            </c:ext>
          </c:extLst>
        </c:ser>
        <c:ser>
          <c:idx val="0"/>
          <c:order val="1"/>
          <c:tx>
            <c:strRef>
              <c:f>'02a. Carbon prices reg var'!$D$11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var'!$E$11:$H$11</c:f>
              <c:numCache>
                <c:formatCode>#,##0</c:formatCode>
                <c:ptCount val="4"/>
                <c:pt idx="0">
                  <c:v>10.892563887210708</c:v>
                </c:pt>
                <c:pt idx="1">
                  <c:v>57.912049959803824</c:v>
                </c:pt>
                <c:pt idx="2">
                  <c:v>60.070399805835805</c:v>
                </c:pt>
                <c:pt idx="3">
                  <c:v>71.017758880529556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AEE-4A22-9813-E3ACA68706FC}"/>
            </c:ext>
          </c:extLst>
        </c:ser>
        <c:ser>
          <c:idx val="2"/>
          <c:order val="2"/>
          <c:tx>
            <c:strRef>
              <c:f>'02a. Carbon prices reg var'!$D$12</c:f>
              <c:strCache>
                <c:ptCount val="1"/>
                <c:pt idx="0">
                  <c:v>Latin America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var'!$E$12:$H$12</c:f>
              <c:numCache>
                <c:formatCode>#,##0</c:formatCode>
                <c:ptCount val="4"/>
                <c:pt idx="0">
                  <c:v>13.793822494812286</c:v>
                </c:pt>
                <c:pt idx="1">
                  <c:v>67.770314145848729</c:v>
                </c:pt>
                <c:pt idx="2">
                  <c:v>65.621562950793972</c:v>
                </c:pt>
                <c:pt idx="3">
                  <c:v>73.01516290746558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AEE-4A22-9813-E3ACA68706FC}"/>
            </c:ext>
          </c:extLst>
        </c:ser>
        <c:ser>
          <c:idx val="3"/>
          <c:order val="3"/>
          <c:tx>
            <c:strRef>
              <c:f>'02a. Carbon prices reg var'!$D$13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var'!$E$13:$H$13</c:f>
              <c:numCache>
                <c:formatCode>#,##0</c:formatCode>
                <c:ptCount val="4"/>
                <c:pt idx="0">
                  <c:v>50.351551410679313</c:v>
                </c:pt>
                <c:pt idx="1">
                  <c:v>191.9907985763503</c:v>
                </c:pt>
                <c:pt idx="2">
                  <c:v>135.56979744785519</c:v>
                </c:pt>
                <c:pt idx="3">
                  <c:v>98.183741386084364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AEE-4A22-9813-E3ACA68706FC}"/>
            </c:ext>
          </c:extLst>
        </c:ser>
        <c:ser>
          <c:idx val="4"/>
          <c:order val="4"/>
          <c:tx>
            <c:strRef>
              <c:f>'02a. Carbon prices reg var'!$D$14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var'!$E$14:$H$14</c:f>
              <c:numCache>
                <c:formatCode>#,##0</c:formatCode>
                <c:ptCount val="4"/>
                <c:pt idx="0">
                  <c:v>9.774441522945283</c:v>
                </c:pt>
                <c:pt idx="1">
                  <c:v>54.112752085986905</c:v>
                </c:pt>
                <c:pt idx="2">
                  <c:v>57.931024969066314</c:v>
                </c:pt>
                <c:pt idx="3">
                  <c:v>70.24797499875514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AEE-4A22-9813-E3ACA68706FC}"/>
            </c:ext>
          </c:extLst>
        </c:ser>
        <c:ser>
          <c:idx val="5"/>
          <c:order val="5"/>
          <c:tx>
            <c:strRef>
              <c:f>'02a. Carbon prices reg var'!$D$15</c:f>
              <c:strCache>
                <c:ptCount val="1"/>
                <c:pt idx="0">
                  <c:v>Africa &amp; ME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var'!$E$15:$H$15</c:f>
              <c:numCache>
                <c:formatCode>#,##0</c:formatCode>
                <c:ptCount val="4"/>
                <c:pt idx="0">
                  <c:v>17.078044178357704</c:v>
                </c:pt>
                <c:pt idx="1">
                  <c:v>78.929858805913767</c:v>
                </c:pt>
                <c:pt idx="2">
                  <c:v>71.905473775496787</c:v>
                </c:pt>
                <c:pt idx="3">
                  <c:v>75.276222159087141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AEE-4A22-9813-E3ACA68706FC}"/>
            </c:ext>
          </c:extLst>
        </c:ser>
        <c:ser>
          <c:idx val="6"/>
          <c:order val="6"/>
          <c:tx>
            <c:strRef>
              <c:f>'02a. Carbon prices reg var'!$D$16</c:f>
              <c:strCache>
                <c:ptCount val="1"/>
                <c:pt idx="0">
                  <c:v>Australasia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'02a. Carbon prices reg var'!$E$9:$H$9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'02a. Carbon prices reg var'!$E$16:$H$16</c:f>
              <c:numCache>
                <c:formatCode>#,##0</c:formatCode>
                <c:ptCount val="4"/>
                <c:pt idx="0">
                  <c:v>17.889086865744087</c:v>
                </c:pt>
                <c:pt idx="1">
                  <c:v>81.685722436086522</c:v>
                </c:pt>
                <c:pt idx="2">
                  <c:v>73.457293480024617</c:v>
                </c:pt>
                <c:pt idx="3">
                  <c:v>75.834593593318516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AEE-4A22-9813-E3ACA6870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526648"/>
        <c:axId val="978520088"/>
      </c:line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Carbon price (2016US$/tCO</a:t>
                </a:r>
                <a:r>
                  <a:rPr lang="en-GB" sz="1800" b="0" baseline="-2500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2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2.4387448562704166E-3"/>
              <c:y val="0.16559998160174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96639628153461"/>
          <c:y val="0.2419325984749392"/>
          <c:w val="0.17174446990229594"/>
          <c:h val="0.4734306487863248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387040622179675E-2"/>
          <c:y val="5.8268807664316684E-2"/>
          <c:w val="0.87357541380615944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'O3. Oil output'!$C$15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output'!$D$15:$H$15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93.918782715603058</c:v>
                </c:pt>
                <c:pt idx="3">
                  <c:v>92.756293520425757</c:v>
                </c:pt>
                <c:pt idx="4">
                  <c:v>86.565822113385906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29-47CF-B8A0-52E7031C92D6}"/>
            </c:ext>
          </c:extLst>
        </c:ser>
        <c:ser>
          <c:idx val="0"/>
          <c:order val="1"/>
          <c:tx>
            <c:strRef>
              <c:f>'O3. Oil output'!$C$16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output'!$D$16:$H$16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101.631</c:v>
                </c:pt>
                <c:pt idx="3">
                  <c:v>92.720540139555894</c:v>
                </c:pt>
                <c:pt idx="4">
                  <c:v>85.392392159158234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29-47CF-B8A0-52E7031C92D6}"/>
            </c:ext>
          </c:extLst>
        </c:ser>
        <c:ser>
          <c:idx val="1"/>
          <c:order val="2"/>
          <c:tx>
            <c:strRef>
              <c:f>'O3. Oil output'!$C$17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output'!$D$17:$H$17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91.783649829127455</c:v>
                </c:pt>
                <c:pt idx="3">
                  <c:v>87.253801761541752</c:v>
                </c:pt>
                <c:pt idx="4">
                  <c:v>81.79656717935282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29-47CF-B8A0-52E7031C92D6}"/>
            </c:ext>
          </c:extLst>
        </c:ser>
        <c:ser>
          <c:idx val="2"/>
          <c:order val="3"/>
          <c:tx>
            <c:strRef>
              <c:f>'O3. Oil output'!$C$18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output'!$D$18:$H$18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94.055351252866913</c:v>
                </c:pt>
                <c:pt idx="3">
                  <c:v>93.293847985899021</c:v>
                </c:pt>
                <c:pt idx="4">
                  <c:v>85.696171014865584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29-47CF-B8A0-52E7031C92D6}"/>
            </c:ext>
          </c:extLst>
        </c:ser>
        <c:ser>
          <c:idx val="3"/>
          <c:order val="4"/>
          <c:tx>
            <c:strRef>
              <c:f>'O3. Oil output'!$C$19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output'!$D$19:$H$19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93.245646088342298</c:v>
                </c:pt>
                <c:pt idx="3">
                  <c:v>91.522256142280881</c:v>
                </c:pt>
                <c:pt idx="4">
                  <c:v>86.696734373048741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29-47CF-B8A0-52E7031C92D6}"/>
            </c:ext>
          </c:extLst>
        </c:ser>
        <c:ser>
          <c:idx val="4"/>
          <c:order val="5"/>
          <c:tx>
            <c:strRef>
              <c:f>'O3. Oil output'!$C$20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output'!$D$20:$H$20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87.746575416889883</c:v>
                </c:pt>
                <c:pt idx="3">
                  <c:v>85.242128496860332</c:v>
                </c:pt>
                <c:pt idx="4">
                  <c:v>82.667105632213776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29-47CF-B8A0-52E7031C92D6}"/>
            </c:ext>
          </c:extLst>
        </c:ser>
        <c:ser>
          <c:idx val="5"/>
          <c:order val="6"/>
          <c:tx>
            <c:strRef>
              <c:f>'O3. Oil output'!$C$21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output'!$D$21:$H$21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89.368501659613571</c:v>
                </c:pt>
                <c:pt idx="3">
                  <c:v>88.033136768364898</c:v>
                </c:pt>
                <c:pt idx="4">
                  <c:v>77.641140804794077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29-47CF-B8A0-52E7031C92D6}"/>
            </c:ext>
          </c:extLst>
        </c:ser>
        <c:ser>
          <c:idx val="6"/>
          <c:order val="7"/>
          <c:tx>
            <c:strRef>
              <c:f>'O3. Oil output'!$C$22</c:f>
              <c:strCache>
                <c:ptCount val="1"/>
                <c:pt idx="0">
                  <c:v>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output'!$D$22:$H$22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96.576750000000004</c:v>
                </c:pt>
                <c:pt idx="2">
                  <c:v>107.675</c:v>
                </c:pt>
                <c:pt idx="3">
                  <c:v>117.205</c:v>
                </c:pt>
                <c:pt idx="4">
                  <c:v>127.52900000000022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9-47CF-B8A0-52E7031C92D6}"/>
            </c:ext>
          </c:extLst>
        </c:ser>
        <c:ser>
          <c:idx val="7"/>
          <c:order val="8"/>
          <c:tx>
            <c:strRef>
              <c:f>'O3. Oil output'!$C$23</c:f>
              <c:strCache>
                <c:ptCount val="1"/>
                <c:pt idx="0">
                  <c:v>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output'!$D$23:$H$23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95.458875000000006</c:v>
                </c:pt>
                <c:pt idx="2">
                  <c:v>101.631</c:v>
                </c:pt>
                <c:pt idx="3">
                  <c:v>103.36499999999999</c:v>
                </c:pt>
                <c:pt idx="4">
                  <c:v>105.92100000000005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29-47CF-B8A0-52E7031C92D6}"/>
            </c:ext>
          </c:extLst>
        </c:ser>
        <c:ser>
          <c:idx val="8"/>
          <c:order val="9"/>
          <c:tx>
            <c:strRef>
              <c:f>'O3. Oil output'!$C$24</c:f>
              <c:strCache>
                <c:ptCount val="1"/>
                <c:pt idx="0">
                  <c:v>WEO SDS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'O3. Oil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'O3. Oil output'!$D$24:$H$24</c:f>
              <c:numCache>
                <c:formatCode>#,##0</c:formatCode>
                <c:ptCount val="5"/>
                <c:pt idx="0">
                  <c:v>92.781000000000006</c:v>
                </c:pt>
                <c:pt idx="1">
                  <c:v>92.325000000000003</c:v>
                </c:pt>
                <c:pt idx="2">
                  <c:v>84.728999999999999</c:v>
                </c:pt>
                <c:pt idx="3">
                  <c:v>67.968999999999994</c:v>
                </c:pt>
                <c:pt idx="4">
                  <c:v>53.493000000000393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29-47CF-B8A0-52E7031C9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Oil  output (Mb/day)</a:t>
                </a:r>
              </a:p>
            </c:rich>
          </c:tx>
          <c:layout>
            <c:manualLayout>
              <c:xMode val="edge"/>
              <c:yMode val="edge"/>
              <c:x val="2.9431199349855311E-5"/>
              <c:y val="0.2679671906187624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947289525052293"/>
          <c:y val="5.8268807664316684E-2"/>
          <c:w val="0.84922980402040404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'O4. Gas output'!$C$15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output'!$D$15:$H$15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4763.5353936374922</c:v>
                </c:pt>
                <c:pt idx="3">
                  <c:v>5009.0550411267013</c:v>
                </c:pt>
                <c:pt idx="4">
                  <c:v>5204.083812514089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AF-48EA-9A66-97FBAA34FFDC}"/>
            </c:ext>
          </c:extLst>
        </c:ser>
        <c:ser>
          <c:idx val="0"/>
          <c:order val="1"/>
          <c:tx>
            <c:strRef>
              <c:f>'O4. Gas output'!$C$16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output'!$D$16:$H$16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4641.3999999999996</c:v>
                </c:pt>
                <c:pt idx="3">
                  <c:v>5091.0572034619199</c:v>
                </c:pt>
                <c:pt idx="4">
                  <c:v>5201.3785461449552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AF-48EA-9A66-97FBAA34FFDC}"/>
            </c:ext>
          </c:extLst>
        </c:ser>
        <c:ser>
          <c:idx val="1"/>
          <c:order val="2"/>
          <c:tx>
            <c:strRef>
              <c:f>'O4. Gas output'!$C$17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output'!$D$17:$H$17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5076.4733780176057</c:v>
                </c:pt>
                <c:pt idx="3">
                  <c:v>5099.7104029448828</c:v>
                </c:pt>
                <c:pt idx="4">
                  <c:v>5187.8677754296414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AF-48EA-9A66-97FBAA34FFDC}"/>
            </c:ext>
          </c:extLst>
        </c:ser>
        <c:ser>
          <c:idx val="2"/>
          <c:order val="3"/>
          <c:tx>
            <c:strRef>
              <c:f>'O4. Gas output'!$C$18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output'!$D$18:$H$18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4618.7695724533532</c:v>
                </c:pt>
                <c:pt idx="3">
                  <c:v>4907.270195628952</c:v>
                </c:pt>
                <c:pt idx="4">
                  <c:v>5226.8378817309158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AF-48EA-9A66-97FBAA34FFDC}"/>
            </c:ext>
          </c:extLst>
        </c:ser>
        <c:ser>
          <c:idx val="3"/>
          <c:order val="4"/>
          <c:tx>
            <c:strRef>
              <c:f>'O4. Gas output'!$C$19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output'!$D$19:$H$19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4900.4017152159386</c:v>
                </c:pt>
                <c:pt idx="3">
                  <c:v>5398.3200475863459</c:v>
                </c:pt>
                <c:pt idx="4">
                  <c:v>5878.4014106446166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4AF-48EA-9A66-97FBAA34FFDC}"/>
            </c:ext>
          </c:extLst>
        </c:ser>
        <c:ser>
          <c:idx val="4"/>
          <c:order val="5"/>
          <c:tx>
            <c:strRef>
              <c:f>'O4. Gas output'!$C$20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output'!$D$20:$H$20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4720.6313647779843</c:v>
                </c:pt>
                <c:pt idx="3">
                  <c:v>4907.5537462616421</c:v>
                </c:pt>
                <c:pt idx="4">
                  <c:v>5056.272849100068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4AF-48EA-9A66-97FBAA34FFDC}"/>
            </c:ext>
          </c:extLst>
        </c:ser>
        <c:ser>
          <c:idx val="5"/>
          <c:order val="6"/>
          <c:tx>
            <c:strRef>
              <c:f>'O4. Gas output'!$C$21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output'!$D$21:$H$21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4636.1715953484272</c:v>
                </c:pt>
                <c:pt idx="3">
                  <c:v>4691.6526499092652</c:v>
                </c:pt>
                <c:pt idx="4">
                  <c:v>4440.3807937605552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AF-48EA-9A66-97FBAA34FFDC}"/>
            </c:ext>
          </c:extLst>
        </c:ser>
        <c:ser>
          <c:idx val="6"/>
          <c:order val="7"/>
          <c:tx>
            <c:strRef>
              <c:f>'O4. Gas output'!$C$22</c:f>
              <c:strCache>
                <c:ptCount val="1"/>
                <c:pt idx="0">
                  <c:v>2018 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output'!$D$22:$H$22</c:f>
              <c:numCache>
                <c:formatCode>#,##0</c:formatCode>
                <c:ptCount val="5"/>
                <c:pt idx="0">
                  <c:v>3768.86</c:v>
                </c:pt>
                <c:pt idx="1">
                  <c:v>4000.3962500000002</c:v>
                </c:pt>
                <c:pt idx="2">
                  <c:v>4859.5</c:v>
                </c:pt>
                <c:pt idx="3">
                  <c:v>5846.69</c:v>
                </c:pt>
                <c:pt idx="4">
                  <c:v>6808.5299999999988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F-48EA-9A66-97FBAA34FFDC}"/>
            </c:ext>
          </c:extLst>
        </c:ser>
        <c:ser>
          <c:idx val="7"/>
          <c:order val="8"/>
          <c:tx>
            <c:strRef>
              <c:f>'O4. Gas output'!$C$23</c:f>
              <c:strCache>
                <c:ptCount val="1"/>
                <c:pt idx="0">
                  <c:v>2018 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output'!$D$23:$H$23</c:f>
              <c:numCache>
                <c:formatCode>#,##0</c:formatCode>
                <c:ptCount val="5"/>
                <c:pt idx="0">
                  <c:v>3768.86</c:v>
                </c:pt>
                <c:pt idx="1">
                  <c:v>3965.5250000000001</c:v>
                </c:pt>
                <c:pt idx="2">
                  <c:v>4641.3999999999996</c:v>
                </c:pt>
                <c:pt idx="3">
                  <c:v>5398.5</c:v>
                </c:pt>
                <c:pt idx="4">
                  <c:v>6145.960000000021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AF-48EA-9A66-97FBAA34FFDC}"/>
            </c:ext>
          </c:extLst>
        </c:ser>
        <c:ser>
          <c:idx val="8"/>
          <c:order val="9"/>
          <c:tx>
            <c:strRef>
              <c:f>'O4. Gas output'!$C$24</c:f>
              <c:strCache>
                <c:ptCount val="1"/>
                <c:pt idx="0">
                  <c:v>2018 WEO SDS</c:v>
                </c:pt>
              </c:strCache>
            </c:strRef>
          </c:tx>
          <c:spPr>
            <a:ln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'O4. Gas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'O4. Gas output'!$D$24:$H$24</c:f>
              <c:numCache>
                <c:formatCode>#,##0</c:formatCode>
                <c:ptCount val="5"/>
                <c:pt idx="0">
                  <c:v>3768.86</c:v>
                </c:pt>
                <c:pt idx="1">
                  <c:v>3926.5250000000001</c:v>
                </c:pt>
                <c:pt idx="2">
                  <c:v>4317.6000000000004</c:v>
                </c:pt>
                <c:pt idx="3">
                  <c:v>4184.12</c:v>
                </c:pt>
                <c:pt idx="4">
                  <c:v>3956.9800000000032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AF-48EA-9A66-97FBAA34F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  <c:max val="7000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Gas  output (Bn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m</a:t>
                </a:r>
                <a:r>
                  <a:rPr lang="en-GB" sz="1800" b="0" baseline="3000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3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)</a:t>
                </a:r>
              </a:p>
            </c:rich>
          </c:tx>
          <c:layout>
            <c:manualLayout>
              <c:xMode val="edge"/>
              <c:yMode val="edge"/>
              <c:x val="2.9431199349855311E-5"/>
              <c:y val="0.2679671906187624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32886233761832"/>
          <c:y val="5.8268807664316684E-2"/>
          <c:w val="0.85530003616076655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'O5. Coal output'!$C$15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output'!$D$15:$H$15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3120.8166494653251</c:v>
                </c:pt>
                <c:pt idx="3">
                  <c:v>2589.0466836297201</c:v>
                </c:pt>
                <c:pt idx="4">
                  <c:v>2417.7983410815973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E4-4E5D-9F9E-ECBC75A5BBC8}"/>
            </c:ext>
          </c:extLst>
        </c:ser>
        <c:ser>
          <c:idx val="0"/>
          <c:order val="1"/>
          <c:tx>
            <c:strRef>
              <c:f>'O5. Coal output'!$C$16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output'!$D$16:$H$16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5405.11</c:v>
                </c:pt>
                <c:pt idx="3">
                  <c:v>2813.485713723735</c:v>
                </c:pt>
                <c:pt idx="4">
                  <c:v>2192.741175251751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E4-4E5D-9F9E-ECBC75A5BBC8}"/>
            </c:ext>
          </c:extLst>
        </c:ser>
        <c:ser>
          <c:idx val="1"/>
          <c:order val="2"/>
          <c:tx>
            <c:strRef>
              <c:f>'O5. Coal output'!$C$17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output'!$D$17:$H$17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2285.5036820410692</c:v>
                </c:pt>
                <c:pt idx="3">
                  <c:v>1508.6265452764417</c:v>
                </c:pt>
                <c:pt idx="4">
                  <c:v>1741.6619129891824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E4-4E5D-9F9E-ECBC75A5BBC8}"/>
            </c:ext>
          </c:extLst>
        </c:ser>
        <c:ser>
          <c:idx val="2"/>
          <c:order val="3"/>
          <c:tx>
            <c:strRef>
              <c:f>'O5. Coal output'!$C$18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output'!$D$18:$H$18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3191.3725369764666</c:v>
                </c:pt>
                <c:pt idx="3">
                  <c:v>2595.4413699447991</c:v>
                </c:pt>
                <c:pt idx="4">
                  <c:v>2436.1602142156048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E4-4E5D-9F9E-ECBC75A5BBC8}"/>
            </c:ext>
          </c:extLst>
        </c:ser>
        <c:ser>
          <c:idx val="3"/>
          <c:order val="4"/>
          <c:tx>
            <c:strRef>
              <c:f>'O5. Coal output'!$C$19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output'!$D$19:$H$19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3067.6248710657728</c:v>
                </c:pt>
                <c:pt idx="3">
                  <c:v>2454.6738356155274</c:v>
                </c:pt>
                <c:pt idx="4">
                  <c:v>2505.0874941070447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E4-4E5D-9F9E-ECBC75A5BBC8}"/>
            </c:ext>
          </c:extLst>
        </c:ser>
        <c:ser>
          <c:idx val="4"/>
          <c:order val="5"/>
          <c:tx>
            <c:strRef>
              <c:f>'O5. Coal output'!$C$20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output'!$D$20:$H$20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3300.4351824029036</c:v>
                </c:pt>
                <c:pt idx="3">
                  <c:v>2884.988106994826</c:v>
                </c:pt>
                <c:pt idx="4">
                  <c:v>2465.0183970912581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E4-4E5D-9F9E-ECBC75A5BBC8}"/>
            </c:ext>
          </c:extLst>
        </c:ser>
        <c:ser>
          <c:idx val="5"/>
          <c:order val="6"/>
          <c:tx>
            <c:strRef>
              <c:f>'O5. Coal output'!$C$21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output'!$D$21:$H$21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3272.7199229308676</c:v>
                </c:pt>
                <c:pt idx="3">
                  <c:v>2654.5206162440531</c:v>
                </c:pt>
                <c:pt idx="4">
                  <c:v>2112.374931294074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E4-4E5D-9F9E-ECBC75A5BBC8}"/>
            </c:ext>
          </c:extLst>
        </c:ser>
        <c:ser>
          <c:idx val="6"/>
          <c:order val="7"/>
          <c:tx>
            <c:strRef>
              <c:f>'O5. Coal output'!$C$22</c:f>
              <c:strCache>
                <c:ptCount val="1"/>
                <c:pt idx="0">
                  <c:v>2018 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output'!$D$22:$H$22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5491.5170000000007</c:v>
                </c:pt>
                <c:pt idx="2">
                  <c:v>6074.0859999999993</c:v>
                </c:pt>
                <c:pt idx="3">
                  <c:v>6813.43</c:v>
                </c:pt>
                <c:pt idx="4">
                  <c:v>7525.3259999999846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E4-4E5D-9F9E-ECBC75A5BBC8}"/>
            </c:ext>
          </c:extLst>
        </c:ser>
        <c:ser>
          <c:idx val="7"/>
          <c:order val="8"/>
          <c:tx>
            <c:strRef>
              <c:f>'O5. Coal output'!$C$23</c:f>
              <c:strCache>
                <c:ptCount val="1"/>
                <c:pt idx="0">
                  <c:v>2018 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output'!$D$23:$H$23</c:f>
              <c:numCache>
                <c:formatCode>#,##0</c:formatCode>
                <c:ptCount val="5"/>
                <c:pt idx="0">
                  <c:v>5359.8919999999998</c:v>
                </c:pt>
                <c:pt idx="1">
                  <c:v>5368.7423750000007</c:v>
                </c:pt>
                <c:pt idx="2">
                  <c:v>5405.11</c:v>
                </c:pt>
                <c:pt idx="3">
                  <c:v>5441.4790000000003</c:v>
                </c:pt>
                <c:pt idx="4">
                  <c:v>5485.7969999999978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E4-4E5D-9F9E-ECBC75A5BBC8}"/>
            </c:ext>
          </c:extLst>
        </c:ser>
        <c:ser>
          <c:idx val="8"/>
          <c:order val="9"/>
          <c:tx>
            <c:strRef>
              <c:f>'O5. Coal output'!$C$24</c:f>
              <c:strCache>
                <c:ptCount val="1"/>
                <c:pt idx="0">
                  <c:v>2018 WEO SDS</c:v>
                </c:pt>
              </c:strCache>
            </c:strRef>
          </c:tx>
          <c:spPr>
            <a:ln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'O5. Coal output'!$D$12:$H$12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'O5. Coal output'!$D$24:$H$24</c:f>
              <c:numCache>
                <c:formatCode>#,##0</c:formatCode>
                <c:ptCount val="5"/>
                <c:pt idx="0">
                  <c:v>5359.8919999999998</c:v>
                </c:pt>
                <c:pt idx="1">
                  <c:v>4981.2950000000001</c:v>
                </c:pt>
                <c:pt idx="2">
                  <c:v>3451.9689999999996</c:v>
                </c:pt>
                <c:pt idx="3">
                  <c:v>2281.741</c:v>
                </c:pt>
                <c:pt idx="4">
                  <c:v>1368.7790000000182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E4-4E5D-9F9E-ECBC75A5B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Coal  output (Mtce)</a:t>
                </a:r>
              </a:p>
            </c:rich>
          </c:tx>
          <c:layout>
            <c:manualLayout>
              <c:xMode val="edge"/>
              <c:yMode val="edge"/>
              <c:x val="2.9431199349855311E-5"/>
              <c:y val="0.2679671906187624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052996218294857"/>
          <c:y val="0.70704827364761891"/>
          <c:w val="0.25102538639944266"/>
          <c:h val="0.1670548506713140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68348429735518E-2"/>
          <c:y val="5.8268807664316684E-2"/>
          <c:w val="0.84545252820878258"/>
          <c:h val="0.8219942624138884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'O6. Total ren capacity'!$C$15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capacity'!$D$15:$H$15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5.2663224128860566</c:v>
                </c:pt>
                <c:pt idx="3">
                  <c:v>8.6644984757252903</c:v>
                </c:pt>
                <c:pt idx="4">
                  <c:v>12.659372090485919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69-430D-B306-B5650934F49A}"/>
            </c:ext>
          </c:extLst>
        </c:ser>
        <c:ser>
          <c:idx val="0"/>
          <c:order val="1"/>
          <c:tx>
            <c:strRef>
              <c:f>'O6. Total ren capacity'!$C$16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capacity'!$D$16:$H$16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4.718</c:v>
                </c:pt>
                <c:pt idx="3">
                  <c:v>7.9861997387784323</c:v>
                </c:pt>
                <c:pt idx="4">
                  <c:v>12.593413650631945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69-430D-B306-B5650934F49A}"/>
            </c:ext>
          </c:extLst>
        </c:ser>
        <c:ser>
          <c:idx val="1"/>
          <c:order val="2"/>
          <c:tx>
            <c:strRef>
              <c:f>'O6. Total ren capacity'!$C$17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capacity'!$D$17:$H$17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5.4039110876217773</c:v>
                </c:pt>
                <c:pt idx="3">
                  <c:v>9.1999809900417464</c:v>
                </c:pt>
                <c:pt idx="4">
                  <c:v>13.070396372724867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69-430D-B306-B5650934F49A}"/>
            </c:ext>
          </c:extLst>
        </c:ser>
        <c:ser>
          <c:idx val="2"/>
          <c:order val="3"/>
          <c:tx>
            <c:strRef>
              <c:f>'O6. Total ren capacity'!$C$18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capacity'!$D$18:$H$18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6.0118319203631767</c:v>
                </c:pt>
                <c:pt idx="3">
                  <c:v>9.9078179775102164</c:v>
                </c:pt>
                <c:pt idx="4">
                  <c:v>13.667340446861617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969-430D-B306-B5650934F49A}"/>
            </c:ext>
          </c:extLst>
        </c:ser>
        <c:ser>
          <c:idx val="3"/>
          <c:order val="4"/>
          <c:tx>
            <c:strRef>
              <c:f>'O6. Total ren capacity'!$C$19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capacity'!$D$19:$H$19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4.3925206367673884</c:v>
                </c:pt>
                <c:pt idx="3">
                  <c:v>5.4087493223873411</c:v>
                </c:pt>
                <c:pt idx="4">
                  <c:v>6.9911255467972442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969-430D-B306-B5650934F49A}"/>
            </c:ext>
          </c:extLst>
        </c:ser>
        <c:ser>
          <c:idx val="4"/>
          <c:order val="5"/>
          <c:tx>
            <c:strRef>
              <c:f>'O6. Total ren capacity'!$C$20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capacity'!$D$20:$H$20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4.8927622139016309</c:v>
                </c:pt>
                <c:pt idx="3">
                  <c:v>8.3318322762496635</c:v>
                </c:pt>
                <c:pt idx="4">
                  <c:v>12.801215107382033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969-430D-B306-B5650934F49A}"/>
            </c:ext>
          </c:extLst>
        </c:ser>
        <c:ser>
          <c:idx val="5"/>
          <c:order val="6"/>
          <c:tx>
            <c:strRef>
              <c:f>'O6. Total ren capacity'!$C$21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capacity'!$D$21:$H$21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4.8522559800514786</c:v>
                </c:pt>
                <c:pt idx="3">
                  <c:v>7.7289202121205784</c:v>
                </c:pt>
                <c:pt idx="4">
                  <c:v>11.54690152800528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69-430D-B306-B5650934F49A}"/>
            </c:ext>
          </c:extLst>
        </c:ser>
        <c:ser>
          <c:idx val="6"/>
          <c:order val="7"/>
          <c:tx>
            <c:strRef>
              <c:f>'O6. Total ren capacity'!$C$22</c:f>
              <c:strCache>
                <c:ptCount val="1"/>
                <c:pt idx="0">
                  <c:v>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capacity'!$D$22:$H$22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2.7983750000000001</c:v>
                </c:pt>
                <c:pt idx="2">
                  <c:v>4.1710000000000003</c:v>
                </c:pt>
                <c:pt idx="3">
                  <c:v>5.3939999999999992</c:v>
                </c:pt>
                <c:pt idx="4">
                  <c:v>6.6440000000000001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69-430D-B306-B5650934F49A}"/>
            </c:ext>
          </c:extLst>
        </c:ser>
        <c:ser>
          <c:idx val="7"/>
          <c:order val="8"/>
          <c:tx>
            <c:strRef>
              <c:f>'O6. Total ren capacity'!$C$23</c:f>
              <c:strCache>
                <c:ptCount val="1"/>
                <c:pt idx="0">
                  <c:v>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capacity'!$D$23:$H$23</c:f>
              <c:numCache>
                <c:formatCode>#,##0</c:formatCode>
                <c:ptCount val="5"/>
                <c:pt idx="0">
                  <c:v>2.3390000000000004</c:v>
                </c:pt>
                <c:pt idx="1">
                  <c:v>2.8658750000000004</c:v>
                </c:pt>
                <c:pt idx="2">
                  <c:v>4.718</c:v>
                </c:pt>
                <c:pt idx="3">
                  <c:v>6.5039999999999996</c:v>
                </c:pt>
                <c:pt idx="4">
                  <c:v>8.3119999999999994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69-430D-B306-B5650934F49A}"/>
            </c:ext>
          </c:extLst>
        </c:ser>
        <c:ser>
          <c:idx val="8"/>
          <c:order val="9"/>
          <c:tx>
            <c:strRef>
              <c:f>'O6. Total ren capacity'!$C$24</c:f>
              <c:strCache>
                <c:ptCount val="1"/>
                <c:pt idx="0">
                  <c:v>WEO SDS</c:v>
                </c:pt>
              </c:strCache>
            </c:strRef>
          </c:tx>
          <c:spPr>
            <a:ln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'O6. Total ren capacity'!$D$12:$H$12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'O6. Total ren capacity'!$D$24:$H$24</c:f>
              <c:numCache>
                <c:formatCode>#,##0</c:formatCode>
                <c:ptCount val="5"/>
                <c:pt idx="0">
                  <c:v>2.3390000000000004</c:v>
                </c:pt>
                <c:pt idx="1">
                  <c:v>3.1066249999999997</c:v>
                </c:pt>
                <c:pt idx="2">
                  <c:v>6.173</c:v>
                </c:pt>
                <c:pt idx="3">
                  <c:v>9.9139999999999979</c:v>
                </c:pt>
                <c:pt idx="4">
                  <c:v>13.586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69-430D-B306-B5650934F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Total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r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enewable capacity (TW)</a:t>
                </a: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01614864274367"/>
          <c:y val="5.8268807664316684E-2"/>
          <c:w val="0.80346391670180373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'O7. EV fleet'!$C$15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fleet'!$D$15:$H$15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172.79605002617052</c:v>
                </c:pt>
                <c:pt idx="3">
                  <c:v>374.94416243953987</c:v>
                </c:pt>
                <c:pt idx="4">
                  <c:v>740.2119418644395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42-49AC-B7A9-BAC383AD1059}"/>
            </c:ext>
          </c:extLst>
        </c:ser>
        <c:ser>
          <c:idx val="0"/>
          <c:order val="1"/>
          <c:tx>
            <c:strRef>
              <c:f>'O7. EV fleet'!$C$16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fleet'!$D$16:$H$16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113.24543865659901</c:v>
                </c:pt>
                <c:pt idx="3">
                  <c:v>372.10941953930063</c:v>
                </c:pt>
                <c:pt idx="4">
                  <c:v>728.01072324912616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42-49AC-B7A9-BAC383AD1059}"/>
            </c:ext>
          </c:extLst>
        </c:ser>
        <c:ser>
          <c:idx val="1"/>
          <c:order val="2"/>
          <c:tx>
            <c:strRef>
              <c:f>'O7. EV fleet'!$C$17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fleet'!$D$17:$H$17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177.03309671084588</c:v>
                </c:pt>
                <c:pt idx="3">
                  <c:v>390.39881134889214</c:v>
                </c:pt>
                <c:pt idx="4">
                  <c:v>778.95439439179734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42-49AC-B7A9-BAC383AD1059}"/>
            </c:ext>
          </c:extLst>
        </c:ser>
        <c:ser>
          <c:idx val="2"/>
          <c:order val="3"/>
          <c:tx>
            <c:strRef>
              <c:f>'O7. EV fleet'!$C$18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fleet'!$D$18:$H$18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172.79605002617052</c:v>
                </c:pt>
                <c:pt idx="3">
                  <c:v>374.51895709794422</c:v>
                </c:pt>
                <c:pt idx="4">
                  <c:v>739.8881827797004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42-49AC-B7A9-BAC383AD1059}"/>
            </c:ext>
          </c:extLst>
        </c:ser>
        <c:ser>
          <c:idx val="3"/>
          <c:order val="4"/>
          <c:tx>
            <c:strRef>
              <c:f>'O7. EV fleet'!$C$19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fleet'!$D$19:$H$19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177.90464264931219</c:v>
                </c:pt>
                <c:pt idx="3">
                  <c:v>376.45895163181689</c:v>
                </c:pt>
                <c:pt idx="4">
                  <c:v>740.1623321711063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42-49AC-B7A9-BAC383AD1059}"/>
            </c:ext>
          </c:extLst>
        </c:ser>
        <c:ser>
          <c:idx val="4"/>
          <c:order val="5"/>
          <c:tx>
            <c:strRef>
              <c:f>'O7. EV fleet'!$C$20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fleet'!$D$20:$H$20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699.539708817259</c:v>
                </c:pt>
                <c:pt idx="3">
                  <c:v>944.21391812104696</c:v>
                </c:pt>
                <c:pt idx="4">
                  <c:v>1297.4151239443352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42-49AC-B7A9-BAC383AD1059}"/>
            </c:ext>
          </c:extLst>
        </c:ser>
        <c:ser>
          <c:idx val="5"/>
          <c:order val="6"/>
          <c:tx>
            <c:strRef>
              <c:f>'O7. EV fleet'!$C$21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fleet'!$D$21:$H$21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123.17520954423168</c:v>
                </c:pt>
                <c:pt idx="3">
                  <c:v>304.4470188588819</c:v>
                </c:pt>
                <c:pt idx="4">
                  <c:v>601.62551704250177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42-49AC-B7A9-BAC383AD1059}"/>
            </c:ext>
          </c:extLst>
        </c:ser>
        <c:ser>
          <c:idx val="6"/>
          <c:order val="7"/>
          <c:tx>
            <c:strRef>
              <c:f>'O7. EV fleet'!$C$22</c:f>
              <c:strCache>
                <c:ptCount val="1"/>
                <c:pt idx="0">
                  <c:v>EVO RTS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fleet'!$D$22:$H$22</c:f>
              <c:numCache>
                <c:formatCode>#,##0</c:formatCode>
                <c:ptCount val="5"/>
                <c:pt idx="0">
                  <c:v>3.1090500000000008</c:v>
                </c:pt>
                <c:pt idx="1">
                  <c:v>9.0164325458953201</c:v>
                </c:pt>
                <c:pt idx="2">
                  <c:v>55.540270362869101</c:v>
                </c:pt>
                <c:pt idx="3">
                  <c:v>102.06410817984397</c:v>
                </c:pt>
                <c:pt idx="4">
                  <c:v>148.58794599681823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42-49AC-B7A9-BAC383AD1059}"/>
            </c:ext>
          </c:extLst>
        </c:ser>
        <c:ser>
          <c:idx val="7"/>
          <c:order val="8"/>
          <c:tx>
            <c:strRef>
              <c:f>'O7. EV fleet'!$C$23</c:f>
              <c:strCache>
                <c:ptCount val="1"/>
                <c:pt idx="0">
                  <c:v>EVO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'O7. EV fleet'!$D$11:$H$11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'O7. EV fleet'!$D$23:$H$23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113.24543865659901</c:v>
                </c:pt>
                <c:pt idx="3">
                  <c:v>206.65472571222926</c:v>
                </c:pt>
                <c:pt idx="4">
                  <c:v>300.06401276785982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42-49AC-B7A9-BAC383AD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Electric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91920916104015"/>
          <c:y val="5.2598166570892002E-2"/>
          <c:w val="0.52697533448972467"/>
          <c:h val="0.2668389190987044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16911027151222"/>
          <c:y val="5.8268807664316684E-2"/>
          <c:w val="0.85874180103499886"/>
          <c:h val="0.541237061760324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'O7. EV fleet'!$T$15</c:f>
              <c:strCache>
                <c:ptCount val="1"/>
                <c:pt idx="0">
                  <c:v>Electric</c:v>
                </c:pt>
              </c:strCache>
            </c:strRef>
          </c:tx>
          <c:invertIfNegative val="0"/>
          <c:cat>
            <c:multiLvlStrRef>
              <c:f>'O7. EV fleet'!$U$11:$AM$12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'O7. EV fleet'!$U$15:$AM$15</c:f>
              <c:numCache>
                <c:formatCode>0</c:formatCode>
                <c:ptCount val="19"/>
                <c:pt idx="0">
                  <c:v>3.1090500000000008</c:v>
                </c:pt>
                <c:pt idx="1">
                  <c:v>55.540270362869101</c:v>
                </c:pt>
                <c:pt idx="2">
                  <c:v>113.24543865659901</c:v>
                </c:pt>
                <c:pt idx="3">
                  <c:v>172.79605002617052</c:v>
                </c:pt>
                <c:pt idx="4">
                  <c:v>173.53260935161762</c:v>
                </c:pt>
                <c:pt idx="5">
                  <c:v>177.03309671084588</c:v>
                </c:pt>
                <c:pt idx="6">
                  <c:v>172.79605002617052</c:v>
                </c:pt>
                <c:pt idx="7">
                  <c:v>177.90464264931219</c:v>
                </c:pt>
                <c:pt idx="8">
                  <c:v>699.539708817259</c:v>
                </c:pt>
                <c:pt idx="9">
                  <c:v>123.17520954423168</c:v>
                </c:pt>
                <c:pt idx="10">
                  <c:v>148.58794599681823</c:v>
                </c:pt>
                <c:pt idx="11">
                  <c:v>300.06401276785982</c:v>
                </c:pt>
                <c:pt idx="12">
                  <c:v>740.2119418644395</c:v>
                </c:pt>
                <c:pt idx="13">
                  <c:v>728.01072324912616</c:v>
                </c:pt>
                <c:pt idx="14">
                  <c:v>778.95439439179734</c:v>
                </c:pt>
                <c:pt idx="15">
                  <c:v>739.8881827797004</c:v>
                </c:pt>
                <c:pt idx="16">
                  <c:v>740.1623321711063</c:v>
                </c:pt>
                <c:pt idx="17">
                  <c:v>1297.4151239443352</c:v>
                </c:pt>
                <c:pt idx="18">
                  <c:v>601.62551704250177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93-4194-87AD-B8177FF6293D}"/>
            </c:ext>
          </c:extLst>
        </c:ser>
        <c:ser>
          <c:idx val="10"/>
          <c:order val="1"/>
          <c:tx>
            <c:strRef>
              <c:f>'O7. EV fleet'!$T$14</c:f>
              <c:strCache>
                <c:ptCount val="1"/>
                <c:pt idx="0">
                  <c:v>ICE</c:v>
                </c:pt>
              </c:strCache>
            </c:strRef>
          </c:tx>
          <c:invertIfNegative val="0"/>
          <c:cat>
            <c:multiLvlStrRef>
              <c:f>'O7. EV fleet'!$U$11:$AM$12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'O7. EV fleet'!$U$14:$AM$14</c:f>
              <c:numCache>
                <c:formatCode>0</c:formatCode>
                <c:ptCount val="19"/>
                <c:pt idx="3">
                  <c:v>1098.464506811398</c:v>
                </c:pt>
                <c:pt idx="4">
                  <c:v>1087.1380324147058</c:v>
                </c:pt>
                <c:pt idx="5">
                  <c:v>1083.7305152948941</c:v>
                </c:pt>
                <c:pt idx="6">
                  <c:v>1094.597140830394</c:v>
                </c:pt>
                <c:pt idx="7">
                  <c:v>1093.4905545086469</c:v>
                </c:pt>
                <c:pt idx="8">
                  <c:v>649.79291675877721</c:v>
                </c:pt>
                <c:pt idx="9">
                  <c:v>823.12209930697338</c:v>
                </c:pt>
                <c:pt idx="12">
                  <c:v>730.0496388595285</c:v>
                </c:pt>
                <c:pt idx="13">
                  <c:v>761.60201511369564</c:v>
                </c:pt>
                <c:pt idx="14">
                  <c:v>732.77681969678054</c:v>
                </c:pt>
                <c:pt idx="15">
                  <c:v>732.93478650773784</c:v>
                </c:pt>
                <c:pt idx="16">
                  <c:v>728.84836201225801</c:v>
                </c:pt>
                <c:pt idx="17">
                  <c:v>249.47773463377459</c:v>
                </c:pt>
                <c:pt idx="18">
                  <c:v>579.35737711913885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3-4194-87AD-B8177FF6293D}"/>
            </c:ext>
          </c:extLst>
        </c:ser>
        <c:ser>
          <c:idx val="2"/>
          <c:order val="2"/>
          <c:tx>
            <c:strRef>
              <c:f>'O7. EV fleet'!$T$17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UpDiag">
              <a:fgClr>
                <a:schemeClr val="bg1"/>
              </a:fgClr>
              <a:bgClr>
                <a:schemeClr val="bg2">
                  <a:lumMod val="90000"/>
                </a:schemeClr>
              </a:bgClr>
            </a:pattFill>
            <a:ln>
              <a:noFill/>
            </a:ln>
          </c:spPr>
          <c:invertIfNegative val="0"/>
          <c:cat>
            <c:multiLvlStrRef>
              <c:f>'O7. EV fleet'!$U$11:$AM$12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'O7. EV fleet'!$U$17:$AM$17</c:f>
              <c:numCache>
                <c:formatCode>0</c:formatCode>
                <c:ptCount val="19"/>
                <c:pt idx="0">
                  <c:v>831.80659860666697</c:v>
                </c:pt>
                <c:pt idx="1">
                  <c:v>1322.9398048929215</c:v>
                </c:pt>
                <c:pt idx="2">
                  <c:v>1265.2346365991916</c:v>
                </c:pt>
                <c:pt idx="10">
                  <c:v>1524.8995000912741</c:v>
                </c:pt>
                <c:pt idx="11">
                  <c:v>1373.4234333202326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A93-4194-87AD-B8177FF6293D}"/>
            </c:ext>
          </c:extLst>
        </c:ser>
        <c:ser>
          <c:idx val="1"/>
          <c:order val="3"/>
          <c:tx>
            <c:strRef>
              <c:f>'O7. EV fleet'!$T$16</c:f>
              <c:strCache>
                <c:ptCount val="1"/>
                <c:pt idx="0">
                  <c:v>Other low-carbon</c:v>
                </c:pt>
              </c:strCache>
            </c:strRef>
          </c:tx>
          <c:invertIfNegative val="0"/>
          <c:cat>
            <c:multiLvlStrRef>
              <c:f>'O7. EV fleet'!$U$11:$AM$12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'O7. EV fleet'!$U$16:$AM$16</c:f>
              <c:numCache>
                <c:formatCode>0</c:formatCode>
                <c:ptCount val="19"/>
                <c:pt idx="3">
                  <c:v>104.42810157498747</c:v>
                </c:pt>
                <c:pt idx="4">
                  <c:v>117.80943348946741</c:v>
                </c:pt>
                <c:pt idx="5">
                  <c:v>98.731039507237455</c:v>
                </c:pt>
                <c:pt idx="6">
                  <c:v>108.50987266655561</c:v>
                </c:pt>
                <c:pt idx="7">
                  <c:v>103.92997184860471</c:v>
                </c:pt>
                <c:pt idx="8">
                  <c:v>64.110018291911757</c:v>
                </c:pt>
                <c:pt idx="9">
                  <c:v>74.279540272018878</c:v>
                </c:pt>
                <c:pt idx="12">
                  <c:v>202.76204700717076</c:v>
                </c:pt>
                <c:pt idx="13">
                  <c:v>182.21994579525915</c:v>
                </c:pt>
                <c:pt idx="14">
                  <c:v>146.31972825773539</c:v>
                </c:pt>
                <c:pt idx="15">
                  <c:v>200.2006584437008</c:v>
                </c:pt>
                <c:pt idx="16">
                  <c:v>203.52339413766438</c:v>
                </c:pt>
                <c:pt idx="17">
                  <c:v>182.54255911182571</c:v>
                </c:pt>
                <c:pt idx="18">
                  <c:v>191.88545719410021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A93-4194-87AD-B8177FF62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  <c:majorUnit val="400"/>
      </c:valAx>
    </c:plotArea>
    <c:legend>
      <c:legendPos val="r"/>
      <c:layout>
        <c:manualLayout>
          <c:xMode val="edge"/>
          <c:yMode val="edge"/>
          <c:x val="0.13795401904135857"/>
          <c:y val="1.941176961517526E-2"/>
          <c:w val="0.39090868922834593"/>
          <c:h val="0.1213857362894767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78911262609844"/>
          <c:y val="5.8268807664316684E-2"/>
          <c:w val="0.6889256714630918"/>
          <c:h val="0.50698461711297338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'O8. TPES mix'!$A$17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mix'!$C$17:$W$17</c:f>
              <c:numCache>
                <c:formatCode>#,##0</c:formatCode>
                <c:ptCount val="21"/>
                <c:pt idx="0">
                  <c:v>157.004999755135</c:v>
                </c:pt>
                <c:pt idx="1">
                  <c:v>178.02273572235575</c:v>
                </c:pt>
                <c:pt idx="2">
                  <c:v>158.38664375298021</c:v>
                </c:pt>
                <c:pt idx="3">
                  <c:v>101.15308784224165</c:v>
                </c:pt>
                <c:pt idx="4">
                  <c:v>106.91528758791122</c:v>
                </c:pt>
                <c:pt idx="5">
                  <c:v>158.38664375298021</c:v>
                </c:pt>
                <c:pt idx="6">
                  <c:v>78.298506735573582</c:v>
                </c:pt>
                <c:pt idx="7">
                  <c:v>109.33244432974236</c:v>
                </c:pt>
                <c:pt idx="8">
                  <c:v>105.09300357584826</c:v>
                </c:pt>
                <c:pt idx="9">
                  <c:v>113.06879459013452</c:v>
                </c:pt>
                <c:pt idx="10">
                  <c:v>112.11930435413042</c:v>
                </c:pt>
                <c:pt idx="11">
                  <c:v>220.51875565607895</c:v>
                </c:pt>
                <c:pt idx="12">
                  <c:v>220.51875565607895</c:v>
                </c:pt>
                <c:pt idx="13">
                  <c:v>160.81498774919297</c:v>
                </c:pt>
                <c:pt idx="14">
                  <c:v>82.830756818283817</c:v>
                </c:pt>
                <c:pt idx="15">
                  <c:v>75.120578902980583</c:v>
                </c:pt>
                <c:pt idx="16">
                  <c:v>59.667165752929634</c:v>
                </c:pt>
                <c:pt idx="17">
                  <c:v>83.45981169951547</c:v>
                </c:pt>
                <c:pt idx="18">
                  <c:v>85.821174374733289</c:v>
                </c:pt>
                <c:pt idx="19">
                  <c:v>84.448457066408011</c:v>
                </c:pt>
                <c:pt idx="20">
                  <c:v>72.367331580178913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2-4527-80B4-92B7505D304B}"/>
            </c:ext>
          </c:extLst>
        </c:ser>
        <c:ser>
          <c:idx val="5"/>
          <c:order val="1"/>
          <c:tx>
            <c:strRef>
              <c:f>'O8. TPES mix'!$A$21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mix'!$C$21:$W$21</c:f>
              <c:numCache>
                <c:formatCode>#,##0</c:formatCode>
                <c:ptCount val="21"/>
                <c:pt idx="0">
                  <c:v>185.68457971040635</c:v>
                </c:pt>
                <c:pt idx="1">
                  <c:v>214.69910366515526</c:v>
                </c:pt>
                <c:pt idx="2">
                  <c:v>202.22243968461387</c:v>
                </c:pt>
                <c:pt idx="3">
                  <c:v>166.84397973979011</c:v>
                </c:pt>
                <c:pt idx="4">
                  <c:v>173.50679141583552</c:v>
                </c:pt>
                <c:pt idx="5">
                  <c:v>202.22243968461387</c:v>
                </c:pt>
                <c:pt idx="6">
                  <c:v>169.56231890813055</c:v>
                </c:pt>
                <c:pt idx="7">
                  <c:v>173.75908992337426</c:v>
                </c:pt>
                <c:pt idx="8">
                  <c:v>172.26322997899112</c:v>
                </c:pt>
                <c:pt idx="9">
                  <c:v>162.10417467200489</c:v>
                </c:pt>
                <c:pt idx="10">
                  <c:v>165.10054249270254</c:v>
                </c:pt>
                <c:pt idx="11">
                  <c:v>253.38513560482053</c:v>
                </c:pt>
                <c:pt idx="12">
                  <c:v>253.38513560482053</c:v>
                </c:pt>
                <c:pt idx="13">
                  <c:v>209.25626367364393</c:v>
                </c:pt>
                <c:pt idx="14">
                  <c:v>159.92283552746989</c:v>
                </c:pt>
                <c:pt idx="15">
                  <c:v>157.75502563447128</c:v>
                </c:pt>
                <c:pt idx="16">
                  <c:v>151.11205138907252</c:v>
                </c:pt>
                <c:pt idx="17">
                  <c:v>158.31623067812436</c:v>
                </c:pt>
                <c:pt idx="18">
                  <c:v>160.16468455355744</c:v>
                </c:pt>
                <c:pt idx="19">
                  <c:v>152.72029554846918</c:v>
                </c:pt>
                <c:pt idx="20">
                  <c:v>143.43526218496115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C2-4527-80B4-92B7505D304B}"/>
            </c:ext>
          </c:extLst>
        </c:ser>
        <c:ser>
          <c:idx val="2"/>
          <c:order val="2"/>
          <c:tx>
            <c:strRef>
              <c:f>'O8. TPES mix'!$A$18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mix'!$C$18:$W$18</c:f>
              <c:numCache>
                <c:formatCode>#,##0</c:formatCode>
                <c:ptCount val="21"/>
                <c:pt idx="0">
                  <c:v>130.08387579712118</c:v>
                </c:pt>
                <c:pt idx="1">
                  <c:v>167.47199973881067</c:v>
                </c:pt>
                <c:pt idx="2">
                  <c:v>159.93575975056419</c:v>
                </c:pt>
                <c:pt idx="3">
                  <c:v>148.79887176793329</c:v>
                </c:pt>
                <c:pt idx="4">
                  <c:v>181.02347390344124</c:v>
                </c:pt>
                <c:pt idx="5">
                  <c:v>159.93575975056419</c:v>
                </c:pt>
                <c:pt idx="6">
                  <c:v>192.91571703120167</c:v>
                </c:pt>
                <c:pt idx="7">
                  <c:v>175.52209526600322</c:v>
                </c:pt>
                <c:pt idx="8">
                  <c:v>186.22465641708615</c:v>
                </c:pt>
                <c:pt idx="9">
                  <c:v>179.39303858454443</c:v>
                </c:pt>
                <c:pt idx="10">
                  <c:v>176.18340548563987</c:v>
                </c:pt>
                <c:pt idx="11">
                  <c:v>233.95838363511848</c:v>
                </c:pt>
                <c:pt idx="12">
                  <c:v>233.95838363511848</c:v>
                </c:pt>
                <c:pt idx="13">
                  <c:v>211.18219167064026</c:v>
                </c:pt>
                <c:pt idx="14">
                  <c:v>197.765158097544</c:v>
                </c:pt>
                <c:pt idx="15">
                  <c:v>197.66235279108426</c:v>
                </c:pt>
                <c:pt idx="16">
                  <c:v>197.14891761156073</c:v>
                </c:pt>
                <c:pt idx="17">
                  <c:v>198.62985633418793</c:v>
                </c:pt>
                <c:pt idx="18">
                  <c:v>223.39051910375264</c:v>
                </c:pt>
                <c:pt idx="19">
                  <c:v>192.14805821959214</c:v>
                </c:pt>
                <c:pt idx="20">
                  <c:v>168.74297980745229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C2-4527-80B4-92B7505D304B}"/>
            </c:ext>
          </c:extLst>
        </c:ser>
        <c:ser>
          <c:idx val="4"/>
          <c:order val="3"/>
          <c:tx>
            <c:strRef>
              <c:f>'O8. TPES mix'!$A$20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mix'!$C$20:$W$20</c:f>
              <c:numCache>
                <c:formatCode>#,##0</c:formatCode>
                <c:ptCount val="21"/>
                <c:pt idx="0">
                  <c:v>28.805183955075435</c:v>
                </c:pt>
                <c:pt idx="1">
                  <c:v>35.336591944889051</c:v>
                </c:pt>
                <c:pt idx="2">
                  <c:v>35.504063944627859</c:v>
                </c:pt>
                <c:pt idx="3">
                  <c:v>42.412283933853807</c:v>
                </c:pt>
                <c:pt idx="4">
                  <c:v>14.514167854150609</c:v>
                </c:pt>
                <c:pt idx="5">
                  <c:v>35.504063944627859</c:v>
                </c:pt>
                <c:pt idx="6">
                  <c:v>14.514167854150609</c:v>
                </c:pt>
                <c:pt idx="7">
                  <c:v>14.514167854150609</c:v>
                </c:pt>
                <c:pt idx="8">
                  <c:v>14.514167854150609</c:v>
                </c:pt>
                <c:pt idx="9">
                  <c:v>14.514167854150609</c:v>
                </c:pt>
                <c:pt idx="10">
                  <c:v>14.514167854150609</c:v>
                </c:pt>
                <c:pt idx="11">
                  <c:v>45.008099929805368</c:v>
                </c:pt>
                <c:pt idx="12">
                  <c:v>45.008099929805368</c:v>
                </c:pt>
                <c:pt idx="13">
                  <c:v>45.091835929674772</c:v>
                </c:pt>
                <c:pt idx="14">
                  <c:v>23.100058135655392</c:v>
                </c:pt>
                <c:pt idx="15">
                  <c:v>23.771416194236696</c:v>
                </c:pt>
                <c:pt idx="16">
                  <c:v>24.552996119163538</c:v>
                </c:pt>
                <c:pt idx="17">
                  <c:v>23.095663551952011</c:v>
                </c:pt>
                <c:pt idx="18">
                  <c:v>24.925344846272601</c:v>
                </c:pt>
                <c:pt idx="19">
                  <c:v>22.976192980843464</c:v>
                </c:pt>
                <c:pt idx="20">
                  <c:v>21.155728529743101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C2-4527-80B4-92B7505D304B}"/>
            </c:ext>
          </c:extLst>
        </c:ser>
        <c:ser>
          <c:idx val="0"/>
          <c:order val="4"/>
          <c:tx>
            <c:strRef>
              <c:f>'O8. TPES mix'!$A$16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mix'!$C$16:$W$16</c:f>
              <c:numCache>
                <c:formatCode>#,##0</c:formatCode>
                <c:ptCount val="21"/>
                <c:pt idx="0">
                  <c:v>57.945311909628494</c:v>
                </c:pt>
                <c:pt idx="1">
                  <c:v>69.040331892324701</c:v>
                </c:pt>
                <c:pt idx="2">
                  <c:v>70.798787889582215</c:v>
                </c:pt>
                <c:pt idx="3">
                  <c:v>53.465435916615306</c:v>
                </c:pt>
                <c:pt idx="4">
                  <c:v>134.28450094557175</c:v>
                </c:pt>
                <c:pt idx="5">
                  <c:v>70.798787889582215</c:v>
                </c:pt>
                <c:pt idx="6">
                  <c:v>141.70530072854075</c:v>
                </c:pt>
                <c:pt idx="7">
                  <c:v>125.8565763725866</c:v>
                </c:pt>
                <c:pt idx="8">
                  <c:v>138.59788688837384</c:v>
                </c:pt>
                <c:pt idx="9">
                  <c:v>127.35901139029664</c:v>
                </c:pt>
                <c:pt idx="10">
                  <c:v>127.64138436237037</c:v>
                </c:pt>
                <c:pt idx="11">
                  <c:v>78.586235877436906</c:v>
                </c:pt>
                <c:pt idx="12">
                  <c:v>78.586235877436906</c:v>
                </c:pt>
                <c:pt idx="13">
                  <c:v>83.777867869340028</c:v>
                </c:pt>
                <c:pt idx="14">
                  <c:v>149.3658265345897</c:v>
                </c:pt>
                <c:pt idx="15">
                  <c:v>151.97227198691817</c:v>
                </c:pt>
                <c:pt idx="16">
                  <c:v>168.02366238076252</c:v>
                </c:pt>
                <c:pt idx="17">
                  <c:v>142.93988655346081</c:v>
                </c:pt>
                <c:pt idx="18">
                  <c:v>161.19983580304807</c:v>
                </c:pt>
                <c:pt idx="19">
                  <c:v>145.34171423651259</c:v>
                </c:pt>
                <c:pt idx="20">
                  <c:v>136.59055166884073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C2-4527-80B4-92B7505D304B}"/>
            </c:ext>
          </c:extLst>
        </c:ser>
        <c:ser>
          <c:idx val="3"/>
          <c:order val="5"/>
          <c:tx>
            <c:strRef>
              <c:f>'O8. TPES mix'!$A$19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mix'!$C$19:$W$19</c:f>
              <c:numCache>
                <c:formatCode>#,##0</c:formatCode>
                <c:ptCount val="21"/>
                <c:pt idx="0">
                  <c:v>14.779403976950041</c:v>
                </c:pt>
                <c:pt idx="1">
                  <c:v>18.798731970681498</c:v>
                </c:pt>
                <c:pt idx="2">
                  <c:v>19.175543970093823</c:v>
                </c:pt>
                <c:pt idx="3">
                  <c:v>20.599055967873714</c:v>
                </c:pt>
                <c:pt idx="4">
                  <c:v>22.320640707115718</c:v>
                </c:pt>
                <c:pt idx="5">
                  <c:v>19.175543970093823</c:v>
                </c:pt>
                <c:pt idx="6">
                  <c:v>22.812141539518556</c:v>
                </c:pt>
                <c:pt idx="7">
                  <c:v>22.307778458297012</c:v>
                </c:pt>
                <c:pt idx="8">
                  <c:v>22.652136908783685</c:v>
                </c:pt>
                <c:pt idx="9">
                  <c:v>22.320649452712868</c:v>
                </c:pt>
                <c:pt idx="10">
                  <c:v>22.220448286296453</c:v>
                </c:pt>
                <c:pt idx="11">
                  <c:v>24.199703962258141</c:v>
                </c:pt>
                <c:pt idx="12">
                  <c:v>24.199703962258141</c:v>
                </c:pt>
                <c:pt idx="13">
                  <c:v>25.162667960756302</c:v>
                </c:pt>
                <c:pt idx="14">
                  <c:v>23.790208360954175</c:v>
                </c:pt>
                <c:pt idx="15">
                  <c:v>24.529344910639839</c:v>
                </c:pt>
                <c:pt idx="16">
                  <c:v>25.435876568493761</c:v>
                </c:pt>
                <c:pt idx="17">
                  <c:v>24.148940166317072</c:v>
                </c:pt>
                <c:pt idx="18">
                  <c:v>25.846336496137706</c:v>
                </c:pt>
                <c:pt idx="19">
                  <c:v>24.103259598822035</c:v>
                </c:pt>
                <c:pt idx="20">
                  <c:v>22.439016483567084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C2-4527-80B4-92B7505D304B}"/>
            </c:ext>
          </c:extLst>
        </c:ser>
        <c:ser>
          <c:idx val="6"/>
          <c:order val="6"/>
          <c:tx>
            <c:strRef>
              <c:f>'O8. TPES mix'!$A$22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'O8. TPES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1.75DS Action</c:v>
                  </c:pt>
                  <c:pt idx="7">
                    <c:v>Renewable Revolution</c:v>
                  </c:pt>
                  <c:pt idx="8">
                    <c:v>CCS Storm</c:v>
                  </c:pt>
                  <c:pt idx="9">
                    <c:v>EVs Unplugged</c:v>
                  </c:pt>
                  <c:pt idx="10">
                    <c:v>Efficiency Boost</c:v>
                  </c:pt>
                  <c:pt idx="11">
                    <c:v>WEO CPS</c:v>
                  </c:pt>
                  <c:pt idx="12">
                    <c:v>WEO CPS</c:v>
                  </c:pt>
                  <c:pt idx="13">
                    <c:v>WEO NPS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1.75DS Action</c:v>
                  </c:pt>
                  <c:pt idx="17">
                    <c:v>Renewable Revolution</c:v>
                  </c:pt>
                  <c:pt idx="18">
                    <c:v>CCS Storm</c:v>
                  </c:pt>
                  <c:pt idx="19">
                    <c:v>EVs Unplugged</c:v>
                  </c:pt>
                  <c:pt idx="20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'O8. TPES mix'!$C$22:$W$22</c:f>
              <c:numCache>
                <c:formatCode>#,##0</c:formatCode>
                <c:ptCount val="21"/>
                <c:pt idx="0">
                  <c:v>10.634471983414478</c:v>
                </c:pt>
                <c:pt idx="1">
                  <c:v>25.958159959515655</c:v>
                </c:pt>
                <c:pt idx="2">
                  <c:v>30.814847951941164</c:v>
                </c:pt>
                <c:pt idx="3">
                  <c:v>45.343043929282992</c:v>
                </c:pt>
                <c:pt idx="4">
                  <c:v>26.029298029066712</c:v>
                </c:pt>
                <c:pt idx="5">
                  <c:v>30.814847951941164</c:v>
                </c:pt>
                <c:pt idx="6">
                  <c:v>26.714795003511377</c:v>
                </c:pt>
                <c:pt idx="7">
                  <c:v>32.989699356627362</c:v>
                </c:pt>
                <c:pt idx="8">
                  <c:v>20.035550174267158</c:v>
                </c:pt>
                <c:pt idx="9">
                  <c:v>23.562110052082446</c:v>
                </c:pt>
                <c:pt idx="10">
                  <c:v>23.474954981050814</c:v>
                </c:pt>
                <c:pt idx="11">
                  <c:v>54.260927915374658</c:v>
                </c:pt>
                <c:pt idx="12">
                  <c:v>54.260927915374658</c:v>
                </c:pt>
                <c:pt idx="13">
                  <c:v>72.557243886839714</c:v>
                </c:pt>
                <c:pt idx="14">
                  <c:v>68.648038428773205</c:v>
                </c:pt>
                <c:pt idx="15">
                  <c:v>68.807892906445403</c:v>
                </c:pt>
                <c:pt idx="16">
                  <c:v>69.864324658182426</c:v>
                </c:pt>
                <c:pt idx="17">
                  <c:v>74.093302428250567</c:v>
                </c:pt>
                <c:pt idx="18">
                  <c:v>40.596507005744328</c:v>
                </c:pt>
                <c:pt idx="19">
                  <c:v>69.404315271887938</c:v>
                </c:pt>
                <c:pt idx="20">
                  <c:v>62.148013436734608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C2-4527-80B4-92B7505D3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Primary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energy supply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(EJ)</a:t>
                </a:r>
              </a:p>
            </c:rich>
          </c:tx>
          <c:layout>
            <c:manualLayout>
              <c:xMode val="edge"/>
              <c:yMode val="edge"/>
              <c:x val="4.8641376691502484E-3"/>
              <c:y val="6.204594882929495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580068841313033"/>
          <c:y val="2.631790381680426E-2"/>
          <c:w val="0.75099224908942797"/>
          <c:h val="0.54695677135159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'O9. Generation mix'!$A$17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mix'!$C$17:$W$17</c:f>
              <c:numCache>
                <c:formatCode>General</c:formatCode>
                <c:ptCount val="21"/>
                <c:pt idx="0">
                  <c:v>9858</c:v>
                </c:pt>
                <c:pt idx="1">
                  <c:v>11722</c:v>
                </c:pt>
                <c:pt idx="2">
                  <c:v>10016</c:v>
                </c:pt>
                <c:pt idx="3">
                  <c:v>4847</c:v>
                </c:pt>
                <c:pt idx="4" formatCode="#,##0">
                  <c:v>5794.5317730929382</c:v>
                </c:pt>
                <c:pt idx="5" formatCode="#,##0">
                  <c:v>10016</c:v>
                </c:pt>
                <c:pt idx="6" formatCode="#,##0">
                  <c:v>5499.7330052506632</c:v>
                </c:pt>
                <c:pt idx="7" formatCode="#,##0">
                  <c:v>6289.5504039266834</c:v>
                </c:pt>
                <c:pt idx="8" formatCode="#,##0">
                  <c:v>6155.9709079965887</c:v>
                </c:pt>
                <c:pt idx="9" formatCode="#,##0">
                  <c:v>5787.6671391885675</c:v>
                </c:pt>
                <c:pt idx="10" formatCode="#,##0">
                  <c:v>4349.8952355737138</c:v>
                </c:pt>
                <c:pt idx="11">
                  <c:v>16062</c:v>
                </c:pt>
                <c:pt idx="12">
                  <c:v>10661</c:v>
                </c:pt>
                <c:pt idx="13">
                  <c:v>0</c:v>
                </c:pt>
                <c:pt idx="14" formatCode="#,##0">
                  <c:v>0</c:v>
                </c:pt>
                <c:pt idx="15" formatCode="#,##0">
                  <c:v>129.27227442012807</c:v>
                </c:pt>
                <c:pt idx="16" formatCode="#,##0">
                  <c:v>0</c:v>
                </c:pt>
                <c:pt idx="17" formatCode="#,##0">
                  <c:v>0</c:v>
                </c:pt>
                <c:pt idx="18" formatCode="#,##0">
                  <c:v>0</c:v>
                </c:pt>
                <c:pt idx="19" formatCode="#,##0">
                  <c:v>0</c:v>
                </c:pt>
                <c:pt idx="20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6-40AF-8E95-2E8A4BDB459A}"/>
            </c:ext>
          </c:extLst>
        </c:ser>
        <c:ser>
          <c:idx val="6"/>
          <c:order val="1"/>
          <c:tx>
            <c:strRef>
              <c:f>'O9. Generation mix'!$A$22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mix'!$C$22:$W$22</c:f>
              <c:numCache>
                <c:formatCode>General</c:formatCode>
                <c:ptCount val="21"/>
                <c:pt idx="0">
                  <c:v>940</c:v>
                </c:pt>
                <c:pt idx="1">
                  <c:v>697</c:v>
                </c:pt>
                <c:pt idx="2">
                  <c:v>676</c:v>
                </c:pt>
                <c:pt idx="3">
                  <c:v>413</c:v>
                </c:pt>
                <c:pt idx="4" formatCode="#,##0">
                  <c:v>417.72843198921868</c:v>
                </c:pt>
                <c:pt idx="5" formatCode="#,##0">
                  <c:v>676</c:v>
                </c:pt>
                <c:pt idx="6" formatCode="#,##0">
                  <c:v>417.72843198921868</c:v>
                </c:pt>
                <c:pt idx="7" formatCode="#,##0">
                  <c:v>417.7284319892189</c:v>
                </c:pt>
                <c:pt idx="8" formatCode="#,##0">
                  <c:v>417.7284319892189</c:v>
                </c:pt>
                <c:pt idx="9" formatCode="#,##0">
                  <c:v>417.72843198921856</c:v>
                </c:pt>
                <c:pt idx="10" formatCode="#,##0">
                  <c:v>417.72843198921885</c:v>
                </c:pt>
                <c:pt idx="11">
                  <c:v>546</c:v>
                </c:pt>
                <c:pt idx="12">
                  <c:v>387</c:v>
                </c:pt>
                <c:pt idx="13">
                  <c:v>43</c:v>
                </c:pt>
                <c:pt idx="14" formatCode="#,##0">
                  <c:v>0</c:v>
                </c:pt>
                <c:pt idx="15" formatCode="#,##0">
                  <c:v>0</c:v>
                </c:pt>
                <c:pt idx="16" formatCode="#,##0">
                  <c:v>0</c:v>
                </c:pt>
                <c:pt idx="17" formatCode="#,##0">
                  <c:v>0</c:v>
                </c:pt>
                <c:pt idx="18" formatCode="#,##0">
                  <c:v>0</c:v>
                </c:pt>
                <c:pt idx="19" formatCode="#,##0">
                  <c:v>0</c:v>
                </c:pt>
                <c:pt idx="20" formatCode="#,##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76-40AF-8E95-2E8A4BDB459A}"/>
            </c:ext>
          </c:extLst>
        </c:ser>
        <c:ser>
          <c:idx val="2"/>
          <c:order val="2"/>
          <c:tx>
            <c:strRef>
              <c:f>'O9. Generation mix'!$A$18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mix'!$C$18:$W$18</c:f>
              <c:numCache>
                <c:formatCode>General</c:formatCode>
                <c:ptCount val="21"/>
                <c:pt idx="0">
                  <c:v>5855</c:v>
                </c:pt>
                <c:pt idx="1">
                  <c:v>8172</c:v>
                </c:pt>
                <c:pt idx="2">
                  <c:v>7517</c:v>
                </c:pt>
                <c:pt idx="3">
                  <c:v>6830</c:v>
                </c:pt>
                <c:pt idx="4" formatCode="#,##0">
                  <c:v>5303.8698291835735</c:v>
                </c:pt>
                <c:pt idx="5" formatCode="#,##0">
                  <c:v>7517</c:v>
                </c:pt>
                <c:pt idx="6" formatCode="#,##0">
                  <c:v>6042.0400705054608</c:v>
                </c:pt>
                <c:pt idx="7" formatCode="#,##0">
                  <c:v>5602.7807951597142</c:v>
                </c:pt>
                <c:pt idx="8" formatCode="#,##0">
                  <c:v>5304.9015242284459</c:v>
                </c:pt>
                <c:pt idx="9" formatCode="#,##0">
                  <c:v>5307.4710950545832</c:v>
                </c:pt>
                <c:pt idx="10" formatCode="#,##0">
                  <c:v>5443.0236187672826</c:v>
                </c:pt>
                <c:pt idx="11">
                  <c:v>12361</c:v>
                </c:pt>
                <c:pt idx="12">
                  <c:v>10683</c:v>
                </c:pt>
                <c:pt idx="13">
                  <c:v>3564</c:v>
                </c:pt>
                <c:pt idx="14" formatCode="#,##0">
                  <c:v>2804.5467845209596</c:v>
                </c:pt>
                <c:pt idx="15" formatCode="#,##0">
                  <c:v>2833.5591707888498</c:v>
                </c:pt>
                <c:pt idx="16" formatCode="#,##0">
                  <c:v>6370.8584979467987</c:v>
                </c:pt>
                <c:pt idx="17" formatCode="#,##0">
                  <c:v>3097.9255236178383</c:v>
                </c:pt>
                <c:pt idx="18" formatCode="#,##0">
                  <c:v>1959.8738520915201</c:v>
                </c:pt>
                <c:pt idx="19" formatCode="#,##0">
                  <c:v>2821.1776491748296</c:v>
                </c:pt>
                <c:pt idx="20" formatCode="#,##0">
                  <c:v>3158.9132776107717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76-40AF-8E95-2E8A4BDB459A}"/>
            </c:ext>
          </c:extLst>
        </c:ser>
        <c:ser>
          <c:idx val="5"/>
          <c:order val="3"/>
          <c:tx>
            <c:strRef>
              <c:f>'O9. Generation mix'!$A$21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mix'!$C$21:$W$21</c:f>
              <c:numCache>
                <c:formatCode>General</c:formatCode>
                <c:ptCount val="21"/>
                <c:pt idx="0">
                  <c:v>2637</c:v>
                </c:pt>
                <c:pt idx="1">
                  <c:v>3239</c:v>
                </c:pt>
                <c:pt idx="2">
                  <c:v>3253</c:v>
                </c:pt>
                <c:pt idx="3">
                  <c:v>3888</c:v>
                </c:pt>
                <c:pt idx="4" formatCode="#,##0">
                  <c:v>4031.7132928196124</c:v>
                </c:pt>
                <c:pt idx="5" formatCode="#,##0">
                  <c:v>3253</c:v>
                </c:pt>
                <c:pt idx="6" formatCode="#,##0">
                  <c:v>4031.7132928196124</c:v>
                </c:pt>
                <c:pt idx="7" formatCode="#,##0">
                  <c:v>4031.7132928196124</c:v>
                </c:pt>
                <c:pt idx="8" formatCode="#,##0">
                  <c:v>4031.7132928196124</c:v>
                </c:pt>
                <c:pt idx="9" formatCode="#,##0">
                  <c:v>4031.7132928196124</c:v>
                </c:pt>
                <c:pt idx="10" formatCode="#,##0">
                  <c:v>4031.7132928196129</c:v>
                </c:pt>
                <c:pt idx="11">
                  <c:v>4124</c:v>
                </c:pt>
                <c:pt idx="12">
                  <c:v>4138</c:v>
                </c:pt>
                <c:pt idx="13">
                  <c:v>5812</c:v>
                </c:pt>
                <c:pt idx="14" formatCode="#,##0">
                  <c:v>6416.6828154598315</c:v>
                </c:pt>
                <c:pt idx="15" formatCode="#,##0">
                  <c:v>6603.1711650657489</c:v>
                </c:pt>
                <c:pt idx="16" formatCode="#,##0">
                  <c:v>6923.7069017423919</c:v>
                </c:pt>
                <c:pt idx="17" formatCode="#,##0">
                  <c:v>6382.2758280120734</c:v>
                </c:pt>
                <c:pt idx="18" formatCode="#,##0">
                  <c:v>5876.5912582619703</c:v>
                </c:pt>
                <c:pt idx="19" formatCode="#,##0">
                  <c:v>6461.5194145823507</c:v>
                </c:pt>
                <c:pt idx="20" formatCode="#,##0">
                  <c:v>6820.2766997676517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76-40AF-8E95-2E8A4BDB459A}"/>
            </c:ext>
          </c:extLst>
        </c:ser>
        <c:ser>
          <c:idx val="1"/>
          <c:order val="4"/>
          <c:tx>
            <c:strRef>
              <c:f>'O9. Generation mix'!$A$16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mix'!$C$16:$W$16</c:f>
              <c:numCache>
                <c:formatCode>General</c:formatCode>
                <c:ptCount val="21"/>
                <c:pt idx="0">
                  <c:v>623</c:v>
                </c:pt>
                <c:pt idx="1">
                  <c:v>992</c:v>
                </c:pt>
                <c:pt idx="2">
                  <c:v>1057</c:v>
                </c:pt>
                <c:pt idx="3">
                  <c:v>1325</c:v>
                </c:pt>
                <c:pt idx="4" formatCode="#,##0">
                  <c:v>4382.8286947136685</c:v>
                </c:pt>
                <c:pt idx="5" formatCode="#,##0">
                  <c:v>1057</c:v>
                </c:pt>
                <c:pt idx="6" formatCode="#,##0">
                  <c:v>4753.4924863056958</c:v>
                </c:pt>
                <c:pt idx="7" formatCode="#,##0">
                  <c:v>4343.7960108249872</c:v>
                </c:pt>
                <c:pt idx="8" formatCode="#,##0">
                  <c:v>4117.3711991580094</c:v>
                </c:pt>
                <c:pt idx="9" formatCode="#,##0">
                  <c:v>4316.8945905831933</c:v>
                </c:pt>
                <c:pt idx="10" formatCode="#,##0">
                  <c:v>4622.869131151816</c:v>
                </c:pt>
                <c:pt idx="11">
                  <c:v>1466</c:v>
                </c:pt>
                <c:pt idx="12">
                  <c:v>1805</c:v>
                </c:pt>
                <c:pt idx="13">
                  <c:v>2612</c:v>
                </c:pt>
                <c:pt idx="14" formatCode="#,##0">
                  <c:v>5629.4191641042944</c:v>
                </c:pt>
                <c:pt idx="15" formatCode="#,##0">
                  <c:v>4848.3903503232632</c:v>
                </c:pt>
                <c:pt idx="16" formatCode="#,##0">
                  <c:v>6982.1119582752672</c:v>
                </c:pt>
                <c:pt idx="17" formatCode="#,##0">
                  <c:v>5741.9987286927762</c:v>
                </c:pt>
                <c:pt idx="18" formatCode="#,##0">
                  <c:v>5150.6359915458743</c:v>
                </c:pt>
                <c:pt idx="19" formatCode="#,##0">
                  <c:v>5448.4177713885074</c:v>
                </c:pt>
                <c:pt idx="20" formatCode="#,##0">
                  <c:v>6243.4372504108514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76-40AF-8E95-2E8A4BDB459A}"/>
            </c:ext>
          </c:extLst>
        </c:ser>
        <c:ser>
          <c:idx val="4"/>
          <c:order val="5"/>
          <c:tx>
            <c:strRef>
              <c:f>'O9. Generation mix'!$A$20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mix'!$C$20:$W$20</c:f>
              <c:numCache>
                <c:formatCode>General</c:formatCode>
                <c:ptCount val="21"/>
                <c:pt idx="0">
                  <c:v>4109</c:v>
                </c:pt>
                <c:pt idx="1">
                  <c:v>5223</c:v>
                </c:pt>
                <c:pt idx="2">
                  <c:v>5330</c:v>
                </c:pt>
                <c:pt idx="3">
                  <c:v>5722</c:v>
                </c:pt>
                <c:pt idx="4" formatCode="#,##0">
                  <c:v>6174.1799419340232</c:v>
                </c:pt>
                <c:pt idx="5" formatCode="#,##0">
                  <c:v>5330</c:v>
                </c:pt>
                <c:pt idx="6" formatCode="#,##0">
                  <c:v>6266.2622201751183</c:v>
                </c:pt>
                <c:pt idx="7" formatCode="#,##0">
                  <c:v>6174.1799419340232</c:v>
                </c:pt>
                <c:pt idx="8" formatCode="#,##0">
                  <c:v>6146.3409595634012</c:v>
                </c:pt>
                <c:pt idx="9" formatCode="#,##0">
                  <c:v>6174.1799419340214</c:v>
                </c:pt>
                <c:pt idx="10" formatCode="#,##0">
                  <c:v>6310.7176682649597</c:v>
                </c:pt>
                <c:pt idx="11">
                  <c:v>6709</c:v>
                </c:pt>
                <c:pt idx="12">
                  <c:v>6989</c:v>
                </c:pt>
                <c:pt idx="13">
                  <c:v>8228</c:v>
                </c:pt>
                <c:pt idx="14" formatCode="#,##0">
                  <c:v>6608.3912113761608</c:v>
                </c:pt>
                <c:pt idx="15" formatCode="#,##0">
                  <c:v>6813.7069196221773</c:v>
                </c:pt>
                <c:pt idx="16" formatCode="#,##0">
                  <c:v>7179.5379155938081</c:v>
                </c:pt>
                <c:pt idx="17" formatCode="#,##0">
                  <c:v>6695.3498885616727</c:v>
                </c:pt>
                <c:pt idx="18" formatCode="#,##0">
                  <c:v>6233.0601343241897</c:v>
                </c:pt>
                <c:pt idx="19" formatCode="#,##0">
                  <c:v>6602.2275263740776</c:v>
                </c:pt>
                <c:pt idx="20" formatCode="#,##0">
                  <c:v>7065.5212690260423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76-40AF-8E95-2E8A4BDB459A}"/>
            </c:ext>
          </c:extLst>
        </c:ser>
        <c:ser>
          <c:idx val="7"/>
          <c:order val="6"/>
          <c:tx>
            <c:strRef>
              <c:f>'O9. Generation mix'!$A$23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mix'!$C$23:$W$23</c:f>
              <c:numCache>
                <c:formatCode>General</c:formatCode>
                <c:ptCount val="21"/>
                <c:pt idx="0">
                  <c:v>446</c:v>
                </c:pt>
                <c:pt idx="1">
                  <c:v>1834</c:v>
                </c:pt>
                <c:pt idx="2">
                  <c:v>2272</c:v>
                </c:pt>
                <c:pt idx="3">
                  <c:v>3452</c:v>
                </c:pt>
                <c:pt idx="4" formatCode="#,##0">
                  <c:v>1523.2508845272368</c:v>
                </c:pt>
                <c:pt idx="5" formatCode="#,##0">
                  <c:v>2272</c:v>
                </c:pt>
                <c:pt idx="6" formatCode="#,##0">
                  <c:v>363.93421789418306</c:v>
                </c:pt>
                <c:pt idx="7" formatCode="#,##0">
                  <c:v>1165.2348832306941</c:v>
                </c:pt>
                <c:pt idx="8" formatCode="#,##0">
                  <c:v>1101.1360511560151</c:v>
                </c:pt>
                <c:pt idx="9" formatCode="#,##0">
                  <c:v>1530.36045860029</c:v>
                </c:pt>
                <c:pt idx="10" formatCode="#,##0">
                  <c:v>1520.238249841344</c:v>
                </c:pt>
                <c:pt idx="11">
                  <c:v>4483</c:v>
                </c:pt>
                <c:pt idx="12">
                  <c:v>6037</c:v>
                </c:pt>
                <c:pt idx="13">
                  <c:v>11256</c:v>
                </c:pt>
                <c:pt idx="14" formatCode="#,##0">
                  <c:v>7046.1805214422711</c:v>
                </c:pt>
                <c:pt idx="15" formatCode="#,##0">
                  <c:v>7010.6744599166796</c:v>
                </c:pt>
                <c:pt idx="16" formatCode="#,##0">
                  <c:v>283.85858765268864</c:v>
                </c:pt>
                <c:pt idx="17" formatCode="#,##0">
                  <c:v>7071.8135597677574</c:v>
                </c:pt>
                <c:pt idx="18" formatCode="#,##0">
                  <c:v>6501.2852165240938</c:v>
                </c:pt>
                <c:pt idx="19" formatCode="#,##0">
                  <c:v>7081.2902781000666</c:v>
                </c:pt>
                <c:pt idx="20" formatCode="#,##0">
                  <c:v>7111.1514983188617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76-40AF-8E95-2E8A4BDB459A}"/>
            </c:ext>
          </c:extLst>
        </c:ser>
        <c:ser>
          <c:idx val="8"/>
          <c:order val="7"/>
          <c:tx>
            <c:strRef>
              <c:f>'O9. Generation mix'!$A$24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mix'!$C$24:$W$24</c:f>
              <c:numCache>
                <c:formatCode>General</c:formatCode>
                <c:ptCount val="21"/>
                <c:pt idx="0">
                  <c:v>1085</c:v>
                </c:pt>
                <c:pt idx="1">
                  <c:v>2668</c:v>
                </c:pt>
                <c:pt idx="2">
                  <c:v>3157</c:v>
                </c:pt>
                <c:pt idx="3">
                  <c:v>4355</c:v>
                </c:pt>
                <c:pt idx="4" formatCode="#,##0">
                  <c:v>4157.7388141510246</c:v>
                </c:pt>
                <c:pt idx="5" formatCode="#,##0">
                  <c:v>3157</c:v>
                </c:pt>
                <c:pt idx="6" formatCode="#,##0">
                  <c:v>3651.6029833456469</c:v>
                </c:pt>
                <c:pt idx="7" formatCode="#,##0">
                  <c:v>3830.4248218408261</c:v>
                </c:pt>
                <c:pt idx="8" formatCode="#,##0">
                  <c:v>3870.3173764115504</c:v>
                </c:pt>
                <c:pt idx="9" formatCode="#,##0">
                  <c:v>4199.7095842467188</c:v>
                </c:pt>
                <c:pt idx="10" formatCode="#,##0">
                  <c:v>4351.167275071547</c:v>
                </c:pt>
                <c:pt idx="11">
                  <c:v>4679</c:v>
                </c:pt>
                <c:pt idx="12">
                  <c:v>6150</c:v>
                </c:pt>
                <c:pt idx="13">
                  <c:v>10964</c:v>
                </c:pt>
                <c:pt idx="14" formatCode="#,##0">
                  <c:v>9741.7036818356974</c:v>
                </c:pt>
                <c:pt idx="15" formatCode="#,##0">
                  <c:v>9717.069174105709</c:v>
                </c:pt>
                <c:pt idx="16" formatCode="#,##0">
                  <c:v>8375.40946921451</c:v>
                </c:pt>
                <c:pt idx="17" formatCode="#,##0">
                  <c:v>9915.9051234817107</c:v>
                </c:pt>
                <c:pt idx="18" formatCode="#,##0">
                  <c:v>8721.8546609107252</c:v>
                </c:pt>
                <c:pt idx="19" formatCode="#,##0">
                  <c:v>9773.982600590105</c:v>
                </c:pt>
                <c:pt idx="20" formatCode="#,##0">
                  <c:v>9969.4182565074534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76-40AF-8E95-2E8A4BDB459A}"/>
            </c:ext>
          </c:extLst>
        </c:ser>
        <c:ser>
          <c:idx val="3"/>
          <c:order val="8"/>
          <c:tx>
            <c:strRef>
              <c:f>'O9. Generation mix'!$A$19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'O9. Generation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'O9. Generation mix'!$C$19:$W$19</c:f>
              <c:numCache>
                <c:formatCode>General</c:formatCode>
                <c:ptCount val="21"/>
                <c:pt idx="0">
                  <c:v>88</c:v>
                </c:pt>
                <c:pt idx="1">
                  <c:v>178</c:v>
                </c:pt>
                <c:pt idx="2">
                  <c:v>202</c:v>
                </c:pt>
                <c:pt idx="3">
                  <c:v>297</c:v>
                </c:pt>
                <c:pt idx="4" formatCode="#,##0">
                  <c:v>1480.2458607084268</c:v>
                </c:pt>
                <c:pt idx="5" formatCode="#,##0">
                  <c:v>202</c:v>
                </c:pt>
                <c:pt idx="6" formatCode="#,##0">
                  <c:v>1480.2458607084268</c:v>
                </c:pt>
                <c:pt idx="7" formatCode="#,##0">
                  <c:v>1480.2458607084268</c:v>
                </c:pt>
                <c:pt idx="8" formatCode="#,##0">
                  <c:v>1480.2458607084268</c:v>
                </c:pt>
                <c:pt idx="9" formatCode="#,##0">
                  <c:v>1480.2458607084268</c:v>
                </c:pt>
                <c:pt idx="10" formatCode="#,##0">
                  <c:v>1480.2458607084268</c:v>
                </c:pt>
                <c:pt idx="11">
                  <c:v>440</c:v>
                </c:pt>
                <c:pt idx="12">
                  <c:v>609</c:v>
                </c:pt>
                <c:pt idx="13">
                  <c:v>983</c:v>
                </c:pt>
                <c:pt idx="14" formatCode="#,##0">
                  <c:v>2192.7821805312128</c:v>
                </c:pt>
                <c:pt idx="15" formatCode="#,##0">
                  <c:v>2294.1498014930685</c:v>
                </c:pt>
                <c:pt idx="16" formatCode="#,##0">
                  <c:v>2488.8358508933097</c:v>
                </c:pt>
                <c:pt idx="17" formatCode="#,##0">
                  <c:v>2202.7070069786018</c:v>
                </c:pt>
                <c:pt idx="18" formatCode="#,##0">
                  <c:v>1959.5098972259273</c:v>
                </c:pt>
                <c:pt idx="19" formatCode="#,##0">
                  <c:v>2192.7939902265753</c:v>
                </c:pt>
                <c:pt idx="20" formatCode="#,##0">
                  <c:v>2234.0826532108108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76-40AF-8E95-2E8A4BDB4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Power generation (TWh)</a:t>
                </a:r>
              </a:p>
            </c:rich>
          </c:tx>
          <c:layout>
            <c:manualLayout>
              <c:xMode val="edge"/>
              <c:yMode val="edge"/>
              <c:x val="4.8641376691502484E-3"/>
              <c:y val="6.204594882929495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68348429735518E-2"/>
          <c:y val="5.8268807664316684E-2"/>
          <c:w val="0.83179652909838542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'OReserve. Wind, solar capacity'!$C$14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capacity'!$D$14:$H$14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3.3390512457609249</c:v>
                </c:pt>
                <c:pt idx="3">
                  <c:v>6.5105251552327683</c:v>
                </c:pt>
                <c:pt idx="4">
                  <c:v>10.016823745113971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29-4294-AF03-4348147B43F4}"/>
            </c:ext>
          </c:extLst>
        </c:ser>
        <c:ser>
          <c:idx val="0"/>
          <c:order val="1"/>
          <c:tx>
            <c:strRef>
              <c:f>'OReserve. Wind, solar capacity'!$C$15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capacity'!$D$15:$H$15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2.8639999999999999</c:v>
                </c:pt>
                <c:pt idx="3">
                  <c:v>5.8514142829381797</c:v>
                </c:pt>
                <c:pt idx="4">
                  <c:v>9.9812489336354115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29-4294-AF03-4348147B43F4}"/>
            </c:ext>
          </c:extLst>
        </c:ser>
        <c:ser>
          <c:idx val="1"/>
          <c:order val="2"/>
          <c:tx>
            <c:strRef>
              <c:f>'OReserve. Wind, solar capacity'!$C$16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capacity'!$D$16:$H$16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3.4299607866008417</c:v>
                </c:pt>
                <c:pt idx="3">
                  <c:v>6.909565195120897</c:v>
                </c:pt>
                <c:pt idx="4">
                  <c:v>10.19725709881895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29-4294-AF03-4348147B43F4}"/>
            </c:ext>
          </c:extLst>
        </c:ser>
        <c:ser>
          <c:idx val="2"/>
          <c:order val="3"/>
          <c:tx>
            <c:strRef>
              <c:f>'OReserve. Wind, solar capacity'!$C$17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capacity'!$D$17:$H$17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4.1702388773597248</c:v>
                </c:pt>
                <c:pt idx="3">
                  <c:v>7.8492578247095501</c:v>
                </c:pt>
                <c:pt idx="4">
                  <c:v>11.07516413726092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29-4294-AF03-4348147B43F4}"/>
            </c:ext>
          </c:extLst>
        </c:ser>
        <c:ser>
          <c:idx val="3"/>
          <c:order val="4"/>
          <c:tx>
            <c:strRef>
              <c:f>'OReserve. Wind, solar capacity'!$C$18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capacity'!$D$18:$H$18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2.4096429776948249</c:v>
                </c:pt>
                <c:pt idx="3">
                  <c:v>3.0447895959186635</c:v>
                </c:pt>
                <c:pt idx="4">
                  <c:v>4.016706831072355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729-4294-AF03-4348147B43F4}"/>
            </c:ext>
          </c:extLst>
        </c:ser>
        <c:ser>
          <c:idx val="4"/>
          <c:order val="5"/>
          <c:tx>
            <c:strRef>
              <c:f>'OReserve. Wind, solar capacity'!$C$19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capacity'!$D$19:$H$19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2.9736054105772673</c:v>
                </c:pt>
                <c:pt idx="3">
                  <c:v>6.210145817166886</c:v>
                </c:pt>
                <c:pt idx="4">
                  <c:v>10.117682433057325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729-4294-AF03-4348147B43F4}"/>
            </c:ext>
          </c:extLst>
        </c:ser>
        <c:ser>
          <c:idx val="5"/>
          <c:order val="6"/>
          <c:tx>
            <c:strRef>
              <c:f>'OReserve. Wind, solar capacity'!$C$20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capacity'!$D$20:$H$20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2.9548937966234536</c:v>
                </c:pt>
                <c:pt idx="3">
                  <c:v>5.6722939947975552</c:v>
                </c:pt>
                <c:pt idx="4">
                  <c:v>9.0963154069939698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29-4294-AF03-4348147B43F4}"/>
            </c:ext>
          </c:extLst>
        </c:ser>
        <c:ser>
          <c:idx val="6"/>
          <c:order val="7"/>
          <c:tx>
            <c:strRef>
              <c:f>'OReserve. Wind, solar capacity'!$C$21</c:f>
              <c:strCache>
                <c:ptCount val="1"/>
                <c:pt idx="0">
                  <c:v>WEO CPS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capacity'!$D$21:$H$21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1.29</c:v>
                </c:pt>
                <c:pt idx="2">
                  <c:v>2.3740000000000001</c:v>
                </c:pt>
                <c:pt idx="3">
                  <c:v>3.3319999999999999</c:v>
                </c:pt>
                <c:pt idx="4">
                  <c:v>4.3179999999999996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29-4294-AF03-4348147B43F4}"/>
            </c:ext>
          </c:extLst>
        </c:ser>
        <c:ser>
          <c:idx val="7"/>
          <c:order val="8"/>
          <c:tx>
            <c:strRef>
              <c:f>'OReserve. Wind, solar capacity'!$C$22</c:f>
              <c:strCache>
                <c:ptCount val="1"/>
                <c:pt idx="0">
                  <c:v>WEO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capacity'!$D$22:$H$22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1.3518750000000002</c:v>
                </c:pt>
                <c:pt idx="2">
                  <c:v>2.8639999999999999</c:v>
                </c:pt>
                <c:pt idx="3">
                  <c:v>4.3150000000000004</c:v>
                </c:pt>
                <c:pt idx="4">
                  <c:v>5.7949999999999999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29-4294-AF03-4348147B43F4}"/>
            </c:ext>
          </c:extLst>
        </c:ser>
        <c:ser>
          <c:idx val="8"/>
          <c:order val="9"/>
          <c:tx>
            <c:strRef>
              <c:f>'OReserve. Wind, solar capacity'!$C$23</c:f>
              <c:strCache>
                <c:ptCount val="1"/>
                <c:pt idx="0">
                  <c:v>WEO SDS</c:v>
                </c:pt>
              </c:strCache>
            </c:strRef>
          </c:tx>
          <c:spPr>
            <a:ln>
              <a:solidFill>
                <a:schemeClr val="accent3"/>
              </a:solidFill>
              <a:prstDash val="sysDash"/>
            </a:ln>
          </c:spPr>
          <c:marker>
            <c:symbol val="none"/>
          </c:marker>
          <c:xVal>
            <c:numRef>
              <c:f>'OReserve. Wind, solar capacity'!$D$11:$H$11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'OReserve. Wind, solar capacity'!$D$23:$H$23</c:f>
              <c:numCache>
                <c:formatCode>#,##0</c:formatCode>
                <c:ptCount val="5"/>
                <c:pt idx="0">
                  <c:v>0.91800000000000004</c:v>
                </c:pt>
                <c:pt idx="1">
                  <c:v>1.5539999999999998</c:v>
                </c:pt>
                <c:pt idx="2">
                  <c:v>4.12</c:v>
                </c:pt>
                <c:pt idx="3">
                  <c:v>7.3259999999999996</c:v>
                </c:pt>
                <c:pt idx="4">
                  <c:v>10.474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29-4294-AF03-4348147B4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Total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r</a:t>
                </a: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enewable capacity (TW)</a:t>
                </a: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440965103431781E-2"/>
          <c:y val="2.631790381680426E-2"/>
          <c:w val="0.78238333348860911"/>
          <c:h val="0.54695677135159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'O10. Generation capacity mix'!$A$17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mix'!$C$17:$W$17</c:f>
              <c:numCache>
                <c:formatCode>#,##0.00</c:formatCode>
                <c:ptCount val="21"/>
                <c:pt idx="0">
                  <c:v>2.0670000000000002</c:v>
                </c:pt>
                <c:pt idx="1">
                  <c:v>2.3479999999999999</c:v>
                </c:pt>
                <c:pt idx="2">
                  <c:v>2.1429999999999998</c:v>
                </c:pt>
                <c:pt idx="3">
                  <c:v>1.633</c:v>
                </c:pt>
                <c:pt idx="4">
                  <c:v>1.4424317981122206</c:v>
                </c:pt>
                <c:pt idx="5">
                  <c:v>2.1429999999999998</c:v>
                </c:pt>
                <c:pt idx="6">
                  <c:v>1.4424317981122206</c:v>
                </c:pt>
                <c:pt idx="7">
                  <c:v>1.4424317981122206</c:v>
                </c:pt>
                <c:pt idx="8">
                  <c:v>1.4424317981122206</c:v>
                </c:pt>
                <c:pt idx="9">
                  <c:v>1.4424317981122206</c:v>
                </c:pt>
                <c:pt idx="10">
                  <c:v>1.4424317981122206</c:v>
                </c:pt>
                <c:pt idx="11">
                  <c:v>3.0430000000000001</c:v>
                </c:pt>
                <c:pt idx="12">
                  <c:v>2.3460000000000001</c:v>
                </c:pt>
                <c:pt idx="13">
                  <c:v>0.67900000000000005</c:v>
                </c:pt>
                <c:pt idx="14">
                  <c:v>0</c:v>
                </c:pt>
                <c:pt idx="15">
                  <c:v>1.6396787724521602E-2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4-4CE7-AA0A-3151FDCA3C94}"/>
            </c:ext>
          </c:extLst>
        </c:ser>
        <c:ser>
          <c:idx val="6"/>
          <c:order val="1"/>
          <c:tx>
            <c:strRef>
              <c:f>'O10. Generation capacity mix'!$A$22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mix'!$C$22:$W$22</c:f>
              <c:numCache>
                <c:formatCode>#,##0.00</c:formatCode>
                <c:ptCount val="21"/>
                <c:pt idx="0">
                  <c:v>0.44700000000000001</c:v>
                </c:pt>
                <c:pt idx="1">
                  <c:v>0.314</c:v>
                </c:pt>
                <c:pt idx="2">
                  <c:v>0.307</c:v>
                </c:pt>
                <c:pt idx="3">
                  <c:v>0.28899999999999998</c:v>
                </c:pt>
                <c:pt idx="4">
                  <c:v>0.2546635923102461</c:v>
                </c:pt>
                <c:pt idx="5">
                  <c:v>0.307</c:v>
                </c:pt>
                <c:pt idx="6">
                  <c:v>0.25448256718289453</c:v>
                </c:pt>
                <c:pt idx="7">
                  <c:v>0.25499736283399582</c:v>
                </c:pt>
                <c:pt idx="8">
                  <c:v>0.25455952459154002</c:v>
                </c:pt>
                <c:pt idx="9">
                  <c:v>0.2546635923102461</c:v>
                </c:pt>
                <c:pt idx="10">
                  <c:v>0.2562142047107191</c:v>
                </c:pt>
                <c:pt idx="11">
                  <c:v>0.216</c:v>
                </c:pt>
                <c:pt idx="12">
                  <c:v>0.182</c:v>
                </c:pt>
                <c:pt idx="13">
                  <c:v>0.16600000000000001</c:v>
                </c:pt>
                <c:pt idx="14">
                  <c:v>1.9774111921432982E-2</c:v>
                </c:pt>
                <c:pt idx="15">
                  <c:v>1.843905472635635E-2</c:v>
                </c:pt>
                <c:pt idx="16">
                  <c:v>1.8555853113708033E-2</c:v>
                </c:pt>
                <c:pt idx="17">
                  <c:v>1.7735316855471472E-2</c:v>
                </c:pt>
                <c:pt idx="18">
                  <c:v>1.3181656366682826E-2</c:v>
                </c:pt>
                <c:pt idx="19">
                  <c:v>1.98526291938937E-2</c:v>
                </c:pt>
                <c:pt idx="20">
                  <c:v>1.567645185491862E-2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04-4CE7-AA0A-3151FDCA3C94}"/>
            </c:ext>
          </c:extLst>
        </c:ser>
        <c:ser>
          <c:idx val="2"/>
          <c:order val="2"/>
          <c:tx>
            <c:strRef>
              <c:f>'O10. Generation capacity mix'!$A$18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mix'!$C$18:$W$18</c:f>
              <c:numCache>
                <c:formatCode>#,##0.00</c:formatCode>
                <c:ptCount val="21"/>
                <c:pt idx="0">
                  <c:v>1.6950000000000001</c:v>
                </c:pt>
                <c:pt idx="1">
                  <c:v>2.415</c:v>
                </c:pt>
                <c:pt idx="2">
                  <c:v>2.3340000000000001</c:v>
                </c:pt>
                <c:pt idx="3">
                  <c:v>2.1030000000000002</c:v>
                </c:pt>
                <c:pt idx="4">
                  <c:v>2.0021660525758045</c:v>
                </c:pt>
                <c:pt idx="5">
                  <c:v>2.3340000000000001</c:v>
                </c:pt>
                <c:pt idx="6">
                  <c:v>2.0255793542048841</c:v>
                </c:pt>
                <c:pt idx="7">
                  <c:v>1.9768103500106908</c:v>
                </c:pt>
                <c:pt idx="8">
                  <c:v>1.9711175683966367</c:v>
                </c:pt>
                <c:pt idx="9">
                  <c:v>2.0044093899500157</c:v>
                </c:pt>
                <c:pt idx="10">
                  <c:v>1.9956466042378382</c:v>
                </c:pt>
                <c:pt idx="11">
                  <c:v>3.4220000000000002</c:v>
                </c:pt>
                <c:pt idx="12">
                  <c:v>3.1680000000000001</c:v>
                </c:pt>
                <c:pt idx="13">
                  <c:v>2.6960000000000002</c:v>
                </c:pt>
                <c:pt idx="14">
                  <c:v>0.67218673027403064</c:v>
                </c:pt>
                <c:pt idx="15">
                  <c:v>0.67887038741927652</c:v>
                </c:pt>
                <c:pt idx="16">
                  <c:v>0.89322323601684783</c:v>
                </c:pt>
                <c:pt idx="17">
                  <c:v>0.76755872170572426</c:v>
                </c:pt>
                <c:pt idx="18">
                  <c:v>0.45966067965041124</c:v>
                </c:pt>
                <c:pt idx="19">
                  <c:v>0.67809135832162848</c:v>
                </c:pt>
                <c:pt idx="20">
                  <c:v>0.82336576397920536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04-4CE7-AA0A-3151FDCA3C94}"/>
            </c:ext>
          </c:extLst>
        </c:ser>
        <c:ser>
          <c:idx val="5"/>
          <c:order val="3"/>
          <c:tx>
            <c:strRef>
              <c:f>'O10. Generation capacity mix'!$A$21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mix'!$C$21:$W$21</c:f>
              <c:numCache>
                <c:formatCode>#,##0.00</c:formatCode>
                <c:ptCount val="21"/>
                <c:pt idx="0">
                  <c:v>0.41199999999999998</c:v>
                </c:pt>
                <c:pt idx="1">
                  <c:v>0.45900000000000002</c:v>
                </c:pt>
                <c:pt idx="2">
                  <c:v>0.46400000000000002</c:v>
                </c:pt>
                <c:pt idx="3">
                  <c:v>0.54200000000000004</c:v>
                </c:pt>
                <c:pt idx="4">
                  <c:v>0.59960750408611363</c:v>
                </c:pt>
                <c:pt idx="5">
                  <c:v>0.46400000000000002</c:v>
                </c:pt>
                <c:pt idx="6">
                  <c:v>0.59960750408611363</c:v>
                </c:pt>
                <c:pt idx="7">
                  <c:v>0.59960750408611363</c:v>
                </c:pt>
                <c:pt idx="8">
                  <c:v>0.59960750408611363</c:v>
                </c:pt>
                <c:pt idx="9">
                  <c:v>0.59960750408611363</c:v>
                </c:pt>
                <c:pt idx="10">
                  <c:v>0.59960750408611363</c:v>
                </c:pt>
                <c:pt idx="11">
                  <c:v>0.54800000000000004</c:v>
                </c:pt>
                <c:pt idx="12">
                  <c:v>0.56399999999999995</c:v>
                </c:pt>
                <c:pt idx="13">
                  <c:v>0.79200000000000004</c:v>
                </c:pt>
                <c:pt idx="14">
                  <c:v>0.86465940910950312</c:v>
                </c:pt>
                <c:pt idx="15">
                  <c:v>0.88970484956154772</c:v>
                </c:pt>
                <c:pt idx="16">
                  <c:v>0.93275289370291703</c:v>
                </c:pt>
                <c:pt idx="17">
                  <c:v>0.86003854052935924</c:v>
                </c:pt>
                <c:pt idx="18">
                  <c:v>0.79212495340202838</c:v>
                </c:pt>
                <c:pt idx="19">
                  <c:v>0.87068097761910801</c:v>
                </c:pt>
                <c:pt idx="20">
                  <c:v>0.92163865336371686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04-4CE7-AA0A-3151FDCA3C94}"/>
            </c:ext>
          </c:extLst>
        </c:ser>
        <c:ser>
          <c:idx val="1"/>
          <c:order val="4"/>
          <c:tx>
            <c:strRef>
              <c:f>'O10. Generation capacity mix'!$A$16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mix'!$C$16:$W$16</c:f>
              <c:numCache>
                <c:formatCode>#,##0.00</c:formatCode>
                <c:ptCount val="21"/>
                <c:pt idx="0">
                  <c:v>0.13600000000000001</c:v>
                </c:pt>
                <c:pt idx="1">
                  <c:v>0.20300000000000001</c:v>
                </c:pt>
                <c:pt idx="2">
                  <c:v>0.216</c:v>
                </c:pt>
                <c:pt idx="3">
                  <c:v>0.26600000000000001</c:v>
                </c:pt>
                <c:pt idx="4">
                  <c:v>0.27706486752314208</c:v>
                </c:pt>
                <c:pt idx="5">
                  <c:v>0.216</c:v>
                </c:pt>
                <c:pt idx="6">
                  <c:v>0.31625604767925031</c:v>
                </c:pt>
                <c:pt idx="7">
                  <c:v>0.26895050372237372</c:v>
                </c:pt>
                <c:pt idx="8">
                  <c:v>0.25211867997200355</c:v>
                </c:pt>
                <c:pt idx="9">
                  <c:v>0.26919505094344309</c:v>
                </c:pt>
                <c:pt idx="10">
                  <c:v>0.29940371149766076</c:v>
                </c:pt>
                <c:pt idx="11">
                  <c:v>0.27900000000000003</c:v>
                </c:pt>
                <c:pt idx="12">
                  <c:v>0.34</c:v>
                </c:pt>
                <c:pt idx="13">
                  <c:v>0.49099999999999999</c:v>
                </c:pt>
                <c:pt idx="14">
                  <c:v>0.77079788049222964</c:v>
                </c:pt>
                <c:pt idx="15">
                  <c:v>0.6759732363107237</c:v>
                </c:pt>
                <c:pt idx="16">
                  <c:v>0.92709709279898356</c:v>
                </c:pt>
                <c:pt idx="17">
                  <c:v>0.78061604304540866</c:v>
                </c:pt>
                <c:pt idx="18">
                  <c:v>0.69911391770075348</c:v>
                </c:pt>
                <c:pt idx="19">
                  <c:v>0.74837006018859464</c:v>
                </c:pt>
                <c:pt idx="20">
                  <c:v>0.87485907761567006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04-4CE7-AA0A-3151FDCA3C94}"/>
            </c:ext>
          </c:extLst>
        </c:ser>
        <c:ser>
          <c:idx val="4"/>
          <c:order val="5"/>
          <c:tx>
            <c:strRef>
              <c:f>'O10. Generation capacity mix'!$A$20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mix'!$C$20:$W$20</c:f>
              <c:numCache>
                <c:formatCode>#,##0.00</c:formatCode>
                <c:ptCount val="21"/>
                <c:pt idx="0">
                  <c:v>1.27</c:v>
                </c:pt>
                <c:pt idx="1">
                  <c:v>1.5649999999999999</c:v>
                </c:pt>
                <c:pt idx="2">
                  <c:v>1.6040000000000001</c:v>
                </c:pt>
                <c:pt idx="3">
                  <c:v>1.738</c:v>
                </c:pt>
                <c:pt idx="4">
                  <c:v>1.6158357412680968</c:v>
                </c:pt>
                <c:pt idx="5">
                  <c:v>1.6040000000000001</c:v>
                </c:pt>
                <c:pt idx="6">
                  <c:v>1.6322510530594194</c:v>
                </c:pt>
                <c:pt idx="7">
                  <c:v>1.6158357412680968</c:v>
                </c:pt>
                <c:pt idx="8">
                  <c:v>1.6108729451221284</c:v>
                </c:pt>
                <c:pt idx="9">
                  <c:v>1.6158357412680968</c:v>
                </c:pt>
                <c:pt idx="10">
                  <c:v>1.6401760311893809</c:v>
                </c:pt>
                <c:pt idx="11">
                  <c:v>1.9690000000000001</c:v>
                </c:pt>
                <c:pt idx="12">
                  <c:v>2.0609999999999999</c:v>
                </c:pt>
                <c:pt idx="13">
                  <c:v>2.44</c:v>
                </c:pt>
                <c:pt idx="14">
                  <c:v>1.5936197976383171</c:v>
                </c:pt>
                <c:pt idx="15">
                  <c:v>1.6448187823973142</c:v>
                </c:pt>
                <c:pt idx="16">
                  <c:v>1.7316397544716546</c:v>
                </c:pt>
                <c:pt idx="17">
                  <c:v>1.6217220104769869</c:v>
                </c:pt>
                <c:pt idx="18">
                  <c:v>1.5027388154657455</c:v>
                </c:pt>
                <c:pt idx="19">
                  <c:v>1.5922142675708049</c:v>
                </c:pt>
                <c:pt idx="20">
                  <c:v>1.71293614909373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04-4CE7-AA0A-3151FDCA3C94}"/>
            </c:ext>
          </c:extLst>
        </c:ser>
        <c:ser>
          <c:idx val="7"/>
          <c:order val="6"/>
          <c:tx>
            <c:strRef>
              <c:f>'O10. Generation capacity mix'!$A$23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mix'!$C$23:$W$23</c:f>
              <c:numCache>
                <c:formatCode>#,##0.00</c:formatCode>
                <c:ptCount val="21"/>
                <c:pt idx="0">
                  <c:v>0.40300000000000002</c:v>
                </c:pt>
                <c:pt idx="1">
                  <c:v>1.3080000000000001</c:v>
                </c:pt>
                <c:pt idx="2">
                  <c:v>1.6140000000000001</c:v>
                </c:pt>
                <c:pt idx="3">
                  <c:v>2.4079999999999999</c:v>
                </c:pt>
                <c:pt idx="4">
                  <c:v>1.9545717534874152</c:v>
                </c:pt>
                <c:pt idx="5">
                  <c:v>1.6140000000000001</c:v>
                </c:pt>
                <c:pt idx="6">
                  <c:v>1.265864987806244</c:v>
                </c:pt>
                <c:pt idx="7">
                  <c:v>1.7418292511723306</c:v>
                </c:pt>
                <c:pt idx="8">
                  <c:v>1.7037392431993419</c:v>
                </c:pt>
                <c:pt idx="9">
                  <c:v>1.9587960489569431</c:v>
                </c:pt>
                <c:pt idx="10">
                  <c:v>1.9527815669054824</c:v>
                </c:pt>
                <c:pt idx="11">
                  <c:v>2.7170000000000001</c:v>
                </c:pt>
                <c:pt idx="12">
                  <c:v>3.67</c:v>
                </c:pt>
                <c:pt idx="13">
                  <c:v>6.625</c:v>
                </c:pt>
                <c:pt idx="14">
                  <c:v>5.3754678822587314</c:v>
                </c:pt>
                <c:pt idx="15">
                  <c:v>5.3484273390712964</c:v>
                </c:pt>
                <c:pt idx="16">
                  <c:v>0.24005713438666998</c:v>
                </c:pt>
                <c:pt idx="17">
                  <c:v>5.3949755217703901</c:v>
                </c:pt>
                <c:pt idx="18">
                  <c:v>4.9607603497859794</c:v>
                </c:pt>
                <c:pt idx="19">
                  <c:v>5.4021760712075091</c:v>
                </c:pt>
                <c:pt idx="20">
                  <c:v>5.4260658011568736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04-4CE7-AA0A-3151FDCA3C94}"/>
            </c:ext>
          </c:extLst>
        </c:ser>
        <c:ser>
          <c:idx val="8"/>
          <c:order val="7"/>
          <c:tx>
            <c:strRef>
              <c:f>'O10. Generation capacity mix'!$A$24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mix'!$C$24:$W$24</c:f>
              <c:numCache>
                <c:formatCode>#,##0.00</c:formatCode>
                <c:ptCount val="21"/>
                <c:pt idx="0">
                  <c:v>0.51500000000000001</c:v>
                </c:pt>
                <c:pt idx="1">
                  <c:v>1.0660000000000001</c:v>
                </c:pt>
                <c:pt idx="2">
                  <c:v>1.25</c:v>
                </c:pt>
                <c:pt idx="3">
                  <c:v>1.712</c:v>
                </c:pt>
                <c:pt idx="4">
                  <c:v>1.3844794922735095</c:v>
                </c:pt>
                <c:pt idx="5">
                  <c:v>1.25</c:v>
                </c:pt>
                <c:pt idx="6">
                  <c:v>1.1437779898885807</c:v>
                </c:pt>
                <c:pt idx="7">
                  <c:v>1.2317761594049366</c:v>
                </c:pt>
                <c:pt idx="8">
                  <c:v>1.2511545534241115</c:v>
                </c:pt>
                <c:pt idx="9">
                  <c:v>1.4042757375010755</c:v>
                </c:pt>
                <c:pt idx="10">
                  <c:v>1.4771792196953595</c:v>
                </c:pt>
                <c:pt idx="11">
                  <c:v>1.601</c:v>
                </c:pt>
                <c:pt idx="12">
                  <c:v>2.125</c:v>
                </c:pt>
                <c:pt idx="13">
                  <c:v>3.8490000000000002</c:v>
                </c:pt>
                <c:pt idx="14">
                  <c:v>4.6413558628552396</c:v>
                </c:pt>
                <c:pt idx="15">
                  <c:v>4.6328215945641151</c:v>
                </c:pt>
                <c:pt idx="16">
                  <c:v>3.7766496966856855</c:v>
                </c:pt>
                <c:pt idx="17">
                  <c:v>4.7227069112869362</c:v>
                </c:pt>
                <c:pt idx="18">
                  <c:v>4.1355550572079913</c:v>
                </c:pt>
                <c:pt idx="19">
                  <c:v>4.658488874093381</c:v>
                </c:pt>
                <c:pt idx="20">
                  <c:v>4.7711912976620754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04-4CE7-AA0A-3151FDCA3C94}"/>
            </c:ext>
          </c:extLst>
        </c:ser>
        <c:ser>
          <c:idx val="3"/>
          <c:order val="8"/>
          <c:tx>
            <c:strRef>
              <c:f>'O10. Generation capacity mix'!$A$19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'O10. Generation capacity mix'!$C$14:$W$15</c:f>
              <c:multiLvlStrCache>
                <c:ptCount val="21"/>
                <c:lvl>
                  <c:pt idx="0">
                    <c:v>WEO CPS</c:v>
                  </c:pt>
                  <c:pt idx="1">
                    <c:v>WEO CPS</c:v>
                  </c:pt>
                  <c:pt idx="2">
                    <c:v>WEO NPS</c:v>
                  </c:pt>
                  <c:pt idx="3">
                    <c:v>WEO SDS</c:v>
                  </c:pt>
                  <c:pt idx="4">
                    <c:v>2020 Action</c:v>
                  </c:pt>
                  <c:pt idx="5">
                    <c:v>2030 Action</c:v>
                  </c:pt>
                  <c:pt idx="6">
                    <c:v>CCS Storm</c:v>
                  </c:pt>
                  <c:pt idx="7">
                    <c:v>EVs Unplugged</c:v>
                  </c:pt>
                  <c:pt idx="8">
                    <c:v>Efficiency Boost</c:v>
                  </c:pt>
                  <c:pt idx="9">
                    <c:v>Renewable Revolution</c:v>
                  </c:pt>
                  <c:pt idx="10">
                    <c:v>1.75DS Action</c:v>
                  </c:pt>
                  <c:pt idx="11">
                    <c:v>WEO CPS</c:v>
                  </c:pt>
                  <c:pt idx="12">
                    <c:v>WEO NPS</c:v>
                  </c:pt>
                  <c:pt idx="13">
                    <c:v>WEO SDS</c:v>
                  </c:pt>
                  <c:pt idx="14">
                    <c:v>2020 Action</c:v>
                  </c:pt>
                  <c:pt idx="15">
                    <c:v>2030 Action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  <c:pt idx="19">
                    <c:v>Renewable Revolution</c:v>
                  </c:pt>
                  <c:pt idx="20">
                    <c:v>1.75DS Action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1">
                    <c:v>2050</c:v>
                  </c:pt>
                </c:lvl>
              </c:multiLvlStrCache>
            </c:multiLvlStrRef>
          </c:cat>
          <c:val>
            <c:numRef>
              <c:f>'O10. Generation capacity mix'!$C$19:$W$19</c:f>
              <c:numCache>
                <c:formatCode>#,##0.00</c:formatCode>
                <c:ptCount val="21"/>
                <c:pt idx="0">
                  <c:v>1.4999999999999999E-2</c:v>
                </c:pt>
                <c:pt idx="1">
                  <c:v>2.9000000000000001E-2</c:v>
                </c:pt>
                <c:pt idx="2">
                  <c:v>3.4000000000000002E-2</c:v>
                </c:pt>
                <c:pt idx="3">
                  <c:v>4.9000000000000002E-2</c:v>
                </c:pt>
                <c:pt idx="4">
                  <c:v>3.437055833389388E-2</c:v>
                </c:pt>
                <c:pt idx="5">
                  <c:v>3.4000000000000002E-2</c:v>
                </c:pt>
                <c:pt idx="6">
                  <c:v>3.437055833389388E-2</c:v>
                </c:pt>
                <c:pt idx="7">
                  <c:v>3.437055833389388E-2</c:v>
                </c:pt>
                <c:pt idx="8">
                  <c:v>3.437055833389388E-2</c:v>
                </c:pt>
                <c:pt idx="9">
                  <c:v>3.437055833389388E-2</c:v>
                </c:pt>
                <c:pt idx="10">
                  <c:v>3.437055833389388E-2</c:v>
                </c:pt>
                <c:pt idx="11">
                  <c:v>7.8E-2</c:v>
                </c:pt>
                <c:pt idx="12">
                  <c:v>0.11600000000000001</c:v>
                </c:pt>
                <c:pt idx="13">
                  <c:v>0.18099999999999999</c:v>
                </c:pt>
                <c:pt idx="14">
                  <c:v>0.27813066724140184</c:v>
                </c:pt>
                <c:pt idx="15">
                  <c:v>0.29137269828849677</c:v>
                </c:pt>
                <c:pt idx="16">
                  <c:v>0.31568186845425039</c:v>
                </c:pt>
                <c:pt idx="17">
                  <c:v>0.28119462080231189</c:v>
                </c:pt>
                <c:pt idx="18">
                  <c:v>0.24873338784481155</c:v>
                </c:pt>
                <c:pt idx="19">
                  <c:v>0.27813216517333528</c:v>
                </c:pt>
                <c:pt idx="20">
                  <c:v>0.28534404719651763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04-4CE7-AA0A-3151FDCA3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Power generation capacity (TW)</a:t>
                </a:r>
              </a:p>
            </c:rich>
          </c:tx>
          <c:layout>
            <c:manualLayout>
              <c:xMode val="edge"/>
              <c:yMode val="edge"/>
              <c:x val="4.8640952858821735E-3"/>
              <c:y val="8.008996423067328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Nordique Pro Semibold" panose="000007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01614864274367"/>
          <c:y val="5.8268807664316684E-2"/>
          <c:w val="0.80346391670180373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'O11. EV deployment'!$C$15</c:f>
              <c:strCache>
                <c:ptCount val="1"/>
                <c:pt idx="0">
                  <c:v>2020 Action</c:v>
                </c:pt>
              </c:strCache>
            </c:strRef>
          </c:tx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deployment'!$D$15:$H$15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172.79605002617052</c:v>
                </c:pt>
                <c:pt idx="3">
                  <c:v>374.94416243953987</c:v>
                </c:pt>
                <c:pt idx="4">
                  <c:v>740.2119418644395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44-4F53-8F0D-EE6C439B9048}"/>
            </c:ext>
          </c:extLst>
        </c:ser>
        <c:ser>
          <c:idx val="0"/>
          <c:order val="1"/>
          <c:tx>
            <c:strRef>
              <c:f>'O11. EV deployment'!$C$16</c:f>
              <c:strCache>
                <c:ptCount val="1"/>
                <c:pt idx="0">
                  <c:v>2030 Action</c:v>
                </c:pt>
              </c:strCache>
            </c:strRef>
          </c:tx>
          <c:spPr>
            <a:ln w="25400">
              <a:solidFill>
                <a:schemeClr val="accent3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deployment'!$D$16:$H$16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113.24543865659901</c:v>
                </c:pt>
                <c:pt idx="3">
                  <c:v>372.10941953930063</c:v>
                </c:pt>
                <c:pt idx="4">
                  <c:v>728.01072324912616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44-4F53-8F0D-EE6C439B9048}"/>
            </c:ext>
          </c:extLst>
        </c:ser>
        <c:ser>
          <c:idx val="1"/>
          <c:order val="2"/>
          <c:tx>
            <c:strRef>
              <c:f>'O11. EV deployment'!$C$17</c:f>
              <c:strCache>
                <c:ptCount val="1"/>
                <c:pt idx="0">
                  <c:v>1.75DS Action</c:v>
                </c:pt>
              </c:strCache>
            </c:strRef>
          </c:tx>
          <c:spPr>
            <a:ln w="25400">
              <a:solidFill>
                <a:schemeClr val="accent4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deployment'!$D$17:$H$17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177.03309671084588</c:v>
                </c:pt>
                <c:pt idx="3">
                  <c:v>390.39881134889214</c:v>
                </c:pt>
                <c:pt idx="4">
                  <c:v>778.95439439179734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44-4F53-8F0D-EE6C439B9048}"/>
            </c:ext>
          </c:extLst>
        </c:ser>
        <c:ser>
          <c:idx val="2"/>
          <c:order val="3"/>
          <c:tx>
            <c:strRef>
              <c:f>'O11. EV deployment'!$C$18</c:f>
              <c:strCache>
                <c:ptCount val="1"/>
                <c:pt idx="0">
                  <c:v>Renewable Revolution</c:v>
                </c:pt>
              </c:strCache>
            </c:strRef>
          </c:tx>
          <c:spPr>
            <a:ln w="25400">
              <a:solidFill>
                <a:schemeClr val="accent5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deployment'!$D$18:$H$18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172.79605002617052</c:v>
                </c:pt>
                <c:pt idx="3">
                  <c:v>374.51895709794422</c:v>
                </c:pt>
                <c:pt idx="4">
                  <c:v>739.8881827797004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44-4F53-8F0D-EE6C439B9048}"/>
            </c:ext>
          </c:extLst>
        </c:ser>
        <c:ser>
          <c:idx val="3"/>
          <c:order val="4"/>
          <c:tx>
            <c:strRef>
              <c:f>'O11. EV deployment'!$C$19</c:f>
              <c:strCache>
                <c:ptCount val="1"/>
                <c:pt idx="0">
                  <c:v>CCS Storm</c:v>
                </c:pt>
              </c:strCache>
            </c:strRef>
          </c:tx>
          <c:spPr>
            <a:ln w="25400">
              <a:solidFill>
                <a:schemeClr val="accent6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deployment'!$D$19:$H$19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177.90464264931219</c:v>
                </c:pt>
                <c:pt idx="3">
                  <c:v>376.45895163181689</c:v>
                </c:pt>
                <c:pt idx="4">
                  <c:v>740.1623321711063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44-4F53-8F0D-EE6C439B9048}"/>
            </c:ext>
          </c:extLst>
        </c:ser>
        <c:ser>
          <c:idx val="4"/>
          <c:order val="5"/>
          <c:tx>
            <c:strRef>
              <c:f>'O11. EV deployment'!$C$20</c:f>
              <c:strCache>
                <c:ptCount val="1"/>
                <c:pt idx="0">
                  <c:v>EVs Unplugged</c:v>
                </c:pt>
              </c:strCache>
            </c:strRef>
          </c:tx>
          <c:spPr>
            <a:ln w="25400">
              <a:solidFill>
                <a:schemeClr val="tx2"/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deployment'!$D$20:$H$20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699.539708817259</c:v>
                </c:pt>
                <c:pt idx="3">
                  <c:v>944.21391812104696</c:v>
                </c:pt>
                <c:pt idx="4">
                  <c:v>1297.4151239443352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44-4F53-8F0D-EE6C439B9048}"/>
            </c:ext>
          </c:extLst>
        </c:ser>
        <c:ser>
          <c:idx val="5"/>
          <c:order val="6"/>
          <c:tx>
            <c:strRef>
              <c:f>'O11. EV deployment'!$C$21</c:f>
              <c:strCache>
                <c:ptCount val="1"/>
                <c:pt idx="0">
                  <c:v>Efficiency Boost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deployment'!$D$21:$H$21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123.17520954423168</c:v>
                </c:pt>
                <c:pt idx="3">
                  <c:v>304.4470188588819</c:v>
                </c:pt>
                <c:pt idx="4">
                  <c:v>601.62551704250177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44-4F53-8F0D-EE6C439B9048}"/>
            </c:ext>
          </c:extLst>
        </c:ser>
        <c:ser>
          <c:idx val="6"/>
          <c:order val="7"/>
          <c:tx>
            <c:strRef>
              <c:f>'O11. EV deployment'!$C$22</c:f>
              <c:strCache>
                <c:ptCount val="1"/>
                <c:pt idx="0">
                  <c:v>EVO RTS</c:v>
                </c:pt>
              </c:strCache>
            </c:strRef>
          </c:tx>
          <c:spPr>
            <a:ln w="25400">
              <a:solidFill>
                <a:schemeClr val="accent1"/>
              </a:solidFill>
              <a:prstDash val="sysDash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deployment'!$D$22:$H$22</c:f>
              <c:numCache>
                <c:formatCode>#,##0</c:formatCode>
                <c:ptCount val="5"/>
                <c:pt idx="0">
                  <c:v>3.1090500000000008</c:v>
                </c:pt>
                <c:pt idx="1">
                  <c:v>9.0164325458953201</c:v>
                </c:pt>
                <c:pt idx="2">
                  <c:v>55.540270362869101</c:v>
                </c:pt>
                <c:pt idx="3">
                  <c:v>102.06410817984397</c:v>
                </c:pt>
                <c:pt idx="4">
                  <c:v>148.58794599681823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44-4F53-8F0D-EE6C439B9048}"/>
            </c:ext>
          </c:extLst>
        </c:ser>
        <c:ser>
          <c:idx val="7"/>
          <c:order val="8"/>
          <c:tx>
            <c:strRef>
              <c:f>'O11. EV deployment'!$C$23</c:f>
              <c:strCache>
                <c:ptCount val="1"/>
                <c:pt idx="0">
                  <c:v>EVO NPS</c:v>
                </c:pt>
              </c:strCache>
            </c:strRef>
          </c:tx>
          <c:spPr>
            <a:ln w="25400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'O11. EV deployment'!$D$11:$H$11</c:f>
              <c:numCache>
                <c:formatCode>General</c:formatCode>
                <c:ptCount val="5"/>
                <c:pt idx="0">
                  <c:v>2017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numCache>
            </c:numRef>
          </c:xVal>
          <c:yVal>
            <c:numRef>
              <c:f>'O11. EV deployment'!$D$23:$H$23</c:f>
              <c:numCache>
                <c:formatCode>#,##0</c:formatCode>
                <c:ptCount val="5"/>
                <c:pt idx="0">
                  <c:v>3.1090500000000008</c:v>
                </c:pt>
                <c:pt idx="1">
                  <c:v>19.8361516009697</c:v>
                </c:pt>
                <c:pt idx="2">
                  <c:v>113.24543865659901</c:v>
                </c:pt>
                <c:pt idx="3">
                  <c:v>206.65472571222926</c:v>
                </c:pt>
                <c:pt idx="4">
                  <c:v>300.06401276785982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44-4F53-8F0D-EE6C439B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Electric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91920916104015"/>
          <c:y val="5.2598166570892002E-2"/>
          <c:w val="0.52697533448972467"/>
          <c:h val="0.26683891909870444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316911027151222"/>
          <c:y val="5.8268807664316684E-2"/>
          <c:w val="0.85874180103499886"/>
          <c:h val="0.541237061760324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'O11. EV deployment'!$T$15</c:f>
              <c:strCache>
                <c:ptCount val="1"/>
                <c:pt idx="0">
                  <c:v>Electric</c:v>
                </c:pt>
              </c:strCache>
            </c:strRef>
          </c:tx>
          <c:invertIfNegative val="0"/>
          <c:cat>
            <c:multiLvlStrRef>
              <c:f>'O11. EV deployment'!$U$11:$AM$12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'O11. EV deployment'!$U$15:$AM$15</c:f>
              <c:numCache>
                <c:formatCode>0</c:formatCode>
                <c:ptCount val="19"/>
                <c:pt idx="0">
                  <c:v>3.1090500000000008</c:v>
                </c:pt>
                <c:pt idx="1">
                  <c:v>55.540270362869101</c:v>
                </c:pt>
                <c:pt idx="2">
                  <c:v>113.24543865659901</c:v>
                </c:pt>
                <c:pt idx="3">
                  <c:v>172.79605002617052</c:v>
                </c:pt>
                <c:pt idx="4">
                  <c:v>173.53260935161762</c:v>
                </c:pt>
                <c:pt idx="5">
                  <c:v>177.03309671084588</c:v>
                </c:pt>
                <c:pt idx="6">
                  <c:v>172.79605002617052</c:v>
                </c:pt>
                <c:pt idx="7">
                  <c:v>177.90464264931219</c:v>
                </c:pt>
                <c:pt idx="8">
                  <c:v>699.539708817259</c:v>
                </c:pt>
                <c:pt idx="9">
                  <c:v>123.17520954423168</c:v>
                </c:pt>
                <c:pt idx="10">
                  <c:v>148.58794599681823</c:v>
                </c:pt>
                <c:pt idx="11">
                  <c:v>300.06401276785982</c:v>
                </c:pt>
                <c:pt idx="12">
                  <c:v>740.2119418644395</c:v>
                </c:pt>
                <c:pt idx="13">
                  <c:v>728.01072324912616</c:v>
                </c:pt>
                <c:pt idx="14">
                  <c:v>778.95439439179734</c:v>
                </c:pt>
                <c:pt idx="15">
                  <c:v>739.8881827797004</c:v>
                </c:pt>
                <c:pt idx="16">
                  <c:v>740.1623321711063</c:v>
                </c:pt>
                <c:pt idx="17">
                  <c:v>1297.4151239443352</c:v>
                </c:pt>
                <c:pt idx="18">
                  <c:v>601.62551704250177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3-407B-A415-5D5D190100C7}"/>
            </c:ext>
          </c:extLst>
        </c:ser>
        <c:ser>
          <c:idx val="10"/>
          <c:order val="1"/>
          <c:tx>
            <c:strRef>
              <c:f>'O11. EV deployment'!$T$14</c:f>
              <c:strCache>
                <c:ptCount val="1"/>
                <c:pt idx="0">
                  <c:v>ICE</c:v>
                </c:pt>
              </c:strCache>
            </c:strRef>
          </c:tx>
          <c:invertIfNegative val="0"/>
          <c:cat>
            <c:multiLvlStrRef>
              <c:f>'O11. EV deployment'!$U$11:$AM$12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'O11. EV deployment'!$U$14:$AM$14</c:f>
              <c:numCache>
                <c:formatCode>0</c:formatCode>
                <c:ptCount val="19"/>
                <c:pt idx="3">
                  <c:v>1098.464506811398</c:v>
                </c:pt>
                <c:pt idx="4">
                  <c:v>1087.1380324147058</c:v>
                </c:pt>
                <c:pt idx="5">
                  <c:v>1083.7305152948941</c:v>
                </c:pt>
                <c:pt idx="6">
                  <c:v>1094.597140830394</c:v>
                </c:pt>
                <c:pt idx="7">
                  <c:v>1093.4905545086469</c:v>
                </c:pt>
                <c:pt idx="8">
                  <c:v>649.79291675877721</c:v>
                </c:pt>
                <c:pt idx="9">
                  <c:v>823.12209930697338</c:v>
                </c:pt>
                <c:pt idx="12">
                  <c:v>730.0496388595285</c:v>
                </c:pt>
                <c:pt idx="13">
                  <c:v>761.60201511369564</c:v>
                </c:pt>
                <c:pt idx="14">
                  <c:v>732.77681969678054</c:v>
                </c:pt>
                <c:pt idx="15">
                  <c:v>732.93478650773784</c:v>
                </c:pt>
                <c:pt idx="16">
                  <c:v>728.84836201225801</c:v>
                </c:pt>
                <c:pt idx="17">
                  <c:v>249.47773463377459</c:v>
                </c:pt>
                <c:pt idx="18">
                  <c:v>579.35737711913885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93-407B-A415-5D5D190100C7}"/>
            </c:ext>
          </c:extLst>
        </c:ser>
        <c:ser>
          <c:idx val="2"/>
          <c:order val="2"/>
          <c:tx>
            <c:strRef>
              <c:f>'O11. EV deployment'!$T$17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UpDiag">
              <a:fgClr>
                <a:schemeClr val="bg1"/>
              </a:fgClr>
              <a:bgClr>
                <a:schemeClr val="bg2">
                  <a:lumMod val="90000"/>
                </a:schemeClr>
              </a:bgClr>
            </a:pattFill>
            <a:ln>
              <a:noFill/>
            </a:ln>
          </c:spPr>
          <c:invertIfNegative val="0"/>
          <c:cat>
            <c:multiLvlStrRef>
              <c:f>'O11. EV deployment'!$U$11:$AM$12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'O11. EV deployment'!$U$17:$AM$17</c:f>
              <c:numCache>
                <c:formatCode>0</c:formatCode>
                <c:ptCount val="19"/>
                <c:pt idx="0">
                  <c:v>831.80659860666697</c:v>
                </c:pt>
                <c:pt idx="1">
                  <c:v>1322.9398048929215</c:v>
                </c:pt>
                <c:pt idx="2">
                  <c:v>1265.2346365991916</c:v>
                </c:pt>
                <c:pt idx="10">
                  <c:v>1524.8995000912741</c:v>
                </c:pt>
                <c:pt idx="11">
                  <c:v>1373.4234333202326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93-407B-A415-5D5D190100C7}"/>
            </c:ext>
          </c:extLst>
        </c:ser>
        <c:ser>
          <c:idx val="1"/>
          <c:order val="3"/>
          <c:tx>
            <c:strRef>
              <c:f>'O11. EV deployment'!$T$16</c:f>
              <c:strCache>
                <c:ptCount val="1"/>
                <c:pt idx="0">
                  <c:v>Other low-carbon</c:v>
                </c:pt>
              </c:strCache>
            </c:strRef>
          </c:tx>
          <c:invertIfNegative val="0"/>
          <c:cat>
            <c:multiLvlStrRef>
              <c:f>'O11. EV deployment'!$U$11:$AM$12</c:f>
              <c:multiLvlStrCache>
                <c:ptCount val="19"/>
                <c:lvl>
                  <c:pt idx="0">
                    <c:v>EVO RTS</c:v>
                  </c:pt>
                  <c:pt idx="1">
                    <c:v>EVO RTS</c:v>
                  </c:pt>
                  <c:pt idx="2">
                    <c:v>EVO NPS</c:v>
                  </c:pt>
                  <c:pt idx="3">
                    <c:v>2020 Action</c:v>
                  </c:pt>
                  <c:pt idx="4">
                    <c:v>2030 Action</c:v>
                  </c:pt>
                  <c:pt idx="5">
                    <c:v>1.75DS Action</c:v>
                  </c:pt>
                  <c:pt idx="6">
                    <c:v>Renewable Revolution</c:v>
                  </c:pt>
                  <c:pt idx="7">
                    <c:v>CCS Storm</c:v>
                  </c:pt>
                  <c:pt idx="8">
                    <c:v>EVs Unplugged</c:v>
                  </c:pt>
                  <c:pt idx="9">
                    <c:v>Efficiency Boost</c:v>
                  </c:pt>
                  <c:pt idx="10">
                    <c:v>EVO RTS</c:v>
                  </c:pt>
                  <c:pt idx="11">
                    <c:v>EVO NPS</c:v>
                  </c:pt>
                  <c:pt idx="12">
                    <c:v>2020 Action</c:v>
                  </c:pt>
                  <c:pt idx="13">
                    <c:v>2030 Action</c:v>
                  </c:pt>
                  <c:pt idx="14">
                    <c:v>1.75DS Action</c:v>
                  </c:pt>
                  <c:pt idx="15">
                    <c:v>Renewable Revolution</c:v>
                  </c:pt>
                  <c:pt idx="16">
                    <c:v>CCS Storm</c:v>
                  </c:pt>
                  <c:pt idx="17">
                    <c:v>EVs Unplugged</c:v>
                  </c:pt>
                  <c:pt idx="18">
                    <c:v>Efficiency Boost</c:v>
                  </c:pt>
                </c:lvl>
                <c:lvl>
                  <c:pt idx="0">
                    <c:v>2017</c:v>
                  </c:pt>
                  <c:pt idx="1">
                    <c:v>2030</c:v>
                  </c:pt>
                  <c:pt idx="10">
                    <c:v>2050</c:v>
                  </c:pt>
                </c:lvl>
              </c:multiLvlStrCache>
            </c:multiLvlStrRef>
          </c:cat>
          <c:val>
            <c:numRef>
              <c:f>'O11. EV deployment'!$U$16:$AM$16</c:f>
              <c:numCache>
                <c:formatCode>0</c:formatCode>
                <c:ptCount val="19"/>
                <c:pt idx="3">
                  <c:v>104.42810157498747</c:v>
                </c:pt>
                <c:pt idx="4">
                  <c:v>117.80943348946741</c:v>
                </c:pt>
                <c:pt idx="5">
                  <c:v>98.731039507237455</c:v>
                </c:pt>
                <c:pt idx="6">
                  <c:v>108.50987266655561</c:v>
                </c:pt>
                <c:pt idx="7">
                  <c:v>103.92997184860471</c:v>
                </c:pt>
                <c:pt idx="8">
                  <c:v>64.110018291911757</c:v>
                </c:pt>
                <c:pt idx="9">
                  <c:v>74.279540272018878</c:v>
                </c:pt>
                <c:pt idx="12">
                  <c:v>202.76204700717076</c:v>
                </c:pt>
                <c:pt idx="13">
                  <c:v>182.21994579525915</c:v>
                </c:pt>
                <c:pt idx="14">
                  <c:v>146.31972825773539</c:v>
                </c:pt>
                <c:pt idx="15">
                  <c:v>200.2006584437008</c:v>
                </c:pt>
                <c:pt idx="16">
                  <c:v>203.52339413766438</c:v>
                </c:pt>
                <c:pt idx="17">
                  <c:v>182.54255911182571</c:v>
                </c:pt>
                <c:pt idx="18">
                  <c:v>191.88545719410021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93-407B-A415-5D5D19010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100"/>
        <c:axId val="978526648"/>
        <c:axId val="978520088"/>
      </c:barChart>
      <c:catAx>
        <c:axId val="978526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auto val="1"/>
        <c:lblAlgn val="ctr"/>
        <c:lblOffset val="100"/>
        <c:noMultiLvlLbl val="0"/>
      </c:cat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between"/>
        <c:majorUnit val="400"/>
      </c:valAx>
    </c:plotArea>
    <c:legend>
      <c:legendPos val="r"/>
      <c:layout>
        <c:manualLayout>
          <c:xMode val="edge"/>
          <c:yMode val="edge"/>
          <c:x val="0.13795401904135857"/>
          <c:y val="1.941176961517526E-2"/>
          <c:w val="0.39090868922834593"/>
          <c:h val="0.1213857362894767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701614864274367"/>
          <c:y val="5.8268807664316684E-2"/>
          <c:w val="0.80346391670180373"/>
          <c:h val="0.85309417844434998"/>
        </c:manualLayout>
      </c:layout>
      <c:scatterChart>
        <c:scatterStyle val="lineMarker"/>
        <c:varyColors val="0"/>
        <c:ser>
          <c:idx val="10"/>
          <c:order val="0"/>
          <c:tx>
            <c:strRef>
              <c:f>'O11. EV deployment'!$C$111</c:f>
              <c:strCache>
                <c:ptCount val="1"/>
                <c:pt idx="0">
                  <c:v>2020 Action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deployment'!$D$111:$AK$111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15.476175297065542</c:v>
                </c:pt>
                <c:pt idx="5">
                  <c:v>15.476175297065534</c:v>
                </c:pt>
                <c:pt idx="6">
                  <c:v>15.476175297065549</c:v>
                </c:pt>
                <c:pt idx="7">
                  <c:v>15.476175297065527</c:v>
                </c:pt>
                <c:pt idx="8">
                  <c:v>15.476175297065542</c:v>
                </c:pt>
                <c:pt idx="9">
                  <c:v>15.476175297065542</c:v>
                </c:pt>
                <c:pt idx="10">
                  <c:v>15.476175297065527</c:v>
                </c:pt>
                <c:pt idx="11">
                  <c:v>16.422999842520102</c:v>
                </c:pt>
                <c:pt idx="12">
                  <c:v>20.871690376176666</c:v>
                </c:pt>
                <c:pt idx="13">
                  <c:v>20.871690376176609</c:v>
                </c:pt>
                <c:pt idx="14">
                  <c:v>25.790511774993512</c:v>
                </c:pt>
                <c:pt idx="15">
                  <c:v>35.510801083857004</c:v>
                </c:pt>
                <c:pt idx="16">
                  <c:v>35.510801083857025</c:v>
                </c:pt>
                <c:pt idx="17">
                  <c:v>35.510801083857011</c:v>
                </c:pt>
                <c:pt idx="18">
                  <c:v>35.51080108385699</c:v>
                </c:pt>
                <c:pt idx="19">
                  <c:v>35.510801083857061</c:v>
                </c:pt>
                <c:pt idx="20">
                  <c:v>35.510801083857004</c:v>
                </c:pt>
                <c:pt idx="21">
                  <c:v>35.51080108385699</c:v>
                </c:pt>
                <c:pt idx="22">
                  <c:v>36.637811083857073</c:v>
                </c:pt>
                <c:pt idx="23">
                  <c:v>41.086501617513584</c:v>
                </c:pt>
                <c:pt idx="24">
                  <c:v>57.398468318666566</c:v>
                </c:pt>
                <c:pt idx="25">
                  <c:v>62.317289717483469</c:v>
                </c:pt>
                <c:pt idx="26">
                  <c:v>72.037579026347018</c:v>
                </c:pt>
                <c:pt idx="27">
                  <c:v>72.037579026346975</c:v>
                </c:pt>
                <c:pt idx="28">
                  <c:v>72.037579026346975</c:v>
                </c:pt>
                <c:pt idx="29">
                  <c:v>72.037579026346947</c:v>
                </c:pt>
                <c:pt idx="30">
                  <c:v>72.037579026347018</c:v>
                </c:pt>
                <c:pt idx="31">
                  <c:v>72.037579026346961</c:v>
                </c:pt>
                <c:pt idx="32">
                  <c:v>72.037579026346947</c:v>
                </c:pt>
                <c:pt idx="33">
                  <c:v>73.164589026347031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EE-4FB9-85EA-1003FCA35B65}"/>
            </c:ext>
          </c:extLst>
        </c:ser>
        <c:ser>
          <c:idx val="0"/>
          <c:order val="1"/>
          <c:tx>
            <c:strRef>
              <c:f>'O11. EV deployment'!$C$112</c:f>
              <c:strCache>
                <c:ptCount val="1"/>
                <c:pt idx="0">
                  <c:v>2030 Action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deployment'!$D$112:$AK$112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9.521114160108386</c:v>
                </c:pt>
                <c:pt idx="5">
                  <c:v>9.521114160108386</c:v>
                </c:pt>
                <c:pt idx="6">
                  <c:v>9.521114160108386</c:v>
                </c:pt>
                <c:pt idx="7">
                  <c:v>9.521114160108386</c:v>
                </c:pt>
                <c:pt idx="8">
                  <c:v>9.521114160108386</c:v>
                </c:pt>
                <c:pt idx="9">
                  <c:v>9.521114160108386</c:v>
                </c:pt>
                <c:pt idx="10">
                  <c:v>9.521114160108386</c:v>
                </c:pt>
                <c:pt idx="11">
                  <c:v>10.467938705562931</c:v>
                </c:pt>
                <c:pt idx="12">
                  <c:v>14.916629239219496</c:v>
                </c:pt>
                <c:pt idx="13">
                  <c:v>14.916629239219498</c:v>
                </c:pt>
                <c:pt idx="14">
                  <c:v>31.462098621926721</c:v>
                </c:pt>
                <c:pt idx="15">
                  <c:v>35.2273267938331</c:v>
                </c:pt>
                <c:pt idx="16">
                  <c:v>35.2273267938331</c:v>
                </c:pt>
                <c:pt idx="17">
                  <c:v>35.2273267938331</c:v>
                </c:pt>
                <c:pt idx="18">
                  <c:v>35.227326793833072</c:v>
                </c:pt>
                <c:pt idx="19">
                  <c:v>35.227326793833129</c:v>
                </c:pt>
                <c:pt idx="20">
                  <c:v>35.227326793833072</c:v>
                </c:pt>
                <c:pt idx="21">
                  <c:v>35.227326793833072</c:v>
                </c:pt>
                <c:pt idx="22">
                  <c:v>36.354336793833127</c:v>
                </c:pt>
                <c:pt idx="23">
                  <c:v>40.803027327489637</c:v>
                </c:pt>
                <c:pt idx="24">
                  <c:v>50.506759610202032</c:v>
                </c:pt>
                <c:pt idx="25">
                  <c:v>67.052228992909306</c:v>
                </c:pt>
                <c:pt idx="26">
                  <c:v>70.817457164815636</c:v>
                </c:pt>
                <c:pt idx="27">
                  <c:v>70.817457164815636</c:v>
                </c:pt>
                <c:pt idx="28">
                  <c:v>70.817457164815693</c:v>
                </c:pt>
                <c:pt idx="29">
                  <c:v>70.817457164815664</c:v>
                </c:pt>
                <c:pt idx="30">
                  <c:v>70.817457164815607</c:v>
                </c:pt>
                <c:pt idx="31">
                  <c:v>70.817457164815551</c:v>
                </c:pt>
                <c:pt idx="32">
                  <c:v>70.817457164815778</c:v>
                </c:pt>
                <c:pt idx="33">
                  <c:v>71.944467164815606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EE-4FB9-85EA-1003FCA35B65}"/>
            </c:ext>
          </c:extLst>
        </c:ser>
        <c:ser>
          <c:idx val="1"/>
          <c:order val="2"/>
          <c:tx>
            <c:strRef>
              <c:f>'O11. EV deployment'!$C$113</c:f>
              <c:strCache>
                <c:ptCount val="1"/>
                <c:pt idx="0">
                  <c:v>1.75DS Action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deployment'!$D$113:$AK$113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15.899879965533078</c:v>
                </c:pt>
                <c:pt idx="5">
                  <c:v>15.899879965533071</c:v>
                </c:pt>
                <c:pt idx="6">
                  <c:v>15.899879965533085</c:v>
                </c:pt>
                <c:pt idx="7">
                  <c:v>15.899879965533064</c:v>
                </c:pt>
                <c:pt idx="8">
                  <c:v>15.899879965533078</c:v>
                </c:pt>
                <c:pt idx="9">
                  <c:v>15.899879965533078</c:v>
                </c:pt>
                <c:pt idx="10">
                  <c:v>15.899879965533092</c:v>
                </c:pt>
                <c:pt idx="11">
                  <c:v>16.84670451098761</c:v>
                </c:pt>
                <c:pt idx="12">
                  <c:v>21.295395044644174</c:v>
                </c:pt>
                <c:pt idx="13">
                  <c:v>21.295395044644174</c:v>
                </c:pt>
                <c:pt idx="14">
                  <c:v>26.912271997461197</c:v>
                </c:pt>
                <c:pt idx="15">
                  <c:v>37.056265974792254</c:v>
                </c:pt>
                <c:pt idx="16">
                  <c:v>37.056265974792218</c:v>
                </c:pt>
                <c:pt idx="17">
                  <c:v>37.056265974792232</c:v>
                </c:pt>
                <c:pt idx="18">
                  <c:v>37.056265974792268</c:v>
                </c:pt>
                <c:pt idx="19">
                  <c:v>37.056265974792282</c:v>
                </c:pt>
                <c:pt idx="20">
                  <c:v>37.056265974792225</c:v>
                </c:pt>
                <c:pt idx="21">
                  <c:v>37.05626597479224</c:v>
                </c:pt>
                <c:pt idx="22">
                  <c:v>38.18327597479221</c:v>
                </c:pt>
                <c:pt idx="23">
                  <c:v>42.631966508448834</c:v>
                </c:pt>
                <c:pt idx="24">
                  <c:v>60.150953348934699</c:v>
                </c:pt>
                <c:pt idx="25">
                  <c:v>65.767830301751729</c:v>
                </c:pt>
                <c:pt idx="26">
                  <c:v>75.911824279082722</c:v>
                </c:pt>
                <c:pt idx="27">
                  <c:v>75.911824279082737</c:v>
                </c:pt>
                <c:pt idx="28">
                  <c:v>75.911824279082765</c:v>
                </c:pt>
                <c:pt idx="29">
                  <c:v>75.911824279082794</c:v>
                </c:pt>
                <c:pt idx="30">
                  <c:v>75.911824279082808</c:v>
                </c:pt>
                <c:pt idx="31">
                  <c:v>75.911824279082751</c:v>
                </c:pt>
                <c:pt idx="32">
                  <c:v>75.911824279082765</c:v>
                </c:pt>
                <c:pt idx="33">
                  <c:v>77.038834279082735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EE-4FB9-85EA-1003FCA35B65}"/>
            </c:ext>
          </c:extLst>
        </c:ser>
        <c:ser>
          <c:idx val="2"/>
          <c:order val="3"/>
          <c:tx>
            <c:strRef>
              <c:f>'O11. EV deployment'!$C$114</c:f>
              <c:strCache>
                <c:ptCount val="1"/>
                <c:pt idx="0">
                  <c:v>Renewable Revolution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deployment'!$D$114:$AK$114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15.476175297065542</c:v>
                </c:pt>
                <c:pt idx="5">
                  <c:v>15.476175297065534</c:v>
                </c:pt>
                <c:pt idx="6">
                  <c:v>15.476175297065549</c:v>
                </c:pt>
                <c:pt idx="7">
                  <c:v>15.476175297065527</c:v>
                </c:pt>
                <c:pt idx="8">
                  <c:v>15.476175297065542</c:v>
                </c:pt>
                <c:pt idx="9">
                  <c:v>15.476175297065542</c:v>
                </c:pt>
                <c:pt idx="10">
                  <c:v>15.476175297065527</c:v>
                </c:pt>
                <c:pt idx="11">
                  <c:v>16.422999842520102</c:v>
                </c:pt>
                <c:pt idx="12">
                  <c:v>20.871690376176666</c:v>
                </c:pt>
                <c:pt idx="13">
                  <c:v>20.871690376176609</c:v>
                </c:pt>
                <c:pt idx="14">
                  <c:v>25.747991240833947</c:v>
                </c:pt>
                <c:pt idx="15">
                  <c:v>35.46828054969744</c:v>
                </c:pt>
                <c:pt idx="16">
                  <c:v>35.468280549697461</c:v>
                </c:pt>
                <c:pt idx="17">
                  <c:v>35.468280549697447</c:v>
                </c:pt>
                <c:pt idx="18">
                  <c:v>35.468280549697482</c:v>
                </c:pt>
                <c:pt idx="19">
                  <c:v>35.46828054969744</c:v>
                </c:pt>
                <c:pt idx="20">
                  <c:v>35.46828054969744</c:v>
                </c:pt>
                <c:pt idx="21">
                  <c:v>35.468280549697425</c:v>
                </c:pt>
                <c:pt idx="22">
                  <c:v>36.595290549697509</c:v>
                </c:pt>
                <c:pt idx="23">
                  <c:v>41.043981083354019</c:v>
                </c:pt>
                <c:pt idx="24">
                  <c:v>57.408612944352221</c:v>
                </c:pt>
                <c:pt idx="25">
                  <c:v>62.284913809009559</c:v>
                </c:pt>
                <c:pt idx="26">
                  <c:v>72.005203117873052</c:v>
                </c:pt>
                <c:pt idx="27">
                  <c:v>72.005203117873123</c:v>
                </c:pt>
                <c:pt idx="28">
                  <c:v>72.005203117873009</c:v>
                </c:pt>
                <c:pt idx="29">
                  <c:v>72.005203117873151</c:v>
                </c:pt>
                <c:pt idx="30">
                  <c:v>72.005203117872995</c:v>
                </c:pt>
                <c:pt idx="31">
                  <c:v>72.005203117873108</c:v>
                </c:pt>
                <c:pt idx="32">
                  <c:v>72.005203117872981</c:v>
                </c:pt>
                <c:pt idx="33">
                  <c:v>73.132213117873178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EE-4FB9-85EA-1003FCA35B65}"/>
            </c:ext>
          </c:extLst>
        </c:ser>
        <c:ser>
          <c:idx val="3"/>
          <c:order val="4"/>
          <c:tx>
            <c:strRef>
              <c:f>'O11. EV deployment'!$C$115</c:f>
              <c:strCache>
                <c:ptCount val="1"/>
                <c:pt idx="0">
                  <c:v>CCS Storm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deployment'!$D$115:$AK$115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15.987034559379705</c:v>
                </c:pt>
                <c:pt idx="5">
                  <c:v>15.987034559379705</c:v>
                </c:pt>
                <c:pt idx="6">
                  <c:v>15.987034559379698</c:v>
                </c:pt>
                <c:pt idx="7">
                  <c:v>15.987034559379698</c:v>
                </c:pt>
                <c:pt idx="8">
                  <c:v>15.987034559379712</c:v>
                </c:pt>
                <c:pt idx="9">
                  <c:v>15.987034559379698</c:v>
                </c:pt>
                <c:pt idx="10">
                  <c:v>15.98703455937974</c:v>
                </c:pt>
                <c:pt idx="11">
                  <c:v>16.933859104834216</c:v>
                </c:pt>
                <c:pt idx="12">
                  <c:v>21.382549638490779</c:v>
                </c:pt>
                <c:pt idx="13">
                  <c:v>21.382549638490865</c:v>
                </c:pt>
                <c:pt idx="14">
                  <c:v>25.431131431907026</c:v>
                </c:pt>
                <c:pt idx="15">
                  <c:v>35.662280003084739</c:v>
                </c:pt>
                <c:pt idx="16">
                  <c:v>35.66228000308471</c:v>
                </c:pt>
                <c:pt idx="17">
                  <c:v>35.662280003084703</c:v>
                </c:pt>
                <c:pt idx="18">
                  <c:v>35.662280003084703</c:v>
                </c:pt>
                <c:pt idx="19">
                  <c:v>35.662280003084717</c:v>
                </c:pt>
                <c:pt idx="20">
                  <c:v>35.662280003084703</c:v>
                </c:pt>
                <c:pt idx="21">
                  <c:v>35.662280003084746</c:v>
                </c:pt>
                <c:pt idx="22">
                  <c:v>36.789290003084673</c:v>
                </c:pt>
                <c:pt idx="23">
                  <c:v>41.237980536741297</c:v>
                </c:pt>
                <c:pt idx="24">
                  <c:v>57.752887692419812</c:v>
                </c:pt>
                <c:pt idx="25">
                  <c:v>61.801469485835973</c:v>
                </c:pt>
                <c:pt idx="26">
                  <c:v>72.032618057013678</c:v>
                </c:pt>
                <c:pt idx="27">
                  <c:v>72.032618057013593</c:v>
                </c:pt>
                <c:pt idx="28">
                  <c:v>72.032618057013707</c:v>
                </c:pt>
                <c:pt idx="29">
                  <c:v>72.032618057013593</c:v>
                </c:pt>
                <c:pt idx="30">
                  <c:v>72.032618057013721</c:v>
                </c:pt>
                <c:pt idx="31">
                  <c:v>72.032618057013593</c:v>
                </c:pt>
                <c:pt idx="32">
                  <c:v>72.03261805701375</c:v>
                </c:pt>
                <c:pt idx="33">
                  <c:v>73.159628057013563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EE-4FB9-85EA-1003FCA35B65}"/>
            </c:ext>
          </c:extLst>
        </c:ser>
        <c:ser>
          <c:idx val="4"/>
          <c:order val="5"/>
          <c:tx>
            <c:strRef>
              <c:f>'O11. EV deployment'!$C$116</c:f>
              <c:strCache>
                <c:ptCount val="1"/>
                <c:pt idx="0">
                  <c:v>EVs Unplugged</c:v>
                </c:pt>
              </c:strCache>
            </c:strRef>
          </c:tx>
          <c:marker>
            <c:symbol val="none"/>
          </c:marker>
          <c:trendline>
            <c:trendlineType val="movingAvg"/>
            <c:period val="6"/>
            <c:dispRSqr val="0"/>
            <c:dispEq val="0"/>
          </c:trendline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deployment'!$D$116:$AK$116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68.150541176174372</c:v>
                </c:pt>
                <c:pt idx="5">
                  <c:v>68.150541176174357</c:v>
                </c:pt>
                <c:pt idx="6">
                  <c:v>68.1505411761744</c:v>
                </c:pt>
                <c:pt idx="7">
                  <c:v>68.150541176174343</c:v>
                </c:pt>
                <c:pt idx="8">
                  <c:v>68.1505411761744</c:v>
                </c:pt>
                <c:pt idx="9">
                  <c:v>68.1505411761744</c:v>
                </c:pt>
                <c:pt idx="10">
                  <c:v>68.150541176174343</c:v>
                </c:pt>
                <c:pt idx="11">
                  <c:v>69.097365721628947</c:v>
                </c:pt>
                <c:pt idx="12">
                  <c:v>73.546056255285521</c:v>
                </c:pt>
                <c:pt idx="13">
                  <c:v>73.546056255285521</c:v>
                </c:pt>
                <c:pt idx="14">
                  <c:v>30.043121464035373</c:v>
                </c:pt>
                <c:pt idx="15">
                  <c:v>92.437776652007727</c:v>
                </c:pt>
                <c:pt idx="16">
                  <c:v>92.437776652007713</c:v>
                </c:pt>
                <c:pt idx="17">
                  <c:v>92.437776652007756</c:v>
                </c:pt>
                <c:pt idx="18">
                  <c:v>92.437776652007585</c:v>
                </c:pt>
                <c:pt idx="19">
                  <c:v>92.437776652007869</c:v>
                </c:pt>
                <c:pt idx="20">
                  <c:v>92.437776652007642</c:v>
                </c:pt>
                <c:pt idx="21">
                  <c:v>92.437776652007699</c:v>
                </c:pt>
                <c:pt idx="22">
                  <c:v>93.564786652007754</c:v>
                </c:pt>
                <c:pt idx="23">
                  <c:v>98.013477185664328</c:v>
                </c:pt>
                <c:pt idx="24">
                  <c:v>108.86617683761438</c:v>
                </c:pt>
                <c:pt idx="25">
                  <c:v>65.363242046364121</c:v>
                </c:pt>
                <c:pt idx="26">
                  <c:v>127.75789723433658</c:v>
                </c:pt>
                <c:pt idx="27">
                  <c:v>127.75789723433657</c:v>
                </c:pt>
                <c:pt idx="28">
                  <c:v>127.75789723433661</c:v>
                </c:pt>
                <c:pt idx="29">
                  <c:v>127.75789723433644</c:v>
                </c:pt>
                <c:pt idx="30">
                  <c:v>127.75789723433672</c:v>
                </c:pt>
                <c:pt idx="31">
                  <c:v>127.75789723433627</c:v>
                </c:pt>
                <c:pt idx="32">
                  <c:v>127.75789723433655</c:v>
                </c:pt>
                <c:pt idx="33">
                  <c:v>128.88490723433659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0EE-4FB9-85EA-1003FCA35B65}"/>
            </c:ext>
          </c:extLst>
        </c:ser>
        <c:ser>
          <c:idx val="5"/>
          <c:order val="6"/>
          <c:tx>
            <c:strRef>
              <c:f>'O11. EV deployment'!$C$117</c:f>
              <c:strCache>
                <c:ptCount val="1"/>
                <c:pt idx="0">
                  <c:v>Efficiency Boost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deployment'!$D$117:$AK$117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10.514091248871654</c:v>
                </c:pt>
                <c:pt idx="5">
                  <c:v>10.514091248871654</c:v>
                </c:pt>
                <c:pt idx="6">
                  <c:v>10.514091248871647</c:v>
                </c:pt>
                <c:pt idx="7">
                  <c:v>10.514091248871654</c:v>
                </c:pt>
                <c:pt idx="8">
                  <c:v>10.514091248871647</c:v>
                </c:pt>
                <c:pt idx="9">
                  <c:v>10.514091248871654</c:v>
                </c:pt>
                <c:pt idx="10">
                  <c:v>10.514091248871654</c:v>
                </c:pt>
                <c:pt idx="11">
                  <c:v>11.460915794326199</c:v>
                </c:pt>
                <c:pt idx="12">
                  <c:v>15.909606327982765</c:v>
                </c:pt>
                <c:pt idx="13">
                  <c:v>15.909606327982766</c:v>
                </c:pt>
                <c:pt idx="14">
                  <c:v>23.7028814651216</c:v>
                </c:pt>
                <c:pt idx="15">
                  <c:v>28.461086725791205</c:v>
                </c:pt>
                <c:pt idx="16">
                  <c:v>28.461086725791233</c:v>
                </c:pt>
                <c:pt idx="17">
                  <c:v>28.461086725791198</c:v>
                </c:pt>
                <c:pt idx="18">
                  <c:v>28.461086725791233</c:v>
                </c:pt>
                <c:pt idx="19">
                  <c:v>28.461086725791226</c:v>
                </c:pt>
                <c:pt idx="20">
                  <c:v>28.461086725791205</c:v>
                </c:pt>
                <c:pt idx="21">
                  <c:v>28.461086725791262</c:v>
                </c:pt>
                <c:pt idx="22">
                  <c:v>29.588096725791175</c:v>
                </c:pt>
                <c:pt idx="23">
                  <c:v>34.036787259447799</c:v>
                </c:pt>
                <c:pt idx="24">
                  <c:v>45.627456146344734</c:v>
                </c:pt>
                <c:pt idx="25">
                  <c:v>53.420731283483626</c:v>
                </c:pt>
                <c:pt idx="26">
                  <c:v>58.178936544153174</c:v>
                </c:pt>
                <c:pt idx="27">
                  <c:v>58.178936544153203</c:v>
                </c:pt>
                <c:pt idx="28">
                  <c:v>58.178936544153167</c:v>
                </c:pt>
                <c:pt idx="29">
                  <c:v>58.178936544153203</c:v>
                </c:pt>
                <c:pt idx="30">
                  <c:v>58.178936544153196</c:v>
                </c:pt>
                <c:pt idx="31">
                  <c:v>58.178936544153288</c:v>
                </c:pt>
                <c:pt idx="32">
                  <c:v>58.178936544153231</c:v>
                </c:pt>
                <c:pt idx="33">
                  <c:v>59.305946544153144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EE-4FB9-85EA-1003FCA35B65}"/>
            </c:ext>
          </c:extLst>
        </c:ser>
        <c:ser>
          <c:idx val="6"/>
          <c:order val="7"/>
          <c:tx>
            <c:strRef>
              <c:f>'O11. EV deployment'!$C$118</c:f>
              <c:strCache>
                <c:ptCount val="1"/>
                <c:pt idx="0">
                  <c:v>EVO RTS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deployment'!$D$118:$AK$118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2.1493129698438942</c:v>
                </c:pt>
                <c:pt idx="2">
                  <c:v>2.1493129698438942</c:v>
                </c:pt>
                <c:pt idx="3">
                  <c:v>2.1493129698438942</c:v>
                </c:pt>
                <c:pt idx="4">
                  <c:v>4.8325692362428319</c:v>
                </c:pt>
                <c:pt idx="5">
                  <c:v>4.8325692362428319</c:v>
                </c:pt>
                <c:pt idx="6">
                  <c:v>4.8325692362428354</c:v>
                </c:pt>
                <c:pt idx="7">
                  <c:v>4.8325692362428319</c:v>
                </c:pt>
                <c:pt idx="8">
                  <c:v>4.8325692362428319</c:v>
                </c:pt>
                <c:pt idx="9">
                  <c:v>4.8325692362428283</c:v>
                </c:pt>
                <c:pt idx="10">
                  <c:v>4.8325692362428354</c:v>
                </c:pt>
                <c:pt idx="11">
                  <c:v>5.7793937816973813</c:v>
                </c:pt>
                <c:pt idx="12">
                  <c:v>6.6215112969958208</c:v>
                </c:pt>
                <c:pt idx="13">
                  <c:v>6.6215112969958136</c:v>
                </c:pt>
                <c:pt idx="14">
                  <c:v>6.6215112969959273</c:v>
                </c:pt>
                <c:pt idx="15">
                  <c:v>9.3047675633948579</c:v>
                </c:pt>
                <c:pt idx="16">
                  <c:v>9.3047675633948721</c:v>
                </c:pt>
                <c:pt idx="17">
                  <c:v>9.3047675633948614</c:v>
                </c:pt>
                <c:pt idx="18">
                  <c:v>9.3047675633948721</c:v>
                </c:pt>
                <c:pt idx="19">
                  <c:v>9.3047675633948579</c:v>
                </c:pt>
                <c:pt idx="20">
                  <c:v>9.3047675633948685</c:v>
                </c:pt>
                <c:pt idx="21">
                  <c:v>9.3047675633948614</c:v>
                </c:pt>
                <c:pt idx="22">
                  <c:v>10.431777563394862</c:v>
                </c:pt>
                <c:pt idx="23">
                  <c:v>11.273895078693315</c:v>
                </c:pt>
                <c:pt idx="24">
                  <c:v>11.273895078693236</c:v>
                </c:pt>
                <c:pt idx="25">
                  <c:v>11.27389507869335</c:v>
                </c:pt>
                <c:pt idx="26">
                  <c:v>13.957151345092296</c:v>
                </c:pt>
                <c:pt idx="27">
                  <c:v>13.957151345092296</c:v>
                </c:pt>
                <c:pt idx="28">
                  <c:v>13.957151345092285</c:v>
                </c:pt>
                <c:pt idx="29">
                  <c:v>13.95715134509231</c:v>
                </c:pt>
                <c:pt idx="30">
                  <c:v>13.957151345092267</c:v>
                </c:pt>
                <c:pt idx="31">
                  <c:v>13.957151345092306</c:v>
                </c:pt>
                <c:pt idx="32">
                  <c:v>13.957151345092271</c:v>
                </c:pt>
                <c:pt idx="33">
                  <c:v>15.0841613450923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E-4FB9-85EA-1003FCA35B65}"/>
            </c:ext>
          </c:extLst>
        </c:ser>
        <c:ser>
          <c:idx val="7"/>
          <c:order val="8"/>
          <c:tx>
            <c:strRef>
              <c:f>'O11. EV deployment'!$C$119</c:f>
              <c:strCache>
                <c:ptCount val="1"/>
                <c:pt idx="0">
                  <c:v>EVO NPS</c:v>
                </c:pt>
              </c:strCache>
            </c:strRef>
          </c:tx>
          <c:marker>
            <c:symbol val="none"/>
          </c:marker>
          <c:xVal>
            <c:numRef>
              <c:f>'O11. EV deployment'!$D$72:$AK$72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xVal>
          <c:yVal>
            <c:numRef>
              <c:f>'O11. EV deployment'!$D$119:$AK$119</c:f>
              <c:numCache>
                <c:formatCode>#,##0</c:formatCode>
                <c:ptCount val="34"/>
                <c:pt idx="0">
                  <c:v>1.3071954545454552</c:v>
                </c:pt>
                <c:pt idx="1">
                  <c:v>5.7558859882020208</c:v>
                </c:pt>
                <c:pt idx="2">
                  <c:v>5.7558859882020217</c:v>
                </c:pt>
                <c:pt idx="3">
                  <c:v>5.7558859882020199</c:v>
                </c:pt>
                <c:pt idx="4">
                  <c:v>9.521114160108386</c:v>
                </c:pt>
                <c:pt idx="5">
                  <c:v>9.521114160108386</c:v>
                </c:pt>
                <c:pt idx="6">
                  <c:v>9.521114160108386</c:v>
                </c:pt>
                <c:pt idx="7">
                  <c:v>9.521114160108386</c:v>
                </c:pt>
                <c:pt idx="8">
                  <c:v>9.521114160108386</c:v>
                </c:pt>
                <c:pt idx="9">
                  <c:v>9.521114160108386</c:v>
                </c:pt>
                <c:pt idx="10">
                  <c:v>9.521114160108386</c:v>
                </c:pt>
                <c:pt idx="11">
                  <c:v>10.467938705562931</c:v>
                </c:pt>
                <c:pt idx="12">
                  <c:v>14.916629239219496</c:v>
                </c:pt>
                <c:pt idx="13">
                  <c:v>14.916629239219498</c:v>
                </c:pt>
                <c:pt idx="14">
                  <c:v>14.916629239219596</c:v>
                </c:pt>
                <c:pt idx="15">
                  <c:v>18.681857411125947</c:v>
                </c:pt>
                <c:pt idx="16">
                  <c:v>18.681857411125947</c:v>
                </c:pt>
                <c:pt idx="17">
                  <c:v>18.681857411125975</c:v>
                </c:pt>
                <c:pt idx="18">
                  <c:v>18.681857411125947</c:v>
                </c:pt>
                <c:pt idx="19">
                  <c:v>18.681857411125947</c:v>
                </c:pt>
                <c:pt idx="20">
                  <c:v>18.681857411125975</c:v>
                </c:pt>
                <c:pt idx="21">
                  <c:v>18.681857411125975</c:v>
                </c:pt>
                <c:pt idx="22">
                  <c:v>19.808867411125917</c:v>
                </c:pt>
                <c:pt idx="23">
                  <c:v>24.25755794478254</c:v>
                </c:pt>
                <c:pt idx="24">
                  <c:v>24.25755794478254</c:v>
                </c:pt>
                <c:pt idx="25">
                  <c:v>24.257557944782668</c:v>
                </c:pt>
                <c:pt idx="26">
                  <c:v>28.022786116688991</c:v>
                </c:pt>
                <c:pt idx="27">
                  <c:v>28.022786116689019</c:v>
                </c:pt>
                <c:pt idx="28">
                  <c:v>28.022786116689019</c:v>
                </c:pt>
                <c:pt idx="29">
                  <c:v>28.022786116688991</c:v>
                </c:pt>
                <c:pt idx="30">
                  <c:v>28.022786116688991</c:v>
                </c:pt>
                <c:pt idx="31">
                  <c:v>28.022786116689076</c:v>
                </c:pt>
                <c:pt idx="32">
                  <c:v>28.022786116689019</c:v>
                </c:pt>
                <c:pt idx="33">
                  <c:v>29.149796116688965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EE-4FB9-85EA-1003FCA35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526648"/>
        <c:axId val="978520088"/>
      </c:scatterChart>
      <c:valAx>
        <c:axId val="978526648"/>
        <c:scaling>
          <c:orientation val="minMax"/>
          <c:max val="20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0088"/>
        <c:crosses val="autoZero"/>
        <c:crossBetween val="midCat"/>
      </c:valAx>
      <c:valAx>
        <c:axId val="97852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Nordique Pro Semibold" panose="00000700000000000000" pitchFamily="50" charset="0"/>
                    <a:ea typeface="+mn-ea"/>
                    <a:cs typeface="+mn-cs"/>
                  </a:defRPr>
                </a:pPr>
                <a:r>
                  <a:rPr lang="en-GB" sz="1800" b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Electric</a:t>
                </a:r>
                <a:r>
                  <a:rPr lang="en-GB" sz="1800" b="0" baseline="0">
                    <a:solidFill>
                      <a:sysClr val="windowText" lastClr="000000"/>
                    </a:solidFill>
                    <a:latin typeface="Nordique Pro Semibold" panose="00000700000000000000" pitchFamily="50" charset="0"/>
                  </a:rPr>
                  <a:t> vehicle fleet (Mn vehicles)</a:t>
                </a:r>
                <a:endParaRPr lang="en-GB" sz="1800" b="0">
                  <a:solidFill>
                    <a:sysClr val="windowText" lastClr="000000"/>
                  </a:solidFill>
                  <a:latin typeface="Nordique Pro Semibold" panose="00000700000000000000" pitchFamily="50" charset="0"/>
                </a:endParaRPr>
              </a:p>
            </c:rich>
          </c:tx>
          <c:layout>
            <c:manualLayout>
              <c:xMode val="edge"/>
              <c:yMode val="edge"/>
              <c:x val="2.9395346454717493E-5"/>
              <c:y val="0.15958731818971961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ysClr val="windowText" lastClr="000000"/>
                </a:solidFill>
                <a:latin typeface="Nordique Pro Semibold" panose="00000700000000000000" pitchFamily="50" charset="0"/>
                <a:ea typeface="+mn-ea"/>
                <a:cs typeface="+mn-cs"/>
              </a:defRPr>
            </a:pPr>
            <a:endParaRPr lang="en-US"/>
          </a:p>
        </c:txPr>
        <c:crossAx val="9785266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391920916104015"/>
          <c:y val="5.2598166570892002E-2"/>
          <c:w val="0.22080584960145896"/>
          <c:h val="0.3455831304015044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ysClr val="windowText" lastClr="000000"/>
              </a:solidFill>
              <a:latin typeface="Nordique Pro Semibold" panose="00000700000000000000" pitchFamily="50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'W1. Vehicle oil new cap'!$B$13</c:f>
          <c:strCache>
            <c:ptCount val="1"/>
            <c:pt idx="0">
              <c:v>Billion passenger km from new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'W1. Vehicle oil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cap'!$B$25:$B$34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16618.833122363991</c:v>
                </c:pt>
                <c:pt idx="2">
                  <c:v>19636.194093658214</c:v>
                </c:pt>
                <c:pt idx="3">
                  <c:v>16776.993594856656</c:v>
                </c:pt>
                <c:pt idx="4">
                  <c:v>12018.325978796083</c:v>
                </c:pt>
                <c:pt idx="5">
                  <c:v>7824.8122377775708</c:v>
                </c:pt>
                <c:pt idx="6">
                  <c:v>7843.4001362054478</c:v>
                </c:pt>
                <c:pt idx="7">
                  <c:v>7785.6318692320428</c:v>
                </c:pt>
                <c:pt idx="8">
                  <c:v>8110.8534596198169</c:v>
                </c:pt>
                <c:pt idx="9">
                  <c:v>6663.6420528202289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D2-47F3-92A0-D8D8239998C1}"/>
            </c:ext>
          </c:extLst>
        </c:ser>
        <c:ser>
          <c:idx val="1"/>
          <c:order val="1"/>
          <c:tx>
            <c:strRef>
              <c:f>'W1. Vehicle oil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cap'!$C$25:$C$34</c:f>
              <c:numCache>
                <c:formatCode>#,##0.00</c:formatCode>
                <c:ptCount val="10"/>
                <c:pt idx="0">
                  <c:v>9330.1855749493734</c:v>
                </c:pt>
                <c:pt idx="1">
                  <c:v>16336.166935038456</c:v>
                </c:pt>
                <c:pt idx="2">
                  <c:v>19842.678610732997</c:v>
                </c:pt>
                <c:pt idx="3">
                  <c:v>16706.091942393632</c:v>
                </c:pt>
                <c:pt idx="4">
                  <c:v>12132.906800318578</c:v>
                </c:pt>
                <c:pt idx="5">
                  <c:v>7712.1815078977716</c:v>
                </c:pt>
                <c:pt idx="6">
                  <c:v>7871.3298730291572</c:v>
                </c:pt>
                <c:pt idx="7">
                  <c:v>7785.5859221277797</c:v>
                </c:pt>
                <c:pt idx="8">
                  <c:v>8132.1630511006551</c:v>
                </c:pt>
                <c:pt idx="9">
                  <c:v>6696.0875897402093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4D2-47F3-92A0-D8D8239998C1}"/>
            </c:ext>
          </c:extLst>
        </c:ser>
        <c:ser>
          <c:idx val="2"/>
          <c:order val="2"/>
          <c:tx>
            <c:strRef>
              <c:f>'W1. Vehicle oil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cap'!$D$25:$D$34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20225.86915635239</c:v>
                </c:pt>
                <c:pt idx="3">
                  <c:v>14197.440737814602</c:v>
                </c:pt>
                <c:pt idx="4">
                  <c:v>10956.103861789159</c:v>
                </c:pt>
                <c:pt idx="5">
                  <c:v>7736.3581356980012</c:v>
                </c:pt>
                <c:pt idx="6">
                  <c:v>7770.6699905337182</c:v>
                </c:pt>
                <c:pt idx="7">
                  <c:v>7933.1584524306381</c:v>
                </c:pt>
                <c:pt idx="8">
                  <c:v>8130.0988265003252</c:v>
                </c:pt>
                <c:pt idx="9">
                  <c:v>6697.9467794543089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4D2-47F3-92A0-D8D8239998C1}"/>
            </c:ext>
          </c:extLst>
        </c:ser>
        <c:ser>
          <c:idx val="3"/>
          <c:order val="3"/>
          <c:tx>
            <c:strRef>
              <c:f>'W1. Vehicle oil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cap'!$E$25:$E$34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20400.403718968148</c:v>
                </c:pt>
                <c:pt idx="3">
                  <c:v>14024.645413766413</c:v>
                </c:pt>
                <c:pt idx="4">
                  <c:v>10893.878704765588</c:v>
                </c:pt>
                <c:pt idx="5">
                  <c:v>8169.2750537459551</c:v>
                </c:pt>
                <c:pt idx="6">
                  <c:v>9047.6435084117493</c:v>
                </c:pt>
                <c:pt idx="7">
                  <c:v>7314.661470208719</c:v>
                </c:pt>
                <c:pt idx="8">
                  <c:v>5645.2177791966333</c:v>
                </c:pt>
                <c:pt idx="9">
                  <c:v>4568.9504529775704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4D2-47F3-92A0-D8D8239998C1}"/>
            </c:ext>
          </c:extLst>
        </c:ser>
        <c:ser>
          <c:idx val="4"/>
          <c:order val="4"/>
          <c:tx>
            <c:strRef>
              <c:f>'W1. Vehicle oil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cap'!$F$25:$F$34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20225.86915635239</c:v>
                </c:pt>
                <c:pt idx="3">
                  <c:v>14378.808592092724</c:v>
                </c:pt>
                <c:pt idx="4">
                  <c:v>11475.898696623379</c:v>
                </c:pt>
                <c:pt idx="5">
                  <c:v>8313.4793878522123</c:v>
                </c:pt>
                <c:pt idx="6">
                  <c:v>8672.2435471836579</c:v>
                </c:pt>
                <c:pt idx="7">
                  <c:v>6383.1879090308039</c:v>
                </c:pt>
                <c:pt idx="8">
                  <c:v>5538.0105782579903</c:v>
                </c:pt>
                <c:pt idx="9">
                  <c:v>4349.9203552229837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4D2-47F3-92A0-D8D8239998C1}"/>
            </c:ext>
          </c:extLst>
        </c:ser>
        <c:ser>
          <c:idx val="5"/>
          <c:order val="5"/>
          <c:tx>
            <c:strRef>
              <c:f>'W1. Vehicle oil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cap'!$G$25:$G$34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19339.942180576189</c:v>
                </c:pt>
                <c:pt idx="3">
                  <c:v>13333.087408053952</c:v>
                </c:pt>
                <c:pt idx="4">
                  <c:v>7777.6571356451313</c:v>
                </c:pt>
                <c:pt idx="5">
                  <c:v>5281.1328435769965</c:v>
                </c:pt>
                <c:pt idx="6">
                  <c:v>7944.466158045615</c:v>
                </c:pt>
                <c:pt idx="7">
                  <c:v>6021.2491967015776</c:v>
                </c:pt>
                <c:pt idx="8">
                  <c:v>5164.1696370958562</c:v>
                </c:pt>
                <c:pt idx="9">
                  <c:v>4148.7020826688013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4D2-47F3-92A0-D8D8239998C1}"/>
            </c:ext>
          </c:extLst>
        </c:ser>
        <c:ser>
          <c:idx val="6"/>
          <c:order val="6"/>
          <c:tx>
            <c:strRef>
              <c:f>'W1. Vehicle oil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cap'!$H$25:$H$34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20225.86915635239</c:v>
                </c:pt>
                <c:pt idx="3">
                  <c:v>14221.551905487046</c:v>
                </c:pt>
                <c:pt idx="4">
                  <c:v>13629.535473681035</c:v>
                </c:pt>
                <c:pt idx="5">
                  <c:v>6229.5636917921356</c:v>
                </c:pt>
                <c:pt idx="6">
                  <c:v>9258.165214162269</c:v>
                </c:pt>
                <c:pt idx="7">
                  <c:v>8080.1618976774835</c:v>
                </c:pt>
                <c:pt idx="8">
                  <c:v>9369.6293047283252</c:v>
                </c:pt>
                <c:pt idx="9">
                  <c:v>9672.4924397201485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4D2-47F3-92A0-D8D8239998C1}"/>
            </c:ext>
          </c:extLst>
        </c:ser>
        <c:ser>
          <c:idx val="7"/>
          <c:order val="7"/>
          <c:tx>
            <c:strRef>
              <c:f>'W1. Vehicle oil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cap'!$I$25:$I$34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20138.71081275303</c:v>
                </c:pt>
                <c:pt idx="3">
                  <c:v>14157.527638803433</c:v>
                </c:pt>
                <c:pt idx="4">
                  <c:v>10742.911837242284</c:v>
                </c:pt>
                <c:pt idx="5">
                  <c:v>8144.0138232048603</c:v>
                </c:pt>
                <c:pt idx="6">
                  <c:v>5841.5589683353264</c:v>
                </c:pt>
                <c:pt idx="7">
                  <c:v>4890.0229577575838</c:v>
                </c:pt>
                <c:pt idx="8">
                  <c:v>4328.7524387057892</c:v>
                </c:pt>
                <c:pt idx="9">
                  <c:v>3485.1651417561184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4D2-47F3-92A0-D8D8239998C1}"/>
            </c:ext>
          </c:extLst>
        </c:ser>
        <c:ser>
          <c:idx val="8"/>
          <c:order val="8"/>
          <c:tx>
            <c:strRef>
              <c:f>'W1. Vehicle oil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'W1. Vehicle oil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'W1. Vehicle oil new cap'!$J$25:$J$34</c:f>
              <c:numCache>
                <c:formatCode>#,##0.00</c:formatCode>
                <c:ptCount val="10"/>
                <c:pt idx="0">
                  <c:v>9326.5813623263857</c:v>
                </c:pt>
                <c:pt idx="1">
                  <c:v>16468.105087610649</c:v>
                </c:pt>
                <c:pt idx="2">
                  <c:v>20225.86915635239</c:v>
                </c:pt>
                <c:pt idx="3">
                  <c:v>14776.346650436313</c:v>
                </c:pt>
                <c:pt idx="4">
                  <c:v>11624.399868893737</c:v>
                </c:pt>
                <c:pt idx="5">
                  <c:v>7906.0847153413233</c:v>
                </c:pt>
                <c:pt idx="6">
                  <c:v>8160.7199758854249</c:v>
                </c:pt>
                <c:pt idx="7">
                  <c:v>4945.974546383909</c:v>
                </c:pt>
                <c:pt idx="8">
                  <c:v>4590.252420449172</c:v>
                </c:pt>
                <c:pt idx="9">
                  <c:v>3777.8344546131161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4D2-47F3-92A0-D8D823999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'W2. Total CO2 Net'!$B$13</c:f>
          <c:strCache>
            <c:ptCount val="1"/>
            <c:pt idx="0">
              <c:v>CO2 emissions (2012 - 50) GtCO2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'W2. Total CO2 Net'!$B$24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Net'!$B$25:$B$34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39.196345708952393</c:v>
                </c:pt>
                <c:pt idx="2">
                  <c:v>41.136825518245971</c:v>
                </c:pt>
                <c:pt idx="3">
                  <c:v>40.096217884871649</c:v>
                </c:pt>
                <c:pt idx="4">
                  <c:v>42.275493532359988</c:v>
                </c:pt>
                <c:pt idx="5">
                  <c:v>45.875339188577662</c:v>
                </c:pt>
                <c:pt idx="6">
                  <c:v>48.62368469765714</c:v>
                </c:pt>
                <c:pt idx="7">
                  <c:v>52.292560017447521</c:v>
                </c:pt>
                <c:pt idx="8">
                  <c:v>54.741873751745629</c:v>
                </c:pt>
                <c:pt idx="9">
                  <c:v>56.835507145814184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6F-4233-90AE-EE620B313495}"/>
            </c:ext>
          </c:extLst>
        </c:ser>
        <c:ser>
          <c:idx val="1"/>
          <c:order val="1"/>
          <c:tx>
            <c:strRef>
              <c:f>'W2. Total CO2 Net'!$C$24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Net'!$C$25:$C$34</c:f>
              <c:numCache>
                <c:formatCode>#,##0.00</c:formatCode>
                <c:ptCount val="10"/>
                <c:pt idx="0">
                  <c:v>32.989144179970019</c:v>
                </c:pt>
                <c:pt idx="1">
                  <c:v>33.657750000000028</c:v>
                </c:pt>
                <c:pt idx="2">
                  <c:v>37.747999999999969</c:v>
                </c:pt>
                <c:pt idx="3">
                  <c:v>38.300761627550749</c:v>
                </c:pt>
                <c:pt idx="4">
                  <c:v>40.979487084494274</c:v>
                </c:pt>
                <c:pt idx="5">
                  <c:v>44.302193051611518</c:v>
                </c:pt>
                <c:pt idx="6">
                  <c:v>46.818778602746612</c:v>
                </c:pt>
                <c:pt idx="7">
                  <c:v>50.25706604280257</c:v>
                </c:pt>
                <c:pt idx="8">
                  <c:v>52.761205126347207</c:v>
                </c:pt>
                <c:pt idx="9">
                  <c:v>54.905482760375612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6F-4233-90AE-EE620B313495}"/>
            </c:ext>
          </c:extLst>
        </c:ser>
        <c:ser>
          <c:idx val="2"/>
          <c:order val="2"/>
          <c:tx>
            <c:strRef>
              <c:f>'W2. Total CO2 Net'!$D$24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Net'!$D$25:$D$34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34.580000000000048</c:v>
                </c:pt>
                <c:pt idx="3">
                  <c:v>35.879999999999974</c:v>
                </c:pt>
                <c:pt idx="4">
                  <c:v>37.330000000000055</c:v>
                </c:pt>
                <c:pt idx="5">
                  <c:v>38.780000000000037</c:v>
                </c:pt>
                <c:pt idx="6">
                  <c:v>45.678586288721142</c:v>
                </c:pt>
                <c:pt idx="7">
                  <c:v>50.169927587723315</c:v>
                </c:pt>
                <c:pt idx="8">
                  <c:v>53.060185181321103</c:v>
                </c:pt>
                <c:pt idx="9">
                  <c:v>55.157453912890645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6F-4233-90AE-EE620B313495}"/>
            </c:ext>
          </c:extLst>
        </c:ser>
        <c:ser>
          <c:idx val="3"/>
          <c:order val="3"/>
          <c:tx>
            <c:strRef>
              <c:f>'W2. Total CO2 Net'!$E$24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Net'!$E$25:$E$34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30.61182926829283</c:v>
                </c:pt>
                <c:pt idx="3">
                  <c:v>28.147908536585398</c:v>
                </c:pt>
                <c:pt idx="4">
                  <c:v>24.680188246818059</c:v>
                </c:pt>
                <c:pt idx="5">
                  <c:v>19.83893340280482</c:v>
                </c:pt>
                <c:pt idx="6">
                  <c:v>11.643648601441649</c:v>
                </c:pt>
                <c:pt idx="7">
                  <c:v>4.9808164848910899</c:v>
                </c:pt>
                <c:pt idx="8">
                  <c:v>-2.1021393964163901</c:v>
                </c:pt>
                <c:pt idx="9">
                  <c:v>-6.0902745824729152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6F-4233-90AE-EE620B313495}"/>
            </c:ext>
          </c:extLst>
        </c:ser>
        <c:ser>
          <c:idx val="4"/>
          <c:order val="4"/>
          <c:tx>
            <c:strRef>
              <c:f>'W2. Total CO2 Net'!$F$24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Net'!$F$25:$F$34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34.580000000000048</c:v>
                </c:pt>
                <c:pt idx="3">
                  <c:v>29.077483870967889</c:v>
                </c:pt>
                <c:pt idx="4">
                  <c:v>23.578967741935212</c:v>
                </c:pt>
                <c:pt idx="5">
                  <c:v>18.080451612902618</c:v>
                </c:pt>
                <c:pt idx="6">
                  <c:v>11.563333768287912</c:v>
                </c:pt>
                <c:pt idx="7">
                  <c:v>4.0418930053039457</c:v>
                </c:pt>
                <c:pt idx="8">
                  <c:v>-2.7641763016812484</c:v>
                </c:pt>
                <c:pt idx="9">
                  <c:v>-6.4470431357718079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6F-4233-90AE-EE620B313495}"/>
            </c:ext>
          </c:extLst>
        </c:ser>
        <c:ser>
          <c:idx val="5"/>
          <c:order val="5"/>
          <c:tx>
            <c:strRef>
              <c:f>'W2. Total CO2 Net'!$G$24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Net'!$G$25:$G$34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20.631024083544993</c:v>
                </c:pt>
                <c:pt idx="3">
                  <c:v>8.4321871156761219</c:v>
                </c:pt>
                <c:pt idx="4">
                  <c:v>2.0036968501614729</c:v>
                </c:pt>
                <c:pt idx="5">
                  <c:v>-2.469355544331918</c:v>
                </c:pt>
                <c:pt idx="6">
                  <c:v>3.1391886678677197</c:v>
                </c:pt>
                <c:pt idx="7">
                  <c:v>-5.428163102934274E-2</c:v>
                </c:pt>
                <c:pt idx="8">
                  <c:v>-4.0253264889034259</c:v>
                </c:pt>
                <c:pt idx="9">
                  <c:v>-7.9464984910408623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6F-4233-90AE-EE620B313495}"/>
            </c:ext>
          </c:extLst>
        </c:ser>
        <c:ser>
          <c:idx val="6"/>
          <c:order val="6"/>
          <c:tx>
            <c:strRef>
              <c:f>'W2. Total CO2 Net'!$H$24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Net'!$H$25:$H$34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34.580000000000048</c:v>
                </c:pt>
                <c:pt idx="3">
                  <c:v>13.196779342034992</c:v>
                </c:pt>
                <c:pt idx="4">
                  <c:v>-7.7600202739192428</c:v>
                </c:pt>
                <c:pt idx="5">
                  <c:v>-18.80374376021145</c:v>
                </c:pt>
                <c:pt idx="6">
                  <c:v>3.5129631216457673</c:v>
                </c:pt>
                <c:pt idx="7">
                  <c:v>3.9456463961090669</c:v>
                </c:pt>
                <c:pt idx="8">
                  <c:v>-0.55072564402008739</c:v>
                </c:pt>
                <c:pt idx="9">
                  <c:v>-8.4102646196943862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6F-4233-90AE-EE620B313495}"/>
            </c:ext>
          </c:extLst>
        </c:ser>
        <c:ser>
          <c:idx val="7"/>
          <c:order val="7"/>
          <c:tx>
            <c:strRef>
              <c:f>'W2. Total CO2 Net'!$I$24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Net'!$I$25:$I$34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27.936951219512572</c:v>
                </c:pt>
                <c:pt idx="3">
                  <c:v>22.798152439024818</c:v>
                </c:pt>
                <c:pt idx="4">
                  <c:v>17.659353658536904</c:v>
                </c:pt>
                <c:pt idx="5">
                  <c:v>10.836435505229399</c:v>
                </c:pt>
                <c:pt idx="6">
                  <c:v>4.0452863672929906</c:v>
                </c:pt>
                <c:pt idx="7">
                  <c:v>-2.3143904054595055</c:v>
                </c:pt>
                <c:pt idx="8">
                  <c:v>-6.1132749546329865</c:v>
                </c:pt>
                <c:pt idx="9">
                  <c:v>-9.1377412675594201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6F-4233-90AE-EE620B313495}"/>
            </c:ext>
          </c:extLst>
        </c:ser>
        <c:ser>
          <c:idx val="8"/>
          <c:order val="8"/>
          <c:tx>
            <c:strRef>
              <c:f>'W2. Total CO2 Net'!$J$24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'W2. Total CO2 Net'!$A$25:$A$34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'W2. Total CO2 Net'!$J$25:$J$34</c:f>
              <c:numCache>
                <c:formatCode>#,##0.00</c:formatCode>
                <c:ptCount val="10"/>
                <c:pt idx="0">
                  <c:v>34.3182323176623</c:v>
                </c:pt>
                <c:pt idx="1">
                  <c:v>33.080000000000048</c:v>
                </c:pt>
                <c:pt idx="2">
                  <c:v>34.580000000000048</c:v>
                </c:pt>
                <c:pt idx="3">
                  <c:v>24.3604946236565</c:v>
                </c:pt>
                <c:pt idx="4">
                  <c:v>14.144989247311511</c:v>
                </c:pt>
                <c:pt idx="5">
                  <c:v>3.929483870967025</c:v>
                </c:pt>
                <c:pt idx="6">
                  <c:v>3.434538621864148</c:v>
                </c:pt>
                <c:pt idx="7">
                  <c:v>-1.0939087311181106</c:v>
                </c:pt>
                <c:pt idx="8">
                  <c:v>-5.0603006294409436</c:v>
                </c:pt>
                <c:pt idx="9">
                  <c:v>-8.5845244412953736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6F-4233-90AE-EE620B313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  <c:max val="5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'W3. Road Transport Fossil'!$B$13</c:f>
          <c:strCache>
            <c:ptCount val="1"/>
            <c:pt idx="0">
              <c:v>Road transport fossil energy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'W3. Road Transport Fossil'!$B$24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Fossil'!$B$25:$B$34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21039.05263430543</c:v>
                </c:pt>
                <c:pt idx="2">
                  <c:v>26111.353059062836</c:v>
                </c:pt>
                <c:pt idx="3">
                  <c:v>44009.88146318691</c:v>
                </c:pt>
                <c:pt idx="4">
                  <c:v>29454.0057998179</c:v>
                </c:pt>
                <c:pt idx="5">
                  <c:v>28670.031287993308</c:v>
                </c:pt>
                <c:pt idx="6">
                  <c:v>30018.134679977786</c:v>
                </c:pt>
                <c:pt idx="7">
                  <c:v>31638.338492976382</c:v>
                </c:pt>
                <c:pt idx="8">
                  <c:v>33980.6489961201</c:v>
                </c:pt>
                <c:pt idx="9">
                  <c:v>20088.441747530676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18-413E-A368-992EAD8F25F7}"/>
            </c:ext>
          </c:extLst>
        </c:ser>
        <c:ser>
          <c:idx val="1"/>
          <c:order val="1"/>
          <c:tx>
            <c:strRef>
              <c:f>'W3. Road Transport Fossil'!$C$24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Fossil'!$C$25:$C$34</c:f>
              <c:numCache>
                <c:formatCode>#,##0.00</c:formatCode>
                <c:ptCount val="10"/>
                <c:pt idx="0">
                  <c:v>24314.326473339901</c:v>
                </c:pt>
                <c:pt idx="1">
                  <c:v>20224.388400919761</c:v>
                </c:pt>
                <c:pt idx="2">
                  <c:v>26261.692097329367</c:v>
                </c:pt>
                <c:pt idx="3">
                  <c:v>43735.547866259585</c:v>
                </c:pt>
                <c:pt idx="4">
                  <c:v>29647.436973951644</c:v>
                </c:pt>
                <c:pt idx="5">
                  <c:v>28814.668207243489</c:v>
                </c:pt>
                <c:pt idx="6">
                  <c:v>30069.038904505207</c:v>
                </c:pt>
                <c:pt idx="7">
                  <c:v>31560.63466602562</c:v>
                </c:pt>
                <c:pt idx="8">
                  <c:v>33963.084715078738</c:v>
                </c:pt>
                <c:pt idx="9">
                  <c:v>20058.650738304008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18-413E-A368-992EAD8F25F7}"/>
            </c:ext>
          </c:extLst>
        </c:ser>
        <c:ser>
          <c:idx val="2"/>
          <c:order val="2"/>
          <c:tx>
            <c:strRef>
              <c:f>'W3. Road Transport Fossil'!$D$24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Fossil'!$D$25:$D$34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26227.564065710481</c:v>
                </c:pt>
                <c:pt idx="3">
                  <c:v>43541.290085667431</c:v>
                </c:pt>
                <c:pt idx="4">
                  <c:v>29263.695907534551</c:v>
                </c:pt>
                <c:pt idx="5">
                  <c:v>27755.325913195767</c:v>
                </c:pt>
                <c:pt idx="6">
                  <c:v>29750.072698086729</c:v>
                </c:pt>
                <c:pt idx="7">
                  <c:v>31678.866680709412</c:v>
                </c:pt>
                <c:pt idx="8">
                  <c:v>33150.453589348173</c:v>
                </c:pt>
                <c:pt idx="9">
                  <c:v>19412.586027210098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18-413E-A368-992EAD8F25F7}"/>
            </c:ext>
          </c:extLst>
        </c:ser>
        <c:ser>
          <c:idx val="3"/>
          <c:order val="3"/>
          <c:tx>
            <c:strRef>
              <c:f>'W3. Road Transport Fossil'!$E$24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Fossil'!$E$25:$E$34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25751.973362970708</c:v>
                </c:pt>
                <c:pt idx="3">
                  <c:v>42886.792531924242</c:v>
                </c:pt>
                <c:pt idx="4">
                  <c:v>24565.49330485244</c:v>
                </c:pt>
                <c:pt idx="5">
                  <c:v>26539.866893664064</c:v>
                </c:pt>
                <c:pt idx="6">
                  <c:v>29080.401012174982</c:v>
                </c:pt>
                <c:pt idx="7">
                  <c:v>29811.395672422026</c:v>
                </c:pt>
                <c:pt idx="8">
                  <c:v>27481.8478715458</c:v>
                </c:pt>
                <c:pt idx="9">
                  <c:v>19293.368705681925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718-413E-A368-992EAD8F25F7}"/>
            </c:ext>
          </c:extLst>
        </c:ser>
        <c:ser>
          <c:idx val="4"/>
          <c:order val="4"/>
          <c:tx>
            <c:strRef>
              <c:f>'W3. Road Transport Fossil'!$F$24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Fossil'!$F$25:$F$34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26227.564065710481</c:v>
                </c:pt>
                <c:pt idx="3">
                  <c:v>42894.831702591669</c:v>
                </c:pt>
                <c:pt idx="4">
                  <c:v>26802.913172730827</c:v>
                </c:pt>
                <c:pt idx="5">
                  <c:v>27233.539569664925</c:v>
                </c:pt>
                <c:pt idx="6">
                  <c:v>29525.070821758323</c:v>
                </c:pt>
                <c:pt idx="7">
                  <c:v>29363.07995455842</c:v>
                </c:pt>
                <c:pt idx="8">
                  <c:v>27132.104541879693</c:v>
                </c:pt>
                <c:pt idx="9">
                  <c:v>18364.078433167906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718-413E-A368-992EAD8F25F7}"/>
            </c:ext>
          </c:extLst>
        </c:ser>
        <c:ser>
          <c:idx val="5"/>
          <c:order val="5"/>
          <c:tx>
            <c:strRef>
              <c:f>'W3. Road Transport Fossil'!$G$24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Fossil'!$G$25:$G$34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15241.794989838872</c:v>
                </c:pt>
                <c:pt idx="3">
                  <c:v>12173.824872690442</c:v>
                </c:pt>
                <c:pt idx="4">
                  <c:v>12070.190366367791</c:v>
                </c:pt>
                <c:pt idx="5">
                  <c:v>21868.797666487913</c:v>
                </c:pt>
                <c:pt idx="6">
                  <c:v>33795.753408279292</c:v>
                </c:pt>
                <c:pt idx="7">
                  <c:v>30622.804973313199</c:v>
                </c:pt>
                <c:pt idx="8">
                  <c:v>27045.283405619255</c:v>
                </c:pt>
                <c:pt idx="9">
                  <c:v>16888.477987045884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718-413E-A368-992EAD8F25F7}"/>
            </c:ext>
          </c:extLst>
        </c:ser>
        <c:ser>
          <c:idx val="6"/>
          <c:order val="6"/>
          <c:tx>
            <c:strRef>
              <c:f>'W3. Road Transport Fossil'!$H$24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Fossil'!$H$25:$H$34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26227.564065710481</c:v>
                </c:pt>
                <c:pt idx="3">
                  <c:v>15425.681231690936</c:v>
                </c:pt>
                <c:pt idx="4">
                  <c:v>8105.3605655448646</c:v>
                </c:pt>
                <c:pt idx="5">
                  <c:v>13725.361658272255</c:v>
                </c:pt>
                <c:pt idx="6">
                  <c:v>34960.317454184369</c:v>
                </c:pt>
                <c:pt idx="7">
                  <c:v>35467.181671619241</c:v>
                </c:pt>
                <c:pt idx="8">
                  <c:v>36682.491312838749</c:v>
                </c:pt>
                <c:pt idx="9">
                  <c:v>21819.753731530407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18-413E-A368-992EAD8F25F7}"/>
            </c:ext>
          </c:extLst>
        </c:ser>
        <c:ser>
          <c:idx val="7"/>
          <c:order val="7"/>
          <c:tx>
            <c:strRef>
              <c:f>'W3. Road Transport Fossil'!$I$24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Fossil'!$I$25:$I$34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25608.822442657802</c:v>
                </c:pt>
                <c:pt idx="3">
                  <c:v>43089.555106222237</c:v>
                </c:pt>
                <c:pt idx="4">
                  <c:v>31022.74646031842</c:v>
                </c:pt>
                <c:pt idx="5">
                  <c:v>31624.063317894354</c:v>
                </c:pt>
                <c:pt idx="6">
                  <c:v>32420.904265161491</c:v>
                </c:pt>
                <c:pt idx="7">
                  <c:v>27847.649820516323</c:v>
                </c:pt>
                <c:pt idx="8">
                  <c:v>22494.676425234549</c:v>
                </c:pt>
                <c:pt idx="9">
                  <c:v>12374.312617410655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18-413E-A368-992EAD8F25F7}"/>
            </c:ext>
          </c:extLst>
        </c:ser>
        <c:ser>
          <c:idx val="8"/>
          <c:order val="8"/>
          <c:tx>
            <c:strRef>
              <c:f>'W3. Road Transport Fossil'!$J$24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'W3. Road Transport Fossil'!$A$25:$A$34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'W3. Road Transport Fossil'!$J$25:$J$34</c:f>
              <c:numCache>
                <c:formatCode>#,##0.00</c:formatCode>
                <c:ptCount val="10"/>
                <c:pt idx="0">
                  <c:v>24726.384098969917</c:v>
                </c:pt>
                <c:pt idx="1">
                  <c:v>20023.092920446408</c:v>
                </c:pt>
                <c:pt idx="2">
                  <c:v>26227.564065710481</c:v>
                </c:pt>
                <c:pt idx="3">
                  <c:v>44987.470385932087</c:v>
                </c:pt>
                <c:pt idx="4">
                  <c:v>26342.09763145219</c:v>
                </c:pt>
                <c:pt idx="5">
                  <c:v>22642.138409391588</c:v>
                </c:pt>
                <c:pt idx="6">
                  <c:v>32645.67178642724</c:v>
                </c:pt>
                <c:pt idx="7">
                  <c:v>29855.503893621499</c:v>
                </c:pt>
                <c:pt idx="8">
                  <c:v>23149.280108186653</c:v>
                </c:pt>
                <c:pt idx="9">
                  <c:v>13908.909146756332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18-413E-A368-992EAD8F2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'W4. Road Transport Electricity'!$B$13</c:f>
          <c:strCache>
            <c:ptCount val="1"/>
            <c:pt idx="0">
              <c:v>Road transport electricity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'W4. Road Transport Electricity'!$B$24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Electricity'!$B$25:$B$34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39.863137640230093</c:v>
                </c:pt>
                <c:pt idx="2">
                  <c:v>1003.6816525884961</c:v>
                </c:pt>
                <c:pt idx="3">
                  <c:v>2356.242175508296</c:v>
                </c:pt>
                <c:pt idx="4">
                  <c:v>7983.8252120514571</c:v>
                </c:pt>
                <c:pt idx="5">
                  <c:v>13923.960028398633</c:v>
                </c:pt>
                <c:pt idx="6">
                  <c:v>16466.022447274096</c:v>
                </c:pt>
                <c:pt idx="7">
                  <c:v>17723.524969998824</c:v>
                </c:pt>
                <c:pt idx="8">
                  <c:v>18970.505091951876</c:v>
                </c:pt>
                <c:pt idx="9">
                  <c:v>20443.745826512848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29-47A1-907F-571AAC4783AC}"/>
            </c:ext>
          </c:extLst>
        </c:ser>
        <c:ser>
          <c:idx val="1"/>
          <c:order val="1"/>
          <c:tx>
            <c:strRef>
              <c:f>'W4. Road Transport Electricity'!$C$24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Electricity'!$C$25:$C$34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39.851411191919205</c:v>
                </c:pt>
                <c:pt idx="2">
                  <c:v>1005.7942092807525</c:v>
                </c:pt>
                <c:pt idx="3">
                  <c:v>2352.4998180590778</c:v>
                </c:pt>
                <c:pt idx="4">
                  <c:v>7912.473839253099</c:v>
                </c:pt>
                <c:pt idx="5">
                  <c:v>13916.783390684668</c:v>
                </c:pt>
                <c:pt idx="6">
                  <c:v>16465.600586304343</c:v>
                </c:pt>
                <c:pt idx="7">
                  <c:v>17723.573566579824</c:v>
                </c:pt>
                <c:pt idx="8">
                  <c:v>18970.532152689164</c:v>
                </c:pt>
                <c:pt idx="9">
                  <c:v>20443.6265879038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29-47A1-907F-571AAC4783AC}"/>
            </c:ext>
          </c:extLst>
        </c:ser>
        <c:ser>
          <c:idx val="2"/>
          <c:order val="2"/>
          <c:tx>
            <c:strRef>
              <c:f>'W4. Road Transport Electricity'!$D$24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Electricity'!$D$25:$D$34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3700.988526160007</c:v>
                </c:pt>
                <c:pt idx="4">
                  <c:v>9209.0936752276266</c:v>
                </c:pt>
                <c:pt idx="5">
                  <c:v>14203.500481422001</c:v>
                </c:pt>
                <c:pt idx="6">
                  <c:v>16466.254314637321</c:v>
                </c:pt>
                <c:pt idx="7">
                  <c:v>17739.403812697397</c:v>
                </c:pt>
                <c:pt idx="8">
                  <c:v>19018.497199970272</c:v>
                </c:pt>
                <c:pt idx="9">
                  <c:v>20454.300783301314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29-47A1-907F-571AAC4783AC}"/>
            </c:ext>
          </c:extLst>
        </c:ser>
        <c:ser>
          <c:idx val="3"/>
          <c:order val="3"/>
          <c:tx>
            <c:strRef>
              <c:f>'W4. Road Transport Electricity'!$E$24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Electricity'!$E$25:$E$34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1087.8397472504214</c:v>
                </c:pt>
                <c:pt idx="3">
                  <c:v>4193.1500569993486</c:v>
                </c:pt>
                <c:pt idx="4">
                  <c:v>9771.5529623626971</c:v>
                </c:pt>
                <c:pt idx="5">
                  <c:v>14519.268386292151</c:v>
                </c:pt>
                <c:pt idx="6">
                  <c:v>16613.983190062154</c:v>
                </c:pt>
                <c:pt idx="7">
                  <c:v>19120.453927830033</c:v>
                </c:pt>
                <c:pt idx="8">
                  <c:v>21504.436312408958</c:v>
                </c:pt>
                <c:pt idx="9">
                  <c:v>23500.696611899697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29-47A1-907F-571AAC4783AC}"/>
            </c:ext>
          </c:extLst>
        </c:ser>
        <c:ser>
          <c:idx val="4"/>
          <c:order val="4"/>
          <c:tx>
            <c:strRef>
              <c:f>'W4. Road Transport Electricity'!$F$24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Electricity'!$F$25:$F$34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4055.0588483342849</c:v>
                </c:pt>
                <c:pt idx="4">
                  <c:v>9580.7289479646042</c:v>
                </c:pt>
                <c:pt idx="5">
                  <c:v>14326.35581281144</c:v>
                </c:pt>
                <c:pt idx="6">
                  <c:v>16745.940240593398</c:v>
                </c:pt>
                <c:pt idx="7">
                  <c:v>19637.829813532884</c:v>
                </c:pt>
                <c:pt idx="8">
                  <c:v>21597.513557029939</c:v>
                </c:pt>
                <c:pt idx="9">
                  <c:v>23521.494146794506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29-47A1-907F-571AAC4783AC}"/>
            </c:ext>
          </c:extLst>
        </c:ser>
        <c:ser>
          <c:idx val="5"/>
          <c:order val="5"/>
          <c:tx>
            <c:strRef>
              <c:f>'W4. Road Transport Electricity'!$G$24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Electricity'!$G$25:$G$34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2009.1559159620085</c:v>
                </c:pt>
                <c:pt idx="3">
                  <c:v>4276.6761264316383</c:v>
                </c:pt>
                <c:pt idx="4">
                  <c:v>9146.7579148285549</c:v>
                </c:pt>
                <c:pt idx="5">
                  <c:v>15837.110374635051</c:v>
                </c:pt>
                <c:pt idx="6">
                  <c:v>17749.003158195694</c:v>
                </c:pt>
                <c:pt idx="7">
                  <c:v>19818.310302716254</c:v>
                </c:pt>
                <c:pt idx="8">
                  <c:v>21868.594403989398</c:v>
                </c:pt>
                <c:pt idx="9">
                  <c:v>23569.322292774446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29-47A1-907F-571AAC4783AC}"/>
            </c:ext>
          </c:extLst>
        </c:ser>
        <c:ser>
          <c:idx val="6"/>
          <c:order val="6"/>
          <c:tx>
            <c:strRef>
              <c:f>'W4. Road Transport Electricity'!$H$24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Electricity'!$H$25:$H$34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3966.4963601593126</c:v>
                </c:pt>
                <c:pt idx="4">
                  <c:v>6894.9014296328914</c:v>
                </c:pt>
                <c:pt idx="5">
                  <c:v>10816.812001363774</c:v>
                </c:pt>
                <c:pt idx="6">
                  <c:v>16681.220257384932</c:v>
                </c:pt>
                <c:pt idx="7">
                  <c:v>17961.734483011198</c:v>
                </c:pt>
                <c:pt idx="8">
                  <c:v>19158.368947007322</c:v>
                </c:pt>
                <c:pt idx="9">
                  <c:v>20266.673327604592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29-47A1-907F-571AAC4783AC}"/>
            </c:ext>
          </c:extLst>
        </c:ser>
        <c:ser>
          <c:idx val="7"/>
          <c:order val="7"/>
          <c:tx>
            <c:strRef>
              <c:f>'W4. Road Transport Electricity'!$I$24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Electricity'!$I$25:$I$34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1130.2454144358746</c:v>
                </c:pt>
                <c:pt idx="3">
                  <c:v>4395.4478487279748</c:v>
                </c:pt>
                <c:pt idx="4">
                  <c:v>10346.618019879585</c:v>
                </c:pt>
                <c:pt idx="5">
                  <c:v>14942.983261331266</c:v>
                </c:pt>
                <c:pt idx="6">
                  <c:v>18421.524446237447</c:v>
                </c:pt>
                <c:pt idx="7">
                  <c:v>20561.454263369928</c:v>
                </c:pt>
                <c:pt idx="8">
                  <c:v>21741.663786238249</c:v>
                </c:pt>
                <c:pt idx="9">
                  <c:v>23569.571100268739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9-47A1-907F-571AAC4783AC}"/>
            </c:ext>
          </c:extLst>
        </c:ser>
        <c:ser>
          <c:idx val="8"/>
          <c:order val="8"/>
          <c:tx>
            <c:strRef>
              <c:f>'W4. Road Transport Electricity'!$J$24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'W4. Road Transport Electricity'!$A$25:$A$34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'W4. Road Transport Electricity'!$J$25:$J$34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4136.5183599319244</c:v>
                </c:pt>
                <c:pt idx="4">
                  <c:v>9648.6523299483033</c:v>
                </c:pt>
                <c:pt idx="5">
                  <c:v>13365.104084295897</c:v>
                </c:pt>
                <c:pt idx="6">
                  <c:v>17037.636776940275</c:v>
                </c:pt>
                <c:pt idx="7">
                  <c:v>20275.310977684265</c:v>
                </c:pt>
                <c:pt idx="8">
                  <c:v>21744.412550279132</c:v>
                </c:pt>
                <c:pt idx="9">
                  <c:v>23615.877285419334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29-47A1-907F-571AAC478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'W5. Road Transport Biofuels'!$B$13</c:f>
          <c:strCache>
            <c:ptCount val="1"/>
            <c:pt idx="0">
              <c:v>Road transport biofuels use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'W5. Road Transport Biofuels'!$B$24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Biofuels'!$B$25:$B$34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784.12847249798097</c:v>
                </c:pt>
                <c:pt idx="2">
                  <c:v>410.88685350032904</c:v>
                </c:pt>
                <c:pt idx="3">
                  <c:v>0</c:v>
                </c:pt>
                <c:pt idx="4">
                  <c:v>4284.5338316782081</c:v>
                </c:pt>
                <c:pt idx="5">
                  <c:v>3216.1992121064386</c:v>
                </c:pt>
                <c:pt idx="6">
                  <c:v>3812.4156800581031</c:v>
                </c:pt>
                <c:pt idx="7">
                  <c:v>3277.1507090675386</c:v>
                </c:pt>
                <c:pt idx="8">
                  <c:v>4675.2201192960365</c:v>
                </c:pt>
                <c:pt idx="9">
                  <c:v>12155.790118194265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5-4FB1-B969-884F6A86F34D}"/>
            </c:ext>
          </c:extLst>
        </c:ser>
        <c:ser>
          <c:idx val="1"/>
          <c:order val="1"/>
          <c:tx>
            <c:strRef>
              <c:f>'W5. Road Transport Biofuels'!$C$24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Biofuels'!$C$25:$C$34</c:f>
              <c:numCache>
                <c:formatCode>#,##0.00</c:formatCode>
                <c:ptCount val="10"/>
                <c:pt idx="0">
                  <c:v>819.98437499999932</c:v>
                </c:pt>
                <c:pt idx="1">
                  <c:v>857.0639148243032</c:v>
                </c:pt>
                <c:pt idx="2">
                  <c:v>452.73603507320263</c:v>
                </c:pt>
                <c:pt idx="3">
                  <c:v>34.163561250000022</c:v>
                </c:pt>
                <c:pt idx="4">
                  <c:v>4240.3465309497524</c:v>
                </c:pt>
                <c:pt idx="5">
                  <c:v>2797.1047381654653</c:v>
                </c:pt>
                <c:pt idx="6">
                  <c:v>3673.5736363389751</c:v>
                </c:pt>
                <c:pt idx="7">
                  <c:v>3319.3222931046839</c:v>
                </c:pt>
                <c:pt idx="8">
                  <c:v>4749.7231006549209</c:v>
                </c:pt>
                <c:pt idx="9">
                  <c:v>12443.682492209206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85-4FB1-B969-884F6A86F34D}"/>
            </c:ext>
          </c:extLst>
        </c:ser>
        <c:ser>
          <c:idx val="2"/>
          <c:order val="2"/>
          <c:tx>
            <c:strRef>
              <c:f>'W5. Road Transport Biofuels'!$D$24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Biofuels'!$D$25:$D$34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1052.0173273984929</c:v>
                </c:pt>
                <c:pt idx="3">
                  <c:v>515.46111562021497</c:v>
                </c:pt>
                <c:pt idx="4">
                  <c:v>2652.7715056347561</c:v>
                </c:pt>
                <c:pt idx="5">
                  <c:v>1957.7930553681019</c:v>
                </c:pt>
                <c:pt idx="6">
                  <c:v>2809.541834151385</c:v>
                </c:pt>
                <c:pt idx="7">
                  <c:v>4046.8914150189366</c:v>
                </c:pt>
                <c:pt idx="8">
                  <c:v>5335.8982570118906</c:v>
                </c:pt>
                <c:pt idx="9">
                  <c:v>12623.443655923078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85-4FB1-B969-884F6A86F34D}"/>
            </c:ext>
          </c:extLst>
        </c:ser>
        <c:ser>
          <c:idx val="3"/>
          <c:order val="3"/>
          <c:tx>
            <c:strRef>
              <c:f>'W5. Road Transport Biofuels'!$E$24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Biofuels'!$E$25:$E$34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1871.5056046834272</c:v>
                </c:pt>
                <c:pt idx="3">
                  <c:v>2977.5085267383274</c:v>
                </c:pt>
                <c:pt idx="4">
                  <c:v>5657.2628908581228</c:v>
                </c:pt>
                <c:pt idx="5">
                  <c:v>6743.9301628861758</c:v>
                </c:pt>
                <c:pt idx="6">
                  <c:v>12288.991039740244</c:v>
                </c:pt>
                <c:pt idx="7">
                  <c:v>12023.84274600945</c:v>
                </c:pt>
                <c:pt idx="8">
                  <c:v>10395.065596648592</c:v>
                </c:pt>
                <c:pt idx="9">
                  <c:v>14237.659352101065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85-4FB1-B969-884F6A86F34D}"/>
            </c:ext>
          </c:extLst>
        </c:ser>
        <c:ser>
          <c:idx val="4"/>
          <c:order val="4"/>
          <c:tx>
            <c:strRef>
              <c:f>'W5. Road Transport Biofuels'!$F$24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Biofuels'!$F$25:$F$34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1052.0173273984929</c:v>
                </c:pt>
                <c:pt idx="3">
                  <c:v>3074.8451793290601</c:v>
                </c:pt>
                <c:pt idx="4">
                  <c:v>7785.6167139528516</c:v>
                </c:pt>
                <c:pt idx="5">
                  <c:v>7464.8813305393687</c:v>
                </c:pt>
                <c:pt idx="6">
                  <c:v>10329.598297239165</c:v>
                </c:pt>
                <c:pt idx="7">
                  <c:v>9636.6969431290418</c:v>
                </c:pt>
                <c:pt idx="8">
                  <c:v>9593.4081412432934</c:v>
                </c:pt>
                <c:pt idx="9">
                  <c:v>13821.999469856626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85-4FB1-B969-884F6A86F34D}"/>
            </c:ext>
          </c:extLst>
        </c:ser>
        <c:ser>
          <c:idx val="5"/>
          <c:order val="5"/>
          <c:tx>
            <c:strRef>
              <c:f>'W5. Road Transport Biofuels'!$G$24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Biofuels'!$G$25:$G$34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3997.269150927073</c:v>
                </c:pt>
                <c:pt idx="3">
                  <c:v>3430.8329537577511</c:v>
                </c:pt>
                <c:pt idx="4">
                  <c:v>1695.7028623299284</c:v>
                </c:pt>
                <c:pt idx="5">
                  <c:v>10.2551771891643</c:v>
                </c:pt>
                <c:pt idx="6">
                  <c:v>2087.2643529085135</c:v>
                </c:pt>
                <c:pt idx="7">
                  <c:v>6761.2494270064526</c:v>
                </c:pt>
                <c:pt idx="8">
                  <c:v>7801.9982072327157</c:v>
                </c:pt>
                <c:pt idx="9">
                  <c:v>13650.719049269355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85-4FB1-B969-884F6A86F34D}"/>
            </c:ext>
          </c:extLst>
        </c:ser>
        <c:ser>
          <c:idx val="6"/>
          <c:order val="6"/>
          <c:tx>
            <c:strRef>
              <c:f>'W5. Road Transport Biofuels'!$H$24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Biofuels'!$H$25:$H$34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1052.0173273984929</c:v>
                </c:pt>
                <c:pt idx="3">
                  <c:v>3137.3585720713772</c:v>
                </c:pt>
                <c:pt idx="4">
                  <c:v>5832.1064336131021</c:v>
                </c:pt>
                <c:pt idx="5">
                  <c:v>1079.9026866588292</c:v>
                </c:pt>
                <c:pt idx="6">
                  <c:v>1256.6776088637519</c:v>
                </c:pt>
                <c:pt idx="7">
                  <c:v>6817.1865726982305</c:v>
                </c:pt>
                <c:pt idx="8">
                  <c:v>9076.8879256222335</c:v>
                </c:pt>
                <c:pt idx="9">
                  <c:v>25065.294814715879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85-4FB1-B969-884F6A86F34D}"/>
            </c:ext>
          </c:extLst>
        </c:ser>
        <c:ser>
          <c:idx val="7"/>
          <c:order val="7"/>
          <c:tx>
            <c:strRef>
              <c:f>'W5. Road Transport Biofuels'!$I$24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Biofuels'!$I$25:$I$34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2079.1488960224824</c:v>
                </c:pt>
                <c:pt idx="3">
                  <c:v>2620.8106662094469</c:v>
                </c:pt>
                <c:pt idx="4">
                  <c:v>5864.5961278498489</c:v>
                </c:pt>
                <c:pt idx="5">
                  <c:v>4547.1800482021517</c:v>
                </c:pt>
                <c:pt idx="6">
                  <c:v>2449.3224649516669</c:v>
                </c:pt>
                <c:pt idx="7">
                  <c:v>4826.7543165582538</c:v>
                </c:pt>
                <c:pt idx="8">
                  <c:v>6661.0994095655997</c:v>
                </c:pt>
                <c:pt idx="9">
                  <c:v>12312.549542402907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5-4FB1-B969-884F6A86F34D}"/>
            </c:ext>
          </c:extLst>
        </c:ser>
        <c:ser>
          <c:idx val="8"/>
          <c:order val="8"/>
          <c:tx>
            <c:strRef>
              <c:f>'W5. Road Transport Biofuels'!$J$24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'W5. Road Transport Biofuels'!$A$25:$A$34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'W5. Road Transport Biofuels'!$J$25:$J$34</c:f>
              <c:numCache>
                <c:formatCode>#,##0.00</c:formatCode>
                <c:ptCount val="10"/>
                <c:pt idx="0">
                  <c:v>820.1343749999993</c:v>
                </c:pt>
                <c:pt idx="1">
                  <c:v>1443.6724304473942</c:v>
                </c:pt>
                <c:pt idx="2">
                  <c:v>1052.0173273984929</c:v>
                </c:pt>
                <c:pt idx="3">
                  <c:v>2481.766341444174</c:v>
                </c:pt>
                <c:pt idx="4">
                  <c:v>10232.214953819815</c:v>
                </c:pt>
                <c:pt idx="5">
                  <c:v>7076.7615226236612</c:v>
                </c:pt>
                <c:pt idx="6">
                  <c:v>3213.4284367504915</c:v>
                </c:pt>
                <c:pt idx="7">
                  <c:v>4593.9230794516134</c:v>
                </c:pt>
                <c:pt idx="8">
                  <c:v>7363.6605794830903</c:v>
                </c:pt>
                <c:pt idx="9">
                  <c:v>12986.62483989224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85-4FB1-B969-884F6A86F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'W6. Prim Energy Cons'!$B$13</c:f>
          <c:strCache>
            <c:ptCount val="1"/>
            <c:pt idx="0">
              <c:v>PRIM FUELS - COA Primary energy consumption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'W6. Prim Energy Cons'!$B$24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Cons'!$B$25:$B$34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194330.77354824933</c:v>
                </c:pt>
                <c:pt idx="2">
                  <c:v>205609.58911298946</c:v>
                </c:pt>
                <c:pt idx="3">
                  <c:v>201603.04376161305</c:v>
                </c:pt>
                <c:pt idx="4">
                  <c:v>228035.58184835443</c:v>
                </c:pt>
                <c:pt idx="5">
                  <c:v>265419.88294127362</c:v>
                </c:pt>
                <c:pt idx="6">
                  <c:v>291029.38557335257</c:v>
                </c:pt>
                <c:pt idx="7">
                  <c:v>341568.27556326368</c:v>
                </c:pt>
                <c:pt idx="8">
                  <c:v>378871.35611732572</c:v>
                </c:pt>
                <c:pt idx="9">
                  <c:v>420186.56364297564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1-4EAB-A3F7-2AFAFEB4439E}"/>
            </c:ext>
          </c:extLst>
        </c:ser>
        <c:ser>
          <c:idx val="1"/>
          <c:order val="1"/>
          <c:tx>
            <c:strRef>
              <c:f>'W6. Prim Energy Cons'!$C$24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Cons'!$C$25:$C$34</c:f>
              <c:numCache>
                <c:formatCode>#,##0.00</c:formatCode>
                <c:ptCount val="10"/>
                <c:pt idx="0">
                  <c:v>162225.21304871028</c:v>
                </c:pt>
                <c:pt idx="1">
                  <c:v>155357.03236879598</c:v>
                </c:pt>
                <c:pt idx="2">
                  <c:v>185757.17088547914</c:v>
                </c:pt>
                <c:pt idx="3">
                  <c:v>197018.239107017</c:v>
                </c:pt>
                <c:pt idx="4">
                  <c:v>227204.69699648893</c:v>
                </c:pt>
                <c:pt idx="5">
                  <c:v>264713.11917323613</c:v>
                </c:pt>
                <c:pt idx="6">
                  <c:v>291270.80681025801</c:v>
                </c:pt>
                <c:pt idx="7">
                  <c:v>343888.53152897541</c:v>
                </c:pt>
                <c:pt idx="8">
                  <c:v>382181.10398734291</c:v>
                </c:pt>
                <c:pt idx="9">
                  <c:v>424880.40343557211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51-4EAB-A3F7-2AFAFEB4439E}"/>
            </c:ext>
          </c:extLst>
        </c:ser>
        <c:ser>
          <c:idx val="2"/>
          <c:order val="2"/>
          <c:tx>
            <c:strRef>
              <c:f>'W6. Prim Energy Cons'!$D$24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Cons'!$D$25:$D$34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144479.6233654609</c:v>
                </c:pt>
                <c:pt idx="3">
                  <c:v>164182.27560838146</c:v>
                </c:pt>
                <c:pt idx="4">
                  <c:v>181233.65679274936</c:v>
                </c:pt>
                <c:pt idx="5">
                  <c:v>201342.61713501383</c:v>
                </c:pt>
                <c:pt idx="6">
                  <c:v>262018.40193231474</c:v>
                </c:pt>
                <c:pt idx="7">
                  <c:v>322022.69320702058</c:v>
                </c:pt>
                <c:pt idx="8">
                  <c:v>362507.85293448792</c:v>
                </c:pt>
                <c:pt idx="9">
                  <c:v>403305.35808768461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51-4EAB-A3F7-2AFAFEB4439E}"/>
            </c:ext>
          </c:extLst>
        </c:ser>
        <c:ser>
          <c:idx val="3"/>
          <c:order val="3"/>
          <c:tx>
            <c:strRef>
              <c:f>'W6. Prim Energy Cons'!$E$24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Cons'!$E$25:$E$34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108563.62293922262</c:v>
                </c:pt>
                <c:pt idx="3">
                  <c:v>91815.248284130706</c:v>
                </c:pt>
                <c:pt idx="4">
                  <c:v>88547.034456209352</c:v>
                </c:pt>
                <c:pt idx="5">
                  <c:v>95810.532005263914</c:v>
                </c:pt>
                <c:pt idx="6">
                  <c:v>98075.073233862</c:v>
                </c:pt>
                <c:pt idx="7">
                  <c:v>106269.03231520744</c:v>
                </c:pt>
                <c:pt idx="8">
                  <c:v>107535.34240344244</c:v>
                </c:pt>
                <c:pt idx="9">
                  <c:v>108771.91896890041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51-4EAB-A3F7-2AFAFEB4439E}"/>
            </c:ext>
          </c:extLst>
        </c:ser>
        <c:ser>
          <c:idx val="4"/>
          <c:order val="4"/>
          <c:tx>
            <c:strRef>
              <c:f>'W6. Prim Energy Cons'!$F$24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Cons'!$F$25:$F$34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144479.6233654609</c:v>
                </c:pt>
                <c:pt idx="3">
                  <c:v>100154.77763632967</c:v>
                </c:pt>
                <c:pt idx="4">
                  <c:v>81972.765413154528</c:v>
                </c:pt>
                <c:pt idx="5">
                  <c:v>89228.648203582357</c:v>
                </c:pt>
                <c:pt idx="6">
                  <c:v>100227.89390761717</c:v>
                </c:pt>
                <c:pt idx="7">
                  <c:v>105997.56099462384</c:v>
                </c:pt>
                <c:pt idx="8">
                  <c:v>106019.07395465067</c:v>
                </c:pt>
                <c:pt idx="9">
                  <c:v>103302.42591059342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51-4EAB-A3F7-2AFAFEB4439E}"/>
            </c:ext>
          </c:extLst>
        </c:ser>
        <c:ser>
          <c:idx val="5"/>
          <c:order val="5"/>
          <c:tx>
            <c:strRef>
              <c:f>'W6. Prim Energy Cons'!$G$24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Cons'!$G$25:$G$34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68416.681054775356</c:v>
                </c:pt>
                <c:pt idx="3">
                  <c:v>49668.780322921557</c:v>
                </c:pt>
                <c:pt idx="4">
                  <c:v>41197.268630333012</c:v>
                </c:pt>
                <c:pt idx="5">
                  <c:v>50716.231722121825</c:v>
                </c:pt>
                <c:pt idx="6">
                  <c:v>97649.000521835245</c:v>
                </c:pt>
                <c:pt idx="7">
                  <c:v>103696.73255155297</c:v>
                </c:pt>
                <c:pt idx="8">
                  <c:v>104601.27396555482</c:v>
                </c:pt>
                <c:pt idx="9">
                  <c:v>78061.119857898579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51-4EAB-A3F7-2AFAFEB4439E}"/>
            </c:ext>
          </c:extLst>
        </c:ser>
        <c:ser>
          <c:idx val="6"/>
          <c:order val="6"/>
          <c:tx>
            <c:strRef>
              <c:f>'W6. Prim Energy Cons'!$H$24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Cons'!$H$25:$H$34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144479.6233654609</c:v>
                </c:pt>
                <c:pt idx="3">
                  <c:v>50864.551222710536</c:v>
                </c:pt>
                <c:pt idx="4">
                  <c:v>45261.31146620959</c:v>
                </c:pt>
                <c:pt idx="5">
                  <c:v>17395.535820800222</c:v>
                </c:pt>
                <c:pt idx="6">
                  <c:v>111193.58966551772</c:v>
                </c:pt>
                <c:pt idx="7">
                  <c:v>130306.75749902039</c:v>
                </c:pt>
                <c:pt idx="8">
                  <c:v>104165.6848397104</c:v>
                </c:pt>
                <c:pt idx="9">
                  <c:v>108531.51719545209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51-4EAB-A3F7-2AFAFEB4439E}"/>
            </c:ext>
          </c:extLst>
        </c:ser>
        <c:ser>
          <c:idx val="7"/>
          <c:order val="7"/>
          <c:tx>
            <c:strRef>
              <c:f>'W6. Prim Energy Cons'!$I$24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Cons'!$I$25:$I$34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79886.674088701431</c:v>
                </c:pt>
                <c:pt idx="3">
                  <c:v>55599.65142362332</c:v>
                </c:pt>
                <c:pt idx="4">
                  <c:v>66324.689576516714</c:v>
                </c:pt>
                <c:pt idx="5">
                  <c:v>94676.659860362299</c:v>
                </c:pt>
                <c:pt idx="6">
                  <c:v>100518.22768473226</c:v>
                </c:pt>
                <c:pt idx="7">
                  <c:v>103061.05743086712</c:v>
                </c:pt>
                <c:pt idx="8">
                  <c:v>78750.75968217371</c:v>
                </c:pt>
                <c:pt idx="9">
                  <c:v>67438.174380892626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51-4EAB-A3F7-2AFAFEB4439E}"/>
            </c:ext>
          </c:extLst>
        </c:ser>
        <c:ser>
          <c:idx val="8"/>
          <c:order val="8"/>
          <c:tx>
            <c:strRef>
              <c:f>'W6. Prim Energy Cons'!$J$24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'W6. Prim Energy Cons'!$A$25:$A$34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'W6. Prim Energy Cons'!$J$25:$J$34</c:f>
              <c:numCache>
                <c:formatCode>#,##0.00</c:formatCode>
                <c:ptCount val="10"/>
                <c:pt idx="0">
                  <c:v>168138.47746807424</c:v>
                </c:pt>
                <c:pt idx="1">
                  <c:v>134434.81319464734</c:v>
                </c:pt>
                <c:pt idx="2">
                  <c:v>144479.6233654609</c:v>
                </c:pt>
                <c:pt idx="3">
                  <c:v>63833.279158881764</c:v>
                </c:pt>
                <c:pt idx="4">
                  <c:v>70062.670013281575</c:v>
                </c:pt>
                <c:pt idx="5">
                  <c:v>70054.339114663948</c:v>
                </c:pt>
                <c:pt idx="6">
                  <c:v>100041.66450529244</c:v>
                </c:pt>
                <c:pt idx="7">
                  <c:v>103045.58652427503</c:v>
                </c:pt>
                <c:pt idx="8">
                  <c:v>98419.091321335087</c:v>
                </c:pt>
                <c:pt idx="9">
                  <c:v>76423.222489167543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51-4EAB-A3F7-2AFAFEB44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'W7. Primary Energy Prod'!$B$13</c:f>
          <c:strCache>
            <c:ptCount val="1"/>
            <c:pt idx="0">
              <c:v>MIN - BIO primary energy supply (PJ)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'W7. Primary Energy Prod'!$B$24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Prod'!$B$25:$B$34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64327.753070461156</c:v>
                </c:pt>
                <c:pt idx="2">
                  <c:v>79622.936931933436</c:v>
                </c:pt>
                <c:pt idx="3">
                  <c:v>89214.040433120303</c:v>
                </c:pt>
                <c:pt idx="4">
                  <c:v>109852.07655804059</c:v>
                </c:pt>
                <c:pt idx="5">
                  <c:v>112780.83204181393</c:v>
                </c:pt>
                <c:pt idx="6">
                  <c:v>124225.43057164874</c:v>
                </c:pt>
                <c:pt idx="7">
                  <c:v>132254.5714627819</c:v>
                </c:pt>
                <c:pt idx="8">
                  <c:v>144136.4507175145</c:v>
                </c:pt>
                <c:pt idx="9">
                  <c:v>161039.19993806983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2-4857-B354-EE6F6771135F}"/>
            </c:ext>
          </c:extLst>
        </c:ser>
        <c:ser>
          <c:idx val="1"/>
          <c:order val="1"/>
          <c:tx>
            <c:strRef>
              <c:f>'W7. Primary Energy Prod'!$C$24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Prod'!$C$25:$C$34</c:f>
              <c:numCache>
                <c:formatCode>#,##0.00</c:formatCode>
                <c:ptCount val="10"/>
                <c:pt idx="0">
                  <c:v>54535.78236935271</c:v>
                </c:pt>
                <c:pt idx="1">
                  <c:v>69436.86445792616</c:v>
                </c:pt>
                <c:pt idx="2">
                  <c:v>84942.475119495168</c:v>
                </c:pt>
                <c:pt idx="3">
                  <c:v>90778.716356166202</c:v>
                </c:pt>
                <c:pt idx="4">
                  <c:v>110376.87895889895</c:v>
                </c:pt>
                <c:pt idx="5">
                  <c:v>112348.99280474256</c:v>
                </c:pt>
                <c:pt idx="6">
                  <c:v>124551.89561389911</c:v>
                </c:pt>
                <c:pt idx="7">
                  <c:v>132678.34668629614</c:v>
                </c:pt>
                <c:pt idx="8">
                  <c:v>144689.55539988776</c:v>
                </c:pt>
                <c:pt idx="9">
                  <c:v>161325.31784008307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52-4857-B354-EE6F6771135F}"/>
            </c:ext>
          </c:extLst>
        </c:ser>
        <c:ser>
          <c:idx val="2"/>
          <c:order val="2"/>
          <c:tx>
            <c:strRef>
              <c:f>'W7. Primary Energy Prod'!$D$24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Prod'!$D$25:$D$34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95987.494917697361</c:v>
                </c:pt>
                <c:pt idx="3">
                  <c:v>102685.11132708182</c:v>
                </c:pt>
                <c:pt idx="4">
                  <c:v>121311.48930648089</c:v>
                </c:pt>
                <c:pt idx="5">
                  <c:v>130455.44392015801</c:v>
                </c:pt>
                <c:pt idx="6">
                  <c:v>130342.05358196449</c:v>
                </c:pt>
                <c:pt idx="7">
                  <c:v>135050.53628078208</c:v>
                </c:pt>
                <c:pt idx="8">
                  <c:v>144646.663967876</c:v>
                </c:pt>
                <c:pt idx="9">
                  <c:v>161607.79894541533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52-4857-B354-EE6F6771135F}"/>
            </c:ext>
          </c:extLst>
        </c:ser>
        <c:ser>
          <c:idx val="3"/>
          <c:order val="3"/>
          <c:tx>
            <c:strRef>
              <c:f>'W7. Primary Energy Prod'!$E$24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Prod'!$E$25:$E$34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104851.12155290123</c:v>
                </c:pt>
                <c:pt idx="3">
                  <c:v>120492.83509216137</c:v>
                </c:pt>
                <c:pt idx="4">
                  <c:v>149365.82653458969</c:v>
                </c:pt>
                <c:pt idx="5">
                  <c:v>176281.70082362634</c:v>
                </c:pt>
                <c:pt idx="6">
                  <c:v>229824.54927759647</c:v>
                </c:pt>
                <c:pt idx="7">
                  <c:v>273487.76998288673</c:v>
                </c:pt>
                <c:pt idx="8">
                  <c:v>308249.14727407543</c:v>
                </c:pt>
                <c:pt idx="9">
                  <c:v>327801.82519987621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52-4857-B354-EE6F6771135F}"/>
            </c:ext>
          </c:extLst>
        </c:ser>
        <c:ser>
          <c:idx val="4"/>
          <c:order val="4"/>
          <c:tx>
            <c:strRef>
              <c:f>'W7. Primary Energy Prod'!$F$24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Prod'!$F$25:$F$34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95987.494917697361</c:v>
                </c:pt>
                <c:pt idx="3">
                  <c:v>122058.65655904301</c:v>
                </c:pt>
                <c:pt idx="4">
                  <c:v>151972.27198691817</c:v>
                </c:pt>
                <c:pt idx="5">
                  <c:v>168669.73704658079</c:v>
                </c:pt>
                <c:pt idx="6">
                  <c:v>222171.01369535629</c:v>
                </c:pt>
                <c:pt idx="7">
                  <c:v>276672.52063417155</c:v>
                </c:pt>
                <c:pt idx="8">
                  <c:v>308950.82914477162</c:v>
                </c:pt>
                <c:pt idx="9">
                  <c:v>327787.549610482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52-4857-B354-EE6F6771135F}"/>
            </c:ext>
          </c:extLst>
        </c:ser>
        <c:ser>
          <c:idx val="5"/>
          <c:order val="5"/>
          <c:tx>
            <c:strRef>
              <c:f>'W7. Primary Energy Prod'!$G$24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Prod'!$G$25:$G$34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132295.15355481085</c:v>
                </c:pt>
                <c:pt idx="3">
                  <c:v>173006.81197681732</c:v>
                </c:pt>
                <c:pt idx="4">
                  <c:v>186916.97886996056</c:v>
                </c:pt>
                <c:pt idx="5">
                  <c:v>243313.36884020042</c:v>
                </c:pt>
                <c:pt idx="6">
                  <c:v>255115.74823382456</c:v>
                </c:pt>
                <c:pt idx="7">
                  <c:v>282711.74847277306</c:v>
                </c:pt>
                <c:pt idx="8">
                  <c:v>311048.84784091491</c:v>
                </c:pt>
                <c:pt idx="9">
                  <c:v>327800.00930137892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52-4857-B354-EE6F6771135F}"/>
            </c:ext>
          </c:extLst>
        </c:ser>
        <c:ser>
          <c:idx val="6"/>
          <c:order val="6"/>
          <c:tx>
            <c:strRef>
              <c:f>'W7. Primary Energy Prod'!$H$24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Prod'!$H$25:$H$34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95987.494917697361</c:v>
                </c:pt>
                <c:pt idx="3">
                  <c:v>171100.54581435845</c:v>
                </c:pt>
                <c:pt idx="4">
                  <c:v>187545.43321462203</c:v>
                </c:pt>
                <c:pt idx="5">
                  <c:v>260421.34016571462</c:v>
                </c:pt>
                <c:pt idx="6">
                  <c:v>200830.00853338459</c:v>
                </c:pt>
                <c:pt idx="7">
                  <c:v>228704.47501112978</c:v>
                </c:pt>
                <c:pt idx="8">
                  <c:v>250180.76031660932</c:v>
                </c:pt>
                <c:pt idx="9">
                  <c:v>313616.85939409141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52-4857-B354-EE6F6771135F}"/>
            </c:ext>
          </c:extLst>
        </c:ser>
        <c:ser>
          <c:idx val="7"/>
          <c:order val="7"/>
          <c:tx>
            <c:strRef>
              <c:f>'W7. Primary Energy Prod'!$I$24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Prod'!$I$25:$I$34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110645.3805670461</c:v>
                </c:pt>
                <c:pt idx="3">
                  <c:v>133407.51346828416</c:v>
                </c:pt>
                <c:pt idx="4">
                  <c:v>168023.66238076251</c:v>
                </c:pt>
                <c:pt idx="5">
                  <c:v>209867.56368519165</c:v>
                </c:pt>
                <c:pt idx="6">
                  <c:v>261521.91651993027</c:v>
                </c:pt>
                <c:pt idx="7">
                  <c:v>294154.62901156134</c:v>
                </c:pt>
                <c:pt idx="8">
                  <c:v>310994.24100277427</c:v>
                </c:pt>
                <c:pt idx="9">
                  <c:v>327798.67336022074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52-4857-B354-EE6F6771135F}"/>
            </c:ext>
          </c:extLst>
        </c:ser>
        <c:ser>
          <c:idx val="8"/>
          <c:order val="8"/>
          <c:tx>
            <c:strRef>
              <c:f>'W7. Primary Energy Prod'!$J$24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'W7. Primary Energy Prod'!$A$25:$A$34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'W7. Primary Energy Prod'!$J$25:$J$34</c:f>
              <c:numCache>
                <c:formatCode>#,##0.00</c:formatCode>
                <c:ptCount val="10"/>
                <c:pt idx="0">
                  <c:v>54246.265938380871</c:v>
                </c:pt>
                <c:pt idx="1">
                  <c:v>71262.17128058261</c:v>
                </c:pt>
                <c:pt idx="2">
                  <c:v>95987.494917697361</c:v>
                </c:pt>
                <c:pt idx="3">
                  <c:v>134167.96076140917</c:v>
                </c:pt>
                <c:pt idx="4">
                  <c:v>169759.94537136634</c:v>
                </c:pt>
                <c:pt idx="5">
                  <c:v>238001.61610260615</c:v>
                </c:pt>
                <c:pt idx="6">
                  <c:v>262704.63126014278</c:v>
                </c:pt>
                <c:pt idx="7">
                  <c:v>291904.65682121803</c:v>
                </c:pt>
                <c:pt idx="8">
                  <c:v>310987.43618390593</c:v>
                </c:pt>
                <c:pt idx="9">
                  <c:v>327769.11716496316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52-4857-B354-EE6F67711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primary energy supply</a:t>
            </a:r>
            <a:r>
              <a:rPr lang="en-GB" baseline="0"/>
              <a:t> (PJ)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'W7. Primary Energy Prod'!$A$40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Prod'!$B$40:$Z$40</c:f>
              <c:numCache>
                <c:formatCode>#,##0.00</c:formatCode>
                <c:ptCount val="25"/>
                <c:pt idx="0">
                  <c:v>167772.98687500271</c:v>
                </c:pt>
                <c:pt idx="1">
                  <c:v>199721.74391926528</c:v>
                </c:pt>
                <c:pt idx="2">
                  <c:v>182315.56150273711</c:v>
                </c:pt>
                <c:pt idx="3">
                  <c:v>141587.52010422843</c:v>
                </c:pt>
                <c:pt idx="4">
                  <c:v>106915.28758791123</c:v>
                </c:pt>
                <c:pt idx="5">
                  <c:v>141587.52010422843</c:v>
                </c:pt>
                <c:pt idx="6">
                  <c:v>74086.287944023527</c:v>
                </c:pt>
                <c:pt idx="7">
                  <c:v>141587.52010422843</c:v>
                </c:pt>
                <c:pt idx="8">
                  <c:v>78298.506735573581</c:v>
                </c:pt>
                <c:pt idx="9">
                  <c:v>141587.52010422843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217956.74380519876</c:v>
                </c:pt>
                <c:pt idx="14">
                  <c:v>217076.8732626531</c:v>
                </c:pt>
                <c:pt idx="15">
                  <c:v>171180.64374326335</c:v>
                </c:pt>
                <c:pt idx="16">
                  <c:v>82830.756818283815</c:v>
                </c:pt>
                <c:pt idx="17">
                  <c:v>75120.578902980575</c:v>
                </c:pt>
                <c:pt idx="18">
                  <c:v>42902.100523833826</c:v>
                </c:pt>
                <c:pt idx="19">
                  <c:v>44073.439940015356</c:v>
                </c:pt>
                <c:pt idx="20">
                  <c:v>59667.165752929635</c:v>
                </c:pt>
                <c:pt idx="21">
                  <c:v>64624.319165573841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21-42EE-8B22-4F1E26A50DD2}"/>
            </c:ext>
          </c:extLst>
        </c:ser>
        <c:ser>
          <c:idx val="5"/>
          <c:order val="1"/>
          <c:tx>
            <c:strRef>
              <c:f>'W7. Primary Energy Prod'!$A$44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Prod'!$B$44:$Z$44</c:f>
              <c:numCache>
                <c:formatCode>#,##0.00</c:formatCode>
                <c:ptCount val="25"/>
                <c:pt idx="0">
                  <c:v>158538.7874200783</c:v>
                </c:pt>
                <c:pt idx="1">
                  <c:v>180904.24746096539</c:v>
                </c:pt>
                <c:pt idx="2">
                  <c:v>180344.62704175361</c:v>
                </c:pt>
                <c:pt idx="3">
                  <c:v>176541.28948572898</c:v>
                </c:pt>
                <c:pt idx="4">
                  <c:v>173506.79141583553</c:v>
                </c:pt>
                <c:pt idx="5">
                  <c:v>176541.28948572898</c:v>
                </c:pt>
                <c:pt idx="6">
                  <c:v>155285.39036300292</c:v>
                </c:pt>
                <c:pt idx="7">
                  <c:v>176541.28948572898</c:v>
                </c:pt>
                <c:pt idx="8">
                  <c:v>169562.31890813055</c:v>
                </c:pt>
                <c:pt idx="9">
                  <c:v>176541.28948572898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170269.24722541097</c:v>
                </c:pt>
                <c:pt idx="14">
                  <c:v>170442.81415956249</c:v>
                </c:pt>
                <c:pt idx="15">
                  <c:v>167702.98450333846</c:v>
                </c:pt>
                <c:pt idx="16">
                  <c:v>159922.83552746987</c:v>
                </c:pt>
                <c:pt idx="17">
                  <c:v>157755.02563447127</c:v>
                </c:pt>
                <c:pt idx="18">
                  <c:v>100400.423394431</c:v>
                </c:pt>
                <c:pt idx="19">
                  <c:v>117518.71841246785</c:v>
                </c:pt>
                <c:pt idx="20">
                  <c:v>151112.05138907253</c:v>
                </c:pt>
                <c:pt idx="21">
                  <c:v>157577.14433588501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21-42EE-8B22-4F1E26A50DD2}"/>
            </c:ext>
          </c:extLst>
        </c:ser>
        <c:ser>
          <c:idx val="2"/>
          <c:order val="2"/>
          <c:tx>
            <c:strRef>
              <c:f>'W7. Primary Energy Prod'!$A$41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Prod'!$B$41:$Z$41</c:f>
              <c:numCache>
                <c:formatCode>#,##0.00</c:formatCode>
                <c:ptCount val="25"/>
                <c:pt idx="0">
                  <c:v>125068.22780197491</c:v>
                </c:pt>
                <c:pt idx="1">
                  <c:v>168778.45447233957</c:v>
                </c:pt>
                <c:pt idx="2">
                  <c:v>172315.25511127897</c:v>
                </c:pt>
                <c:pt idx="3">
                  <c:v>176766.93010542684</c:v>
                </c:pt>
                <c:pt idx="4">
                  <c:v>181023.47390344125</c:v>
                </c:pt>
                <c:pt idx="5">
                  <c:v>176766.93010542684</c:v>
                </c:pt>
                <c:pt idx="6">
                  <c:v>188812.24856597715</c:v>
                </c:pt>
                <c:pt idx="7">
                  <c:v>176766.93010542684</c:v>
                </c:pt>
                <c:pt idx="8">
                  <c:v>192915.71703120167</c:v>
                </c:pt>
                <c:pt idx="9">
                  <c:v>176766.93010542684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184402.36421776706</c:v>
                </c:pt>
                <c:pt idx="14">
                  <c:v>183387.41366755916</c:v>
                </c:pt>
                <c:pt idx="15">
                  <c:v>186810.83495303156</c:v>
                </c:pt>
                <c:pt idx="16">
                  <c:v>197765.15809754399</c:v>
                </c:pt>
                <c:pt idx="17">
                  <c:v>197662.35279108427</c:v>
                </c:pt>
                <c:pt idx="18">
                  <c:v>95369.320783498319</c:v>
                </c:pt>
                <c:pt idx="19">
                  <c:v>56456.094738951513</c:v>
                </c:pt>
                <c:pt idx="20">
                  <c:v>197148.91761156073</c:v>
                </c:pt>
                <c:pt idx="21">
                  <c:v>147385.47978839529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21-42EE-8B22-4F1E26A50DD2}"/>
            </c:ext>
          </c:extLst>
        </c:ser>
        <c:ser>
          <c:idx val="4"/>
          <c:order val="3"/>
          <c:tx>
            <c:strRef>
              <c:f>'W7. Primary Energy Prod'!$A$43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Prod'!$B$43:$Z$43</c:f>
              <c:numCache>
                <c:formatCode>#,##0.00</c:formatCode>
                <c:ptCount val="25"/>
                <c:pt idx="0">
                  <c:v>9854.7685931259057</c:v>
                </c:pt>
                <c:pt idx="1">
                  <c:v>14514.167854150608</c:v>
                </c:pt>
                <c:pt idx="2">
                  <c:v>14568.342003330639</c:v>
                </c:pt>
                <c:pt idx="3">
                  <c:v>14514.167854150608</c:v>
                </c:pt>
                <c:pt idx="4">
                  <c:v>14514.167854150608</c:v>
                </c:pt>
                <c:pt idx="5">
                  <c:v>14514.167854150608</c:v>
                </c:pt>
                <c:pt idx="6">
                  <c:v>14514.167854150608</c:v>
                </c:pt>
                <c:pt idx="7">
                  <c:v>14514.167854150608</c:v>
                </c:pt>
                <c:pt idx="8">
                  <c:v>14514.167854150608</c:v>
                </c:pt>
                <c:pt idx="9">
                  <c:v>14514.167854150608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15996.975726628425</c:v>
                </c:pt>
                <c:pt idx="14">
                  <c:v>15975.507766665298</c:v>
                </c:pt>
                <c:pt idx="15">
                  <c:v>18032.949236508612</c:v>
                </c:pt>
                <c:pt idx="16">
                  <c:v>23100.058135655392</c:v>
                </c:pt>
                <c:pt idx="17">
                  <c:v>23771.416194236695</c:v>
                </c:pt>
                <c:pt idx="18">
                  <c:v>24729.32</c:v>
                </c:pt>
                <c:pt idx="19">
                  <c:v>22237.50176860678</c:v>
                </c:pt>
                <c:pt idx="20">
                  <c:v>24552.996119163538</c:v>
                </c:pt>
                <c:pt idx="21">
                  <c:v>24925.344846272601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021-42EE-8B22-4F1E26A50DD2}"/>
            </c:ext>
          </c:extLst>
        </c:ser>
        <c:ser>
          <c:idx val="0"/>
          <c:order val="4"/>
          <c:tx>
            <c:strRef>
              <c:f>'W7. Primary Energy Prod'!$A$39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Prod'!$B$39:$Z$39</c:f>
              <c:numCache>
                <c:formatCode>#,##0.00</c:formatCode>
                <c:ptCount val="25"/>
                <c:pt idx="0">
                  <c:v>54246.265938380871</c:v>
                </c:pt>
                <c:pt idx="1">
                  <c:v>79622.936931933436</c:v>
                </c:pt>
                <c:pt idx="2">
                  <c:v>84942.475119495168</c:v>
                </c:pt>
                <c:pt idx="3">
                  <c:v>95987.494917697361</c:v>
                </c:pt>
                <c:pt idx="4">
                  <c:v>104851.12155290123</c:v>
                </c:pt>
                <c:pt idx="5">
                  <c:v>95987.494917697361</c:v>
                </c:pt>
                <c:pt idx="6">
                  <c:v>132295.15355481085</c:v>
                </c:pt>
                <c:pt idx="7">
                  <c:v>95987.494917697361</c:v>
                </c:pt>
                <c:pt idx="8">
                  <c:v>110645.3805670461</c:v>
                </c:pt>
                <c:pt idx="9">
                  <c:v>95987.494917697361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109852.07655804059</c:v>
                </c:pt>
                <c:pt idx="14">
                  <c:v>110376.87895889895</c:v>
                </c:pt>
                <c:pt idx="15">
                  <c:v>121311.48930648089</c:v>
                </c:pt>
                <c:pt idx="16">
                  <c:v>149365.82653458969</c:v>
                </c:pt>
                <c:pt idx="17">
                  <c:v>151972.27198691817</c:v>
                </c:pt>
                <c:pt idx="18">
                  <c:v>186916.97886996056</c:v>
                </c:pt>
                <c:pt idx="19">
                  <c:v>187545.43321462203</c:v>
                </c:pt>
                <c:pt idx="20">
                  <c:v>168023.66238076251</c:v>
                </c:pt>
                <c:pt idx="21">
                  <c:v>169759.94537136634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1-42EE-8B22-4F1E26A50DD2}"/>
            </c:ext>
          </c:extLst>
        </c:ser>
        <c:ser>
          <c:idx val="3"/>
          <c:order val="5"/>
          <c:tx>
            <c:strRef>
              <c:f>'W7. Primary Energy Prod'!$A$42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Prod'!$B$42:$Z$42</c:f>
              <c:numCache>
                <c:formatCode>#,##0.00</c:formatCode>
                <c:ptCount val="25"/>
                <c:pt idx="0">
                  <c:v>10438.652617147358</c:v>
                </c:pt>
                <c:pt idx="1">
                  <c:v>16083.166527070434</c:v>
                </c:pt>
                <c:pt idx="2">
                  <c:v>16325.917505495083</c:v>
                </c:pt>
                <c:pt idx="3">
                  <c:v>17241.713076375538</c:v>
                </c:pt>
                <c:pt idx="4">
                  <c:v>17428.252668332996</c:v>
                </c:pt>
                <c:pt idx="5">
                  <c:v>17241.713076375538</c:v>
                </c:pt>
                <c:pt idx="6">
                  <c:v>18195.141865015896</c:v>
                </c:pt>
                <c:pt idx="7">
                  <c:v>17241.713076375538</c:v>
                </c:pt>
                <c:pt idx="8">
                  <c:v>17812.023045098293</c:v>
                </c:pt>
                <c:pt idx="9">
                  <c:v>17241.713076375538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18695.667122362567</c:v>
                </c:pt>
                <c:pt idx="14">
                  <c:v>18732.909613359025</c:v>
                </c:pt>
                <c:pt idx="15">
                  <c:v>20498.349948626248</c:v>
                </c:pt>
                <c:pt idx="16">
                  <c:v>23790.208360954173</c:v>
                </c:pt>
                <c:pt idx="17">
                  <c:v>24529.34491063984</c:v>
                </c:pt>
                <c:pt idx="18">
                  <c:v>31262.479715490146</c:v>
                </c:pt>
                <c:pt idx="19">
                  <c:v>29545.026525364927</c:v>
                </c:pt>
                <c:pt idx="20">
                  <c:v>25435.876568493761</c:v>
                </c:pt>
                <c:pt idx="21">
                  <c:v>27586.463990941778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021-42EE-8B22-4F1E26A50DD2}"/>
            </c:ext>
          </c:extLst>
        </c:ser>
        <c:ser>
          <c:idx val="7"/>
          <c:order val="6"/>
          <c:tx>
            <c:strRef>
              <c:f>'W7. Primary Energy Prod'!$A$46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Prod'!$B$46:$Z$46</c:f>
              <c:numCache>
                <c:formatCode>#,##0.00</c:formatCode>
                <c:ptCount val="25"/>
                <c:pt idx="0">
                  <c:v>519.19396603460677</c:v>
                </c:pt>
                <c:pt idx="1">
                  <c:v>2002.6521758783342</c:v>
                </c:pt>
                <c:pt idx="2">
                  <c:v>2319.3539430956439</c:v>
                </c:pt>
                <c:pt idx="3">
                  <c:v>2735.0686521639873</c:v>
                </c:pt>
                <c:pt idx="4">
                  <c:v>4346.1138690338703</c:v>
                </c:pt>
                <c:pt idx="5">
                  <c:v>2735.0686521639873</c:v>
                </c:pt>
                <c:pt idx="6">
                  <c:v>4495.7747787750059</c:v>
                </c:pt>
                <c:pt idx="7">
                  <c:v>2735.0686521639873</c:v>
                </c:pt>
                <c:pt idx="8">
                  <c:v>4337.6455704266982</c:v>
                </c:pt>
                <c:pt idx="9">
                  <c:v>2735.0686521639873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11321.793591220989</c:v>
                </c:pt>
                <c:pt idx="14">
                  <c:v>11336.326215150055</c:v>
                </c:pt>
                <c:pt idx="15">
                  <c:v>18560.588178635255</c:v>
                </c:pt>
                <c:pt idx="16">
                  <c:v>25431.280817055129</c:v>
                </c:pt>
                <c:pt idx="17">
                  <c:v>25303.218537157802</c:v>
                </c:pt>
                <c:pt idx="18">
                  <c:v>44758.489243761767</c:v>
                </c:pt>
                <c:pt idx="19">
                  <c:v>33922.626732586352</c:v>
                </c:pt>
                <c:pt idx="20">
                  <c:v>25674.355061546779</c:v>
                </c:pt>
                <c:pt idx="21">
                  <c:v>27178.015982285819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021-42EE-8B22-4F1E26A50DD2}"/>
            </c:ext>
          </c:extLst>
        </c:ser>
        <c:ser>
          <c:idx val="8"/>
          <c:order val="7"/>
          <c:tx>
            <c:strRef>
              <c:f>'W7. Primary Energy Prod'!$A$47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Prod'!$B$47:$Z$47</c:f>
              <c:numCache>
                <c:formatCode>#,##0.00</c:formatCode>
                <c:ptCount val="25"/>
                <c:pt idx="0">
                  <c:v>1704.9418897085425</c:v>
                </c:pt>
                <c:pt idx="1">
                  <c:v>10568.055334803987</c:v>
                </c:pt>
                <c:pt idx="2">
                  <c:v>10699.247864870576</c:v>
                </c:pt>
                <c:pt idx="3">
                  <c:v>10882.32058635127</c:v>
                </c:pt>
                <c:pt idx="4">
                  <c:v>11687.103641782611</c:v>
                </c:pt>
                <c:pt idx="5">
                  <c:v>10882.32058635127</c:v>
                </c:pt>
                <c:pt idx="6">
                  <c:v>13084.955487531341</c:v>
                </c:pt>
                <c:pt idx="7">
                  <c:v>10882.32058635127</c:v>
                </c:pt>
                <c:pt idx="8">
                  <c:v>12230.817081009372</c:v>
                </c:pt>
                <c:pt idx="9">
                  <c:v>10882.32058635127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35131.682108742236</c:v>
                </c:pt>
                <c:pt idx="14">
                  <c:v>35401.277503274396</c:v>
                </c:pt>
                <c:pt idx="15">
                  <c:v>35685.876785717061</c:v>
                </c:pt>
                <c:pt idx="16">
                  <c:v>35070.13325460851</c:v>
                </c:pt>
                <c:pt idx="17">
                  <c:v>34981.449026780552</c:v>
                </c:pt>
                <c:pt idx="18">
                  <c:v>59060.33695313675</c:v>
                </c:pt>
                <c:pt idx="19">
                  <c:v>48641.893576000104</c:v>
                </c:pt>
                <c:pt idx="20">
                  <c:v>35889.905723426833</c:v>
                </c:pt>
                <c:pt idx="21">
                  <c:v>37655.530009808834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021-42EE-8B22-4F1E26A50DD2}"/>
            </c:ext>
          </c:extLst>
        </c:ser>
        <c:ser>
          <c:idx val="6"/>
          <c:order val="8"/>
          <c:tx>
            <c:strRef>
              <c:f>'W7. Primary Energy Prod'!$A$45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'W7. Primary Energy Prod'!$B$37:$Z$38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'W7. Primary Energy Prod'!$B$45:$Z$45</c:f>
              <c:numCache>
                <c:formatCode>#,##0.00</c:formatCode>
                <c:ptCount val="25"/>
                <c:pt idx="0">
                  <c:v>196.69433845100562</c:v>
                </c:pt>
                <c:pt idx="1">
                  <c:v>3271.9395882018662</c:v>
                </c:pt>
                <c:pt idx="2">
                  <c:v>4026.7903936895591</c:v>
                </c:pt>
                <c:pt idx="3">
                  <c:v>4279.9501535856525</c:v>
                </c:pt>
                <c:pt idx="4">
                  <c:v>4290.8040431569516</c:v>
                </c:pt>
                <c:pt idx="5">
                  <c:v>4279.9501535856525</c:v>
                </c:pt>
                <c:pt idx="6">
                  <c:v>6366.6521536845012</c:v>
                </c:pt>
                <c:pt idx="7">
                  <c:v>4279.9501535856525</c:v>
                </c:pt>
                <c:pt idx="8">
                  <c:v>4290.8040431569516</c:v>
                </c:pt>
                <c:pt idx="9">
                  <c:v>4279.9501535856525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7069.2399588807812</c:v>
                </c:pt>
                <c:pt idx="14">
                  <c:v>7145.1119806891811</c:v>
                </c:pt>
                <c:pt idx="15">
                  <c:v>7288.2593035987747</c:v>
                </c:pt>
                <c:pt idx="16">
                  <c:v>8146.624357109562</c:v>
                </c:pt>
                <c:pt idx="17">
                  <c:v>8523.2253425070521</c:v>
                </c:pt>
                <c:pt idx="18">
                  <c:v>28699.222764458656</c:v>
                </c:pt>
                <c:pt idx="19">
                  <c:v>35965.512389072479</c:v>
                </c:pt>
                <c:pt idx="20">
                  <c:v>8300.0638732088046</c:v>
                </c:pt>
                <c:pt idx="21">
                  <c:v>11996.890419244633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021-42EE-8B22-4F1E26A50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'W8. Power New Cap'!$B$13</c:f>
          <c:strCache>
            <c:ptCount val="1"/>
            <c:pt idx="0">
              <c:v>POWGEN - BIO CCS GW added in period between snapshot year and previous snapshot year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'W8. Power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8F-4816-A351-9A7FD4D492F6}"/>
            </c:ext>
          </c:extLst>
        </c:ser>
        <c:ser>
          <c:idx val="1"/>
          <c:order val="1"/>
          <c:tx>
            <c:strRef>
              <c:f>'W8. Power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8F-4816-A351-9A7FD4D492F6}"/>
            </c:ext>
          </c:extLst>
        </c:ser>
        <c:ser>
          <c:idx val="2"/>
          <c:order val="2"/>
          <c:tx>
            <c:strRef>
              <c:f>'W8. Power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8F-4816-A351-9A7FD4D492F6}"/>
            </c:ext>
          </c:extLst>
        </c:ser>
        <c:ser>
          <c:idx val="3"/>
          <c:order val="3"/>
          <c:tx>
            <c:strRef>
              <c:f>'W8. Power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11.67655963802517</c:v>
                </c:pt>
                <c:pt idx="3">
                  <c:v>50.764259196089725</c:v>
                </c:pt>
                <c:pt idx="4">
                  <c:v>222.17326833520923</c:v>
                </c:pt>
                <c:pt idx="5">
                  <c:v>884.85448547169221</c:v>
                </c:pt>
                <c:pt idx="6">
                  <c:v>599.80102604245678</c:v>
                </c:pt>
                <c:pt idx="7">
                  <c:v>1237.598706513606</c:v>
                </c:pt>
                <c:pt idx="8">
                  <c:v>1107.4015427442255</c:v>
                </c:pt>
                <c:pt idx="9">
                  <c:v>921.91927566362426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08F-4816-A351-9A7FD4D492F6}"/>
            </c:ext>
          </c:extLst>
        </c:ser>
        <c:ser>
          <c:idx val="4"/>
          <c:order val="4"/>
          <c:tx>
            <c:strRef>
              <c:f>'W8. Power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21.654915170512108</c:v>
                </c:pt>
                <c:pt idx="4">
                  <c:v>126.87022238707949</c:v>
                </c:pt>
                <c:pt idx="5">
                  <c:v>699.5809764207047</c:v>
                </c:pt>
                <c:pt idx="6">
                  <c:v>1057.9081768192518</c:v>
                </c:pt>
                <c:pt idx="7">
                  <c:v>1130.3473231285602</c:v>
                </c:pt>
                <c:pt idx="8">
                  <c:v>683.54806652159925</c:v>
                </c:pt>
                <c:pt idx="9">
                  <c:v>1667.4277408524113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08F-4816-A351-9A7FD4D492F6}"/>
            </c:ext>
          </c:extLst>
        </c:ser>
        <c:ser>
          <c:idx val="5"/>
          <c:order val="5"/>
          <c:tx>
            <c:strRef>
              <c:f>'W8. Power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32.342658057001998</c:v>
                </c:pt>
                <c:pt idx="3">
                  <c:v>798.18375976973846</c:v>
                </c:pt>
                <c:pt idx="4">
                  <c:v>1334.2423724623454</c:v>
                </c:pt>
                <c:pt idx="5">
                  <c:v>968.23605030503734</c:v>
                </c:pt>
                <c:pt idx="6">
                  <c:v>53.973618292387755</c:v>
                </c:pt>
                <c:pt idx="7">
                  <c:v>1967.6384607918062</c:v>
                </c:pt>
                <c:pt idx="8">
                  <c:v>1055.4587171958108</c:v>
                </c:pt>
                <c:pt idx="9">
                  <c:v>701.30126630146788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08F-4816-A351-9A7FD4D492F6}"/>
            </c:ext>
          </c:extLst>
        </c:ser>
        <c:ser>
          <c:idx val="6"/>
          <c:order val="6"/>
          <c:tx>
            <c:strRef>
              <c:f>'W8. Power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27.33146094537064</c:v>
                </c:pt>
                <c:pt idx="4">
                  <c:v>1983.3393075977708</c:v>
                </c:pt>
                <c:pt idx="5">
                  <c:v>2209.323055687702</c:v>
                </c:pt>
                <c:pt idx="6">
                  <c:v>0</c:v>
                </c:pt>
                <c:pt idx="7">
                  <c:v>128.7897303460968</c:v>
                </c:pt>
                <c:pt idx="8">
                  <c:v>1369.3890544832025</c:v>
                </c:pt>
                <c:pt idx="9">
                  <c:v>1941.2072749180525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8F-4816-A351-9A7FD4D492F6}"/>
            </c:ext>
          </c:extLst>
        </c:ser>
        <c:ser>
          <c:idx val="7"/>
          <c:order val="7"/>
          <c:tx>
            <c:strRef>
              <c:f>'W8. Power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28.833284868841158</c:v>
                </c:pt>
                <c:pt idx="3">
                  <c:v>131.16131736591188</c:v>
                </c:pt>
                <c:pt idx="4">
                  <c:v>611.62494756455817</c:v>
                </c:pt>
                <c:pt idx="5">
                  <c:v>1345.0500028295721</c:v>
                </c:pt>
                <c:pt idx="6">
                  <c:v>650.24817990229906</c:v>
                </c:pt>
                <c:pt idx="7">
                  <c:v>1149.4700011838263</c:v>
                </c:pt>
                <c:pt idx="8">
                  <c:v>1662.9582483325248</c:v>
                </c:pt>
                <c:pt idx="9">
                  <c:v>695.3357361236782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F-4816-A351-9A7FD4D492F6}"/>
            </c:ext>
          </c:extLst>
        </c:ser>
        <c:ser>
          <c:idx val="8"/>
          <c:order val="8"/>
          <c:tx>
            <c:strRef>
              <c:f>'W8. Power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'W8. Power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'W8. Power New Cap'!$J$25:$J$34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33.051066326497484</c:v>
                </c:pt>
                <c:pt idx="4">
                  <c:v>544.86948992211842</c:v>
                </c:pt>
                <c:pt idx="5">
                  <c:v>2395.6336875644738</c:v>
                </c:pt>
                <c:pt idx="6">
                  <c:v>179.8157797332901</c:v>
                </c:pt>
                <c:pt idx="7">
                  <c:v>890.85694715396494</c:v>
                </c:pt>
                <c:pt idx="8">
                  <c:v>1663.6256809688157</c:v>
                </c:pt>
                <c:pt idx="9">
                  <c:v>1667.2696729082697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8F-4816-A351-9A7FD4D49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Power generatio</a:t>
            </a:r>
            <a:r>
              <a:rPr lang="en-GB" baseline="0"/>
              <a:t>n new capacity by source (GW between snapshot year and previous snapshot year)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'W8. Power New Cap'!$A$40</c:f>
              <c:strCache>
                <c:ptCount val="1"/>
                <c:pt idx="0">
                  <c:v>POWGEN - COA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Cap'!$B$40:$Z$40</c:f>
              <c:numCache>
                <c:formatCode>#,##0.00</c:formatCode>
                <c:ptCount val="25"/>
                <c:pt idx="0">
                  <c:v>171.97506671901115</c:v>
                </c:pt>
                <c:pt idx="1">
                  <c:v>333.56406109593973</c:v>
                </c:pt>
                <c:pt idx="2">
                  <c:v>298.3894526868886</c:v>
                </c:pt>
                <c:pt idx="3">
                  <c:v>16.396787724521602</c:v>
                </c:pt>
                <c:pt idx="4">
                  <c:v>0</c:v>
                </c:pt>
                <c:pt idx="5">
                  <c:v>16.396787724521602</c:v>
                </c:pt>
                <c:pt idx="6">
                  <c:v>0</c:v>
                </c:pt>
                <c:pt idx="7">
                  <c:v>16.396787724521602</c:v>
                </c:pt>
                <c:pt idx="8">
                  <c:v>0</c:v>
                </c:pt>
                <c:pt idx="9">
                  <c:v>16.396787724521602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760.36558275996595</c:v>
                </c:pt>
                <c:pt idx="14">
                  <c:v>700.53385343188461</c:v>
                </c:pt>
                <c:pt idx="15">
                  <c:v>436.42957410824033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0C-4EB0-BD31-DFFC22E0D90F}"/>
            </c:ext>
          </c:extLst>
        </c:ser>
        <c:ser>
          <c:idx val="2"/>
          <c:order val="1"/>
          <c:tx>
            <c:strRef>
              <c:f>'W8. Power New Cap'!$A$41</c:f>
              <c:strCache>
                <c:ptCount val="1"/>
                <c:pt idx="0">
                  <c:v>POWGEN -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Cap'!$B$41:$Z$41</c:f>
              <c:numCache>
                <c:formatCode>#,##0.00</c:formatCode>
                <c:ptCount val="25"/>
                <c:pt idx="0">
                  <c:v>625.93335166737552</c:v>
                </c:pt>
                <c:pt idx="1">
                  <c:v>28.313666681640001</c:v>
                </c:pt>
                <c:pt idx="2">
                  <c:v>9.9028665568190082</c:v>
                </c:pt>
                <c:pt idx="3">
                  <c:v>16.783672963106241</c:v>
                </c:pt>
                <c:pt idx="4">
                  <c:v>58.789098582848126</c:v>
                </c:pt>
                <c:pt idx="5">
                  <c:v>16.783672963106241</c:v>
                </c:pt>
                <c:pt idx="6">
                  <c:v>375.31632509620255</c:v>
                </c:pt>
                <c:pt idx="7">
                  <c:v>16.783672963106241</c:v>
                </c:pt>
                <c:pt idx="8">
                  <c:v>51.269247244881754</c:v>
                </c:pt>
                <c:pt idx="9">
                  <c:v>16.783672963106241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206.99281238867439</c:v>
                </c:pt>
                <c:pt idx="14">
                  <c:v>171.60186211871704</c:v>
                </c:pt>
                <c:pt idx="15">
                  <c:v>217.91255421544568</c:v>
                </c:pt>
                <c:pt idx="16">
                  <c:v>508.85641472153429</c:v>
                </c:pt>
                <c:pt idx="17">
                  <c:v>511.77454623352429</c:v>
                </c:pt>
                <c:pt idx="18">
                  <c:v>11.080716073913599</c:v>
                </c:pt>
                <c:pt idx="19">
                  <c:v>64.453809371343397</c:v>
                </c:pt>
                <c:pt idx="20">
                  <c:v>618.91842344703514</c:v>
                </c:pt>
                <c:pt idx="21">
                  <c:v>387.7516934928683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30C-4EB0-BD31-DFFC22E0D90F}"/>
            </c:ext>
          </c:extLst>
        </c:ser>
        <c:ser>
          <c:idx val="5"/>
          <c:order val="2"/>
          <c:tx>
            <c:strRef>
              <c:f>'W8. Power New Cap'!$A$44</c:f>
              <c:strCache>
                <c:ptCount val="1"/>
                <c:pt idx="0">
                  <c:v>POWGEN - NUC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Cap'!$B$44:$Z$44</c:f>
              <c:numCache>
                <c:formatCode>#,##0.00</c:formatCode>
                <c:ptCount val="25"/>
                <c:pt idx="0">
                  <c:v>0</c:v>
                </c:pt>
                <c:pt idx="1">
                  <c:v>21.055421266348525</c:v>
                </c:pt>
                <c:pt idx="2">
                  <c:v>20.185372472413331</c:v>
                </c:pt>
                <c:pt idx="3">
                  <c:v>22.553218427439354</c:v>
                </c:pt>
                <c:pt idx="4">
                  <c:v>74.412462999148872</c:v>
                </c:pt>
                <c:pt idx="5">
                  <c:v>22.553218427439354</c:v>
                </c:pt>
                <c:pt idx="6">
                  <c:v>140.00690235624023</c:v>
                </c:pt>
                <c:pt idx="7">
                  <c:v>22.553218427439354</c:v>
                </c:pt>
                <c:pt idx="8">
                  <c:v>94.943116153705176</c:v>
                </c:pt>
                <c:pt idx="9">
                  <c:v>22.553218427439354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476.06428234868918</c:v>
                </c:pt>
                <c:pt idx="14">
                  <c:v>476.86515828368448</c:v>
                </c:pt>
                <c:pt idx="15">
                  <c:v>474.97659380392099</c:v>
                </c:pt>
                <c:pt idx="16">
                  <c:v>664.0842237436035</c:v>
                </c:pt>
                <c:pt idx="17">
                  <c:v>637.73484501282053</c:v>
                </c:pt>
                <c:pt idx="18">
                  <c:v>544.9750613292407</c:v>
                </c:pt>
                <c:pt idx="19">
                  <c:v>557.24172477940488</c:v>
                </c:pt>
                <c:pt idx="20">
                  <c:v>609.95182156911994</c:v>
                </c:pt>
                <c:pt idx="21">
                  <c:v>620.70961578424976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30C-4EB0-BD31-DFFC22E0D90F}"/>
            </c:ext>
          </c:extLst>
        </c:ser>
        <c:ser>
          <c:idx val="4"/>
          <c:order val="3"/>
          <c:tx>
            <c:strRef>
              <c:f>'W8. Power New Cap'!$A$43</c:f>
              <c:strCache>
                <c:ptCount val="1"/>
                <c:pt idx="0">
                  <c:v>POWGEN - HYD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Cap'!$B$43:$Z$43</c:f>
              <c:numCache>
                <c:formatCode>#,##0.00</c:formatCode>
                <c:ptCount val="25"/>
                <c:pt idx="0">
                  <c:v>162.76418662806225</c:v>
                </c:pt>
                <c:pt idx="1">
                  <c:v>56.320636054805078</c:v>
                </c:pt>
                <c:pt idx="2">
                  <c:v>58.394851390360479</c:v>
                </c:pt>
                <c:pt idx="3">
                  <c:v>132.60270357542757</c:v>
                </c:pt>
                <c:pt idx="4">
                  <c:v>198.86448564473108</c:v>
                </c:pt>
                <c:pt idx="5">
                  <c:v>132.60270357542757</c:v>
                </c:pt>
                <c:pt idx="6">
                  <c:v>764.69967783347067</c:v>
                </c:pt>
                <c:pt idx="7">
                  <c:v>132.60270357542757</c:v>
                </c:pt>
                <c:pt idx="8">
                  <c:v>306.53490115272592</c:v>
                </c:pt>
                <c:pt idx="9">
                  <c:v>132.60270357542757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73.077329434524628</c:v>
                </c:pt>
                <c:pt idx="14">
                  <c:v>63.046726685744041</c:v>
                </c:pt>
                <c:pt idx="15">
                  <c:v>82.973048076858007</c:v>
                </c:pt>
                <c:pt idx="16">
                  <c:v>210.34071276155089</c:v>
                </c:pt>
                <c:pt idx="17">
                  <c:v>187.94021586366182</c:v>
                </c:pt>
                <c:pt idx="18">
                  <c:v>439.25926526230603</c:v>
                </c:pt>
                <c:pt idx="19">
                  <c:v>798.3932608239453</c:v>
                </c:pt>
                <c:pt idx="20">
                  <c:v>217.53575621751924</c:v>
                </c:pt>
                <c:pt idx="21">
                  <c:v>419.55067726757204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30C-4EB0-BD31-DFFC22E0D90F}"/>
            </c:ext>
          </c:extLst>
        </c:ser>
        <c:ser>
          <c:idx val="6"/>
          <c:order val="4"/>
          <c:tx>
            <c:strRef>
              <c:f>'W8. Power New Cap'!$A$45</c:f>
              <c:strCache>
                <c:ptCount val="1"/>
                <c:pt idx="0">
                  <c:v>POWGEN - OIL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Cap'!$B$45:$Z$45</c:f>
              <c:numCache>
                <c:formatCode>#,##0.00</c:formatCode>
                <c:ptCount val="25"/>
                <c:pt idx="0">
                  <c:v>21.625867125843534</c:v>
                </c:pt>
                <c:pt idx="1">
                  <c:v>6.7823109921478002</c:v>
                </c:pt>
                <c:pt idx="2">
                  <c:v>1.64466005415256</c:v>
                </c:pt>
                <c:pt idx="3">
                  <c:v>4.39481081527373</c:v>
                </c:pt>
                <c:pt idx="4">
                  <c:v>2.2198454799124101</c:v>
                </c:pt>
                <c:pt idx="5">
                  <c:v>4.39481081527373</c:v>
                </c:pt>
                <c:pt idx="6">
                  <c:v>3.023673578391068</c:v>
                </c:pt>
                <c:pt idx="7">
                  <c:v>4.39481081527373</c:v>
                </c:pt>
                <c:pt idx="8">
                  <c:v>3.7704578803854698</c:v>
                </c:pt>
                <c:pt idx="9">
                  <c:v>4.39481081527373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2.48507876042755E-2</c:v>
                </c:pt>
                <c:pt idx="16">
                  <c:v>0</c:v>
                </c:pt>
                <c:pt idx="17">
                  <c:v>0</c:v>
                </c:pt>
                <c:pt idx="18">
                  <c:v>4.1771300829995504</c:v>
                </c:pt>
                <c:pt idx="19">
                  <c:v>7.4565798215670904</c:v>
                </c:pt>
                <c:pt idx="20">
                  <c:v>2.2493698403731299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30C-4EB0-BD31-DFFC22E0D90F}"/>
            </c:ext>
          </c:extLst>
        </c:ser>
        <c:ser>
          <c:idx val="3"/>
          <c:order val="5"/>
          <c:tx>
            <c:strRef>
              <c:f>'W8. Power New Cap'!$A$42</c:f>
              <c:strCache>
                <c:ptCount val="1"/>
                <c:pt idx="0">
                  <c:v>POWGEN - GEO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Cap'!$B$42:$Z$42</c:f>
              <c:numCache>
                <c:formatCode>#,##0.00</c:formatCode>
                <c:ptCount val="25"/>
                <c:pt idx="0">
                  <c:v>0.33361993333333301</c:v>
                </c:pt>
                <c:pt idx="1">
                  <c:v>106.94534869449669</c:v>
                </c:pt>
                <c:pt idx="2">
                  <c:v>49.662733746167476</c:v>
                </c:pt>
                <c:pt idx="3">
                  <c:v>53.162220652850131</c:v>
                </c:pt>
                <c:pt idx="4">
                  <c:v>53.53277898674402</c:v>
                </c:pt>
                <c:pt idx="5">
                  <c:v>53.162220652850131</c:v>
                </c:pt>
                <c:pt idx="6">
                  <c:v>488.34249158390486</c:v>
                </c:pt>
                <c:pt idx="7">
                  <c:v>53.162220652850131</c:v>
                </c:pt>
                <c:pt idx="8">
                  <c:v>53.53277898674402</c:v>
                </c:pt>
                <c:pt idx="9">
                  <c:v>53.162220652850131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52.744990928380027</c:v>
                </c:pt>
                <c:pt idx="14">
                  <c:v>54.693690443373761</c:v>
                </c:pt>
                <c:pt idx="15">
                  <c:v>53.424949068371383</c:v>
                </c:pt>
                <c:pt idx="16">
                  <c:v>207.07968598387023</c:v>
                </c:pt>
                <c:pt idx="17">
                  <c:v>286.59172998668396</c:v>
                </c:pt>
                <c:pt idx="18">
                  <c:v>51.936892553276465</c:v>
                </c:pt>
                <c:pt idx="19">
                  <c:v>52.289097484560216</c:v>
                </c:pt>
                <c:pt idx="20">
                  <c:v>267.80596941996049</c:v>
                </c:pt>
                <c:pt idx="21">
                  <c:v>412.36225028141649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0C-4EB0-BD31-DFFC22E0D90F}"/>
            </c:ext>
          </c:extLst>
        </c:ser>
        <c:ser>
          <c:idx val="7"/>
          <c:order val="6"/>
          <c:tx>
            <c:strRef>
              <c:f>'W8. Power New Cap'!$A$46</c:f>
              <c:strCache>
                <c:ptCount val="1"/>
                <c:pt idx="0">
                  <c:v>POWGEN - SOPV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Cap'!$B$46:$Z$46</c:f>
              <c:numCache>
                <c:formatCode>#,##0.00</c:formatCode>
                <c:ptCount val="25"/>
                <c:pt idx="0">
                  <c:v>82.719415916369499</c:v>
                </c:pt>
                <c:pt idx="1">
                  <c:v>197.52301711237249</c:v>
                </c:pt>
                <c:pt idx="2">
                  <c:v>269.40437900402969</c:v>
                </c:pt>
                <c:pt idx="3">
                  <c:v>401.65756364057171</c:v>
                </c:pt>
                <c:pt idx="4">
                  <c:v>742.22971713158609</c:v>
                </c:pt>
                <c:pt idx="5">
                  <c:v>401.65756364057171</c:v>
                </c:pt>
                <c:pt idx="6">
                  <c:v>768.10910564402639</c:v>
                </c:pt>
                <c:pt idx="7">
                  <c:v>401.65756364057171</c:v>
                </c:pt>
                <c:pt idx="8">
                  <c:v>740.43953054965323</c:v>
                </c:pt>
                <c:pt idx="9">
                  <c:v>401.65756364057171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1295.8515966284031</c:v>
                </c:pt>
                <c:pt idx="14">
                  <c:v>1334.8823056976903</c:v>
                </c:pt>
                <c:pt idx="15">
                  <c:v>2510.7974973261212</c:v>
                </c:pt>
                <c:pt idx="16">
                  <c:v>2542.7813221887568</c:v>
                </c:pt>
                <c:pt idx="17">
                  <c:v>3222.2641899973542</c:v>
                </c:pt>
                <c:pt idx="18">
                  <c:v>5387.9584851718355</c:v>
                </c:pt>
                <c:pt idx="19">
                  <c:v>4846.3888195400159</c:v>
                </c:pt>
                <c:pt idx="20">
                  <c:v>2282.7818583624739</c:v>
                </c:pt>
                <c:pt idx="21">
                  <c:v>3569.1384606941183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30C-4EB0-BD31-DFFC22E0D90F}"/>
            </c:ext>
          </c:extLst>
        </c:ser>
        <c:ser>
          <c:idx val="8"/>
          <c:order val="7"/>
          <c:tx>
            <c:strRef>
              <c:f>'W8. Power New Cap'!$A$47</c:f>
              <c:strCache>
                <c:ptCount val="1"/>
                <c:pt idx="0">
                  <c:v>POWGEN - SOTH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Cap'!$B$47:$Z$47</c:f>
              <c:numCache>
                <c:formatCode>#,##0.00</c:formatCode>
                <c:ptCount val="25"/>
                <c:pt idx="0">
                  <c:v>1.0352472304670233</c:v>
                </c:pt>
                <c:pt idx="1">
                  <c:v>10.614238269375846</c:v>
                </c:pt>
                <c:pt idx="2">
                  <c:v>10.614238269375846</c:v>
                </c:pt>
                <c:pt idx="3">
                  <c:v>10.613038269375846</c:v>
                </c:pt>
                <c:pt idx="4">
                  <c:v>10.612638265775848</c:v>
                </c:pt>
                <c:pt idx="5">
                  <c:v>10.613038269375846</c:v>
                </c:pt>
                <c:pt idx="6">
                  <c:v>15.815621965780913</c:v>
                </c:pt>
                <c:pt idx="7">
                  <c:v>10.613038269375846</c:v>
                </c:pt>
                <c:pt idx="8">
                  <c:v>10.612638265775848</c:v>
                </c:pt>
                <c:pt idx="9">
                  <c:v>10.613038269375846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5.6511028676029573</c:v>
                </c:pt>
                <c:pt idx="14">
                  <c:v>5.6511028676029573</c:v>
                </c:pt>
                <c:pt idx="15">
                  <c:v>5.6474512027965913</c:v>
                </c:pt>
                <c:pt idx="16">
                  <c:v>5.6657599553605813</c:v>
                </c:pt>
                <c:pt idx="17">
                  <c:v>5.6512966655079877</c:v>
                </c:pt>
                <c:pt idx="18">
                  <c:v>135.41008566476367</c:v>
                </c:pt>
                <c:pt idx="19">
                  <c:v>29.83070254894427</c:v>
                </c:pt>
                <c:pt idx="20">
                  <c:v>6.6178107036657421</c:v>
                </c:pt>
                <c:pt idx="21">
                  <c:v>6.5635584138142473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30C-4EB0-BD31-DFFC22E0D90F}"/>
            </c:ext>
          </c:extLst>
        </c:ser>
        <c:ser>
          <c:idx val="9"/>
          <c:order val="8"/>
          <c:tx>
            <c:strRef>
              <c:f>'W8. Power New Cap'!$A$48</c:f>
              <c:strCache>
                <c:ptCount val="1"/>
                <c:pt idx="0">
                  <c:v>POWGEN - WIN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Cap'!$B$48:$Z$48</c:f>
              <c:numCache>
                <c:formatCode>#,##0.00</c:formatCode>
                <c:ptCount val="25"/>
                <c:pt idx="0">
                  <c:v>30.000000000000007</c:v>
                </c:pt>
                <c:pt idx="1">
                  <c:v>1147.1996204149011</c:v>
                </c:pt>
                <c:pt idx="2">
                  <c:v>1168.1088189864438</c:v>
                </c:pt>
                <c:pt idx="3">
                  <c:v>1203.724349327679</c:v>
                </c:pt>
                <c:pt idx="4">
                  <c:v>1338.2038416011876</c:v>
                </c:pt>
                <c:pt idx="5">
                  <c:v>1203.724349327679</c:v>
                </c:pt>
                <c:pt idx="6">
                  <c:v>1578.2302879462022</c:v>
                </c:pt>
                <c:pt idx="7">
                  <c:v>1203.724349327679</c:v>
                </c:pt>
                <c:pt idx="8">
                  <c:v>1430.9035690230371</c:v>
                </c:pt>
                <c:pt idx="9">
                  <c:v>1203.724349327679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1883.7492959893732</c:v>
                </c:pt>
                <c:pt idx="14">
                  <c:v>1855.7082582521189</c:v>
                </c:pt>
                <c:pt idx="15">
                  <c:v>1995.2288515138034</c:v>
                </c:pt>
                <c:pt idx="16">
                  <c:v>2111.5608430961393</c:v>
                </c:pt>
                <c:pt idx="17">
                  <c:v>1958.7756565550242</c:v>
                </c:pt>
                <c:pt idx="18">
                  <c:v>5641.1153035616371</c:v>
                </c:pt>
                <c:pt idx="19">
                  <c:v>4372.7276933361236</c:v>
                </c:pt>
                <c:pt idx="20">
                  <c:v>2202.7410298458817</c:v>
                </c:pt>
                <c:pt idx="21">
                  <c:v>2419.0755157329691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30C-4EB0-BD31-DFFC22E0D90F}"/>
            </c:ext>
          </c:extLst>
        </c:ser>
        <c:ser>
          <c:idx val="1"/>
          <c:order val="9"/>
          <c:tx>
            <c:strRef>
              <c:f>'W8. Power New Cap'!$A$39</c:f>
              <c:strCache>
                <c:ptCount val="1"/>
                <c:pt idx="0">
                  <c:v>POWGEN - BIO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Cap'!$B$39:$Z$39</c:f>
              <c:numCache>
                <c:formatCode>#,##0.00</c:formatCode>
                <c:ptCount val="25"/>
                <c:pt idx="0">
                  <c:v>8.3774952878671591</c:v>
                </c:pt>
                <c:pt idx="1">
                  <c:v>171.1474632370774</c:v>
                </c:pt>
                <c:pt idx="2">
                  <c:v>184.29555916387272</c:v>
                </c:pt>
                <c:pt idx="3">
                  <c:v>300.17967178830617</c:v>
                </c:pt>
                <c:pt idx="4">
                  <c:v>356.11487529324154</c:v>
                </c:pt>
                <c:pt idx="5">
                  <c:v>300.17967178830617</c:v>
                </c:pt>
                <c:pt idx="6">
                  <c:v>492.12596068382487</c:v>
                </c:pt>
                <c:pt idx="7">
                  <c:v>300.17967178830617</c:v>
                </c:pt>
                <c:pt idx="8">
                  <c:v>370.91654746244757</c:v>
                </c:pt>
                <c:pt idx="9">
                  <c:v>300.17967178830617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95.287161574065436</c:v>
                </c:pt>
                <c:pt idx="14">
                  <c:v>122.96382647529198</c:v>
                </c:pt>
                <c:pt idx="15">
                  <c:v>159.61721946029746</c:v>
                </c:pt>
                <c:pt idx="16">
                  <c:v>155.46894857885781</c:v>
                </c:pt>
                <c:pt idx="17">
                  <c:v>98.475811360768517</c:v>
                </c:pt>
                <c:pt idx="18">
                  <c:v>5.6538323907106696</c:v>
                </c:pt>
                <c:pt idx="19">
                  <c:v>9.8115321080274107</c:v>
                </c:pt>
                <c:pt idx="20">
                  <c:v>4.4296963625668297</c:v>
                </c:pt>
                <c:pt idx="21">
                  <c:v>36.295237202494306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C-4EB0-BD31-DFFC22E0D90F}"/>
            </c:ext>
          </c:extLst>
        </c:ser>
        <c:ser>
          <c:idx val="10"/>
          <c:order val="10"/>
          <c:tx>
            <c:strRef>
              <c:f>'W8. Power New Cap'!$A$49</c:f>
              <c:strCache>
                <c:ptCount val="1"/>
                <c:pt idx="0">
                  <c:v>POWGEN - BIO CCS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Cap'!$B$49:$Z$49</c:f>
              <c:numCache>
                <c:formatCode>#,##0.00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11.67655963802517</c:v>
                </c:pt>
                <c:pt idx="5">
                  <c:v>0</c:v>
                </c:pt>
                <c:pt idx="6">
                  <c:v>32.342658057001998</c:v>
                </c:pt>
                <c:pt idx="7">
                  <c:v>0</c:v>
                </c:pt>
                <c:pt idx="8">
                  <c:v>28.833284868841158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222.17326833520923</c:v>
                </c:pt>
                <c:pt idx="17">
                  <c:v>126.87022238707949</c:v>
                </c:pt>
                <c:pt idx="18">
                  <c:v>1334.2423724623454</c:v>
                </c:pt>
                <c:pt idx="19">
                  <c:v>1983.3393075977708</c:v>
                </c:pt>
                <c:pt idx="20">
                  <c:v>611.62494756455817</c:v>
                </c:pt>
                <c:pt idx="21">
                  <c:v>544.86948992211842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30C-4EB0-BD31-DFFC22E0D90F}"/>
            </c:ext>
          </c:extLst>
        </c:ser>
        <c:ser>
          <c:idx val="11"/>
          <c:order val="11"/>
          <c:tx>
            <c:strRef>
              <c:f>'W8. Power New Cap'!$A$50</c:f>
              <c:strCache>
                <c:ptCount val="1"/>
                <c:pt idx="0">
                  <c:v>POWGEN - GAS CCS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'W8. Power New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'W8. Power New Cap'!$B$50:$Z$50</c:f>
              <c:numCache>
                <c:formatCode>#,##0.00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1.8153255363648859</c:v>
                </c:pt>
                <c:pt idx="7">
                  <c:v>0</c:v>
                </c:pt>
                <c:pt idx="8">
                  <c:v>2.2771989062244602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3.12325533999502</c:v>
                </c:pt>
                <c:pt idx="17">
                  <c:v>6.1897035787358003</c:v>
                </c:pt>
                <c:pt idx="18">
                  <c:v>2066.1671618885011</c:v>
                </c:pt>
                <c:pt idx="19">
                  <c:v>855.71111158547035</c:v>
                </c:pt>
                <c:pt idx="20">
                  <c:v>154.5748630910611</c:v>
                </c:pt>
                <c:pt idx="21">
                  <c:v>19.460263888769802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30C-4EB0-BD31-DFFC22E0D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'W9. Power Total Gen'!$B$13</c:f>
          <c:strCache>
            <c:ptCount val="1"/>
            <c:pt idx="0">
              <c:v>POWGEN - BIO CCS Power Generation (PJ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'W9. Power Total Gen'!$B$24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3-4BB8-B125-1F572B4A2C0D}"/>
            </c:ext>
          </c:extLst>
        </c:ser>
        <c:ser>
          <c:idx val="1"/>
          <c:order val="1"/>
          <c:tx>
            <c:strRef>
              <c:f>'W9. Power Total Gen'!$C$24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23-4BB8-B125-1F572B4A2C0D}"/>
            </c:ext>
          </c:extLst>
        </c:ser>
        <c:ser>
          <c:idx val="2"/>
          <c:order val="2"/>
          <c:tx>
            <c:strRef>
              <c:f>'W9. Power Total Gen'!$D$24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23-4BB8-B125-1F572B4A2C0D}"/>
            </c:ext>
          </c:extLst>
        </c:ser>
        <c:ser>
          <c:idx val="3"/>
          <c:order val="3"/>
          <c:tx>
            <c:strRef>
              <c:f>'W9. Power Total Gen'!$E$24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145.59217603035023</c:v>
                </c:pt>
                <c:pt idx="3">
                  <c:v>964.37596068172218</c:v>
                </c:pt>
                <c:pt idx="4">
                  <c:v>4542.4446258560292</c:v>
                </c:pt>
                <c:pt idx="5">
                  <c:v>18965.473592652841</c:v>
                </c:pt>
                <c:pt idx="6">
                  <c:v>38816.631624880189</c:v>
                </c:pt>
                <c:pt idx="7">
                  <c:v>60609.997746609944</c:v>
                </c:pt>
                <c:pt idx="8">
                  <c:v>79452.624925581971</c:v>
                </c:pt>
                <c:pt idx="9">
                  <c:v>86657.930411388748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23-4BB8-B125-1F572B4A2C0D}"/>
            </c:ext>
          </c:extLst>
        </c:ser>
        <c:ser>
          <c:idx val="4"/>
          <c:order val="4"/>
          <c:tx>
            <c:strRef>
              <c:f>'W9. Power Total Gen'!$F$24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270.00985899650868</c:v>
                </c:pt>
                <c:pt idx="4">
                  <c:v>2169.837927123408</c:v>
                </c:pt>
                <c:pt idx="5">
                  <c:v>12938.404540249272</c:v>
                </c:pt>
                <c:pt idx="6">
                  <c:v>36935.123364192586</c:v>
                </c:pt>
                <c:pt idx="7">
                  <c:v>63976.353637159496</c:v>
                </c:pt>
                <c:pt idx="8">
                  <c:v>81083.247529628003</c:v>
                </c:pt>
                <c:pt idx="9">
                  <c:v>87776.521074442906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23-4BB8-B125-1F572B4A2C0D}"/>
            </c:ext>
          </c:extLst>
        </c:ser>
        <c:ser>
          <c:idx val="5"/>
          <c:order val="5"/>
          <c:tx>
            <c:strRef>
              <c:f>'W9. Power Total Gen'!$G$24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403.27271997052515</c:v>
                </c:pt>
                <c:pt idx="3">
                  <c:v>10870.321005773201</c:v>
                </c:pt>
                <c:pt idx="4">
                  <c:v>27894.282607794783</c:v>
                </c:pt>
                <c:pt idx="5">
                  <c:v>65901.094546991444</c:v>
                </c:pt>
                <c:pt idx="6">
                  <c:v>61886.575844793566</c:v>
                </c:pt>
                <c:pt idx="7">
                  <c:v>70498.973366683276</c:v>
                </c:pt>
                <c:pt idx="8">
                  <c:v>84113.215371372062</c:v>
                </c:pt>
                <c:pt idx="9">
                  <c:v>92412.420554081851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23-4BB8-B125-1F572B4A2C0D}"/>
            </c:ext>
          </c:extLst>
        </c:ser>
        <c:ser>
          <c:idx val="6"/>
          <c:order val="6"/>
          <c:tx>
            <c:strRef>
              <c:f>'W9. Power Total Gen'!$H$24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340.78932463689671</c:v>
                </c:pt>
                <c:pt idx="4">
                  <c:v>25473.358540989968</c:v>
                </c:pt>
                <c:pt idx="5">
                  <c:v>80678.970830831691</c:v>
                </c:pt>
                <c:pt idx="6">
                  <c:v>36939.610274390689</c:v>
                </c:pt>
                <c:pt idx="7">
                  <c:v>40534.569807071966</c:v>
                </c:pt>
                <c:pt idx="8">
                  <c:v>45859.882168327029</c:v>
                </c:pt>
                <c:pt idx="9">
                  <c:v>60523.460084520506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23-4BB8-B125-1F572B4A2C0D}"/>
            </c:ext>
          </c:extLst>
        </c:ser>
        <c:ser>
          <c:idx val="7"/>
          <c:order val="7"/>
          <c:tx>
            <c:strRef>
              <c:f>'W9. Power Total Gen'!$I$24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359.51520107745858</c:v>
                </c:pt>
                <c:pt idx="3">
                  <c:v>2453.7763208585197</c:v>
                </c:pt>
                <c:pt idx="4">
                  <c:v>12154.191027748144</c:v>
                </c:pt>
                <c:pt idx="5">
                  <c:v>38293.787282623925</c:v>
                </c:pt>
                <c:pt idx="6">
                  <c:v>62185.73254732776</c:v>
                </c:pt>
                <c:pt idx="7">
                  <c:v>78414.515404931546</c:v>
                </c:pt>
                <c:pt idx="8">
                  <c:v>91157.590675333355</c:v>
                </c:pt>
                <c:pt idx="9">
                  <c:v>97123.839150176631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23-4BB8-B125-1F572B4A2C0D}"/>
            </c:ext>
          </c:extLst>
        </c:ser>
        <c:ser>
          <c:idx val="8"/>
          <c:order val="8"/>
          <c:tx>
            <c:strRef>
              <c:f>'W9. Power Total Gen'!$J$24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'W9. Power Total Gen'!$A$25:$A$34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'W9. Power Total Gen'!$J$25:$J$34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412.10569001230584</c:v>
                </c:pt>
                <c:pt idx="4">
                  <c:v>7731.9134458495946</c:v>
                </c:pt>
                <c:pt idx="5">
                  <c:v>46229.392935086915</c:v>
                </c:pt>
                <c:pt idx="6">
                  <c:v>60652.577985470467</c:v>
                </c:pt>
                <c:pt idx="7">
                  <c:v>76302.192954750208</c:v>
                </c:pt>
                <c:pt idx="8">
                  <c:v>87313.707169819434</c:v>
                </c:pt>
                <c:pt idx="9">
                  <c:v>94923.030455316373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23-4BB8-B125-1F572B4A2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power</a:t>
            </a:r>
            <a:r>
              <a:rPr lang="en-GB" baseline="0"/>
              <a:t> generation by source (PJ)</a:t>
            </a:r>
            <a:endParaRPr lang="en-GB"/>
          </a:p>
        </c:rich>
      </c:tx>
      <c:layout>
        <c:manualLayout>
          <c:xMode val="edge"/>
          <c:yMode val="edge"/>
          <c:x val="0.2812867936961641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'W9. Power Total Gen'!$A$40</c:f>
              <c:strCache>
                <c:ptCount val="1"/>
                <c:pt idx="0">
                  <c:v>POWGEN - COA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Gen'!$B$40:$Z$40</c:f>
              <c:numCache>
                <c:formatCode>#,##0.00</c:formatCode>
                <c:ptCount val="25"/>
                <c:pt idx="0">
                  <c:v>42259.332050485427</c:v>
                </c:pt>
                <c:pt idx="1">
                  <c:v>48640.65106619041</c:v>
                </c:pt>
                <c:pt idx="2">
                  <c:v>43788.120091333862</c:v>
                </c:pt>
                <c:pt idx="3">
                  <c:v>29995.093630544216</c:v>
                </c:pt>
                <c:pt idx="4">
                  <c:v>20860.314383134577</c:v>
                </c:pt>
                <c:pt idx="5">
                  <c:v>29995.093630544216</c:v>
                </c:pt>
                <c:pt idx="6">
                  <c:v>0</c:v>
                </c:pt>
                <c:pt idx="7">
                  <c:v>29995.093630544216</c:v>
                </c:pt>
                <c:pt idx="8">
                  <c:v>15659.62284806537</c:v>
                </c:pt>
                <c:pt idx="9">
                  <c:v>29995.093630544216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51598.839564556249</c:v>
                </c:pt>
                <c:pt idx="14">
                  <c:v>51652.506799666757</c:v>
                </c:pt>
                <c:pt idx="15">
                  <c:v>30961.317864540219</c:v>
                </c:pt>
                <c:pt idx="16">
                  <c:v>0</c:v>
                </c:pt>
                <c:pt idx="17">
                  <c:v>465.380187912461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3B5-4C34-811C-B7DCA209B1C7}"/>
            </c:ext>
          </c:extLst>
        </c:ser>
        <c:ser>
          <c:idx val="2"/>
          <c:order val="1"/>
          <c:tx>
            <c:strRef>
              <c:f>'W9. Power Total Gen'!$A$41</c:f>
              <c:strCache>
                <c:ptCount val="1"/>
                <c:pt idx="0">
                  <c:v>POWGEN -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Gen'!$B$41:$Z$41</c:f>
              <c:numCache>
                <c:formatCode>#,##0.00</c:formatCode>
                <c:ptCount val="25"/>
                <c:pt idx="0">
                  <c:v>15742.568461825351</c:v>
                </c:pt>
                <c:pt idx="1">
                  <c:v>14398.689418417292</c:v>
                </c:pt>
                <c:pt idx="2">
                  <c:v>12635.868080254928</c:v>
                </c:pt>
                <c:pt idx="3">
                  <c:v>18923.773890589895</c:v>
                </c:pt>
                <c:pt idx="4">
                  <c:v>19093.931385060863</c:v>
                </c:pt>
                <c:pt idx="5">
                  <c:v>18923.773890589895</c:v>
                </c:pt>
                <c:pt idx="6">
                  <c:v>27037.011968621366</c:v>
                </c:pt>
                <c:pt idx="7">
                  <c:v>18923.773890589895</c:v>
                </c:pt>
                <c:pt idx="8">
                  <c:v>19566.491189455017</c:v>
                </c:pt>
                <c:pt idx="9">
                  <c:v>18923.773890589895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1060.775447752804</c:v>
                </c:pt>
                <c:pt idx="14">
                  <c:v>517.33153743325352</c:v>
                </c:pt>
                <c:pt idx="15">
                  <c:v>1986.6517017881108</c:v>
                </c:pt>
                <c:pt idx="16">
                  <c:v>10074.464974840312</c:v>
                </c:pt>
                <c:pt idx="17">
                  <c:v>10129.993726845913</c:v>
                </c:pt>
                <c:pt idx="18">
                  <c:v>0</c:v>
                </c:pt>
                <c:pt idx="19">
                  <c:v>0</c:v>
                </c:pt>
                <c:pt idx="20">
                  <c:v>9398.7650948800183</c:v>
                </c:pt>
                <c:pt idx="21">
                  <c:v>13126.45164675711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3B5-4C34-811C-B7DCA209B1C7}"/>
            </c:ext>
          </c:extLst>
        </c:ser>
        <c:ser>
          <c:idx val="5"/>
          <c:order val="2"/>
          <c:tx>
            <c:strRef>
              <c:f>'W9. Power Total Gen'!$A$44</c:f>
              <c:strCache>
                <c:ptCount val="1"/>
                <c:pt idx="0">
                  <c:v>POWGEN - NUC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Gen'!$B$44:$Z$44</c:f>
              <c:numCache>
                <c:formatCode>#,##0.00</c:formatCode>
                <c:ptCount val="25"/>
                <c:pt idx="0">
                  <c:v>9854.768593125913</c:v>
                </c:pt>
                <c:pt idx="1">
                  <c:v>14514.167854150604</c:v>
                </c:pt>
                <c:pt idx="2">
                  <c:v>14568.342003330639</c:v>
                </c:pt>
                <c:pt idx="3">
                  <c:v>14514.167854150606</c:v>
                </c:pt>
                <c:pt idx="4">
                  <c:v>14514.167854150604</c:v>
                </c:pt>
                <c:pt idx="5">
                  <c:v>14514.167854150606</c:v>
                </c:pt>
                <c:pt idx="6">
                  <c:v>14514.167854150604</c:v>
                </c:pt>
                <c:pt idx="7">
                  <c:v>14514.167854150606</c:v>
                </c:pt>
                <c:pt idx="8">
                  <c:v>14514.167854150606</c:v>
                </c:pt>
                <c:pt idx="9">
                  <c:v>14514.167854150606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15996.975726628421</c:v>
                </c:pt>
                <c:pt idx="14">
                  <c:v>15975.507766665305</c:v>
                </c:pt>
                <c:pt idx="15">
                  <c:v>18032.949236508615</c:v>
                </c:pt>
                <c:pt idx="16">
                  <c:v>23100.058135655392</c:v>
                </c:pt>
                <c:pt idx="17">
                  <c:v>23771.416194236695</c:v>
                </c:pt>
                <c:pt idx="18">
                  <c:v>24729.320000000007</c:v>
                </c:pt>
                <c:pt idx="19">
                  <c:v>22237.501768606766</c:v>
                </c:pt>
                <c:pt idx="20">
                  <c:v>24552.996119163545</c:v>
                </c:pt>
                <c:pt idx="21">
                  <c:v>24925.344846272608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3B5-4C34-811C-B7DCA209B1C7}"/>
            </c:ext>
          </c:extLst>
        </c:ser>
        <c:ser>
          <c:idx val="4"/>
          <c:order val="3"/>
          <c:tx>
            <c:strRef>
              <c:f>'W9. Power Total Gen'!$A$43</c:f>
              <c:strCache>
                <c:ptCount val="1"/>
                <c:pt idx="0">
                  <c:v>POWGEN - HYD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Gen'!$B$43:$Z$43</c:f>
              <c:numCache>
                <c:formatCode>#,##0.00</c:formatCode>
                <c:ptCount val="25"/>
                <c:pt idx="0">
                  <c:v>10349.477981293301</c:v>
                </c:pt>
                <c:pt idx="1">
                  <c:v>16009.923163672718</c:v>
                </c:pt>
                <c:pt idx="2">
                  <c:v>16252.67414209737</c:v>
                </c:pt>
                <c:pt idx="3">
                  <c:v>17168.548108229523</c:v>
                </c:pt>
                <c:pt idx="4">
                  <c:v>17355.17407654487</c:v>
                </c:pt>
                <c:pt idx="5">
                  <c:v>17168.548108229523</c:v>
                </c:pt>
                <c:pt idx="6">
                  <c:v>18122.491862578743</c:v>
                </c:pt>
                <c:pt idx="7">
                  <c:v>17168.548108229523</c:v>
                </c:pt>
                <c:pt idx="8">
                  <c:v>17738.971768023683</c:v>
                </c:pt>
                <c:pt idx="9">
                  <c:v>17168.548108229523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18695.667122362567</c:v>
                </c:pt>
                <c:pt idx="14">
                  <c:v>18732.90961335901</c:v>
                </c:pt>
                <c:pt idx="15">
                  <c:v>20498.349948626241</c:v>
                </c:pt>
                <c:pt idx="16">
                  <c:v>23790.208360954177</c:v>
                </c:pt>
                <c:pt idx="17">
                  <c:v>24529.344910639837</c:v>
                </c:pt>
                <c:pt idx="18">
                  <c:v>31262.479715490143</c:v>
                </c:pt>
                <c:pt idx="19">
                  <c:v>29545.026525364938</c:v>
                </c:pt>
                <c:pt idx="20">
                  <c:v>25435.87656849375</c:v>
                </c:pt>
                <c:pt idx="21">
                  <c:v>27586.463990941786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3B5-4C34-811C-B7DCA209B1C7}"/>
            </c:ext>
          </c:extLst>
        </c:ser>
        <c:ser>
          <c:idx val="6"/>
          <c:order val="4"/>
          <c:tx>
            <c:strRef>
              <c:f>'W9. Power Total Gen'!$A$45</c:f>
              <c:strCache>
                <c:ptCount val="1"/>
                <c:pt idx="0">
                  <c:v>POWGEN - OIL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Gen'!$B$45:$Z$45</c:f>
              <c:numCache>
                <c:formatCode>#,##0.00</c:formatCode>
                <c:ptCount val="25"/>
                <c:pt idx="0">
                  <c:v>2356.8190162179026</c:v>
                </c:pt>
                <c:pt idx="1">
                  <c:v>1537.0506464091866</c:v>
                </c:pt>
                <c:pt idx="2">
                  <c:v>1516.6896991611875</c:v>
                </c:pt>
                <c:pt idx="3">
                  <c:v>1516.5761695611868</c:v>
                </c:pt>
                <c:pt idx="4">
                  <c:v>1503.8223551611873</c:v>
                </c:pt>
                <c:pt idx="5">
                  <c:v>1516.5761695611868</c:v>
                </c:pt>
                <c:pt idx="6">
                  <c:v>1503.8223551611866</c:v>
                </c:pt>
                <c:pt idx="7">
                  <c:v>1516.5761695611868</c:v>
                </c:pt>
                <c:pt idx="8">
                  <c:v>1503.8223551611877</c:v>
                </c:pt>
                <c:pt idx="9">
                  <c:v>1516.5761695611868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3B5-4C34-811C-B7DCA209B1C7}"/>
            </c:ext>
          </c:extLst>
        </c:ser>
        <c:ser>
          <c:idx val="3"/>
          <c:order val="5"/>
          <c:tx>
            <c:strRef>
              <c:f>'W9. Power Total Gen'!$A$42</c:f>
              <c:strCache>
                <c:ptCount val="1"/>
                <c:pt idx="0">
                  <c:v>POWGEN - GEO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Gen'!$B$42:$Z$42</c:f>
              <c:numCache>
                <c:formatCode>#,##0.00</c:formatCode>
                <c:ptCount val="25"/>
                <c:pt idx="0">
                  <c:v>194.35225063586262</c:v>
                </c:pt>
                <c:pt idx="1">
                  <c:v>3172.5909908451158</c:v>
                </c:pt>
                <c:pt idx="2">
                  <c:v>3904.0355698060566</c:v>
                </c:pt>
                <c:pt idx="3">
                  <c:v>4149.3454146666118</c:v>
                </c:pt>
                <c:pt idx="4">
                  <c:v>4159.862749522521</c:v>
                </c:pt>
                <c:pt idx="5">
                  <c:v>4149.3454146666118</c:v>
                </c:pt>
                <c:pt idx="6">
                  <c:v>6171.3434767778981</c:v>
                </c:pt>
                <c:pt idx="7">
                  <c:v>4149.3454146666118</c:v>
                </c:pt>
                <c:pt idx="8">
                  <c:v>4159.862749522521</c:v>
                </c:pt>
                <c:pt idx="9">
                  <c:v>4149.3454146666118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6850.0387198457183</c:v>
                </c:pt>
                <c:pt idx="14">
                  <c:v>6923.5581208228496</c:v>
                </c:pt>
                <c:pt idx="15">
                  <c:v>7062.2667670530764</c:v>
                </c:pt>
                <c:pt idx="16">
                  <c:v>7894.0158499123654</c:v>
                </c:pt>
                <c:pt idx="17">
                  <c:v>8258.9392853750469</c:v>
                </c:pt>
                <c:pt idx="18">
                  <c:v>27809.324384165368</c:v>
                </c:pt>
                <c:pt idx="19">
                  <c:v>34850.302702589608</c:v>
                </c:pt>
                <c:pt idx="20">
                  <c:v>8042.6975515589183</c:v>
                </c:pt>
                <c:pt idx="21">
                  <c:v>11624.893817097511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3B5-4C34-811C-B7DCA209B1C7}"/>
            </c:ext>
          </c:extLst>
        </c:ser>
        <c:ser>
          <c:idx val="7"/>
          <c:order val="6"/>
          <c:tx>
            <c:strRef>
              <c:f>'W9. Power Total Gen'!$A$46</c:f>
              <c:strCache>
                <c:ptCount val="1"/>
                <c:pt idx="0">
                  <c:v>POWGEN - SOPV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Gen'!$B$46:$Z$46</c:f>
              <c:numCache>
                <c:formatCode>#,##0.00</c:formatCode>
                <c:ptCount val="25"/>
                <c:pt idx="0">
                  <c:v>458.66984800047192</c:v>
                </c:pt>
                <c:pt idx="1">
                  <c:v>1937.9162854842307</c:v>
                </c:pt>
                <c:pt idx="2">
                  <c:v>2254.6180527015404</c:v>
                </c:pt>
                <c:pt idx="3">
                  <c:v>2670.3548260954558</c:v>
                </c:pt>
                <c:pt idx="4">
                  <c:v>4281.3973409693535</c:v>
                </c:pt>
                <c:pt idx="5">
                  <c:v>2670.3548260954558</c:v>
                </c:pt>
                <c:pt idx="6">
                  <c:v>4403.8172003886039</c:v>
                </c:pt>
                <c:pt idx="7">
                  <c:v>2670.3548260954558</c:v>
                </c:pt>
                <c:pt idx="8">
                  <c:v>4272.9290423621815</c:v>
                </c:pt>
                <c:pt idx="9">
                  <c:v>2670.3548260954558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11256.995239996413</c:v>
                </c:pt>
                <c:pt idx="14">
                  <c:v>11271.527863925479</c:v>
                </c:pt>
                <c:pt idx="15">
                  <c:v>18495.842434518949</c:v>
                </c:pt>
                <c:pt idx="16">
                  <c:v>25366.249877192175</c:v>
                </c:pt>
                <c:pt idx="17">
                  <c:v>25238.428055700046</c:v>
                </c:pt>
                <c:pt idx="18">
                  <c:v>42423.957268059421</c:v>
                </c:pt>
                <c:pt idx="19">
                  <c:v>33518.218940665705</c:v>
                </c:pt>
                <c:pt idx="20">
                  <c:v>25600.1453939479</c:v>
                </c:pt>
                <c:pt idx="21">
                  <c:v>27104.68345653604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3B5-4C34-811C-B7DCA209B1C7}"/>
            </c:ext>
          </c:extLst>
        </c:ser>
        <c:ser>
          <c:idx val="8"/>
          <c:order val="7"/>
          <c:tx>
            <c:strRef>
              <c:f>'W9. Power Total Gen'!$A$47</c:f>
              <c:strCache>
                <c:ptCount val="1"/>
                <c:pt idx="0">
                  <c:v>POWGEN - SOTH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Gen'!$B$47:$Z$47</c:f>
              <c:numCache>
                <c:formatCode>#,##0.00</c:formatCode>
                <c:ptCount val="25"/>
                <c:pt idx="0">
                  <c:v>0.6257617671977489</c:v>
                </c:pt>
                <c:pt idx="1">
                  <c:v>0.35092549599678308</c:v>
                </c:pt>
                <c:pt idx="2">
                  <c:v>0.35092549599678308</c:v>
                </c:pt>
                <c:pt idx="3">
                  <c:v>0.35092549599678308</c:v>
                </c:pt>
                <c:pt idx="4">
                  <c:v>0.35092549599678308</c:v>
                </c:pt>
                <c:pt idx="5">
                  <c:v>0.35092549599678308</c:v>
                </c:pt>
                <c:pt idx="6">
                  <c:v>0.35092549599678308</c:v>
                </c:pt>
                <c:pt idx="7">
                  <c:v>0.35092549599678308</c:v>
                </c:pt>
                <c:pt idx="8">
                  <c:v>0.35092549599678308</c:v>
                </c:pt>
                <c:pt idx="9">
                  <c:v>0.35092549599678308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3B5-4C34-811C-B7DCA209B1C7}"/>
            </c:ext>
          </c:extLst>
        </c:ser>
        <c:ser>
          <c:idx val="10"/>
          <c:order val="8"/>
          <c:tx>
            <c:strRef>
              <c:f>'W9. Power Total Gen'!$A$49</c:f>
              <c:strCache>
                <c:ptCount val="1"/>
                <c:pt idx="0">
                  <c:v>POWGEN - WIN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Gen'!$B$49:$Z$49</c:f>
              <c:numCache>
                <c:formatCode>#,##0.00</c:formatCode>
                <c:ptCount val="25"/>
                <c:pt idx="0">
                  <c:v>1704.9418897085425</c:v>
                </c:pt>
                <c:pt idx="1">
                  <c:v>10568.055334803987</c:v>
                </c:pt>
                <c:pt idx="2">
                  <c:v>10699.247864870576</c:v>
                </c:pt>
                <c:pt idx="3">
                  <c:v>10882.32058635127</c:v>
                </c:pt>
                <c:pt idx="4">
                  <c:v>11687.103641782611</c:v>
                </c:pt>
                <c:pt idx="5">
                  <c:v>10882.32058635127</c:v>
                </c:pt>
                <c:pt idx="6">
                  <c:v>13084.955487531341</c:v>
                </c:pt>
                <c:pt idx="7">
                  <c:v>10882.32058635127</c:v>
                </c:pt>
                <c:pt idx="8">
                  <c:v>12230.817081009372</c:v>
                </c:pt>
                <c:pt idx="9">
                  <c:v>10882.32058635127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35131.682108742236</c:v>
                </c:pt>
                <c:pt idx="14">
                  <c:v>35401.277503274396</c:v>
                </c:pt>
                <c:pt idx="15">
                  <c:v>35685.876785717061</c:v>
                </c:pt>
                <c:pt idx="16">
                  <c:v>35070.13325460851</c:v>
                </c:pt>
                <c:pt idx="17">
                  <c:v>34981.449026780552</c:v>
                </c:pt>
                <c:pt idx="18">
                  <c:v>59060.33695313675</c:v>
                </c:pt>
                <c:pt idx="19">
                  <c:v>48641.893576000104</c:v>
                </c:pt>
                <c:pt idx="20">
                  <c:v>35889.905723426833</c:v>
                </c:pt>
                <c:pt idx="21">
                  <c:v>37655.530009808834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3B5-4C34-811C-B7DCA209B1C7}"/>
            </c:ext>
          </c:extLst>
        </c:ser>
        <c:ser>
          <c:idx val="9"/>
          <c:order val="9"/>
          <c:tx>
            <c:strRef>
              <c:f>'W9. Power Total Gen'!$A$48</c:f>
              <c:strCache>
                <c:ptCount val="1"/>
                <c:pt idx="0">
                  <c:v>POWGEN - TID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Gen'!$B$48:$Z$48</c:f>
              <c:numCache>
                <c:formatCode>#,##0.00</c:formatCode>
                <c:ptCount val="25"/>
                <c:pt idx="0">
                  <c:v>1.7858497922310126</c:v>
                </c:pt>
                <c:pt idx="1">
                  <c:v>1.0014997031871673</c:v>
                </c:pt>
                <c:pt idx="2">
                  <c:v>1.0014997031871682</c:v>
                </c:pt>
                <c:pt idx="3">
                  <c:v>1.0014997031871682</c:v>
                </c:pt>
                <c:pt idx="4">
                  <c:v>1.0014997031871673</c:v>
                </c:pt>
                <c:pt idx="5">
                  <c:v>1.0014997031871682</c:v>
                </c:pt>
                <c:pt idx="6">
                  <c:v>1.0014997031871673</c:v>
                </c:pt>
                <c:pt idx="7">
                  <c:v>1.0014997031871682</c:v>
                </c:pt>
                <c:pt idx="8">
                  <c:v>1.0014997031871682</c:v>
                </c:pt>
                <c:pt idx="9">
                  <c:v>1.0014997031871682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3B5-4C34-811C-B7DCA209B1C7}"/>
            </c:ext>
          </c:extLst>
        </c:ser>
        <c:ser>
          <c:idx val="0"/>
          <c:order val="10"/>
          <c:tx>
            <c:strRef>
              <c:f>'W9. Power Total Gen'!$A$39</c:f>
              <c:strCache>
                <c:ptCount val="1"/>
                <c:pt idx="0">
                  <c:v>POWGEN - BIO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Gen'!$B$39:$Z$39</c:f>
              <c:numCache>
                <c:formatCode>#,##0.00</c:formatCode>
                <c:ptCount val="25"/>
                <c:pt idx="0">
                  <c:v>432.13326707926797</c:v>
                </c:pt>
                <c:pt idx="1">
                  <c:v>6246.0324344003538</c:v>
                </c:pt>
                <c:pt idx="2">
                  <c:v>7605.6066347943761</c:v>
                </c:pt>
                <c:pt idx="3">
                  <c:v>10791.541692619947</c:v>
                </c:pt>
                <c:pt idx="4">
                  <c:v>12174.222869820878</c:v>
                </c:pt>
                <c:pt idx="5">
                  <c:v>10791.541692619947</c:v>
                </c:pt>
                <c:pt idx="6">
                  <c:v>15525.776677741014</c:v>
                </c:pt>
                <c:pt idx="7">
                  <c:v>10791.541692619947</c:v>
                </c:pt>
                <c:pt idx="8">
                  <c:v>12635.036182064405</c:v>
                </c:pt>
                <c:pt idx="9">
                  <c:v>10791.541692619947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9873.1558435672832</c:v>
                </c:pt>
                <c:pt idx="14">
                  <c:v>9948.045164573623</c:v>
                </c:pt>
                <c:pt idx="15">
                  <c:v>15334.168717542236</c:v>
                </c:pt>
                <c:pt idx="16">
                  <c:v>15723.464364919433</c:v>
                </c:pt>
                <c:pt idx="17">
                  <c:v>15284.36733404034</c:v>
                </c:pt>
                <c:pt idx="18">
                  <c:v>1975.8711624804941</c:v>
                </c:pt>
                <c:pt idx="19">
                  <c:v>4841.0881331971086</c:v>
                </c:pt>
                <c:pt idx="20">
                  <c:v>10322.183073730919</c:v>
                </c:pt>
                <c:pt idx="21">
                  <c:v>8616.6352895485343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5-4C34-811C-B7DCA209B1C7}"/>
            </c:ext>
          </c:extLst>
        </c:ser>
        <c:ser>
          <c:idx val="11"/>
          <c:order val="11"/>
          <c:tx>
            <c:strRef>
              <c:f>'W9. Power Total Gen'!$A$50</c:f>
              <c:strCache>
                <c:ptCount val="1"/>
                <c:pt idx="0">
                  <c:v>POWGEN - BIO CCS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Gen'!$B$50:$Z$50</c:f>
              <c:numCache>
                <c:formatCode>#,##0.00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145.59217603035023</c:v>
                </c:pt>
                <c:pt idx="5">
                  <c:v>0</c:v>
                </c:pt>
                <c:pt idx="6">
                  <c:v>403.27271997052515</c:v>
                </c:pt>
                <c:pt idx="7">
                  <c:v>0</c:v>
                </c:pt>
                <c:pt idx="8">
                  <c:v>359.51520107745858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4542.4446258560292</c:v>
                </c:pt>
                <c:pt idx="17">
                  <c:v>2169.837927123408</c:v>
                </c:pt>
                <c:pt idx="18">
                  <c:v>27894.282607794783</c:v>
                </c:pt>
                <c:pt idx="19">
                  <c:v>25473.358540989968</c:v>
                </c:pt>
                <c:pt idx="20">
                  <c:v>12154.191027748144</c:v>
                </c:pt>
                <c:pt idx="21">
                  <c:v>7731.9134458495946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3B5-4C34-811C-B7DCA209B1C7}"/>
            </c:ext>
          </c:extLst>
        </c:ser>
        <c:ser>
          <c:idx val="12"/>
          <c:order val="12"/>
          <c:tx>
            <c:strRef>
              <c:f>'W9. Power Total Gen'!$A$51</c:f>
              <c:strCache>
                <c:ptCount val="1"/>
                <c:pt idx="0">
                  <c:v>POWGEN - GAS CCS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'W9. Power Total Gen'!$B$37:$Z$38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'W9. Power Total Gen'!$B$51:$Z$51</c:f>
              <c:numCache>
                <c:formatCode>#,##0.00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22.634851637474846</c:v>
                </c:pt>
                <c:pt idx="7">
                  <c:v>0</c:v>
                </c:pt>
                <c:pt idx="8">
                  <c:v>28.393838107200004</c:v>
                </c:pt>
                <c:pt idx="9">
                  <c:v>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21.903449435142061</c:v>
                </c:pt>
                <c:pt idx="17">
                  <c:v>70.819287993947157</c:v>
                </c:pt>
                <c:pt idx="18">
                  <c:v>33861.028448870689</c:v>
                </c:pt>
                <c:pt idx="19">
                  <c:v>10863.406371960351</c:v>
                </c:pt>
                <c:pt idx="20">
                  <c:v>1973.32270451876</c:v>
                </c:pt>
                <c:pt idx="21">
                  <c:v>205.31012508296612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3B5-4C34-811C-B7DCA209B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'W10. Power Total Cap'!$B$13</c:f>
          <c:strCache>
            <c:ptCount val="1"/>
            <c:pt idx="0">
              <c:v>POWGEN - BIO CCS Generation capacity (GW)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'W10. Power Total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C-4851-A219-315F4867B003}"/>
            </c:ext>
          </c:extLst>
        </c:ser>
        <c:ser>
          <c:idx val="1"/>
          <c:order val="1"/>
          <c:tx>
            <c:strRef>
              <c:f>'W10. Power Total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6C-4851-A219-315F4867B003}"/>
            </c:ext>
          </c:extLst>
        </c:ser>
        <c:ser>
          <c:idx val="2"/>
          <c:order val="2"/>
          <c:tx>
            <c:strRef>
              <c:f>'W10. Power Total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6C-4851-A219-315F4867B003}"/>
            </c:ext>
          </c:extLst>
        </c:ser>
        <c:ser>
          <c:idx val="3"/>
          <c:order val="3"/>
          <c:tx>
            <c:strRef>
              <c:f>'W10. Power Total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5.1296640182067135</c:v>
                </c:pt>
                <c:pt idx="3">
                  <c:v>33.977956785956167</c:v>
                </c:pt>
                <c:pt idx="4">
                  <c:v>160.04441575962673</c:v>
                </c:pt>
                <c:pt idx="5">
                  <c:v>668.21246944066934</c:v>
                </c:pt>
                <c:pt idx="6">
                  <c:v>1398.9909821233755</c:v>
                </c:pt>
                <c:pt idx="7">
                  <c:v>2152.9183383210911</c:v>
                </c:pt>
                <c:pt idx="8">
                  <c:v>2820.02202527905</c:v>
                </c:pt>
                <c:pt idx="9">
                  <c:v>3086.3119981426994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6C-4851-A219-315F4867B003}"/>
            </c:ext>
          </c:extLst>
        </c:ser>
        <c:ser>
          <c:idx val="4"/>
          <c:order val="4"/>
          <c:tx>
            <c:strRef>
              <c:f>'W10. Power Total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9.5132849581609964</c:v>
                </c:pt>
                <c:pt idx="4">
                  <c:v>77.390648548820266</c:v>
                </c:pt>
                <c:pt idx="5">
                  <c:v>455.8601295256662</c:v>
                </c:pt>
                <c:pt idx="6">
                  <c:v>1303.3456053022935</c:v>
                </c:pt>
                <c:pt idx="7">
                  <c:v>2325.1998745703163</c:v>
                </c:pt>
                <c:pt idx="8">
                  <c:v>2880.7930112070185</c:v>
                </c:pt>
                <c:pt idx="9">
                  <c:v>3139.5734124634268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6C-4851-A219-315F4867B003}"/>
            </c:ext>
          </c:extLst>
        </c:ser>
        <c:ser>
          <c:idx val="5"/>
          <c:order val="5"/>
          <c:tx>
            <c:strRef>
              <c:f>'W10. Power Total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14.208548958880337</c:v>
                </c:pt>
                <c:pt idx="3">
                  <c:v>382.99513098868306</c:v>
                </c:pt>
                <c:pt idx="4">
                  <c:v>1416.676388516601</c:v>
                </c:pt>
                <c:pt idx="5">
                  <c:v>2575.9188899689702</c:v>
                </c:pt>
                <c:pt idx="6">
                  <c:v>2773.721019808941</c:v>
                </c:pt>
                <c:pt idx="7">
                  <c:v>2634.7111537007645</c:v>
                </c:pt>
                <c:pt idx="8">
                  <c:v>3028.1661776664473</c:v>
                </c:pt>
                <c:pt idx="9">
                  <c:v>3361.4502236901976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6C-4851-A219-315F4867B003}"/>
            </c:ext>
          </c:extLst>
        </c:ser>
        <c:ser>
          <c:idx val="6"/>
          <c:order val="6"/>
          <c:tx>
            <c:strRef>
              <c:f>'W10. Power Total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12.007065105026241</c:v>
                </c:pt>
                <c:pt idx="4">
                  <c:v>898.63812981620231</c:v>
                </c:pt>
                <c:pt idx="5">
                  <c:v>2981.2550274929345</c:v>
                </c:pt>
                <c:pt idx="6">
                  <c:v>4207.9867591258189</c:v>
                </c:pt>
                <c:pt idx="7">
                  <c:v>3377.9346925229106</c:v>
                </c:pt>
                <c:pt idx="8">
                  <c:v>1969.1188908100657</c:v>
                </c:pt>
                <c:pt idx="9">
                  <c:v>2350.9763055648164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6C-4851-A219-315F4867B003}"/>
            </c:ext>
          </c:extLst>
        </c:ser>
        <c:ser>
          <c:idx val="7"/>
          <c:order val="7"/>
          <c:tx>
            <c:strRef>
              <c:f>'W10. Power Total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12.666835823519458</c:v>
                </c:pt>
                <c:pt idx="3">
                  <c:v>86.454151899012075</c:v>
                </c:pt>
                <c:pt idx="4">
                  <c:v>428.68937050727726</c:v>
                </c:pt>
                <c:pt idx="5">
                  <c:v>1349.8506167908215</c:v>
                </c:pt>
                <c:pt idx="6">
                  <c:v>2315.8778556611051</c:v>
                </c:pt>
                <c:pt idx="7">
                  <c:v>2843.2054347122416</c:v>
                </c:pt>
                <c:pt idx="8">
                  <c:v>3284.4293973725353</c:v>
                </c:pt>
                <c:pt idx="9">
                  <c:v>3482.4839773597832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C-4851-A219-315F4867B003}"/>
            </c:ext>
          </c:extLst>
        </c:ser>
        <c:ser>
          <c:idx val="8"/>
          <c:order val="8"/>
          <c:tx>
            <c:strRef>
              <c:f>'W10. Power Total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'W10. Power Total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'W10. Power Total Cap'!$J$25:$J$34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14.51976189512888</c:v>
                </c:pt>
                <c:pt idx="4">
                  <c:v>272.41929667151464</c:v>
                </c:pt>
                <c:pt idx="5">
                  <c:v>1630.3534910220069</c:v>
                </c:pt>
                <c:pt idx="6">
                  <c:v>3038.0298849988335</c:v>
                </c:pt>
                <c:pt idx="7">
                  <c:v>3272.3157323944233</c:v>
                </c:pt>
                <c:pt idx="8">
                  <c:v>3144.725807759598</c:v>
                </c:pt>
                <c:pt idx="9">
                  <c:v>3387.7561857543956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6C-4851-A219-315F4867B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generation capacity by source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'W10. Power Total Cap'!$A$40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Cap'!$B$40:$Z$40</c:f>
              <c:numCache>
                <c:formatCode>#,##0.00</c:formatCode>
                <c:ptCount val="25"/>
                <c:pt idx="0">
                  <c:v>1804.9999999999993</c:v>
                </c:pt>
                <c:pt idx="1">
                  <c:v>1911.790970585437</c:v>
                </c:pt>
                <c:pt idx="2">
                  <c:v>1740.8212507993535</c:v>
                </c:pt>
                <c:pt idx="3">
                  <c:v>1458.8285858367421</c:v>
                </c:pt>
                <c:pt idx="4">
                  <c:v>1442.4317981122206</c:v>
                </c:pt>
                <c:pt idx="5">
                  <c:v>1458.8285858367421</c:v>
                </c:pt>
                <c:pt idx="6">
                  <c:v>1442.4317981122206</c:v>
                </c:pt>
                <c:pt idx="7">
                  <c:v>1458.8285858367421</c:v>
                </c:pt>
                <c:pt idx="8">
                  <c:v>1442.4317981122206</c:v>
                </c:pt>
                <c:pt idx="9">
                  <c:v>1458.8285858367421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1817.9871879952452</c:v>
                </c:pt>
                <c:pt idx="14">
                  <c:v>1819.8780511749101</c:v>
                </c:pt>
                <c:pt idx="15">
                  <c:v>1090.8632766975395</c:v>
                </c:pt>
                <c:pt idx="16">
                  <c:v>0</c:v>
                </c:pt>
                <c:pt idx="17">
                  <c:v>16.396787724521602</c:v>
                </c:pt>
                <c:pt idx="18">
                  <c:v>0</c:v>
                </c:pt>
                <c:pt idx="19">
                  <c:v>16.396787724521602</c:v>
                </c:pt>
                <c:pt idx="20">
                  <c:v>0</c:v>
                </c:pt>
                <c:pt idx="21">
                  <c:v>16.396787724521602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BA0-47EC-A269-998474D5AA27}"/>
            </c:ext>
          </c:extLst>
        </c:ser>
        <c:ser>
          <c:idx val="2"/>
          <c:order val="1"/>
          <c:tx>
            <c:strRef>
              <c:f>'W10. Power Total Cap'!$A$41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Cap'!$B$41:$Z$41</c:f>
              <c:numCache>
                <c:formatCode>#,##0.00</c:formatCode>
                <c:ptCount val="25"/>
                <c:pt idx="0">
                  <c:v>1634.5557819505236</c:v>
                </c:pt>
                <c:pt idx="1">
                  <c:v>1723.7621507171382</c:v>
                </c:pt>
                <c:pt idx="2">
                  <c:v>1789.9146647792879</c:v>
                </c:pt>
                <c:pt idx="3">
                  <c:v>1960.1606269560627</c:v>
                </c:pt>
                <c:pt idx="4">
                  <c:v>2002.1660525758043</c:v>
                </c:pt>
                <c:pt idx="5">
                  <c:v>1960.1606269560627</c:v>
                </c:pt>
                <c:pt idx="6">
                  <c:v>2319.4907751302785</c:v>
                </c:pt>
                <c:pt idx="7">
                  <c:v>1960.1606269560627</c:v>
                </c:pt>
                <c:pt idx="8">
                  <c:v>1995.6466042378381</c:v>
                </c:pt>
                <c:pt idx="9">
                  <c:v>1960.1606269560627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312.69717089818511</c:v>
                </c:pt>
                <c:pt idx="14">
                  <c:v>284.30689586647532</c:v>
                </c:pt>
                <c:pt idx="15">
                  <c:v>316.02297625320142</c:v>
                </c:pt>
                <c:pt idx="16">
                  <c:v>672.18673027403065</c:v>
                </c:pt>
                <c:pt idx="17">
                  <c:v>678.87038741927654</c:v>
                </c:pt>
                <c:pt idx="18">
                  <c:v>1697.2779859316188</c:v>
                </c:pt>
                <c:pt idx="19">
                  <c:v>798.99597377216378</c:v>
                </c:pt>
                <c:pt idx="20">
                  <c:v>823.36576397920533</c:v>
                </c:pt>
                <c:pt idx="21">
                  <c:v>776.25120381628994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BA0-47EC-A269-998474D5AA27}"/>
            </c:ext>
          </c:extLst>
        </c:ser>
        <c:ser>
          <c:idx val="5"/>
          <c:order val="2"/>
          <c:tx>
            <c:strRef>
              <c:f>'W10. Power Total Cap'!$A$44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Cap'!$B$44:$Z$44</c:f>
              <c:numCache>
                <c:formatCode>#,##0.00</c:formatCode>
                <c:ptCount val="25"/>
                <c:pt idx="0">
                  <c:v>393.99999999999972</c:v>
                </c:pt>
                <c:pt idx="1">
                  <c:v>599.60750408611364</c:v>
                </c:pt>
                <c:pt idx="2">
                  <c:v>599.60750408611352</c:v>
                </c:pt>
                <c:pt idx="3">
                  <c:v>599.60750408611364</c:v>
                </c:pt>
                <c:pt idx="4">
                  <c:v>599.60750408611364</c:v>
                </c:pt>
                <c:pt idx="5">
                  <c:v>599.60750408611364</c:v>
                </c:pt>
                <c:pt idx="6">
                  <c:v>599.60750408611364</c:v>
                </c:pt>
                <c:pt idx="7">
                  <c:v>599.60750408611364</c:v>
                </c:pt>
                <c:pt idx="8">
                  <c:v>599.60750408611364</c:v>
                </c:pt>
                <c:pt idx="9">
                  <c:v>599.60750408611364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599.67439071681792</c:v>
                </c:pt>
                <c:pt idx="14">
                  <c:v>598.87351478182234</c:v>
                </c:pt>
                <c:pt idx="15">
                  <c:v>675.62768069653043</c:v>
                </c:pt>
                <c:pt idx="16">
                  <c:v>864.65940910950314</c:v>
                </c:pt>
                <c:pt idx="17">
                  <c:v>889.70484956154769</c:v>
                </c:pt>
                <c:pt idx="18">
                  <c:v>990.60243055737442</c:v>
                </c:pt>
                <c:pt idx="19">
                  <c:v>865.42213252872932</c:v>
                </c:pt>
                <c:pt idx="20">
                  <c:v>921.6386533637168</c:v>
                </c:pt>
                <c:pt idx="21">
                  <c:v>932.75289370291682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BA0-47EC-A269-998474D5AA27}"/>
            </c:ext>
          </c:extLst>
        </c:ser>
        <c:ser>
          <c:idx val="4"/>
          <c:order val="3"/>
          <c:tx>
            <c:strRef>
              <c:f>'W10. Power Total Cap'!$A$43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Cap'!$B$43:$Z$43</c:f>
              <c:numCache>
                <c:formatCode>#,##0.00</c:formatCode>
                <c:ptCount val="25"/>
                <c:pt idx="0">
                  <c:v>744.22477031191352</c:v>
                </c:pt>
                <c:pt idx="1">
                  <c:v>1084.4749702290485</c:v>
                </c:pt>
                <c:pt idx="2">
                  <c:v>1095.0609142242067</c:v>
                </c:pt>
                <c:pt idx="3">
                  <c:v>1153.8656291758321</c:v>
                </c:pt>
                <c:pt idx="4">
                  <c:v>1165.7013704439287</c:v>
                </c:pt>
                <c:pt idx="5">
                  <c:v>1153.8656291758321</c:v>
                </c:pt>
                <c:pt idx="6">
                  <c:v>1214.3665733356884</c:v>
                </c:pt>
                <c:pt idx="7">
                  <c:v>1153.8656291758321</c:v>
                </c:pt>
                <c:pt idx="8">
                  <c:v>1190.0416603652129</c:v>
                </c:pt>
                <c:pt idx="9">
                  <c:v>1153.8656291758321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1264.2083065838947</c:v>
                </c:pt>
                <c:pt idx="14">
                  <c:v>1265.2292974928375</c:v>
                </c:pt>
                <c:pt idx="15">
                  <c:v>1381.7386265907953</c:v>
                </c:pt>
                <c:pt idx="16">
                  <c:v>1593.6197976383171</c:v>
                </c:pt>
                <c:pt idx="17">
                  <c:v>1644.8187823973142</c:v>
                </c:pt>
                <c:pt idx="18">
                  <c:v>2291.1686563626517</c:v>
                </c:pt>
                <c:pt idx="19">
                  <c:v>2144.602778070092</c:v>
                </c:pt>
                <c:pt idx="20">
                  <c:v>1712.9361490937299</c:v>
                </c:pt>
                <c:pt idx="21">
                  <c:v>1947.3399881582659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BA0-47EC-A269-998474D5AA27}"/>
            </c:ext>
          </c:extLst>
        </c:ser>
        <c:ser>
          <c:idx val="0"/>
          <c:order val="4"/>
          <c:tx>
            <c:strRef>
              <c:f>'W10. Power Total Cap'!$A$39</c:f>
              <c:strCache>
                <c:ptCount val="1"/>
                <c:pt idx="0">
                  <c:v>Biofuels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Cap'!$B$39:$Z$39</c:f>
              <c:numCache>
                <c:formatCode>#,##0.00</c:formatCode>
                <c:ptCount val="25"/>
                <c:pt idx="0">
                  <c:v>26.141237482570887</c:v>
                </c:pt>
                <c:pt idx="1">
                  <c:v>245.7343968880482</c:v>
                </c:pt>
                <c:pt idx="2">
                  <c:v>294.5115641089385</c:v>
                </c:pt>
                <c:pt idx="3">
                  <c:v>412.30855682261659</c:v>
                </c:pt>
                <c:pt idx="4">
                  <c:v>473.37342434575862</c:v>
                </c:pt>
                <c:pt idx="5">
                  <c:v>412.30855682261659</c:v>
                </c:pt>
                <c:pt idx="6">
                  <c:v>618.46339467701557</c:v>
                </c:pt>
                <c:pt idx="7">
                  <c:v>412.30855682261659</c:v>
                </c:pt>
                <c:pt idx="8">
                  <c:v>495.71226832027736</c:v>
                </c:pt>
                <c:pt idx="9">
                  <c:v>412.30855682261659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375.11797763136144</c:v>
                </c:pt>
                <c:pt idx="14">
                  <c:v>385.85129271646855</c:v>
                </c:pt>
                <c:pt idx="15">
                  <c:v>583.48774646321999</c:v>
                </c:pt>
                <c:pt idx="16">
                  <c:v>770.79788049222964</c:v>
                </c:pt>
                <c:pt idx="17">
                  <c:v>675.97323631072368</c:v>
                </c:pt>
                <c:pt idx="18">
                  <c:v>2055.4618914398689</c:v>
                </c:pt>
                <c:pt idx="19">
                  <c:v>1918.276603640883</c:v>
                </c:pt>
                <c:pt idx="20">
                  <c:v>874.85907761567</c:v>
                </c:pt>
                <c:pt idx="21">
                  <c:v>777.5903335276173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BA0-47EC-A269-998474D5AA27}"/>
            </c:ext>
          </c:extLst>
        </c:ser>
        <c:ser>
          <c:idx val="7"/>
          <c:order val="5"/>
          <c:tx>
            <c:strRef>
              <c:f>'W10. Power Total Cap'!$A$46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Cap'!$B$46:$Z$46</c:f>
              <c:numCache>
                <c:formatCode>#,##0.00</c:formatCode>
                <c:ptCount val="25"/>
                <c:pt idx="0">
                  <c:v>242.99857406704328</c:v>
                </c:pt>
                <c:pt idx="1">
                  <c:v>1325.235532561333</c:v>
                </c:pt>
                <c:pt idx="2">
                  <c:v>1346.1447311328993</c:v>
                </c:pt>
                <c:pt idx="3">
                  <c:v>1381.7602614741115</c:v>
                </c:pt>
                <c:pt idx="4">
                  <c:v>1516.2397537476211</c:v>
                </c:pt>
                <c:pt idx="5">
                  <c:v>1381.7602614741115</c:v>
                </c:pt>
                <c:pt idx="6">
                  <c:v>1756.2662000926357</c:v>
                </c:pt>
                <c:pt idx="7">
                  <c:v>1381.7602614741115</c:v>
                </c:pt>
                <c:pt idx="8">
                  <c:v>1608.939481169471</c:v>
                </c:pt>
                <c:pt idx="9">
                  <c:v>1381.7602614741115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4541.888932918755</c:v>
                </c:pt>
                <c:pt idx="14">
                  <c:v>4584.7281838121235</c:v>
                </c:pt>
                <c:pt idx="15">
                  <c:v>4671.6732285660128</c:v>
                </c:pt>
                <c:pt idx="16">
                  <c:v>4641.3558628552391</c:v>
                </c:pt>
                <c:pt idx="17">
                  <c:v>4632.821594564115</c:v>
                </c:pt>
                <c:pt idx="18">
                  <c:v>8485.8544581431051</c:v>
                </c:pt>
                <c:pt idx="19">
                  <c:v>6646.6061428523481</c:v>
                </c:pt>
                <c:pt idx="20">
                  <c:v>4771.1912976620752</c:v>
                </c:pt>
                <c:pt idx="21">
                  <c:v>5138.8160455374255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BA0-47EC-A269-998474D5AA27}"/>
            </c:ext>
          </c:extLst>
        </c:ser>
        <c:ser>
          <c:idx val="6"/>
          <c:order val="6"/>
          <c:tx>
            <c:strRef>
              <c:f>'W10. Power Total Cap'!$A$45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Cap'!$B$45:$Z$45</c:f>
              <c:numCache>
                <c:formatCode>#,##0.00</c:formatCode>
                <c:ptCount val="25"/>
                <c:pt idx="0">
                  <c:v>108.81041965779016</c:v>
                </c:pt>
                <c:pt idx="1">
                  <c:v>422.51783830675265</c:v>
                </c:pt>
                <c:pt idx="2">
                  <c:v>489.46815270242922</c:v>
                </c:pt>
                <c:pt idx="3">
                  <c:v>577.35112450857912</c:v>
                </c:pt>
                <c:pt idx="4">
                  <c:v>917.9228779959941</c:v>
                </c:pt>
                <c:pt idx="5">
                  <c:v>577.35112450857912</c:v>
                </c:pt>
                <c:pt idx="6">
                  <c:v>949.00525020844009</c:v>
                </c:pt>
                <c:pt idx="7">
                  <c:v>577.35112450857912</c:v>
                </c:pt>
                <c:pt idx="8">
                  <c:v>916.13269141406147</c:v>
                </c:pt>
                <c:pt idx="9">
                  <c:v>577.35112450857912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2392.7762939278741</c:v>
                </c:pt>
                <c:pt idx="14">
                  <c:v>2395.8484704729995</c:v>
                </c:pt>
                <c:pt idx="15">
                  <c:v>3923.0513466423226</c:v>
                </c:pt>
                <c:pt idx="16">
                  <c:v>5375.4678822587312</c:v>
                </c:pt>
                <c:pt idx="17">
                  <c:v>5348.427339071296</c:v>
                </c:pt>
                <c:pt idx="18">
                  <c:v>9206.7989115032324</c:v>
                </c:pt>
                <c:pt idx="19">
                  <c:v>7165.8097590782854</c:v>
                </c:pt>
                <c:pt idx="20">
                  <c:v>5426.0658011568739</c:v>
                </c:pt>
                <c:pt idx="21">
                  <c:v>5744.053822598461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BA0-47EC-A269-998474D5AA27}"/>
            </c:ext>
          </c:extLst>
        </c:ser>
        <c:ser>
          <c:idx val="3"/>
          <c:order val="7"/>
          <c:tx>
            <c:strRef>
              <c:f>'W10. Power Total Cap'!$A$42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'W10. Power Total Cap'!$B$37:$Z$38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'W10. Power Total Cap'!$B$42:$Z$42</c:f>
              <c:numCache>
                <c:formatCode>#,##0.00</c:formatCode>
                <c:ptCount val="25"/>
                <c:pt idx="0">
                  <c:v>481.39045973200535</c:v>
                </c:pt>
                <c:pt idx="1">
                  <c:v>383.5411225161389</c:v>
                </c:pt>
                <c:pt idx="2">
                  <c:v>404.44862101360314</c:v>
                </c:pt>
                <c:pt idx="3">
                  <c:v>415.43003776815772</c:v>
                </c:pt>
                <c:pt idx="4">
                  <c:v>413.62563076669028</c:v>
                </c:pt>
                <c:pt idx="5">
                  <c:v>415.43003776815772</c:v>
                </c:pt>
                <c:pt idx="6">
                  <c:v>485.30016491030176</c:v>
                </c:pt>
                <c:pt idx="7">
                  <c:v>415.43003776815772</c:v>
                </c:pt>
                <c:pt idx="8">
                  <c:v>415.17624316716331</c:v>
                </c:pt>
                <c:pt idx="9">
                  <c:v>415.43003776815772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267.53887081109986</c:v>
                </c:pt>
                <c:pt idx="14">
                  <c:v>252.35539543204916</c:v>
                </c:pt>
                <c:pt idx="15">
                  <c:v>257.2800009990433</c:v>
                </c:pt>
                <c:pt idx="16">
                  <c:v>297.90477916283481</c:v>
                </c:pt>
                <c:pt idx="17">
                  <c:v>309.81175301485308</c:v>
                </c:pt>
                <c:pt idx="18">
                  <c:v>984.23092407344848</c:v>
                </c:pt>
                <c:pt idx="19">
                  <c:v>1240.4846481260972</c:v>
                </c:pt>
                <c:pt idx="20">
                  <c:v>301.02049905143627</c:v>
                </c:pt>
                <c:pt idx="21">
                  <c:v>423.61198746804695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BA0-47EC-A269-998474D5A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'W11. Iron Steel Demand'!$B$13</c:f>
          <c:strCache>
            <c:ptCount val="1"/>
            <c:pt idx="0">
              <c:v>Iron &amp; steel demand (Mtonnes)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'W11. Iron Steel Demand'!$B$24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Demand'!$B$25:$B$34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1346.4861522211438</c:v>
                </c:pt>
                <c:pt idx="2">
                  <c:v>1715.9066025874063</c:v>
                </c:pt>
                <c:pt idx="3">
                  <c:v>1969.7002054516302</c:v>
                </c:pt>
                <c:pt idx="4">
                  <c:v>2263.7793979781486</c:v>
                </c:pt>
                <c:pt idx="5">
                  <c:v>2572.7554715829965</c:v>
                </c:pt>
                <c:pt idx="6">
                  <c:v>2743.767472477437</c:v>
                </c:pt>
                <c:pt idx="7">
                  <c:v>2883.8879058979455</c:v>
                </c:pt>
                <c:pt idx="8">
                  <c:v>2999.793291807387</c:v>
                </c:pt>
                <c:pt idx="9">
                  <c:v>3104.3135672385592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4-4F26-B8EB-715D5E7BC9F3}"/>
            </c:ext>
          </c:extLst>
        </c:ser>
        <c:ser>
          <c:idx val="1"/>
          <c:order val="1"/>
          <c:tx>
            <c:strRef>
              <c:f>'W11. Iron Steel Demand'!$C$24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Demand'!$C$25:$C$34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1346.4861522211438</c:v>
                </c:pt>
                <c:pt idx="2">
                  <c:v>1715.9066025874063</c:v>
                </c:pt>
                <c:pt idx="3">
                  <c:v>1969.7002054516302</c:v>
                </c:pt>
                <c:pt idx="4">
                  <c:v>2263.7793979781486</c:v>
                </c:pt>
                <c:pt idx="5">
                  <c:v>2572.7554715829965</c:v>
                </c:pt>
                <c:pt idx="6">
                  <c:v>2743.767472477437</c:v>
                </c:pt>
                <c:pt idx="7">
                  <c:v>2883.8879058979455</c:v>
                </c:pt>
                <c:pt idx="8">
                  <c:v>2999.793291807387</c:v>
                </c:pt>
                <c:pt idx="9">
                  <c:v>3104.3135672385592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B4-4F26-B8EB-715D5E7BC9F3}"/>
            </c:ext>
          </c:extLst>
        </c:ser>
        <c:ser>
          <c:idx val="2"/>
          <c:order val="2"/>
          <c:tx>
            <c:strRef>
              <c:f>'W11. Iron Steel Demand'!$D$24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Demand'!$D$25:$D$34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1673.3437265928555</c:v>
                </c:pt>
                <c:pt idx="3">
                  <c:v>1969.7002054516302</c:v>
                </c:pt>
                <c:pt idx="4">
                  <c:v>2263.7793979781486</c:v>
                </c:pt>
                <c:pt idx="5">
                  <c:v>2551.3686338539064</c:v>
                </c:pt>
                <c:pt idx="6">
                  <c:v>2743.767472477437</c:v>
                </c:pt>
                <c:pt idx="7">
                  <c:v>2883.8879058979455</c:v>
                </c:pt>
                <c:pt idx="8">
                  <c:v>3005.6874779451068</c:v>
                </c:pt>
                <c:pt idx="9">
                  <c:v>3104.3135672385592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B4-4F26-B8EB-715D5E7BC9F3}"/>
            </c:ext>
          </c:extLst>
        </c:ser>
        <c:ser>
          <c:idx val="3"/>
          <c:order val="3"/>
          <c:tx>
            <c:strRef>
              <c:f>'W11. Iron Steel Demand'!$E$24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Demand'!$E$25:$E$34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1647.270338483911</c:v>
                </c:pt>
                <c:pt idx="3">
                  <c:v>1891.8071034588477</c:v>
                </c:pt>
                <c:pt idx="4">
                  <c:v>2175.3560663372959</c:v>
                </c:pt>
                <c:pt idx="5">
                  <c:v>2469.8452527196764</c:v>
                </c:pt>
                <c:pt idx="6">
                  <c:v>2637.2611320373803</c:v>
                </c:pt>
                <c:pt idx="7">
                  <c:v>2779.9685233681271</c:v>
                </c:pt>
                <c:pt idx="8">
                  <c:v>2826.5749522340857</c:v>
                </c:pt>
                <c:pt idx="9">
                  <c:v>2895.6670922306812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B4-4F26-B8EB-715D5E7BC9F3}"/>
            </c:ext>
          </c:extLst>
        </c:ser>
        <c:ser>
          <c:idx val="4"/>
          <c:order val="4"/>
          <c:tx>
            <c:strRef>
              <c:f>'W11. Iron Steel Demand'!$F$24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Demand'!$F$25:$F$34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1673.3437265928555</c:v>
                </c:pt>
                <c:pt idx="3">
                  <c:v>1890.9121972335647</c:v>
                </c:pt>
                <c:pt idx="4">
                  <c:v>2174.3620019116415</c:v>
                </c:pt>
                <c:pt idx="5">
                  <c:v>2469.8452527196764</c:v>
                </c:pt>
                <c:pt idx="6">
                  <c:v>2635.0985120808759</c:v>
                </c:pt>
                <c:pt idx="7">
                  <c:v>2774.6527548209442</c:v>
                </c:pt>
                <c:pt idx="8">
                  <c:v>2824.6786371742974</c:v>
                </c:pt>
                <c:pt idx="9">
                  <c:v>2895.6670922306812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B4-4F26-B8EB-715D5E7BC9F3}"/>
            </c:ext>
          </c:extLst>
        </c:ser>
        <c:ser>
          <c:idx val="5"/>
          <c:order val="5"/>
          <c:tx>
            <c:strRef>
              <c:f>'W11. Iron Steel Demand'!$G$24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Demand'!$G$25:$G$34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1528.128294907091</c:v>
                </c:pt>
                <c:pt idx="3">
                  <c:v>1501.068789650704</c:v>
                </c:pt>
                <c:pt idx="4">
                  <c:v>1786.37846144795</c:v>
                </c:pt>
                <c:pt idx="5">
                  <c:v>2321.2331959297699</c:v>
                </c:pt>
                <c:pt idx="6">
                  <c:v>2646.2201759602094</c:v>
                </c:pt>
                <c:pt idx="7">
                  <c:v>2785.1890688277927</c:v>
                </c:pt>
                <c:pt idx="8">
                  <c:v>2806.7251794745516</c:v>
                </c:pt>
                <c:pt idx="9">
                  <c:v>2900.4930849403372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BB4-4F26-B8EB-715D5E7BC9F3}"/>
            </c:ext>
          </c:extLst>
        </c:ser>
        <c:ser>
          <c:idx val="6"/>
          <c:order val="6"/>
          <c:tx>
            <c:strRef>
              <c:f>'W11. Iron Steel Demand'!$H$24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Demand'!$H$25:$H$34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1673.3437265928555</c:v>
                </c:pt>
                <c:pt idx="3">
                  <c:v>1562.7174868229861</c:v>
                </c:pt>
                <c:pt idx="4">
                  <c:v>1793.247959880352</c:v>
                </c:pt>
                <c:pt idx="5">
                  <c:v>2034.9411821613028</c:v>
                </c:pt>
                <c:pt idx="6">
                  <c:v>2741.5382340172991</c:v>
                </c:pt>
                <c:pt idx="7">
                  <c:v>2853.0095281623976</c:v>
                </c:pt>
                <c:pt idx="8">
                  <c:v>2893.6281884571263</c:v>
                </c:pt>
                <c:pt idx="9">
                  <c:v>2995.9519452623704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B4-4F26-B8EB-715D5E7BC9F3}"/>
            </c:ext>
          </c:extLst>
        </c:ser>
        <c:ser>
          <c:idx val="7"/>
          <c:order val="7"/>
          <c:tx>
            <c:strRef>
              <c:f>'W11. Iron Steel Demand'!$I$24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Demand'!$I$25:$I$34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1643.4080255913066</c:v>
                </c:pt>
                <c:pt idx="3">
                  <c:v>1867.6505243144736</c:v>
                </c:pt>
                <c:pt idx="4">
                  <c:v>2173.2282220590232</c:v>
                </c:pt>
                <c:pt idx="5">
                  <c:v>2473.0849001172364</c:v>
                </c:pt>
                <c:pt idx="6">
                  <c:v>2605.1557194477496</c:v>
                </c:pt>
                <c:pt idx="7">
                  <c:v>2689.4715061543902</c:v>
                </c:pt>
                <c:pt idx="8">
                  <c:v>2795.5215711147384</c:v>
                </c:pt>
                <c:pt idx="9">
                  <c:v>2870.4056683590834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B4-4F26-B8EB-715D5E7BC9F3}"/>
            </c:ext>
          </c:extLst>
        </c:ser>
        <c:ser>
          <c:idx val="8"/>
          <c:order val="8"/>
          <c:tx>
            <c:strRef>
              <c:f>'W11. Iron Steel Demand'!$J$24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'W11. Iron Steel Demand'!$A$25:$A$34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'W11. Iron Steel Demand'!$J$25:$J$34</c:f>
              <c:numCache>
                <c:formatCode>#,##0.00</c:formatCode>
                <c:ptCount val="10"/>
                <c:pt idx="0">
                  <c:v>1077.1376941637411</c:v>
                </c:pt>
                <c:pt idx="1">
                  <c:v>1294.3265744987207</c:v>
                </c:pt>
                <c:pt idx="2">
                  <c:v>1673.3437265928555</c:v>
                </c:pt>
                <c:pt idx="3">
                  <c:v>1843.1730163366556</c:v>
                </c:pt>
                <c:pt idx="4">
                  <c:v>2089.4758054237186</c:v>
                </c:pt>
                <c:pt idx="5">
                  <c:v>2333.7528926875975</c:v>
                </c:pt>
                <c:pt idx="6">
                  <c:v>2620.4568966790684</c:v>
                </c:pt>
                <c:pt idx="7">
                  <c:v>2729.8926030329676</c:v>
                </c:pt>
                <c:pt idx="8">
                  <c:v>2797.7510357050533</c:v>
                </c:pt>
                <c:pt idx="9">
                  <c:v>2897.0182478589122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B4-4F26-B8EB-715D5E7BC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'W12. Heat Pump New Cap'!$B$13</c:f>
          <c:strCache>
            <c:ptCount val="1"/>
            <c:pt idx="0">
              <c:v>Heat output from new capacity (PJ) if run at 100%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'W12. Heat Pump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Cap'!$B$25:$B$34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1318.3602946926055</c:v>
                </c:pt>
                <c:pt idx="2">
                  <c:v>2005.8917976095795</c:v>
                </c:pt>
                <c:pt idx="3">
                  <c:v>2798.9510258536211</c:v>
                </c:pt>
                <c:pt idx="4">
                  <c:v>2860.4579697717068</c:v>
                </c:pt>
                <c:pt idx="5">
                  <c:v>3038.644152400997</c:v>
                </c:pt>
                <c:pt idx="6">
                  <c:v>2957.3790150202608</c:v>
                </c:pt>
                <c:pt idx="7">
                  <c:v>4467.4879758352627</c:v>
                </c:pt>
                <c:pt idx="8">
                  <c:v>2678.8657670960133</c:v>
                </c:pt>
                <c:pt idx="9">
                  <c:v>5825.4420996264989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4C-49A0-89E8-022963F39038}"/>
            </c:ext>
          </c:extLst>
        </c:ser>
        <c:ser>
          <c:idx val="1"/>
          <c:order val="1"/>
          <c:tx>
            <c:strRef>
              <c:f>'W12. Heat Pump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Cap'!$C$25:$C$34</c:f>
              <c:numCache>
                <c:formatCode>#,##0.00</c:formatCode>
                <c:ptCount val="10"/>
                <c:pt idx="0">
                  <c:v>686.42873969051675</c:v>
                </c:pt>
                <c:pt idx="1">
                  <c:v>1959.9149389717554</c:v>
                </c:pt>
                <c:pt idx="2">
                  <c:v>2511.6076135015187</c:v>
                </c:pt>
                <c:pt idx="3">
                  <c:v>2515.4027237361106</c:v>
                </c:pt>
                <c:pt idx="4">
                  <c:v>3019.4398269871454</c:v>
                </c:pt>
                <c:pt idx="5">
                  <c:v>2948.9871935578035</c:v>
                </c:pt>
                <c:pt idx="6">
                  <c:v>3039.2338857832196</c:v>
                </c:pt>
                <c:pt idx="7">
                  <c:v>4389.7172591245999</c:v>
                </c:pt>
                <c:pt idx="8">
                  <c:v>2977.4793548719913</c:v>
                </c:pt>
                <c:pt idx="9">
                  <c:v>3979.6624824066812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4C-49A0-89E8-022963F39038}"/>
            </c:ext>
          </c:extLst>
        </c:ser>
        <c:ser>
          <c:idx val="2"/>
          <c:order val="2"/>
          <c:tx>
            <c:strRef>
              <c:f>'W12. Heat Pump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Cap'!$D$25:$D$34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2757.3812967971071</c:v>
                </c:pt>
                <c:pt idx="3">
                  <c:v>3083.271366965856</c:v>
                </c:pt>
                <c:pt idx="4">
                  <c:v>2948.5782450984348</c:v>
                </c:pt>
                <c:pt idx="5">
                  <c:v>3592.1358751925354</c:v>
                </c:pt>
                <c:pt idx="6">
                  <c:v>2803.7179585581748</c:v>
                </c:pt>
                <c:pt idx="7">
                  <c:v>4439.2570746519132</c:v>
                </c:pt>
                <c:pt idx="8">
                  <c:v>2666.19869505424</c:v>
                </c:pt>
                <c:pt idx="9">
                  <c:v>5730.5715658298495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4C-49A0-89E8-022963F39038}"/>
            </c:ext>
          </c:extLst>
        </c:ser>
        <c:ser>
          <c:idx val="3"/>
          <c:order val="3"/>
          <c:tx>
            <c:strRef>
              <c:f>'W12. Heat Pump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Cap'!$E$25:$E$34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2756.731133270423</c:v>
                </c:pt>
                <c:pt idx="3">
                  <c:v>3077.5579171119562</c:v>
                </c:pt>
                <c:pt idx="4">
                  <c:v>5620.826949841241</c:v>
                </c:pt>
                <c:pt idx="5">
                  <c:v>20505.211945909414</c:v>
                </c:pt>
                <c:pt idx="6">
                  <c:v>22041.400200205644</c:v>
                </c:pt>
                <c:pt idx="7">
                  <c:v>29002.520897478003</c:v>
                </c:pt>
                <c:pt idx="8">
                  <c:v>24826.788914269717</c:v>
                </c:pt>
                <c:pt idx="9">
                  <c:v>29803.727104841375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4C-49A0-89E8-022963F39038}"/>
            </c:ext>
          </c:extLst>
        </c:ser>
        <c:ser>
          <c:idx val="4"/>
          <c:order val="4"/>
          <c:tx>
            <c:strRef>
              <c:f>'W12. Heat Pump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Cap'!$F$25:$F$34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2757.3812967971071</c:v>
                </c:pt>
                <c:pt idx="3">
                  <c:v>3078.958372927269</c:v>
                </c:pt>
                <c:pt idx="4">
                  <c:v>6975.6169606260037</c:v>
                </c:pt>
                <c:pt idx="5">
                  <c:v>22190.211321743544</c:v>
                </c:pt>
                <c:pt idx="6">
                  <c:v>21660.74167309541</c:v>
                </c:pt>
                <c:pt idx="7">
                  <c:v>28597.368059457545</c:v>
                </c:pt>
                <c:pt idx="8">
                  <c:v>24352.611989625086</c:v>
                </c:pt>
                <c:pt idx="9">
                  <c:v>29522.680475173041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4C-49A0-89E8-022963F39038}"/>
            </c:ext>
          </c:extLst>
        </c:ser>
        <c:ser>
          <c:idx val="5"/>
          <c:order val="5"/>
          <c:tx>
            <c:strRef>
              <c:f>'W12. Heat Pump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Cap'!$G$25:$G$34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13671.141174550896</c:v>
                </c:pt>
                <c:pt idx="3">
                  <c:v>56149.403913388574</c:v>
                </c:pt>
                <c:pt idx="4">
                  <c:v>38463.985226880613</c:v>
                </c:pt>
                <c:pt idx="5">
                  <c:v>27722.122198449109</c:v>
                </c:pt>
                <c:pt idx="6">
                  <c:v>23033.572502068011</c:v>
                </c:pt>
                <c:pt idx="7">
                  <c:v>29846.295954148554</c:v>
                </c:pt>
                <c:pt idx="8">
                  <c:v>24185.958426140372</c:v>
                </c:pt>
                <c:pt idx="9">
                  <c:v>31013.605591922238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14C-49A0-89E8-022963F39038}"/>
            </c:ext>
          </c:extLst>
        </c:ser>
        <c:ser>
          <c:idx val="6"/>
          <c:order val="6"/>
          <c:tx>
            <c:strRef>
              <c:f>'W12. Heat Pump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Cap'!$H$25:$H$34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2757.3812967971071</c:v>
                </c:pt>
                <c:pt idx="3">
                  <c:v>58219.10989076746</c:v>
                </c:pt>
                <c:pt idx="4">
                  <c:v>43829.546986469468</c:v>
                </c:pt>
                <c:pt idx="5">
                  <c:v>18305.218351170763</c:v>
                </c:pt>
                <c:pt idx="6">
                  <c:v>3857.6934941003988</c:v>
                </c:pt>
                <c:pt idx="7">
                  <c:v>13554.618116600726</c:v>
                </c:pt>
                <c:pt idx="8">
                  <c:v>19896.381715787586</c:v>
                </c:pt>
                <c:pt idx="9">
                  <c:v>29467.948991665759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4C-49A0-89E8-022963F39038}"/>
            </c:ext>
          </c:extLst>
        </c:ser>
        <c:ser>
          <c:idx val="7"/>
          <c:order val="7"/>
          <c:tx>
            <c:strRef>
              <c:f>'W12. Heat Pump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Cap'!$I$25:$I$34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2719.8298303836623</c:v>
                </c:pt>
                <c:pt idx="3">
                  <c:v>6865.9324762451124</c:v>
                </c:pt>
                <c:pt idx="4">
                  <c:v>15625.609551482681</c:v>
                </c:pt>
                <c:pt idx="5">
                  <c:v>26290.32305857243</c:v>
                </c:pt>
                <c:pt idx="6">
                  <c:v>24005.021457281084</c:v>
                </c:pt>
                <c:pt idx="7">
                  <c:v>28074.434924891895</c:v>
                </c:pt>
                <c:pt idx="8">
                  <c:v>25238.981894686982</c:v>
                </c:pt>
                <c:pt idx="9">
                  <c:v>29306.495397795985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C-49A0-89E8-022963F39038}"/>
            </c:ext>
          </c:extLst>
        </c:ser>
        <c:ser>
          <c:idx val="8"/>
          <c:order val="8"/>
          <c:tx>
            <c:strRef>
              <c:f>'W12. Heat Pump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'W12. Heat Pump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'W12. Heat Pump New Cap'!$J$25:$J$34</c:f>
              <c:numCache>
                <c:formatCode>#,##0.00</c:formatCode>
                <c:ptCount val="10"/>
                <c:pt idx="0">
                  <c:v>83.849670657931384</c:v>
                </c:pt>
                <c:pt idx="1">
                  <c:v>1904.574315895351</c:v>
                </c:pt>
                <c:pt idx="2">
                  <c:v>2757.3812967971071</c:v>
                </c:pt>
                <c:pt idx="3">
                  <c:v>13399.523465466238</c:v>
                </c:pt>
                <c:pt idx="4">
                  <c:v>19901.398251865554</c:v>
                </c:pt>
                <c:pt idx="5">
                  <c:v>27565.877801387833</c:v>
                </c:pt>
                <c:pt idx="6">
                  <c:v>22112.643664325184</c:v>
                </c:pt>
                <c:pt idx="7">
                  <c:v>28663.152098863997</c:v>
                </c:pt>
                <c:pt idx="8">
                  <c:v>23811.532321134775</c:v>
                </c:pt>
                <c:pt idx="9">
                  <c:v>29281.209956188864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4C-49A0-89E8-022963F39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'W13. EV New Cap'!$B$13</c:f>
          <c:strCache>
            <c:ptCount val="1"/>
            <c:pt idx="0">
              <c:v>Billion passenger km from new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'W13. EV New Cap'!$B$24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Cap'!$B$25:$B$34</c:f>
              <c:numCache>
                <c:formatCode>#,##0.00</c:formatCode>
                <c:ptCount val="10"/>
                <c:pt idx="0">
                  <c:v>0</c:v>
                </c:pt>
                <c:pt idx="1">
                  <c:v>55.299999999999926</c:v>
                </c:pt>
                <c:pt idx="2">
                  <c:v>339.09076507627361</c:v>
                </c:pt>
                <c:pt idx="3">
                  <c:v>2082.501920620321</c:v>
                </c:pt>
                <c:pt idx="4">
                  <c:v>11415.241132094006</c:v>
                </c:pt>
                <c:pt idx="5">
                  <c:v>18002.983767329075</c:v>
                </c:pt>
                <c:pt idx="6">
                  <c:v>20038.095925356465</c:v>
                </c:pt>
                <c:pt idx="7">
                  <c:v>21526.170629171931</c:v>
                </c:pt>
                <c:pt idx="8">
                  <c:v>23128.145914995461</c:v>
                </c:pt>
                <c:pt idx="9">
                  <c:v>25105.541635225665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D9-49A8-99A6-3877358AC6CC}"/>
            </c:ext>
          </c:extLst>
        </c:ser>
        <c:ser>
          <c:idx val="1"/>
          <c:order val="1"/>
          <c:tx>
            <c:strRef>
              <c:f>'W13. EV New Cap'!$C$24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Cap'!$C$25:$C$34</c:f>
              <c:numCache>
                <c:formatCode>#,##0.00</c:formatCode>
                <c:ptCount val="10"/>
                <c:pt idx="0">
                  <c:v>0</c:v>
                </c:pt>
                <c:pt idx="1">
                  <c:v>55.29999999999994</c:v>
                </c:pt>
                <c:pt idx="2">
                  <c:v>339.09076507627356</c:v>
                </c:pt>
                <c:pt idx="3">
                  <c:v>2082.501920620321</c:v>
                </c:pt>
                <c:pt idx="4">
                  <c:v>11309.539995401801</c:v>
                </c:pt>
                <c:pt idx="5">
                  <c:v>18025.183457152169</c:v>
                </c:pt>
                <c:pt idx="6">
                  <c:v>20030.807603967685</c:v>
                </c:pt>
                <c:pt idx="7">
                  <c:v>21528.338267166357</c:v>
                </c:pt>
                <c:pt idx="8">
                  <c:v>23127.494301272571</c:v>
                </c:pt>
                <c:pt idx="9">
                  <c:v>25105.541641914388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D9-49A8-99A6-3877358AC6CC}"/>
            </c:ext>
          </c:extLst>
        </c:ser>
        <c:ser>
          <c:idx val="2"/>
          <c:order val="2"/>
          <c:tx>
            <c:strRef>
              <c:f>'W13. EV New Cap'!$D$24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Cap'!$D$25:$D$34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511.41867088878001</c:v>
                </c:pt>
                <c:pt idx="3">
                  <c:v>4746.748657923159</c:v>
                </c:pt>
                <c:pt idx="4">
                  <c:v>12590.519901368216</c:v>
                </c:pt>
                <c:pt idx="5">
                  <c:v>18058.832894070591</c:v>
                </c:pt>
                <c:pt idx="6">
                  <c:v>20024.882702086408</c:v>
                </c:pt>
                <c:pt idx="7">
                  <c:v>21533.970001480164</c:v>
                </c:pt>
                <c:pt idx="8">
                  <c:v>23191.618795607777</c:v>
                </c:pt>
                <c:pt idx="9">
                  <c:v>25105.53571143419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D9-49A8-99A6-3877358AC6CC}"/>
            </c:ext>
          </c:extLst>
        </c:ser>
        <c:ser>
          <c:idx val="3"/>
          <c:order val="3"/>
          <c:tx>
            <c:strRef>
              <c:f>'W13. EV New Cap'!$E$24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Cap'!$E$25:$E$34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554.62990308928306</c:v>
                </c:pt>
                <c:pt idx="3">
                  <c:v>5376.5475367405797</c:v>
                </c:pt>
                <c:pt idx="4">
                  <c:v>13209.691522752013</c:v>
                </c:pt>
                <c:pt idx="5">
                  <c:v>18363.213727340117</c:v>
                </c:pt>
                <c:pt idx="6">
                  <c:v>20117.068178000922</c:v>
                </c:pt>
                <c:pt idx="7">
                  <c:v>23797.994995439076</c:v>
                </c:pt>
                <c:pt idx="8">
                  <c:v>26742.868647473108</c:v>
                </c:pt>
                <c:pt idx="9">
                  <c:v>29256.516443468885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D9-49A8-99A6-3877358AC6CC}"/>
            </c:ext>
          </c:extLst>
        </c:ser>
        <c:ser>
          <c:idx val="4"/>
          <c:order val="4"/>
          <c:tx>
            <c:strRef>
              <c:f>'W13. EV New Cap'!$F$24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Cap'!$F$25:$F$34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511.41867088878001</c:v>
                </c:pt>
                <c:pt idx="3">
                  <c:v>5103.8901350274746</c:v>
                </c:pt>
                <c:pt idx="4">
                  <c:v>12977.476735202006</c:v>
                </c:pt>
                <c:pt idx="5">
                  <c:v>18088.889950601791</c:v>
                </c:pt>
                <c:pt idx="6">
                  <c:v>20394.576593284215</c:v>
                </c:pt>
                <c:pt idx="7">
                  <c:v>24594.11163108451</c:v>
                </c:pt>
                <c:pt idx="8">
                  <c:v>26664.047266910275</c:v>
                </c:pt>
                <c:pt idx="9">
                  <c:v>29311.700068728249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D9-49A8-99A6-3877358AC6CC}"/>
            </c:ext>
          </c:extLst>
        </c:ser>
        <c:ser>
          <c:idx val="5"/>
          <c:order val="5"/>
          <c:tx>
            <c:strRef>
              <c:f>'W13. EV New Cap'!$G$24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Cap'!$G$25:$G$34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648.60333079607267</c:v>
                </c:pt>
                <c:pt idx="3">
                  <c:v>2657.477069717067</c:v>
                </c:pt>
                <c:pt idx="4">
                  <c:v>10639.841173782937</c:v>
                </c:pt>
                <c:pt idx="5">
                  <c:v>20810.014697971284</c:v>
                </c:pt>
                <c:pt idx="6">
                  <c:v>21290.318298947601</c:v>
                </c:pt>
                <c:pt idx="7">
                  <c:v>24646.5380343541</c:v>
                </c:pt>
                <c:pt idx="8">
                  <c:v>27127.176015992594</c:v>
                </c:pt>
                <c:pt idx="9">
                  <c:v>29259.636623118771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D9-49A8-99A6-3877358AC6CC}"/>
            </c:ext>
          </c:extLst>
        </c:ser>
        <c:ser>
          <c:idx val="6"/>
          <c:order val="6"/>
          <c:tx>
            <c:strRef>
              <c:f>'W13. EV New Cap'!$H$24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Cap'!$H$25:$H$34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511.41867088878001</c:v>
                </c:pt>
                <c:pt idx="3">
                  <c:v>2612.9558654141647</c:v>
                </c:pt>
                <c:pt idx="4">
                  <c:v>5645.7212000528361</c:v>
                </c:pt>
                <c:pt idx="5">
                  <c:v>12818.94506292338</c:v>
                </c:pt>
                <c:pt idx="6">
                  <c:v>21565.310962778858</c:v>
                </c:pt>
                <c:pt idx="7">
                  <c:v>21369.131925774403</c:v>
                </c:pt>
                <c:pt idx="8">
                  <c:v>23481.508571452945</c:v>
                </c:pt>
                <c:pt idx="9">
                  <c:v>24770.085759559181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D9-49A8-99A6-3877358AC6CC}"/>
            </c:ext>
          </c:extLst>
        </c:ser>
        <c:ser>
          <c:idx val="7"/>
          <c:order val="7"/>
          <c:tx>
            <c:strRef>
              <c:f>'W13. EV New Cap'!$I$24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Cap'!$I$25:$I$34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600.48863309316982</c:v>
                </c:pt>
                <c:pt idx="3">
                  <c:v>5773.9107606003008</c:v>
                </c:pt>
                <c:pt idx="4">
                  <c:v>13924.520829408522</c:v>
                </c:pt>
                <c:pt idx="5">
                  <c:v>18712.820467604837</c:v>
                </c:pt>
                <c:pt idx="6">
                  <c:v>23057.651031703117</c:v>
                </c:pt>
                <c:pt idx="7">
                  <c:v>25400.803317227481</c:v>
                </c:pt>
                <c:pt idx="8">
                  <c:v>26663.289079365964</c:v>
                </c:pt>
                <c:pt idx="9">
                  <c:v>29387.802491475552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D9-49A8-99A6-3877358AC6CC}"/>
            </c:ext>
          </c:extLst>
        </c:ser>
        <c:ser>
          <c:idx val="8"/>
          <c:order val="8"/>
          <c:tx>
            <c:strRef>
              <c:f>'W13. EV New Cap'!$J$24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'W13. EV New Cap'!$A$25:$A$34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'W13. EV New Cap'!$J$25:$J$34</c:f>
              <c:numCache>
                <c:formatCode>#,##0.00</c:formatCode>
                <c:ptCount val="10"/>
                <c:pt idx="0">
                  <c:v>0</c:v>
                </c:pt>
                <c:pt idx="1">
                  <c:v>55.300000000000061</c:v>
                </c:pt>
                <c:pt idx="2">
                  <c:v>511.41867088878001</c:v>
                </c:pt>
                <c:pt idx="3">
                  <c:v>5361.4766705651291</c:v>
                </c:pt>
                <c:pt idx="4">
                  <c:v>13010.665186049129</c:v>
                </c:pt>
                <c:pt idx="5">
                  <c:v>16554.158883067892</c:v>
                </c:pt>
                <c:pt idx="6">
                  <c:v>21378.116279760306</c:v>
                </c:pt>
                <c:pt idx="7">
                  <c:v>25408.109164641719</c:v>
                </c:pt>
                <c:pt idx="8">
                  <c:v>26665.611820977414</c:v>
                </c:pt>
                <c:pt idx="9">
                  <c:v>29457.301175868284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D9-49A8-99A6-3877358AC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'W14. CO2 Captured'!$B$13</c:f>
          <c:strCache>
            <c:ptCount val="1"/>
            <c:pt idx="0">
              <c:v>Carbon captured (GtCO2)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'W14. CO2 Captured'!$B$24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Captured'!$B$25:$B$34</c:f>
              <c:numCache>
                <c:formatCode>#,##0.00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6A-4566-827E-B97D4AEF56BD}"/>
            </c:ext>
          </c:extLst>
        </c:ser>
        <c:ser>
          <c:idx val="1"/>
          <c:order val="1"/>
          <c:tx>
            <c:strRef>
              <c:f>'W14. CO2 Captured'!$C$24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Captured'!$C$25:$C$34</c:f>
              <c:numCache>
                <c:formatCode>#,##0.00</c:formatCode>
                <c:ptCount val="10"/>
                <c:pt idx="0">
                  <c:v>0</c:v>
                </c:pt>
                <c:pt idx="1">
                  <c:v>0.70863470163645392</c:v>
                </c:pt>
                <c:pt idx="2">
                  <c:v>0.17230716941495869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6A-4566-827E-B97D4AEF56BD}"/>
            </c:ext>
          </c:extLst>
        </c:ser>
        <c:ser>
          <c:idx val="2"/>
          <c:order val="2"/>
          <c:tx>
            <c:strRef>
              <c:f>'W14. CO2 Captured'!$D$24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Captured'!$D$25:$D$34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0.74169755562765172</c:v>
                </c:pt>
                <c:pt idx="3">
                  <c:v>0.73497922736489951</c:v>
                </c:pt>
                <c:pt idx="4">
                  <c:v>0.25436266516921935</c:v>
                </c:pt>
                <c:pt idx="5">
                  <c:v>0.76409303676365081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6A-4566-827E-B97D4AEF56BD}"/>
            </c:ext>
          </c:extLst>
        </c:ser>
        <c:ser>
          <c:idx val="3"/>
          <c:order val="3"/>
          <c:tx>
            <c:strRef>
              <c:f>'W14. CO2 Captured'!$E$24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Captured'!$E$25:$E$34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1.3050867061002469</c:v>
                </c:pt>
                <c:pt idx="3">
                  <c:v>2.0526561560000283</c:v>
                </c:pt>
                <c:pt idx="4">
                  <c:v>3.8394175401515929</c:v>
                </c:pt>
                <c:pt idx="5">
                  <c:v>7.9102423547116674</c:v>
                </c:pt>
                <c:pt idx="6">
                  <c:v>14.363262360411925</c:v>
                </c:pt>
                <c:pt idx="7">
                  <c:v>19.912784395002205</c:v>
                </c:pt>
                <c:pt idx="8">
                  <c:v>23.754387503859743</c:v>
                </c:pt>
                <c:pt idx="9">
                  <c:v>25.409866344795919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6A-4566-827E-B97D4AEF56BD}"/>
            </c:ext>
          </c:extLst>
        </c:ser>
        <c:ser>
          <c:idx val="4"/>
          <c:order val="4"/>
          <c:tx>
            <c:strRef>
              <c:f>'W14. CO2 Captured'!$F$24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Captured'!$F$25:$F$34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0.74169755562765172</c:v>
                </c:pt>
                <c:pt idx="3">
                  <c:v>2.0045548482692239</c:v>
                </c:pt>
                <c:pt idx="4">
                  <c:v>3.8594346168728766</c:v>
                </c:pt>
                <c:pt idx="5">
                  <c:v>8.564453122151356</c:v>
                </c:pt>
                <c:pt idx="6">
                  <c:v>14.417606957447257</c:v>
                </c:pt>
                <c:pt idx="7">
                  <c:v>20.578941785931839</c:v>
                </c:pt>
                <c:pt idx="8">
                  <c:v>23.906739825435228</c:v>
                </c:pt>
                <c:pt idx="9">
                  <c:v>25.043962266816877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6A-4566-827E-B97D4AEF56BD}"/>
            </c:ext>
          </c:extLst>
        </c:ser>
        <c:ser>
          <c:idx val="5"/>
          <c:order val="5"/>
          <c:tx>
            <c:strRef>
              <c:f>'W14. CO2 Captured'!$G$24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Captured'!$G$25:$G$34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1.7013304164856926</c:v>
                </c:pt>
                <c:pt idx="3">
                  <c:v>3.9408500119662313</c:v>
                </c:pt>
                <c:pt idx="4">
                  <c:v>9.2585175048606985</c:v>
                </c:pt>
                <c:pt idx="5">
                  <c:v>19.219362973256047</c:v>
                </c:pt>
                <c:pt idx="6">
                  <c:v>19.541942992381053</c:v>
                </c:pt>
                <c:pt idx="7">
                  <c:v>22.35344444727885</c:v>
                </c:pt>
                <c:pt idx="8">
                  <c:v>24.398594204164951</c:v>
                </c:pt>
                <c:pt idx="9">
                  <c:v>25.047359200369819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6A-4566-827E-B97D4AEF56BD}"/>
            </c:ext>
          </c:extLst>
        </c:ser>
        <c:ser>
          <c:idx val="6"/>
          <c:order val="6"/>
          <c:tx>
            <c:strRef>
              <c:f>'W14. CO2 Captured'!$H$24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Captured'!$H$25:$H$34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0.74169755562765172</c:v>
                </c:pt>
                <c:pt idx="3">
                  <c:v>3.7625906988096394</c:v>
                </c:pt>
                <c:pt idx="4">
                  <c:v>10.35000000000001</c:v>
                </c:pt>
                <c:pt idx="5">
                  <c:v>19.10278011350665</c:v>
                </c:pt>
                <c:pt idx="6">
                  <c:v>11.953232935226936</c:v>
                </c:pt>
                <c:pt idx="7">
                  <c:v>13.265816783330036</c:v>
                </c:pt>
                <c:pt idx="8">
                  <c:v>15.133061677020764</c:v>
                </c:pt>
                <c:pt idx="9">
                  <c:v>20.867466923165196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6A-4566-827E-B97D4AEF56BD}"/>
            </c:ext>
          </c:extLst>
        </c:ser>
        <c:ser>
          <c:idx val="7"/>
          <c:order val="7"/>
          <c:tx>
            <c:strRef>
              <c:f>'W14. CO2 Captured'!$I$24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'W14. CO2 Captured'!$A$25:$A$34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'W14. CO2 Captured'!$I$25:$I$34</c:f>
              <c:numCache>
                <c:formatCode>#,##0.00</c:formatCode>
                <c:ptCount val="10"/>
                <c:pt idx="0">
                  <c:v>0</c:v>
                </c:pt>
                <c:pt idx="1">
                  <c:v>0.71607152537272356</c:v>
                </c:pt>
                <c:pt idx="2">
                  <c:v>1.4400749477304384</c:v>
                </c:pt>
                <c:pt idx="3">
                  <c:v>2.8564204108364613</c:v>
                </c:pt>
                <c:pt idx="4">
                  <c:v>7.3062544961930511</c:v>
                </c:pt>
                <c:pt idx="5">
                  <c:v>14.385638899650365</c:v>
                </c:pt>
                <c:pt idx="6">
                  <c:v>19.810168267123483</c:v>
                </c:pt>
                <c:pt idx="7">
                  <c:v>23.332047110400644</c:v>
                </c:pt>
                <c:pt idx="8">
                  <c:v>23.779049665193256</c:v>
                </c:pt>
                <c:pt idx="9">
                  <c:v>24.852083378463799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6A-4566-827E-B97D4AEF5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'W15. Carbon Prices'!$B$13</c:f>
          <c:strCache>
            <c:ptCount val="1"/>
            <c:pt idx="0">
              <c:v>2016US$/tCO2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'W15. Carbon Prices'!$B$24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Prices'!$B$25:$B$34</c:f>
              <c:numCache>
                <c:formatCode>#,##0.00</c:formatCode>
                <c:ptCount val="1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1D-4236-8495-00D4E220E1FF}"/>
            </c:ext>
          </c:extLst>
        </c:ser>
        <c:ser>
          <c:idx val="1"/>
          <c:order val="1"/>
          <c:tx>
            <c:strRef>
              <c:f>'W15. Carbon Prices'!$C$24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Prices'!$C$25:$C$34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39.564758867173879</c:v>
                </c:pt>
                <c:pt idx="3">
                  <c:v>21.369858712654917</c:v>
                </c:pt>
                <c:pt idx="4">
                  <c:v>15.112130456161747</c:v>
                </c:pt>
                <c:pt idx="5">
                  <c:v>30.667538639929077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1D-4236-8495-00D4E220E1FF}"/>
            </c:ext>
          </c:extLst>
        </c:ser>
        <c:ser>
          <c:idx val="2"/>
          <c:order val="2"/>
          <c:tx>
            <c:strRef>
              <c:f>'W15. Carbon Prices'!$D$24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Prices'!$D$25:$D$34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73.149705726259512</c:v>
                </c:pt>
                <c:pt idx="3">
                  <c:v>68.650684479688096</c:v>
                </c:pt>
                <c:pt idx="4">
                  <c:v>74.105092960302713</c:v>
                </c:pt>
                <c:pt idx="5">
                  <c:v>120.70938773938381</c:v>
                </c:pt>
                <c:pt idx="6">
                  <c:v>196.62287309089868</c:v>
                </c:pt>
                <c:pt idx="7">
                  <c:v>320.27794147961555</c:v>
                </c:pt>
                <c:pt idx="8">
                  <c:v>521.69901795148451</c:v>
                </c:pt>
                <c:pt idx="9">
                  <c:v>849.79272713623277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1D-4236-8495-00D4E220E1FF}"/>
            </c:ext>
          </c:extLst>
        </c:ser>
        <c:ser>
          <c:idx val="3"/>
          <c:order val="3"/>
          <c:tx>
            <c:strRef>
              <c:f>'W15. Carbon Prices'!$E$24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Prices'!$E$25:$E$34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39.564758867173879</c:v>
                </c:pt>
                <c:pt idx="3">
                  <c:v>76.53540990087491</c:v>
                </c:pt>
                <c:pt idx="4">
                  <c:v>102.77679736211667</c:v>
                </c:pt>
                <c:pt idx="5">
                  <c:v>176.54543082387619</c:v>
                </c:pt>
                <c:pt idx="6">
                  <c:v>214.93657047985582</c:v>
                </c:pt>
                <c:pt idx="7">
                  <c:v>350.10902475267318</c:v>
                </c:pt>
                <c:pt idx="8">
                  <c:v>570.29070920588538</c:v>
                </c:pt>
                <c:pt idx="9">
                  <c:v>928.94347192662065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1D-4236-8495-00D4E220E1FF}"/>
            </c:ext>
          </c:extLst>
        </c:ser>
        <c:ser>
          <c:idx val="4"/>
          <c:order val="4"/>
          <c:tx>
            <c:strRef>
              <c:f>'W15. Carbon Prices'!$F$24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Prices'!$F$25:$F$34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448.99297858644121</c:v>
                </c:pt>
                <c:pt idx="3">
                  <c:v>7387.8037560719758</c:v>
                </c:pt>
                <c:pt idx="4">
                  <c:v>28073.782637689859</c:v>
                </c:pt>
                <c:pt idx="5">
                  <c:v>2378.7054905055661</c:v>
                </c:pt>
                <c:pt idx="6">
                  <c:v>255.77573260068687</c:v>
                </c:pt>
                <c:pt idx="7">
                  <c:v>416.63171649215474</c:v>
                </c:pt>
                <c:pt idx="8">
                  <c:v>678.64916434227041</c:v>
                </c:pt>
                <c:pt idx="9">
                  <c:v>1105.4479819917756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1D-4236-8495-00D4E220E1FF}"/>
            </c:ext>
          </c:extLst>
        </c:ser>
        <c:ser>
          <c:idx val="5"/>
          <c:order val="5"/>
          <c:tx>
            <c:strRef>
              <c:f>'W15. Carbon Prices'!$G$24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Prices'!$G$25:$G$34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39.564758867173879</c:v>
                </c:pt>
                <c:pt idx="3">
                  <c:v>3353.0316761810604</c:v>
                </c:pt>
                <c:pt idx="4">
                  <c:v>12204.999999993872</c:v>
                </c:pt>
                <c:pt idx="5">
                  <c:v>28714.723349277974</c:v>
                </c:pt>
                <c:pt idx="6">
                  <c:v>57.277376388704134</c:v>
                </c:pt>
                <c:pt idx="7">
                  <c:v>93.298810635179663</c:v>
                </c:pt>
                <c:pt idx="8">
                  <c:v>151.97393132837402</c:v>
                </c:pt>
                <c:pt idx="9">
                  <c:v>247.54952015113128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1D-4236-8495-00D4E220E1FF}"/>
            </c:ext>
          </c:extLst>
        </c:ser>
        <c:ser>
          <c:idx val="6"/>
          <c:order val="6"/>
          <c:tx>
            <c:strRef>
              <c:f>'W15. Carbon Prices'!$H$24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Prices'!$H$25:$H$34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114.51751007340914</c:v>
                </c:pt>
                <c:pt idx="3">
                  <c:v>139.82184003454506</c:v>
                </c:pt>
                <c:pt idx="4">
                  <c:v>164.05976724594242</c:v>
                </c:pt>
                <c:pt idx="5">
                  <c:v>242.03471427058847</c:v>
                </c:pt>
                <c:pt idx="6">
                  <c:v>394.24904556897445</c:v>
                </c:pt>
                <c:pt idx="7">
                  <c:v>642.19015193926828</c:v>
                </c:pt>
                <c:pt idx="8">
                  <c:v>1046.0600878635387</c:v>
                </c:pt>
                <c:pt idx="9">
                  <c:v>1703.9216564072599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1D-4236-8495-00D4E220E1FF}"/>
            </c:ext>
          </c:extLst>
        </c:ser>
        <c:ser>
          <c:idx val="7"/>
          <c:order val="7"/>
          <c:tx>
            <c:strRef>
              <c:f>'W15. Carbon Prices'!$I$24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Prices'!$I$25:$I$34</c:f>
              <c:numCache>
                <c:formatCode>#,##0.00</c:formatCode>
                <c:ptCount val="10"/>
                <c:pt idx="1">
                  <c:v>15.376961862127992</c:v>
                </c:pt>
                <c:pt idx="2">
                  <c:v>39.564758867173879</c:v>
                </c:pt>
                <c:pt idx="3">
                  <c:v>139.52565352517007</c:v>
                </c:pt>
                <c:pt idx="4">
                  <c:v>482.86328846251052</c:v>
                </c:pt>
                <c:pt idx="5">
                  <c:v>1191.8023148083598</c:v>
                </c:pt>
                <c:pt idx="6">
                  <c:v>325.71805591265542</c:v>
                </c:pt>
                <c:pt idx="7">
                  <c:v>530.56039111140115</c:v>
                </c:pt>
                <c:pt idx="8">
                  <c:v>864.22697026177559</c:v>
                </c:pt>
                <c:pt idx="9">
                  <c:v>1407.7346681784638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1D-4236-8495-00D4E220E1FF}"/>
            </c:ext>
          </c:extLst>
        </c:ser>
        <c:ser>
          <c:idx val="8"/>
          <c:order val="8"/>
          <c:tx>
            <c:strRef>
              <c:f>'W15. Carbon Prices'!$J$24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Prices'!$J$25:$J$34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1D-4236-8495-00D4E220E1FF}"/>
            </c:ext>
          </c:extLst>
        </c:ser>
        <c:ser>
          <c:idx val="9"/>
          <c:order val="9"/>
          <c:tx>
            <c:strRef>
              <c:f>'W15. Carbon Prices'!$K$24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Prices'!$K$25:$K$34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1D-4236-8495-00D4E220E1FF}"/>
            </c:ext>
          </c:extLst>
        </c:ser>
        <c:ser>
          <c:idx val="10"/>
          <c:order val="10"/>
          <c:tx>
            <c:strRef>
              <c:f>'W15. Carbon Prices'!$L$24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Prices'!$L$25:$L$34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1D-4236-8495-00D4E220E1FF}"/>
            </c:ext>
          </c:extLst>
        </c:ser>
        <c:ser>
          <c:idx val="11"/>
          <c:order val="11"/>
          <c:tx>
            <c:strRef>
              <c:f>'W15. Carbon Prices'!$M$24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'W15. Carbon Prices'!$A$25:$A$34</c:f>
              <c:numCache>
                <c:formatCode>General</c:formatCode>
                <c:ptCount val="10"/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'W15. Carbon Prices'!$M$25:$M$34</c:f>
              <c:numCache>
                <c:formatCode>#,##0.00</c:formatCode>
                <c:ptCount val="1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A1D-4236-8495-00D4E220E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'W16. Transport new capacity'!$B$13</c:f>
          <c:strCache>
            <c:ptCount val="1"/>
            <c:pt idx="0">
              <c:v>Billion passenger km from new Alternative fuels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'W16. Transport new capacity'!$B$25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capacity'!$B$26:$B$35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860.24212834963828</c:v>
                </c:pt>
                <c:pt idx="2">
                  <c:v>2287.9433290414941</c:v>
                </c:pt>
                <c:pt idx="3">
                  <c:v>2331.2345207526619</c:v>
                </c:pt>
                <c:pt idx="4">
                  <c:v>3073.9401117142315</c:v>
                </c:pt>
                <c:pt idx="5">
                  <c:v>1752.3569690334552</c:v>
                </c:pt>
                <c:pt idx="6">
                  <c:v>2037.4111911801626</c:v>
                </c:pt>
                <c:pt idx="7">
                  <c:v>2407.567427501253</c:v>
                </c:pt>
                <c:pt idx="8">
                  <c:v>2523.9186151281338</c:v>
                </c:pt>
                <c:pt idx="9">
                  <c:v>4072.3555624811697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64-4C33-AE79-1817F5BB0D45}"/>
            </c:ext>
          </c:extLst>
        </c:ser>
        <c:ser>
          <c:idx val="1"/>
          <c:order val="1"/>
          <c:tx>
            <c:strRef>
              <c:f>'W16. Transport new capacity'!$C$25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capacity'!$C$26:$C$35</c:f>
              <c:numCache>
                <c:formatCode>#,##0.00</c:formatCode>
                <c:ptCount val="10"/>
                <c:pt idx="0">
                  <c:v>37.062883233062713</c:v>
                </c:pt>
                <c:pt idx="1">
                  <c:v>1143.0175561160122</c:v>
                </c:pt>
                <c:pt idx="2">
                  <c:v>2081.42632169014</c:v>
                </c:pt>
                <c:pt idx="3">
                  <c:v>2402.1458364691794</c:v>
                </c:pt>
                <c:pt idx="4">
                  <c:v>3065.0575528404511</c:v>
                </c:pt>
                <c:pt idx="5">
                  <c:v>1842.7888638877664</c:v>
                </c:pt>
                <c:pt idx="6">
                  <c:v>2016.7695215114488</c:v>
                </c:pt>
                <c:pt idx="7">
                  <c:v>2405.4458122252545</c:v>
                </c:pt>
                <c:pt idx="8">
                  <c:v>2503.2606148810305</c:v>
                </c:pt>
                <c:pt idx="9">
                  <c:v>4039.910025561192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64-4C33-AE79-1817F5BB0D45}"/>
            </c:ext>
          </c:extLst>
        </c:ser>
        <c:ser>
          <c:idx val="2"/>
          <c:order val="2"/>
          <c:tx>
            <c:strRef>
              <c:f>'W16. Transport new capacity'!$D$25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capacity'!$D$26:$D$35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1524.3877289706661</c:v>
                </c:pt>
                <c:pt idx="3">
                  <c:v>2252.7129147010387</c:v>
                </c:pt>
                <c:pt idx="4">
                  <c:v>2962.9407229908252</c:v>
                </c:pt>
                <c:pt idx="5">
                  <c:v>1783.6758079482206</c:v>
                </c:pt>
                <c:pt idx="6">
                  <c:v>2123.0481675706733</c:v>
                </c:pt>
                <c:pt idx="7">
                  <c:v>2251.3169776181144</c:v>
                </c:pt>
                <c:pt idx="8">
                  <c:v>2440.3158027997542</c:v>
                </c:pt>
                <c:pt idx="9">
                  <c:v>4038.0778824058461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64-4C33-AE79-1817F5BB0D45}"/>
            </c:ext>
          </c:extLst>
        </c:ser>
        <c:ser>
          <c:idx val="3"/>
          <c:order val="3"/>
          <c:tx>
            <c:strRef>
              <c:f>'W16. Transport new capacity'!$E$25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capacity'!$E$26:$E$35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1250.3938066101891</c:v>
                </c:pt>
                <c:pt idx="3">
                  <c:v>1912.3966805555337</c:v>
                </c:pt>
                <c:pt idx="4">
                  <c:v>2357.2706036195209</c:v>
                </c:pt>
                <c:pt idx="5">
                  <c:v>1064.1091124871357</c:v>
                </c:pt>
                <c:pt idx="6">
                  <c:v>444.43525654250777</c:v>
                </c:pt>
                <c:pt idx="7">
                  <c:v>294.73263197066302</c:v>
                </c:pt>
                <c:pt idx="8">
                  <c:v>740.1830540065115</c:v>
                </c:pt>
                <c:pt idx="9">
                  <c:v>1469.9957686509338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64-4C33-AE79-1817F5BB0D45}"/>
            </c:ext>
          </c:extLst>
        </c:ser>
        <c:ser>
          <c:idx val="4"/>
          <c:order val="4"/>
          <c:tx>
            <c:strRef>
              <c:f>'W16. Transport new capacity'!$F$25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capacity'!$F$26:$F$35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1524.3877289706661</c:v>
                </c:pt>
                <c:pt idx="3">
                  <c:v>1814.1615937497345</c:v>
                </c:pt>
                <c:pt idx="4">
                  <c:v>1988.8280093051569</c:v>
                </c:pt>
                <c:pt idx="5">
                  <c:v>933.55903251069265</c:v>
                </c:pt>
                <c:pt idx="6">
                  <c:v>598.78659472190884</c:v>
                </c:pt>
                <c:pt idx="7">
                  <c:v>416.62152325979014</c:v>
                </c:pt>
                <c:pt idx="8">
                  <c:v>784.027565809669</c:v>
                </c:pt>
                <c:pt idx="9">
                  <c:v>1623.430159697788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64-4C33-AE79-1817F5BB0D45}"/>
            </c:ext>
          </c:extLst>
        </c:ser>
        <c:ser>
          <c:idx val="5"/>
          <c:order val="5"/>
          <c:tx>
            <c:strRef>
              <c:f>'W16. Transport new capacity'!$G$25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capacity'!$G$26:$G$35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786.200296362833</c:v>
                </c:pt>
                <c:pt idx="3">
                  <c:v>919.82704981495954</c:v>
                </c:pt>
                <c:pt idx="4">
                  <c:v>1400.9216632020436</c:v>
                </c:pt>
                <c:pt idx="5">
                  <c:v>1524.961749124516</c:v>
                </c:pt>
                <c:pt idx="6">
                  <c:v>289.48256105563644</c:v>
                </c:pt>
                <c:pt idx="7">
                  <c:v>712.27835915800051</c:v>
                </c:pt>
                <c:pt idx="8">
                  <c:v>845.57336331755641</c:v>
                </c:pt>
                <c:pt idx="9">
                  <c:v>1801.0586361389182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64-4C33-AE79-1817F5BB0D45}"/>
            </c:ext>
          </c:extLst>
        </c:ser>
        <c:ser>
          <c:idx val="6"/>
          <c:order val="6"/>
          <c:tx>
            <c:strRef>
              <c:f>'W16. Transport new capacity'!$H$25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capacity'!$H$26:$H$35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1524.3877289706661</c:v>
                </c:pt>
                <c:pt idx="3">
                  <c:v>1288.6427680285008</c:v>
                </c:pt>
                <c:pt idx="4">
                  <c:v>1633.5432139162797</c:v>
                </c:pt>
                <c:pt idx="5">
                  <c:v>1179.6675889615622</c:v>
                </c:pt>
                <c:pt idx="6">
                  <c:v>1612.4067317967999</c:v>
                </c:pt>
                <c:pt idx="7">
                  <c:v>1348.6639423656325</c:v>
                </c:pt>
                <c:pt idx="8">
                  <c:v>1288.2617760164344</c:v>
                </c:pt>
                <c:pt idx="9">
                  <c:v>1096.0177487369635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64-4C33-AE79-1817F5BB0D45}"/>
            </c:ext>
          </c:extLst>
        </c:ser>
        <c:ser>
          <c:idx val="7"/>
          <c:order val="7"/>
          <c:tx>
            <c:strRef>
              <c:f>'W16. Transport new capacity'!$I$25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capacity'!$I$26:$I$35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1142.9433699314973</c:v>
                </c:pt>
                <c:pt idx="3">
                  <c:v>1404.0712932594606</c:v>
                </c:pt>
                <c:pt idx="4">
                  <c:v>1491.7039938532398</c:v>
                </c:pt>
                <c:pt idx="5">
                  <c:v>522.11839795991</c:v>
                </c:pt>
                <c:pt idx="6">
                  <c:v>658.37347541465078</c:v>
                </c:pt>
                <c:pt idx="7">
                  <c:v>805.33164419772004</c:v>
                </c:pt>
                <c:pt idx="8">
                  <c:v>1588.6458974171817</c:v>
                </c:pt>
                <c:pt idx="9">
                  <c:v>2315.0344844448568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64-4C33-AE79-1817F5BB0D45}"/>
            </c:ext>
          </c:extLst>
        </c:ser>
        <c:ser>
          <c:idx val="8"/>
          <c:order val="8"/>
          <c:tx>
            <c:strRef>
              <c:f>'W16. Transport new capacity'!$J$25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'W16. Transport new capacity'!$A$26:$A$35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'W16. Transport new capacity'!$J$26:$J$35</c:f>
              <c:numCache>
                <c:formatCode>#,##0.00</c:formatCode>
                <c:ptCount val="10"/>
                <c:pt idx="0">
                  <c:v>40.935839939176851</c:v>
                </c:pt>
                <c:pt idx="1">
                  <c:v>1010.9701631029815</c:v>
                </c:pt>
                <c:pt idx="2">
                  <c:v>1524.3877289706661</c:v>
                </c:pt>
                <c:pt idx="3">
                  <c:v>917.04686310395698</c:v>
                </c:pt>
                <c:pt idx="4">
                  <c:v>1193.5946690720878</c:v>
                </c:pt>
                <c:pt idx="5">
                  <c:v>1537.4197123191402</c:v>
                </c:pt>
                <c:pt idx="6">
                  <c:v>508.42879186885472</c:v>
                </c:pt>
                <c:pt idx="7">
                  <c:v>711.0462147692275</c:v>
                </c:pt>
                <c:pt idx="8">
                  <c:v>1454.9504243560427</c:v>
                </c:pt>
                <c:pt idx="9">
                  <c:v>2044.1392864428308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64-4C33-AE79-1817F5BB0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Billion passenger km from</a:t>
            </a:r>
            <a:r>
              <a:rPr lang="en-GB" baseline="0"/>
              <a:t> new capacity (by mode)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'W16. Transport new capacity'!$A$43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capacity'!$B$43:$Z$43</c:f>
              <c:numCache>
                <c:formatCode>#,##0.00</c:formatCode>
                <c:ptCount val="25"/>
                <c:pt idx="0">
                  <c:v>9326.5813623263857</c:v>
                </c:pt>
                <c:pt idx="1">
                  <c:v>14909.860654530967</c:v>
                </c:pt>
                <c:pt idx="2">
                  <c:v>15099.809730699641</c:v>
                </c:pt>
                <c:pt idx="3">
                  <c:v>15585.649202815215</c:v>
                </c:pt>
                <c:pt idx="4">
                  <c:v>15822.099628537764</c:v>
                </c:pt>
                <c:pt idx="5">
                  <c:v>15585.649202815215</c:v>
                </c:pt>
                <c:pt idx="6">
                  <c:v>8563.0147009351931</c:v>
                </c:pt>
                <c:pt idx="7">
                  <c:v>15585.649202815215</c:v>
                </c:pt>
                <c:pt idx="8">
                  <c:v>15622.349472331807</c:v>
                </c:pt>
                <c:pt idx="9">
                  <c:v>15585.649202815215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12018.325978796083</c:v>
                </c:pt>
                <c:pt idx="14">
                  <c:v>12132.906800318578</c:v>
                </c:pt>
                <c:pt idx="15">
                  <c:v>10956.103861789159</c:v>
                </c:pt>
                <c:pt idx="16">
                  <c:v>10893.878704765588</c:v>
                </c:pt>
                <c:pt idx="17">
                  <c:v>11475.898696623379</c:v>
                </c:pt>
                <c:pt idx="18">
                  <c:v>2348.0288842913101</c:v>
                </c:pt>
                <c:pt idx="19">
                  <c:v>2594.1079042470092</c:v>
                </c:pt>
                <c:pt idx="20">
                  <c:v>10742.911837242284</c:v>
                </c:pt>
                <c:pt idx="21">
                  <c:v>11624.399868893737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A91-4A22-B64F-D58F2AD74BB7}"/>
            </c:ext>
          </c:extLst>
        </c:ser>
        <c:ser>
          <c:idx val="4"/>
          <c:order val="1"/>
          <c:tx>
            <c:strRef>
              <c:f>'W16. Transport new capacity'!$A$44</c:f>
              <c:strCache>
                <c:ptCount val="1"/>
                <c:pt idx="0">
                  <c:v>Hybrid (non-plug-in)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capacity'!$B$44:$Z$44</c:f>
              <c:numCache>
                <c:formatCode>#,##0.00</c:formatCode>
                <c:ptCount val="25"/>
                <c:pt idx="0">
                  <c:v>0</c:v>
                </c:pt>
                <c:pt idx="1">
                  <c:v>1503.2694141973941</c:v>
                </c:pt>
                <c:pt idx="2">
                  <c:v>1503.2694141973941</c:v>
                </c:pt>
                <c:pt idx="3">
                  <c:v>1599.9746126235134</c:v>
                </c:pt>
                <c:pt idx="4">
                  <c:v>1596.4148336513342</c:v>
                </c:pt>
                <c:pt idx="5">
                  <c:v>1599.9746126235134</c:v>
                </c:pt>
                <c:pt idx="6">
                  <c:v>3143.6175705852752</c:v>
                </c:pt>
                <c:pt idx="7">
                  <c:v>1599.9746126235134</c:v>
                </c:pt>
                <c:pt idx="8">
                  <c:v>1493.2102756793911</c:v>
                </c:pt>
                <c:pt idx="9">
                  <c:v>1599.9746126235134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8.9958917761979205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A91-4A22-B64F-D58F2AD74BB7}"/>
            </c:ext>
          </c:extLst>
        </c:ser>
        <c:ser>
          <c:idx val="0"/>
          <c:order val="2"/>
          <c:tx>
            <c:strRef>
              <c:f>'W16. Transport new capacity'!$A$41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capacity'!$B$41:$Z$41</c:f>
              <c:numCache>
                <c:formatCode>#,##0.00</c:formatCode>
                <c:ptCount val="25"/>
                <c:pt idx="0">
                  <c:v>0</c:v>
                </c:pt>
                <c:pt idx="1">
                  <c:v>339.09076507627361</c:v>
                </c:pt>
                <c:pt idx="2">
                  <c:v>339.09076507627356</c:v>
                </c:pt>
                <c:pt idx="3">
                  <c:v>511.41867088878001</c:v>
                </c:pt>
                <c:pt idx="4">
                  <c:v>554.62990308928306</c:v>
                </c:pt>
                <c:pt idx="5">
                  <c:v>511.41867088878001</c:v>
                </c:pt>
                <c:pt idx="6">
                  <c:v>648.60333079607267</c:v>
                </c:pt>
                <c:pt idx="7">
                  <c:v>511.41867088878001</c:v>
                </c:pt>
                <c:pt idx="8">
                  <c:v>600.48863309316982</c:v>
                </c:pt>
                <c:pt idx="9">
                  <c:v>511.41867088878001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11415.241132094006</c:v>
                </c:pt>
                <c:pt idx="14">
                  <c:v>11309.539995401801</c:v>
                </c:pt>
                <c:pt idx="15">
                  <c:v>12590.519901368216</c:v>
                </c:pt>
                <c:pt idx="16">
                  <c:v>13209.691522752013</c:v>
                </c:pt>
                <c:pt idx="17">
                  <c:v>12977.476735202006</c:v>
                </c:pt>
                <c:pt idx="18">
                  <c:v>10639.841173782937</c:v>
                </c:pt>
                <c:pt idx="19">
                  <c:v>5645.7212000528361</c:v>
                </c:pt>
                <c:pt idx="20">
                  <c:v>13924.520829408522</c:v>
                </c:pt>
                <c:pt idx="21">
                  <c:v>13010.665186049129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A91-4A22-B64F-D58F2AD74BB7}"/>
            </c:ext>
          </c:extLst>
        </c:ser>
        <c:ser>
          <c:idx val="5"/>
          <c:order val="3"/>
          <c:tx>
            <c:strRef>
              <c:f>'W16. Transport new capacity'!$A$45</c:f>
              <c:strCache>
                <c:ptCount val="1"/>
                <c:pt idx="0">
                  <c:v>Hybrid (plug-in)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capacity'!$B$45:$Z$45</c:f>
              <c:numCache>
                <c:formatCode>#,##0.00</c:formatCode>
                <c:ptCount val="25"/>
                <c:pt idx="0">
                  <c:v>0</c:v>
                </c:pt>
                <c:pt idx="1">
                  <c:v>3223.064024929854</c:v>
                </c:pt>
                <c:pt idx="2">
                  <c:v>3239.5994658359714</c:v>
                </c:pt>
                <c:pt idx="3">
                  <c:v>3040.2453409136619</c:v>
                </c:pt>
                <c:pt idx="4">
                  <c:v>2981.889256779049</c:v>
                </c:pt>
                <c:pt idx="5">
                  <c:v>3040.2453409136619</c:v>
                </c:pt>
                <c:pt idx="6">
                  <c:v>7633.309909055718</c:v>
                </c:pt>
                <c:pt idx="7">
                  <c:v>3040.2453409136619</c:v>
                </c:pt>
                <c:pt idx="8">
                  <c:v>3023.1510647418336</c:v>
                </c:pt>
                <c:pt idx="9">
                  <c:v>3040.2453409136619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5429.6282513538226</c:v>
                </c:pt>
                <c:pt idx="19">
                  <c:v>11026.431677657829</c:v>
                </c:pt>
                <c:pt idx="20">
                  <c:v>0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A91-4A22-B64F-D58F2AD74BB7}"/>
            </c:ext>
          </c:extLst>
        </c:ser>
        <c:ser>
          <c:idx val="2"/>
          <c:order val="4"/>
          <c:tx>
            <c:strRef>
              <c:f>'W16. Transport new capacity'!$A$42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capacity'!$B$42:$Z$42</c:f>
              <c:numCache>
                <c:formatCode>#,##0.00</c:formatCode>
                <c:ptCount val="25"/>
                <c:pt idx="0">
                  <c:v>0</c:v>
                </c:pt>
                <c:pt idx="1">
                  <c:v>433.88322972274511</c:v>
                </c:pt>
                <c:pt idx="2">
                  <c:v>433.88322972274432</c:v>
                </c:pt>
                <c:pt idx="3">
                  <c:v>435.43586128689685</c:v>
                </c:pt>
                <c:pt idx="4">
                  <c:v>434.28794031660675</c:v>
                </c:pt>
                <c:pt idx="5">
                  <c:v>435.43586128689685</c:v>
                </c:pt>
                <c:pt idx="6">
                  <c:v>278.96353125916244</c:v>
                </c:pt>
                <c:pt idx="7">
                  <c:v>435.43586128689685</c:v>
                </c:pt>
                <c:pt idx="8">
                  <c:v>424.5975595558682</c:v>
                </c:pt>
                <c:pt idx="9">
                  <c:v>435.43586128689685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721.16559452232173</c:v>
                </c:pt>
                <c:pt idx="14">
                  <c:v>721.16559452232229</c:v>
                </c:pt>
                <c:pt idx="15">
                  <c:v>721.74075429728941</c:v>
                </c:pt>
                <c:pt idx="16">
                  <c:v>720.33405755567321</c:v>
                </c:pt>
                <c:pt idx="17">
                  <c:v>719.82022097472702</c:v>
                </c:pt>
                <c:pt idx="18">
                  <c:v>54.672733078563503</c:v>
                </c:pt>
                <c:pt idx="19">
                  <c:v>105.83019721727575</c:v>
                </c:pt>
                <c:pt idx="20">
                  <c:v>711.3050660186658</c:v>
                </c:pt>
                <c:pt idx="21">
                  <c:v>648.47995768166766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A91-4A22-B64F-D58F2AD74BB7}"/>
            </c:ext>
          </c:extLst>
        </c:ser>
        <c:ser>
          <c:idx val="1"/>
          <c:order val="5"/>
          <c:tx>
            <c:strRef>
              <c:f>'W16. Transport new capacity'!$A$40</c:f>
              <c:strCache>
                <c:ptCount val="1"/>
                <c:pt idx="0">
                  <c:v>Alternative fuels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'W16. Transport new capacity'!$B$38:$Z$39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'W16. Transport new capacity'!$B$40:$Z$40</c:f>
              <c:numCache>
                <c:formatCode>#,##0.00</c:formatCode>
                <c:ptCount val="25"/>
                <c:pt idx="0">
                  <c:v>40.935839939176851</c:v>
                </c:pt>
                <c:pt idx="1">
                  <c:v>2287.9433290414941</c:v>
                </c:pt>
                <c:pt idx="2">
                  <c:v>2081.42632169014</c:v>
                </c:pt>
                <c:pt idx="3">
                  <c:v>1524.3877289706661</c:v>
                </c:pt>
                <c:pt idx="4">
                  <c:v>1250.3938066101891</c:v>
                </c:pt>
                <c:pt idx="5">
                  <c:v>1524.3877289706661</c:v>
                </c:pt>
                <c:pt idx="6">
                  <c:v>786.200296362833</c:v>
                </c:pt>
                <c:pt idx="7">
                  <c:v>1524.3877289706661</c:v>
                </c:pt>
                <c:pt idx="8">
                  <c:v>1142.9433699314973</c:v>
                </c:pt>
                <c:pt idx="9">
                  <c:v>1524.3877289706661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3073.9401117142315</c:v>
                </c:pt>
                <c:pt idx="14">
                  <c:v>3065.0575528404511</c:v>
                </c:pt>
                <c:pt idx="15">
                  <c:v>2962.9407229908252</c:v>
                </c:pt>
                <c:pt idx="16">
                  <c:v>2357.2706036195209</c:v>
                </c:pt>
                <c:pt idx="17">
                  <c:v>1988.8280093051569</c:v>
                </c:pt>
                <c:pt idx="18">
                  <c:v>1400.9216632020436</c:v>
                </c:pt>
                <c:pt idx="19">
                  <c:v>1633.5432139162797</c:v>
                </c:pt>
                <c:pt idx="20">
                  <c:v>1491.7039938532398</c:v>
                </c:pt>
                <c:pt idx="21">
                  <c:v>1193.5946690720878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1-4A22-B64F-D58F2AD74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'W17. Transport service output'!$B$13</c:f>
          <c:strCache>
            <c:ptCount val="1"/>
            <c:pt idx="0">
              <c:v>Transport service output from Cars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'W17. Transport service output'!$B$24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output'!$B$25:$B$34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16237.412608619816</c:v>
                </c:pt>
                <c:pt idx="2">
                  <c:v>17601.175858707185</c:v>
                </c:pt>
                <c:pt idx="3">
                  <c:v>16779.146430788529</c:v>
                </c:pt>
                <c:pt idx="4">
                  <c:v>20017.263086372117</c:v>
                </c:pt>
                <c:pt idx="5">
                  <c:v>21780.524686421086</c:v>
                </c:pt>
                <c:pt idx="6">
                  <c:v>23398.308457327003</c:v>
                </c:pt>
                <c:pt idx="7">
                  <c:v>25059.689178762699</c:v>
                </c:pt>
                <c:pt idx="8">
                  <c:v>26803.274541214014</c:v>
                </c:pt>
                <c:pt idx="9">
                  <c:v>28739.059332887773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C2-4AF0-BE7A-E9A4C07860CE}"/>
            </c:ext>
          </c:extLst>
        </c:ser>
        <c:ser>
          <c:idx val="1"/>
          <c:order val="1"/>
          <c:tx>
            <c:strRef>
              <c:f>'W17. Transport service output'!$C$24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output'!$C$25:$C$34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16237.412608619816</c:v>
                </c:pt>
                <c:pt idx="2">
                  <c:v>17601.175858707185</c:v>
                </c:pt>
                <c:pt idx="3">
                  <c:v>16779.146430788529</c:v>
                </c:pt>
                <c:pt idx="4">
                  <c:v>20017.263086372117</c:v>
                </c:pt>
                <c:pt idx="5">
                  <c:v>21780.524686421086</c:v>
                </c:pt>
                <c:pt idx="6">
                  <c:v>23398.30845732701</c:v>
                </c:pt>
                <c:pt idx="7">
                  <c:v>25059.689178762688</c:v>
                </c:pt>
                <c:pt idx="8">
                  <c:v>26803.274541214014</c:v>
                </c:pt>
                <c:pt idx="9">
                  <c:v>28739.059332887773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C2-4AF0-BE7A-E9A4C07860CE}"/>
            </c:ext>
          </c:extLst>
        </c:ser>
        <c:ser>
          <c:idx val="2"/>
          <c:order val="2"/>
          <c:tx>
            <c:strRef>
              <c:f>'W17. Transport service output'!$D$24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output'!$D$25:$D$34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17601.175858707189</c:v>
                </c:pt>
                <c:pt idx="3">
                  <c:v>16784.584106500006</c:v>
                </c:pt>
                <c:pt idx="4">
                  <c:v>20017.263086372117</c:v>
                </c:pt>
                <c:pt idx="5">
                  <c:v>21780.524686421082</c:v>
                </c:pt>
                <c:pt idx="6">
                  <c:v>23398.308457327003</c:v>
                </c:pt>
                <c:pt idx="7">
                  <c:v>25059.689178762699</c:v>
                </c:pt>
                <c:pt idx="8">
                  <c:v>26803.274541214021</c:v>
                </c:pt>
                <c:pt idx="9">
                  <c:v>28739.059332887769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C2-4AF0-BE7A-E9A4C07860CE}"/>
            </c:ext>
          </c:extLst>
        </c:ser>
        <c:ser>
          <c:idx val="3"/>
          <c:order val="3"/>
          <c:tx>
            <c:strRef>
              <c:f>'W17. Transport service output'!$E$24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output'!$E$25:$E$34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17601.175858707185</c:v>
                </c:pt>
                <c:pt idx="3">
                  <c:v>16847.459696406273</c:v>
                </c:pt>
                <c:pt idx="4">
                  <c:v>20017.263086372117</c:v>
                </c:pt>
                <c:pt idx="5">
                  <c:v>21780.524686421086</c:v>
                </c:pt>
                <c:pt idx="6">
                  <c:v>23168.721069809351</c:v>
                </c:pt>
                <c:pt idx="7">
                  <c:v>24842.038645199056</c:v>
                </c:pt>
                <c:pt idx="8">
                  <c:v>26452.523214068009</c:v>
                </c:pt>
                <c:pt idx="9">
                  <c:v>28404.542404349631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C2-4AF0-BE7A-E9A4C07860CE}"/>
            </c:ext>
          </c:extLst>
        </c:ser>
        <c:ser>
          <c:idx val="4"/>
          <c:order val="4"/>
          <c:tx>
            <c:strRef>
              <c:f>'W17. Transport service output'!$F$24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output'!$F$25:$F$34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17601.175858707189</c:v>
                </c:pt>
                <c:pt idx="3">
                  <c:v>16847.45969640628</c:v>
                </c:pt>
                <c:pt idx="4">
                  <c:v>20017.263086372106</c:v>
                </c:pt>
                <c:pt idx="5">
                  <c:v>21574.389624117837</c:v>
                </c:pt>
                <c:pt idx="6">
                  <c:v>23168.721069809355</c:v>
                </c:pt>
                <c:pt idx="7">
                  <c:v>24842.038645199053</c:v>
                </c:pt>
                <c:pt idx="8">
                  <c:v>26316.384258259961</c:v>
                </c:pt>
                <c:pt idx="9">
                  <c:v>28404.542404349635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C2-4AF0-BE7A-E9A4C07860CE}"/>
            </c:ext>
          </c:extLst>
        </c:ser>
        <c:ser>
          <c:idx val="5"/>
          <c:order val="5"/>
          <c:tx>
            <c:strRef>
              <c:f>'W17. Transport service output'!$G$24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output'!$G$25:$G$34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16396.083010115988</c:v>
                </c:pt>
                <c:pt idx="3">
                  <c:v>13845.401174821078</c:v>
                </c:pt>
                <c:pt idx="4">
                  <c:v>14249.711509726358</c:v>
                </c:pt>
                <c:pt idx="5">
                  <c:v>20138.315622170478</c:v>
                </c:pt>
                <c:pt idx="6">
                  <c:v>23168.721069809362</c:v>
                </c:pt>
                <c:pt idx="7">
                  <c:v>24842.038645199053</c:v>
                </c:pt>
                <c:pt idx="8">
                  <c:v>26497.129012964695</c:v>
                </c:pt>
                <c:pt idx="9">
                  <c:v>28404.542404349631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C2-4AF0-BE7A-E9A4C07860CE}"/>
            </c:ext>
          </c:extLst>
        </c:ser>
        <c:ser>
          <c:idx val="6"/>
          <c:order val="6"/>
          <c:tx>
            <c:strRef>
              <c:f>'W17. Transport service output'!$H$24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output'!$H$25:$H$34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17601.175858707189</c:v>
                </c:pt>
                <c:pt idx="3">
                  <c:v>14736.632139614647</c:v>
                </c:pt>
                <c:pt idx="4">
                  <c:v>15557.889701427179</c:v>
                </c:pt>
                <c:pt idx="5">
                  <c:v>15607.094656003297</c:v>
                </c:pt>
                <c:pt idx="6">
                  <c:v>23432.485514893779</c:v>
                </c:pt>
                <c:pt idx="7">
                  <c:v>25059.68917876271</c:v>
                </c:pt>
                <c:pt idx="8">
                  <c:v>26803.274541214025</c:v>
                </c:pt>
                <c:pt idx="9">
                  <c:v>28739.059332887769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C2-4AF0-BE7A-E9A4C07860CE}"/>
            </c:ext>
          </c:extLst>
        </c:ser>
        <c:ser>
          <c:idx val="7"/>
          <c:order val="7"/>
          <c:tx>
            <c:strRef>
              <c:f>'W17. Transport service output'!$I$24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output'!$I$25:$I$34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17302.633767432406</c:v>
                </c:pt>
                <c:pt idx="3">
                  <c:v>16779.234440560096</c:v>
                </c:pt>
                <c:pt idx="4">
                  <c:v>19816.62329391194</c:v>
                </c:pt>
                <c:pt idx="5">
                  <c:v>21557.820144873418</c:v>
                </c:pt>
                <c:pt idx="6">
                  <c:v>23186.444675675008</c:v>
                </c:pt>
                <c:pt idx="7">
                  <c:v>24664.654912235452</c:v>
                </c:pt>
                <c:pt idx="8">
                  <c:v>25910.322765595352</c:v>
                </c:pt>
                <c:pt idx="9">
                  <c:v>28329.905297318073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C2-4AF0-BE7A-E9A4C07860CE}"/>
            </c:ext>
          </c:extLst>
        </c:ser>
        <c:ser>
          <c:idx val="8"/>
          <c:order val="8"/>
          <c:tx>
            <c:strRef>
              <c:f>'W17. Transport service output'!$J$24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'W17. Transport service output'!$A$25:$A$34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'W17. Transport service output'!$J$25:$J$34</c:f>
              <c:numCache>
                <c:formatCode>#,##0.00</c:formatCode>
                <c:ptCount val="10"/>
                <c:pt idx="0">
                  <c:v>9604.0566614851487</c:v>
                </c:pt>
                <c:pt idx="1">
                  <c:v>16237.412608619818</c:v>
                </c:pt>
                <c:pt idx="2">
                  <c:v>17601.175858707189</c:v>
                </c:pt>
                <c:pt idx="3">
                  <c:v>16661.66063434798</c:v>
                </c:pt>
                <c:pt idx="4">
                  <c:v>19581.222259002254</c:v>
                </c:pt>
                <c:pt idx="5">
                  <c:v>20443.527669593746</c:v>
                </c:pt>
                <c:pt idx="6">
                  <c:v>23186.444675675019</c:v>
                </c:pt>
                <c:pt idx="7">
                  <c:v>24770.64457108896</c:v>
                </c:pt>
                <c:pt idx="8">
                  <c:v>25910.322765595356</c:v>
                </c:pt>
                <c:pt idx="9">
                  <c:v>28383.394739241128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C2-4AF0-BE7A-E9A4C0786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Transport service</a:t>
            </a:r>
            <a:r>
              <a:rPr lang="en-GB" baseline="0"/>
              <a:t> output by mode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6"/>
          <c:order val="0"/>
          <c:tx>
            <c:strRef>
              <c:f>'W17. Transport service output'!$A$45</c:f>
              <c:strCache>
                <c:ptCount val="1"/>
                <c:pt idx="0">
                  <c:v>Cars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output'!$B$45:$Z$45</c:f>
              <c:numCache>
                <c:formatCode>#,##0.00</c:formatCode>
                <c:ptCount val="25"/>
                <c:pt idx="0">
                  <c:v>9604.0566614851487</c:v>
                </c:pt>
                <c:pt idx="1">
                  <c:v>17601.175858707185</c:v>
                </c:pt>
                <c:pt idx="2">
                  <c:v>17601.175858707185</c:v>
                </c:pt>
                <c:pt idx="3">
                  <c:v>17601.175858707189</c:v>
                </c:pt>
                <c:pt idx="4">
                  <c:v>17601.175858707185</c:v>
                </c:pt>
                <c:pt idx="5">
                  <c:v>17601.175858707189</c:v>
                </c:pt>
                <c:pt idx="6">
                  <c:v>16396.083010115988</c:v>
                </c:pt>
                <c:pt idx="7">
                  <c:v>17601.175858707189</c:v>
                </c:pt>
                <c:pt idx="8">
                  <c:v>17302.633767432406</c:v>
                </c:pt>
                <c:pt idx="9">
                  <c:v>17601.175858707189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20017.263086372117</c:v>
                </c:pt>
                <c:pt idx="14">
                  <c:v>20017.263086372117</c:v>
                </c:pt>
                <c:pt idx="15">
                  <c:v>20017.263086372117</c:v>
                </c:pt>
                <c:pt idx="16">
                  <c:v>20017.263086372117</c:v>
                </c:pt>
                <c:pt idx="17">
                  <c:v>20017.263086372106</c:v>
                </c:pt>
                <c:pt idx="18">
                  <c:v>14249.711509726358</c:v>
                </c:pt>
                <c:pt idx="19">
                  <c:v>15557.889701427179</c:v>
                </c:pt>
                <c:pt idx="20">
                  <c:v>19816.62329391194</c:v>
                </c:pt>
                <c:pt idx="21">
                  <c:v>19581.222259002254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981-46B5-8284-7F1A4F123F1B}"/>
            </c:ext>
          </c:extLst>
        </c:ser>
        <c:ser>
          <c:idx val="4"/>
          <c:order val="1"/>
          <c:tx>
            <c:strRef>
              <c:f>'W17. Transport service output'!$A$43</c:f>
              <c:strCache>
                <c:ptCount val="1"/>
                <c:pt idx="0">
                  <c:v>Light vehicles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output'!$B$43:$Z$43</c:f>
              <c:numCache>
                <c:formatCode>#,##0.00</c:formatCode>
                <c:ptCount val="25"/>
                <c:pt idx="0">
                  <c:v>4082.6935657435747</c:v>
                </c:pt>
                <c:pt idx="1">
                  <c:v>5690.8087984717567</c:v>
                </c:pt>
                <c:pt idx="2">
                  <c:v>5690.8087984717595</c:v>
                </c:pt>
                <c:pt idx="3">
                  <c:v>5690.8087984717622</c:v>
                </c:pt>
                <c:pt idx="4">
                  <c:v>5633.4127499572569</c:v>
                </c:pt>
                <c:pt idx="5">
                  <c:v>5690.8087984717622</c:v>
                </c:pt>
                <c:pt idx="6">
                  <c:v>5384.017397644845</c:v>
                </c:pt>
                <c:pt idx="7">
                  <c:v>5690.8087984717622</c:v>
                </c:pt>
                <c:pt idx="8">
                  <c:v>5612.7086547850195</c:v>
                </c:pt>
                <c:pt idx="9">
                  <c:v>5690.8087984717622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7201.0651902290756</c:v>
                </c:pt>
                <c:pt idx="14">
                  <c:v>7201.0651902290774</c:v>
                </c:pt>
                <c:pt idx="15">
                  <c:v>7205.3148862941634</c:v>
                </c:pt>
                <c:pt idx="16">
                  <c:v>7204.5616711087714</c:v>
                </c:pt>
                <c:pt idx="17">
                  <c:v>7203.5812793083469</c:v>
                </c:pt>
                <c:pt idx="18">
                  <c:v>5389.7989283291754</c:v>
                </c:pt>
                <c:pt idx="19">
                  <c:v>5644.6024803577438</c:v>
                </c:pt>
                <c:pt idx="20">
                  <c:v>7179.6635334108987</c:v>
                </c:pt>
                <c:pt idx="21">
                  <c:v>7066.359367646497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981-46B5-8284-7F1A4F123F1B}"/>
            </c:ext>
          </c:extLst>
        </c:ser>
        <c:ser>
          <c:idx val="5"/>
          <c:order val="2"/>
          <c:tx>
            <c:strRef>
              <c:f>'W17. Transport service output'!$A$44</c:f>
              <c:strCache>
                <c:ptCount val="1"/>
                <c:pt idx="0">
                  <c:v>Medium trucks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output'!$B$44:$Z$44</c:f>
              <c:numCache>
                <c:formatCode>#,##0.00</c:formatCode>
                <c:ptCount val="25"/>
                <c:pt idx="0">
                  <c:v>667.25533606737827</c:v>
                </c:pt>
                <c:pt idx="1">
                  <c:v>1088.2132483847263</c:v>
                </c:pt>
                <c:pt idx="2">
                  <c:v>1088.2132483847263</c:v>
                </c:pt>
                <c:pt idx="3">
                  <c:v>1088.2132483847263</c:v>
                </c:pt>
                <c:pt idx="4">
                  <c:v>1088.2132483847263</c:v>
                </c:pt>
                <c:pt idx="5">
                  <c:v>1088.2132483847263</c:v>
                </c:pt>
                <c:pt idx="6">
                  <c:v>1041.8401329951803</c:v>
                </c:pt>
                <c:pt idx="7">
                  <c:v>1088.2132483847263</c:v>
                </c:pt>
                <c:pt idx="8">
                  <c:v>1076.3228730583121</c:v>
                </c:pt>
                <c:pt idx="9">
                  <c:v>1088.2132483847263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1654.7087339928396</c:v>
                </c:pt>
                <c:pt idx="14">
                  <c:v>1654.7087339928401</c:v>
                </c:pt>
                <c:pt idx="15">
                  <c:v>1654.7087339928398</c:v>
                </c:pt>
                <c:pt idx="16">
                  <c:v>1648.7929174419889</c:v>
                </c:pt>
                <c:pt idx="17">
                  <c:v>1625.2855817061566</c:v>
                </c:pt>
                <c:pt idx="18">
                  <c:v>1152.1452512347007</c:v>
                </c:pt>
                <c:pt idx="19">
                  <c:v>1257.0549456507295</c:v>
                </c:pt>
                <c:pt idx="20">
                  <c:v>1610.6320598895131</c:v>
                </c:pt>
                <c:pt idx="21">
                  <c:v>1566.1549878573155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981-46B5-8284-7F1A4F123F1B}"/>
            </c:ext>
          </c:extLst>
        </c:ser>
        <c:ser>
          <c:idx val="2"/>
          <c:order val="3"/>
          <c:tx>
            <c:strRef>
              <c:f>'W17. Transport service output'!$A$42</c:f>
              <c:strCache>
                <c:ptCount val="1"/>
                <c:pt idx="0">
                  <c:v>Heavy trucks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output'!$B$42:$Z$42</c:f>
              <c:numCache>
                <c:formatCode>#,##0.00</c:formatCode>
                <c:ptCount val="25"/>
                <c:pt idx="0">
                  <c:v>894.21413961009341</c:v>
                </c:pt>
                <c:pt idx="1">
                  <c:v>1375.5475785566452</c:v>
                </c:pt>
                <c:pt idx="2">
                  <c:v>1375.5475785566457</c:v>
                </c:pt>
                <c:pt idx="3">
                  <c:v>1375.5475785566455</c:v>
                </c:pt>
                <c:pt idx="4">
                  <c:v>1375.5475785566455</c:v>
                </c:pt>
                <c:pt idx="5">
                  <c:v>1375.5475785566455</c:v>
                </c:pt>
                <c:pt idx="6">
                  <c:v>1360.3776299758706</c:v>
                </c:pt>
                <c:pt idx="7">
                  <c:v>1375.5475785566455</c:v>
                </c:pt>
                <c:pt idx="8">
                  <c:v>1375.5475785566452</c:v>
                </c:pt>
                <c:pt idx="9">
                  <c:v>1375.5475785566455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2025.3126300276215</c:v>
                </c:pt>
                <c:pt idx="14">
                  <c:v>2025.3126300276206</c:v>
                </c:pt>
                <c:pt idx="15">
                  <c:v>2025.3126300276215</c:v>
                </c:pt>
                <c:pt idx="16">
                  <c:v>2025.312630027621</c:v>
                </c:pt>
                <c:pt idx="17">
                  <c:v>2025.3126300276215</c:v>
                </c:pt>
                <c:pt idx="18">
                  <c:v>1592.053645630758</c:v>
                </c:pt>
                <c:pt idx="19">
                  <c:v>1717.659817267066</c:v>
                </c:pt>
                <c:pt idx="20">
                  <c:v>2025.3126300276215</c:v>
                </c:pt>
                <c:pt idx="21">
                  <c:v>2007.1760341254005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981-46B5-8284-7F1A4F123F1B}"/>
            </c:ext>
          </c:extLst>
        </c:ser>
        <c:ser>
          <c:idx val="0"/>
          <c:order val="4"/>
          <c:tx>
            <c:strRef>
              <c:f>'W17. Transport service output'!$A$40</c:f>
              <c:strCache>
                <c:ptCount val="1"/>
                <c:pt idx="0">
                  <c:v>Commercial services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output'!$B$40:$Z$40</c:f>
              <c:numCache>
                <c:formatCode>#,##0.00</c:formatCode>
                <c:ptCount val="25"/>
                <c:pt idx="0">
                  <c:v>860.97149986110526</c:v>
                </c:pt>
                <c:pt idx="1">
                  <c:v>1500.2632370055157</c:v>
                </c:pt>
                <c:pt idx="2">
                  <c:v>1500.2632370055157</c:v>
                </c:pt>
                <c:pt idx="3">
                  <c:v>1500.2632370055153</c:v>
                </c:pt>
                <c:pt idx="4">
                  <c:v>1500.2632370055148</c:v>
                </c:pt>
                <c:pt idx="5">
                  <c:v>1500.2632370055153</c:v>
                </c:pt>
                <c:pt idx="6">
                  <c:v>1441.4038607292196</c:v>
                </c:pt>
                <c:pt idx="7">
                  <c:v>1500.2632370055153</c:v>
                </c:pt>
                <c:pt idx="8">
                  <c:v>1498.4248051282871</c:v>
                </c:pt>
                <c:pt idx="9">
                  <c:v>1500.2632370055153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2354.8824149802972</c:v>
                </c:pt>
                <c:pt idx="14">
                  <c:v>2354.8824149802977</c:v>
                </c:pt>
                <c:pt idx="15">
                  <c:v>2354.8824149802967</c:v>
                </c:pt>
                <c:pt idx="16">
                  <c:v>2347.7648944910593</c:v>
                </c:pt>
                <c:pt idx="17">
                  <c:v>2347.7648944910584</c:v>
                </c:pt>
                <c:pt idx="18">
                  <c:v>1682.2234202809798</c:v>
                </c:pt>
                <c:pt idx="19">
                  <c:v>1824.8492496032618</c:v>
                </c:pt>
                <c:pt idx="20">
                  <c:v>2303.6010357385239</c:v>
                </c:pt>
                <c:pt idx="21">
                  <c:v>2236.6223339332651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81-46B5-8284-7F1A4F123F1B}"/>
            </c:ext>
          </c:extLst>
        </c:ser>
        <c:ser>
          <c:idx val="3"/>
          <c:order val="5"/>
          <c:tx>
            <c:strRef>
              <c:f>'W17. Transport service output'!$A$39</c:f>
              <c:strCache>
                <c:ptCount val="1"/>
                <c:pt idx="0">
                  <c:v>Buses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output'!$B$39:$Z$39</c:f>
              <c:numCache>
                <c:formatCode>#,##0.00</c:formatCode>
                <c:ptCount val="25"/>
                <c:pt idx="0">
                  <c:v>326.15031746610555</c:v>
                </c:pt>
                <c:pt idx="1">
                  <c:v>353.33506067595152</c:v>
                </c:pt>
                <c:pt idx="2">
                  <c:v>353.33506067595152</c:v>
                </c:pt>
                <c:pt idx="3">
                  <c:v>353.33506067595158</c:v>
                </c:pt>
                <c:pt idx="4">
                  <c:v>353.33506067595158</c:v>
                </c:pt>
                <c:pt idx="5">
                  <c:v>353.33506067595158</c:v>
                </c:pt>
                <c:pt idx="6">
                  <c:v>342.21967183620529</c:v>
                </c:pt>
                <c:pt idx="7">
                  <c:v>353.33506067595158</c:v>
                </c:pt>
                <c:pt idx="8">
                  <c:v>353.33506067595158</c:v>
                </c:pt>
                <c:pt idx="9">
                  <c:v>353.33506067595158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380.92275123968454</c:v>
                </c:pt>
                <c:pt idx="14">
                  <c:v>380.92275123968454</c:v>
                </c:pt>
                <c:pt idx="15">
                  <c:v>380.92275123968443</c:v>
                </c:pt>
                <c:pt idx="16">
                  <c:v>380.92275123968466</c:v>
                </c:pt>
                <c:pt idx="17">
                  <c:v>380.92275123968454</c:v>
                </c:pt>
                <c:pt idx="18">
                  <c:v>310.2629033721206</c:v>
                </c:pt>
                <c:pt idx="19">
                  <c:v>322.49204591426229</c:v>
                </c:pt>
                <c:pt idx="20">
                  <c:v>380.92275123968466</c:v>
                </c:pt>
                <c:pt idx="21">
                  <c:v>376.64546628809899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1-46B5-8284-7F1A4F123F1B}"/>
            </c:ext>
          </c:extLst>
        </c:ser>
        <c:ser>
          <c:idx val="1"/>
          <c:order val="6"/>
          <c:tx>
            <c:strRef>
              <c:f>'W17. Transport service output'!$A$41</c:f>
              <c:strCache>
                <c:ptCount val="1"/>
                <c:pt idx="0">
                  <c:v>Three wheels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output'!$B$41:$Z$41</c:f>
              <c:numCache>
                <c:formatCode>#,##0.00</c:formatCode>
                <c:ptCount val="25"/>
                <c:pt idx="0">
                  <c:v>169.39599598719545</c:v>
                </c:pt>
                <c:pt idx="1">
                  <c:v>175.15830181655548</c:v>
                </c:pt>
                <c:pt idx="2">
                  <c:v>175.15830181655548</c:v>
                </c:pt>
                <c:pt idx="3">
                  <c:v>175.15830181655548</c:v>
                </c:pt>
                <c:pt idx="4">
                  <c:v>175.15830181655548</c:v>
                </c:pt>
                <c:pt idx="5">
                  <c:v>175.15830181655548</c:v>
                </c:pt>
                <c:pt idx="6">
                  <c:v>175.15830181655548</c:v>
                </c:pt>
                <c:pt idx="7">
                  <c:v>175.15830181655548</c:v>
                </c:pt>
                <c:pt idx="8">
                  <c:v>175.15830181655548</c:v>
                </c:pt>
                <c:pt idx="9">
                  <c:v>175.15830181655548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180.1031409584196</c:v>
                </c:pt>
                <c:pt idx="14">
                  <c:v>180.1031409584196</c:v>
                </c:pt>
                <c:pt idx="15">
                  <c:v>180.1031409584196</c:v>
                </c:pt>
                <c:pt idx="16">
                  <c:v>180.1031409584196</c:v>
                </c:pt>
                <c:pt idx="17">
                  <c:v>180.1031409584196</c:v>
                </c:pt>
                <c:pt idx="18">
                  <c:v>147.14316499568608</c:v>
                </c:pt>
                <c:pt idx="19">
                  <c:v>155.71598893546371</c:v>
                </c:pt>
                <c:pt idx="20">
                  <c:v>180.1031409584196</c:v>
                </c:pt>
                <c:pt idx="21">
                  <c:v>180.08177711199255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81-46B5-8284-7F1A4F123F1B}"/>
            </c:ext>
          </c:extLst>
        </c:ser>
        <c:ser>
          <c:idx val="7"/>
          <c:order val="7"/>
          <c:tx>
            <c:strRef>
              <c:f>'W17. Transport service output'!$A$46</c:f>
              <c:strCache>
                <c:ptCount val="1"/>
                <c:pt idx="0">
                  <c:v>Two wheels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'W17. Transport service output'!$B$37:$Z$38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'W17. Transport service output'!$B$46:$Z$46</c:f>
              <c:numCache>
                <c:formatCode>#,##0.00</c:formatCode>
                <c:ptCount val="25"/>
                <c:pt idx="0">
                  <c:v>524.93618944866842</c:v>
                </c:pt>
                <c:pt idx="1">
                  <c:v>559.27948645064043</c:v>
                </c:pt>
                <c:pt idx="2">
                  <c:v>559.27948645064043</c:v>
                </c:pt>
                <c:pt idx="3">
                  <c:v>559.27948645064043</c:v>
                </c:pt>
                <c:pt idx="4">
                  <c:v>559.27948645064043</c:v>
                </c:pt>
                <c:pt idx="5">
                  <c:v>559.27948645064043</c:v>
                </c:pt>
                <c:pt idx="6">
                  <c:v>559.27948645064043</c:v>
                </c:pt>
                <c:pt idx="7">
                  <c:v>559.27948645064043</c:v>
                </c:pt>
                <c:pt idx="8">
                  <c:v>559.27948645064043</c:v>
                </c:pt>
                <c:pt idx="9">
                  <c:v>559.27948645064043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595.35266871306351</c:v>
                </c:pt>
                <c:pt idx="14">
                  <c:v>595.35266871306351</c:v>
                </c:pt>
                <c:pt idx="15">
                  <c:v>595.35266871306351</c:v>
                </c:pt>
                <c:pt idx="16">
                  <c:v>595.35266871306351</c:v>
                </c:pt>
                <c:pt idx="17">
                  <c:v>595.35266871306351</c:v>
                </c:pt>
                <c:pt idx="18">
                  <c:v>489.35723635159337</c:v>
                </c:pt>
                <c:pt idx="19">
                  <c:v>517.882617294331</c:v>
                </c:pt>
                <c:pt idx="20">
                  <c:v>595.35266871306351</c:v>
                </c:pt>
                <c:pt idx="21">
                  <c:v>595.21752712452201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981-46B5-8284-7F1A4F123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'W18. Transport energy consump'!$B$13</c:f>
          <c:strCache>
            <c:ptCount val="1"/>
            <c:pt idx="0">
              <c:v>Transport energy consumption from Electricity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'W18. Transport energy consump'!$B$24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consump'!$B$25:$B$34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39.863137640230093</c:v>
                </c:pt>
                <c:pt idx="2">
                  <c:v>1003.6816525884961</c:v>
                </c:pt>
                <c:pt idx="3">
                  <c:v>2356.242175508296</c:v>
                </c:pt>
                <c:pt idx="4">
                  <c:v>7983.8252120514571</c:v>
                </c:pt>
                <c:pt idx="5">
                  <c:v>13923.960028398633</c:v>
                </c:pt>
                <c:pt idx="6">
                  <c:v>16466.022447274096</c:v>
                </c:pt>
                <c:pt idx="7">
                  <c:v>17723.524969998824</c:v>
                </c:pt>
                <c:pt idx="8">
                  <c:v>18970.505091951876</c:v>
                </c:pt>
                <c:pt idx="9">
                  <c:v>20443.745826512848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93-4A1C-B105-B34E4D06B805}"/>
            </c:ext>
          </c:extLst>
        </c:ser>
        <c:ser>
          <c:idx val="1"/>
          <c:order val="1"/>
          <c:tx>
            <c:strRef>
              <c:f>'W18. Transport energy consump'!$C$24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consump'!$C$25:$C$34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39.851411191919205</c:v>
                </c:pt>
                <c:pt idx="2">
                  <c:v>1005.7942092807525</c:v>
                </c:pt>
                <c:pt idx="3">
                  <c:v>2352.4998180590778</c:v>
                </c:pt>
                <c:pt idx="4">
                  <c:v>7912.473839253099</c:v>
                </c:pt>
                <c:pt idx="5">
                  <c:v>13916.783390684668</c:v>
                </c:pt>
                <c:pt idx="6">
                  <c:v>16465.600586304343</c:v>
                </c:pt>
                <c:pt idx="7">
                  <c:v>17723.573566579824</c:v>
                </c:pt>
                <c:pt idx="8">
                  <c:v>18970.532152689164</c:v>
                </c:pt>
                <c:pt idx="9">
                  <c:v>20443.6265879038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93-4A1C-B105-B34E4D06B805}"/>
            </c:ext>
          </c:extLst>
        </c:ser>
        <c:ser>
          <c:idx val="2"/>
          <c:order val="2"/>
          <c:tx>
            <c:strRef>
              <c:f>'W18. Transport energy consump'!$D$24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consump'!$D$25:$D$34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3700.988526160007</c:v>
                </c:pt>
                <c:pt idx="4">
                  <c:v>9209.0936752276266</c:v>
                </c:pt>
                <c:pt idx="5">
                  <c:v>14203.500481422001</c:v>
                </c:pt>
                <c:pt idx="6">
                  <c:v>16466.254314637321</c:v>
                </c:pt>
                <c:pt idx="7">
                  <c:v>17739.403812697397</c:v>
                </c:pt>
                <c:pt idx="8">
                  <c:v>19018.497199970272</c:v>
                </c:pt>
                <c:pt idx="9">
                  <c:v>20454.300783301314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93-4A1C-B105-B34E4D06B805}"/>
            </c:ext>
          </c:extLst>
        </c:ser>
        <c:ser>
          <c:idx val="3"/>
          <c:order val="3"/>
          <c:tx>
            <c:strRef>
              <c:f>'W18. Transport energy consump'!$E$24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consump'!$E$25:$E$34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1087.8397472504214</c:v>
                </c:pt>
                <c:pt idx="3">
                  <c:v>4193.1500569993486</c:v>
                </c:pt>
                <c:pt idx="4">
                  <c:v>9771.5529623626971</c:v>
                </c:pt>
                <c:pt idx="5">
                  <c:v>14519.268386292151</c:v>
                </c:pt>
                <c:pt idx="6">
                  <c:v>16613.983190062154</c:v>
                </c:pt>
                <c:pt idx="7">
                  <c:v>19120.453927830033</c:v>
                </c:pt>
                <c:pt idx="8">
                  <c:v>21504.436312408958</c:v>
                </c:pt>
                <c:pt idx="9">
                  <c:v>23500.696611899697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93-4A1C-B105-B34E4D06B805}"/>
            </c:ext>
          </c:extLst>
        </c:ser>
        <c:ser>
          <c:idx val="4"/>
          <c:order val="4"/>
          <c:tx>
            <c:strRef>
              <c:f>'W18. Transport energy consump'!$F$24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consump'!$F$25:$F$34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4055.0588483342849</c:v>
                </c:pt>
                <c:pt idx="4">
                  <c:v>9580.7289479646042</c:v>
                </c:pt>
                <c:pt idx="5">
                  <c:v>14326.35581281144</c:v>
                </c:pt>
                <c:pt idx="6">
                  <c:v>16745.940240593398</c:v>
                </c:pt>
                <c:pt idx="7">
                  <c:v>19637.829813532884</c:v>
                </c:pt>
                <c:pt idx="8">
                  <c:v>21597.513557029939</c:v>
                </c:pt>
                <c:pt idx="9">
                  <c:v>23521.494146794506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93-4A1C-B105-B34E4D06B805}"/>
            </c:ext>
          </c:extLst>
        </c:ser>
        <c:ser>
          <c:idx val="5"/>
          <c:order val="5"/>
          <c:tx>
            <c:strRef>
              <c:f>'W18. Transport energy consump'!$G$24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consump'!$G$25:$G$34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2009.1559159620085</c:v>
                </c:pt>
                <c:pt idx="3">
                  <c:v>4276.6761264316383</c:v>
                </c:pt>
                <c:pt idx="4">
                  <c:v>9146.7579148285549</c:v>
                </c:pt>
                <c:pt idx="5">
                  <c:v>15837.110374635051</c:v>
                </c:pt>
                <c:pt idx="6">
                  <c:v>17749.003158195694</c:v>
                </c:pt>
                <c:pt idx="7">
                  <c:v>19818.310302716254</c:v>
                </c:pt>
                <c:pt idx="8">
                  <c:v>21868.594403989398</c:v>
                </c:pt>
                <c:pt idx="9">
                  <c:v>23569.322292774446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993-4A1C-B105-B34E4D06B805}"/>
            </c:ext>
          </c:extLst>
        </c:ser>
        <c:ser>
          <c:idx val="6"/>
          <c:order val="6"/>
          <c:tx>
            <c:strRef>
              <c:f>'W18. Transport energy consump'!$H$24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consump'!$H$25:$H$34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3966.4963601593126</c:v>
                </c:pt>
                <c:pt idx="4">
                  <c:v>6894.9014296328914</c:v>
                </c:pt>
                <c:pt idx="5">
                  <c:v>10816.812001363774</c:v>
                </c:pt>
                <c:pt idx="6">
                  <c:v>16681.220257384932</c:v>
                </c:pt>
                <c:pt idx="7">
                  <c:v>17961.734483011198</c:v>
                </c:pt>
                <c:pt idx="8">
                  <c:v>19158.368947007322</c:v>
                </c:pt>
                <c:pt idx="9">
                  <c:v>20266.673327604592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93-4A1C-B105-B34E4D06B805}"/>
            </c:ext>
          </c:extLst>
        </c:ser>
        <c:ser>
          <c:idx val="7"/>
          <c:order val="7"/>
          <c:tx>
            <c:strRef>
              <c:f>'W18. Transport energy consump'!$I$24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consump'!$I$25:$I$34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1130.2454144358746</c:v>
                </c:pt>
                <c:pt idx="3">
                  <c:v>4395.4478487279748</c:v>
                </c:pt>
                <c:pt idx="4">
                  <c:v>10346.618019879585</c:v>
                </c:pt>
                <c:pt idx="5">
                  <c:v>14942.983261331266</c:v>
                </c:pt>
                <c:pt idx="6">
                  <c:v>18421.524446237447</c:v>
                </c:pt>
                <c:pt idx="7">
                  <c:v>20561.454263369928</c:v>
                </c:pt>
                <c:pt idx="8">
                  <c:v>21741.663786238249</c:v>
                </c:pt>
                <c:pt idx="9">
                  <c:v>23569.571100268739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93-4A1C-B105-B34E4D06B805}"/>
            </c:ext>
          </c:extLst>
        </c:ser>
        <c:ser>
          <c:idx val="8"/>
          <c:order val="8"/>
          <c:tx>
            <c:strRef>
              <c:f>'W18. Transport energy consump'!$J$24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'W18. Transport energy consump'!$A$25:$A$34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'W18. Transport energy consump'!$J$25:$J$34</c:f>
              <c:numCache>
                <c:formatCode>#,##0.00</c:formatCode>
                <c:ptCount val="10"/>
                <c:pt idx="0">
                  <c:v>0.27214200000000005</c:v>
                </c:pt>
                <c:pt idx="1">
                  <c:v>39.715545758633766</c:v>
                </c:pt>
                <c:pt idx="2">
                  <c:v>1069.5883483275736</c:v>
                </c:pt>
                <c:pt idx="3">
                  <c:v>4136.5183599319244</c:v>
                </c:pt>
                <c:pt idx="4">
                  <c:v>9648.6523299483033</c:v>
                </c:pt>
                <c:pt idx="5">
                  <c:v>13365.104084295897</c:v>
                </c:pt>
                <c:pt idx="6">
                  <c:v>17037.636776940275</c:v>
                </c:pt>
                <c:pt idx="7">
                  <c:v>20275.310977684265</c:v>
                </c:pt>
                <c:pt idx="8">
                  <c:v>21744.412550279132</c:v>
                </c:pt>
                <c:pt idx="9">
                  <c:v>23615.877285419334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93-4A1C-B105-B34E4D06B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Transport energy consumption by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'W18. Transport energy consump'!$A$43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consump'!$B$43:$Z$43</c:f>
              <c:numCache>
                <c:formatCode>#,##0.00</c:formatCode>
                <c:ptCount val="25"/>
                <c:pt idx="0">
                  <c:v>51400.759098340677</c:v>
                </c:pt>
                <c:pt idx="1">
                  <c:v>46830.174496657928</c:v>
                </c:pt>
                <c:pt idx="2">
                  <c:v>46001.243758895187</c:v>
                </c:pt>
                <c:pt idx="3">
                  <c:v>44368.574800589129</c:v>
                </c:pt>
                <c:pt idx="4">
                  <c:v>43636.900621176181</c:v>
                </c:pt>
                <c:pt idx="5">
                  <c:v>44368.574800589129</c:v>
                </c:pt>
                <c:pt idx="6">
                  <c:v>32836.551382258731</c:v>
                </c:pt>
                <c:pt idx="7">
                  <c:v>44368.574800589129</c:v>
                </c:pt>
                <c:pt idx="8">
                  <c:v>40576.983455799018</c:v>
                </c:pt>
                <c:pt idx="9">
                  <c:v>44368.574800589129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10730.940333592629</c:v>
                </c:pt>
                <c:pt idx="14">
                  <c:v>10679.116687185824</c:v>
                </c:pt>
                <c:pt idx="15">
                  <c:v>9374.7135444465239</c:v>
                </c:pt>
                <c:pt idx="16">
                  <c:v>12343.211176127728</c:v>
                </c:pt>
                <c:pt idx="17">
                  <c:v>11770.558296988615</c:v>
                </c:pt>
                <c:pt idx="18">
                  <c:v>4949.1789875815684</c:v>
                </c:pt>
                <c:pt idx="19">
                  <c:v>9143.9110010450331</c:v>
                </c:pt>
                <c:pt idx="20">
                  <c:v>9427.7088493978808</c:v>
                </c:pt>
                <c:pt idx="21">
                  <c:v>9098.5851448080157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24-4C4A-A941-76B4471B7E52}"/>
            </c:ext>
          </c:extLst>
        </c:ser>
        <c:ser>
          <c:idx val="0"/>
          <c:order val="1"/>
          <c:tx>
            <c:strRef>
              <c:f>'W18. Transport energy consump'!$A$40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consump'!$B$40:$Z$40</c:f>
              <c:numCache>
                <c:formatCode>#,##0.00</c:formatCode>
                <c:ptCount val="25"/>
                <c:pt idx="0">
                  <c:v>24726.384098969917</c:v>
                </c:pt>
                <c:pt idx="1">
                  <c:v>26111.353059062836</c:v>
                </c:pt>
                <c:pt idx="2">
                  <c:v>26261.692097329367</c:v>
                </c:pt>
                <c:pt idx="3">
                  <c:v>26227.564065710481</c:v>
                </c:pt>
                <c:pt idx="4">
                  <c:v>25751.973362970708</c:v>
                </c:pt>
                <c:pt idx="5">
                  <c:v>26227.564065710481</c:v>
                </c:pt>
                <c:pt idx="6">
                  <c:v>15241.794989838872</c:v>
                </c:pt>
                <c:pt idx="7">
                  <c:v>26227.564065710481</c:v>
                </c:pt>
                <c:pt idx="8">
                  <c:v>25608.822442657802</c:v>
                </c:pt>
                <c:pt idx="9">
                  <c:v>26227.564065710481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29454.0057998179</c:v>
                </c:pt>
                <c:pt idx="14">
                  <c:v>29647.436973951644</c:v>
                </c:pt>
                <c:pt idx="15">
                  <c:v>29263.695907534551</c:v>
                </c:pt>
                <c:pt idx="16">
                  <c:v>24565.49330485244</c:v>
                </c:pt>
                <c:pt idx="17">
                  <c:v>26802.913172730827</c:v>
                </c:pt>
                <c:pt idx="18">
                  <c:v>12070.190366367791</c:v>
                </c:pt>
                <c:pt idx="19">
                  <c:v>8105.3605655448646</c:v>
                </c:pt>
                <c:pt idx="20">
                  <c:v>31022.74646031842</c:v>
                </c:pt>
                <c:pt idx="21">
                  <c:v>26342.09763145219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4-4C4A-A941-76B4471B7E52}"/>
            </c:ext>
          </c:extLst>
        </c:ser>
        <c:ser>
          <c:idx val="5"/>
          <c:order val="2"/>
          <c:tx>
            <c:strRef>
              <c:f>'W18. Transport energy consump'!$A$44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consump'!$B$44:$Z$44</c:f>
              <c:numCache>
                <c:formatCode>#,##0.00</c:formatCode>
                <c:ptCount val="25"/>
                <c:pt idx="0">
                  <c:v>336.28891863781013</c:v>
                </c:pt>
                <c:pt idx="1">
                  <c:v>1212.7523692798161</c:v>
                </c:pt>
                <c:pt idx="2">
                  <c:v>1185.840330326467</c:v>
                </c:pt>
                <c:pt idx="3">
                  <c:v>1203.2907539892126</c:v>
                </c:pt>
                <c:pt idx="4">
                  <c:v>1222.1932445416369</c:v>
                </c:pt>
                <c:pt idx="5">
                  <c:v>1203.2907539892126</c:v>
                </c:pt>
                <c:pt idx="6">
                  <c:v>5579.9270734302618</c:v>
                </c:pt>
                <c:pt idx="7">
                  <c:v>1203.2907539892126</c:v>
                </c:pt>
                <c:pt idx="8">
                  <c:v>1223.6964136737179</c:v>
                </c:pt>
                <c:pt idx="9">
                  <c:v>1203.2907539892126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662.10248587389265</c:v>
                </c:pt>
                <c:pt idx="14">
                  <c:v>658.39019522914998</c:v>
                </c:pt>
                <c:pt idx="15">
                  <c:v>748.26553362211143</c:v>
                </c:pt>
                <c:pt idx="16">
                  <c:v>799.36237736514738</c:v>
                </c:pt>
                <c:pt idx="17">
                  <c:v>855.89169978865198</c:v>
                </c:pt>
                <c:pt idx="18">
                  <c:v>10107.276501372218</c:v>
                </c:pt>
                <c:pt idx="19">
                  <c:v>12080.038576400813</c:v>
                </c:pt>
                <c:pt idx="20">
                  <c:v>923.78792596646235</c:v>
                </c:pt>
                <c:pt idx="21">
                  <c:v>6232.5163150146836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24-4C4A-A941-76B4471B7E52}"/>
            </c:ext>
          </c:extLst>
        </c:ser>
        <c:ser>
          <c:idx val="7"/>
          <c:order val="3"/>
          <c:tx>
            <c:strRef>
              <c:f>'W18. Transport energy consump'!$A$46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consump'!$B$46:$Z$46</c:f>
              <c:numCache>
                <c:formatCode>#,##0.00</c:formatCode>
                <c:ptCount val="25"/>
                <c:pt idx="0">
                  <c:v>176.86416189251261</c:v>
                </c:pt>
                <c:pt idx="1">
                  <c:v>4278.1897467681283</c:v>
                </c:pt>
                <c:pt idx="2">
                  <c:v>4764.7005480332382</c:v>
                </c:pt>
                <c:pt idx="3">
                  <c:v>5667.8396467895318</c:v>
                </c:pt>
                <c:pt idx="4">
                  <c:v>4653.5820837462752</c:v>
                </c:pt>
                <c:pt idx="5">
                  <c:v>5667.8396467895318</c:v>
                </c:pt>
                <c:pt idx="6">
                  <c:v>1220.9986653371425</c:v>
                </c:pt>
                <c:pt idx="7">
                  <c:v>5667.8396467895318</c:v>
                </c:pt>
                <c:pt idx="8">
                  <c:v>4105.6831496768718</c:v>
                </c:pt>
                <c:pt idx="9">
                  <c:v>5667.8396467895318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23337.832320109726</c:v>
                </c:pt>
                <c:pt idx="14">
                  <c:v>23435.939702833402</c:v>
                </c:pt>
                <c:pt idx="15">
                  <c:v>22036.802911743591</c:v>
                </c:pt>
                <c:pt idx="16">
                  <c:v>17258.491615155926</c:v>
                </c:pt>
                <c:pt idx="17">
                  <c:v>14726.779553738161</c:v>
                </c:pt>
                <c:pt idx="18">
                  <c:v>690.56282252351525</c:v>
                </c:pt>
                <c:pt idx="19">
                  <c:v>982.78003937993628</c:v>
                </c:pt>
                <c:pt idx="20">
                  <c:v>9182.1538890326774</c:v>
                </c:pt>
                <c:pt idx="21">
                  <c:v>2099.7233326958094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F24-4C4A-A941-76B4471B7E52}"/>
            </c:ext>
          </c:extLst>
        </c:ser>
        <c:ser>
          <c:idx val="6"/>
          <c:order val="4"/>
          <c:tx>
            <c:strRef>
              <c:f>'W18. Transport energy consump'!$A$45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consump'!$B$45:$Z$45</c:f>
              <c:numCache>
                <c:formatCode>#,##0.00</c:formatCode>
                <c:ptCount val="25"/>
                <c:pt idx="0">
                  <c:v>0</c:v>
                </c:pt>
                <c:pt idx="1">
                  <c:v>3006.3274565886686</c:v>
                </c:pt>
                <c:pt idx="2">
                  <c:v>2349.9009296868926</c:v>
                </c:pt>
                <c:pt idx="3">
                  <c:v>335.71272520527293</c:v>
                </c:pt>
                <c:pt idx="4">
                  <c:v>81.9106525387609</c:v>
                </c:pt>
                <c:pt idx="5">
                  <c:v>335.71272520527293</c:v>
                </c:pt>
                <c:pt idx="6">
                  <c:v>86.036535936443272</c:v>
                </c:pt>
                <c:pt idx="7">
                  <c:v>335.71272520527293</c:v>
                </c:pt>
                <c:pt idx="8">
                  <c:v>83.3333333333334</c:v>
                </c:pt>
                <c:pt idx="9">
                  <c:v>335.71272520527293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1382.5345168791823</c:v>
                </c:pt>
                <c:pt idx="14">
                  <c:v>1408.3668794527337</c:v>
                </c:pt>
                <c:pt idx="15">
                  <c:v>2193.9375676365266</c:v>
                </c:pt>
                <c:pt idx="16">
                  <c:v>1368.5973431427462</c:v>
                </c:pt>
                <c:pt idx="17">
                  <c:v>270.90365831582153</c:v>
                </c:pt>
                <c:pt idx="18">
                  <c:v>114.105766312586</c:v>
                </c:pt>
                <c:pt idx="19">
                  <c:v>159.5319941442016</c:v>
                </c:pt>
                <c:pt idx="20">
                  <c:v>190.47888108592483</c:v>
                </c:pt>
                <c:pt idx="21">
                  <c:v>188.19775699928516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24-4C4A-A941-76B4471B7E52}"/>
            </c:ext>
          </c:extLst>
        </c:ser>
        <c:ser>
          <c:idx val="3"/>
          <c:order val="5"/>
          <c:tx>
            <c:strRef>
              <c:f>'W18. Transport energy consump'!$A$39</c:f>
              <c:strCache>
                <c:ptCount val="1"/>
                <c:pt idx="0">
                  <c:v>Biodiesel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consump'!$B$39:$Z$39</c:f>
              <c:numCache>
                <c:formatCode>#,##0.00</c:formatCode>
                <c:ptCount val="25"/>
                <c:pt idx="0">
                  <c:v>820.1343749999993</c:v>
                </c:pt>
                <c:pt idx="1">
                  <c:v>410.88685350032904</c:v>
                </c:pt>
                <c:pt idx="2">
                  <c:v>452.73603507320263</c:v>
                </c:pt>
                <c:pt idx="3">
                  <c:v>1052.0173273984929</c:v>
                </c:pt>
                <c:pt idx="4">
                  <c:v>1871.5056046834272</c:v>
                </c:pt>
                <c:pt idx="5">
                  <c:v>1052.0173273984929</c:v>
                </c:pt>
                <c:pt idx="6">
                  <c:v>3997.269150927073</c:v>
                </c:pt>
                <c:pt idx="7">
                  <c:v>1052.0173273984929</c:v>
                </c:pt>
                <c:pt idx="8">
                  <c:v>2079.1488960224824</c:v>
                </c:pt>
                <c:pt idx="9">
                  <c:v>1052.0173273984929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4284.5338316782081</c:v>
                </c:pt>
                <c:pt idx="14">
                  <c:v>4240.3465309497524</c:v>
                </c:pt>
                <c:pt idx="15">
                  <c:v>2652.7715056347561</c:v>
                </c:pt>
                <c:pt idx="16">
                  <c:v>5657.2628908581228</c:v>
                </c:pt>
                <c:pt idx="17">
                  <c:v>7785.6167139528516</c:v>
                </c:pt>
                <c:pt idx="18">
                  <c:v>1695.7028623299284</c:v>
                </c:pt>
                <c:pt idx="19">
                  <c:v>5832.1064336131021</c:v>
                </c:pt>
                <c:pt idx="20">
                  <c:v>5864.5961278498489</c:v>
                </c:pt>
                <c:pt idx="21">
                  <c:v>10232.214953819815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4-4C4A-A941-76B4471B7E52}"/>
            </c:ext>
          </c:extLst>
        </c:ser>
        <c:ser>
          <c:idx val="2"/>
          <c:order val="6"/>
          <c:tx>
            <c:strRef>
              <c:f>'W18. Transport energy consump'!$A$42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consump'!$B$42:$Z$42</c:f>
              <c:numCache>
                <c:formatCode>#,##0.00</c:formatCode>
                <c:ptCount val="25"/>
                <c:pt idx="0">
                  <c:v>231.92798987852072</c:v>
                </c:pt>
                <c:pt idx="1">
                  <c:v>2176.8796769793016</c:v>
                </c:pt>
                <c:pt idx="2">
                  <c:v>2227.2987385062647</c:v>
                </c:pt>
                <c:pt idx="3">
                  <c:v>2330.3092353624561</c:v>
                </c:pt>
                <c:pt idx="4">
                  <c:v>2320.7952898253839</c:v>
                </c:pt>
                <c:pt idx="5">
                  <c:v>2330.3092353624561</c:v>
                </c:pt>
                <c:pt idx="6">
                  <c:v>848.17217477146085</c:v>
                </c:pt>
                <c:pt idx="7">
                  <c:v>2330.3092353624561</c:v>
                </c:pt>
                <c:pt idx="8">
                  <c:v>2233.2165121790613</c:v>
                </c:pt>
                <c:pt idx="9">
                  <c:v>2330.3092353624561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2519.048180521002</c:v>
                </c:pt>
                <c:pt idx="14">
                  <c:v>2569.7450675001191</c:v>
                </c:pt>
                <c:pt idx="15">
                  <c:v>2525.883797801604</c:v>
                </c:pt>
                <c:pt idx="16">
                  <c:v>2187.451732219783</c:v>
                </c:pt>
                <c:pt idx="17">
                  <c:v>2070.816657104318</c:v>
                </c:pt>
                <c:pt idx="18">
                  <c:v>22.263298786096001</c:v>
                </c:pt>
                <c:pt idx="19">
                  <c:v>74.158599766819151</c:v>
                </c:pt>
                <c:pt idx="20">
                  <c:v>1829.1730427547268</c:v>
                </c:pt>
                <c:pt idx="21">
                  <c:v>997.31112273151246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24-4C4A-A941-76B4471B7E52}"/>
            </c:ext>
          </c:extLst>
        </c:ser>
        <c:ser>
          <c:idx val="1"/>
          <c:order val="7"/>
          <c:tx>
            <c:strRef>
              <c:f>'W18. Transport energy consump'!$A$41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consump'!$B$41:$Z$41</c:f>
              <c:numCache>
                <c:formatCode>#,##0.00</c:formatCode>
                <c:ptCount val="25"/>
                <c:pt idx="0">
                  <c:v>0.27214200000000005</c:v>
                </c:pt>
                <c:pt idx="1">
                  <c:v>1003.6816525884961</c:v>
                </c:pt>
                <c:pt idx="2">
                  <c:v>1005.7942092807525</c:v>
                </c:pt>
                <c:pt idx="3">
                  <c:v>1069.5883483275736</c:v>
                </c:pt>
                <c:pt idx="4">
                  <c:v>1087.8397472504214</c:v>
                </c:pt>
                <c:pt idx="5">
                  <c:v>1069.5883483275736</c:v>
                </c:pt>
                <c:pt idx="6">
                  <c:v>2009.1559159620085</c:v>
                </c:pt>
                <c:pt idx="7">
                  <c:v>1069.5883483275736</c:v>
                </c:pt>
                <c:pt idx="8">
                  <c:v>1130.2454144358746</c:v>
                </c:pt>
                <c:pt idx="9">
                  <c:v>1069.5883483275736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7983.8252120514571</c:v>
                </c:pt>
                <c:pt idx="14">
                  <c:v>7912.473839253099</c:v>
                </c:pt>
                <c:pt idx="15">
                  <c:v>9209.0936752276266</c:v>
                </c:pt>
                <c:pt idx="16">
                  <c:v>9771.5529623626971</c:v>
                </c:pt>
                <c:pt idx="17">
                  <c:v>9580.7289479646042</c:v>
                </c:pt>
                <c:pt idx="18">
                  <c:v>9146.7579148285549</c:v>
                </c:pt>
                <c:pt idx="19">
                  <c:v>6894.9014296328914</c:v>
                </c:pt>
                <c:pt idx="20">
                  <c:v>10346.618019879585</c:v>
                </c:pt>
                <c:pt idx="21">
                  <c:v>9648.6523299483033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24-4C4A-A941-76B4471B7E52}"/>
            </c:ext>
          </c:extLst>
        </c:ser>
        <c:ser>
          <c:idx val="8"/>
          <c:order val="8"/>
          <c:tx>
            <c:strRef>
              <c:f>'W18. Transport energy consump'!$A$47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'W18. Transport energy consump'!$B$37:$Z$38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'W18. Transport energy consump'!$B$47:$Z$47</c:f>
              <c:numCache>
                <c:formatCode>#,##0.00</c:formatCode>
                <c:ptCount val="25"/>
                <c:pt idx="0">
                  <c:v>0</c:v>
                </c:pt>
                <c:pt idx="1">
                  <c:v>749.70114740355382</c:v>
                </c:pt>
                <c:pt idx="2">
                  <c:v>749.7011474035528</c:v>
                </c:pt>
                <c:pt idx="3">
                  <c:v>757.03231328497168</c:v>
                </c:pt>
                <c:pt idx="4">
                  <c:v>754.78539866170013</c:v>
                </c:pt>
                <c:pt idx="5">
                  <c:v>757.03231328497168</c:v>
                </c:pt>
                <c:pt idx="6">
                  <c:v>473.42411192456046</c:v>
                </c:pt>
                <c:pt idx="7">
                  <c:v>757.03231328497168</c:v>
                </c:pt>
                <c:pt idx="8">
                  <c:v>739.78895561422746</c:v>
                </c:pt>
                <c:pt idx="9">
                  <c:v>757.03231328497168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1358.291411563855</c:v>
                </c:pt>
                <c:pt idx="14">
                  <c:v>1358.291411563855</c:v>
                </c:pt>
                <c:pt idx="15">
                  <c:v>1358.5212200577482</c:v>
                </c:pt>
                <c:pt idx="16">
                  <c:v>1358.4819901001761</c:v>
                </c:pt>
                <c:pt idx="17">
                  <c:v>1354.9064835125964</c:v>
                </c:pt>
                <c:pt idx="18">
                  <c:v>267.77414354671595</c:v>
                </c:pt>
                <c:pt idx="19">
                  <c:v>343.77633977655699</c:v>
                </c:pt>
                <c:pt idx="20">
                  <c:v>1346.8676083381329</c:v>
                </c:pt>
                <c:pt idx="21">
                  <c:v>1187.7954411978656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24-4C4A-A941-76B4471B7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'W19. Transport total capacity'!$B$13</c:f>
          <c:strCache>
            <c:ptCount val="1"/>
            <c:pt idx="0">
              <c:v>Billion passenger km from total Electric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'W19. Transport total capacity'!$B$24</c:f>
              <c:strCache>
                <c:ptCount val="1"/>
                <c:pt idx="0">
                  <c:v>Vivid_0A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capacity'!$B$25:$B$34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55.299999999999926</c:v>
                </c:pt>
                <c:pt idx="2">
                  <c:v>355.53808330786768</c:v>
                </c:pt>
                <c:pt idx="3">
                  <c:v>2215.3980999676087</c:v>
                </c:pt>
                <c:pt idx="4">
                  <c:v>12068.61050999042</c:v>
                </c:pt>
                <c:pt idx="5">
                  <c:v>21449.614252765281</c:v>
                </c:pt>
                <c:pt idx="6">
                  <c:v>25450.366495925155</c:v>
                </c:pt>
                <c:pt idx="7">
                  <c:v>27544.39677074576</c:v>
                </c:pt>
                <c:pt idx="8">
                  <c:v>29589.318680615848</c:v>
                </c:pt>
                <c:pt idx="9">
                  <c:v>32047.129512268166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6F-4E73-A032-120577F546C6}"/>
            </c:ext>
          </c:extLst>
        </c:ser>
        <c:ser>
          <c:idx val="1"/>
          <c:order val="1"/>
          <c:tx>
            <c:strRef>
              <c:f>'W19. Transport total capacity'!$C$24</c:f>
              <c:strCache>
                <c:ptCount val="1"/>
                <c:pt idx="0">
                  <c:v>Vivid_0A_BAU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capacity'!$C$25:$C$34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55.29999999999994</c:v>
                </c:pt>
                <c:pt idx="2">
                  <c:v>355.53808330786762</c:v>
                </c:pt>
                <c:pt idx="3">
                  <c:v>2215.3980999676091</c:v>
                </c:pt>
                <c:pt idx="4">
                  <c:v>11962.909373298215</c:v>
                </c:pt>
                <c:pt idx="5">
                  <c:v>21440.376325362016</c:v>
                </c:pt>
                <c:pt idx="6">
                  <c:v>25449.680803165</c:v>
                </c:pt>
                <c:pt idx="7">
                  <c:v>27544.396717216601</c:v>
                </c:pt>
                <c:pt idx="8">
                  <c:v>29589.318349177331</c:v>
                </c:pt>
                <c:pt idx="9">
                  <c:v>32046.935716094962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6F-4E73-A032-120577F546C6}"/>
            </c:ext>
          </c:extLst>
        </c:ser>
        <c:ser>
          <c:idx val="2"/>
          <c:order val="2"/>
          <c:tx>
            <c:strRef>
              <c:f>'W19. Transport total capacity'!$D$24</c:f>
              <c:strCache>
                <c:ptCount val="1"/>
                <c:pt idx="0">
                  <c:v>Vivid_0B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capacity'!$D$25:$D$34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527.86598912037414</c:v>
                </c:pt>
                <c:pt idx="3">
                  <c:v>4929.8951605300153</c:v>
                </c:pt>
                <c:pt idx="4">
                  <c:v>14036.289169606507</c:v>
                </c:pt>
                <c:pt idx="5">
                  <c:v>21855.014625964104</c:v>
                </c:pt>
                <c:pt idx="6">
                  <c:v>25453.552570071264</c:v>
                </c:pt>
                <c:pt idx="7">
                  <c:v>27548.166724713439</c:v>
                </c:pt>
                <c:pt idx="8">
                  <c:v>29657.004486752961</c:v>
                </c:pt>
                <c:pt idx="9">
                  <c:v>32065.776262808151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6F-4E73-A032-120577F546C6}"/>
            </c:ext>
          </c:extLst>
        </c:ser>
        <c:ser>
          <c:idx val="3"/>
          <c:order val="3"/>
          <c:tx>
            <c:strRef>
              <c:f>'W19. Transport total capacity'!$E$24</c:f>
              <c:strCache>
                <c:ptCount val="1"/>
                <c:pt idx="0">
                  <c:v>Vivid_1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capacity'!$E$25:$E$34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571.0772213208769</c:v>
                </c:pt>
                <c:pt idx="3">
                  <c:v>5572.5908312283918</c:v>
                </c:pt>
                <c:pt idx="4">
                  <c:v>14848.182316384198</c:v>
                </c:pt>
                <c:pt idx="5">
                  <c:v>22343.406660254568</c:v>
                </c:pt>
                <c:pt idx="6">
                  <c:v>25636.558322690034</c:v>
                </c:pt>
                <c:pt idx="7">
                  <c:v>29843.802722737913</c:v>
                </c:pt>
                <c:pt idx="8">
                  <c:v>33882.624134339574</c:v>
                </c:pt>
                <c:pt idx="9">
                  <c:v>37273.194565329461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6F-4E73-A032-120577F546C6}"/>
            </c:ext>
          </c:extLst>
        </c:ser>
        <c:ser>
          <c:idx val="4"/>
          <c:order val="4"/>
          <c:tx>
            <c:strRef>
              <c:f>'W19. Transport total capacity'!$F$24</c:f>
              <c:strCache>
                <c:ptCount val="1"/>
                <c:pt idx="0">
                  <c:v>Vivid_2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capacity'!$F$25:$F$34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527.86598912037414</c:v>
                </c:pt>
                <c:pt idx="3">
                  <c:v>5287.0366376343291</c:v>
                </c:pt>
                <c:pt idx="4">
                  <c:v>14534.873802718907</c:v>
                </c:pt>
                <c:pt idx="5">
                  <c:v>22000.017594024081</c:v>
                </c:pt>
                <c:pt idx="6">
                  <c:v>25836.100156750021</c:v>
                </c:pt>
                <c:pt idx="7">
                  <c:v>30722.455872273204</c:v>
                </c:pt>
                <c:pt idx="8">
                  <c:v>34040.583651713947</c:v>
                </c:pt>
                <c:pt idx="9">
                  <c:v>37304.935146654447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6F-4E73-A032-120577F546C6}"/>
            </c:ext>
          </c:extLst>
        </c:ser>
        <c:ser>
          <c:idx val="5"/>
          <c:order val="5"/>
          <c:tx>
            <c:strRef>
              <c:f>'W19. Transport total capacity'!$G$24</c:f>
              <c:strCache>
                <c:ptCount val="1"/>
                <c:pt idx="0">
                  <c:v>Vivid_13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capacity'!$G$25:$G$34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665.05064902766617</c:v>
                </c:pt>
                <c:pt idx="3">
                  <c:v>2886.2759313765596</c:v>
                </c:pt>
                <c:pt idx="4">
                  <c:v>11476.75907969812</c:v>
                </c:pt>
                <c:pt idx="5">
                  <c:v>24028.797573950178</c:v>
                </c:pt>
                <c:pt idx="6">
                  <c:v>27543.123738430575</c:v>
                </c:pt>
                <c:pt idx="7">
                  <c:v>31039.960964773694</c:v>
                </c:pt>
                <c:pt idx="8">
                  <c:v>34520.052272393965</c:v>
                </c:pt>
                <c:pt idx="9">
                  <c:v>37389.988301122634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6F-4E73-A032-120577F546C6}"/>
            </c:ext>
          </c:extLst>
        </c:ser>
        <c:ser>
          <c:idx val="6"/>
          <c:order val="6"/>
          <c:tx>
            <c:strRef>
              <c:f>'W19. Transport total capacity'!$H$24</c:f>
              <c:strCache>
                <c:ptCount val="1"/>
                <c:pt idx="0">
                  <c:v>Vivid_14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capacity'!$H$25:$H$34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527.86598912037414</c:v>
                </c:pt>
                <c:pt idx="3">
                  <c:v>2796.1023680210205</c:v>
                </c:pt>
                <c:pt idx="4">
                  <c:v>6465.437313483967</c:v>
                </c:pt>
                <c:pt idx="5">
                  <c:v>14550.484569588765</c:v>
                </c:pt>
                <c:pt idx="6">
                  <c:v>25430.659176057627</c:v>
                </c:pt>
                <c:pt idx="7">
                  <c:v>27853.674828869105</c:v>
                </c:pt>
                <c:pt idx="8">
                  <c:v>29895.527596969056</c:v>
                </c:pt>
                <c:pt idx="9">
                  <c:v>31816.857055127206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6F-4E73-A032-120577F546C6}"/>
            </c:ext>
          </c:extLst>
        </c:ser>
        <c:ser>
          <c:idx val="7"/>
          <c:order val="7"/>
          <c:tx>
            <c:strRef>
              <c:f>'W19. Transport total capacity'!$I$24</c:f>
              <c:strCache>
                <c:ptCount val="1"/>
                <c:pt idx="0">
                  <c:v>Vivid_25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capacity'!$I$25:$I$34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616.9359513247648</c:v>
                </c:pt>
                <c:pt idx="3">
                  <c:v>5983.6414767577571</c:v>
                </c:pt>
                <c:pt idx="4">
                  <c:v>15676.182554143497</c:v>
                </c:pt>
                <c:pt idx="5">
                  <c:v>22913.870031430681</c:v>
                </c:pt>
                <c:pt idx="6">
                  <c:v>28685.020309457017</c:v>
                </c:pt>
                <c:pt idx="7">
                  <c:v>32321.179113039554</c:v>
                </c:pt>
                <c:pt idx="8">
                  <c:v>34279.762621274269</c:v>
                </c:pt>
                <c:pt idx="9">
                  <c:v>37380.290281786707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6F-4E73-A032-120577F546C6}"/>
            </c:ext>
          </c:extLst>
        </c:ser>
        <c:ser>
          <c:idx val="8"/>
          <c:order val="8"/>
          <c:tx>
            <c:strRef>
              <c:f>'W19. Transport total capacity'!$J$24</c:f>
              <c:strCache>
                <c:ptCount val="1"/>
                <c:pt idx="0">
                  <c:v>Vivid_26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'W19. Transport total capacity'!$A$25:$A$34</c:f>
              <c:numCache>
                <c:formatCode>General</c:formatCode>
                <c:ptCount val="10"/>
                <c:pt idx="0">
                  <c:v>2012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  <c:pt idx="5">
                  <c:v>2060</c:v>
                </c:pt>
                <c:pt idx="6">
                  <c:v>2070</c:v>
                </c:pt>
                <c:pt idx="7">
                  <c:v>2080</c:v>
                </c:pt>
                <c:pt idx="8">
                  <c:v>2090</c:v>
                </c:pt>
                <c:pt idx="9">
                  <c:v>2100</c:v>
                </c:pt>
              </c:numCache>
            </c:numRef>
          </c:xVal>
          <c:yVal>
            <c:numRef>
              <c:f>'W19. Transport total capacity'!$J$25:$J$34</c:f>
              <c:numCache>
                <c:formatCode>#,##0.00</c:formatCode>
                <c:ptCount val="10"/>
                <c:pt idx="0">
                  <c:v>6.1144027199999992E-2</c:v>
                </c:pt>
                <c:pt idx="1">
                  <c:v>55.300000000000061</c:v>
                </c:pt>
                <c:pt idx="2">
                  <c:v>527.86598912037414</c:v>
                </c:pt>
                <c:pt idx="3">
                  <c:v>5544.6231731719836</c:v>
                </c:pt>
                <c:pt idx="4">
                  <c:v>14639.370146671916</c:v>
                </c:pt>
                <c:pt idx="5">
                  <c:v>20477.626770522562</c:v>
                </c:pt>
                <c:pt idx="6">
                  <c:v>26360.202006900083</c:v>
                </c:pt>
                <c:pt idx="7">
                  <c:v>31830.504661701816</c:v>
                </c:pt>
                <c:pt idx="8">
                  <c:v>34283.391057273002</c:v>
                </c:pt>
                <c:pt idx="9">
                  <c:v>37450.997531400237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6F-4E73-A032-120577F54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74920"/>
        <c:axId val="637073608"/>
      </c:scatterChart>
      <c:valAx>
        <c:axId val="637074920"/>
        <c:scaling>
          <c:orientation val="minMax"/>
          <c:max val="2050"/>
          <c:min val="20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3608"/>
        <c:crosses val="autoZero"/>
        <c:crossBetween val="midCat"/>
      </c:valAx>
      <c:valAx>
        <c:axId val="63707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74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672028299685015"/>
          <c:y val="8.864002778298849E-2"/>
          <c:w val="0.20202389189208353"/>
          <c:h val="0.87539703563624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Billion passenger km from</a:t>
            </a:r>
            <a:r>
              <a:rPr lang="en-GB" baseline="0"/>
              <a:t> total capacity (by mode)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'W19. Transport total capacity'!$A$42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capacity'!$B$42:$Z$42</c:f>
              <c:numCache>
                <c:formatCode>#,##0.00</c:formatCode>
                <c:ptCount val="25"/>
                <c:pt idx="0">
                  <c:v>17010.52444269968</c:v>
                </c:pt>
                <c:pt idx="1">
                  <c:v>20063.922071324712</c:v>
                </c:pt>
                <c:pt idx="2">
                  <c:v>20185.022799104991</c:v>
                </c:pt>
                <c:pt idx="3">
                  <c:v>20725.30794297465</c:v>
                </c:pt>
                <c:pt idx="4">
                  <c:v>20961.758368697203</c:v>
                </c:pt>
                <c:pt idx="5">
                  <c:v>20725.30794297465</c:v>
                </c:pt>
                <c:pt idx="6">
                  <c:v>13702.673441094643</c:v>
                </c:pt>
                <c:pt idx="7">
                  <c:v>20725.30794297465</c:v>
                </c:pt>
                <c:pt idx="8">
                  <c:v>20762.008212491255</c:v>
                </c:pt>
                <c:pt idx="9">
                  <c:v>20725.30794297465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15871.412351681429</c:v>
                </c:pt>
                <c:pt idx="14">
                  <c:v>15957.082749413657</c:v>
                </c:pt>
                <c:pt idx="15">
                  <c:v>14867.943274189052</c:v>
                </c:pt>
                <c:pt idx="16">
                  <c:v>14972.495384228194</c:v>
                </c:pt>
                <c:pt idx="17">
                  <c:v>15617.00485622734</c:v>
                </c:pt>
                <c:pt idx="18">
                  <c:v>3251.2014613950078</c:v>
                </c:pt>
                <c:pt idx="19">
                  <c:v>3453.2524915104709</c:v>
                </c:pt>
                <c:pt idx="20">
                  <c:v>15038.962994077692</c:v>
                </c:pt>
                <c:pt idx="21">
                  <c:v>16174.941682464027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9D-48AB-BA36-82B5670F4640}"/>
            </c:ext>
          </c:extLst>
        </c:ser>
        <c:ser>
          <c:idx val="4"/>
          <c:order val="1"/>
          <c:tx>
            <c:strRef>
              <c:f>'W19. Transport total capacity'!$A$43</c:f>
              <c:strCache>
                <c:ptCount val="1"/>
                <c:pt idx="0">
                  <c:v>Hybrid (non-plug-in)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capacity'!$B$43:$Z$43</c:f>
              <c:numCache>
                <c:formatCode>#,##0.00</c:formatCode>
                <c:ptCount val="25"/>
                <c:pt idx="0">
                  <c:v>0</c:v>
                </c:pt>
                <c:pt idx="1">
                  <c:v>1530.723305438546</c:v>
                </c:pt>
                <c:pt idx="2">
                  <c:v>1530.723305438547</c:v>
                </c:pt>
                <c:pt idx="3">
                  <c:v>1628.0096568892475</c:v>
                </c:pt>
                <c:pt idx="4">
                  <c:v>1624.4498779170683</c:v>
                </c:pt>
                <c:pt idx="5">
                  <c:v>1628.0096568892475</c:v>
                </c:pt>
                <c:pt idx="6">
                  <c:v>3171.6526148510102</c:v>
                </c:pt>
                <c:pt idx="7">
                  <c:v>1628.0096568892475</c:v>
                </c:pt>
                <c:pt idx="8">
                  <c:v>1521.2453199451252</c:v>
                </c:pt>
                <c:pt idx="9">
                  <c:v>1628.0096568892475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501.96592724146268</c:v>
                </c:pt>
                <c:pt idx="14">
                  <c:v>501.96592724146268</c:v>
                </c:pt>
                <c:pt idx="15">
                  <c:v>246.4966573481554</c:v>
                </c:pt>
                <c:pt idx="16">
                  <c:v>38.506856992110897</c:v>
                </c:pt>
                <c:pt idx="17">
                  <c:v>42.765311797273</c:v>
                </c:pt>
                <c:pt idx="18">
                  <c:v>464.43951522472372</c:v>
                </c:pt>
                <c:pt idx="19">
                  <c:v>632.39245330827055</c:v>
                </c:pt>
                <c:pt idx="20">
                  <c:v>28.114499401015507</c:v>
                </c:pt>
                <c:pt idx="21">
                  <c:v>37.6940462481315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9D-48AB-BA36-82B5670F4640}"/>
            </c:ext>
          </c:extLst>
        </c:ser>
        <c:ser>
          <c:idx val="0"/>
          <c:order val="2"/>
          <c:tx>
            <c:strRef>
              <c:f>'W19. Transport total capacity'!$A$40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capacity'!$B$40:$Z$40</c:f>
              <c:numCache>
                <c:formatCode>#,##0.00</c:formatCode>
                <c:ptCount val="25"/>
                <c:pt idx="0">
                  <c:v>6.1144027199999992E-2</c:v>
                </c:pt>
                <c:pt idx="1">
                  <c:v>355.53808330786768</c:v>
                </c:pt>
                <c:pt idx="2">
                  <c:v>355.53808330786762</c:v>
                </c:pt>
                <c:pt idx="3">
                  <c:v>527.86598912037414</c:v>
                </c:pt>
                <c:pt idx="4">
                  <c:v>571.0772213208769</c:v>
                </c:pt>
                <c:pt idx="5">
                  <c:v>527.86598912037414</c:v>
                </c:pt>
                <c:pt idx="6">
                  <c:v>665.05064902766617</c:v>
                </c:pt>
                <c:pt idx="7">
                  <c:v>527.86598912037414</c:v>
                </c:pt>
                <c:pt idx="8">
                  <c:v>616.9359513247648</c:v>
                </c:pt>
                <c:pt idx="9">
                  <c:v>527.86598912037414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12068.61050999042</c:v>
                </c:pt>
                <c:pt idx="14">
                  <c:v>11962.909373298215</c:v>
                </c:pt>
                <c:pt idx="15">
                  <c:v>14036.289169606507</c:v>
                </c:pt>
                <c:pt idx="16">
                  <c:v>14848.182316384198</c:v>
                </c:pt>
                <c:pt idx="17">
                  <c:v>14534.873802718907</c:v>
                </c:pt>
                <c:pt idx="18">
                  <c:v>11476.75907969812</c:v>
                </c:pt>
                <c:pt idx="19">
                  <c:v>6465.437313483967</c:v>
                </c:pt>
                <c:pt idx="20">
                  <c:v>15676.182554143497</c:v>
                </c:pt>
                <c:pt idx="21">
                  <c:v>14639.370146671916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9D-48AB-BA36-82B5670F4640}"/>
            </c:ext>
          </c:extLst>
        </c:ser>
        <c:ser>
          <c:idx val="5"/>
          <c:order val="3"/>
          <c:tx>
            <c:strRef>
              <c:f>'W19. Transport total capacity'!$A$44</c:f>
              <c:strCache>
                <c:ptCount val="1"/>
                <c:pt idx="0">
                  <c:v>Hybrid (plug-in)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capacity'!$B$44:$Z$44</c:f>
              <c:numCache>
                <c:formatCode>#,##0.00</c:formatCode>
                <c:ptCount val="25"/>
                <c:pt idx="0">
                  <c:v>0</c:v>
                </c:pt>
                <c:pt idx="1">
                  <c:v>3223.064024929854</c:v>
                </c:pt>
                <c:pt idx="2">
                  <c:v>3239.5994658359714</c:v>
                </c:pt>
                <c:pt idx="3">
                  <c:v>3040.2453409136619</c:v>
                </c:pt>
                <c:pt idx="4">
                  <c:v>2981.889256779049</c:v>
                </c:pt>
                <c:pt idx="5">
                  <c:v>3040.2453409136619</c:v>
                </c:pt>
                <c:pt idx="6">
                  <c:v>7633.309909055718</c:v>
                </c:pt>
                <c:pt idx="7">
                  <c:v>3040.2453409136619</c:v>
                </c:pt>
                <c:pt idx="8">
                  <c:v>3023.1510647418336</c:v>
                </c:pt>
                <c:pt idx="9">
                  <c:v>3040.2453409136619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844.26703188808733</c:v>
                </c:pt>
                <c:pt idx="14">
                  <c:v>839.1921035304955</c:v>
                </c:pt>
                <c:pt idx="15">
                  <c:v>295.08475587852939</c:v>
                </c:pt>
                <c:pt idx="16">
                  <c:v>371.77332343100937</c:v>
                </c:pt>
                <c:pt idx="17">
                  <c:v>434.20503334059327</c:v>
                </c:pt>
                <c:pt idx="18">
                  <c:v>8249.6797754605359</c:v>
                </c:pt>
                <c:pt idx="19">
                  <c:v>13964.72423756922</c:v>
                </c:pt>
                <c:pt idx="20">
                  <c:v>340.3806185883044</c:v>
                </c:pt>
                <c:pt idx="21">
                  <c:v>369.91365372865869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9D-48AB-BA36-82B5670F4640}"/>
            </c:ext>
          </c:extLst>
        </c:ser>
        <c:ser>
          <c:idx val="2"/>
          <c:order val="4"/>
          <c:tx>
            <c:strRef>
              <c:f>'W19. Transport total capacity'!$A$41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capacity'!$B$41:$Z$41</c:f>
              <c:numCache>
                <c:formatCode>#,##0.00</c:formatCode>
                <c:ptCount val="25"/>
                <c:pt idx="0">
                  <c:v>0</c:v>
                </c:pt>
                <c:pt idx="1">
                  <c:v>481.28086698579983</c:v>
                </c:pt>
                <c:pt idx="2">
                  <c:v>481.28086698579926</c:v>
                </c:pt>
                <c:pt idx="3">
                  <c:v>482.8334985499514</c:v>
                </c:pt>
                <c:pt idx="4">
                  <c:v>481.68557757966153</c:v>
                </c:pt>
                <c:pt idx="5">
                  <c:v>482.8334985499514</c:v>
                </c:pt>
                <c:pt idx="6">
                  <c:v>326.3611685222171</c:v>
                </c:pt>
                <c:pt idx="7">
                  <c:v>482.8334985499514</c:v>
                </c:pt>
                <c:pt idx="8">
                  <c:v>471.99519681892286</c:v>
                </c:pt>
                <c:pt idx="9">
                  <c:v>482.8334985499514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886.48696521742045</c:v>
                </c:pt>
                <c:pt idx="14">
                  <c:v>886.48696521742056</c:v>
                </c:pt>
                <c:pt idx="15">
                  <c:v>886.61445609937277</c:v>
                </c:pt>
                <c:pt idx="16">
                  <c:v>886.59185964381095</c:v>
                </c:pt>
                <c:pt idx="17">
                  <c:v>885.71715120151725</c:v>
                </c:pt>
                <c:pt idx="18">
                  <c:v>75.020017963512473</c:v>
                </c:pt>
                <c:pt idx="19">
                  <c:v>143.33270869343755</c:v>
                </c:pt>
                <c:pt idx="20">
                  <c:v>878.92105526194382</c:v>
                </c:pt>
                <c:pt idx="21">
                  <c:v>812.45158515724108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9D-48AB-BA36-82B5670F4640}"/>
            </c:ext>
          </c:extLst>
        </c:ser>
        <c:ser>
          <c:idx val="1"/>
          <c:order val="5"/>
          <c:tx>
            <c:strRef>
              <c:f>'W19. Transport total capacity'!$A$39</c:f>
              <c:strCache>
                <c:ptCount val="1"/>
                <c:pt idx="0">
                  <c:v>Alternative fuels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'W19. Transport total capacity'!$B$37:$Z$38</c:f>
              <c:multiLvlStrCache>
                <c:ptCount val="22"/>
                <c:lvl>
                  <c:pt idx="0">
                    <c:v>Vivid_0A</c:v>
                  </c:pt>
                  <c:pt idx="1">
                    <c:v>Vivid_0A</c:v>
                  </c:pt>
                  <c:pt idx="2">
                    <c:v>Vivid_0A_BAU</c:v>
                  </c:pt>
                  <c:pt idx="3">
                    <c:v>Vivid_0B</c:v>
                  </c:pt>
                  <c:pt idx="4">
                    <c:v>Vivid_1</c:v>
                  </c:pt>
                  <c:pt idx="5">
                    <c:v>Vivid_2</c:v>
                  </c:pt>
                  <c:pt idx="6">
                    <c:v>Vivid_13</c:v>
                  </c:pt>
                  <c:pt idx="7">
                    <c:v>Vivid_14</c:v>
                  </c:pt>
                  <c:pt idx="8">
                    <c:v>Vivid_25</c:v>
                  </c:pt>
                  <c:pt idx="9">
                    <c:v>Vivid_26</c:v>
                  </c:pt>
                  <c:pt idx="13">
                    <c:v>Vivid_0A</c:v>
                  </c:pt>
                  <c:pt idx="14">
                    <c:v>Vivid_0A_BAU</c:v>
                  </c:pt>
                  <c:pt idx="15">
                    <c:v>Vivid_0B</c:v>
                  </c:pt>
                  <c:pt idx="16">
                    <c:v>Vivid_1</c:v>
                  </c:pt>
                  <c:pt idx="17">
                    <c:v>Vivid_2</c:v>
                  </c:pt>
                  <c:pt idx="18">
                    <c:v>Vivid_13</c:v>
                  </c:pt>
                  <c:pt idx="19">
                    <c:v>Vivid_14</c:v>
                  </c:pt>
                  <c:pt idx="20">
                    <c:v>Vivid_25</c:v>
                  </c:pt>
                  <c:pt idx="21">
                    <c:v>Vivid_26</c:v>
                  </c:pt>
                </c:lvl>
                <c:lvl>
                  <c:pt idx="0">
                    <c:v>2012</c:v>
                  </c:pt>
                  <c:pt idx="1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'W19. Transport total capacity'!$B$39:$Z$39</c:f>
              <c:numCache>
                <c:formatCode>#,##0.00</c:formatCode>
                <c:ptCount val="25"/>
                <c:pt idx="0">
                  <c:v>156.6315521560405</c:v>
                </c:pt>
                <c:pt idx="1">
                  <c:v>2689.2532180821918</c:v>
                </c:pt>
                <c:pt idx="2">
                  <c:v>2551.6170493957902</c:v>
                </c:pt>
                <c:pt idx="3">
                  <c:v>1939.5191416210841</c:v>
                </c:pt>
                <c:pt idx="4">
                  <c:v>1665.5252192606074</c:v>
                </c:pt>
                <c:pt idx="5">
                  <c:v>1939.5191416210841</c:v>
                </c:pt>
                <c:pt idx="6">
                  <c:v>1201.3317090132505</c:v>
                </c:pt>
                <c:pt idx="7">
                  <c:v>1939.5191416210841</c:v>
                </c:pt>
                <c:pt idx="8">
                  <c:v>1558.0747825819149</c:v>
                </c:pt>
                <c:pt idx="9">
                  <c:v>1939.5191416210841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4236.8678304942987</c:v>
                </c:pt>
                <c:pt idx="14">
                  <c:v>4261.9734978118731</c:v>
                </c:pt>
                <c:pt idx="15">
                  <c:v>4081.4319994565894</c:v>
                </c:pt>
                <c:pt idx="16">
                  <c:v>3282.5240196734026</c:v>
                </c:pt>
                <c:pt idx="17">
                  <c:v>2861.0198775308363</c:v>
                </c:pt>
                <c:pt idx="18">
                  <c:v>1915.5710333044274</c:v>
                </c:pt>
                <c:pt idx="19">
                  <c:v>2356.068508613731</c:v>
                </c:pt>
                <c:pt idx="20">
                  <c:v>2129.6493924172046</c:v>
                </c:pt>
                <c:pt idx="21">
                  <c:v>1575.1086388193585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9D-48AB-BA36-82B5670F4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17700144"/>
        <c:axId val="817700472"/>
      </c:barChart>
      <c:catAx>
        <c:axId val="81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472"/>
        <c:crosses val="autoZero"/>
        <c:auto val="1"/>
        <c:lblAlgn val="ctr"/>
        <c:lblOffset val="100"/>
        <c:noMultiLvlLbl val="0"/>
      </c:catAx>
      <c:valAx>
        <c:axId val="81770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70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612074</xdr:colOff>
      <xdr:row>7</xdr:row>
      <xdr:rowOff>79459</xdr:rowOff>
    </xdr:from>
    <xdr:to>
      <xdr:col>17</xdr:col>
      <xdr:colOff>238469</xdr:colOff>
      <xdr:row>35</xdr:row>
      <xdr:rowOff>39968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D477E-007C-4120-930E-FFB81B610495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601188</xdr:colOff>
      <xdr:row>7</xdr:row>
      <xdr:rowOff>79459</xdr:rowOff>
    </xdr:from>
    <xdr:to>
      <xdr:col>18</xdr:col>
      <xdr:colOff>227583</xdr:colOff>
      <xdr:row>35</xdr:row>
      <xdr:rowOff>39968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DD6A8-3FF0-4A4C-8C27-8F43A65C806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412173</xdr:colOff>
      <xdr:row>10</xdr:row>
      <xdr:rowOff>114913</xdr:rowOff>
    </xdr:from>
    <xdr:to>
      <xdr:col>18</xdr:col>
      <xdr:colOff>39137</xdr:colOff>
      <xdr:row>38</xdr:row>
      <xdr:rowOff>81137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9B05D0-CEF9-43CB-A066-4C5667C215E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472440</xdr:colOff>
      <xdr:row>10</xdr:row>
      <xdr:rowOff>40822</xdr:rowOff>
    </xdr:from>
    <xdr:to>
      <xdr:col>17</xdr:col>
      <xdr:colOff>1086738</xdr:colOff>
      <xdr:row>39</xdr:row>
      <xdr:rowOff>58753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0694C-776A-4D9C-B1DC-36F0C85E4AD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10</xdr:row>
      <xdr:rowOff>68035</xdr:rowOff>
    </xdr:from>
    <xdr:to>
      <xdr:col>17</xdr:col>
      <xdr:colOff>1082928</xdr:colOff>
      <xdr:row>39</xdr:row>
      <xdr:rowOff>89776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C73E1-B39E-4DB0-A171-A4F4A71B06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338547</xdr:colOff>
      <xdr:row>10</xdr:row>
      <xdr:rowOff>46536</xdr:rowOff>
    </xdr:from>
    <xdr:to>
      <xdr:col>17</xdr:col>
      <xdr:colOff>842626</xdr:colOff>
      <xdr:row>40</xdr:row>
      <xdr:rowOff>128148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29483-B171-4C67-BBC1-0EC83EFB7A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637631</xdr:colOff>
      <xdr:row>9</xdr:row>
      <xdr:rowOff>38915</xdr:rowOff>
    </xdr:from>
    <xdr:to>
      <xdr:col>18</xdr:col>
      <xdr:colOff>63480</xdr:colOff>
      <xdr:row>39</xdr:row>
      <xdr:rowOff>128147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07B1A-E0F8-4891-B95B-67E36921919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635308</xdr:colOff>
      <xdr:row>9</xdr:row>
      <xdr:rowOff>124320</xdr:rowOff>
    </xdr:from>
    <xdr:to>
      <xdr:col>44</xdr:col>
      <xdr:colOff>61676</xdr:colOff>
      <xdr:row>40</xdr:row>
      <xdr:rowOff>30573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1F2995-C68E-459C-9E32-265C3161DE5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856433</xdr:colOff>
      <xdr:row>23</xdr:row>
      <xdr:rowOff>17460</xdr:rowOff>
    </xdr:from>
    <xdr:to>
      <xdr:col>12</xdr:col>
      <xdr:colOff>473304</xdr:colOff>
      <xdr:row>50</xdr:row>
      <xdr:rowOff>168472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2B7BE-507D-4FE5-B648-DB4CAFCAF59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212272</xdr:colOff>
      <xdr:row>24</xdr:row>
      <xdr:rowOff>70620</xdr:rowOff>
    </xdr:from>
    <xdr:to>
      <xdr:col>11</xdr:col>
      <xdr:colOff>932138</xdr:colOff>
      <xdr:row>52</xdr:row>
      <xdr:rowOff>52087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FD6CA-2A70-4A1F-9F93-0A0544F9355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365760</xdr:colOff>
      <xdr:row>8</xdr:row>
      <xdr:rowOff>152400</xdr:rowOff>
    </xdr:from>
    <xdr:to>
      <xdr:col>17</xdr:col>
      <xdr:colOff>869839</xdr:colOff>
      <xdr:row>39</xdr:row>
      <xdr:rowOff>35892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04AF4A-0B61-4E5B-8945-B8C638D74B9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358140</xdr:colOff>
      <xdr:row>24</xdr:row>
      <xdr:rowOff>115252</xdr:rowOff>
    </xdr:from>
    <xdr:to>
      <xdr:col>11</xdr:col>
      <xdr:colOff>1087531</xdr:colOff>
      <xdr:row>52</xdr:row>
      <xdr:rowOff>87194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B2403-C63B-4883-92D7-88C61EE3801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637631</xdr:colOff>
      <xdr:row>9</xdr:row>
      <xdr:rowOff>38915</xdr:rowOff>
    </xdr:from>
    <xdr:to>
      <xdr:col>18</xdr:col>
      <xdr:colOff>63480</xdr:colOff>
      <xdr:row>39</xdr:row>
      <xdr:rowOff>128147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9A9388-4A1F-465E-967D-DF1B091E80A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635308</xdr:colOff>
      <xdr:row>9</xdr:row>
      <xdr:rowOff>124320</xdr:rowOff>
    </xdr:from>
    <xdr:to>
      <xdr:col>44</xdr:col>
      <xdr:colOff>61676</xdr:colOff>
      <xdr:row>40</xdr:row>
      <xdr:rowOff>30573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EC6BEE-1BBB-475D-8089-A461CDF71F1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238125</xdr:colOff>
      <xdr:row>121</xdr:row>
      <xdr:rowOff>119062</xdr:rowOff>
    </xdr:from>
    <xdr:to>
      <xdr:col>13</xdr:col>
      <xdr:colOff>753634</xdr:colOff>
      <xdr:row>152</xdr:row>
      <xdr:rowOff>25414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1398D1-974A-48D7-A9BC-8EA32E2F2A2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86538</xdr:rowOff>
    </xdr:from>
    <xdr:to>
      <xdr:col>19</xdr:col>
      <xdr:colOff>877117</xdr:colOff>
      <xdr:row>27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13A72E-A0CC-40C7-8C07-79F04ABE37DF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16</xdr:row>
      <xdr:rowOff>32112</xdr:rowOff>
    </xdr:from>
    <xdr:to>
      <xdr:col>19</xdr:col>
      <xdr:colOff>909774</xdr:colOff>
      <xdr:row>28</xdr:row>
      <xdr:rowOff>12908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240B8-00B8-4018-B777-42EB774FDC6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173625</xdr:rowOff>
    </xdr:from>
    <xdr:to>
      <xdr:col>19</xdr:col>
      <xdr:colOff>909774</xdr:colOff>
      <xdr:row>27</xdr:row>
      <xdr:rowOff>154422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39C2E-EE4A-4C79-870E-E5426FF4A6C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16</xdr:row>
      <xdr:rowOff>42996</xdr:rowOff>
    </xdr:from>
    <xdr:to>
      <xdr:col>19</xdr:col>
      <xdr:colOff>909774</xdr:colOff>
      <xdr:row>28</xdr:row>
      <xdr:rowOff>23793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F1CDB-C14C-425D-AEF2-59E2E37EB29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16</xdr:row>
      <xdr:rowOff>10340</xdr:rowOff>
    </xdr:from>
    <xdr:to>
      <xdr:col>19</xdr:col>
      <xdr:colOff>909774</xdr:colOff>
      <xdr:row>27</xdr:row>
      <xdr:rowOff>176193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C602B-6DF5-497E-B8E1-1957C33494E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97425</xdr:rowOff>
    </xdr:from>
    <xdr:to>
      <xdr:col>19</xdr:col>
      <xdr:colOff>877117</xdr:colOff>
      <xdr:row>27</xdr:row>
      <xdr:rowOff>78222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34019-9597-4C8C-9D54-022E47896B8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119196</xdr:rowOff>
    </xdr:from>
    <xdr:to>
      <xdr:col>19</xdr:col>
      <xdr:colOff>909774</xdr:colOff>
      <xdr:row>27</xdr:row>
      <xdr:rowOff>99993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CDE170-2B14-4C08-965B-628FA6611D7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294409</xdr:colOff>
      <xdr:row>16</xdr:row>
      <xdr:rowOff>17317</xdr:rowOff>
    </xdr:from>
    <xdr:to>
      <xdr:col>26</xdr:col>
      <xdr:colOff>112769</xdr:colOff>
      <xdr:row>28</xdr:row>
      <xdr:rowOff>40208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98C824-7BAE-44AD-AAD8-D96967D6DBA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64767</xdr:rowOff>
    </xdr:from>
    <xdr:to>
      <xdr:col>19</xdr:col>
      <xdr:colOff>909774</xdr:colOff>
      <xdr:row>27</xdr:row>
      <xdr:rowOff>45564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456F0-8F27-4AFE-9AA4-B19C5E7D005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68036</xdr:colOff>
      <xdr:row>15</xdr:row>
      <xdr:rowOff>54429</xdr:rowOff>
    </xdr:from>
    <xdr:to>
      <xdr:col>25</xdr:col>
      <xdr:colOff>993621</xdr:colOff>
      <xdr:row>27</xdr:row>
      <xdr:rowOff>31352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59AC95-5B25-4E6D-BF44-001AE168023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97424</xdr:rowOff>
    </xdr:from>
    <xdr:to>
      <xdr:col>19</xdr:col>
      <xdr:colOff>909774</xdr:colOff>
      <xdr:row>27</xdr:row>
      <xdr:rowOff>78221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50E95-780A-4E96-A3BD-A4D4FC115FF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149679</xdr:colOff>
      <xdr:row>15</xdr:row>
      <xdr:rowOff>95250</xdr:rowOff>
    </xdr:from>
    <xdr:to>
      <xdr:col>25</xdr:col>
      <xdr:colOff>1085728</xdr:colOff>
      <xdr:row>27</xdr:row>
      <xdr:rowOff>28110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CF2F5A-CAA3-4629-A666-5A3C54BD369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639434</xdr:colOff>
      <xdr:row>15</xdr:row>
      <xdr:rowOff>168454</xdr:rowOff>
    </xdr:from>
    <xdr:to>
      <xdr:col>19</xdr:col>
      <xdr:colOff>886023</xdr:colOff>
      <xdr:row>27</xdr:row>
      <xdr:rowOff>143536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9C999-4687-49FE-8736-7B20AB0CCF1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949355</xdr:colOff>
      <xdr:row>15</xdr:row>
      <xdr:rowOff>130429</xdr:rowOff>
    </xdr:from>
    <xdr:to>
      <xdr:col>25</xdr:col>
      <xdr:colOff>840798</xdr:colOff>
      <xdr:row>27</xdr:row>
      <xdr:rowOff>97555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33960B-AB75-463A-B4C6-D1E4D073673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140968</xdr:rowOff>
    </xdr:from>
    <xdr:to>
      <xdr:col>19</xdr:col>
      <xdr:colOff>909774</xdr:colOff>
      <xdr:row>27</xdr:row>
      <xdr:rowOff>121765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73DE7-AA9A-43DC-AF31-FFF4A3F06BD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32111</xdr:rowOff>
    </xdr:from>
    <xdr:to>
      <xdr:col>19</xdr:col>
      <xdr:colOff>909774</xdr:colOff>
      <xdr:row>27</xdr:row>
      <xdr:rowOff>12908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1522F-3D30-44D6-9B08-BECA710B13B8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673280</xdr:colOff>
      <xdr:row>15</xdr:row>
      <xdr:rowOff>97424</xdr:rowOff>
    </xdr:from>
    <xdr:to>
      <xdr:col>19</xdr:col>
      <xdr:colOff>909774</xdr:colOff>
      <xdr:row>27</xdr:row>
      <xdr:rowOff>78221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B45FE1-BA24-4963-856B-F387E425B2C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53882</xdr:rowOff>
    </xdr:from>
    <xdr:to>
      <xdr:col>19</xdr:col>
      <xdr:colOff>877117</xdr:colOff>
      <xdr:row>27</xdr:row>
      <xdr:rowOff>34679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EE622-BDD9-4A8E-8B67-A6B3A392E983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642255</xdr:colOff>
      <xdr:row>17</xdr:row>
      <xdr:rowOff>34016</xdr:rowOff>
    </xdr:from>
    <xdr:to>
      <xdr:col>19</xdr:col>
      <xdr:colOff>884464</xdr:colOff>
      <xdr:row>28</xdr:row>
      <xdr:rowOff>138094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5DC19-67CB-48CF-8C7B-BD3A0BE93A5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16</xdr:row>
      <xdr:rowOff>86538</xdr:rowOff>
    </xdr:from>
    <xdr:to>
      <xdr:col>19</xdr:col>
      <xdr:colOff>877117</xdr:colOff>
      <xdr:row>28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20F22-51AC-46A2-AD4C-7B0A7943DDF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54429</xdr:colOff>
      <xdr:row>16</xdr:row>
      <xdr:rowOff>95249</xdr:rowOff>
    </xdr:from>
    <xdr:to>
      <xdr:col>25</xdr:col>
      <xdr:colOff>961360</xdr:colOff>
      <xdr:row>28</xdr:row>
      <xdr:rowOff>110520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346233-709F-4BFC-93B6-18D369190B7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86538</xdr:rowOff>
    </xdr:from>
    <xdr:to>
      <xdr:col>19</xdr:col>
      <xdr:colOff>877117</xdr:colOff>
      <xdr:row>27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84926-A1C8-4185-ABB3-573CC137EC0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54429</xdr:colOff>
      <xdr:row>15</xdr:row>
      <xdr:rowOff>95249</xdr:rowOff>
    </xdr:from>
    <xdr:to>
      <xdr:col>25</xdr:col>
      <xdr:colOff>961360</xdr:colOff>
      <xdr:row>27</xdr:row>
      <xdr:rowOff>110520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52B0CE-AEE5-4DA7-BB80-07B8A02BC0C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86538</xdr:rowOff>
    </xdr:from>
    <xdr:to>
      <xdr:col>19</xdr:col>
      <xdr:colOff>877117</xdr:colOff>
      <xdr:row>27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B4E85-1425-435D-A5B4-43E7319D579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54429</xdr:colOff>
      <xdr:row>15</xdr:row>
      <xdr:rowOff>95249</xdr:rowOff>
    </xdr:from>
    <xdr:to>
      <xdr:col>25</xdr:col>
      <xdr:colOff>961360</xdr:colOff>
      <xdr:row>27</xdr:row>
      <xdr:rowOff>110520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17991D-C85B-4722-91F8-8EBAF292446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640623</xdr:colOff>
      <xdr:row>15</xdr:row>
      <xdr:rowOff>86538</xdr:rowOff>
    </xdr:from>
    <xdr:to>
      <xdr:col>19</xdr:col>
      <xdr:colOff>877117</xdr:colOff>
      <xdr:row>27</xdr:row>
      <xdr:rowOff>67335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D44CD-6B63-470B-8931-E78D9FE4163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54429</xdr:colOff>
      <xdr:row>15</xdr:row>
      <xdr:rowOff>95249</xdr:rowOff>
    </xdr:from>
    <xdr:to>
      <xdr:col>25</xdr:col>
      <xdr:colOff>961360</xdr:colOff>
      <xdr:row>27</xdr:row>
      <xdr:rowOff>110520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59D119-7B51-437F-8506-F6F01D06FB71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171450</xdr:rowOff>
    </xdr:from>
    <xdr:to>
      <xdr:col>1</xdr:col>
      <xdr:colOff>2559870</xdr:colOff>
      <xdr:row>7</xdr:row>
      <xdr:rowOff>1163807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108F4-E0A6-4789-939F-63EC34FAB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1165"/>
          <a:ext cx="3299010" cy="1175237"/>
        </a:xfrm>
        <a:prstGeom prst="rect">
          <a:avLst/>
        </a:prstGeom>
      </xdr:spPr>
    </xdr:pic>
    <xdr:clientData/>
  </xdr:twoCellAnchor>
  <xdr:twoCellAnchor editAs="oneCell">
    <xdr:from>
      <xdr:col>1</xdr:col>
      <xdr:colOff>2773680</xdr:colOff>
      <xdr:row>7</xdr:row>
      <xdr:rowOff>22860</xdr:rowOff>
    </xdr:from>
    <xdr:to>
      <xdr:col>19</xdr:col>
      <xdr:colOff>200820</xdr:colOff>
      <xdr:row>8</xdr:row>
      <xdr:rowOff>25298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D8E1B1-4E41-4126-A551-3A950539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" y="1733550"/>
          <a:ext cx="12781440" cy="118353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238125</xdr:colOff>
      <xdr:row>8</xdr:row>
      <xdr:rowOff>18210</xdr:rowOff>
    </xdr:from>
    <xdr:to>
      <xdr:col>15</xdr:col>
      <xdr:colOff>723704</xdr:colOff>
      <xdr:row>23</xdr:row>
      <xdr:rowOff>127635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01BAE0-8F3B-4729-AE28-7604659EA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0680" y="1917495"/>
          <a:ext cx="6398699" cy="285262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552164</xdr:colOff>
      <xdr:row>8</xdr:row>
      <xdr:rowOff>123825</xdr:rowOff>
    </xdr:from>
    <xdr:to>
      <xdr:col>20</xdr:col>
      <xdr:colOff>347888</xdr:colOff>
      <xdr:row>44</xdr:row>
      <xdr:rowOff>23811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7D59DD-60CD-4E19-99B5-FF259538C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4324" y="2040255"/>
          <a:ext cx="4969704" cy="6483666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381001</xdr:colOff>
      <xdr:row>8</xdr:row>
      <xdr:rowOff>54428</xdr:rowOff>
    </xdr:from>
    <xdr:to>
      <xdr:col>20</xdr:col>
      <xdr:colOff>191605</xdr:colOff>
      <xdr:row>43</xdr:row>
      <xdr:rowOff>135756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2B09EA-485C-4B5D-A1D9-BEEFD3491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9351" y="1972763"/>
          <a:ext cx="4984584" cy="648212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259080</xdr:colOff>
      <xdr:row>8</xdr:row>
      <xdr:rowOff>106680</xdr:rowOff>
    </xdr:from>
    <xdr:to>
      <xdr:col>16</xdr:col>
      <xdr:colOff>86917</xdr:colOff>
      <xdr:row>20</xdr:row>
      <xdr:rowOff>1641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100251-664C-4E1A-9AEE-F964B5B4B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0775" y="2019300"/>
          <a:ext cx="5740957" cy="2089521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45720</xdr:colOff>
      <xdr:row>8</xdr:row>
      <xdr:rowOff>38100</xdr:rowOff>
    </xdr:from>
    <xdr:to>
      <xdr:col>20</xdr:col>
      <xdr:colOff>98502</xdr:colOff>
      <xdr:row>21</xdr:row>
      <xdr:rowOff>108275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3EE287-8023-408C-B93A-997332E88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48925" y="1952625"/>
          <a:ext cx="4487622" cy="244761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129540</xdr:colOff>
      <xdr:row>8</xdr:row>
      <xdr:rowOff>15240</xdr:rowOff>
    </xdr:from>
    <xdr:to>
      <xdr:col>20</xdr:col>
      <xdr:colOff>208988</xdr:colOff>
      <xdr:row>22</xdr:row>
      <xdr:rowOff>28250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7BD1AE-733D-4255-9231-01D6CB3C2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34650" y="1933575"/>
          <a:ext cx="4514288" cy="2573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eme1">
  <a:themeElements>
    <a:clrScheme name="Vivid house 2">
      <a:dk1>
        <a:srgbClr val="000000"/>
      </a:dk1>
      <a:lt1>
        <a:srgbClr val="FFFFFF"/>
      </a:lt1>
      <a:dk2>
        <a:srgbClr val="111820"/>
      </a:dk2>
      <a:lt2>
        <a:srgbClr val="DBD9D6"/>
      </a:lt2>
      <a:accent1>
        <a:srgbClr val="002D5C"/>
      </a:accent1>
      <a:accent2>
        <a:srgbClr val="00BFD6"/>
      </a:accent2>
      <a:accent3>
        <a:srgbClr val="D7006D"/>
      </a:accent3>
      <a:accent4>
        <a:srgbClr val="005C30"/>
      </a:accent4>
      <a:accent5>
        <a:srgbClr val="99999A"/>
      </a:accent5>
      <a:accent6>
        <a:srgbClr val="D7A100"/>
      </a:accent6>
      <a:hlink>
        <a:srgbClr val="51A2D0"/>
      </a:hlink>
      <a:folHlink>
        <a:srgbClr val="2F838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rtlCol="0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sz="1600" b="0" i="0" u="none" strike="noStrike" cap="none" normalizeH="0" baseline="0" dirty="0" smtClean="0">
            <a:ln>
              <a:noFill/>
            </a:ln>
            <a:solidFill>
              <a:schemeClr val="tx1"/>
            </a:solidFill>
            <a:effectLst/>
            <a:latin typeface="Calibri" panose="020F0502020204030204" pitchFamily="34" charset="0"/>
            <a:cs typeface="Calibri" panose="020F0502020204030204" pitchFamily="34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chemeClr val="accent1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a:spPr>
      <a:bodyPr vert="horz" wrap="square" lIns="91440" tIns="45720" rIns="91440" bIns="45720" numCol="1" anchor="t" anchorCtr="0" compatLnSpc="1">
        <a:prstTxWarp prst="textNoShape">
          <a:avLst/>
        </a:prstTxWarp>
      </a:bodyPr>
      <a:lstStyle>
        <a:defPPr marL="0" marR="0" indent="0" algn="l" defTabSz="914400" rtl="0" eaLnBrk="0" fontAlgn="base" latinLnBrk="0" hangingPunct="0">
          <a:lnSpc>
            <a:spcPct val="100000"/>
          </a:lnSpc>
          <a:spcBef>
            <a:spcPct val="0"/>
          </a:spcBef>
          <a:spcAft>
            <a:spcPct val="0"/>
          </a:spcAft>
          <a:buClrTx/>
          <a:buSzTx/>
          <a:buFontTx/>
          <a:buNone/>
          <a:tabLst/>
          <a:defRPr kumimoji="0" lang="en-US" sz="2400" b="0" i="0" u="none" strike="noStrike" cap="none" normalizeH="0" baseline="0">
            <a:ln>
              <a:noFill/>
            </a:ln>
            <a:solidFill>
              <a:schemeClr val="tx1"/>
            </a:solidFill>
            <a:effectLst/>
            <a:latin typeface="Times" pitchFamily="53" charset="0"/>
          </a:defRPr>
        </a:defPPr>
      </a:lstStyle>
    </a:lnDef>
  </a:objectDefaults>
  <a:extraClrSchemeLst>
    <a:extraClrScheme>
      <a:clrScheme name="Blank Presentation 1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BBE0E3"/>
        </a:accent1>
        <a:accent2>
          <a:srgbClr val="333399"/>
        </a:accent2>
        <a:accent3>
          <a:srgbClr val="FFFFFF"/>
        </a:accent3>
        <a:accent4>
          <a:srgbClr val="000000"/>
        </a:accent4>
        <a:accent5>
          <a:srgbClr val="DAEDEF"/>
        </a:accent5>
        <a:accent6>
          <a:srgbClr val="2D2D8A"/>
        </a:accent6>
        <a:hlink>
          <a:srgbClr val="009999"/>
        </a:hlink>
        <a:folHlink>
          <a:srgbClr val="99CC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2">
        <a:dk1>
          <a:srgbClr val="000000"/>
        </a:dk1>
        <a:lt1>
          <a:srgbClr val="FFFFFF"/>
        </a:lt1>
        <a:dk2>
          <a:srgbClr val="000000"/>
        </a:dk2>
        <a:lt2>
          <a:srgbClr val="969696"/>
        </a:lt2>
        <a:accent1>
          <a:srgbClr val="FBDF53"/>
        </a:accent1>
        <a:accent2>
          <a:srgbClr val="FF9966"/>
        </a:accent2>
        <a:accent3>
          <a:srgbClr val="FFFFFF"/>
        </a:accent3>
        <a:accent4>
          <a:srgbClr val="000000"/>
        </a:accent4>
        <a:accent5>
          <a:srgbClr val="FDECB3"/>
        </a:accent5>
        <a:accent6>
          <a:srgbClr val="E78A5C"/>
        </a:accent6>
        <a:hlink>
          <a:srgbClr val="CC3300"/>
        </a:hlink>
        <a:folHlink>
          <a:srgbClr val="9966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3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99CCFF"/>
        </a:accent1>
        <a:accent2>
          <a:srgbClr val="CCCCFF"/>
        </a:accent2>
        <a:accent3>
          <a:srgbClr val="FFFFFF"/>
        </a:accent3>
        <a:accent4>
          <a:srgbClr val="000000"/>
        </a:accent4>
        <a:accent5>
          <a:srgbClr val="CAE2FF"/>
        </a:accent5>
        <a:accent6>
          <a:srgbClr val="B9B9E7"/>
        </a:accent6>
        <a:hlink>
          <a:srgbClr val="3333CC"/>
        </a:hlink>
        <a:folHlink>
          <a:srgbClr val="AF67FF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4">
        <a:dk1>
          <a:srgbClr val="000000"/>
        </a:dk1>
        <a:lt1>
          <a:srgbClr val="DEF6F1"/>
        </a:lt1>
        <a:dk2>
          <a:srgbClr val="000000"/>
        </a:dk2>
        <a:lt2>
          <a:srgbClr val="969696"/>
        </a:lt2>
        <a:accent1>
          <a:srgbClr val="FFFFFF"/>
        </a:accent1>
        <a:accent2>
          <a:srgbClr val="8DC6FF"/>
        </a:accent2>
        <a:accent3>
          <a:srgbClr val="ECFAF7"/>
        </a:accent3>
        <a:accent4>
          <a:srgbClr val="000000"/>
        </a:accent4>
        <a:accent5>
          <a:srgbClr val="FFFFFF"/>
        </a:accent5>
        <a:accent6>
          <a:srgbClr val="7FB3E7"/>
        </a:accent6>
        <a:hlink>
          <a:srgbClr val="0066CC"/>
        </a:hlink>
        <a:folHlink>
          <a:srgbClr val="00A8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5">
        <a:dk1>
          <a:srgbClr val="000000"/>
        </a:dk1>
        <a:lt1>
          <a:srgbClr val="FFFFD9"/>
        </a:lt1>
        <a:dk2>
          <a:srgbClr val="000000"/>
        </a:dk2>
        <a:lt2>
          <a:srgbClr val="777777"/>
        </a:lt2>
        <a:accent1>
          <a:srgbClr val="FFFFF7"/>
        </a:accent1>
        <a:accent2>
          <a:srgbClr val="33CCCC"/>
        </a:accent2>
        <a:accent3>
          <a:srgbClr val="FFFFE9"/>
        </a:accent3>
        <a:accent4>
          <a:srgbClr val="000000"/>
        </a:accent4>
        <a:accent5>
          <a:srgbClr val="FFFFFA"/>
        </a:accent5>
        <a:accent6>
          <a:srgbClr val="2DB9B9"/>
        </a:accent6>
        <a:hlink>
          <a:srgbClr val="FF5050"/>
        </a:hlink>
        <a:folHlink>
          <a:srgbClr val="FF99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Blank Presentation 6">
        <a:dk1>
          <a:srgbClr val="005A58"/>
        </a:dk1>
        <a:lt1>
          <a:srgbClr val="FFFFFF"/>
        </a:lt1>
        <a:dk2>
          <a:srgbClr val="008080"/>
        </a:dk2>
        <a:lt2>
          <a:srgbClr val="FFFF99"/>
        </a:lt2>
        <a:accent1>
          <a:srgbClr val="006462"/>
        </a:accent1>
        <a:accent2>
          <a:srgbClr val="6D6FC7"/>
        </a:accent2>
        <a:accent3>
          <a:srgbClr val="AAC0C0"/>
        </a:accent3>
        <a:accent4>
          <a:srgbClr val="DADADA"/>
        </a:accent4>
        <a:accent5>
          <a:srgbClr val="AAB8B7"/>
        </a:accent5>
        <a:accent6>
          <a:srgbClr val="6264B4"/>
        </a:accent6>
        <a:hlink>
          <a:srgbClr val="00FFFF"/>
        </a:hlink>
        <a:folHlink>
          <a:srgbClr val="00FF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7">
        <a:dk1>
          <a:srgbClr val="5C1F00"/>
        </a:dk1>
        <a:lt1>
          <a:srgbClr val="FFFFFF"/>
        </a:lt1>
        <a:dk2>
          <a:srgbClr val="800000"/>
        </a:dk2>
        <a:lt2>
          <a:srgbClr val="DFD293"/>
        </a:lt2>
        <a:accent1>
          <a:srgbClr val="713E39"/>
        </a:accent1>
        <a:accent2>
          <a:srgbClr val="BE7960"/>
        </a:accent2>
        <a:accent3>
          <a:srgbClr val="C0AAAA"/>
        </a:accent3>
        <a:accent4>
          <a:srgbClr val="DADADA"/>
        </a:accent4>
        <a:accent5>
          <a:srgbClr val="BBAFAE"/>
        </a:accent5>
        <a:accent6>
          <a:srgbClr val="AC6D56"/>
        </a:accent6>
        <a:hlink>
          <a:srgbClr val="FFFF99"/>
        </a:hlink>
        <a:folHlink>
          <a:srgbClr val="D3A21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8">
        <a:dk1>
          <a:srgbClr val="003366"/>
        </a:dk1>
        <a:lt1>
          <a:srgbClr val="FFFFFF"/>
        </a:lt1>
        <a:dk2>
          <a:srgbClr val="000099"/>
        </a:dk2>
        <a:lt2>
          <a:srgbClr val="CCFFFF"/>
        </a:lt2>
        <a:accent1>
          <a:srgbClr val="3366CC"/>
        </a:accent1>
        <a:accent2>
          <a:srgbClr val="00B000"/>
        </a:accent2>
        <a:accent3>
          <a:srgbClr val="AAAACA"/>
        </a:accent3>
        <a:accent4>
          <a:srgbClr val="DADADA"/>
        </a:accent4>
        <a:accent5>
          <a:srgbClr val="ADB8E2"/>
        </a:accent5>
        <a:accent6>
          <a:srgbClr val="009F00"/>
        </a:accent6>
        <a:hlink>
          <a:srgbClr val="66CCFF"/>
        </a:hlink>
        <a:folHlink>
          <a:srgbClr val="FFE701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9">
        <a:dk1>
          <a:srgbClr val="336699"/>
        </a:dk1>
        <a:lt1>
          <a:srgbClr val="FFFFFF"/>
        </a:lt1>
        <a:dk2>
          <a:srgbClr val="000000"/>
        </a:dk2>
        <a:lt2>
          <a:srgbClr val="E3EBF1"/>
        </a:lt2>
        <a:accent1>
          <a:srgbClr val="003399"/>
        </a:accent1>
        <a:accent2>
          <a:srgbClr val="468A4B"/>
        </a:accent2>
        <a:accent3>
          <a:srgbClr val="AAAAAA"/>
        </a:accent3>
        <a:accent4>
          <a:srgbClr val="DADADA"/>
        </a:accent4>
        <a:accent5>
          <a:srgbClr val="AAADCA"/>
        </a:accent5>
        <a:accent6>
          <a:srgbClr val="3F7D43"/>
        </a:accent6>
        <a:hlink>
          <a:srgbClr val="66CCFF"/>
        </a:hlink>
        <a:folHlink>
          <a:srgbClr val="F0E5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0">
        <a:dk1>
          <a:srgbClr val="777777"/>
        </a:dk1>
        <a:lt1>
          <a:srgbClr val="FFFFFF"/>
        </a:lt1>
        <a:dk2>
          <a:srgbClr val="686B5D"/>
        </a:dk2>
        <a:lt2>
          <a:srgbClr val="D1D1CB"/>
        </a:lt2>
        <a:accent1>
          <a:srgbClr val="909082"/>
        </a:accent1>
        <a:accent2>
          <a:srgbClr val="809EA8"/>
        </a:accent2>
        <a:accent3>
          <a:srgbClr val="B9BAB6"/>
        </a:accent3>
        <a:accent4>
          <a:srgbClr val="DADADA"/>
        </a:accent4>
        <a:accent5>
          <a:srgbClr val="C6C6C1"/>
        </a:accent5>
        <a:accent6>
          <a:srgbClr val="738F98"/>
        </a:accent6>
        <a:hlink>
          <a:srgbClr val="FFCC66"/>
        </a:hlink>
        <a:folHlink>
          <a:srgbClr val="E9DCB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1">
        <a:dk1>
          <a:srgbClr val="3E3E5C"/>
        </a:dk1>
        <a:lt1>
          <a:srgbClr val="FFFFFF"/>
        </a:lt1>
        <a:dk2>
          <a:srgbClr val="666699"/>
        </a:dk2>
        <a:lt2>
          <a:srgbClr val="FFFFFF"/>
        </a:lt2>
        <a:accent1>
          <a:srgbClr val="60597B"/>
        </a:accent1>
        <a:accent2>
          <a:srgbClr val="6666FF"/>
        </a:accent2>
        <a:accent3>
          <a:srgbClr val="B8B8CA"/>
        </a:accent3>
        <a:accent4>
          <a:srgbClr val="DADADA"/>
        </a:accent4>
        <a:accent5>
          <a:srgbClr val="B6B5BF"/>
        </a:accent5>
        <a:accent6>
          <a:srgbClr val="5C5CE7"/>
        </a:accent6>
        <a:hlink>
          <a:srgbClr val="99CCFF"/>
        </a:hlink>
        <a:folHlink>
          <a:srgbClr val="FFFF9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Blank Presentation 12">
        <a:dk1>
          <a:srgbClr val="2D2015"/>
        </a:dk1>
        <a:lt1>
          <a:srgbClr val="FFFFFF"/>
        </a:lt1>
        <a:dk2>
          <a:srgbClr val="523E26"/>
        </a:dk2>
        <a:lt2>
          <a:srgbClr val="DFC08D"/>
        </a:lt2>
        <a:accent1>
          <a:srgbClr val="8C7B70"/>
        </a:accent1>
        <a:accent2>
          <a:srgbClr val="8F5F2F"/>
        </a:accent2>
        <a:accent3>
          <a:srgbClr val="B3AFAC"/>
        </a:accent3>
        <a:accent4>
          <a:srgbClr val="DADADA"/>
        </a:accent4>
        <a:accent5>
          <a:srgbClr val="C5BFBB"/>
        </a:accent5>
        <a:accent6>
          <a:srgbClr val="81552A"/>
        </a:accent6>
        <a:hlink>
          <a:srgbClr val="CCB400"/>
        </a:hlink>
        <a:folHlink>
          <a:srgbClr val="8C9EA0"/>
        </a:folHlink>
      </a:clrScheme>
      <a:clrMap bg1="dk2" tx1="lt1" bg2="dk1" tx2="lt2" accent1="accent1" accent2="accent2" accent3="accent3" accent4="accent4" accent5="accent5" accent6="accent6" hlink="hlink" folHlink="folHlink"/>
    </a:extraClrScheme>
  </a:extraClrSchemeLst>
  <a:extLst>
    <a:ext uri="{05A4C25C-085E-4340-85A3-A5531E510DB2}">
      <thm15:themeFamily xmlns:thm15="http://schemas.microsoft.com/office/thememl/2012/main" name="Theme1" id="{FFA41653-D79C-4A04-9574-9F97781B6D25}" vid="{3EF46259-B205-4408-A38B-C57CBE55D83C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9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1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3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7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29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30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31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32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printerSettings" Target="../printerSettings/printerSettings38.bin"/><Relationship Id="rId1" Type="http://schemas.openxmlformats.org/officeDocument/2006/relationships/hyperlink" Target="https://vivideconomics.sharepoint.com/:f:/s/projects/171211HSB/ElsIfHvwMR5IuhmzX_PnrZkBmWU06RfQez379oR3vVBtJA?e=gIMaOe" TargetMode="External"/><Relationship Id="rId4" Type="http://schemas.openxmlformats.org/officeDocument/2006/relationships/comments" Target="../comments38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9.bin"/><Relationship Id="rId3" Type="http://schemas.openxmlformats.org/officeDocument/2006/relationships/hyperlink" Target="https://www.iea.org/statistics/resources/unitconverter/" TargetMode="External"/><Relationship Id="rId7" Type="http://schemas.openxmlformats.org/officeDocument/2006/relationships/hyperlink" Target="https://data.worldbank.org/indicator/NY.GDP.DEFL.ZS" TargetMode="External"/><Relationship Id="rId2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1" Type="http://schemas.openxmlformats.org/officeDocument/2006/relationships/hyperlink" Target="https://www.iea.org/statistics/resources/unitconverter/" TargetMode="External"/><Relationship Id="rId6" Type="http://schemas.openxmlformats.org/officeDocument/2006/relationships/hyperlink" Target="https://data.worldbank.org/indicator/NY.GDP.DEFL.ZS" TargetMode="External"/><Relationship Id="rId5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Relationship Id="rId4" Type="http://schemas.openxmlformats.org/officeDocument/2006/relationships/hyperlink" Target="https://www.bp.com/content/dam/bp/en/corporate/pdf/energy-economics/statistical-review-2017/bp-statistical-review-of%20world%20energy-2017-approximate-conversion-factors.pdf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hyperlink" Target="https://vivideconomics.sharepoint.com/:x:/s/projects/171211HSB/EcDViT9xU41Bl7tzW2Mys7oBcB6KYtrHWITcVZBCGdpIsQ?e=urU225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1.bin"/><Relationship Id="rId1" Type="http://schemas.openxmlformats.org/officeDocument/2006/relationships/hyperlink" Target="https://vivideconomics.sharepoint.com/:f:/s/projects/171211HSB/EmrbmJn2RilKsHvL5OmSAX0BJa51d4CaXNhaEDcxnOCF_g?e=l1kbLJ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hyperlink" Target="https://vivideconomics.sharepoint.com/:f:/s/projects/171211HSB/EhQ7Q-hhYYtOr3b5aEtAHOABsVz7k-fkZiM8Kmjh9Dmanw?e=JiIOjf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hyperlink" Target="https://vivideconomics.sharepoint.com/:f:/s/projects/171211HSB/EuIM4WSj97NLuV_3V5hJZg0BPRanDyOl3OEd6Jd-hI5nqg?e=EShGAo" TargetMode="Externa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2.xml"/><Relationship Id="rId2" Type="http://schemas.openxmlformats.org/officeDocument/2006/relationships/printerSettings" Target="../printerSettings/printerSettings44.bin"/><Relationship Id="rId1" Type="http://schemas.openxmlformats.org/officeDocument/2006/relationships/hyperlink" Target="https://vivideconomics.sharepoint.com/:f:/s/projects/171211HSB/EntvJT1U0-BKsR2-7FdKhGEBiBc8PqWDQuGdH3CaU8Wqfg?e=hChgw2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hyperlink" Target="https://vivideconomics.sharepoint.com/:f:/s/projects/171211HSB/EmrbmJn2RilKsHvL5OmSAX0BJa51d4CaXNhaEDcxnOCF_g?e=l1kbLJ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hyperlink" Target="https://vivideconomics.sharepoint.com/:f:/s/projects/171211HSB/EhQ7Q-hhYYtOr3b5aEtAHOABsVz7k-fkZiM8Kmjh9Dmanw?e=JiIOjf" TargetMode="Externa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7.bin"/><Relationship Id="rId1" Type="http://schemas.openxmlformats.org/officeDocument/2006/relationships/hyperlink" Target="https://vivideconomics.sharepoint.com/:f:/s/projects/171211HSB/EmrbmJn2RilKsHvL5OmSAX0BJa51d4CaXNhaEDcxnOCF_g?e=l1kbLJ" TargetMode="Externa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hyperlink" Target="https://vivideconomics.sharepoint.com/:f:/s/projects/171211HSB/EhQ7Q-hhYYtOr3b5aEtAHOABsVz7k-fkZiM8Kmjh9Dmanw?e=JiIOjf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3.xml"/><Relationship Id="rId2" Type="http://schemas.openxmlformats.org/officeDocument/2006/relationships/printerSettings" Target="../printerSettings/printerSettings49.bin"/><Relationship Id="rId1" Type="http://schemas.openxmlformats.org/officeDocument/2006/relationships/hyperlink" Target="https://vivideconomics.sharepoint.com/:f:/s/projects/171211HSB/EhQ7Q-hhYYtOr3b5aEtAHOABsVz7k-fkZiM8Kmjh9Dmanw?e=JiIOjf" TargetMode="Externa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4.xml"/><Relationship Id="rId2" Type="http://schemas.openxmlformats.org/officeDocument/2006/relationships/printerSettings" Target="../printerSettings/printerSettings50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5.xml"/><Relationship Id="rId2" Type="http://schemas.openxmlformats.org/officeDocument/2006/relationships/printerSettings" Target="../printerSettings/printerSettings51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rinterSettings" Target="../printerSettings/printerSettings52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7.xml"/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8.xml"/><Relationship Id="rId2" Type="http://schemas.openxmlformats.org/officeDocument/2006/relationships/printerSettings" Target="../printerSettings/printerSettings54.bin"/><Relationship Id="rId1" Type="http://schemas.openxmlformats.org/officeDocument/2006/relationships/hyperlink" Target="https://vivideconomics.sharepoint.com/:f:/s/projects/171211HSB/Egy3sgUZif1JgGa7Ek65VFUBbt7YRK0EPZTwrHOUcWq14w?e=WFbVGb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5.bin"/><Relationship Id="rId1" Type="http://schemas.openxmlformats.org/officeDocument/2006/relationships/hyperlink" Target="https://vivideconomics.sharepoint.com/:f:/s/projects/171211HSB/EjE5tPPx8ypHja6oKpK2rgABk7zrruHIIAaeDbC5LRpJJg?e=u99pVZ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hyperlink" Target="https://vivideconomics.sharepoint.com/:f:/s/projects/171211HSB/EjE5tPPx8ypHja6oKpK2rgABk7zrruHIIAaeDbC5LRpJJg?e=u99pVZ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7.bin"/><Relationship Id="rId1" Type="http://schemas.openxmlformats.org/officeDocument/2006/relationships/hyperlink" Target="https://vivideconomics.sharepoint.com/:f:/s/projects/171211HSB/EjE5tPPx8ypHja6oKpK2rgABk7zrruHIIAaeDbC5LRpJJg?e=u99pV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982F8-4D70-484B-9B5A-EF5F0BA95C26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DCF7B-07EA-4F86-9FF3-390AD6EDE926}">
  <sheetPr>
    <tabColor rgb="FFFF0000"/>
  </sheetPr>
  <dimension ref="A1:AD37"/>
  <sheetViews>
    <sheetView zoomScale="85" zoomScaleNormal="85" workbookViewId="0">
      <selection activeCell="C18" sqref="C18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386</v>
      </c>
    </row>
    <row r="2" spans="1:16" s="20" customFormat="1" x14ac:dyDescent="0.3">
      <c r="A2" s="20" t="s">
        <v>5</v>
      </c>
      <c r="B2" s="20" t="s">
        <v>387</v>
      </c>
    </row>
    <row r="3" spans="1:16" s="20" customFormat="1" x14ac:dyDescent="0.3">
      <c r="A3" s="20" t="s">
        <v>6</v>
      </c>
    </row>
    <row r="4" spans="1:16" s="20" customFormat="1" x14ac:dyDescent="0.3">
      <c r="A4" s="20" t="s">
        <v>4</v>
      </c>
      <c r="B4" s="779" t="s">
        <v>1064</v>
      </c>
      <c r="O4" s="21"/>
      <c r="P4" s="22"/>
    </row>
    <row r="5" spans="1:16" ht="15" thickBot="1" x14ac:dyDescent="0.35"/>
    <row r="6" spans="1:16" s="25" customFormat="1" ht="15" thickBot="1" x14ac:dyDescent="0.35">
      <c r="A6" s="24" t="s">
        <v>388</v>
      </c>
    </row>
    <row r="7" spans="1:16" x14ac:dyDescent="0.3">
      <c r="E7" s="782" t="s">
        <v>389</v>
      </c>
      <c r="F7" s="784" t="s">
        <v>390</v>
      </c>
      <c r="G7" s="784"/>
      <c r="H7" s="784"/>
      <c r="I7" s="784" t="s">
        <v>391</v>
      </c>
      <c r="J7" s="784"/>
    </row>
    <row r="8" spans="1:16" x14ac:dyDescent="0.3">
      <c r="A8" s="3" t="s">
        <v>392</v>
      </c>
      <c r="B8" s="3" t="s">
        <v>8</v>
      </c>
      <c r="C8" s="3" t="s">
        <v>86</v>
      </c>
      <c r="D8" s="3" t="s">
        <v>8</v>
      </c>
      <c r="E8" s="783"/>
      <c r="F8" s="3" t="s">
        <v>266</v>
      </c>
      <c r="G8" s="3" t="s">
        <v>255</v>
      </c>
      <c r="H8" s="3" t="s">
        <v>254</v>
      </c>
      <c r="I8" s="3" t="s">
        <v>393</v>
      </c>
      <c r="J8" s="3" t="s">
        <v>394</v>
      </c>
    </row>
    <row r="9" spans="1:16" x14ac:dyDescent="0.3">
      <c r="A9" s="781" t="s">
        <v>395</v>
      </c>
      <c r="B9" s="3" t="s">
        <v>13</v>
      </c>
      <c r="C9" s="3" t="str">
        <f>INDEX('R1. Scenario specifications'!$C$11:$C$59,MATCH($B9,'R1. Scenario specifications'!$A$11:$A$59,0))</f>
        <v>Vivid BAU - WEO Current Policies Scenario emissions pathway run through TIAM</v>
      </c>
      <c r="D9" s="3" t="s">
        <v>359</v>
      </c>
      <c r="E9" s="34">
        <f t="shared" ref="E9:E17" ca="1" si="0">AVERAGE(OFFSET($B$26,MATCH($B9,$A$27:$A$35,0),0,1,4))</f>
        <v>0</v>
      </c>
    </row>
    <row r="10" spans="1:16" x14ac:dyDescent="0.3">
      <c r="A10" s="781"/>
      <c r="B10" s="3" t="s">
        <v>14</v>
      </c>
      <c r="C10" s="3" t="str">
        <f>INDEX('R1. Scenario specifications'!$C$11:$C$59,MATCH($B10,'R1. Scenario specifications'!$A$11:$A$59,0))</f>
        <v>Vivid Paris NDCs - WEO New Policies Scenario emissions pathway run through TIAM</v>
      </c>
      <c r="D10" s="3" t="s">
        <v>360</v>
      </c>
      <c r="E10" s="34">
        <f t="shared" ca="1" si="0"/>
        <v>22.855927474529633</v>
      </c>
    </row>
    <row r="11" spans="1:16" x14ac:dyDescent="0.3">
      <c r="A11" s="781"/>
      <c r="B11" s="3" t="s">
        <v>15</v>
      </c>
      <c r="C11" s="3" t="str">
        <f>INDEX('R1. Scenario specifications'!$C$11:$C$59,MATCH($B11,'R1. Scenario specifications'!$A$11:$A$59,0))</f>
        <v>Current 2DS, 2020 start, 'Expect the Unexpected'</v>
      </c>
      <c r="D11" s="3" t="s">
        <v>361</v>
      </c>
      <c r="E11" s="34">
        <f t="shared" ca="1" si="0"/>
        <v>57.820611257094583</v>
      </c>
    </row>
    <row r="12" spans="1:16" x14ac:dyDescent="0.3">
      <c r="A12" s="781"/>
      <c r="B12" s="3" t="s">
        <v>26</v>
      </c>
      <c r="C12" s="3" t="str">
        <f>INDEX('R1. Scenario specifications'!$C$11:$C$59,MATCH($B12,'R1. Scenario specifications'!$A$11:$A$59,0))</f>
        <v>Current 2DS, 2030 start, 'Expect the Unexpected'</v>
      </c>
      <c r="D12" s="3" t="s">
        <v>362</v>
      </c>
      <c r="E12" s="34">
        <f t="shared" ca="1" si="0"/>
        <v>58.563481998073364</v>
      </c>
    </row>
    <row r="13" spans="1:16" x14ac:dyDescent="0.3">
      <c r="A13" s="781"/>
      <c r="B13" s="3" t="s">
        <v>32</v>
      </c>
      <c r="C13" s="3" t="str">
        <f>INDEX('R1. Scenario specifications'!$C$11:$C$59,MATCH($B13,'R1. Scenario specifications'!$A$11:$A$59,0))</f>
        <v>Current 1.75DS, 2020 start, 'Expect the Unexpected'</v>
      </c>
      <c r="D13" s="3" t="s">
        <v>363</v>
      </c>
      <c r="E13" s="34">
        <f t="shared" ca="1" si="0"/>
        <v>108.44401980400616</v>
      </c>
    </row>
    <row r="14" spans="1:16" ht="14.4" customHeight="1" x14ac:dyDescent="0.3">
      <c r="A14" s="785" t="s">
        <v>396</v>
      </c>
      <c r="B14" s="3" t="s">
        <v>37</v>
      </c>
      <c r="C14" s="3" t="str">
        <f>INDEX('R1. Scenario specifications'!$C$11:$C$59,MATCH($B14,'R1. Scenario specifications'!$A$11:$A$59,0))</f>
        <v>Current 2DS, 2020 start, 'Expect the Unexpected' but with cheap renewables</v>
      </c>
      <c r="D14" s="3" t="s">
        <v>364</v>
      </c>
      <c r="E14" s="34">
        <f t="shared" ca="1" si="0"/>
        <v>54.271834313099774</v>
      </c>
    </row>
    <row r="15" spans="1:16" x14ac:dyDescent="0.3">
      <c r="A15" s="785"/>
      <c r="B15" s="3" t="s">
        <v>1026</v>
      </c>
      <c r="C15" s="3" t="str">
        <f>INDEX('R1. Scenario specifications'!$C$11:$C$59,MATCH($B15,'R1. Scenario specifications'!$A$11:$A$59,0))</f>
        <v>Current 2DS, 2020 start, 'Expect the unexpceted' but with expensive renewables (cheap CCS)</v>
      </c>
      <c r="D15" s="3" t="s">
        <v>365</v>
      </c>
      <c r="E15" s="34">
        <f t="shared" ca="1" si="0"/>
        <v>68.916466508311373</v>
      </c>
    </row>
    <row r="16" spans="1:16" x14ac:dyDescent="0.3">
      <c r="A16" s="785"/>
      <c r="B16" s="3" t="s">
        <v>47</v>
      </c>
      <c r="C16" s="3" t="str">
        <f>INDEX('R1. Scenario specifications'!$C$11:$C$59,MATCH($B16,'R1. Scenario specifications'!$A$11:$A$59,0))</f>
        <v>Current 2DS, 2020 start, 'Expect the Unexpected' but with cheap EVs</v>
      </c>
      <c r="D16" s="3" t="s">
        <v>397</v>
      </c>
      <c r="E16" s="34">
        <f t="shared" ca="1" si="0"/>
        <v>52.01694368251782</v>
      </c>
    </row>
    <row r="17" spans="1:30" x14ac:dyDescent="0.3">
      <c r="A17" s="785"/>
      <c r="B17" s="3" t="s">
        <v>49</v>
      </c>
      <c r="C17" s="3" t="str">
        <f>INDEX('R1. Scenario specifications'!$C$11:$C$59,MATCH($B17,'R1. Scenario specifications'!$A$11:$A$59,0))</f>
        <v>Current 2DS, 2020 start, 'Expect the Unexpected' but with cheap energy efficiency</v>
      </c>
      <c r="D17" s="3" t="s">
        <v>367</v>
      </c>
      <c r="E17" s="34">
        <f t="shared" ca="1" si="0"/>
        <v>48.25371783532421</v>
      </c>
    </row>
    <row r="18" spans="1:30" ht="14.4" customHeight="1" x14ac:dyDescent="0.3">
      <c r="A18" s="780" t="s">
        <v>398</v>
      </c>
      <c r="B18" s="32" t="s">
        <v>380</v>
      </c>
      <c r="C18" s="32" t="str">
        <f>INDEX('R1. Scenario specifications'!$C$11:$C$59,MATCH($B18,'R1. Scenario specifications'!$A$11:$A$59,0))</f>
        <v>450 Scenario, World Energy Outlook 2016</v>
      </c>
      <c r="D18" s="32" t="s">
        <v>400</v>
      </c>
      <c r="E18" s="778" t="s">
        <v>81</v>
      </c>
      <c r="F18" s="32"/>
      <c r="G18" s="32"/>
      <c r="H18" s="32"/>
      <c r="I18" s="32"/>
      <c r="J18" s="32"/>
    </row>
    <row r="19" spans="1:30" x14ac:dyDescent="0.3">
      <c r="A19" s="781"/>
      <c r="B19" s="3" t="s">
        <v>372</v>
      </c>
      <c r="C19" s="3" t="str">
        <f>INDEX('R1. Scenario specifications'!$C$11:$C$59,MATCH($B19,'R1. Scenario specifications'!$A$11:$A$59,0))</f>
        <v>Sustainable Development Scenario, World Energy Outlook 2018</v>
      </c>
      <c r="D19" s="3" t="s">
        <v>401</v>
      </c>
      <c r="E19" s="14" t="s">
        <v>81</v>
      </c>
    </row>
    <row r="20" spans="1:30" x14ac:dyDescent="0.3">
      <c r="A20" s="781"/>
      <c r="B20" s="3" t="s">
        <v>382</v>
      </c>
      <c r="C20" s="3" t="str">
        <f>INDEX('R1. Scenario specifications'!$C$11:$C$59,MATCH($B20,'R1. Scenario specifications'!$A$11:$A$59,0))</f>
        <v>2 Degrees Scenario, Energy Technology Perspectives 2017</v>
      </c>
      <c r="D20" s="3" t="s">
        <v>402</v>
      </c>
      <c r="E20" s="14" t="s">
        <v>81</v>
      </c>
    </row>
    <row r="21" spans="1:30" x14ac:dyDescent="0.3">
      <c r="A21" s="781"/>
      <c r="B21" s="3" t="s">
        <v>383</v>
      </c>
      <c r="C21" s="3" t="str">
        <f>INDEX('R1. Scenario specifications'!$C$11:$C$59,MATCH($B21,'R1. Scenario specifications'!$A$11:$A$59,0))</f>
        <v>Below 2 Degrees Scenario (1.75DS), Energy Technology Perspectives 2017</v>
      </c>
      <c r="D21" s="3" t="s">
        <v>403</v>
      </c>
      <c r="E21" s="14" t="s">
        <v>81</v>
      </c>
    </row>
    <row r="22" spans="1:30" x14ac:dyDescent="0.3">
      <c r="A22" s="781"/>
      <c r="B22" s="3" t="s">
        <v>384</v>
      </c>
      <c r="C22" s="3" t="str">
        <f>INDEX('R1. Scenario specifications'!$C$11:$C$59,MATCH($B22,'R1. Scenario specifications'!$A$11:$A$59,0))</f>
        <v>Sky Scenario, Royal Dutch Shell</v>
      </c>
      <c r="D22" s="3" t="s">
        <v>405</v>
      </c>
      <c r="E22" s="14" t="s">
        <v>81</v>
      </c>
    </row>
    <row r="23" spans="1:30" ht="15" thickBot="1" x14ac:dyDescent="0.35"/>
    <row r="24" spans="1:30" s="25" customFormat="1" ht="15" thickBot="1" x14ac:dyDescent="0.35">
      <c r="A24" s="24" t="s">
        <v>374</v>
      </c>
    </row>
    <row r="25" spans="1:30" x14ac:dyDescent="0.3">
      <c r="B25" s="3" t="s">
        <v>406</v>
      </c>
      <c r="C25" s="3" t="s">
        <v>406</v>
      </c>
      <c r="D25" s="3" t="s">
        <v>406</v>
      </c>
      <c r="E25" s="3" t="s">
        <v>406</v>
      </c>
      <c r="F25" s="3" t="s">
        <v>266</v>
      </c>
      <c r="G25" s="3" t="s">
        <v>266</v>
      </c>
      <c r="H25" s="3" t="s">
        <v>266</v>
      </c>
      <c r="I25" s="3" t="s">
        <v>266</v>
      </c>
      <c r="J25" s="3" t="s">
        <v>266</v>
      </c>
      <c r="K25" s="3" t="s">
        <v>255</v>
      </c>
      <c r="L25" s="3" t="s">
        <v>255</v>
      </c>
      <c r="M25" s="3" t="s">
        <v>255</v>
      </c>
      <c r="N25" s="3" t="s">
        <v>255</v>
      </c>
      <c r="O25" s="3" t="s">
        <v>255</v>
      </c>
      <c r="P25" s="3" t="s">
        <v>254</v>
      </c>
      <c r="Q25" s="3" t="s">
        <v>254</v>
      </c>
      <c r="R25" s="3" t="s">
        <v>254</v>
      </c>
      <c r="S25" s="3" t="s">
        <v>254</v>
      </c>
      <c r="T25" s="3" t="s">
        <v>254</v>
      </c>
      <c r="U25" s="3" t="s">
        <v>393</v>
      </c>
      <c r="V25" s="3" t="s">
        <v>393</v>
      </c>
      <c r="W25" s="3" t="s">
        <v>393</v>
      </c>
      <c r="X25" s="3" t="s">
        <v>393</v>
      </c>
      <c r="Y25" s="3" t="s">
        <v>393</v>
      </c>
      <c r="Z25" s="3" t="s">
        <v>394</v>
      </c>
      <c r="AA25" s="3" t="s">
        <v>394</v>
      </c>
      <c r="AB25" s="3" t="s">
        <v>394</v>
      </c>
      <c r="AC25" s="3" t="s">
        <v>394</v>
      </c>
      <c r="AD25" s="3" t="s">
        <v>394</v>
      </c>
    </row>
    <row r="26" spans="1:30" x14ac:dyDescent="0.3">
      <c r="A26" s="3" t="s">
        <v>8</v>
      </c>
      <c r="B26" s="3">
        <v>2020</v>
      </c>
      <c r="C26" s="3">
        <v>2030</v>
      </c>
      <c r="D26" s="3">
        <v>2040</v>
      </c>
      <c r="E26" s="3">
        <v>2050</v>
      </c>
      <c r="F26" s="3">
        <v>2017</v>
      </c>
      <c r="G26" s="3">
        <v>2020</v>
      </c>
      <c r="H26" s="3">
        <v>2030</v>
      </c>
      <c r="I26" s="3">
        <v>2040</v>
      </c>
      <c r="J26" s="3">
        <v>2050</v>
      </c>
      <c r="K26" s="3">
        <v>2017</v>
      </c>
      <c r="L26" s="3">
        <v>2020</v>
      </c>
      <c r="M26" s="3">
        <v>2030</v>
      </c>
      <c r="N26" s="3">
        <v>2040</v>
      </c>
      <c r="O26" s="3">
        <v>2050</v>
      </c>
      <c r="P26" s="3">
        <v>2017</v>
      </c>
      <c r="Q26" s="3">
        <v>2020</v>
      </c>
      <c r="R26" s="3">
        <v>2030</v>
      </c>
      <c r="S26" s="3">
        <v>2040</v>
      </c>
      <c r="T26" s="3">
        <v>2050</v>
      </c>
      <c r="U26" s="3">
        <v>2017</v>
      </c>
      <c r="V26" s="3">
        <v>2020</v>
      </c>
      <c r="W26" s="3">
        <v>2030</v>
      </c>
      <c r="X26" s="3">
        <v>2040</v>
      </c>
      <c r="Y26" s="3">
        <v>2050</v>
      </c>
      <c r="Z26" s="3">
        <v>2017</v>
      </c>
      <c r="AA26" s="3">
        <v>2020</v>
      </c>
      <c r="AB26" s="3">
        <v>2030</v>
      </c>
      <c r="AC26" s="3">
        <v>2040</v>
      </c>
      <c r="AD26" s="3">
        <v>2050</v>
      </c>
    </row>
    <row r="27" spans="1:30" x14ac:dyDescent="0.3">
      <c r="A27" s="3" t="str">
        <f>B9</f>
        <v>Vivid_0A_BAU</v>
      </c>
      <c r="B27" s="14">
        <f>INDEX('W15. Carbon Prices'!$F$38:$N$76,MATCH($A27,'W15. Carbon Prices'!$B$38:$B$76,0),MATCH(B$26,'W15. Carbon Prices'!$F$37:$N$37,0))-INDEX('W15. Carbon Prices'!$F$38:$N$76,MATCH("Vivid_0A_BAU",'W15. Carbon Prices'!$B$38:$B$76,0),MATCH(B$26,'W15. Carbon Prices'!$F$37:$N$37,0))</f>
        <v>0</v>
      </c>
      <c r="C27" s="14">
        <f>INDEX('W15. Carbon Prices'!$F$38:$N$76,MATCH($A27,'W15. Carbon Prices'!$B$38:$B$76,0),MATCH(C$26,'W15. Carbon Prices'!$F$37:$N$37,0))-INDEX('W15. Carbon Prices'!$F$38:$N$76,MATCH("Vivid_0A_BAU",'W15. Carbon Prices'!$B$38:$B$76,0),MATCH(C$26,'W15. Carbon Prices'!$F$37:$N$37,0))</f>
        <v>0</v>
      </c>
      <c r="D27" s="14">
        <f>INDEX('W15. Carbon Prices'!$F$38:$N$76,MATCH($A27,'W15. Carbon Prices'!$B$38:$B$76,0),MATCH(D$26,'W15. Carbon Prices'!$F$37:$N$37,0))-INDEX('W15. Carbon Prices'!$F$38:$N$76,MATCH("Vivid_0A_BAU",'W15. Carbon Prices'!$B$38:$B$76,0),MATCH(D$26,'W15. Carbon Prices'!$F$37:$N$37,0))</f>
        <v>0</v>
      </c>
      <c r="E27" s="14">
        <f>INDEX('W15. Carbon Prices'!$F$38:$N$76,MATCH($A27,'W15. Carbon Prices'!$B$38:$B$76,0),MATCH(E$26,'W15. Carbon Prices'!$F$37:$N$37,0))-INDEX('W15. Carbon Prices'!$F$38:$N$76,MATCH("Vivid_0A_BAU",'W15. Carbon Prices'!$B$38:$B$76,0),MATCH(E$26,'W15. Carbon Prices'!$F$37:$N$37,0))</f>
        <v>0</v>
      </c>
    </row>
    <row r="28" spans="1:30" x14ac:dyDescent="0.3">
      <c r="A28" s="3" t="str">
        <f>B10</f>
        <v>Vivid_0B</v>
      </c>
      <c r="B28" s="14">
        <f>INDEX('W15. Carbon Prices'!$F$38:$N$76,MATCH($A28,'W15.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28" s="14">
        <f>INDEX('W15. Carbon Prices'!$F$38:$N$76,MATCH($A28,'W15. Carbon Prices'!$B$38:$B$76,0),MATCH(C$26,'W15. Carbon Prices'!$F$37:$N$37,0))-INDEX('W15. Carbon Prices'!$F$38:$N$76,MATCH("Vivid_0A_BAU",'W15. Carbon Prices'!$B$38:$B$76,0),MATCH(C$26,'W15. Carbon Prices'!$F$37:$N$37,0))</f>
        <v>39.564758867173879</v>
      </c>
      <c r="D28" s="14">
        <f>INDEX('W15. Carbon Prices'!$F$38:$N$76,MATCH($A28,'W15. Carbon Prices'!$B$38:$B$76,0),MATCH(D$26,'W15. Carbon Prices'!$F$37:$N$37,0))-INDEX('W15. Carbon Prices'!$F$38:$N$76,MATCH("Vivid_0A_BAU",'W15. Carbon Prices'!$B$38:$B$76,0),MATCH(D$26,'W15. Carbon Prices'!$F$37:$N$37,0))</f>
        <v>21.369858712654917</v>
      </c>
      <c r="E28" s="14">
        <f>INDEX('W15. Carbon Prices'!$F$38:$N$76,MATCH($A28,'W15. Carbon Prices'!$B$38:$B$76,0),MATCH(E$26,'W15. Carbon Prices'!$F$37:$N$37,0))-INDEX('W15. Carbon Prices'!$F$38:$N$76,MATCH("Vivid_0A_BAU",'W15. Carbon Prices'!$B$38:$B$76,0),MATCH(E$26,'W15. Carbon Prices'!$F$37:$N$37,0))</f>
        <v>15.112130456161747</v>
      </c>
    </row>
    <row r="29" spans="1:30" x14ac:dyDescent="0.3">
      <c r="A29" s="3" t="str">
        <f>B11</f>
        <v>Vivid_1</v>
      </c>
      <c r="B29" s="14">
        <f>INDEX('W15. Carbon Prices'!$F$38:$N$76,MATCH($A29,'W15.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29" s="14">
        <f>INDEX('W15. Carbon Prices'!$F$38:$N$76,MATCH($A29,'W15. Carbon Prices'!$B$38:$B$76,0),MATCH(C$26,'W15. Carbon Prices'!$F$37:$N$37,0))-INDEX('W15. Carbon Prices'!$F$38:$N$76,MATCH("Vivid_0A_BAU",'W15. Carbon Prices'!$B$38:$B$76,0),MATCH(C$26,'W15. Carbon Prices'!$F$37:$N$37,0))</f>
        <v>73.149705726259512</v>
      </c>
      <c r="D29" s="14">
        <f>INDEX('W15. Carbon Prices'!$F$38:$N$76,MATCH($A29,'W15. Carbon Prices'!$B$38:$B$76,0),MATCH(D$26,'W15. Carbon Prices'!$F$37:$N$37,0))-INDEX('W15. Carbon Prices'!$F$38:$N$76,MATCH("Vivid_0A_BAU",'W15. Carbon Prices'!$B$38:$B$76,0),MATCH(D$26,'W15. Carbon Prices'!$F$37:$N$37,0))</f>
        <v>68.650684479688096</v>
      </c>
      <c r="E29" s="14">
        <f>INDEX('W15. Carbon Prices'!$F$38:$N$76,MATCH($A29,'W15. Carbon Prices'!$B$38:$B$76,0),MATCH(E$26,'W15. Carbon Prices'!$F$37:$N$37,0))-INDEX('W15. Carbon Prices'!$F$38:$N$76,MATCH("Vivid_0A_BAU",'W15. Carbon Prices'!$B$38:$B$76,0),MATCH(E$26,'W15. Carbon Prices'!$F$37:$N$37,0))</f>
        <v>74.105092960302713</v>
      </c>
    </row>
    <row r="30" spans="1:30" x14ac:dyDescent="0.3">
      <c r="A30" s="3" t="str">
        <f t="shared" ref="A30:A35" si="1">B12</f>
        <v>Vivid_2</v>
      </c>
      <c r="B30" s="14">
        <f>INDEX('W15. Carbon Prices'!$F$38:$N$76,MATCH($A30,'W15.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0" s="14">
        <f>INDEX('W15. Carbon Prices'!$F$38:$N$76,MATCH($A30,'W15. Carbon Prices'!$B$38:$B$76,0),MATCH(C$26,'W15. Carbon Prices'!$F$37:$N$37,0))-INDEX('W15. Carbon Prices'!$F$38:$N$76,MATCH("Vivid_0A_BAU",'W15. Carbon Prices'!$B$38:$B$76,0),MATCH(C$26,'W15. Carbon Prices'!$F$37:$N$37,0))</f>
        <v>39.564758867173879</v>
      </c>
      <c r="D30" s="14">
        <f>INDEX('W15. Carbon Prices'!$F$38:$N$76,MATCH($A30,'W15. Carbon Prices'!$B$38:$B$76,0),MATCH(D$26,'W15. Carbon Prices'!$F$37:$N$37,0))-INDEX('W15. Carbon Prices'!$F$38:$N$76,MATCH("Vivid_0A_BAU",'W15. Carbon Prices'!$B$38:$B$76,0),MATCH(D$26,'W15. Carbon Prices'!$F$37:$N$37,0))</f>
        <v>76.53540990087491</v>
      </c>
      <c r="E30" s="14">
        <f>INDEX('W15. Carbon Prices'!$F$38:$N$76,MATCH($A30,'W15. Carbon Prices'!$B$38:$B$76,0),MATCH(E$26,'W15. Carbon Prices'!$F$37:$N$37,0))-INDEX('W15. Carbon Prices'!$F$38:$N$76,MATCH("Vivid_0A_BAU",'W15. Carbon Prices'!$B$38:$B$76,0),MATCH(E$26,'W15. Carbon Prices'!$F$37:$N$37,0))</f>
        <v>102.77679736211667</v>
      </c>
    </row>
    <row r="31" spans="1:30" x14ac:dyDescent="0.3">
      <c r="A31" s="3" t="str">
        <f t="shared" si="1"/>
        <v>Vivid_25</v>
      </c>
      <c r="B31" s="14">
        <f>INDEX('W15. Carbon Prices'!$F$38:$N$76,MATCH($A31,'W15.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1" s="14">
        <f>INDEX('W15. Carbon Prices'!$F$38:$N$76,MATCH($A31,'W15. Carbon Prices'!$B$38:$B$76,0),MATCH(C$26,'W15. Carbon Prices'!$F$37:$N$37,0))-INDEX('W15. Carbon Prices'!$F$38:$N$76,MATCH("Vivid_0A_BAU",'W15. Carbon Prices'!$B$38:$B$76,0),MATCH(C$26,'W15. Carbon Prices'!$F$37:$N$37,0))</f>
        <v>114.51751007340914</v>
      </c>
      <c r="D31" s="14">
        <f>INDEX('W15. Carbon Prices'!$F$38:$N$76,MATCH($A31,'W15. Carbon Prices'!$B$38:$B$76,0),MATCH(D$26,'W15. Carbon Prices'!$F$37:$N$37,0))-INDEX('W15. Carbon Prices'!$F$38:$N$76,MATCH("Vivid_0A_BAU",'W15. Carbon Prices'!$B$38:$B$76,0),MATCH(D$26,'W15. Carbon Prices'!$F$37:$N$37,0))</f>
        <v>139.82184003454506</v>
      </c>
      <c r="E31" s="14">
        <f>INDEX('W15. Carbon Prices'!$F$38:$N$76,MATCH($A31,'W15. Carbon Prices'!$B$38:$B$76,0),MATCH(E$26,'W15. Carbon Prices'!$F$37:$N$37,0))-INDEX('W15. Carbon Prices'!$F$38:$N$76,MATCH("Vivid_0A_BAU",'W15. Carbon Prices'!$B$38:$B$76,0),MATCH(E$26,'W15. Carbon Prices'!$F$37:$N$37,0))</f>
        <v>164.05976724594242</v>
      </c>
    </row>
    <row r="32" spans="1:30" x14ac:dyDescent="0.3">
      <c r="A32" s="3" t="str">
        <f t="shared" si="1"/>
        <v>Vivid_3</v>
      </c>
      <c r="B32" s="14">
        <f>INDEX('W15. Carbon Prices'!$F$38:$N$76,MATCH($A32,'W15.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2" s="14">
        <f>INDEX('W15. Carbon Prices'!$F$38:$N$76,MATCH($A32,'W15. Carbon Prices'!$B$38:$B$76,0),MATCH(C$26,'W15. Carbon Prices'!$F$37:$N$37,0))-INDEX('W15. Carbon Prices'!$F$38:$N$76,MATCH("Vivid_0A_BAU",'W15. Carbon Prices'!$B$38:$B$76,0),MATCH(C$26,'W15. Carbon Prices'!$F$37:$N$37,0))</f>
        <v>67.416531723417123</v>
      </c>
      <c r="D32" s="14">
        <f>INDEX('W15. Carbon Prices'!$F$38:$N$76,MATCH($A32,'W15. Carbon Prices'!$B$38:$B$76,0),MATCH(D$26,'W15. Carbon Prices'!$F$37:$N$37,0))-INDEX('W15. Carbon Prices'!$F$38:$N$76,MATCH("Vivid_0A_BAU",'W15. Carbon Prices'!$B$38:$B$76,0),MATCH(D$26,'W15. Carbon Prices'!$F$37:$N$37,0))</f>
        <v>60.638309178284246</v>
      </c>
      <c r="E32" s="14">
        <f>INDEX('W15. Carbon Prices'!$F$38:$N$76,MATCH($A32,'W15. Carbon Prices'!$B$38:$B$76,0),MATCH(E$26,'W15. Carbon Prices'!$F$37:$N$37,0))-INDEX('W15. Carbon Prices'!$F$38:$N$76,MATCH("Vivid_0A_BAU",'W15. Carbon Prices'!$B$38:$B$76,0),MATCH(E$26,'W15. Carbon Prices'!$F$37:$N$37,0))</f>
        <v>73.655534488569728</v>
      </c>
    </row>
    <row r="33" spans="1:5" x14ac:dyDescent="0.3">
      <c r="A33" s="3" t="str">
        <f t="shared" si="1"/>
        <v>Vivid_5v2</v>
      </c>
      <c r="B33" s="14">
        <f>INDEX('W15. Carbon Prices'!$F$38:$N$76,MATCH($A33,'W15.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3" s="14">
        <f>INDEX('W15. Carbon Prices'!$F$38:$N$76,MATCH($A33,'W15. Carbon Prices'!$B$38:$B$76,0),MATCH(C$26,'W15. Carbon Prices'!$F$37:$N$37,0))-INDEX('W15. Carbon Prices'!$F$38:$N$76,MATCH("Vivid_0A_BAU",'W15. Carbon Prices'!$B$38:$B$76,0),MATCH(C$26,'W15. Carbon Prices'!$F$37:$N$37,0))</f>
        <v>78.631318158910432</v>
      </c>
      <c r="D33" s="14">
        <f>INDEX('W15. Carbon Prices'!$F$38:$N$76,MATCH($A33,'W15. Carbon Prices'!$B$38:$B$76,0),MATCH(D$26,'W15. Carbon Prices'!$F$37:$N$37,0))-INDEX('W15. Carbon Prices'!$F$38:$N$76,MATCH("Vivid_0A_BAU",'W15. Carbon Prices'!$B$38:$B$76,0),MATCH(D$26,'W15. Carbon Prices'!$F$37:$N$37,0))</f>
        <v>90.333472918906992</v>
      </c>
      <c r="E33" s="14">
        <f>INDEX('W15. Carbon Prices'!$F$38:$N$76,MATCH($A33,'W15. Carbon Prices'!$B$38:$B$76,0),MATCH(E$26,'W15. Carbon Prices'!$F$37:$N$37,0))-INDEX('W15. Carbon Prices'!$F$38:$N$76,MATCH("Vivid_0A_BAU",'W15. Carbon Prices'!$B$38:$B$76,0),MATCH(E$26,'W15. Carbon Prices'!$F$37:$N$37,0))</f>
        <v>91.324113093300099</v>
      </c>
    </row>
    <row r="34" spans="1:5" x14ac:dyDescent="0.3">
      <c r="A34" s="3" t="str">
        <f t="shared" si="1"/>
        <v>Vivid_7</v>
      </c>
      <c r="B34" s="14">
        <f>INDEX('W15. Carbon Prices'!$F$38:$N$76,MATCH($A34,'W15.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4" s="14">
        <f>INDEX('W15. Carbon Prices'!$F$38:$N$76,MATCH($A34,'W15. Carbon Prices'!$B$38:$B$76,0),MATCH(C$26,'W15. Carbon Prices'!$F$37:$N$37,0))-INDEX('W15. Carbon Prices'!$F$38:$N$76,MATCH("Vivid_0A_BAU",'W15. Carbon Prices'!$B$38:$B$76,0),MATCH(C$26,'W15. Carbon Prices'!$F$37:$N$37,0))</f>
        <v>63.641431948536294</v>
      </c>
      <c r="D34" s="14">
        <f>INDEX('W15. Carbon Prices'!$F$38:$N$76,MATCH($A34,'W15. Carbon Prices'!$B$38:$B$76,0),MATCH(D$26,'W15. Carbon Prices'!$F$37:$N$37,0))-INDEX('W15. Carbon Prices'!$F$38:$N$76,MATCH("Vivid_0A_BAU",'W15. Carbon Prices'!$B$38:$B$76,0),MATCH(D$26,'W15. Carbon Prices'!$F$37:$N$37,0))</f>
        <v>58.016084984967605</v>
      </c>
      <c r="E34" s="14">
        <f>INDEX('W15. Carbon Prices'!$F$38:$N$76,MATCH($A34,'W15. Carbon Prices'!$B$38:$B$76,0),MATCH(E$26,'W15. Carbon Prices'!$F$37:$N$37,0))-INDEX('W15. Carbon Prices'!$F$38:$N$76,MATCH("Vivid_0A_BAU",'W15. Carbon Prices'!$B$38:$B$76,0),MATCH(E$26,'W15. Carbon Prices'!$F$37:$N$37,0))</f>
        <v>71.033295934439366</v>
      </c>
    </row>
    <row r="35" spans="1:5" x14ac:dyDescent="0.3">
      <c r="A35" s="3" t="str">
        <f t="shared" si="1"/>
        <v>Vivid_9</v>
      </c>
      <c r="B35" s="14">
        <f>INDEX('W15. Carbon Prices'!$F$38:$N$76,MATCH($A35,'W15. Carbon Prices'!$B$38:$B$76,0),MATCH(B$26,'W15. Carbon Prices'!$F$37:$N$37,0))-INDEX('W15. Carbon Prices'!$F$38:$N$76,MATCH("Vivid_0A_BAU",'W15. Carbon Prices'!$B$38:$B$76,0),MATCH(B$26,'W15. Carbon Prices'!$F$37:$N$37,0))</f>
        <v>15.376961862127992</v>
      </c>
      <c r="C35" s="14">
        <f>INDEX('W15. Carbon Prices'!$F$38:$N$76,MATCH($A35,'W15. Carbon Prices'!$B$38:$B$76,0),MATCH(C$26,'W15. Carbon Prices'!$F$37:$N$37,0))-INDEX('W15. Carbon Prices'!$F$38:$N$76,MATCH("Vivid_0A_BAU",'W15. Carbon Prices'!$B$38:$B$76,0),MATCH(C$26,'W15. Carbon Prices'!$F$37:$N$37,0))</f>
        <v>63.936994586641688</v>
      </c>
      <c r="D35" s="14">
        <f>INDEX('W15. Carbon Prices'!$F$38:$N$76,MATCH($A35,'W15. Carbon Prices'!$B$38:$B$76,0),MATCH(D$26,'W15. Carbon Prices'!$F$37:$N$37,0))-INDEX('W15. Carbon Prices'!$F$38:$N$76,MATCH("Vivid_0A_BAU",'W15. Carbon Prices'!$B$38:$B$76,0),MATCH(D$26,'W15. Carbon Prices'!$F$37:$N$37,0))</f>
        <v>56.374572227392932</v>
      </c>
      <c r="E35" s="14">
        <f>INDEX('W15. Carbon Prices'!$F$38:$N$76,MATCH($A35,'W15. Carbon Prices'!$B$38:$B$76,0),MATCH(E$26,'W15. Carbon Prices'!$F$37:$N$37,0))-INDEX('W15. Carbon Prices'!$F$38:$N$76,MATCH("Vivid_0A_BAU",'W15. Carbon Prices'!$B$38:$B$76,0),MATCH(E$26,'W15. Carbon Prices'!$F$37:$N$37,0))</f>
        <v>57.326342665134227</v>
      </c>
    </row>
    <row r="36" spans="1:5" ht="15" thickBot="1" x14ac:dyDescent="0.35"/>
    <row r="37" spans="1:5" s="25" customFormat="1" ht="15" thickBot="1" x14ac:dyDescent="0.35">
      <c r="A37" s="24" t="s">
        <v>377</v>
      </c>
    </row>
  </sheetData>
  <mergeCells count="6">
    <mergeCell ref="A18:A22"/>
    <mergeCell ref="E7:E8"/>
    <mergeCell ref="F7:H7"/>
    <mergeCell ref="I7:J7"/>
    <mergeCell ref="A9:A13"/>
    <mergeCell ref="A14:A17"/>
  </mergeCells>
  <conditionalFormatting sqref="A1:XFD6 A9:XFD9 A7:F7 I7 K7:XFD7 A14:B14 B10:B13 A18:B18 B15:B17 B19:B22 D10:D17 A8:D8 F8:XFD8 A23:XFD1048576 E10:XFD22 C10:C22">
    <cfRule type="expression" dxfId="220" priority="2">
      <formula>_xlfn.ISFORMULA(A1)</formula>
    </cfRule>
  </conditionalFormatting>
  <conditionalFormatting sqref="D18:D22">
    <cfRule type="expression" dxfId="219" priority="1">
      <formula>_xlfn.ISFORMULA(D18)</formula>
    </cfRule>
  </conditionalFormatting>
  <pageMargins left="0.7" right="0.7" top="0.75" bottom="0.75" header="0.3" footer="0.3"/>
  <pageSetup paperSize="9" orientation="portrait" horizontalDpi="4294967294" verticalDpi="4294967294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7B4D5-4D69-45AC-BBB3-1AE2DE9222BB}">
  <sheetPr>
    <tabColor theme="4" tint="0.499984740745262"/>
  </sheetPr>
  <dimension ref="A1:P55"/>
  <sheetViews>
    <sheetView zoomScale="70" zoomScaleNormal="70" workbookViewId="0">
      <selection activeCell="D11" sqref="D11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407</v>
      </c>
    </row>
    <row r="2" spans="1:16" s="20" customFormat="1" x14ac:dyDescent="0.3">
      <c r="A2" s="20" t="s">
        <v>5</v>
      </c>
      <c r="B2" s="20" t="s">
        <v>1035</v>
      </c>
    </row>
    <row r="3" spans="1:16" s="20" customFormat="1" x14ac:dyDescent="0.3">
      <c r="A3" s="20" t="s">
        <v>6</v>
      </c>
      <c r="B3" s="20" t="s">
        <v>408</v>
      </c>
    </row>
    <row r="4" spans="1:16" s="20" customFormat="1" x14ac:dyDescent="0.3">
      <c r="A4" s="20" t="s">
        <v>4</v>
      </c>
      <c r="B4" s="20" t="s">
        <v>409</v>
      </c>
      <c r="O4" s="21"/>
      <c r="P4" s="22"/>
    </row>
    <row r="5" spans="1:16" s="20" customFormat="1" x14ac:dyDescent="0.3">
      <c r="B5" s="20" t="s">
        <v>410</v>
      </c>
      <c r="O5" s="21"/>
      <c r="P5" s="22"/>
    </row>
    <row r="6" spans="1:16" ht="15" thickBot="1" x14ac:dyDescent="0.35"/>
    <row r="7" spans="1:16" s="25" customFormat="1" ht="15" thickBot="1" x14ac:dyDescent="0.35">
      <c r="A7" s="24" t="s">
        <v>358</v>
      </c>
    </row>
    <row r="8" spans="1:16" x14ac:dyDescent="0.3">
      <c r="E8" s="26"/>
      <c r="F8" s="27"/>
      <c r="G8" s="27"/>
      <c r="H8" s="27"/>
      <c r="I8" s="27"/>
      <c r="J8" s="27"/>
    </row>
    <row r="9" spans="1:16" x14ac:dyDescent="0.3">
      <c r="A9" s="3" t="s">
        <v>8</v>
      </c>
      <c r="B9" s="3" t="s">
        <v>86</v>
      </c>
      <c r="C9" s="3" t="s">
        <v>8</v>
      </c>
      <c r="D9" s="3">
        <v>2020</v>
      </c>
      <c r="E9" s="28">
        <v>2030</v>
      </c>
      <c r="F9" s="3">
        <v>2040</v>
      </c>
      <c r="G9" s="3">
        <v>2050</v>
      </c>
    </row>
    <row r="10" spans="1:16" ht="14.4" customHeight="1" x14ac:dyDescent="0.3">
      <c r="A10" s="3" t="s">
        <v>14</v>
      </c>
      <c r="B10" s="3" t="str">
        <f>INDEX('R1. Scenario specifications'!$C$11:$C$60,MATCH($A10,'R1. Scenario specifications'!$A$11:$A$60,0))</f>
        <v>Vivid Paris NDCs - WEO New Policies Scenario emissions pathway run through TIAM</v>
      </c>
      <c r="C10" s="3" t="s">
        <v>360</v>
      </c>
      <c r="D10" s="34">
        <f t="shared" ref="D10:G17" si="0">B41</f>
        <v>15.376961862127992</v>
      </c>
      <c r="E10" s="34">
        <f t="shared" si="0"/>
        <v>39.564758867173879</v>
      </c>
      <c r="F10" s="34">
        <f t="shared" si="0"/>
        <v>21.369858712654917</v>
      </c>
      <c r="G10" s="34">
        <f t="shared" si="0"/>
        <v>15.112130456161747</v>
      </c>
    </row>
    <row r="11" spans="1:16" x14ac:dyDescent="0.3">
      <c r="A11" s="3" t="s">
        <v>15</v>
      </c>
      <c r="B11" s="3" t="str">
        <f>INDEX('R1. Scenario specifications'!$C$11:$C$60,MATCH($A11,'R1. Scenario specifications'!$A$11:$A$60,0))</f>
        <v>Current 2DS, 2020 start, 'Expect the Unexpected'</v>
      </c>
      <c r="C11" s="3" t="s">
        <v>361</v>
      </c>
      <c r="D11" s="34">
        <f t="shared" si="0"/>
        <v>15.376961862127992</v>
      </c>
      <c r="E11" s="34">
        <f t="shared" si="0"/>
        <v>73.149705726259512</v>
      </c>
      <c r="F11" s="34">
        <f t="shared" si="0"/>
        <v>68.650684479688096</v>
      </c>
      <c r="G11" s="34">
        <f t="shared" si="0"/>
        <v>74.105092960302713</v>
      </c>
    </row>
    <row r="12" spans="1:16" x14ac:dyDescent="0.3">
      <c r="A12" s="3" t="s">
        <v>26</v>
      </c>
      <c r="B12" s="3" t="str">
        <f>INDEX('R1. Scenario specifications'!$C$11:$C$60,MATCH($A12,'R1. Scenario specifications'!$A$11:$A$60,0))</f>
        <v>Current 2DS, 2030 start, 'Expect the Unexpected'</v>
      </c>
      <c r="C12" s="3" t="s">
        <v>362</v>
      </c>
      <c r="D12" s="34">
        <f t="shared" si="0"/>
        <v>15.376961862127992</v>
      </c>
      <c r="E12" s="34">
        <f t="shared" si="0"/>
        <v>39.564758867173879</v>
      </c>
      <c r="F12" s="34">
        <f t="shared" si="0"/>
        <v>76.53540990087491</v>
      </c>
      <c r="G12" s="34">
        <f t="shared" si="0"/>
        <v>102.77679736211667</v>
      </c>
    </row>
    <row r="13" spans="1:16" x14ac:dyDescent="0.3">
      <c r="A13" s="3" t="s">
        <v>32</v>
      </c>
      <c r="B13" s="3" t="str">
        <f>INDEX('R1. Scenario specifications'!$C$11:$C$60,MATCH($A13,'R1. Scenario specifications'!$A$11:$A$60,0))</f>
        <v>Current 1.75DS, 2020 start, 'Expect the Unexpected'</v>
      </c>
      <c r="C13" s="3" t="s">
        <v>363</v>
      </c>
      <c r="D13" s="34">
        <f t="shared" si="0"/>
        <v>15.376961862127992</v>
      </c>
      <c r="E13" s="34">
        <f t="shared" si="0"/>
        <v>114.51751007340914</v>
      </c>
      <c r="F13" s="34">
        <f t="shared" si="0"/>
        <v>139.82184003454506</v>
      </c>
      <c r="G13" s="34">
        <f t="shared" si="0"/>
        <v>164.05976724594242</v>
      </c>
    </row>
    <row r="14" spans="1:16" x14ac:dyDescent="0.3">
      <c r="A14" s="3" t="s">
        <v>37</v>
      </c>
      <c r="B14" s="3" t="str">
        <f>INDEX('R1. Scenario specifications'!$C$11:$C$60,MATCH($A14,'R1. Scenario specifications'!$A$11:$A$60,0))</f>
        <v>Current 2DS, 2020 start, 'Expect the Unexpected' but with cheap renewables</v>
      </c>
      <c r="C14" s="3" t="s">
        <v>364</v>
      </c>
      <c r="D14" s="34">
        <f t="shared" si="0"/>
        <v>15.376961862127992</v>
      </c>
      <c r="E14" s="34">
        <f t="shared" si="0"/>
        <v>67.416531723417123</v>
      </c>
      <c r="F14" s="34">
        <f t="shared" si="0"/>
        <v>60.638309178284246</v>
      </c>
      <c r="G14" s="34">
        <f t="shared" si="0"/>
        <v>73.655534488569728</v>
      </c>
    </row>
    <row r="15" spans="1:16" ht="14.4" customHeight="1" x14ac:dyDescent="0.3">
      <c r="A15" s="3" t="s">
        <v>1026</v>
      </c>
      <c r="B15" s="3" t="str">
        <f>INDEX('R1. Scenario specifications'!$C$11:$C$60,MATCH($A15,'R1. Scenario specifications'!$A$11:$A$60,0))</f>
        <v>Current 2DS, 2020 start, 'Expect the unexpceted' but with expensive renewables (cheap CCS)</v>
      </c>
      <c r="C15" s="3" t="s">
        <v>365</v>
      </c>
      <c r="D15" s="34">
        <f t="shared" si="0"/>
        <v>15.376961862127992</v>
      </c>
      <c r="E15" s="34">
        <f t="shared" si="0"/>
        <v>78.631318158910432</v>
      </c>
      <c r="F15" s="34">
        <f t="shared" si="0"/>
        <v>90.333472918906992</v>
      </c>
      <c r="G15" s="34">
        <f t="shared" si="0"/>
        <v>91.324113093300099</v>
      </c>
    </row>
    <row r="16" spans="1:16" x14ac:dyDescent="0.3">
      <c r="A16" s="3" t="s">
        <v>47</v>
      </c>
      <c r="B16" s="3" t="str">
        <f>INDEX('R1. Scenario specifications'!$C$11:$C$60,MATCH($A16,'R1. Scenario specifications'!$A$11:$A$60,0))</f>
        <v>Current 2DS, 2020 start, 'Expect the Unexpected' but with cheap EVs</v>
      </c>
      <c r="C16" s="3" t="s">
        <v>366</v>
      </c>
      <c r="D16" s="34">
        <f t="shared" si="0"/>
        <v>15.376961862127992</v>
      </c>
      <c r="E16" s="34">
        <f t="shared" si="0"/>
        <v>63.641431948536294</v>
      </c>
      <c r="F16" s="34">
        <f t="shared" si="0"/>
        <v>58.016084984967605</v>
      </c>
      <c r="G16" s="34">
        <f t="shared" si="0"/>
        <v>71.033295934439366</v>
      </c>
    </row>
    <row r="17" spans="1:7" x14ac:dyDescent="0.3">
      <c r="A17" s="3" t="s">
        <v>49</v>
      </c>
      <c r="B17" s="3" t="str">
        <f>INDEX('R1. Scenario specifications'!$C$11:$C$60,MATCH($A17,'R1. Scenario specifications'!$A$11:$A$60,0))</f>
        <v>Current 2DS, 2020 start, 'Expect the Unexpected' but with cheap energy efficiency</v>
      </c>
      <c r="C17" s="3" t="s">
        <v>367</v>
      </c>
      <c r="D17" s="34">
        <f t="shared" si="0"/>
        <v>15.376961862127992</v>
      </c>
      <c r="E17" s="34">
        <f t="shared" si="0"/>
        <v>63.936994586641688</v>
      </c>
      <c r="F17" s="34">
        <f t="shared" si="0"/>
        <v>56.374572227392932</v>
      </c>
      <c r="G17" s="34">
        <f t="shared" si="0"/>
        <v>57.326342665134227</v>
      </c>
    </row>
    <row r="19" spans="1:7" ht="14.4" customHeight="1" x14ac:dyDescent="0.3">
      <c r="D19" s="34"/>
      <c r="E19" s="34"/>
      <c r="F19" s="34"/>
      <c r="G19" s="34"/>
    </row>
    <row r="20" spans="1:7" x14ac:dyDescent="0.3">
      <c r="D20" s="34"/>
      <c r="E20" s="34"/>
      <c r="F20" s="34"/>
      <c r="G20" s="34"/>
    </row>
    <row r="36" spans="1:5" ht="15" thickBot="1" x14ac:dyDescent="0.35"/>
    <row r="37" spans="1:5" s="25" customFormat="1" ht="15" thickBot="1" x14ac:dyDescent="0.35">
      <c r="A37" s="24" t="s">
        <v>374</v>
      </c>
    </row>
    <row r="38" spans="1:5" x14ac:dyDescent="0.3">
      <c r="B38" s="3" t="s">
        <v>406</v>
      </c>
      <c r="C38" s="3" t="s">
        <v>406</v>
      </c>
      <c r="D38" s="3" t="s">
        <v>406</v>
      </c>
      <c r="E38" s="3" t="s">
        <v>406</v>
      </c>
    </row>
    <row r="39" spans="1:5" x14ac:dyDescent="0.3">
      <c r="A39" s="3" t="s">
        <v>8</v>
      </c>
      <c r="B39" s="3">
        <v>2020</v>
      </c>
      <c r="C39" s="3">
        <v>2030</v>
      </c>
      <c r="D39" s="3">
        <v>2040</v>
      </c>
      <c r="E39" s="3">
        <v>2050</v>
      </c>
    </row>
    <row r="40" spans="1:5" x14ac:dyDescent="0.3">
      <c r="A40" s="3" t="s">
        <v>13</v>
      </c>
      <c r="B40" s="14">
        <f>INDEX('W15. Carbon Prices'!$F$38:$N$76,MATCH($A40,'W15. Carbon Prices'!$B$38:$B$76,0),MATCH(B$39,'W15. Carbon Prices'!$F$37:$N$37,0))-INDEX('W15. Carbon Prices'!$F$38:$N$76,MATCH("Vivid_0A_BAU",'W15. Carbon Prices'!$B$38:$B$76,0),MATCH(B$39,'W15. Carbon Prices'!$F$37:$N$37,0))</f>
        <v>0</v>
      </c>
      <c r="C40" s="14">
        <f>INDEX('W15. Carbon Prices'!$F$38:$N$76,MATCH($A40,'W15. Carbon Prices'!$B$38:$B$76,0),MATCH(C$39,'W15. Carbon Prices'!$F$37:$N$37,0))-INDEX('W15. Carbon Prices'!$F$38:$N$76,MATCH("Vivid_0A_BAU",'W15. Carbon Prices'!$B$38:$B$76,0),MATCH(C$39,'W15. Carbon Prices'!$F$37:$N$37,0))</f>
        <v>0</v>
      </c>
      <c r="D40" s="14">
        <f>INDEX('W15. Carbon Prices'!$F$38:$N$76,MATCH($A40,'W15. Carbon Prices'!$B$38:$B$76,0),MATCH(D$39,'W15. Carbon Prices'!$F$37:$N$37,0))-INDEX('W15. Carbon Prices'!$F$38:$N$76,MATCH("Vivid_0A_BAU",'W15. Carbon Prices'!$B$38:$B$76,0),MATCH(D$39,'W15. Carbon Prices'!$F$37:$N$37,0))</f>
        <v>0</v>
      </c>
      <c r="E40" s="14">
        <f>INDEX('W15. Carbon Prices'!$F$38:$N$76,MATCH($A40,'W15. Carbon Prices'!$B$38:$B$76,0),MATCH(E$39,'W15. Carbon Prices'!$F$37:$N$37,0))-INDEX('W15. Carbon Prices'!$F$38:$N$76,MATCH("Vivid_0A_BAU",'W15. Carbon Prices'!$B$38:$B$76,0),MATCH(E$39,'W15. Carbon Prices'!$F$37:$N$37,0))</f>
        <v>0</v>
      </c>
    </row>
    <row r="41" spans="1:5" x14ac:dyDescent="0.3">
      <c r="A41" s="3" t="s">
        <v>14</v>
      </c>
      <c r="B41" s="14">
        <f>INDEX('W15. Carbon Prices'!$F$38:$N$76,MATCH($A41,'W15.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1" s="14">
        <f>INDEX('W15. Carbon Prices'!$F$38:$N$76,MATCH($A41,'W15. Carbon Prices'!$B$38:$B$76,0),MATCH(C$39,'W15. Carbon Prices'!$F$37:$N$37,0))-INDEX('W15. Carbon Prices'!$F$38:$N$76,MATCH("Vivid_0A_BAU",'W15. Carbon Prices'!$B$38:$B$76,0),MATCH(C$39,'W15. Carbon Prices'!$F$37:$N$37,0))</f>
        <v>39.564758867173879</v>
      </c>
      <c r="D41" s="14">
        <f>INDEX('W15. Carbon Prices'!$F$38:$N$76,MATCH($A41,'W15. Carbon Prices'!$B$38:$B$76,0),MATCH(D$39,'W15. Carbon Prices'!$F$37:$N$37,0))-INDEX('W15. Carbon Prices'!$F$38:$N$76,MATCH("Vivid_0A_BAU",'W15. Carbon Prices'!$B$38:$B$76,0),MATCH(D$39,'W15. Carbon Prices'!$F$37:$N$37,0))</f>
        <v>21.369858712654917</v>
      </c>
      <c r="E41" s="14">
        <f>INDEX('W15. Carbon Prices'!$F$38:$N$76,MATCH($A41,'W15. Carbon Prices'!$B$38:$B$76,0),MATCH(E$39,'W15. Carbon Prices'!$F$37:$N$37,0))-INDEX('W15. Carbon Prices'!$F$38:$N$76,MATCH("Vivid_0A_BAU",'W15. Carbon Prices'!$B$38:$B$76,0),MATCH(E$39,'W15. Carbon Prices'!$F$37:$N$37,0))</f>
        <v>15.112130456161747</v>
      </c>
    </row>
    <row r="42" spans="1:5" x14ac:dyDescent="0.3">
      <c r="A42" s="3" t="s">
        <v>15</v>
      </c>
      <c r="B42" s="14">
        <f>INDEX('W15. Carbon Prices'!$F$38:$N$76,MATCH($A42,'W15.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2" s="14">
        <f>INDEX('W15. Carbon Prices'!$F$38:$N$76,MATCH($A42,'W15. Carbon Prices'!$B$38:$B$76,0),MATCH(C$39,'W15. Carbon Prices'!$F$37:$N$37,0))-INDEX('W15. Carbon Prices'!$F$38:$N$76,MATCH("Vivid_0A_BAU",'W15. Carbon Prices'!$B$38:$B$76,0),MATCH(C$39,'W15. Carbon Prices'!$F$37:$N$37,0))</f>
        <v>73.149705726259512</v>
      </c>
      <c r="D42" s="14">
        <f>INDEX('W15. Carbon Prices'!$F$38:$N$76,MATCH($A42,'W15. Carbon Prices'!$B$38:$B$76,0),MATCH(D$39,'W15. Carbon Prices'!$F$37:$N$37,0))-INDEX('W15. Carbon Prices'!$F$38:$N$76,MATCH("Vivid_0A_BAU",'W15. Carbon Prices'!$B$38:$B$76,0),MATCH(D$39,'W15. Carbon Prices'!$F$37:$N$37,0))</f>
        <v>68.650684479688096</v>
      </c>
      <c r="E42" s="14">
        <f>INDEX('W15. Carbon Prices'!$F$38:$N$76,MATCH($A42,'W15. Carbon Prices'!$B$38:$B$76,0),MATCH(E$39,'W15. Carbon Prices'!$F$37:$N$37,0))-INDEX('W15. Carbon Prices'!$F$38:$N$76,MATCH("Vivid_0A_BAU",'W15. Carbon Prices'!$B$38:$B$76,0),MATCH(E$39,'W15. Carbon Prices'!$F$37:$N$37,0))</f>
        <v>74.105092960302713</v>
      </c>
    </row>
    <row r="43" spans="1:5" x14ac:dyDescent="0.3">
      <c r="A43" s="3" t="s">
        <v>26</v>
      </c>
      <c r="B43" s="14">
        <f>INDEX('W15. Carbon Prices'!$F$38:$N$76,MATCH($A43,'W15.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3" s="14">
        <f>INDEX('W15. Carbon Prices'!$F$38:$N$76,MATCH($A43,'W15. Carbon Prices'!$B$38:$B$76,0),MATCH(C$39,'W15. Carbon Prices'!$F$37:$N$37,0))-INDEX('W15. Carbon Prices'!$F$38:$N$76,MATCH("Vivid_0A_BAU",'W15. Carbon Prices'!$B$38:$B$76,0),MATCH(C$39,'W15. Carbon Prices'!$F$37:$N$37,0))</f>
        <v>39.564758867173879</v>
      </c>
      <c r="D43" s="14">
        <f>INDEX('W15. Carbon Prices'!$F$38:$N$76,MATCH($A43,'W15. Carbon Prices'!$B$38:$B$76,0),MATCH(D$39,'W15. Carbon Prices'!$F$37:$N$37,0))-INDEX('W15. Carbon Prices'!$F$38:$N$76,MATCH("Vivid_0A_BAU",'W15. Carbon Prices'!$B$38:$B$76,0),MATCH(D$39,'W15. Carbon Prices'!$F$37:$N$37,0))</f>
        <v>76.53540990087491</v>
      </c>
      <c r="E43" s="14">
        <f>INDEX('W15. Carbon Prices'!$F$38:$N$76,MATCH($A43,'W15. Carbon Prices'!$B$38:$B$76,0),MATCH(E$39,'W15. Carbon Prices'!$F$37:$N$37,0))-INDEX('W15. Carbon Prices'!$F$38:$N$76,MATCH("Vivid_0A_BAU",'W15. Carbon Prices'!$B$38:$B$76,0),MATCH(E$39,'W15. Carbon Prices'!$F$37:$N$37,0))</f>
        <v>102.77679736211667</v>
      </c>
    </row>
    <row r="44" spans="1:5" x14ac:dyDescent="0.3">
      <c r="A44" s="3" t="s">
        <v>32</v>
      </c>
      <c r="B44" s="14">
        <f>INDEX('W15. Carbon Prices'!$F$38:$N$76,MATCH($A44,'W15.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4" s="14">
        <f>INDEX('W15. Carbon Prices'!$F$38:$N$76,MATCH($A44,'W15. Carbon Prices'!$B$38:$B$76,0),MATCH(C$39,'W15. Carbon Prices'!$F$37:$N$37,0))-INDEX('W15. Carbon Prices'!$F$38:$N$76,MATCH("Vivid_0A_BAU",'W15. Carbon Prices'!$B$38:$B$76,0),MATCH(C$39,'W15. Carbon Prices'!$F$37:$N$37,0))</f>
        <v>114.51751007340914</v>
      </c>
      <c r="D44" s="14">
        <f>INDEX('W15. Carbon Prices'!$F$38:$N$76,MATCH($A44,'W15. Carbon Prices'!$B$38:$B$76,0),MATCH(D$39,'W15. Carbon Prices'!$F$37:$N$37,0))-INDEX('W15. Carbon Prices'!$F$38:$N$76,MATCH("Vivid_0A_BAU",'W15. Carbon Prices'!$B$38:$B$76,0),MATCH(D$39,'W15. Carbon Prices'!$F$37:$N$37,0))</f>
        <v>139.82184003454506</v>
      </c>
      <c r="E44" s="14">
        <f>INDEX('W15. Carbon Prices'!$F$38:$N$76,MATCH($A44,'W15. Carbon Prices'!$B$38:$B$76,0),MATCH(E$39,'W15. Carbon Prices'!$F$37:$N$37,0))-INDEX('W15. Carbon Prices'!$F$38:$N$76,MATCH("Vivid_0A_BAU",'W15. Carbon Prices'!$B$38:$B$76,0),MATCH(E$39,'W15. Carbon Prices'!$F$37:$N$37,0))</f>
        <v>164.05976724594242</v>
      </c>
    </row>
    <row r="45" spans="1:5" x14ac:dyDescent="0.3">
      <c r="A45" s="3" t="s">
        <v>37</v>
      </c>
      <c r="B45" s="14">
        <f>INDEX('W15. Carbon Prices'!$F$38:$N$76,MATCH($A45,'W15.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5" s="14">
        <f>INDEX('W15. Carbon Prices'!$F$38:$N$76,MATCH($A45,'W15. Carbon Prices'!$B$38:$B$76,0),MATCH(C$39,'W15. Carbon Prices'!$F$37:$N$37,0))-INDEX('W15. Carbon Prices'!$F$38:$N$76,MATCH("Vivid_0A_BAU",'W15. Carbon Prices'!$B$38:$B$76,0),MATCH(C$39,'W15. Carbon Prices'!$F$37:$N$37,0))</f>
        <v>67.416531723417123</v>
      </c>
      <c r="D45" s="14">
        <f>INDEX('W15. Carbon Prices'!$F$38:$N$76,MATCH($A45,'W15. Carbon Prices'!$B$38:$B$76,0),MATCH(D$39,'W15. Carbon Prices'!$F$37:$N$37,0))-INDEX('W15. Carbon Prices'!$F$38:$N$76,MATCH("Vivid_0A_BAU",'W15. Carbon Prices'!$B$38:$B$76,0),MATCH(D$39,'W15. Carbon Prices'!$F$37:$N$37,0))</f>
        <v>60.638309178284246</v>
      </c>
      <c r="E45" s="14">
        <f>INDEX('W15. Carbon Prices'!$F$38:$N$76,MATCH($A45,'W15. Carbon Prices'!$B$38:$B$76,0),MATCH(E$39,'W15. Carbon Prices'!$F$37:$N$37,0))-INDEX('W15. Carbon Prices'!$F$38:$N$76,MATCH("Vivid_0A_BAU",'W15. Carbon Prices'!$B$38:$B$76,0),MATCH(E$39,'W15. Carbon Prices'!$F$37:$N$37,0))</f>
        <v>73.655534488569728</v>
      </c>
    </row>
    <row r="46" spans="1:5" x14ac:dyDescent="0.3">
      <c r="A46" s="3" t="s">
        <v>1026</v>
      </c>
      <c r="B46" s="14">
        <f>INDEX('W15. Carbon Prices'!$F$38:$N$76,MATCH($A46,'W15.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6" s="14">
        <f>INDEX('W15. Carbon Prices'!$F$38:$N$76,MATCH($A46,'W15. Carbon Prices'!$B$38:$B$76,0),MATCH(C$39,'W15. Carbon Prices'!$F$37:$N$37,0))-INDEX('W15. Carbon Prices'!$F$38:$N$76,MATCH("Vivid_0A_BAU",'W15. Carbon Prices'!$B$38:$B$76,0),MATCH(C$39,'W15. Carbon Prices'!$F$37:$N$37,0))</f>
        <v>78.631318158910432</v>
      </c>
      <c r="D46" s="14">
        <f>INDEX('W15. Carbon Prices'!$F$38:$N$76,MATCH($A46,'W15. Carbon Prices'!$B$38:$B$76,0),MATCH(D$39,'W15. Carbon Prices'!$F$37:$N$37,0))-INDEX('W15. Carbon Prices'!$F$38:$N$76,MATCH("Vivid_0A_BAU",'W15. Carbon Prices'!$B$38:$B$76,0),MATCH(D$39,'W15. Carbon Prices'!$F$37:$N$37,0))</f>
        <v>90.333472918906992</v>
      </c>
      <c r="E46" s="14">
        <f>INDEX('W15. Carbon Prices'!$F$38:$N$76,MATCH($A46,'W15. Carbon Prices'!$B$38:$B$76,0),MATCH(E$39,'W15. Carbon Prices'!$F$37:$N$37,0))-INDEX('W15. Carbon Prices'!$F$38:$N$76,MATCH("Vivid_0A_BAU",'W15. Carbon Prices'!$B$38:$B$76,0),MATCH(E$39,'W15. Carbon Prices'!$F$37:$N$37,0))</f>
        <v>91.324113093300099</v>
      </c>
    </row>
    <row r="47" spans="1:5" x14ac:dyDescent="0.3">
      <c r="A47" s="3" t="s">
        <v>47</v>
      </c>
      <c r="B47" s="14">
        <f>INDEX('W15. Carbon Prices'!$F$38:$N$76,MATCH($A47,'W15.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7" s="14">
        <f>INDEX('W15. Carbon Prices'!$F$38:$N$76,MATCH($A47,'W15. Carbon Prices'!$B$38:$B$76,0),MATCH(C$39,'W15. Carbon Prices'!$F$37:$N$37,0))-INDEX('W15. Carbon Prices'!$F$38:$N$76,MATCH("Vivid_0A_BAU",'W15. Carbon Prices'!$B$38:$B$76,0),MATCH(C$39,'W15. Carbon Prices'!$F$37:$N$37,0))</f>
        <v>63.641431948536294</v>
      </c>
      <c r="D47" s="14">
        <f>INDEX('W15. Carbon Prices'!$F$38:$N$76,MATCH($A47,'W15. Carbon Prices'!$B$38:$B$76,0),MATCH(D$39,'W15. Carbon Prices'!$F$37:$N$37,0))-INDEX('W15. Carbon Prices'!$F$38:$N$76,MATCH("Vivid_0A_BAU",'W15. Carbon Prices'!$B$38:$B$76,0),MATCH(D$39,'W15. Carbon Prices'!$F$37:$N$37,0))</f>
        <v>58.016084984967605</v>
      </c>
      <c r="E47" s="14">
        <f>INDEX('W15. Carbon Prices'!$F$38:$N$76,MATCH($A47,'W15. Carbon Prices'!$B$38:$B$76,0),MATCH(E$39,'W15. Carbon Prices'!$F$37:$N$37,0))-INDEX('W15. Carbon Prices'!$F$38:$N$76,MATCH("Vivid_0A_BAU",'W15. Carbon Prices'!$B$38:$B$76,0),MATCH(E$39,'W15. Carbon Prices'!$F$37:$N$37,0))</f>
        <v>71.033295934439366</v>
      </c>
    </row>
    <row r="48" spans="1:5" x14ac:dyDescent="0.3">
      <c r="A48" s="3" t="s">
        <v>49</v>
      </c>
      <c r="B48" s="14">
        <f>INDEX('W15. Carbon Prices'!$F$38:$N$76,MATCH($A48,'W15.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8" s="14">
        <f>INDEX('W15. Carbon Prices'!$F$38:$N$76,MATCH($A48,'W15. Carbon Prices'!$B$38:$B$76,0),MATCH(C$39,'W15. Carbon Prices'!$F$37:$N$37,0))-INDEX('W15. Carbon Prices'!$F$38:$N$76,MATCH("Vivid_0A_BAU",'W15. Carbon Prices'!$B$38:$B$76,0),MATCH(C$39,'W15. Carbon Prices'!$F$37:$N$37,0))</f>
        <v>63.936994586641688</v>
      </c>
      <c r="D48" s="14">
        <f>INDEX('W15. Carbon Prices'!$F$38:$N$76,MATCH($A48,'W15. Carbon Prices'!$B$38:$B$76,0),MATCH(D$39,'W15. Carbon Prices'!$F$37:$N$37,0))-INDEX('W15. Carbon Prices'!$F$38:$N$76,MATCH("Vivid_0A_BAU",'W15. Carbon Prices'!$B$38:$B$76,0),MATCH(D$39,'W15. Carbon Prices'!$F$37:$N$37,0))</f>
        <v>56.374572227392932</v>
      </c>
      <c r="E48" s="14">
        <f>INDEX('W15. Carbon Prices'!$F$38:$N$76,MATCH($A48,'W15. Carbon Prices'!$B$38:$B$76,0),MATCH(E$39,'W15. Carbon Prices'!$F$37:$N$37,0))-INDEX('W15. Carbon Prices'!$F$38:$N$76,MATCH("Vivid_0A_BAU",'W15. Carbon Prices'!$B$38:$B$76,0),MATCH(E$39,'W15. Carbon Prices'!$F$37:$N$37,0))</f>
        <v>57.326342665134227</v>
      </c>
    </row>
    <row r="49" spans="1:5" ht="15" thickBot="1" x14ac:dyDescent="0.35"/>
    <row r="50" spans="1:5" s="25" customFormat="1" ht="15" thickBot="1" x14ac:dyDescent="0.35">
      <c r="A50" s="24" t="s">
        <v>377</v>
      </c>
    </row>
    <row r="51" spans="1:5" x14ac:dyDescent="0.3">
      <c r="B51" s="3" t="s">
        <v>406</v>
      </c>
      <c r="C51" s="3" t="s">
        <v>406</v>
      </c>
      <c r="D51" s="3" t="s">
        <v>406</v>
      </c>
      <c r="E51" s="3" t="s">
        <v>406</v>
      </c>
    </row>
    <row r="52" spans="1:5" x14ac:dyDescent="0.3">
      <c r="A52" s="3" t="s">
        <v>8</v>
      </c>
      <c r="B52" s="3">
        <v>2020</v>
      </c>
      <c r="C52" s="3">
        <v>2030</v>
      </c>
      <c r="D52" s="3">
        <v>2040</v>
      </c>
      <c r="E52" s="3">
        <v>2050</v>
      </c>
    </row>
    <row r="53" spans="1:5" x14ac:dyDescent="0.3">
      <c r="A53" s="3" t="s">
        <v>378</v>
      </c>
      <c r="B53" s="14">
        <f>INDEX('W22. Carbon prices'!$E$11:$H$13,MATCH($A53,'W22. Carbon prices'!$A$11:$A$13,0),MATCH(B$52,'W22. Carbon prices'!$E$10:$H$10,0))</f>
        <v>7.291857602822974</v>
      </c>
      <c r="C53" s="14">
        <f>INDEX('W22. Carbon prices'!$E$11:$H$13,MATCH($A53,'W22. Carbon prices'!$A$11:$A$13,0),MATCH(C$52,'W22. Carbon prices'!$E$10:$H$10,0))</f>
        <v>12.153096004704956</v>
      </c>
      <c r="D53" s="14">
        <f>INDEX('W22. Carbon prices'!$E$11:$H$13,MATCH($A53,'W22. Carbon prices'!$A$11:$A$13,0),MATCH(D$52,'W22. Carbon prices'!$E$10:$H$10,0))</f>
        <v>16.204128006273276</v>
      </c>
      <c r="E53" s="14">
        <f>INDEX('W22. Carbon prices'!$E$11:$H$13,MATCH($A53,'W22. Carbon prices'!$A$11:$A$13,0),MATCH(E$52,'W22. Carbon prices'!$E$10:$H$10,0))</f>
        <v>20.255160007841596</v>
      </c>
    </row>
    <row r="54" spans="1:5" x14ac:dyDescent="0.3">
      <c r="A54" s="3" t="s">
        <v>379</v>
      </c>
      <c r="B54" s="14">
        <f>INDEX('W22. Carbon prices'!$E$11:$H$13,MATCH($A54,'W22. Carbon prices'!$A$11:$A$13,0),MATCH(B$52,'W22. Carbon prices'!$E$10:$H$10,0))</f>
        <v>12.760750804940205</v>
      </c>
      <c r="C54" s="14">
        <f>INDEX('W22. Carbon prices'!$E$11:$H$13,MATCH($A54,'W22. Carbon prices'!$A$11:$A$13,0),MATCH(C$52,'W22. Carbon prices'!$E$10:$H$10,0))</f>
        <v>25.11639840972358</v>
      </c>
      <c r="D54" s="14">
        <f>INDEX('W22. Carbon prices'!$E$11:$H$13,MATCH($A54,'W22. Carbon prices'!$A$11:$A$13,0),MATCH(D$52,'W22. Carbon prices'!$E$10:$H$10,0))</f>
        <v>36.256736414036453</v>
      </c>
      <c r="E54" s="14">
        <f>INDEX('W22. Carbon prices'!$E$11:$H$13,MATCH($A54,'W22. Carbon prices'!$A$11:$A$13,0),MATCH(E$52,'W22. Carbon prices'!$E$10:$H$10,0))</f>
        <v>47.397074418349327</v>
      </c>
    </row>
    <row r="55" spans="1:5" x14ac:dyDescent="0.3">
      <c r="A55" s="3" t="s">
        <v>380</v>
      </c>
      <c r="B55" s="14">
        <f>INDEX('W22. Carbon prices'!$E$11:$H$13,MATCH($A55,'W22. Carbon prices'!$A$11:$A$13,0),MATCH(B$52,'W22. Carbon prices'!$E$10:$H$10,0))</f>
        <v>16.879300006534663</v>
      </c>
      <c r="C55" s="14">
        <f>INDEX('W22. Carbon prices'!$E$11:$H$13,MATCH($A55,'W22. Carbon prices'!$A$11:$A$13,0),MATCH(C$52,'W22. Carbon prices'!$E$10:$H$10,0))</f>
        <v>92.836150035940648</v>
      </c>
      <c r="D55" s="14">
        <f>INDEX('W22. Carbon prices'!$E$11:$H$13,MATCH($A55,'W22. Carbon prices'!$A$11:$A$13,0),MATCH(D$52,'W22. Carbon prices'!$E$10:$H$10,0))</f>
        <v>136.72233005293077</v>
      </c>
      <c r="E55" s="14">
        <f>INDEX('W22. Carbon prices'!$E$11:$H$13,MATCH($A55,'W22. Carbon prices'!$A$11:$A$13,0),MATCH(E$52,'W22. Carbon prices'!$E$10:$H$10,0))</f>
        <v>180.6085100699209</v>
      </c>
    </row>
  </sheetData>
  <conditionalFormatting sqref="A1:XFD7 A8:F8 I8 K8:XFD8 F9:XFD9 A9:D9 A10:G17 H10:XFD18 A19:XFD1048576">
    <cfRule type="expression" dxfId="218" priority="2">
      <formula>_xlfn.ISFORMULA(A1)</formula>
    </cfRule>
  </conditionalFormatting>
  <conditionalFormatting sqref="C19">
    <cfRule type="expression" dxfId="217" priority="1">
      <formula>_xlfn.ISFORMULA(C19)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932C1-EAFD-4229-9F27-8BBB7BA15A06}">
  <sheetPr>
    <tabColor theme="4" tint="0.499984740745262"/>
  </sheetPr>
  <dimension ref="A1:P55"/>
  <sheetViews>
    <sheetView zoomScale="70" zoomScaleNormal="70" workbookViewId="0">
      <selection activeCell="H19" sqref="H19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1033</v>
      </c>
    </row>
    <row r="2" spans="1:16" s="20" customFormat="1" x14ac:dyDescent="0.3">
      <c r="A2" s="20" t="s">
        <v>5</v>
      </c>
      <c r="B2" s="20" t="s">
        <v>1034</v>
      </c>
    </row>
    <row r="3" spans="1:16" s="20" customFormat="1" x14ac:dyDescent="0.3">
      <c r="A3" s="20" t="s">
        <v>6</v>
      </c>
      <c r="B3" s="20" t="s">
        <v>1036</v>
      </c>
    </row>
    <row r="4" spans="1:16" s="20" customFormat="1" x14ac:dyDescent="0.3">
      <c r="A4" s="20" t="s">
        <v>4</v>
      </c>
      <c r="B4" s="20" t="s">
        <v>1037</v>
      </c>
      <c r="O4" s="21"/>
      <c r="P4" s="22"/>
    </row>
    <row r="5" spans="1:16" s="20" customFormat="1" x14ac:dyDescent="0.3">
      <c r="B5" s="20" t="s">
        <v>1038</v>
      </c>
      <c r="O5" s="21"/>
      <c r="P5" s="22"/>
    </row>
    <row r="6" spans="1:16" ht="15" thickBot="1" x14ac:dyDescent="0.35"/>
    <row r="7" spans="1:16" s="25" customFormat="1" ht="15" thickBot="1" x14ac:dyDescent="0.35">
      <c r="A7" s="24" t="s">
        <v>358</v>
      </c>
    </row>
    <row r="8" spans="1:16" x14ac:dyDescent="0.3">
      <c r="E8" s="26"/>
      <c r="F8" s="27"/>
      <c r="G8" s="27"/>
      <c r="H8" s="27"/>
      <c r="I8" s="27"/>
      <c r="J8" s="27"/>
    </row>
    <row r="9" spans="1:16" x14ac:dyDescent="0.3">
      <c r="A9" s="3" t="s">
        <v>8</v>
      </c>
      <c r="B9" s="3" t="s">
        <v>86</v>
      </c>
      <c r="C9" s="3" t="s">
        <v>8</v>
      </c>
      <c r="D9" s="3" t="s">
        <v>76</v>
      </c>
      <c r="E9" s="3">
        <v>2020</v>
      </c>
      <c r="F9" s="28">
        <v>2030</v>
      </c>
      <c r="G9" s="3">
        <v>2040</v>
      </c>
      <c r="H9" s="3">
        <v>2050</v>
      </c>
    </row>
    <row r="10" spans="1:16" ht="14.4" customHeight="1" x14ac:dyDescent="0.3">
      <c r="A10" s="3" t="s">
        <v>15</v>
      </c>
      <c r="B10" s="3" t="str">
        <f>INDEX('R1. Scenario specifications'!$C$11:$C$60,MATCH($A10,'R1. Scenario specifications'!$A$11:$A$60,0))</f>
        <v>Current 2DS, 2020 start, 'Expect the Unexpected'</v>
      </c>
      <c r="C10" s="3" t="s">
        <v>361</v>
      </c>
      <c r="D10" s="34" t="s">
        <v>1040</v>
      </c>
      <c r="E10" s="34">
        <f>INDEX($B$40:$E$48,MATCH($A10,$A$40:$A$48,0),MATCH(E$9,$B$39:$E$39,0))</f>
        <v>15.376961862127992</v>
      </c>
      <c r="F10" s="34">
        <f t="shared" ref="F10:H10" si="0">INDEX($B$40:$E$48,MATCH($A10,$A$40:$A$48,0),MATCH(F$9,$B$39:$E$39,0))</f>
        <v>73.149705726259512</v>
      </c>
      <c r="G10" s="34">
        <f t="shared" si="0"/>
        <v>68.650684479688096</v>
      </c>
      <c r="H10" s="34">
        <f t="shared" si="0"/>
        <v>74.105092960302713</v>
      </c>
    </row>
    <row r="11" spans="1:16" x14ac:dyDescent="0.3">
      <c r="A11" s="3" t="s">
        <v>95</v>
      </c>
      <c r="B11" s="3" t="s">
        <v>95</v>
      </c>
      <c r="C11" s="3" t="s">
        <v>1039</v>
      </c>
      <c r="D11" s="34" t="s">
        <v>592</v>
      </c>
      <c r="E11" s="34">
        <f>E$10*INDEX($B$21:$F$26,MATCH($D11,$A$21:$A$26,0),MATCH(E$9,$B$20:$F$20,0))</f>
        <v>10.892563887210708</v>
      </c>
      <c r="F11" s="34">
        <f t="shared" ref="F11:H11" si="1">F$10*INDEX($B$21:$F$26,MATCH($D11,$A$21:$A$26,0),MATCH(F$9,$B$20:$F$20,0))</f>
        <v>57.912049959803824</v>
      </c>
      <c r="G11" s="34">
        <f t="shared" si="1"/>
        <v>60.070399805835805</v>
      </c>
      <c r="H11" s="34">
        <f t="shared" si="1"/>
        <v>71.017758880529556</v>
      </c>
    </row>
    <row r="12" spans="1:16" x14ac:dyDescent="0.3">
      <c r="A12" s="3" t="s">
        <v>95</v>
      </c>
      <c r="B12" s="3" t="s">
        <v>95</v>
      </c>
      <c r="C12" s="3" t="s">
        <v>1039</v>
      </c>
      <c r="D12" s="34" t="s">
        <v>671</v>
      </c>
      <c r="E12" s="34">
        <f t="shared" ref="E12:H16" si="2">E$10*INDEX($B$21:$F$26,MATCH($D12,$A$21:$A$26,0),MATCH(E$9,$B$20:$F$20,0))</f>
        <v>13.793822494812286</v>
      </c>
      <c r="F12" s="34">
        <f t="shared" si="2"/>
        <v>67.770314145848729</v>
      </c>
      <c r="G12" s="34">
        <f t="shared" si="2"/>
        <v>65.621562950793972</v>
      </c>
      <c r="H12" s="34">
        <f t="shared" si="2"/>
        <v>73.01516290746558</v>
      </c>
    </row>
    <row r="13" spans="1:16" x14ac:dyDescent="0.3">
      <c r="A13" s="3" t="s">
        <v>95</v>
      </c>
      <c r="B13" s="3" t="s">
        <v>95</v>
      </c>
      <c r="C13" s="3" t="s">
        <v>1039</v>
      </c>
      <c r="D13" s="34" t="s">
        <v>601</v>
      </c>
      <c r="E13" s="34">
        <f t="shared" si="2"/>
        <v>50.351551410679313</v>
      </c>
      <c r="F13" s="34">
        <f t="shared" si="2"/>
        <v>191.9907985763503</v>
      </c>
      <c r="G13" s="34">
        <f t="shared" si="2"/>
        <v>135.56979744785519</v>
      </c>
      <c r="H13" s="34">
        <f t="shared" si="2"/>
        <v>98.183741386084364</v>
      </c>
    </row>
    <row r="14" spans="1:16" x14ac:dyDescent="0.3">
      <c r="A14" s="3" t="s">
        <v>95</v>
      </c>
      <c r="B14" s="3" t="s">
        <v>95</v>
      </c>
      <c r="C14" s="3" t="s">
        <v>1039</v>
      </c>
      <c r="D14" s="34" t="s">
        <v>670</v>
      </c>
      <c r="E14" s="34">
        <f t="shared" si="2"/>
        <v>9.774441522945283</v>
      </c>
      <c r="F14" s="34">
        <f t="shared" si="2"/>
        <v>54.112752085986905</v>
      </c>
      <c r="G14" s="34">
        <f t="shared" si="2"/>
        <v>57.931024969066314</v>
      </c>
      <c r="H14" s="34">
        <f t="shared" si="2"/>
        <v>70.24797499875514</v>
      </c>
    </row>
    <row r="15" spans="1:16" ht="14.4" customHeight="1" x14ac:dyDescent="0.3">
      <c r="A15" s="3" t="s">
        <v>95</v>
      </c>
      <c r="B15" s="3" t="s">
        <v>95</v>
      </c>
      <c r="C15" s="3" t="s">
        <v>1039</v>
      </c>
      <c r="D15" s="34" t="s">
        <v>1057</v>
      </c>
      <c r="E15" s="34">
        <f t="shared" si="2"/>
        <v>17.078044178357704</v>
      </c>
      <c r="F15" s="34">
        <f t="shared" si="2"/>
        <v>78.929858805913767</v>
      </c>
      <c r="G15" s="34">
        <f t="shared" si="2"/>
        <v>71.905473775496787</v>
      </c>
      <c r="H15" s="34">
        <f t="shared" si="2"/>
        <v>75.276222159087141</v>
      </c>
    </row>
    <row r="16" spans="1:16" x14ac:dyDescent="0.3">
      <c r="A16" s="3" t="s">
        <v>95</v>
      </c>
      <c r="B16" s="3" t="s">
        <v>95</v>
      </c>
      <c r="C16" s="3" t="s">
        <v>1039</v>
      </c>
      <c r="D16" s="34" t="s">
        <v>1059</v>
      </c>
      <c r="E16" s="34">
        <f t="shared" si="2"/>
        <v>17.889086865744087</v>
      </c>
      <c r="F16" s="34">
        <f t="shared" si="2"/>
        <v>81.685722436086522</v>
      </c>
      <c r="G16" s="34">
        <f t="shared" si="2"/>
        <v>73.457293480024617</v>
      </c>
      <c r="H16" s="34">
        <f t="shared" si="2"/>
        <v>75.834593593318516</v>
      </c>
    </row>
    <row r="17" spans="1:7" x14ac:dyDescent="0.3">
      <c r="D17" s="34"/>
      <c r="E17" s="34"/>
      <c r="F17" s="34"/>
      <c r="G17" s="34"/>
    </row>
    <row r="19" spans="1:7" ht="14.4" customHeight="1" x14ac:dyDescent="0.3">
      <c r="A19" s="3" t="s">
        <v>1041</v>
      </c>
      <c r="D19" s="34"/>
      <c r="E19" s="34"/>
      <c r="F19" s="34"/>
      <c r="G19" s="34"/>
    </row>
    <row r="20" spans="1:7" x14ac:dyDescent="0.3">
      <c r="A20" s="3" t="s">
        <v>76</v>
      </c>
      <c r="B20" s="361">
        <v>2020</v>
      </c>
      <c r="C20" s="361">
        <v>2030</v>
      </c>
      <c r="D20" s="361">
        <v>2040</v>
      </c>
      <c r="E20" s="361">
        <v>2050</v>
      </c>
      <c r="F20" s="361">
        <v>2055</v>
      </c>
      <c r="G20" s="34"/>
    </row>
    <row r="21" spans="1:7" x14ac:dyDescent="0.3">
      <c r="A21" s="3" t="s">
        <v>592</v>
      </c>
      <c r="B21" s="14">
        <f>INDEX('R2a. Carbon price reg weights'!$C$12:$J$18,MATCH($A21,'R2a. Carbon price reg weights'!$B$12:$B$18,0),MATCH(B$20,'R2a. Carbon price reg weights'!$C$11:$J$11,0))</f>
        <v>0.70836905136885764</v>
      </c>
      <c r="C21" s="14">
        <f>INDEX('R2a. Carbon price reg weights'!$C$12:$J$18,MATCH($A21,'R2a. Carbon price reg weights'!$B$12:$B$18,0),MATCH(C$20,'R2a. Carbon price reg weights'!$C$11:$J$11,0))</f>
        <v>0.79169217954918403</v>
      </c>
      <c r="D21" s="14">
        <f>INDEX('R2a. Carbon price reg weights'!$C$12:$J$18,MATCH($A21,'R2a. Carbon price reg weights'!$B$12:$B$18,0),MATCH(D$20,'R2a. Carbon price reg weights'!$C$11:$J$11,0))</f>
        <v>0.87501530772951042</v>
      </c>
      <c r="E21" s="14">
        <f>INDEX('R2a. Carbon price reg weights'!$C$12:$J$18,MATCH($A21,'R2a. Carbon price reg weights'!$B$12:$B$18,0),MATCH(E$20,'R2a. Carbon price reg weights'!$C$11:$J$11,0))</f>
        <v>0.95833843590983681</v>
      </c>
      <c r="F21" s="14">
        <f>INDEX('R2a. Carbon price reg weights'!$C$12:$J$18,MATCH($A21,'R2a. Carbon price reg weights'!$B$12:$B$18,0),MATCH(F$20,'R2a. Carbon price reg weights'!$C$11:$J$11,0))</f>
        <v>1</v>
      </c>
    </row>
    <row r="22" spans="1:7" x14ac:dyDescent="0.3">
      <c r="A22" s="3" t="s">
        <v>671</v>
      </c>
      <c r="B22" s="14">
        <f>INDEX('R2a. Carbon price reg weights'!$C$12:$J$18,MATCH($A22,'R2a. Carbon price reg weights'!$B$12:$B$18,0),MATCH(B$20,'R2a. Carbon price reg weights'!$C$11:$J$11,0))</f>
        <v>0.89704472304019767</v>
      </c>
      <c r="C22" s="14">
        <f>INDEX('R2a. Carbon price reg weights'!$C$12:$J$18,MATCH($A22,'R2a. Carbon price reg weights'!$B$12:$B$18,0),MATCH(C$20,'R2a. Carbon price reg weights'!$C$11:$J$11,0))</f>
        <v>0.926460516457284</v>
      </c>
      <c r="D22" s="14">
        <f>INDEX('R2a. Carbon price reg weights'!$C$12:$J$18,MATCH($A22,'R2a. Carbon price reg weights'!$B$12:$B$18,0),MATCH(D$20,'R2a. Carbon price reg weights'!$C$11:$J$11,0))</f>
        <v>0.95587630987437044</v>
      </c>
      <c r="E22" s="14">
        <f>INDEX('R2a. Carbon price reg weights'!$C$12:$J$18,MATCH($A22,'R2a. Carbon price reg weights'!$B$12:$B$18,0),MATCH(E$20,'R2a. Carbon price reg weights'!$C$11:$J$11,0))</f>
        <v>0.98529210329145678</v>
      </c>
      <c r="F22" s="14">
        <f>INDEX('R2a. Carbon price reg weights'!$C$12:$J$18,MATCH($A22,'R2a. Carbon price reg weights'!$B$12:$B$18,0),MATCH(F$20,'R2a. Carbon price reg weights'!$C$11:$J$11,0))</f>
        <v>1</v>
      </c>
    </row>
    <row r="23" spans="1:7" x14ac:dyDescent="0.3">
      <c r="A23" s="3" t="s">
        <v>601</v>
      </c>
      <c r="B23" s="14">
        <f>INDEX('R2a. Carbon price reg weights'!$C$12:$J$18,MATCH($A23,'R2a. Carbon price reg weights'!$B$12:$B$18,0),MATCH(B$20,'R2a. Carbon price reg weights'!$C$11:$J$11,0))</f>
        <v>3.2744798265182955</v>
      </c>
      <c r="C23" s="14">
        <f>INDEX('R2a. Carbon price reg weights'!$C$12:$J$18,MATCH($A23,'R2a. Carbon price reg weights'!$B$12:$B$18,0),MATCH(C$20,'R2a. Carbon price reg weights'!$C$11:$J$11,0))</f>
        <v>2.6246284475130683</v>
      </c>
      <c r="D23" s="14">
        <f>INDEX('R2a. Carbon price reg weights'!$C$12:$J$18,MATCH($A23,'R2a. Carbon price reg weights'!$B$12:$B$18,0),MATCH(D$20,'R2a. Carbon price reg weights'!$C$11:$J$11,0))</f>
        <v>1.974777068507841</v>
      </c>
      <c r="E23" s="14">
        <f>INDEX('R2a. Carbon price reg weights'!$C$12:$J$18,MATCH($A23,'R2a. Carbon price reg weights'!$B$12:$B$18,0),MATCH(E$20,'R2a. Carbon price reg weights'!$C$11:$J$11,0))</f>
        <v>1.3249256895026138</v>
      </c>
      <c r="F23" s="14">
        <f>INDEX('R2a. Carbon price reg weights'!$C$12:$J$18,MATCH($A23,'R2a. Carbon price reg weights'!$B$12:$B$18,0),MATCH(F$20,'R2a. Carbon price reg weights'!$C$11:$J$11,0))</f>
        <v>1</v>
      </c>
    </row>
    <row r="24" spans="1:7" x14ac:dyDescent="0.3">
      <c r="A24" s="3" t="s">
        <v>670</v>
      </c>
      <c r="B24" s="14">
        <f>INDEX('R2a. Carbon price reg weights'!$C$12:$J$18,MATCH($A24,'R2a. Carbon price reg weights'!$B$12:$B$18,0),MATCH(B$20,'R2a. Carbon price reg weights'!$C$11:$J$11,0))</f>
        <v>0.63565492394299372</v>
      </c>
      <c r="C24" s="14">
        <f>INDEX('R2a. Carbon price reg weights'!$C$12:$J$18,MATCH($A24,'R2a. Carbon price reg weights'!$B$12:$B$18,0),MATCH(C$20,'R2a. Carbon price reg weights'!$C$11:$J$11,0))</f>
        <v>0.73975351710213832</v>
      </c>
      <c r="D24" s="14">
        <f>INDEX('R2a. Carbon price reg weights'!$C$12:$J$18,MATCH($A24,'R2a. Carbon price reg weights'!$B$12:$B$18,0),MATCH(D$20,'R2a. Carbon price reg weights'!$C$11:$J$11,0))</f>
        <v>0.84385211026128304</v>
      </c>
      <c r="E24" s="14">
        <f>INDEX('R2a. Carbon price reg weights'!$C$12:$J$18,MATCH($A24,'R2a. Carbon price reg weights'!$B$12:$B$18,0),MATCH(E$20,'R2a. Carbon price reg weights'!$C$11:$J$11,0))</f>
        <v>0.94795070342042775</v>
      </c>
      <c r="F24" s="14">
        <f>INDEX('R2a. Carbon price reg weights'!$C$12:$J$18,MATCH($A24,'R2a. Carbon price reg weights'!$B$12:$B$18,0),MATCH(F$20,'R2a. Carbon price reg weights'!$C$11:$J$11,0))</f>
        <v>1</v>
      </c>
    </row>
    <row r="25" spans="1:7" x14ac:dyDescent="0.3">
      <c r="A25" s="3" t="s">
        <v>1057</v>
      </c>
      <c r="B25" s="14">
        <f>INDEX('R2a. Carbon price reg weights'!$C$12:$J$18,MATCH($A25,'R2a. Carbon price reg weights'!$B$12:$B$18,0),MATCH(B$20,'R2a. Carbon price reg weights'!$C$11:$J$11,0))</f>
        <v>1.1106253843562763</v>
      </c>
      <c r="C25" s="14">
        <f>INDEX('R2a. Carbon price reg weights'!$C$12:$J$18,MATCH($A25,'R2a. Carbon price reg weights'!$B$12:$B$18,0),MATCH(C$20,'R2a. Carbon price reg weights'!$C$11:$J$11,0))</f>
        <v>1.0790181316830545</v>
      </c>
      <c r="D25" s="14">
        <f>INDEX('R2a. Carbon price reg weights'!$C$12:$J$18,MATCH($A25,'R2a. Carbon price reg weights'!$B$12:$B$18,0),MATCH(D$20,'R2a. Carbon price reg weights'!$C$11:$J$11,0))</f>
        <v>1.0474108790098327</v>
      </c>
      <c r="E25" s="14">
        <f>INDEX('R2a. Carbon price reg weights'!$C$12:$J$18,MATCH($A25,'R2a. Carbon price reg weights'!$B$12:$B$18,0),MATCH(E$20,'R2a. Carbon price reg weights'!$C$11:$J$11,0))</f>
        <v>1.0158036263366108</v>
      </c>
      <c r="F25" s="14">
        <f>INDEX('R2a. Carbon price reg weights'!$C$12:$J$18,MATCH($A25,'R2a. Carbon price reg weights'!$B$12:$B$18,0),MATCH(F$20,'R2a. Carbon price reg weights'!$C$11:$J$11,0))</f>
        <v>1</v>
      </c>
    </row>
    <row r="26" spans="1:7" x14ac:dyDescent="0.3">
      <c r="A26" s="3" t="s">
        <v>1059</v>
      </c>
      <c r="B26" s="14">
        <f>INDEX('R2a. Carbon price reg weights'!$C$12:$J$18,MATCH($A26,'R2a. Carbon price reg weights'!$B$12:$B$18,0),MATCH(B$20,'R2a. Carbon price reg weights'!$C$11:$J$11,0))</f>
        <v>1.1633693980735702</v>
      </c>
      <c r="C26" s="14">
        <f>INDEX('R2a. Carbon price reg weights'!$C$12:$J$18,MATCH($A26,'R2a. Carbon price reg weights'!$B$12:$B$18,0),MATCH(C$20,'R2a. Carbon price reg weights'!$C$11:$J$11,0))</f>
        <v>1.1166924271954073</v>
      </c>
      <c r="D26" s="14">
        <f>INDEX('R2a. Carbon price reg weights'!$C$12:$J$18,MATCH($A26,'R2a. Carbon price reg weights'!$B$12:$B$18,0),MATCH(D$20,'R2a. Carbon price reg weights'!$C$11:$J$11,0))</f>
        <v>1.0700154563172444</v>
      </c>
      <c r="E26" s="14">
        <f>INDEX('R2a. Carbon price reg weights'!$C$12:$J$18,MATCH($A26,'R2a. Carbon price reg weights'!$B$12:$B$18,0),MATCH(E$20,'R2a. Carbon price reg weights'!$C$11:$J$11,0))</f>
        <v>1.0233384854390815</v>
      </c>
      <c r="F26" s="14">
        <f>INDEX('R2a. Carbon price reg weights'!$C$12:$J$18,MATCH($A26,'R2a. Carbon price reg weights'!$B$12:$B$18,0),MATCH(F$20,'R2a. Carbon price reg weights'!$C$11:$J$11,0))</f>
        <v>1</v>
      </c>
    </row>
    <row r="36" spans="1:5" ht="15" thickBot="1" x14ac:dyDescent="0.35"/>
    <row r="37" spans="1:5" s="25" customFormat="1" ht="15" thickBot="1" x14ac:dyDescent="0.35">
      <c r="A37" s="24" t="s">
        <v>374</v>
      </c>
    </row>
    <row r="38" spans="1:5" x14ac:dyDescent="0.3">
      <c r="B38" s="3" t="s">
        <v>406</v>
      </c>
      <c r="C38" s="3" t="s">
        <v>406</v>
      </c>
      <c r="D38" s="3" t="s">
        <v>406</v>
      </c>
      <c r="E38" s="3" t="s">
        <v>406</v>
      </c>
    </row>
    <row r="39" spans="1:5" x14ac:dyDescent="0.3">
      <c r="A39" s="3" t="s">
        <v>8</v>
      </c>
      <c r="B39" s="3">
        <v>2020</v>
      </c>
      <c r="C39" s="3">
        <v>2030</v>
      </c>
      <c r="D39" s="3">
        <v>2040</v>
      </c>
      <c r="E39" s="3">
        <v>2050</v>
      </c>
    </row>
    <row r="40" spans="1:5" x14ac:dyDescent="0.3">
      <c r="A40" s="3" t="s">
        <v>13</v>
      </c>
      <c r="B40" s="14">
        <f>INDEX('W15. Carbon Prices'!$F$38:$N$76,MATCH($A40,'W15. Carbon Prices'!$B$38:$B$76,0),MATCH(B$39,'W15. Carbon Prices'!$F$37:$N$37,0))-INDEX('W15. Carbon Prices'!$F$38:$N$76,MATCH("Vivid_0A_BAU",'W15. Carbon Prices'!$B$38:$B$76,0),MATCH(B$39,'W15. Carbon Prices'!$F$37:$N$37,0))</f>
        <v>0</v>
      </c>
      <c r="C40" s="14">
        <f>INDEX('W15. Carbon Prices'!$F$38:$N$76,MATCH($A40,'W15. Carbon Prices'!$B$38:$B$76,0),MATCH(C$39,'W15. Carbon Prices'!$F$37:$N$37,0))-INDEX('W15. Carbon Prices'!$F$38:$N$76,MATCH("Vivid_0A_BAU",'W15. Carbon Prices'!$B$38:$B$76,0),MATCH(C$39,'W15. Carbon Prices'!$F$37:$N$37,0))</f>
        <v>0</v>
      </c>
      <c r="D40" s="14">
        <f>INDEX('W15. Carbon Prices'!$F$38:$N$76,MATCH($A40,'W15. Carbon Prices'!$B$38:$B$76,0),MATCH(D$39,'W15. Carbon Prices'!$F$37:$N$37,0))-INDEX('W15. Carbon Prices'!$F$38:$N$76,MATCH("Vivid_0A_BAU",'W15. Carbon Prices'!$B$38:$B$76,0),MATCH(D$39,'W15. Carbon Prices'!$F$37:$N$37,0))</f>
        <v>0</v>
      </c>
      <c r="E40" s="14">
        <f>INDEX('W15. Carbon Prices'!$F$38:$N$76,MATCH($A40,'W15. Carbon Prices'!$B$38:$B$76,0),MATCH(E$39,'W15. Carbon Prices'!$F$37:$N$37,0))-INDEX('W15. Carbon Prices'!$F$38:$N$76,MATCH("Vivid_0A_BAU",'W15. Carbon Prices'!$B$38:$B$76,0),MATCH(E$39,'W15. Carbon Prices'!$F$37:$N$37,0))</f>
        <v>0</v>
      </c>
    </row>
    <row r="41" spans="1:5" x14ac:dyDescent="0.3">
      <c r="A41" s="3" t="s">
        <v>14</v>
      </c>
      <c r="B41" s="14">
        <f>INDEX('W15. Carbon Prices'!$F$38:$N$76,MATCH($A41,'W15.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1" s="14">
        <f>INDEX('W15. Carbon Prices'!$F$38:$N$76,MATCH($A41,'W15. Carbon Prices'!$B$38:$B$76,0),MATCH(C$39,'W15. Carbon Prices'!$F$37:$N$37,0))-INDEX('W15. Carbon Prices'!$F$38:$N$76,MATCH("Vivid_0A_BAU",'W15. Carbon Prices'!$B$38:$B$76,0),MATCH(C$39,'W15. Carbon Prices'!$F$37:$N$37,0))</f>
        <v>39.564758867173879</v>
      </c>
      <c r="D41" s="14">
        <f>INDEX('W15. Carbon Prices'!$F$38:$N$76,MATCH($A41,'W15. Carbon Prices'!$B$38:$B$76,0),MATCH(D$39,'W15. Carbon Prices'!$F$37:$N$37,0))-INDEX('W15. Carbon Prices'!$F$38:$N$76,MATCH("Vivid_0A_BAU",'W15. Carbon Prices'!$B$38:$B$76,0),MATCH(D$39,'W15. Carbon Prices'!$F$37:$N$37,0))</f>
        <v>21.369858712654917</v>
      </c>
      <c r="E41" s="14">
        <f>INDEX('W15. Carbon Prices'!$F$38:$N$76,MATCH($A41,'W15. Carbon Prices'!$B$38:$B$76,0),MATCH(E$39,'W15. Carbon Prices'!$F$37:$N$37,0))-INDEX('W15. Carbon Prices'!$F$38:$N$76,MATCH("Vivid_0A_BAU",'W15. Carbon Prices'!$B$38:$B$76,0),MATCH(E$39,'W15. Carbon Prices'!$F$37:$N$37,0))</f>
        <v>15.112130456161747</v>
      </c>
    </row>
    <row r="42" spans="1:5" x14ac:dyDescent="0.3">
      <c r="A42" s="3" t="s">
        <v>15</v>
      </c>
      <c r="B42" s="14">
        <f>INDEX('W15. Carbon Prices'!$F$38:$N$76,MATCH($A42,'W15.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2" s="14">
        <f>INDEX('W15. Carbon Prices'!$F$38:$N$76,MATCH($A42,'W15. Carbon Prices'!$B$38:$B$76,0),MATCH(C$39,'W15. Carbon Prices'!$F$37:$N$37,0))-INDEX('W15. Carbon Prices'!$F$38:$N$76,MATCH("Vivid_0A_BAU",'W15. Carbon Prices'!$B$38:$B$76,0),MATCH(C$39,'W15. Carbon Prices'!$F$37:$N$37,0))</f>
        <v>73.149705726259512</v>
      </c>
      <c r="D42" s="14">
        <f>INDEX('W15. Carbon Prices'!$F$38:$N$76,MATCH($A42,'W15. Carbon Prices'!$B$38:$B$76,0),MATCH(D$39,'W15. Carbon Prices'!$F$37:$N$37,0))-INDEX('W15. Carbon Prices'!$F$38:$N$76,MATCH("Vivid_0A_BAU",'W15. Carbon Prices'!$B$38:$B$76,0),MATCH(D$39,'W15. Carbon Prices'!$F$37:$N$37,0))</f>
        <v>68.650684479688096</v>
      </c>
      <c r="E42" s="14">
        <f>INDEX('W15. Carbon Prices'!$F$38:$N$76,MATCH($A42,'W15. Carbon Prices'!$B$38:$B$76,0),MATCH(E$39,'W15. Carbon Prices'!$F$37:$N$37,0))-INDEX('W15. Carbon Prices'!$F$38:$N$76,MATCH("Vivid_0A_BAU",'W15. Carbon Prices'!$B$38:$B$76,0),MATCH(E$39,'W15. Carbon Prices'!$F$37:$N$37,0))</f>
        <v>74.105092960302713</v>
      </c>
    </row>
    <row r="43" spans="1:5" x14ac:dyDescent="0.3">
      <c r="A43" s="3" t="s">
        <v>26</v>
      </c>
      <c r="B43" s="14">
        <f>INDEX('W15. Carbon Prices'!$F$38:$N$76,MATCH($A43,'W15.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3" s="14">
        <f>INDEX('W15. Carbon Prices'!$F$38:$N$76,MATCH($A43,'W15. Carbon Prices'!$B$38:$B$76,0),MATCH(C$39,'W15. Carbon Prices'!$F$37:$N$37,0))-INDEX('W15. Carbon Prices'!$F$38:$N$76,MATCH("Vivid_0A_BAU",'W15. Carbon Prices'!$B$38:$B$76,0),MATCH(C$39,'W15. Carbon Prices'!$F$37:$N$37,0))</f>
        <v>39.564758867173879</v>
      </c>
      <c r="D43" s="14">
        <f>INDEX('W15. Carbon Prices'!$F$38:$N$76,MATCH($A43,'W15. Carbon Prices'!$B$38:$B$76,0),MATCH(D$39,'W15. Carbon Prices'!$F$37:$N$37,0))-INDEX('W15. Carbon Prices'!$F$38:$N$76,MATCH("Vivid_0A_BAU",'W15. Carbon Prices'!$B$38:$B$76,0),MATCH(D$39,'W15. Carbon Prices'!$F$37:$N$37,0))</f>
        <v>76.53540990087491</v>
      </c>
      <c r="E43" s="14">
        <f>INDEX('W15. Carbon Prices'!$F$38:$N$76,MATCH($A43,'W15. Carbon Prices'!$B$38:$B$76,0),MATCH(E$39,'W15. Carbon Prices'!$F$37:$N$37,0))-INDEX('W15. Carbon Prices'!$F$38:$N$76,MATCH("Vivid_0A_BAU",'W15. Carbon Prices'!$B$38:$B$76,0),MATCH(E$39,'W15. Carbon Prices'!$F$37:$N$37,0))</f>
        <v>102.77679736211667</v>
      </c>
    </row>
    <row r="44" spans="1:5" x14ac:dyDescent="0.3">
      <c r="A44" s="3" t="s">
        <v>32</v>
      </c>
      <c r="B44" s="14">
        <f>INDEX('W15. Carbon Prices'!$F$38:$N$76,MATCH($A44,'W15.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4" s="14">
        <f>INDEX('W15. Carbon Prices'!$F$38:$N$76,MATCH($A44,'W15. Carbon Prices'!$B$38:$B$76,0),MATCH(C$39,'W15. Carbon Prices'!$F$37:$N$37,0))-INDEX('W15. Carbon Prices'!$F$38:$N$76,MATCH("Vivid_0A_BAU",'W15. Carbon Prices'!$B$38:$B$76,0),MATCH(C$39,'W15. Carbon Prices'!$F$37:$N$37,0))</f>
        <v>114.51751007340914</v>
      </c>
      <c r="D44" s="14">
        <f>INDEX('W15. Carbon Prices'!$F$38:$N$76,MATCH($A44,'W15. Carbon Prices'!$B$38:$B$76,0),MATCH(D$39,'W15. Carbon Prices'!$F$37:$N$37,0))-INDEX('W15. Carbon Prices'!$F$38:$N$76,MATCH("Vivid_0A_BAU",'W15. Carbon Prices'!$B$38:$B$76,0),MATCH(D$39,'W15. Carbon Prices'!$F$37:$N$37,0))</f>
        <v>139.82184003454506</v>
      </c>
      <c r="E44" s="14">
        <f>INDEX('W15. Carbon Prices'!$F$38:$N$76,MATCH($A44,'W15. Carbon Prices'!$B$38:$B$76,0),MATCH(E$39,'W15. Carbon Prices'!$F$37:$N$37,0))-INDEX('W15. Carbon Prices'!$F$38:$N$76,MATCH("Vivid_0A_BAU",'W15. Carbon Prices'!$B$38:$B$76,0),MATCH(E$39,'W15. Carbon Prices'!$F$37:$N$37,0))</f>
        <v>164.05976724594242</v>
      </c>
    </row>
    <row r="45" spans="1:5" x14ac:dyDescent="0.3">
      <c r="A45" s="3" t="s">
        <v>37</v>
      </c>
      <c r="B45" s="14">
        <f>INDEX('W15. Carbon Prices'!$F$38:$N$76,MATCH($A45,'W15.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5" s="14">
        <f>INDEX('W15. Carbon Prices'!$F$38:$N$76,MATCH($A45,'W15. Carbon Prices'!$B$38:$B$76,0),MATCH(C$39,'W15. Carbon Prices'!$F$37:$N$37,0))-INDEX('W15. Carbon Prices'!$F$38:$N$76,MATCH("Vivid_0A_BAU",'W15. Carbon Prices'!$B$38:$B$76,0),MATCH(C$39,'W15. Carbon Prices'!$F$37:$N$37,0))</f>
        <v>67.416531723417123</v>
      </c>
      <c r="D45" s="14">
        <f>INDEX('W15. Carbon Prices'!$F$38:$N$76,MATCH($A45,'W15. Carbon Prices'!$B$38:$B$76,0),MATCH(D$39,'W15. Carbon Prices'!$F$37:$N$37,0))-INDEX('W15. Carbon Prices'!$F$38:$N$76,MATCH("Vivid_0A_BAU",'W15. Carbon Prices'!$B$38:$B$76,0),MATCH(D$39,'W15. Carbon Prices'!$F$37:$N$37,0))</f>
        <v>60.638309178284246</v>
      </c>
      <c r="E45" s="14">
        <f>INDEX('W15. Carbon Prices'!$F$38:$N$76,MATCH($A45,'W15. Carbon Prices'!$B$38:$B$76,0),MATCH(E$39,'W15. Carbon Prices'!$F$37:$N$37,0))-INDEX('W15. Carbon Prices'!$F$38:$N$76,MATCH("Vivid_0A_BAU",'W15. Carbon Prices'!$B$38:$B$76,0),MATCH(E$39,'W15. Carbon Prices'!$F$37:$N$37,0))</f>
        <v>73.655534488569728</v>
      </c>
    </row>
    <row r="46" spans="1:5" x14ac:dyDescent="0.3">
      <c r="A46" s="3" t="s">
        <v>1026</v>
      </c>
      <c r="B46" s="14">
        <f>INDEX('W15. Carbon Prices'!$F$38:$N$76,MATCH($A46,'W15.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6" s="14">
        <f>INDEX('W15. Carbon Prices'!$F$38:$N$76,MATCH($A46,'W15. Carbon Prices'!$B$38:$B$76,0),MATCH(C$39,'W15. Carbon Prices'!$F$37:$N$37,0))-INDEX('W15. Carbon Prices'!$F$38:$N$76,MATCH("Vivid_0A_BAU",'W15. Carbon Prices'!$B$38:$B$76,0),MATCH(C$39,'W15. Carbon Prices'!$F$37:$N$37,0))</f>
        <v>78.631318158910432</v>
      </c>
      <c r="D46" s="14">
        <f>INDEX('W15. Carbon Prices'!$F$38:$N$76,MATCH($A46,'W15. Carbon Prices'!$B$38:$B$76,0),MATCH(D$39,'W15. Carbon Prices'!$F$37:$N$37,0))-INDEX('W15. Carbon Prices'!$F$38:$N$76,MATCH("Vivid_0A_BAU",'W15. Carbon Prices'!$B$38:$B$76,0),MATCH(D$39,'W15. Carbon Prices'!$F$37:$N$37,0))</f>
        <v>90.333472918906992</v>
      </c>
      <c r="E46" s="14">
        <f>INDEX('W15. Carbon Prices'!$F$38:$N$76,MATCH($A46,'W15. Carbon Prices'!$B$38:$B$76,0),MATCH(E$39,'W15. Carbon Prices'!$F$37:$N$37,0))-INDEX('W15. Carbon Prices'!$F$38:$N$76,MATCH("Vivid_0A_BAU",'W15. Carbon Prices'!$B$38:$B$76,0),MATCH(E$39,'W15. Carbon Prices'!$F$37:$N$37,0))</f>
        <v>91.324113093300099</v>
      </c>
    </row>
    <row r="47" spans="1:5" x14ac:dyDescent="0.3">
      <c r="A47" s="3" t="s">
        <v>47</v>
      </c>
      <c r="B47" s="14">
        <f>INDEX('W15. Carbon Prices'!$F$38:$N$76,MATCH($A47,'W15.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7" s="14">
        <f>INDEX('W15. Carbon Prices'!$F$38:$N$76,MATCH($A47,'W15. Carbon Prices'!$B$38:$B$76,0),MATCH(C$39,'W15. Carbon Prices'!$F$37:$N$37,0))-INDEX('W15. Carbon Prices'!$F$38:$N$76,MATCH("Vivid_0A_BAU",'W15. Carbon Prices'!$B$38:$B$76,0),MATCH(C$39,'W15. Carbon Prices'!$F$37:$N$37,0))</f>
        <v>63.641431948536294</v>
      </c>
      <c r="D47" s="14">
        <f>INDEX('W15. Carbon Prices'!$F$38:$N$76,MATCH($A47,'W15. Carbon Prices'!$B$38:$B$76,0),MATCH(D$39,'W15. Carbon Prices'!$F$37:$N$37,0))-INDEX('W15. Carbon Prices'!$F$38:$N$76,MATCH("Vivid_0A_BAU",'W15. Carbon Prices'!$B$38:$B$76,0),MATCH(D$39,'W15. Carbon Prices'!$F$37:$N$37,0))</f>
        <v>58.016084984967605</v>
      </c>
      <c r="E47" s="14">
        <f>INDEX('W15. Carbon Prices'!$F$38:$N$76,MATCH($A47,'W15. Carbon Prices'!$B$38:$B$76,0),MATCH(E$39,'W15. Carbon Prices'!$F$37:$N$37,0))-INDEX('W15. Carbon Prices'!$F$38:$N$76,MATCH("Vivid_0A_BAU",'W15. Carbon Prices'!$B$38:$B$76,0),MATCH(E$39,'W15. Carbon Prices'!$F$37:$N$37,0))</f>
        <v>71.033295934439366</v>
      </c>
    </row>
    <row r="48" spans="1:5" x14ac:dyDescent="0.3">
      <c r="A48" s="3" t="s">
        <v>49</v>
      </c>
      <c r="B48" s="14">
        <f>INDEX('W15. Carbon Prices'!$F$38:$N$76,MATCH($A48,'W15. Carbon Prices'!$B$38:$B$76,0),MATCH(B$39,'W15. Carbon Prices'!$F$37:$N$37,0))-INDEX('W15. Carbon Prices'!$F$38:$N$76,MATCH("Vivid_0A_BAU",'W15. Carbon Prices'!$B$38:$B$76,0),MATCH(B$39,'W15. Carbon Prices'!$F$37:$N$37,0))</f>
        <v>15.376961862127992</v>
      </c>
      <c r="C48" s="14">
        <f>INDEX('W15. Carbon Prices'!$F$38:$N$76,MATCH($A48,'W15. Carbon Prices'!$B$38:$B$76,0),MATCH(C$39,'W15. Carbon Prices'!$F$37:$N$37,0))-INDEX('W15. Carbon Prices'!$F$38:$N$76,MATCH("Vivid_0A_BAU",'W15. Carbon Prices'!$B$38:$B$76,0),MATCH(C$39,'W15. Carbon Prices'!$F$37:$N$37,0))</f>
        <v>63.936994586641688</v>
      </c>
      <c r="D48" s="14">
        <f>INDEX('W15. Carbon Prices'!$F$38:$N$76,MATCH($A48,'W15. Carbon Prices'!$B$38:$B$76,0),MATCH(D$39,'W15. Carbon Prices'!$F$37:$N$37,0))-INDEX('W15. Carbon Prices'!$F$38:$N$76,MATCH("Vivid_0A_BAU",'W15. Carbon Prices'!$B$38:$B$76,0),MATCH(D$39,'W15. Carbon Prices'!$F$37:$N$37,0))</f>
        <v>56.374572227392932</v>
      </c>
      <c r="E48" s="14">
        <f>INDEX('W15. Carbon Prices'!$F$38:$N$76,MATCH($A48,'W15. Carbon Prices'!$B$38:$B$76,0),MATCH(E$39,'W15. Carbon Prices'!$F$37:$N$37,0))-INDEX('W15. Carbon Prices'!$F$38:$N$76,MATCH("Vivid_0A_BAU",'W15. Carbon Prices'!$B$38:$B$76,0),MATCH(E$39,'W15. Carbon Prices'!$F$37:$N$37,0))</f>
        <v>57.326342665134227</v>
      </c>
    </row>
    <row r="49" spans="1:5" ht="15" thickBot="1" x14ac:dyDescent="0.35"/>
    <row r="50" spans="1:5" s="25" customFormat="1" ht="15" thickBot="1" x14ac:dyDescent="0.35">
      <c r="A50" s="24" t="s">
        <v>377</v>
      </c>
    </row>
    <row r="51" spans="1:5" x14ac:dyDescent="0.3">
      <c r="B51" s="3" t="s">
        <v>406</v>
      </c>
      <c r="C51" s="3" t="s">
        <v>406</v>
      </c>
      <c r="D51" s="3" t="s">
        <v>406</v>
      </c>
      <c r="E51" s="3" t="s">
        <v>406</v>
      </c>
    </row>
    <row r="52" spans="1:5" x14ac:dyDescent="0.3">
      <c r="A52" s="3" t="s">
        <v>8</v>
      </c>
      <c r="B52" s="3">
        <v>2020</v>
      </c>
      <c r="C52" s="3">
        <v>2030</v>
      </c>
      <c r="D52" s="3">
        <v>2040</v>
      </c>
      <c r="E52" s="3">
        <v>2050</v>
      </c>
    </row>
    <row r="53" spans="1:5" x14ac:dyDescent="0.3">
      <c r="A53" s="3" t="s">
        <v>378</v>
      </c>
      <c r="B53" s="14">
        <f>INDEX('W22. Carbon prices'!$E$11:$H$13,MATCH($A53,'W22. Carbon prices'!$A$11:$A$13,0),MATCH(B$52,'W22. Carbon prices'!$E$10:$H$10,0))</f>
        <v>7.291857602822974</v>
      </c>
      <c r="C53" s="14">
        <f>INDEX('W22. Carbon prices'!$E$11:$H$13,MATCH($A53,'W22. Carbon prices'!$A$11:$A$13,0),MATCH(C$52,'W22. Carbon prices'!$E$10:$H$10,0))</f>
        <v>12.153096004704956</v>
      </c>
      <c r="D53" s="14">
        <f>INDEX('W22. Carbon prices'!$E$11:$H$13,MATCH($A53,'W22. Carbon prices'!$A$11:$A$13,0),MATCH(D$52,'W22. Carbon prices'!$E$10:$H$10,0))</f>
        <v>16.204128006273276</v>
      </c>
      <c r="E53" s="14">
        <f>INDEX('W22. Carbon prices'!$E$11:$H$13,MATCH($A53,'W22. Carbon prices'!$A$11:$A$13,0),MATCH(E$52,'W22. Carbon prices'!$E$10:$H$10,0))</f>
        <v>20.255160007841596</v>
      </c>
    </row>
    <row r="54" spans="1:5" x14ac:dyDescent="0.3">
      <c r="A54" s="3" t="s">
        <v>379</v>
      </c>
      <c r="B54" s="14">
        <f>INDEX('W22. Carbon prices'!$E$11:$H$13,MATCH($A54,'W22. Carbon prices'!$A$11:$A$13,0),MATCH(B$52,'W22. Carbon prices'!$E$10:$H$10,0))</f>
        <v>12.760750804940205</v>
      </c>
      <c r="C54" s="14">
        <f>INDEX('W22. Carbon prices'!$E$11:$H$13,MATCH($A54,'W22. Carbon prices'!$A$11:$A$13,0),MATCH(C$52,'W22. Carbon prices'!$E$10:$H$10,0))</f>
        <v>25.11639840972358</v>
      </c>
      <c r="D54" s="14">
        <f>INDEX('W22. Carbon prices'!$E$11:$H$13,MATCH($A54,'W22. Carbon prices'!$A$11:$A$13,0),MATCH(D$52,'W22. Carbon prices'!$E$10:$H$10,0))</f>
        <v>36.256736414036453</v>
      </c>
      <c r="E54" s="14">
        <f>INDEX('W22. Carbon prices'!$E$11:$H$13,MATCH($A54,'W22. Carbon prices'!$A$11:$A$13,0),MATCH(E$52,'W22. Carbon prices'!$E$10:$H$10,0))</f>
        <v>47.397074418349327</v>
      </c>
    </row>
    <row r="55" spans="1:5" x14ac:dyDescent="0.3">
      <c r="A55" s="3" t="s">
        <v>380</v>
      </c>
      <c r="B55" s="14">
        <f>INDEX('W22. Carbon prices'!$E$11:$H$13,MATCH($A55,'W22. Carbon prices'!$A$11:$A$13,0),MATCH(B$52,'W22. Carbon prices'!$E$10:$H$10,0))</f>
        <v>16.879300006534663</v>
      </c>
      <c r="C55" s="14">
        <f>INDEX('W22. Carbon prices'!$E$11:$H$13,MATCH($A55,'W22. Carbon prices'!$A$11:$A$13,0),MATCH(C$52,'W22. Carbon prices'!$E$10:$H$10,0))</f>
        <v>92.836150035940648</v>
      </c>
      <c r="D55" s="14">
        <f>INDEX('W22. Carbon prices'!$E$11:$H$13,MATCH($A55,'W22. Carbon prices'!$A$11:$A$13,0),MATCH(D$52,'W22. Carbon prices'!$E$10:$H$10,0))</f>
        <v>136.72233005293077</v>
      </c>
      <c r="E55" s="14">
        <f>INDEX('W22. Carbon prices'!$E$11:$H$13,MATCH($A55,'W22. Carbon prices'!$A$11:$A$13,0),MATCH(E$52,'W22. Carbon prices'!$E$10:$H$10,0))</f>
        <v>180.6085100699209</v>
      </c>
    </row>
  </sheetData>
  <conditionalFormatting sqref="A8:F8 I8 K8:XFD8 A1:XFD7 A19:XFD1048576 A17:G17 H17:XFD18 A9:XFD16">
    <cfRule type="expression" dxfId="216" priority="2">
      <formula>_xlfn.ISFORMULA(A1)</formula>
    </cfRule>
  </conditionalFormatting>
  <conditionalFormatting sqref="C19">
    <cfRule type="expression" dxfId="215" priority="1">
      <formula>_xlfn.ISFORMULA(C19)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8FE64-E043-42FB-AC80-78EF5E07CD32}">
  <sheetPr>
    <tabColor theme="4" tint="0.499984740745262"/>
  </sheetPr>
  <dimension ref="A1:P71"/>
  <sheetViews>
    <sheetView zoomScale="70" zoomScaleNormal="70" workbookViewId="0">
      <selection activeCell="A20" sqref="A20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347</v>
      </c>
    </row>
    <row r="2" spans="1:16" s="20" customFormat="1" x14ac:dyDescent="0.3">
      <c r="A2" s="20" t="s">
        <v>5</v>
      </c>
      <c r="B2" s="20" t="s">
        <v>348</v>
      </c>
    </row>
    <row r="3" spans="1:16" s="20" customFormat="1" x14ac:dyDescent="0.3">
      <c r="A3" s="20" t="s">
        <v>6</v>
      </c>
      <c r="B3" s="20" t="s">
        <v>349</v>
      </c>
    </row>
    <row r="4" spans="1:16" s="20" customFormat="1" x14ac:dyDescent="0.3">
      <c r="A4" s="20" t="s">
        <v>4</v>
      </c>
      <c r="B4" s="20" t="s">
        <v>350</v>
      </c>
      <c r="O4" s="21"/>
      <c r="P4" s="22"/>
    </row>
    <row r="5" spans="1:16" s="20" customFormat="1" x14ac:dyDescent="0.3">
      <c r="A5" s="20" t="s">
        <v>351</v>
      </c>
      <c r="B5" s="23">
        <f>'R2. Unit conversion factors'!$E$9*'R2. Unit conversion factors'!$E$10/365.25</f>
        <v>4.7932660506776182E-4</v>
      </c>
      <c r="C5" s="20" t="s">
        <v>352</v>
      </c>
      <c r="O5" s="21"/>
      <c r="P5" s="22"/>
    </row>
    <row r="6" spans="1:16" s="20" customFormat="1" x14ac:dyDescent="0.3">
      <c r="A6" s="20" t="s">
        <v>353</v>
      </c>
      <c r="B6" s="23">
        <f t="array" ref="B6">AVERAGE($B$71:$C$71/$H$46:$I$46)</f>
        <v>1.129287292441405</v>
      </c>
      <c r="C6" s="20" t="s">
        <v>354</v>
      </c>
      <c r="O6" s="21"/>
      <c r="P6" s="22"/>
    </row>
    <row r="7" spans="1:16" s="20" customFormat="1" x14ac:dyDescent="0.3">
      <c r="A7" s="20" t="s">
        <v>355</v>
      </c>
      <c r="B7" s="23" t="s">
        <v>356</v>
      </c>
      <c r="O7" s="21"/>
      <c r="P7" s="22"/>
    </row>
    <row r="8" spans="1:16" s="20" customFormat="1" x14ac:dyDescent="0.3">
      <c r="B8" s="23" t="s">
        <v>357</v>
      </c>
      <c r="O8" s="21"/>
      <c r="P8" s="22"/>
    </row>
    <row r="9" spans="1:16" ht="15" thickBot="1" x14ac:dyDescent="0.35"/>
    <row r="10" spans="1:16" s="25" customFormat="1" ht="15" thickBot="1" x14ac:dyDescent="0.35">
      <c r="A10" s="24" t="s">
        <v>358</v>
      </c>
    </row>
    <row r="11" spans="1:16" x14ac:dyDescent="0.3">
      <c r="E11" s="26"/>
      <c r="F11" s="27"/>
      <c r="G11" s="27"/>
      <c r="H11" s="27"/>
      <c r="I11" s="27"/>
      <c r="J11" s="27"/>
    </row>
    <row r="12" spans="1:16" x14ac:dyDescent="0.3">
      <c r="A12" s="3" t="s">
        <v>8</v>
      </c>
      <c r="B12" s="3" t="s">
        <v>86</v>
      </c>
      <c r="C12" s="3" t="s">
        <v>8</v>
      </c>
      <c r="D12" s="3">
        <v>2017</v>
      </c>
      <c r="E12" s="3">
        <v>2020</v>
      </c>
      <c r="F12" s="28">
        <v>2030</v>
      </c>
      <c r="G12" s="3">
        <v>2040</v>
      </c>
      <c r="H12" s="3">
        <v>2050</v>
      </c>
    </row>
    <row r="13" spans="1:16" ht="14.4" customHeight="1" x14ac:dyDescent="0.3">
      <c r="A13" s="29" t="s">
        <v>13</v>
      </c>
      <c r="B13" s="29" t="str">
        <f>INDEX('R1. Scenario specifications'!$C$11:$C$60,MATCH($A13,'R1. Scenario specifications'!$A$11:$A$60,0))</f>
        <v>Vivid BAU - WEO Current Policies Scenario emissions pathway run through TIAM</v>
      </c>
      <c r="C13" s="29" t="s">
        <v>359</v>
      </c>
      <c r="D13" s="30">
        <f>$D$23</f>
        <v>92.781000000000006</v>
      </c>
      <c r="E13" s="30">
        <f>$E$23</f>
        <v>95.458875000000006</v>
      </c>
      <c r="F13" s="30">
        <f>INDEX($I$47:$M$55,MATCH($A13,$A$47:$A$55,0),MATCH(F$12,$I$45:$M$45,0))*$B$6</f>
        <v>97.620085662624192</v>
      </c>
      <c r="G13" s="30">
        <f>INDEX($I$47:$M$55,MATCH($A13,$A$47:$A$55,0),MATCH(G$12,$I$45:$M$45,0))*$B$6</f>
        <v>97.167420288392378</v>
      </c>
      <c r="H13" s="30">
        <f t="shared" ref="H13:H21" si="0">INDEX($I$47:$M$55,MATCH($A13,$A$47:$A$55,0),MATCH(H$12,$I$45:$M$45,0))*$B$6</f>
        <v>92.260259658209975</v>
      </c>
    </row>
    <row r="14" spans="1:16" x14ac:dyDescent="0.3">
      <c r="A14" s="29" t="s">
        <v>14</v>
      </c>
      <c r="B14" s="29" t="str">
        <f>INDEX('R1. Scenario specifications'!$C$11:$C$60,MATCH($A14,'R1. Scenario specifications'!$A$11:$A$60,0))</f>
        <v>Vivid Paris NDCs - WEO New Policies Scenario emissions pathway run through TIAM</v>
      </c>
      <c r="C14" s="29" t="s">
        <v>360</v>
      </c>
      <c r="D14" s="30">
        <f t="shared" ref="D14:D21" si="1">$D$23</f>
        <v>92.781000000000006</v>
      </c>
      <c r="E14" s="30">
        <f t="shared" ref="E14:E21" si="2">$E$23</f>
        <v>95.458875000000006</v>
      </c>
      <c r="F14" s="30">
        <f t="shared" ref="F14:G21" si="3">INDEX($I$47:$M$55,MATCH($A14,$A$47:$A$55,0),MATCH(F$12,$I$45:$M$45,0))*$B$6</f>
        <v>95.561348764756744</v>
      </c>
      <c r="G14" s="30">
        <f t="shared" si="3"/>
        <v>95.102666740650619</v>
      </c>
      <c r="H14" s="30">
        <f t="shared" si="0"/>
        <v>90.777196868212556</v>
      </c>
    </row>
    <row r="15" spans="1:16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1">
        <f t="shared" si="1"/>
        <v>92.781000000000006</v>
      </c>
      <c r="E15" s="31">
        <f t="shared" si="2"/>
        <v>95.458875000000006</v>
      </c>
      <c r="F15" s="31">
        <f t="shared" si="3"/>
        <v>93.918782715603058</v>
      </c>
      <c r="G15" s="31">
        <f t="shared" si="3"/>
        <v>92.756293520425757</v>
      </c>
      <c r="H15" s="31">
        <f t="shared" si="0"/>
        <v>86.565822113385906</v>
      </c>
    </row>
    <row r="16" spans="1:16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1">
        <f t="shared" si="1"/>
        <v>92.781000000000006</v>
      </c>
      <c r="E16" s="31">
        <f t="shared" si="2"/>
        <v>95.458875000000006</v>
      </c>
      <c r="F16" s="31">
        <f>$F$23</f>
        <v>101.631</v>
      </c>
      <c r="G16" s="31">
        <f t="shared" si="3"/>
        <v>92.720540139555894</v>
      </c>
      <c r="H16" s="31">
        <f t="shared" si="0"/>
        <v>85.392392159158234</v>
      </c>
    </row>
    <row r="17" spans="1:8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1">
        <f t="shared" si="1"/>
        <v>92.781000000000006</v>
      </c>
      <c r="E17" s="31">
        <f t="shared" si="2"/>
        <v>95.458875000000006</v>
      </c>
      <c r="F17" s="31">
        <f t="shared" si="3"/>
        <v>91.783649829127455</v>
      </c>
      <c r="G17" s="31">
        <f t="shared" si="3"/>
        <v>87.253801761541752</v>
      </c>
      <c r="H17" s="31">
        <f t="shared" si="0"/>
        <v>81.79656717935282</v>
      </c>
    </row>
    <row r="18" spans="1:8" ht="14.4" customHeight="1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1">
        <f t="shared" si="1"/>
        <v>92.781000000000006</v>
      </c>
      <c r="E18" s="31">
        <f t="shared" si="2"/>
        <v>95.458875000000006</v>
      </c>
      <c r="F18" s="31">
        <f t="shared" si="3"/>
        <v>94.055351252866913</v>
      </c>
      <c r="G18" s="31">
        <f t="shared" si="3"/>
        <v>93.293847985899021</v>
      </c>
      <c r="H18" s="31">
        <f t="shared" si="0"/>
        <v>85.696171014865584</v>
      </c>
    </row>
    <row r="19" spans="1:8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1">
        <f t="shared" si="1"/>
        <v>92.781000000000006</v>
      </c>
      <c r="E19" s="31">
        <f t="shared" si="2"/>
        <v>95.458875000000006</v>
      </c>
      <c r="F19" s="31">
        <f t="shared" si="3"/>
        <v>93.245646088342298</v>
      </c>
      <c r="G19" s="31">
        <f t="shared" si="3"/>
        <v>91.522256142280881</v>
      </c>
      <c r="H19" s="31">
        <f t="shared" si="0"/>
        <v>86.696734373048741</v>
      </c>
    </row>
    <row r="20" spans="1:8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1">
        <f t="shared" si="1"/>
        <v>92.781000000000006</v>
      </c>
      <c r="E20" s="31">
        <f t="shared" si="2"/>
        <v>95.458875000000006</v>
      </c>
      <c r="F20" s="31">
        <f t="shared" si="3"/>
        <v>87.746575416889883</v>
      </c>
      <c r="G20" s="31">
        <f t="shared" si="3"/>
        <v>85.242128496860332</v>
      </c>
      <c r="H20" s="31">
        <f t="shared" si="0"/>
        <v>82.667105632213776</v>
      </c>
    </row>
    <row r="21" spans="1:8" x14ac:dyDescent="0.3">
      <c r="A21" s="3" t="s">
        <v>49</v>
      </c>
      <c r="B21" s="3" t="str">
        <f>INDEX('R1. Scenario specifications'!$C$11:$C$60,MATCH($A21,'R1. Scenario specifications'!$A$11:$A$60,0))</f>
        <v>Current 2DS, 2020 start, 'Expect the Unexpected' but with cheap energy efficiency</v>
      </c>
      <c r="C21" s="3" t="s">
        <v>367</v>
      </c>
      <c r="D21" s="31">
        <f t="shared" si="1"/>
        <v>92.781000000000006</v>
      </c>
      <c r="E21" s="31">
        <f t="shared" si="2"/>
        <v>95.458875000000006</v>
      </c>
      <c r="F21" s="31">
        <f t="shared" si="3"/>
        <v>89.368501659613571</v>
      </c>
      <c r="G21" s="31">
        <f t="shared" si="3"/>
        <v>88.033136768364898</v>
      </c>
      <c r="H21" s="31">
        <f t="shared" si="0"/>
        <v>77.641140804794077</v>
      </c>
    </row>
    <row r="22" spans="1:8" ht="14.4" customHeight="1" x14ac:dyDescent="0.3">
      <c r="A22" s="32" t="s">
        <v>368</v>
      </c>
      <c r="B22" s="32" t="str">
        <f>INDEX('R1. Scenario specifications'!$C$11:$C$60,MATCH($A22,'R1. Scenario specifications'!$A$11:$A$60,0))</f>
        <v>Current Policies Scenario, World Energy Outlook 2018</v>
      </c>
      <c r="C22" s="32" t="s">
        <v>369</v>
      </c>
      <c r="D22" s="33">
        <f t="shared" ref="D22:H24" si="4">INDEX($D$61:$K$70,MATCH($A22,$A$61:$A$70,0),MATCH(D$12,$D$60:$K$60,0))</f>
        <v>92.781000000000006</v>
      </c>
      <c r="E22" s="33">
        <f t="shared" si="4"/>
        <v>96.576750000000004</v>
      </c>
      <c r="F22" s="33">
        <f t="shared" si="4"/>
        <v>107.675</v>
      </c>
      <c r="G22" s="33">
        <f t="shared" si="4"/>
        <v>117.205</v>
      </c>
      <c r="H22" s="33">
        <f t="shared" si="4"/>
        <v>127.52900000000022</v>
      </c>
    </row>
    <row r="23" spans="1:8" x14ac:dyDescent="0.3">
      <c r="A23" s="3" t="s">
        <v>370</v>
      </c>
      <c r="B23" s="3" t="str">
        <f>INDEX('R1. Scenario specifications'!$C$11:$C$60,MATCH($A23,'R1. Scenario specifications'!$A$11:$A$60,0))</f>
        <v>New Policies Scenario, World Energy Outlook 2018</v>
      </c>
      <c r="C23" s="3" t="s">
        <v>371</v>
      </c>
      <c r="D23" s="34">
        <f t="shared" si="4"/>
        <v>92.781000000000006</v>
      </c>
      <c r="E23" s="34">
        <f t="shared" si="4"/>
        <v>95.458875000000006</v>
      </c>
      <c r="F23" s="34">
        <f t="shared" si="4"/>
        <v>101.631</v>
      </c>
      <c r="G23" s="34">
        <f t="shared" si="4"/>
        <v>103.36499999999999</v>
      </c>
      <c r="H23" s="34">
        <f t="shared" si="4"/>
        <v>105.92100000000005</v>
      </c>
    </row>
    <row r="24" spans="1:8" x14ac:dyDescent="0.3">
      <c r="A24" s="3" t="s">
        <v>372</v>
      </c>
      <c r="B24" s="3" t="str">
        <f>INDEX('R1. Scenario specifications'!$C$11:$C$60,MATCH($A24,'R1. Scenario specifications'!$A$11:$A$60,0))</f>
        <v>Sustainable Development Scenario, World Energy Outlook 2018</v>
      </c>
      <c r="C24" s="3" t="s">
        <v>373</v>
      </c>
      <c r="D24" s="34">
        <f t="shared" si="4"/>
        <v>92.781000000000006</v>
      </c>
      <c r="E24" s="34">
        <f t="shared" si="4"/>
        <v>92.325000000000003</v>
      </c>
      <c r="F24" s="34">
        <f t="shared" si="4"/>
        <v>84.728999999999999</v>
      </c>
      <c r="G24" s="34">
        <f t="shared" si="4"/>
        <v>67.968999999999994</v>
      </c>
      <c r="H24" s="34">
        <f t="shared" si="4"/>
        <v>53.493000000000393</v>
      </c>
    </row>
    <row r="40" spans="1:13" ht="15" thickBot="1" x14ac:dyDescent="0.35"/>
    <row r="41" spans="1:13" s="25" customFormat="1" ht="15" thickBot="1" x14ac:dyDescent="0.35">
      <c r="A41" s="24" t="s">
        <v>374</v>
      </c>
    </row>
    <row r="42" spans="1:13" x14ac:dyDescent="0.3">
      <c r="A42" s="4"/>
    </row>
    <row r="43" spans="1:13" x14ac:dyDescent="0.3">
      <c r="B43" s="3" t="s">
        <v>62</v>
      </c>
      <c r="C43" s="3" t="s">
        <v>62</v>
      </c>
      <c r="D43" s="3" t="s">
        <v>62</v>
      </c>
      <c r="E43" s="3" t="s">
        <v>62</v>
      </c>
      <c r="F43" s="3" t="s">
        <v>62</v>
      </c>
      <c r="G43" s="3" t="s">
        <v>62</v>
      </c>
    </row>
    <row r="44" spans="1:13" x14ac:dyDescent="0.3">
      <c r="B44" s="3" t="s">
        <v>375</v>
      </c>
      <c r="C44" s="3" t="s">
        <v>375</v>
      </c>
      <c r="D44" s="3" t="s">
        <v>375</v>
      </c>
      <c r="E44" s="3" t="s">
        <v>375</v>
      </c>
      <c r="F44" s="3" t="s">
        <v>375</v>
      </c>
      <c r="G44" s="3" t="s">
        <v>375</v>
      </c>
      <c r="H44" s="35" t="s">
        <v>376</v>
      </c>
      <c r="I44" s="3" t="s">
        <v>376</v>
      </c>
      <c r="J44" s="3" t="s">
        <v>376</v>
      </c>
      <c r="K44" s="3" t="s">
        <v>376</v>
      </c>
      <c r="L44" s="3" t="s">
        <v>376</v>
      </c>
      <c r="M44" s="3" t="s">
        <v>376</v>
      </c>
    </row>
    <row r="45" spans="1:13" x14ac:dyDescent="0.3">
      <c r="A45" s="3" t="s">
        <v>8</v>
      </c>
      <c r="B45" s="3">
        <v>2007</v>
      </c>
      <c r="C45" s="3">
        <v>2012</v>
      </c>
      <c r="D45" s="3">
        <v>2020</v>
      </c>
      <c r="E45" s="3">
        <v>2030</v>
      </c>
      <c r="F45" s="3">
        <v>2040</v>
      </c>
      <c r="G45" s="3">
        <v>2050</v>
      </c>
      <c r="H45" s="35">
        <v>2007</v>
      </c>
      <c r="I45" s="3">
        <v>2012</v>
      </c>
      <c r="J45" s="3">
        <v>2020</v>
      </c>
      <c r="K45" s="3">
        <v>2030</v>
      </c>
      <c r="L45" s="3">
        <v>2040</v>
      </c>
      <c r="M45" s="3">
        <v>2050</v>
      </c>
    </row>
    <row r="46" spans="1:13" x14ac:dyDescent="0.3">
      <c r="A46" s="3" t="s">
        <v>11</v>
      </c>
      <c r="B46" s="34">
        <f t="array" ref="B46">SUM(IF(('W7. Primary Energy Prod'!$C$51:$C$479=B$43)*('W7. Primary Energy Prod'!$B$51:$B$479=$A46)*('W7. Primary Energy Prod'!$E$50:$O$50=B$45),'W7. Primary Energy Prod'!$E$51:$O$479))</f>
        <v>152832.4479725429</v>
      </c>
      <c r="C46" s="34">
        <f t="array" ref="C46">SUM(IF(('W7. Primary Energy Prod'!$C$51:$C$479=C$43)*('W7. Primary Energy Prod'!$B$51:$B$479=$A46)*('W7. Primary Energy Prod'!$E$50:$O$50=C$45),'W7. Primary Energy Prod'!$E$51:$O$479))</f>
        <v>158538.7874200783</v>
      </c>
      <c r="D46" s="34">
        <f t="array" ref="D46">SUM(IF(('W7. Primary Energy Prod'!$C$51:$C$479=D$43)*('W7. Primary Energy Prod'!$B$51:$B$479=$A46)*('W7. Primary Energy Prod'!$E$50:$O$50=D$45),'W7. Primary Energy Prod'!$E$51:$O$479))</f>
        <v>177208.35372693039</v>
      </c>
      <c r="E46" s="34">
        <f t="array" ref="E46">SUM(IF(('W7. Primary Energy Prod'!$C$51:$C$479=E$43)*('W7. Primary Energy Prod'!$B$51:$B$479=$A46)*('W7. Primary Energy Prod'!$E$50:$O$50=E$45),'W7. Primary Energy Prod'!$E$51:$O$479))</f>
        <v>180904.24746096539</v>
      </c>
      <c r="F46" s="34">
        <f t="array" ref="F46">SUM(IF(('W7. Primary Energy Prod'!$C$51:$C$479=F$43)*('W7. Primary Energy Prod'!$B$51:$B$479=$A46)*('W7. Primary Energy Prod'!$E$50:$O$50=F$45),'W7. Primary Energy Prod'!$E$51:$O$479))</f>
        <v>179873.48421216159</v>
      </c>
      <c r="G46" s="34">
        <f t="array" ref="G46">SUM(IF(('W7. Primary Energy Prod'!$C$51:$C$479=G$43)*('W7. Primary Energy Prod'!$B$51:$B$479=$A46)*('W7. Primary Energy Prod'!$E$50:$O$50=G$45),'W7. Primary Energy Prod'!$E$51:$O$479))</f>
        <v>170269.24722541097</v>
      </c>
      <c r="H46" s="36">
        <f t="shared" ref="H46:M55" si="5">B46*$B$5</f>
        <v>73.256658430874324</v>
      </c>
      <c r="I46" s="14">
        <f t="shared" si="5"/>
        <v>75.99185874562572</v>
      </c>
      <c r="J46" s="14">
        <f t="shared" si="5"/>
        <v>84.940678581576606</v>
      </c>
      <c r="K46" s="14">
        <f t="shared" si="5"/>
        <v>86.712218777802804</v>
      </c>
      <c r="L46" s="14">
        <f t="shared" si="5"/>
        <v>86.218146529125065</v>
      </c>
      <c r="M46" s="14">
        <f t="shared" si="5"/>
        <v>81.614580219999667</v>
      </c>
    </row>
    <row r="47" spans="1:13" x14ac:dyDescent="0.3">
      <c r="A47" s="3" t="s">
        <v>13</v>
      </c>
      <c r="B47" s="34">
        <f t="array" ref="B47">SUM(IF(('W7. Primary Energy Prod'!$C$51:$C$479=B$43)*('W7. Primary Energy Prod'!$B$51:$B$479=$A47)*('W7. Primary Energy Prod'!$E$50:$O$50=B$45),'W7. Primary Energy Prod'!$E$51:$O$479))</f>
        <v>152805.02083782584</v>
      </c>
      <c r="C47" s="34">
        <f t="array" ref="C47">SUM(IF(('W7. Primary Energy Prod'!$C$51:$C$479=C$43)*('W7. Primary Energy Prod'!$B$51:$B$479=$A47)*('W7. Primary Energy Prod'!$E$50:$O$50=C$45),'W7. Primary Energy Prod'!$E$51:$O$479))</f>
        <v>158355.41811537894</v>
      </c>
      <c r="D47" s="34">
        <f t="array" ref="D47">SUM(IF(('W7. Primary Energy Prod'!$C$51:$C$479=D$43)*('W7. Primary Energy Prod'!$B$51:$B$479=$A47)*('W7. Primary Energy Prod'!$E$50:$O$50=D$45),'W7. Primary Energy Prod'!$E$51:$O$479))</f>
        <v>173866.66342219655</v>
      </c>
      <c r="E47" s="34">
        <f t="array" ref="E47">SUM(IF(('W7. Primary Energy Prod'!$C$51:$C$479=E$43)*('W7. Primary Energy Prod'!$B$51:$B$479=$A47)*('W7. Primary Energy Prod'!$E$50:$O$50=E$45),'W7. Primary Energy Prod'!$E$51:$O$479))</f>
        <v>180344.62704175361</v>
      </c>
      <c r="F47" s="34">
        <f t="array" ref="F47">SUM(IF(('W7. Primary Energy Prod'!$C$51:$C$479=F$43)*('W7. Primary Energy Prod'!$B$51:$B$479=$A47)*('W7. Primary Energy Prod'!$E$50:$O$50=F$45),'W7. Primary Energy Prod'!$E$51:$O$479))</f>
        <v>179508.36709036733</v>
      </c>
      <c r="G47" s="34">
        <f t="array" ref="G47">SUM(IF(('W7. Primary Energy Prod'!$C$51:$C$479=G$43)*('W7. Primary Energy Prod'!$B$51:$B$479=$A47)*('W7. Primary Energy Prod'!$E$50:$O$50=G$45),'W7. Primary Energy Prod'!$E$51:$O$479))</f>
        <v>170442.81415956249</v>
      </c>
      <c r="H47" s="36">
        <f t="shared" si="5"/>
        <v>73.243511875503657</v>
      </c>
      <c r="I47" s="14">
        <f t="shared" si="5"/>
        <v>75.903964959330537</v>
      </c>
      <c r="J47" s="14">
        <f t="shared" si="5"/>
        <v>83.338917512620668</v>
      </c>
      <c r="K47" s="14">
        <f t="shared" si="5"/>
        <v>86.443977822135437</v>
      </c>
      <c r="L47" s="14">
        <f t="shared" si="5"/>
        <v>86.043136178683312</v>
      </c>
      <c r="M47" s="14">
        <f t="shared" si="5"/>
        <v>81.697775469298534</v>
      </c>
    </row>
    <row r="48" spans="1:13" x14ac:dyDescent="0.3">
      <c r="A48" s="3" t="s">
        <v>14</v>
      </c>
      <c r="B48" s="34">
        <f t="array" ref="B48">SUM(IF(('W7. Primary Energy Prod'!$C$51:$C$479=B$43)*('W7. Primary Energy Prod'!$B$51:$B$479=$A48)*('W7. Primary Energy Prod'!$E$50:$O$50=B$45),'W7. Primary Energy Prod'!$E$51:$O$479))</f>
        <v>152832.4479725429</v>
      </c>
      <c r="C48" s="34">
        <f t="array" ref="C48">SUM(IF(('W7. Primary Energy Prod'!$C$51:$C$479=C$43)*('W7. Primary Energy Prod'!$B$51:$B$479=$A48)*('W7. Primary Energy Prod'!$E$50:$O$50=C$45),'W7. Primary Energy Prod'!$E$51:$O$479))</f>
        <v>158538.7874200783</v>
      </c>
      <c r="D48" s="34">
        <f t="array" ref="D48">SUM(IF(('W7. Primary Energy Prod'!$C$51:$C$479=D$43)*('W7. Primary Energy Prod'!$B$51:$B$479=$A48)*('W7. Primary Energy Prod'!$E$50:$O$50=D$45),'W7. Primary Energy Prod'!$E$51:$O$479))</f>
        <v>170699.74489631387</v>
      </c>
      <c r="E48" s="34">
        <f t="array" ref="E48">SUM(IF(('W7. Primary Energy Prod'!$C$51:$C$479=E$43)*('W7. Primary Energy Prod'!$B$51:$B$479=$A48)*('W7. Primary Energy Prod'!$E$50:$O$50=E$45),'W7. Primary Energy Prod'!$E$51:$O$479))</f>
        <v>176541.28948572898</v>
      </c>
      <c r="F48" s="34">
        <f t="array" ref="F48">SUM(IF(('W7. Primary Energy Prod'!$C$51:$C$479=F$43)*('W7. Primary Energy Prod'!$B$51:$B$479=$A48)*('W7. Primary Energy Prod'!$E$50:$O$50=F$45),'W7. Primary Energy Prod'!$E$51:$O$479))</f>
        <v>175693.91429642565</v>
      </c>
      <c r="G48" s="34">
        <f t="array" ref="G48">SUM(IF(('W7. Primary Energy Prod'!$C$51:$C$479=G$43)*('W7. Primary Energy Prod'!$B$51:$B$479=$A48)*('W7. Primary Energy Prod'!$E$50:$O$50=G$45),'W7. Primary Energy Prod'!$E$51:$O$479))</f>
        <v>167702.98450333846</v>
      </c>
      <c r="H48" s="36">
        <f t="shared" si="5"/>
        <v>73.256658430874324</v>
      </c>
      <c r="I48" s="14">
        <f t="shared" si="5"/>
        <v>75.99185874562572</v>
      </c>
      <c r="J48" s="14">
        <f t="shared" si="5"/>
        <v>81.820929207083125</v>
      </c>
      <c r="K48" s="14">
        <f t="shared" si="5"/>
        <v>84.620936943479421</v>
      </c>
      <c r="L48" s="14">
        <f t="shared" si="5"/>
        <v>84.214767470772003</v>
      </c>
      <c r="M48" s="14">
        <f t="shared" si="5"/>
        <v>80.384502221716701</v>
      </c>
    </row>
    <row r="49" spans="1:13" x14ac:dyDescent="0.3">
      <c r="A49" s="3" t="s">
        <v>15</v>
      </c>
      <c r="B49" s="34">
        <f t="array" ref="B49">SUM(IF(('W7. Primary Energy Prod'!$C$51:$C$479=B$43)*('W7. Primary Energy Prod'!$B$51:$B$479=$A49)*('W7. Primary Energy Prod'!$E$50:$O$50=B$45),'W7. Primary Energy Prod'!$E$51:$O$479))</f>
        <v>152832.4479725429</v>
      </c>
      <c r="C49" s="34">
        <f t="array" ref="C49">SUM(IF(('W7. Primary Energy Prod'!$C$51:$C$479=C$43)*('W7. Primary Energy Prod'!$B$51:$B$479=$A49)*('W7. Primary Energy Prod'!$E$50:$O$50=C$45),'W7. Primary Energy Prod'!$E$51:$O$479))</f>
        <v>158538.7874200783</v>
      </c>
      <c r="D49" s="34">
        <f t="array" ref="D49">SUM(IF(('W7. Primary Energy Prod'!$C$51:$C$479=D$43)*('W7. Primary Energy Prod'!$B$51:$B$479=$A49)*('W7. Primary Energy Prod'!$E$50:$O$50=D$45),'W7. Primary Energy Prod'!$E$51:$O$479))</f>
        <v>170699.74489631387</v>
      </c>
      <c r="E49" s="34">
        <f t="array" ref="E49">SUM(IF(('W7. Primary Energy Prod'!$C$51:$C$479=E$43)*('W7. Primary Energy Prod'!$B$51:$B$479=$A49)*('W7. Primary Energy Prod'!$E$50:$O$50=E$45),'W7. Primary Energy Prod'!$E$51:$O$479))</f>
        <v>173506.79141583553</v>
      </c>
      <c r="F49" s="34">
        <f t="array" ref="F49">SUM(IF(('W7. Primary Energy Prod'!$C$51:$C$479=F$43)*('W7. Primary Energy Prod'!$B$51:$B$479=$A49)*('W7. Primary Energy Prod'!$E$50:$O$50=F$45),'W7. Primary Energy Prod'!$E$51:$O$479))</f>
        <v>171359.19362465074</v>
      </c>
      <c r="G49" s="34">
        <f t="array" ref="G49">SUM(IF(('W7. Primary Energy Prod'!$C$51:$C$479=G$43)*('W7. Primary Energy Prod'!$B$51:$B$479=$A49)*('W7. Primary Energy Prod'!$E$50:$O$50=G$45),'W7. Primary Energy Prod'!$E$51:$O$479))</f>
        <v>159922.83552746987</v>
      </c>
      <c r="H49" s="36">
        <f t="shared" si="5"/>
        <v>73.256658430874324</v>
      </c>
      <c r="I49" s="14">
        <f t="shared" si="5"/>
        <v>75.99185874562572</v>
      </c>
      <c r="J49" s="14">
        <f t="shared" si="5"/>
        <v>81.820929207083125</v>
      </c>
      <c r="K49" s="14">
        <f t="shared" si="5"/>
        <v>83.166421285552715</v>
      </c>
      <c r="L49" s="14">
        <f t="shared" si="5"/>
        <v>82.1370205272531</v>
      </c>
      <c r="M49" s="14">
        <f t="shared" si="5"/>
        <v>76.655269826192182</v>
      </c>
    </row>
    <row r="50" spans="1:13" x14ac:dyDescent="0.3">
      <c r="A50" s="3" t="s">
        <v>26</v>
      </c>
      <c r="B50" s="34">
        <f t="array" ref="B50">SUM(IF(('W7. Primary Energy Prod'!$C$51:$C$479=B$43)*('W7. Primary Energy Prod'!$B$51:$B$479=$A50)*('W7. Primary Energy Prod'!$E$50:$O$50=B$45),'W7. Primary Energy Prod'!$E$51:$O$479))</f>
        <v>152832.4479725429</v>
      </c>
      <c r="C50" s="34">
        <f t="array" ref="C50">SUM(IF(('W7. Primary Energy Prod'!$C$51:$C$479=C$43)*('W7. Primary Energy Prod'!$B$51:$B$479=$A50)*('W7. Primary Energy Prod'!$E$50:$O$50=C$45),'W7. Primary Energy Prod'!$E$51:$O$479))</f>
        <v>158538.7874200783</v>
      </c>
      <c r="D50" s="34">
        <f t="array" ref="D50">SUM(IF(('W7. Primary Energy Prod'!$C$51:$C$479=D$43)*('W7. Primary Energy Prod'!$B$51:$B$479=$A50)*('W7. Primary Energy Prod'!$E$50:$O$50=D$45),'W7. Primary Energy Prod'!$E$51:$O$479))</f>
        <v>170699.74489631387</v>
      </c>
      <c r="E50" s="34">
        <f t="array" ref="E50">SUM(IF(('W7. Primary Energy Prod'!$C$51:$C$479=E$43)*('W7. Primary Energy Prod'!$B$51:$B$479=$A50)*('W7. Primary Energy Prod'!$E$50:$O$50=E$45),'W7. Primary Energy Prod'!$E$51:$O$479))</f>
        <v>176541.28948572898</v>
      </c>
      <c r="F50" s="34">
        <f t="array" ref="F50">SUM(IF(('W7. Primary Energy Prod'!$C$51:$C$479=F$43)*('W7. Primary Energy Prod'!$B$51:$B$479=$A50)*('W7. Primary Energy Prod'!$E$50:$O$50=F$45),'W7. Primary Energy Prod'!$E$51:$O$479))</f>
        <v>171293.14235974263</v>
      </c>
      <c r="G50" s="34">
        <f t="array" ref="G50">SUM(IF(('W7. Primary Energy Prod'!$C$51:$C$479=G$43)*('W7. Primary Energy Prod'!$B$51:$B$479=$A50)*('W7. Primary Energy Prod'!$E$50:$O$50=G$45),'W7. Primary Energy Prod'!$E$51:$O$479))</f>
        <v>157755.02563447127</v>
      </c>
      <c r="H50" s="36">
        <f t="shared" si="5"/>
        <v>73.256658430874324</v>
      </c>
      <c r="I50" s="14">
        <f t="shared" si="5"/>
        <v>75.99185874562572</v>
      </c>
      <c r="J50" s="14">
        <f t="shared" si="5"/>
        <v>81.820929207083125</v>
      </c>
      <c r="K50" s="14">
        <f t="shared" si="5"/>
        <v>84.620936943479421</v>
      </c>
      <c r="L50" s="14">
        <f t="shared" si="5"/>
        <v>82.105360398684255</v>
      </c>
      <c r="M50" s="14">
        <f t="shared" si="5"/>
        <v>75.616180869748845</v>
      </c>
    </row>
    <row r="51" spans="1:13" x14ac:dyDescent="0.3">
      <c r="A51" s="3" t="s">
        <v>32</v>
      </c>
      <c r="B51" s="34">
        <f t="array" ref="B51">SUM(IF(('W7. Primary Energy Prod'!$C$51:$C$479=B$43)*('W7. Primary Energy Prod'!$B$51:$B$479=$A51)*('W7. Primary Energy Prod'!$E$50:$O$50=B$45),'W7. Primary Energy Prod'!$E$51:$O$479))</f>
        <v>152832.4479725429</v>
      </c>
      <c r="C51" s="34">
        <f t="array" ref="C51">SUM(IF(('W7. Primary Energy Prod'!$C$51:$C$479=C$43)*('W7. Primary Energy Prod'!$B$51:$B$479=$A51)*('W7. Primary Energy Prod'!$E$50:$O$50=C$45),'W7. Primary Energy Prod'!$E$51:$O$479))</f>
        <v>158538.7874200783</v>
      </c>
      <c r="D51" s="34">
        <f t="array" ref="D51">SUM(IF(('W7. Primary Energy Prod'!$C$51:$C$479=D$43)*('W7. Primary Energy Prod'!$B$51:$B$479=$A51)*('W7. Primary Energy Prod'!$E$50:$O$50=D$45),'W7. Primary Energy Prod'!$E$51:$O$479))</f>
        <v>170699.74489631387</v>
      </c>
      <c r="E51" s="34">
        <f t="array" ref="E51">SUM(IF(('W7. Primary Energy Prod'!$C$51:$C$479=E$43)*('W7. Primary Energy Prod'!$B$51:$B$479=$A51)*('W7. Primary Energy Prod'!$E$50:$O$50=E$45),'W7. Primary Energy Prod'!$E$51:$O$479))</f>
        <v>169562.31890813055</v>
      </c>
      <c r="F51" s="34">
        <f t="array" ref="F51">SUM(IF(('W7. Primary Energy Prod'!$C$51:$C$479=F$43)*('W7. Primary Energy Prod'!$B$51:$B$479=$A51)*('W7. Primary Energy Prod'!$E$50:$O$50=F$45),'W7. Primary Energy Prod'!$E$51:$O$479))</f>
        <v>161193.81815585829</v>
      </c>
      <c r="G51" s="34">
        <f t="array" ref="G51">SUM(IF(('W7. Primary Energy Prod'!$C$51:$C$479=G$43)*('W7. Primary Energy Prod'!$B$51:$B$479=$A51)*('W7. Primary Energy Prod'!$E$50:$O$50=G$45),'W7. Primary Energy Prod'!$E$51:$O$479))</f>
        <v>151112.05138907253</v>
      </c>
      <c r="H51" s="36">
        <f t="shared" si="5"/>
        <v>73.256658430874324</v>
      </c>
      <c r="I51" s="14">
        <f t="shared" si="5"/>
        <v>75.99185874562572</v>
      </c>
      <c r="J51" s="14">
        <f t="shared" si="5"/>
        <v>81.820929207083125</v>
      </c>
      <c r="K51" s="14">
        <f t="shared" si="5"/>
        <v>81.275730669651367</v>
      </c>
      <c r="L51" s="14">
        <f t="shared" si="5"/>
        <v>77.264485614557699</v>
      </c>
      <c r="M51" s="14">
        <f t="shared" si="5"/>
        <v>72.432026577149301</v>
      </c>
    </row>
    <row r="52" spans="1:13" x14ac:dyDescent="0.3">
      <c r="A52" s="3" t="s">
        <v>37</v>
      </c>
      <c r="B52" s="34">
        <f t="array" ref="B52">SUM(IF(('W7. Primary Energy Prod'!$C$51:$C$479=B$43)*('W7. Primary Energy Prod'!$B$51:$B$479=$A52)*('W7. Primary Energy Prod'!$E$50:$O$50=B$45),'W7. Primary Energy Prod'!$E$51:$O$479))</f>
        <v>152832.4479725429</v>
      </c>
      <c r="C52" s="34">
        <f t="array" ref="C52">SUM(IF(('W7. Primary Energy Prod'!$C$51:$C$479=C$43)*('W7. Primary Energy Prod'!$B$51:$B$479=$A52)*('W7. Primary Energy Prod'!$E$50:$O$50=C$45),'W7. Primary Energy Prod'!$E$51:$O$479))</f>
        <v>158538.7874200783</v>
      </c>
      <c r="D52" s="34">
        <f t="array" ref="D52">SUM(IF(('W7. Primary Energy Prod'!$C$51:$C$479=D$43)*('W7. Primary Energy Prod'!$B$51:$B$479=$A52)*('W7. Primary Energy Prod'!$E$50:$O$50=D$45),'W7. Primary Energy Prod'!$E$51:$O$479))</f>
        <v>170699.74489631387</v>
      </c>
      <c r="E52" s="34">
        <f t="array" ref="E52">SUM(IF(('W7. Primary Energy Prod'!$C$51:$C$479=E$43)*('W7. Primary Energy Prod'!$B$51:$B$479=$A52)*('W7. Primary Energy Prod'!$E$50:$O$50=E$45),'W7. Primary Energy Prod'!$E$51:$O$479))</f>
        <v>173759.08992337427</v>
      </c>
      <c r="F52" s="34">
        <f t="array" ref="F52">SUM(IF(('W7. Primary Energy Prod'!$C$51:$C$479=F$43)*('W7. Primary Energy Prod'!$B$51:$B$479=$A52)*('W7. Primary Energy Prod'!$E$50:$O$50=F$45),'W7. Primary Energy Prod'!$E$51:$O$479))</f>
        <v>172352.27879695277</v>
      </c>
      <c r="G52" s="34">
        <f t="array" ref="G52">SUM(IF(('W7. Primary Energy Prod'!$C$51:$C$479=G$43)*('W7. Primary Energy Prod'!$B$51:$B$479=$A52)*('W7. Primary Energy Prod'!$E$50:$O$50=G$45),'W7. Primary Energy Prod'!$E$51:$O$479))</f>
        <v>158316.23067812435</v>
      </c>
      <c r="H52" s="36">
        <f t="shared" si="5"/>
        <v>73.256658430874324</v>
      </c>
      <c r="I52" s="14">
        <f t="shared" si="5"/>
        <v>75.99185874562572</v>
      </c>
      <c r="J52" s="14">
        <f t="shared" si="5"/>
        <v>81.820929207083125</v>
      </c>
      <c r="K52" s="14">
        <f t="shared" si="5"/>
        <v>83.287354672634933</v>
      </c>
      <c r="L52" s="14">
        <f t="shared" si="5"/>
        <v>82.613032671435761</v>
      </c>
      <c r="M52" s="14">
        <f t="shared" si="5"/>
        <v>75.885181378069987</v>
      </c>
    </row>
    <row r="53" spans="1:13" x14ac:dyDescent="0.3">
      <c r="A53" s="3" t="s">
        <v>1026</v>
      </c>
      <c r="B53" s="34">
        <f t="array" ref="B53">SUM(IF(('W7. Primary Energy Prod'!$C$51:$C$479=B$43)*('W7. Primary Energy Prod'!$B$51:$B$479=$A53)*('W7. Primary Energy Prod'!$E$50:$O$50=B$45),'W7. Primary Energy Prod'!$E$51:$O$479))</f>
        <v>152832.4479725429</v>
      </c>
      <c r="C53" s="34">
        <f t="array" ref="C53">SUM(IF(('W7. Primary Energy Prod'!$C$51:$C$479=C$43)*('W7. Primary Energy Prod'!$B$51:$B$479=$A53)*('W7. Primary Energy Prod'!$E$50:$O$50=C$45),'W7. Primary Energy Prod'!$E$51:$O$479))</f>
        <v>158538.7874200783</v>
      </c>
      <c r="D53" s="34">
        <f t="array" ref="D53">SUM(IF(('W7. Primary Energy Prod'!$C$51:$C$479=D$43)*('W7. Primary Energy Prod'!$B$51:$B$479=$A53)*('W7. Primary Energy Prod'!$E$50:$O$50=D$45),'W7. Primary Energy Prod'!$E$51:$O$479))</f>
        <v>170699.74489631387</v>
      </c>
      <c r="E53" s="34">
        <f t="array" ref="E53">SUM(IF(('W7. Primary Energy Prod'!$C$51:$C$479=E$43)*('W7. Primary Energy Prod'!$B$51:$B$479=$A53)*('W7. Primary Energy Prod'!$E$50:$O$50=E$45),'W7. Primary Energy Prod'!$E$51:$O$479))</f>
        <v>172263.22997899112</v>
      </c>
      <c r="F53" s="34">
        <f t="array" ref="F53">SUM(IF(('W7. Primary Energy Prod'!$C$51:$C$479=F$43)*('W7. Primary Energy Prod'!$B$51:$B$479=$A53)*('W7. Primary Energy Prod'!$E$50:$O$50=F$45),'W7. Primary Energy Prod'!$E$51:$O$479))</f>
        <v>169079.41678152993</v>
      </c>
      <c r="G53" s="34">
        <f t="array" ref="G53">SUM(IF(('W7. Primary Energy Prod'!$C$51:$C$479=G$43)*('W7. Primary Energy Prod'!$B$51:$B$479=$A53)*('W7. Primary Energy Prod'!$E$50:$O$50=G$45),'W7. Primary Energy Prod'!$E$51:$O$479))</f>
        <v>160164.68455355742</v>
      </c>
      <c r="H53" s="36">
        <f t="shared" si="5"/>
        <v>73.256658430874324</v>
      </c>
      <c r="I53" s="14">
        <f t="shared" si="5"/>
        <v>75.99185874562572</v>
      </c>
      <c r="J53" s="14">
        <f t="shared" si="5"/>
        <v>81.820929207083125</v>
      </c>
      <c r="K53" s="14">
        <f t="shared" si="5"/>
        <v>82.570349203836898</v>
      </c>
      <c r="L53" s="14">
        <f t="shared" si="5"/>
        <v>81.044262832727895</v>
      </c>
      <c r="M53" s="14">
        <f t="shared" si="5"/>
        <v>76.77119449880567</v>
      </c>
    </row>
    <row r="54" spans="1:13" x14ac:dyDescent="0.3">
      <c r="A54" s="3" t="s">
        <v>47</v>
      </c>
      <c r="B54" s="34">
        <f t="array" ref="B54">SUM(IF(('W7. Primary Energy Prod'!$C$51:$C$479=B$43)*('W7. Primary Energy Prod'!$B$51:$B$479=$A54)*('W7. Primary Energy Prod'!$E$50:$O$50=B$45),'W7. Primary Energy Prod'!$E$51:$O$479))</f>
        <v>152832.4479725429</v>
      </c>
      <c r="C54" s="34">
        <f t="array" ref="C54">SUM(IF(('W7. Primary Energy Prod'!$C$51:$C$479=C$43)*('W7. Primary Energy Prod'!$B$51:$B$479=$A54)*('W7. Primary Energy Prod'!$E$50:$O$50=C$45),'W7. Primary Energy Prod'!$E$51:$O$479))</f>
        <v>158538.7874200783</v>
      </c>
      <c r="D54" s="34">
        <f t="array" ref="D54">SUM(IF(('W7. Primary Energy Prod'!$C$51:$C$479=D$43)*('W7. Primary Energy Prod'!$B$51:$B$479=$A54)*('W7. Primary Energy Prod'!$E$50:$O$50=D$45),'W7. Primary Energy Prod'!$E$51:$O$479))</f>
        <v>170699.74489631387</v>
      </c>
      <c r="E54" s="34">
        <f t="array" ref="E54">SUM(IF(('W7. Primary Energy Prod'!$C$51:$C$479=E$43)*('W7. Primary Energy Prod'!$B$51:$B$479=$A54)*('W7. Primary Energy Prod'!$E$50:$O$50=E$45),'W7. Primary Energy Prod'!$E$51:$O$479))</f>
        <v>162104.17467200488</v>
      </c>
      <c r="F54" s="34">
        <f t="array" ref="F54">SUM(IF(('W7. Primary Energy Prod'!$C$51:$C$479=F$43)*('W7. Primary Energy Prod'!$B$51:$B$479=$A54)*('W7. Primary Energy Prod'!$E$50:$O$50=F$45),'W7. Primary Energy Prod'!$E$51:$O$479))</f>
        <v>157477.4265732627</v>
      </c>
      <c r="G54" s="34">
        <f t="array" ref="G54">SUM(IF(('W7. Primary Energy Prod'!$C$51:$C$479=G$43)*('W7. Primary Energy Prod'!$B$51:$B$479=$A54)*('W7. Primary Energy Prod'!$E$50:$O$50=G$45),'W7. Primary Energy Prod'!$E$51:$O$479))</f>
        <v>152720.29554846918</v>
      </c>
      <c r="H54" s="36">
        <f t="shared" si="5"/>
        <v>73.256658430874324</v>
      </c>
      <c r="I54" s="14">
        <f t="shared" si="5"/>
        <v>75.99185874562572</v>
      </c>
      <c r="J54" s="14">
        <f t="shared" si="5"/>
        <v>81.820929207083125</v>
      </c>
      <c r="K54" s="14">
        <f t="shared" si="5"/>
        <v>77.700843712843565</v>
      </c>
      <c r="L54" s="14">
        <f t="shared" si="5"/>
        <v>75.483120254169748</v>
      </c>
      <c r="M54" s="14">
        <f t="shared" si="5"/>
        <v>73.202900790192942</v>
      </c>
    </row>
    <row r="55" spans="1:13" x14ac:dyDescent="0.3">
      <c r="A55" s="3" t="s">
        <v>49</v>
      </c>
      <c r="B55" s="34">
        <f t="array" ref="B55">SUM(IF(('W7. Primary Energy Prod'!$C$51:$C$479=B$43)*('W7. Primary Energy Prod'!$B$51:$B$479=$A55)*('W7. Primary Energy Prod'!$E$50:$O$50=B$45),'W7. Primary Energy Prod'!$E$51:$O$479))</f>
        <v>152832.4479725429</v>
      </c>
      <c r="C55" s="34">
        <f t="array" ref="C55">SUM(IF(('W7. Primary Energy Prod'!$C$51:$C$479=C$43)*('W7. Primary Energy Prod'!$B$51:$B$479=$A55)*('W7. Primary Energy Prod'!$E$50:$O$50=C$45),'W7. Primary Energy Prod'!$E$51:$O$479))</f>
        <v>158538.7874200783</v>
      </c>
      <c r="D55" s="34">
        <f t="array" ref="D55">SUM(IF(('W7. Primary Energy Prod'!$C$51:$C$479=D$43)*('W7. Primary Energy Prod'!$B$51:$B$479=$A55)*('W7. Primary Energy Prod'!$E$50:$O$50=D$45),'W7. Primary Energy Prod'!$E$51:$O$479))</f>
        <v>170699.74489631387</v>
      </c>
      <c r="E55" s="34">
        <f t="array" ref="E55">SUM(IF(('W7. Primary Energy Prod'!$C$51:$C$479=E$43)*('W7. Primary Energy Prod'!$B$51:$B$479=$A55)*('W7. Primary Energy Prod'!$E$50:$O$50=E$45),'W7. Primary Energy Prod'!$E$51:$O$479))</f>
        <v>165100.54249270255</v>
      </c>
      <c r="F55" s="34">
        <f t="array" ref="F55">SUM(IF(('W7. Primary Energy Prod'!$C$51:$C$479=F$43)*('W7. Primary Energy Prod'!$B$51:$B$479=$A55)*('W7. Primary Energy Prod'!$E$50:$O$50=F$45),'W7. Primary Energy Prod'!$E$51:$O$479))</f>
        <v>162633.57187244322</v>
      </c>
      <c r="G55" s="34">
        <f t="array" ref="G55">SUM(IF(('W7. Primary Energy Prod'!$C$51:$C$479=G$43)*('W7. Primary Energy Prod'!$B$51:$B$479=$A55)*('W7. Primary Energy Prod'!$E$50:$O$50=G$45),'W7. Primary Energy Prod'!$E$51:$O$479))</f>
        <v>143435.26218496115</v>
      </c>
      <c r="H55" s="36">
        <f t="shared" si="5"/>
        <v>73.256658430874324</v>
      </c>
      <c r="I55" s="14">
        <f t="shared" si="5"/>
        <v>75.99185874562572</v>
      </c>
      <c r="J55" s="14">
        <f t="shared" si="5"/>
        <v>81.820929207083125</v>
      </c>
      <c r="K55" s="14">
        <f t="shared" si="5"/>
        <v>79.137082527872863</v>
      </c>
      <c r="L55" s="14">
        <f t="shared" si="5"/>
        <v>77.954597875662046</v>
      </c>
      <c r="M55" s="14">
        <f t="shared" si="5"/>
        <v>68.752337270121743</v>
      </c>
    </row>
    <row r="56" spans="1:13" ht="15" thickBot="1" x14ac:dyDescent="0.35"/>
    <row r="57" spans="1:13" s="25" customFormat="1" ht="15" thickBot="1" x14ac:dyDescent="0.35">
      <c r="A57" s="24" t="s">
        <v>377</v>
      </c>
    </row>
    <row r="59" spans="1:13" x14ac:dyDescent="0.3">
      <c r="B59" s="3" t="s">
        <v>376</v>
      </c>
      <c r="C59" s="3" t="s">
        <v>376</v>
      </c>
      <c r="D59" s="3" t="s">
        <v>376</v>
      </c>
      <c r="E59" s="3" t="s">
        <v>376</v>
      </c>
      <c r="F59" s="3" t="s">
        <v>376</v>
      </c>
      <c r="G59" s="3" t="s">
        <v>376</v>
      </c>
      <c r="H59" s="3" t="s">
        <v>376</v>
      </c>
      <c r="I59" s="3" t="s">
        <v>376</v>
      </c>
      <c r="J59" s="3" t="s">
        <v>376</v>
      </c>
      <c r="K59" s="3" t="s">
        <v>376</v>
      </c>
    </row>
    <row r="60" spans="1:13" x14ac:dyDescent="0.3">
      <c r="A60" s="3" t="s">
        <v>8</v>
      </c>
      <c r="B60" s="3">
        <v>2007</v>
      </c>
      <c r="C60" s="3">
        <v>2012</v>
      </c>
      <c r="D60" s="3">
        <v>2014</v>
      </c>
      <c r="E60" s="3">
        <v>2015</v>
      </c>
      <c r="F60" s="3">
        <v>2016</v>
      </c>
      <c r="G60" s="3">
        <v>2017</v>
      </c>
      <c r="H60" s="3">
        <v>2020</v>
      </c>
      <c r="I60" s="3">
        <v>2030</v>
      </c>
      <c r="J60" s="3">
        <v>2040</v>
      </c>
      <c r="K60" s="3">
        <v>2050</v>
      </c>
    </row>
    <row r="61" spans="1:13" x14ac:dyDescent="0.3">
      <c r="A61" s="3" t="s">
        <v>368</v>
      </c>
      <c r="B61" s="14"/>
      <c r="C61" s="14"/>
      <c r="D61" s="14" t="str">
        <f t="array" ref="D61">INDEX('W20. Fossil fuel prod'!$F$16:$R$45,MATCH($A61&amp;"Oil",'W20. Fossil fuel prod'!$A$16:$A$45&amp;'W20. Fossil fuel prod'!$C$16:$C$45,0),MATCH(D$60,'W20. Fossil fuel prod'!$F$15:$R$15,0))</f>
        <v/>
      </c>
      <c r="E61" s="14" t="str">
        <f t="array" ref="E61">INDEX('W20. Fossil fuel prod'!$F$16:$R$45,MATCH($A61&amp;"Oil",'W20. Fossil fuel prod'!$A$16:$A$45&amp;'W20. Fossil fuel prod'!$C$16:$C$45,0),MATCH(E$60,'W20. Fossil fuel prod'!$F$15:$R$15,0))</f>
        <v/>
      </c>
      <c r="F61" s="14">
        <f t="array" ref="F61">INDEX('W20. Fossil fuel prod'!$F$16:$R$45,MATCH($A61&amp;"Oil",'W20. Fossil fuel prod'!$A$16:$A$45&amp;'W20. Fossil fuel prod'!$C$16:$C$45,0),MATCH(F$60,'W20. Fossil fuel prod'!$F$15:$R$15,0))</f>
        <v>92.411000000000001</v>
      </c>
      <c r="G61" s="14">
        <f t="array" ref="G61">INDEX('W20. Fossil fuel prod'!$F$16:$R$45,MATCH($A61&amp;"Oil",'W20. Fossil fuel prod'!$A$16:$A$45&amp;'W20. Fossil fuel prod'!$C$16:$C$45,0),MATCH(G$60,'W20. Fossil fuel prod'!$F$15:$R$15,0))</f>
        <v>92.781000000000006</v>
      </c>
      <c r="H61" s="14">
        <f t="array" ref="H61">INDEX('W20. Fossil fuel prod'!$F$16:$R$45,MATCH($A61&amp;"Oil",'W20. Fossil fuel prod'!$A$16:$A$45&amp;'W20. Fossil fuel prod'!$C$16:$C$45,0),MATCH(H$60,'W20. Fossil fuel prod'!$F$15:$R$15,0))</f>
        <v>96.576750000000004</v>
      </c>
      <c r="I61" s="14">
        <f t="array" ref="I61">INDEX('W20. Fossil fuel prod'!$F$16:$R$45,MATCH($A61&amp;"Oil",'W20. Fossil fuel prod'!$A$16:$A$45&amp;'W20. Fossil fuel prod'!$C$16:$C$45,0),MATCH(I$60,'W20. Fossil fuel prod'!$F$15:$R$15,0))</f>
        <v>107.675</v>
      </c>
      <c r="J61" s="14">
        <f t="array" ref="J61">INDEX('W20. Fossil fuel prod'!$F$16:$R$45,MATCH($A61&amp;"Oil",'W20. Fossil fuel prod'!$A$16:$A$45&amp;'W20. Fossil fuel prod'!$C$16:$C$45,0),MATCH(J$60,'W20. Fossil fuel prod'!$F$15:$R$15,0))</f>
        <v>117.205</v>
      </c>
      <c r="K61" s="14">
        <f t="array" ref="K61">INDEX('W20. Fossil fuel prod'!$F$16:$R$45,MATCH($A61&amp;"Oil",'W20. Fossil fuel prod'!$A$16:$A$45&amp;'W20. Fossil fuel prod'!$C$16:$C$45,0),MATCH(K$60,'W20. Fossil fuel prod'!$F$15:$R$15,0))</f>
        <v>127.52900000000022</v>
      </c>
    </row>
    <row r="62" spans="1:13" x14ac:dyDescent="0.3">
      <c r="A62" s="3" t="s">
        <v>370</v>
      </c>
      <c r="B62" s="14"/>
      <c r="C62" s="14"/>
      <c r="D62" s="14" t="str">
        <f t="array" ref="D62">INDEX('W20. Fossil fuel prod'!$F$16:$R$45,MATCH($A62&amp;"Oil",'W20. Fossil fuel prod'!$A$16:$A$45&amp;'W20. Fossil fuel prod'!$C$16:$C$45,0),MATCH(D$60,'W20. Fossil fuel prod'!$F$15:$R$15,0))</f>
        <v/>
      </c>
      <c r="E62" s="14" t="str">
        <f t="array" ref="E62">INDEX('W20. Fossil fuel prod'!$F$16:$R$45,MATCH($A62&amp;"Oil",'W20. Fossil fuel prod'!$A$16:$A$45&amp;'W20. Fossil fuel prod'!$C$16:$C$45,0),MATCH(E$60,'W20. Fossil fuel prod'!$F$15:$R$15,0))</f>
        <v/>
      </c>
      <c r="F62" s="14">
        <f t="array" ref="F62">INDEX('W20. Fossil fuel prod'!$F$16:$R$45,MATCH($A62&amp;"Oil",'W20. Fossil fuel prod'!$A$16:$A$45&amp;'W20. Fossil fuel prod'!$C$16:$C$45,0),MATCH(F$60,'W20. Fossil fuel prod'!$F$15:$R$15,0))</f>
        <v>92.411000000000001</v>
      </c>
      <c r="G62" s="14">
        <f t="array" ref="G62">INDEX('W20. Fossil fuel prod'!$F$16:$R$45,MATCH($A62&amp;"Oil",'W20. Fossil fuel prod'!$A$16:$A$45&amp;'W20. Fossil fuel prod'!$C$16:$C$45,0),MATCH(G$60,'W20. Fossil fuel prod'!$F$15:$R$15,0))</f>
        <v>92.781000000000006</v>
      </c>
      <c r="H62" s="14">
        <f t="array" ref="H62">INDEX('W20. Fossil fuel prod'!$F$16:$R$45,MATCH($A62&amp;"Oil",'W20. Fossil fuel prod'!$A$16:$A$45&amp;'W20. Fossil fuel prod'!$C$16:$C$45,0),MATCH(H$60,'W20. Fossil fuel prod'!$F$15:$R$15,0))</f>
        <v>95.458875000000006</v>
      </c>
      <c r="I62" s="14">
        <f t="array" ref="I62">INDEX('W20. Fossil fuel prod'!$F$16:$R$45,MATCH($A62&amp;"Oil",'W20. Fossil fuel prod'!$A$16:$A$45&amp;'W20. Fossil fuel prod'!$C$16:$C$45,0),MATCH(I$60,'W20. Fossil fuel prod'!$F$15:$R$15,0))</f>
        <v>101.631</v>
      </c>
      <c r="J62" s="14">
        <f t="array" ref="J62">INDEX('W20. Fossil fuel prod'!$F$16:$R$45,MATCH($A62&amp;"Oil",'W20. Fossil fuel prod'!$A$16:$A$45&amp;'W20. Fossil fuel prod'!$C$16:$C$45,0),MATCH(J$60,'W20. Fossil fuel prod'!$F$15:$R$15,0))</f>
        <v>103.36499999999999</v>
      </c>
      <c r="K62" s="14">
        <f t="array" ref="K62">INDEX('W20. Fossil fuel prod'!$F$16:$R$45,MATCH($A62&amp;"Oil",'W20. Fossil fuel prod'!$A$16:$A$45&amp;'W20. Fossil fuel prod'!$C$16:$C$45,0),MATCH(K$60,'W20. Fossil fuel prod'!$F$15:$R$15,0))</f>
        <v>105.92100000000005</v>
      </c>
    </row>
    <row r="63" spans="1:13" x14ac:dyDescent="0.3">
      <c r="A63" s="3" t="s">
        <v>372</v>
      </c>
      <c r="B63" s="14"/>
      <c r="C63" s="14"/>
      <c r="D63" s="14" t="str">
        <f t="array" ref="D63">INDEX('W20. Fossil fuel prod'!$F$16:$R$45,MATCH($A63&amp;"Oil",'W20. Fossil fuel prod'!$A$16:$A$45&amp;'W20. Fossil fuel prod'!$C$16:$C$45,0),MATCH(D$60,'W20. Fossil fuel prod'!$F$15:$R$15,0))</f>
        <v/>
      </c>
      <c r="E63" s="14" t="str">
        <f t="array" ref="E63">INDEX('W20. Fossil fuel prod'!$F$16:$R$45,MATCH($A63&amp;"Oil",'W20. Fossil fuel prod'!$A$16:$A$45&amp;'W20. Fossil fuel prod'!$C$16:$C$45,0),MATCH(E$60,'W20. Fossil fuel prod'!$F$15:$R$15,0))</f>
        <v/>
      </c>
      <c r="F63" s="14">
        <f t="array" ref="F63">INDEX('W20. Fossil fuel prod'!$F$16:$R$45,MATCH($A63&amp;"Oil",'W20. Fossil fuel prod'!$A$16:$A$45&amp;'W20. Fossil fuel prod'!$C$16:$C$45,0),MATCH(F$60,'W20. Fossil fuel prod'!$F$15:$R$15,0))</f>
        <v>92.411000000000001</v>
      </c>
      <c r="G63" s="14">
        <f t="array" ref="G63">INDEX('W20. Fossil fuel prod'!$F$16:$R$45,MATCH($A63&amp;"Oil",'W20. Fossil fuel prod'!$A$16:$A$45&amp;'W20. Fossil fuel prod'!$C$16:$C$45,0),MATCH(G$60,'W20. Fossil fuel prod'!$F$15:$R$15,0))</f>
        <v>92.781000000000006</v>
      </c>
      <c r="H63" s="14">
        <f t="array" ref="H63">INDEX('W20. Fossil fuel prod'!$F$16:$R$45,MATCH($A63&amp;"Oil",'W20. Fossil fuel prod'!$A$16:$A$45&amp;'W20. Fossil fuel prod'!$C$16:$C$45,0),MATCH(H$60,'W20. Fossil fuel prod'!$F$15:$R$15,0))</f>
        <v>92.325000000000003</v>
      </c>
      <c r="I63" s="14">
        <f t="array" ref="I63">INDEX('W20. Fossil fuel prod'!$F$16:$R$45,MATCH($A63&amp;"Oil",'W20. Fossil fuel prod'!$A$16:$A$45&amp;'W20. Fossil fuel prod'!$C$16:$C$45,0),MATCH(I$60,'W20. Fossil fuel prod'!$F$15:$R$15,0))</f>
        <v>84.728999999999999</v>
      </c>
      <c r="J63" s="14">
        <f t="array" ref="J63">INDEX('W20. Fossil fuel prod'!$F$16:$R$45,MATCH($A63&amp;"Oil",'W20. Fossil fuel prod'!$A$16:$A$45&amp;'W20. Fossil fuel prod'!$C$16:$C$45,0),MATCH(J$60,'W20. Fossil fuel prod'!$F$15:$R$15,0))</f>
        <v>67.968999999999994</v>
      </c>
      <c r="K63" s="14">
        <f t="array" ref="K63">INDEX('W20. Fossil fuel prod'!$F$16:$R$45,MATCH($A63&amp;"Oil",'W20. Fossil fuel prod'!$A$16:$A$45&amp;'W20. Fossil fuel prod'!$C$16:$C$45,0),MATCH(K$60,'W20. Fossil fuel prod'!$F$15:$R$15,0))</f>
        <v>53.493000000000393</v>
      </c>
    </row>
    <row r="64" spans="1:13" x14ac:dyDescent="0.3">
      <c r="A64" s="3" t="s">
        <v>378</v>
      </c>
      <c r="B64" s="14"/>
      <c r="C64" s="14"/>
      <c r="D64" s="14">
        <f t="array" ref="D64">INDEX('W20. Fossil fuel prod'!$F$16:$R$45,MATCH($A64&amp;"Oil",'W20. Fossil fuel prod'!$A$16:$A$45&amp;'W20. Fossil fuel prod'!$C$16:$C$45,0),MATCH(D$60,'W20. Fossil fuel prod'!$F$15:$R$15,0))</f>
        <v>89.607299999999995</v>
      </c>
      <c r="E64" s="14" t="str">
        <f t="array" ref="E64">INDEX('W20. Fossil fuel prod'!$F$16:$R$45,MATCH($A64&amp;"Oil",'W20. Fossil fuel prod'!$A$16:$A$45&amp;'W20. Fossil fuel prod'!$C$16:$C$45,0),MATCH(E$60,'W20. Fossil fuel prod'!$F$15:$R$15,0))</f>
        <v/>
      </c>
      <c r="F64" s="14" t="str">
        <f t="array" ref="F64">INDEX('W20. Fossil fuel prod'!$F$16:$R$45,MATCH($A64&amp;"Oil",'W20. Fossil fuel prod'!$A$16:$A$45&amp;'W20. Fossil fuel prod'!$C$16:$C$45,0),MATCH(F$60,'W20. Fossil fuel prod'!$F$15:$R$15,0))</f>
        <v/>
      </c>
      <c r="G64" s="14" t="str">
        <f t="array" ref="G64">INDEX('W20. Fossil fuel prod'!$F$16:$R$45,MATCH($A64&amp;"Oil",'W20. Fossil fuel prod'!$A$16:$A$45&amp;'W20. Fossil fuel prod'!$C$16:$C$45,0),MATCH(G$60,'W20. Fossil fuel prod'!$F$15:$R$15,0))</f>
        <v/>
      </c>
      <c r="H64" s="14">
        <f t="array" ref="H64">INDEX('W20. Fossil fuel prod'!$F$16:$R$45,MATCH($A64&amp;"Oil",'W20. Fossil fuel prod'!$A$16:$A$45&amp;'W20. Fossil fuel prod'!$C$16:$C$45,0),MATCH(H$60,'W20. Fossil fuel prod'!$F$15:$R$15,0))</f>
        <v>95.005899999999997</v>
      </c>
      <c r="I64" s="14">
        <f t="array" ref="I64">INDEX('W20. Fossil fuel prod'!$F$16:$R$45,MATCH($A64&amp;"Oil",'W20. Fossil fuel prod'!$A$16:$A$45&amp;'W20. Fossil fuel prod'!$C$16:$C$45,0),MATCH(I$60,'W20. Fossil fuel prod'!$F$15:$R$15,0))</f>
        <v>103.86</v>
      </c>
      <c r="J64" s="14">
        <f t="array" ref="J64">INDEX('W20. Fossil fuel prod'!$F$16:$R$45,MATCH($A64&amp;"Oil",'W20. Fossil fuel prod'!$A$16:$A$45&amp;'W20. Fossil fuel prod'!$C$16:$C$45,0),MATCH(J$60,'W20. Fossil fuel prod'!$F$15:$R$15,0))</f>
        <v>113.57299999999999</v>
      </c>
      <c r="K64" s="14">
        <f t="array" ref="K64">INDEX('W20. Fossil fuel prod'!$F$16:$R$45,MATCH($A64&amp;"Oil",'W20. Fossil fuel prod'!$A$16:$A$45&amp;'W20. Fossil fuel prod'!$C$16:$C$45,0),MATCH(K$60,'W20. Fossil fuel prod'!$F$15:$R$15,0))</f>
        <v>123.28599999999999</v>
      </c>
    </row>
    <row r="65" spans="1:11" x14ac:dyDescent="0.3">
      <c r="A65" s="3" t="s">
        <v>379</v>
      </c>
      <c r="B65" s="14"/>
      <c r="C65" s="14"/>
      <c r="D65" s="14">
        <f t="array" ref="D65">INDEX('W20. Fossil fuel prod'!$F$16:$R$45,MATCH($A65&amp;"Oil",'W20. Fossil fuel prod'!$A$16:$A$45&amp;'W20. Fossil fuel prod'!$C$16:$C$45,0),MATCH(D$60,'W20. Fossil fuel prod'!$F$15:$R$15,0))</f>
        <v>89.607299999999995</v>
      </c>
      <c r="E65" s="14" t="str">
        <f t="array" ref="E65">INDEX('W20. Fossil fuel prod'!$F$16:$R$45,MATCH($A65&amp;"Oil",'W20. Fossil fuel prod'!$A$16:$A$45&amp;'W20. Fossil fuel prod'!$C$16:$C$45,0),MATCH(E$60,'W20. Fossil fuel prod'!$F$15:$R$15,0))</f>
        <v/>
      </c>
      <c r="F65" s="14" t="str">
        <f t="array" ref="F65">INDEX('W20. Fossil fuel prod'!$F$16:$R$45,MATCH($A65&amp;"Oil",'W20. Fossil fuel prod'!$A$16:$A$45&amp;'W20. Fossil fuel prod'!$C$16:$C$45,0),MATCH(F$60,'W20. Fossil fuel prod'!$F$15:$R$15,0))</f>
        <v/>
      </c>
      <c r="G65" s="14" t="str">
        <f t="array" ref="G65">INDEX('W20. Fossil fuel prod'!$F$16:$R$45,MATCH($A65&amp;"Oil",'W20. Fossil fuel prod'!$A$16:$A$45&amp;'W20. Fossil fuel prod'!$C$16:$C$45,0),MATCH(G$60,'W20. Fossil fuel prod'!$F$15:$R$15,0))</f>
        <v/>
      </c>
      <c r="H65" s="14">
        <f t="array" ref="H65">INDEX('W20. Fossil fuel prod'!$F$16:$R$45,MATCH($A65&amp;"Oil",'W20. Fossil fuel prod'!$A$16:$A$45&amp;'W20. Fossil fuel prod'!$C$16:$C$45,0),MATCH(H$60,'W20. Fossil fuel prod'!$F$15:$R$15,0))</f>
        <v>93.525700000000001</v>
      </c>
      <c r="I65" s="14">
        <f t="array" ref="I65">INDEX('W20. Fossil fuel prod'!$F$16:$R$45,MATCH($A65&amp;"Oil",'W20. Fossil fuel prod'!$A$16:$A$45&amp;'W20. Fossil fuel prod'!$C$16:$C$45,0),MATCH(I$60,'W20. Fossil fuel prod'!$F$15:$R$15,0))</f>
        <v>97.053399999999996</v>
      </c>
      <c r="J65" s="14">
        <f t="array" ref="J65">INDEX('W20. Fossil fuel prod'!$F$16:$R$45,MATCH($A65&amp;"Oil",'W20. Fossil fuel prod'!$A$16:$A$45&amp;'W20. Fossil fuel prod'!$C$16:$C$45,0),MATCH(J$60,'W20. Fossil fuel prod'!$F$15:$R$15,0))</f>
        <v>100.45699999999999</v>
      </c>
      <c r="K65" s="14">
        <f t="array" ref="K65">INDEX('W20. Fossil fuel prod'!$F$16:$R$45,MATCH($A65&amp;"Oil",'W20. Fossil fuel prod'!$A$16:$A$45&amp;'W20. Fossil fuel prod'!$C$16:$C$45,0),MATCH(K$60,'W20. Fossil fuel prod'!$F$15:$R$15,0))</f>
        <v>103.62759999999992</v>
      </c>
    </row>
    <row r="66" spans="1:11" x14ac:dyDescent="0.3">
      <c r="A66" s="3" t="s">
        <v>380</v>
      </c>
      <c r="B66" s="14"/>
      <c r="C66" s="14"/>
      <c r="D66" s="14">
        <f t="array" ref="D66">INDEX('W20. Fossil fuel prod'!$F$16:$R$45,MATCH($A66&amp;"Oil",'W20. Fossil fuel prod'!$A$16:$A$45&amp;'W20. Fossil fuel prod'!$C$16:$C$45,0),MATCH(D$60,'W20. Fossil fuel prod'!$F$15:$R$15,0))</f>
        <v>89.607299999999995</v>
      </c>
      <c r="E66" s="14" t="str">
        <f t="array" ref="E66">INDEX('W20. Fossil fuel prod'!$F$16:$R$45,MATCH($A66&amp;"Oil",'W20. Fossil fuel prod'!$A$16:$A$45&amp;'W20. Fossil fuel prod'!$C$16:$C$45,0),MATCH(E$60,'W20. Fossil fuel prod'!$F$15:$R$15,0))</f>
        <v/>
      </c>
      <c r="F66" s="14" t="str">
        <f t="array" ref="F66">INDEX('W20. Fossil fuel prod'!$F$16:$R$45,MATCH($A66&amp;"Oil",'W20. Fossil fuel prod'!$A$16:$A$45&amp;'W20. Fossil fuel prod'!$C$16:$C$45,0),MATCH(F$60,'W20. Fossil fuel prod'!$F$15:$R$15,0))</f>
        <v/>
      </c>
      <c r="G66" s="14" t="str">
        <f t="array" ref="G66">INDEX('W20. Fossil fuel prod'!$F$16:$R$45,MATCH($A66&amp;"Oil",'W20. Fossil fuel prod'!$A$16:$A$45&amp;'W20. Fossil fuel prod'!$C$16:$C$45,0),MATCH(G$60,'W20. Fossil fuel prod'!$F$15:$R$15,0))</f>
        <v/>
      </c>
      <c r="H66" s="14">
        <f t="array" ref="H66">INDEX('W20. Fossil fuel prod'!$F$16:$R$45,MATCH($A66&amp;"Oil",'W20. Fossil fuel prod'!$A$16:$A$45&amp;'W20. Fossil fuel prod'!$C$16:$C$45,0),MATCH(H$60,'W20. Fossil fuel prod'!$F$15:$R$15,0))</f>
        <v>90.962299999999999</v>
      </c>
      <c r="I66" s="14">
        <f t="array" ref="I66">INDEX('W20. Fossil fuel prod'!$F$16:$R$45,MATCH($A66&amp;"Oil",'W20. Fossil fuel prod'!$A$16:$A$45&amp;'W20. Fossil fuel prod'!$C$16:$C$45,0),MATCH(I$60,'W20. Fossil fuel prod'!$F$15:$R$15,0))</f>
        <v>82.017200000000003</v>
      </c>
      <c r="J66" s="14">
        <f t="array" ref="J66">INDEX('W20. Fossil fuel prod'!$F$16:$R$45,MATCH($A66&amp;"Oil",'W20. Fossil fuel prod'!$A$16:$A$45&amp;'W20. Fossil fuel prod'!$C$16:$C$45,0),MATCH(J$60,'W20. Fossil fuel prod'!$F$15:$R$15,0))</f>
        <v>71.063299999999998</v>
      </c>
      <c r="K66" s="14">
        <f t="array" ref="K66">INDEX('W20. Fossil fuel prod'!$F$16:$R$45,MATCH($A66&amp;"Oil",'W20. Fossil fuel prod'!$A$16:$A$45&amp;'W20. Fossil fuel prod'!$C$16:$C$45,0),MATCH(K$60,'W20. Fossil fuel prod'!$F$15:$R$15,0))</f>
        <v>60.109399999999994</v>
      </c>
    </row>
    <row r="67" spans="1:11" x14ac:dyDescent="0.3">
      <c r="A67" s="3" t="s">
        <v>381</v>
      </c>
      <c r="B67" s="14"/>
      <c r="C67" s="14"/>
      <c r="D67" s="14">
        <f t="array" ref="D67">INDEX('W20. Fossil fuel prod'!$F$16:$R$45,MATCH($A67&amp;"Oil",'W20. Fossil fuel prod'!$A$16:$A$45&amp;'W20. Fossil fuel prod'!$C$16:$C$45,0),MATCH(D$60,'W20. Fossil fuel prod'!$F$15:$R$15,0))</f>
        <v>86.088867251362146</v>
      </c>
      <c r="E67" s="14" t="str">
        <f t="array" ref="E67">INDEX('W20. Fossil fuel prod'!$F$16:$R$45,MATCH($A67&amp;"Oil",'W20. Fossil fuel prod'!$A$16:$A$45&amp;'W20. Fossil fuel prod'!$C$16:$C$45,0),MATCH(E$60,'W20. Fossil fuel prod'!$F$15:$R$15,0))</f>
        <v/>
      </c>
      <c r="F67" s="14" t="str">
        <f t="array" ref="F67">INDEX('W20. Fossil fuel prod'!$F$16:$R$45,MATCH($A67&amp;"Oil",'W20. Fossil fuel prod'!$A$16:$A$45&amp;'W20. Fossil fuel prod'!$C$16:$C$45,0),MATCH(F$60,'W20. Fossil fuel prod'!$F$15:$R$15,0))</f>
        <v/>
      </c>
      <c r="G67" s="14" t="str">
        <f t="array" ref="G67">INDEX('W20. Fossil fuel prod'!$F$16:$R$45,MATCH($A67&amp;"Oil",'W20. Fossil fuel prod'!$A$16:$A$45&amp;'W20. Fossil fuel prod'!$C$16:$C$45,0),MATCH(G$60,'W20. Fossil fuel prod'!$F$15:$R$15,0))</f>
        <v/>
      </c>
      <c r="H67" s="14">
        <f t="array" ref="H67">INDEX('W20. Fossil fuel prod'!$F$16:$R$45,MATCH($A67&amp;"Oil",'W20. Fossil fuel prod'!$A$16:$A$45&amp;'W20. Fossil fuel prod'!$C$16:$C$45,0),MATCH(H$60,'W20. Fossil fuel prod'!$F$15:$R$15,0))</f>
        <v>89.069841704610411</v>
      </c>
      <c r="I67" s="14">
        <f t="array" ref="I67">INDEX('W20. Fossil fuel prod'!$F$16:$R$45,MATCH($A67&amp;"Oil",'W20. Fossil fuel prod'!$A$16:$A$45&amp;'W20. Fossil fuel prod'!$C$16:$C$45,0),MATCH(I$60,'W20. Fossil fuel prod'!$F$15:$R$15,0))</f>
        <v>94.622279644299411</v>
      </c>
      <c r="J67" s="14">
        <f t="array" ref="J67">INDEX('W20. Fossil fuel prod'!$F$16:$R$45,MATCH($A67&amp;"Oil",'W20. Fossil fuel prod'!$A$16:$A$45&amp;'W20. Fossil fuel prod'!$C$16:$C$45,0),MATCH(J$60,'W20. Fossil fuel prod'!$F$15:$R$15,0))</f>
        <v>98.13861514769593</v>
      </c>
      <c r="K67" s="14">
        <f t="array" ref="K67">INDEX('W20. Fossil fuel prod'!$F$16:$R$45,MATCH($A67&amp;"Oil",'W20. Fossil fuel prod'!$A$16:$A$45&amp;'W20. Fossil fuel prod'!$C$16:$C$45,0),MATCH(K$60,'W20. Fossil fuel prod'!$F$15:$R$15,0))</f>
        <v>99.680972609249153</v>
      </c>
    </row>
    <row r="68" spans="1:11" x14ac:dyDescent="0.3">
      <c r="A68" s="3" t="s">
        <v>382</v>
      </c>
      <c r="B68" s="14"/>
      <c r="C68" s="14"/>
      <c r="D68" s="14">
        <f t="array" ref="D68">INDEX('W20. Fossil fuel prod'!$F$16:$R$45,MATCH($A68&amp;"Oil",'W20. Fossil fuel prod'!$A$16:$A$45&amp;'W20. Fossil fuel prod'!$C$16:$C$45,0),MATCH(D$60,'W20. Fossil fuel prod'!$F$15:$R$15,0))</f>
        <v>86.088867251362146</v>
      </c>
      <c r="E68" s="14" t="str">
        <f t="array" ref="E68">INDEX('W20. Fossil fuel prod'!$F$16:$R$45,MATCH($A68&amp;"Oil",'W20. Fossil fuel prod'!$A$16:$A$45&amp;'W20. Fossil fuel prod'!$C$16:$C$45,0),MATCH(E$60,'W20. Fossil fuel prod'!$F$15:$R$15,0))</f>
        <v/>
      </c>
      <c r="F68" s="14" t="str">
        <f t="array" ref="F68">INDEX('W20. Fossil fuel prod'!$F$16:$R$45,MATCH($A68&amp;"Oil",'W20. Fossil fuel prod'!$A$16:$A$45&amp;'W20. Fossil fuel prod'!$C$16:$C$45,0),MATCH(F$60,'W20. Fossil fuel prod'!$F$15:$R$15,0))</f>
        <v/>
      </c>
      <c r="G68" s="14" t="str">
        <f t="array" ref="G68">INDEX('W20. Fossil fuel prod'!$F$16:$R$45,MATCH($A68&amp;"Oil",'W20. Fossil fuel prod'!$A$16:$A$45&amp;'W20. Fossil fuel prod'!$C$16:$C$45,0),MATCH(G$60,'W20. Fossil fuel prod'!$F$15:$R$15,0))</f>
        <v/>
      </c>
      <c r="H68" s="14">
        <f t="array" ref="H68">INDEX('W20. Fossil fuel prod'!$F$16:$R$45,MATCH($A68&amp;"Oil",'W20. Fossil fuel prod'!$A$16:$A$45&amp;'W20. Fossil fuel prod'!$C$16:$C$45,0),MATCH(H$60,'W20. Fossil fuel prod'!$F$15:$R$15,0))</f>
        <v>83.019502727104737</v>
      </c>
      <c r="I68" s="14">
        <f t="array" ref="I68">INDEX('W20. Fossil fuel prod'!$F$16:$R$45,MATCH($A68&amp;"Oil",'W20. Fossil fuel prod'!$A$16:$A$45&amp;'W20. Fossil fuel prod'!$C$16:$C$45,0),MATCH(I$60,'W20. Fossil fuel prod'!$F$15:$R$15,0))</f>
        <v>76.365275483934852</v>
      </c>
      <c r="J68" s="14">
        <f t="array" ref="J68">INDEX('W20. Fossil fuel prod'!$F$16:$R$45,MATCH($A68&amp;"Oil",'W20. Fossil fuel prod'!$A$16:$A$45&amp;'W20. Fossil fuel prod'!$C$16:$C$45,0),MATCH(J$60,'W20. Fossil fuel prod'!$F$15:$R$15,0))</f>
        <v>66.87521984797759</v>
      </c>
      <c r="K68" s="14">
        <f t="array" ref="K68">INDEX('W20. Fossil fuel prod'!$F$16:$R$45,MATCH($A68&amp;"Oil",'W20. Fossil fuel prod'!$A$16:$A$45&amp;'W20. Fossil fuel prod'!$C$16:$C$45,0),MATCH(K$60,'W20. Fossil fuel prod'!$F$15:$R$15,0))</f>
        <v>55.450521579435467</v>
      </c>
    </row>
    <row r="69" spans="1:11" x14ac:dyDescent="0.3">
      <c r="A69" s="3" t="s">
        <v>383</v>
      </c>
      <c r="B69" s="14"/>
      <c r="C69" s="14"/>
      <c r="D69" s="14">
        <f t="array" ref="D69">INDEX('W20. Fossil fuel prod'!$F$16:$R$45,MATCH($A69&amp;"Oil",'W20. Fossil fuel prod'!$A$16:$A$45&amp;'W20. Fossil fuel prod'!$C$16:$C$45,0),MATCH(D$60,'W20. Fossil fuel prod'!$F$15:$R$15,0))</f>
        <v>86.088867251362146</v>
      </c>
      <c r="E69" s="14" t="str">
        <f t="array" ref="E69">INDEX('W20. Fossil fuel prod'!$F$16:$R$45,MATCH($A69&amp;"Oil",'W20. Fossil fuel prod'!$A$16:$A$45&amp;'W20. Fossil fuel prod'!$C$16:$C$45,0),MATCH(E$60,'W20. Fossil fuel prod'!$F$15:$R$15,0))</f>
        <v/>
      </c>
      <c r="F69" s="14" t="str">
        <f t="array" ref="F69">INDEX('W20. Fossil fuel prod'!$F$16:$R$45,MATCH($A69&amp;"Oil",'W20. Fossil fuel prod'!$A$16:$A$45&amp;'W20. Fossil fuel prod'!$C$16:$C$45,0),MATCH(F$60,'W20. Fossil fuel prod'!$F$15:$R$15,0))</f>
        <v/>
      </c>
      <c r="G69" s="14" t="str">
        <f t="array" ref="G69">INDEX('W20. Fossil fuel prod'!$F$16:$R$45,MATCH($A69&amp;"Oil",'W20. Fossil fuel prod'!$A$16:$A$45&amp;'W20. Fossil fuel prod'!$C$16:$C$45,0),MATCH(G$60,'W20. Fossil fuel prod'!$F$15:$R$15,0))</f>
        <v/>
      </c>
      <c r="H69" s="14">
        <f t="array" ref="H69">INDEX('W20. Fossil fuel prod'!$F$16:$R$45,MATCH($A69&amp;"Oil",'W20. Fossil fuel prod'!$A$16:$A$45&amp;'W20. Fossil fuel prod'!$C$16:$C$45,0),MATCH(H$60,'W20. Fossil fuel prod'!$F$15:$R$15,0))</f>
        <v>80.467999800068327</v>
      </c>
      <c r="I69" s="14">
        <f t="array" ref="I69">INDEX('W20. Fossil fuel prod'!$F$16:$R$45,MATCH($A69&amp;"Oil",'W20. Fossil fuel prod'!$A$16:$A$45&amp;'W20. Fossil fuel prod'!$C$16:$C$45,0),MATCH(I$60,'W20. Fossil fuel prod'!$F$15:$R$15,0))</f>
        <v>68.027729196966007</v>
      </c>
      <c r="J69" s="14">
        <f t="array" ref="J69">INDEX('W20. Fossil fuel prod'!$F$16:$R$45,MATCH($A69&amp;"Oil",'W20. Fossil fuel prod'!$A$16:$A$45&amp;'W20. Fossil fuel prod'!$C$16:$C$45,0),MATCH(J$60,'W20. Fossil fuel prod'!$F$15:$R$15,0))</f>
        <v>52.399587154364767</v>
      </c>
      <c r="K69" s="14">
        <f t="array" ref="K69">INDEX('W20. Fossil fuel prod'!$F$16:$R$45,MATCH($A69&amp;"Oil",'W20. Fossil fuel prod'!$A$16:$A$45&amp;'W20. Fossil fuel prod'!$C$16:$C$45,0),MATCH(K$60,'W20. Fossil fuel prod'!$F$15:$R$15,0))</f>
        <v>39.094928404084072</v>
      </c>
    </row>
    <row r="70" spans="1:11" x14ac:dyDescent="0.3">
      <c r="A70" s="3" t="s">
        <v>384</v>
      </c>
      <c r="B70" s="14"/>
      <c r="C70" s="14"/>
      <c r="D70" s="14" t="str">
        <f t="array" ref="D70">INDEX('W20. Fossil fuel prod'!$F$16:$R$45,MATCH($A70&amp;"Oil",'W20. Fossil fuel prod'!$A$16:$A$45&amp;'W20. Fossil fuel prod'!$C$16:$C$45,0),MATCH(D$60,'W20. Fossil fuel prod'!$F$15:$R$15,0))</f>
        <v/>
      </c>
      <c r="E70" s="14">
        <f t="array" ref="E70">INDEX('W20. Fossil fuel prod'!$F$16:$R$45,MATCH($A70&amp;"Oil",'W20. Fossil fuel prod'!$A$16:$A$45&amp;'W20. Fossil fuel prod'!$C$16:$C$45,0),MATCH(E$60,'W20. Fossil fuel prod'!$F$15:$R$15,0))</f>
        <v>87.378133874222783</v>
      </c>
      <c r="F70" s="14" t="str">
        <f t="array" ref="F70">INDEX('W20. Fossil fuel prod'!$F$16:$R$45,MATCH($A70&amp;"Oil",'W20. Fossil fuel prod'!$A$16:$A$45&amp;'W20. Fossil fuel prod'!$C$16:$C$45,0),MATCH(F$60,'W20. Fossil fuel prod'!$F$15:$R$15,0))</f>
        <v/>
      </c>
      <c r="G70" s="14" t="str">
        <f t="array" ref="G70">INDEX('W20. Fossil fuel prod'!$F$16:$R$45,MATCH($A70&amp;"Oil",'W20. Fossil fuel prod'!$A$16:$A$45&amp;'W20. Fossil fuel prod'!$C$16:$C$45,0),MATCH(G$60,'W20. Fossil fuel prod'!$F$15:$R$15,0))</f>
        <v/>
      </c>
      <c r="H70" s="14">
        <f t="array" ref="H70">INDEX('W20. Fossil fuel prod'!$F$16:$R$45,MATCH($A70&amp;"Oil",'W20. Fossil fuel prod'!$A$16:$A$45&amp;'W20. Fossil fuel prod'!$C$16:$C$45,0),MATCH(H$60,'W20. Fossil fuel prod'!$F$15:$R$15,0))</f>
        <v>93.802198486513731</v>
      </c>
      <c r="I70" s="14">
        <f t="array" ref="I70">INDEX('W20. Fossil fuel prod'!$F$16:$R$45,MATCH($A70&amp;"Oil",'W20. Fossil fuel prod'!$A$16:$A$45&amp;'W20. Fossil fuel prod'!$C$16:$C$45,0),MATCH(I$60,'W20. Fossil fuel prod'!$F$15:$R$15,0))</f>
        <v>94.029054355346531</v>
      </c>
      <c r="J70" s="14">
        <f t="array" ref="J70">INDEX('W20. Fossil fuel prod'!$F$16:$R$45,MATCH($A70&amp;"Oil",'W20. Fossil fuel prod'!$A$16:$A$45&amp;'W20. Fossil fuel prod'!$C$16:$C$45,0),MATCH(J$60,'W20. Fossil fuel prod'!$F$15:$R$15,0))</f>
        <v>86.106770016782633</v>
      </c>
      <c r="K70" s="14">
        <f t="array" ref="K70">INDEX('W20. Fossil fuel prod'!$F$16:$R$45,MATCH($A70&amp;"Oil",'W20. Fossil fuel prod'!$A$16:$A$45&amp;'W20. Fossil fuel prod'!$C$16:$C$45,0),MATCH(K$60,'W20. Fossil fuel prod'!$F$15:$R$15,0))</f>
        <v>76.651040858122855</v>
      </c>
    </row>
    <row r="71" spans="1:11" x14ac:dyDescent="0.3">
      <c r="A71" s="3" t="s">
        <v>385</v>
      </c>
      <c r="B71" s="14">
        <f>INDEX('R17. BPStat 18 oil prod'!$B$83:$BB$83,MATCH(B$60,'R17. BPStat 18 oil prod'!$B$11:$BB$11,0))/10^3</f>
        <v>82.329817458737352</v>
      </c>
      <c r="C71" s="14">
        <f>INDEX('R17. BPStat 18 oil prod'!$B$83:$BB$83,MATCH(C$60,'R17. BPStat 18 oil prod'!$B$11:$BB$11,0))/10^3</f>
        <v>86.229496470253395</v>
      </c>
      <c r="D71" s="14">
        <f>INDEX('R17. BPStat 18 oil prod'!$B$83:$BB$83,MATCH(D$60,'R17. BPStat 18 oil prod'!$B$11:$BB$11,0))/10^3</f>
        <v>88.720549569507071</v>
      </c>
      <c r="E71" s="14">
        <f>INDEX('R17. BPStat 18 oil prod'!$B$83:$BB$83,MATCH(E$60,'R17. BPStat 18 oil prod'!$B$11:$BB$11,0))/10^3</f>
        <v>91.547113969570347</v>
      </c>
      <c r="F71" s="14">
        <f>INDEX('R17. BPStat 18 oil prod'!$B$83:$BB$83,MATCH(F$60,'R17. BPStat 18 oil prod'!$B$11:$BB$11,0))/10^3</f>
        <v>92.02327895686885</v>
      </c>
      <c r="G71" s="14">
        <f>INDEX('R17. BPStat 18 oil prod'!$B$83:$BB$83,MATCH(G$60,'R17. BPStat 18 oil prod'!$B$11:$BB$11,0))/10^3</f>
        <v>92.648630349915862</v>
      </c>
    </row>
  </sheetData>
  <conditionalFormatting sqref="A1:XFD18 A20:XFD52 B19:XFD19 A54:XFD1048576 B53:XFD53">
    <cfRule type="expression" dxfId="214" priority="3">
      <formula>_xlfn.ISFORMULA(A1)</formula>
    </cfRule>
  </conditionalFormatting>
  <conditionalFormatting sqref="A19">
    <cfRule type="expression" dxfId="213" priority="2">
      <formula>_xlfn.ISFORMULA(A19)</formula>
    </cfRule>
  </conditionalFormatting>
  <conditionalFormatting sqref="A53">
    <cfRule type="expression" dxfId="212" priority="1">
      <formula>_xlfn.ISFORMULA(A53)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7618-E500-469A-892F-7C5AC27C55F7}">
  <sheetPr>
    <tabColor theme="4" tint="0.499984740745262"/>
    <pageSetUpPr autoPageBreaks="0"/>
  </sheetPr>
  <dimension ref="A1:P71"/>
  <sheetViews>
    <sheetView zoomScale="70" zoomScaleNormal="70" workbookViewId="0">
      <selection activeCell="A19" sqref="A19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411</v>
      </c>
    </row>
    <row r="2" spans="1:16" s="20" customFormat="1" x14ac:dyDescent="0.3">
      <c r="A2" s="20" t="s">
        <v>5</v>
      </c>
      <c r="B2" s="20" t="s">
        <v>412</v>
      </c>
    </row>
    <row r="3" spans="1:16" s="20" customFormat="1" x14ac:dyDescent="0.3">
      <c r="A3" s="20" t="s">
        <v>6</v>
      </c>
      <c r="B3" s="20" t="s">
        <v>349</v>
      </c>
    </row>
    <row r="4" spans="1:16" s="20" customFormat="1" x14ac:dyDescent="0.3">
      <c r="A4" s="20" t="s">
        <v>4</v>
      </c>
      <c r="B4" s="20" t="s">
        <v>350</v>
      </c>
      <c r="O4" s="21"/>
      <c r="P4" s="22"/>
    </row>
    <row r="5" spans="1:16" s="20" customFormat="1" x14ac:dyDescent="0.3">
      <c r="A5" s="20" t="s">
        <v>351</v>
      </c>
      <c r="B5" s="23">
        <f>'R2. Unit conversion factors'!$E$11*'R2. Unit conversion factors'!$E$12</f>
        <v>2.653887936E-2</v>
      </c>
      <c r="C5" s="20" t="s">
        <v>413</v>
      </c>
      <c r="O5" s="21"/>
      <c r="P5" s="22"/>
    </row>
    <row r="6" spans="1:16" s="20" customFormat="1" x14ac:dyDescent="0.3">
      <c r="A6" s="20" t="s">
        <v>353</v>
      </c>
      <c r="B6" s="23">
        <f t="array" ref="B6">AVERAGE($B$71:$C$71/$H$46:$I$46)</f>
        <v>0.99154384107308358</v>
      </c>
      <c r="C6" s="20" t="s">
        <v>354</v>
      </c>
      <c r="O6" s="21"/>
      <c r="P6" s="22"/>
    </row>
    <row r="7" spans="1:16" s="20" customFormat="1" x14ac:dyDescent="0.3">
      <c r="A7" s="20" t="s">
        <v>355</v>
      </c>
      <c r="B7" s="23" t="s">
        <v>356</v>
      </c>
      <c r="O7" s="21"/>
      <c r="P7" s="22"/>
    </row>
    <row r="8" spans="1:16" s="20" customFormat="1" x14ac:dyDescent="0.3">
      <c r="B8" s="23" t="s">
        <v>357</v>
      </c>
      <c r="O8" s="21"/>
      <c r="P8" s="22"/>
    </row>
    <row r="9" spans="1:16" ht="15" thickBot="1" x14ac:dyDescent="0.35"/>
    <row r="10" spans="1:16" s="25" customFormat="1" ht="15" thickBot="1" x14ac:dyDescent="0.35">
      <c r="A10" s="24" t="s">
        <v>358</v>
      </c>
    </row>
    <row r="11" spans="1:16" x14ac:dyDescent="0.3">
      <c r="E11" s="26"/>
      <c r="F11" s="27"/>
      <c r="G11" s="27"/>
      <c r="H11" s="27"/>
      <c r="I11" s="27"/>
      <c r="J11" s="27"/>
    </row>
    <row r="12" spans="1:16" x14ac:dyDescent="0.3">
      <c r="A12" s="3" t="s">
        <v>8</v>
      </c>
      <c r="B12" s="3" t="s">
        <v>86</v>
      </c>
      <c r="C12" s="3" t="s">
        <v>8</v>
      </c>
      <c r="D12" s="3">
        <v>2017</v>
      </c>
      <c r="E12" s="3">
        <v>2020</v>
      </c>
      <c r="F12" s="28">
        <v>2030</v>
      </c>
      <c r="G12" s="3">
        <v>2040</v>
      </c>
      <c r="H12" s="3">
        <v>2050</v>
      </c>
    </row>
    <row r="13" spans="1:16" ht="14.4" customHeight="1" x14ac:dyDescent="0.3">
      <c r="A13" s="37" t="s">
        <v>13</v>
      </c>
      <c r="B13" s="37" t="str">
        <f>INDEX('R1. Scenario specifications'!$C$11:$C$60,MATCH($A13,'R1. Scenario specifications'!$A$11:$A$60,0))</f>
        <v>Vivid BAU - WEO Current Policies Scenario emissions pathway run through TIAM</v>
      </c>
      <c r="C13" s="37" t="s">
        <v>359</v>
      </c>
      <c r="D13" s="38">
        <f>$D$23</f>
        <v>3768.86</v>
      </c>
      <c r="E13" s="38">
        <f>E$23</f>
        <v>3965.5250000000001</v>
      </c>
      <c r="F13" s="38">
        <f>INDEX($I$47:$M$55,MATCH($A13,$A$47:$A$55,0),MATCH(F$12,$I$45:$M$45,0))*$B$6</f>
        <v>4534.3832978483524</v>
      </c>
      <c r="G13" s="38">
        <f t="shared" ref="G13:H21" si="0">INDEX($I$47:$M$55,MATCH($A13,$A$47:$A$55,0),MATCH(G$12,$I$45:$M$45,0))*$B$6</f>
        <v>4477.4645832254109</v>
      </c>
      <c r="H13" s="38">
        <f t="shared" si="0"/>
        <v>4825.7411976251524</v>
      </c>
    </row>
    <row r="14" spans="1:16" x14ac:dyDescent="0.3">
      <c r="A14" s="37" t="s">
        <v>14</v>
      </c>
      <c r="B14" s="37" t="str">
        <f>INDEX('R1. Scenario specifications'!$C$11:$C$60,MATCH($A14,'R1. Scenario specifications'!$A$11:$A$60,0))</f>
        <v>Vivid Paris NDCs - WEO New Policies Scenario emissions pathway run through TIAM</v>
      </c>
      <c r="C14" s="37" t="s">
        <v>360</v>
      </c>
      <c r="D14" s="38">
        <f t="shared" ref="D14:D22" si="1">$D$23</f>
        <v>3768.86</v>
      </c>
      <c r="E14" s="38">
        <f t="shared" ref="E14:E21" si="2">E$23</f>
        <v>3965.5250000000001</v>
      </c>
      <c r="F14" s="38">
        <f t="shared" ref="F14:F21" si="3">INDEX($I$47:$M$55,MATCH($A14,$A$47:$A$55,0),MATCH(F$12,$I$45:$M$45,0))*$B$6</f>
        <v>4651.5267320026751</v>
      </c>
      <c r="G14" s="38">
        <f t="shared" si="0"/>
        <v>4672.6722841706505</v>
      </c>
      <c r="H14" s="38">
        <f t="shared" si="0"/>
        <v>4915.8266882470934</v>
      </c>
    </row>
    <row r="15" spans="1:16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1">
        <f t="shared" si="1"/>
        <v>3768.86</v>
      </c>
      <c r="E15" s="31">
        <f t="shared" si="2"/>
        <v>3965.5250000000001</v>
      </c>
      <c r="F15" s="31">
        <f t="shared" si="3"/>
        <v>4763.5353936374922</v>
      </c>
      <c r="G15" s="31">
        <f t="shared" si="0"/>
        <v>5009.0550411267013</v>
      </c>
      <c r="H15" s="31">
        <f t="shared" si="0"/>
        <v>5204.083812514089</v>
      </c>
    </row>
    <row r="16" spans="1:16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1">
        <f t="shared" si="1"/>
        <v>3768.86</v>
      </c>
      <c r="E16" s="31">
        <f t="shared" si="2"/>
        <v>3965.5250000000001</v>
      </c>
      <c r="F16" s="31">
        <f>$F$23</f>
        <v>4641.3999999999996</v>
      </c>
      <c r="G16" s="31">
        <f t="shared" si="0"/>
        <v>5091.0572034619199</v>
      </c>
      <c r="H16" s="31">
        <f t="shared" si="0"/>
        <v>5201.3785461449552</v>
      </c>
    </row>
    <row r="17" spans="1:10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1">
        <f t="shared" si="1"/>
        <v>3768.86</v>
      </c>
      <c r="E17" s="31">
        <f t="shared" si="2"/>
        <v>3965.5250000000001</v>
      </c>
      <c r="F17" s="31">
        <f t="shared" si="3"/>
        <v>5076.4733780176057</v>
      </c>
      <c r="G17" s="31">
        <f t="shared" si="0"/>
        <v>5099.7104029448828</v>
      </c>
      <c r="H17" s="31">
        <f t="shared" si="0"/>
        <v>5187.8677754296414</v>
      </c>
    </row>
    <row r="18" spans="1:10" ht="14.4" customHeight="1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1">
        <f t="shared" si="1"/>
        <v>3768.86</v>
      </c>
      <c r="E18" s="31">
        <f t="shared" si="2"/>
        <v>3965.5250000000001</v>
      </c>
      <c r="F18" s="31">
        <f t="shared" si="3"/>
        <v>4618.7695724533532</v>
      </c>
      <c r="G18" s="31">
        <f t="shared" si="0"/>
        <v>4907.270195628952</v>
      </c>
      <c r="H18" s="31">
        <f t="shared" si="0"/>
        <v>5226.8378817309158</v>
      </c>
    </row>
    <row r="19" spans="1:10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1">
        <f t="shared" si="1"/>
        <v>3768.86</v>
      </c>
      <c r="E19" s="31">
        <f t="shared" si="2"/>
        <v>3965.5250000000001</v>
      </c>
      <c r="F19" s="31">
        <f t="shared" si="3"/>
        <v>4900.4017152159386</v>
      </c>
      <c r="G19" s="31">
        <f t="shared" si="0"/>
        <v>5398.3200475863459</v>
      </c>
      <c r="H19" s="31">
        <f t="shared" si="0"/>
        <v>5878.4014106446166</v>
      </c>
    </row>
    <row r="20" spans="1:10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1">
        <f t="shared" si="1"/>
        <v>3768.86</v>
      </c>
      <c r="E20" s="31">
        <f t="shared" si="2"/>
        <v>3965.5250000000001</v>
      </c>
      <c r="F20" s="31">
        <f t="shared" si="3"/>
        <v>4720.6313647779843</v>
      </c>
      <c r="G20" s="31">
        <f t="shared" si="0"/>
        <v>4907.5537462616421</v>
      </c>
      <c r="H20" s="31">
        <f t="shared" si="0"/>
        <v>5056.272849100068</v>
      </c>
    </row>
    <row r="21" spans="1:10" x14ac:dyDescent="0.3">
      <c r="A21" s="39" t="s">
        <v>49</v>
      </c>
      <c r="B21" s="39" t="str">
        <f>INDEX('R1. Scenario specifications'!$C$11:$C$60,MATCH($A21,'R1. Scenario specifications'!$A$11:$A$60,0))</f>
        <v>Current 2DS, 2020 start, 'Expect the Unexpected' but with cheap energy efficiency</v>
      </c>
      <c r="C21" s="39" t="s">
        <v>367</v>
      </c>
      <c r="D21" s="31">
        <f t="shared" si="1"/>
        <v>3768.86</v>
      </c>
      <c r="E21" s="31">
        <f t="shared" si="2"/>
        <v>3965.5250000000001</v>
      </c>
      <c r="F21" s="40">
        <f t="shared" si="3"/>
        <v>4636.1715953484272</v>
      </c>
      <c r="G21" s="40">
        <f t="shared" si="0"/>
        <v>4691.6526499092652</v>
      </c>
      <c r="H21" s="40">
        <f t="shared" si="0"/>
        <v>4440.3807937605552</v>
      </c>
    </row>
    <row r="22" spans="1:10" ht="14.4" customHeight="1" x14ac:dyDescent="0.3">
      <c r="A22" s="3" t="s">
        <v>368</v>
      </c>
      <c r="B22" s="3" t="str">
        <f>INDEX('R1. Scenario specifications'!$C$11:$C$60,MATCH($A22,'R1. Scenario specifications'!$A$11:$A$60,0))</f>
        <v>Current Policies Scenario, World Energy Outlook 2018</v>
      </c>
      <c r="C22" s="3" t="s">
        <v>414</v>
      </c>
      <c r="D22" s="33">
        <f t="shared" si="1"/>
        <v>3768.86</v>
      </c>
      <c r="E22" s="33">
        <f t="shared" ref="E22:H24" si="4">INDEX($D$61:$K$70,MATCH($A22,$A$61:$A$70,0),MATCH(E$12,$D$60:$K$60,0))</f>
        <v>4000.3962500000002</v>
      </c>
      <c r="F22" s="33">
        <f t="shared" si="4"/>
        <v>4859.5</v>
      </c>
      <c r="G22" s="33">
        <f t="shared" si="4"/>
        <v>5846.69</v>
      </c>
      <c r="H22" s="33">
        <f t="shared" si="4"/>
        <v>6808.5299999999988</v>
      </c>
    </row>
    <row r="23" spans="1:10" x14ac:dyDescent="0.3">
      <c r="A23" s="3" t="s">
        <v>370</v>
      </c>
      <c r="B23" s="3" t="str">
        <f>INDEX('R1. Scenario specifications'!$C$11:$C$60,MATCH($A23,'R1. Scenario specifications'!$A$11:$A$60,0))</f>
        <v>New Policies Scenario, World Energy Outlook 2018</v>
      </c>
      <c r="C23" s="3" t="s">
        <v>415</v>
      </c>
      <c r="D23" s="34">
        <f>INDEX($D$61:$K$70,MATCH($A23,$A$61:$A$70,0),MATCH(D$12,$D$60:$K$60,0))</f>
        <v>3768.86</v>
      </c>
      <c r="E23" s="34">
        <f t="shared" si="4"/>
        <v>3965.5250000000001</v>
      </c>
      <c r="F23" s="34">
        <f t="shared" si="4"/>
        <v>4641.3999999999996</v>
      </c>
      <c r="G23" s="34">
        <f t="shared" si="4"/>
        <v>5398.5</v>
      </c>
      <c r="H23" s="34">
        <f t="shared" si="4"/>
        <v>6145.960000000021</v>
      </c>
      <c r="J23" s="4"/>
    </row>
    <row r="24" spans="1:10" x14ac:dyDescent="0.3">
      <c r="A24" s="3" t="s">
        <v>372</v>
      </c>
      <c r="B24" s="3" t="str">
        <f>INDEX('R1. Scenario specifications'!$C$11:$C$60,MATCH($A24,'R1. Scenario specifications'!$A$11:$A$60,0))</f>
        <v>Sustainable Development Scenario, World Energy Outlook 2018</v>
      </c>
      <c r="C24" s="3" t="s">
        <v>416</v>
      </c>
      <c r="D24" s="34">
        <f>INDEX($D$61:$K$70,MATCH($A24,$A$61:$A$70,0),MATCH(D$12,$D$60:$K$60,0))</f>
        <v>3768.86</v>
      </c>
      <c r="E24" s="34">
        <f t="shared" si="4"/>
        <v>3926.5250000000001</v>
      </c>
      <c r="F24" s="34">
        <f t="shared" si="4"/>
        <v>4317.6000000000004</v>
      </c>
      <c r="G24" s="34">
        <f t="shared" si="4"/>
        <v>4184.12</v>
      </c>
      <c r="H24" s="34">
        <f t="shared" si="4"/>
        <v>3956.9800000000032</v>
      </c>
    </row>
    <row r="25" spans="1:10" x14ac:dyDescent="0.3">
      <c r="E25" s="34"/>
      <c r="F25" s="34"/>
      <c r="G25" s="34"/>
      <c r="H25" s="34"/>
    </row>
    <row r="29" spans="1:10" x14ac:dyDescent="0.3">
      <c r="B29" s="4"/>
    </row>
    <row r="40" spans="1:13" ht="15" thickBot="1" x14ac:dyDescent="0.35"/>
    <row r="41" spans="1:13" s="25" customFormat="1" ht="15" thickBot="1" x14ac:dyDescent="0.35">
      <c r="A41" s="24" t="s">
        <v>374</v>
      </c>
    </row>
    <row r="42" spans="1:13" x14ac:dyDescent="0.3">
      <c r="A42" s="4"/>
    </row>
    <row r="43" spans="1:13" x14ac:dyDescent="0.3">
      <c r="B43" s="3" t="s">
        <v>61</v>
      </c>
      <c r="C43" s="3" t="s">
        <v>61</v>
      </c>
      <c r="D43" s="3" t="s">
        <v>61</v>
      </c>
      <c r="E43" s="3" t="s">
        <v>61</v>
      </c>
      <c r="F43" s="3" t="s">
        <v>61</v>
      </c>
      <c r="G43" s="3" t="s">
        <v>61</v>
      </c>
    </row>
    <row r="44" spans="1:13" x14ac:dyDescent="0.3">
      <c r="B44" s="3" t="s">
        <v>417</v>
      </c>
      <c r="C44" s="3" t="s">
        <v>417</v>
      </c>
      <c r="D44" s="3" t="s">
        <v>417</v>
      </c>
      <c r="E44" s="3" t="s">
        <v>417</v>
      </c>
      <c r="F44" s="3" t="s">
        <v>417</v>
      </c>
      <c r="G44" s="3" t="s">
        <v>417</v>
      </c>
      <c r="H44" s="35" t="s">
        <v>418</v>
      </c>
      <c r="I44" s="3" t="s">
        <v>418</v>
      </c>
      <c r="J44" s="3" t="s">
        <v>418</v>
      </c>
      <c r="K44" s="3" t="s">
        <v>418</v>
      </c>
      <c r="L44" s="3" t="s">
        <v>418</v>
      </c>
      <c r="M44" s="3" t="s">
        <v>418</v>
      </c>
    </row>
    <row r="45" spans="1:13" x14ac:dyDescent="0.3">
      <c r="A45" s="3" t="s">
        <v>8</v>
      </c>
      <c r="B45" s="3">
        <v>2007</v>
      </c>
      <c r="C45" s="3">
        <v>2012</v>
      </c>
      <c r="D45" s="3">
        <v>2020</v>
      </c>
      <c r="E45" s="3">
        <v>2030</v>
      </c>
      <c r="F45" s="3">
        <v>2040</v>
      </c>
      <c r="G45" s="3">
        <v>2050</v>
      </c>
      <c r="H45" s="35">
        <v>2007</v>
      </c>
      <c r="I45" s="3">
        <v>2012</v>
      </c>
      <c r="J45" s="3">
        <v>2020</v>
      </c>
      <c r="K45" s="3">
        <v>2030</v>
      </c>
      <c r="L45" s="3">
        <v>2040</v>
      </c>
      <c r="M45" s="3">
        <v>2050</v>
      </c>
    </row>
    <row r="46" spans="1:13" x14ac:dyDescent="0.3">
      <c r="A46" s="3" t="s">
        <v>11</v>
      </c>
      <c r="B46" s="34">
        <f t="array" ref="B46">SUM(IF(('W7. Primary Energy Prod'!$C$51:$C$479=B$43)*('W7. Primary Energy Prod'!$B$51:$B$479=$A46)*('W7. Primary Energy Prod'!$E$50:$O$50=B$45),'W7. Primary Energy Prod'!$E$51:$O$479))</f>
        <v>113361.40893082572</v>
      </c>
      <c r="C46" s="34">
        <f t="array" ref="C46">SUM(IF(('W7. Primary Energy Prod'!$C$51:$C$479=C$43)*('W7. Primary Energy Prod'!$B$51:$B$479=$A46)*('W7. Primary Energy Prod'!$E$50:$O$50=C$45),'W7. Primary Energy Prod'!$E$51:$O$479))</f>
        <v>125068.22780197491</v>
      </c>
      <c r="D46" s="34">
        <f t="array" ref="D46">SUM(IF(('W7. Primary Energy Prod'!$C$51:$C$479=D$43)*('W7. Primary Energy Prod'!$B$51:$B$479=$A46)*('W7. Primary Energy Prod'!$E$50:$O$50=D$45),'W7. Primary Energy Prod'!$E$51:$O$479))</f>
        <v>152187.63418996718</v>
      </c>
      <c r="E46" s="34">
        <f t="array" ref="E46">SUM(IF(('W7. Primary Energy Prod'!$C$51:$C$479=E$43)*('W7. Primary Energy Prod'!$B$51:$B$479=$A46)*('W7. Primary Energy Prod'!$E$50:$O$50=E$45),'W7. Primary Energy Prod'!$E$51:$O$479))</f>
        <v>168778.45447233957</v>
      </c>
      <c r="F46" s="34">
        <f t="array" ref="F46">SUM(IF(('W7. Primary Energy Prod'!$C$51:$C$479=F$43)*('W7. Primary Energy Prod'!$B$51:$B$479=$A46)*('W7. Primary Energy Prod'!$E$50:$O$50=F$45),'W7. Primary Energy Prod'!$E$51:$O$479))</f>
        <v>168857.36719603732</v>
      </c>
      <c r="G46" s="34">
        <f t="array" ref="G46">SUM(IF(('W7. Primary Energy Prod'!$C$51:$C$479=G$43)*('W7. Primary Energy Prod'!$B$51:$B$479=$A46)*('W7. Primary Energy Prod'!$E$50:$O$50=G$45),'W7. Primary Energy Prod'!$E$51:$O$479))</f>
        <v>184402.36421776706</v>
      </c>
      <c r="H46" s="36">
        <f t="shared" ref="H46:M55" si="5">B46*$B$5</f>
        <v>3008.4847556948102</v>
      </c>
      <c r="I46" s="14">
        <f t="shared" si="5"/>
        <v>3319.1706094056099</v>
      </c>
      <c r="J46" s="14">
        <f t="shared" si="5"/>
        <v>4038.8892638513503</v>
      </c>
      <c r="K46" s="14">
        <f t="shared" si="5"/>
        <v>4479.1910418086718</v>
      </c>
      <c r="L46" s="14">
        <f t="shared" si="5"/>
        <v>4481.2852970628555</v>
      </c>
      <c r="M46" s="14">
        <f t="shared" si="5"/>
        <v>4893.8320976741006</v>
      </c>
    </row>
    <row r="47" spans="1:13" x14ac:dyDescent="0.3">
      <c r="A47" s="3" t="s">
        <v>13</v>
      </c>
      <c r="B47" s="34">
        <f t="array" ref="B47">SUM(IF(('W7. Primary Energy Prod'!$C$51:$C$479=B$43)*('W7. Primary Energy Prod'!$B$51:$B$479=$A47)*('W7. Primary Energy Prod'!$E$50:$O$50=B$45),'W7. Primary Energy Prod'!$E$51:$O$479))</f>
        <v>115049.93076485799</v>
      </c>
      <c r="C47" s="34">
        <f t="array" ref="C47">SUM(IF(('W7. Primary Energy Prod'!$C$51:$C$479=C$43)*('W7. Primary Energy Prod'!$B$51:$B$479=$A47)*('W7. Primary Energy Prod'!$E$50:$O$50=C$45),'W7. Primary Energy Prod'!$E$51:$O$479))</f>
        <v>127339.47385013891</v>
      </c>
      <c r="D47" s="34">
        <f t="array" ref="D47">SUM(IF(('W7. Primary Energy Prod'!$C$51:$C$479=D$43)*('W7. Primary Energy Prod'!$B$51:$B$479=$A47)*('W7. Primary Energy Prod'!$E$50:$O$50=D$45),'W7. Primary Energy Prod'!$E$51:$O$479))</f>
        <v>160286.24815261288</v>
      </c>
      <c r="E47" s="34">
        <f t="array" ref="E47">SUM(IF(('W7. Primary Energy Prod'!$C$51:$C$479=E$43)*('W7. Primary Energy Prod'!$B$51:$B$479=$A47)*('W7. Primary Energy Prod'!$E$50:$O$50=E$45),'W7. Primary Energy Prod'!$E$51:$O$479))</f>
        <v>172315.25511127897</v>
      </c>
      <c r="F47" s="34">
        <f t="array" ref="F47">SUM(IF(('W7. Primary Energy Prod'!$C$51:$C$479=F$43)*('W7. Primary Energy Prod'!$B$51:$B$479=$A47)*('W7. Primary Energy Prod'!$E$50:$O$50=F$45),'W7. Primary Energy Prod'!$E$51:$O$479))</f>
        <v>170152.23487531603</v>
      </c>
      <c r="G47" s="34">
        <f t="array" ref="G47">SUM(IF(('W7. Primary Energy Prod'!$C$51:$C$479=G$43)*('W7. Primary Energy Prod'!$B$51:$B$479=$A47)*('W7. Primary Energy Prod'!$E$50:$O$50=G$45),'W7. Primary Energy Prod'!$E$51:$O$479))</f>
        <v>183387.41366755916</v>
      </c>
      <c r="H47" s="36">
        <f t="shared" si="5"/>
        <v>3053.2962329449188</v>
      </c>
      <c r="I47" s="14">
        <f t="shared" si="5"/>
        <v>3379.4469342747111</v>
      </c>
      <c r="J47" s="14">
        <f t="shared" si="5"/>
        <v>4253.8174027892164</v>
      </c>
      <c r="K47" s="14">
        <f t="shared" si="5"/>
        <v>4573.0537672858554</v>
      </c>
      <c r="L47" s="14">
        <f t="shared" si="5"/>
        <v>4515.6496341903967</v>
      </c>
      <c r="M47" s="14">
        <f t="shared" si="5"/>
        <v>4866.8964474657678</v>
      </c>
    </row>
    <row r="48" spans="1:13" x14ac:dyDescent="0.3">
      <c r="A48" s="3" t="s">
        <v>14</v>
      </c>
      <c r="B48" s="34">
        <f t="array" ref="B48">SUM(IF(('W7. Primary Energy Prod'!$C$51:$C$479=B$43)*('W7. Primary Energy Prod'!$B$51:$B$479=$A48)*('W7. Primary Energy Prod'!$E$50:$O$50=B$45),'W7. Primary Energy Prod'!$E$51:$O$479))</f>
        <v>113361.40893082572</v>
      </c>
      <c r="C48" s="34">
        <f t="array" ref="C48">SUM(IF(('W7. Primary Energy Prod'!$C$51:$C$479=C$43)*('W7. Primary Energy Prod'!$B$51:$B$479=$A48)*('W7. Primary Energy Prod'!$E$50:$O$50=C$45),'W7. Primary Energy Prod'!$E$51:$O$479))</f>
        <v>125068.22780197491</v>
      </c>
      <c r="D48" s="34">
        <f t="array" ref="D48">SUM(IF(('W7. Primary Energy Prod'!$C$51:$C$479=D$43)*('W7. Primary Energy Prod'!$B$51:$B$479=$A48)*('W7. Primary Energy Prod'!$E$50:$O$50=D$45),'W7. Primary Energy Prod'!$E$51:$O$479))</f>
        <v>164552.1853192726</v>
      </c>
      <c r="E48" s="34">
        <f t="array" ref="E48">SUM(IF(('W7. Primary Energy Prod'!$C$51:$C$479=E$43)*('W7. Primary Energy Prod'!$B$51:$B$479=$A48)*('W7. Primary Energy Prod'!$E$50:$O$50=E$45),'W7. Primary Energy Prod'!$E$51:$O$479))</f>
        <v>176766.93010542684</v>
      </c>
      <c r="F48" s="34">
        <f t="array" ref="F48">SUM(IF(('W7. Primary Energy Prod'!$C$51:$C$479=F$43)*('W7. Primary Energy Prod'!$B$51:$B$479=$A48)*('W7. Primary Energy Prod'!$E$50:$O$50=F$45),'W7. Primary Energy Prod'!$E$51:$O$479))</f>
        <v>177570.50161161661</v>
      </c>
      <c r="G48" s="34">
        <f t="array" ref="G48">SUM(IF(('W7. Primary Energy Prod'!$C$51:$C$479=G$43)*('W7. Primary Energy Prod'!$B$51:$B$479=$A48)*('W7. Primary Energy Prod'!$E$50:$O$50=G$45),'W7. Primary Energy Prod'!$E$51:$O$479))</f>
        <v>186810.83495303156</v>
      </c>
      <c r="H48" s="36">
        <f t="shared" si="5"/>
        <v>3008.4847556948102</v>
      </c>
      <c r="I48" s="14">
        <f t="shared" si="5"/>
        <v>3319.1706094056099</v>
      </c>
      <c r="J48" s="14">
        <f t="shared" si="5"/>
        <v>4367.0305946125382</v>
      </c>
      <c r="K48" s="14">
        <f t="shared" si="5"/>
        <v>4691.196232905475</v>
      </c>
      <c r="L48" s="14">
        <f t="shared" si="5"/>
        <v>4712.5221201653785</v>
      </c>
      <c r="M48" s="14">
        <f t="shared" si="5"/>
        <v>4957.7502119593755</v>
      </c>
    </row>
    <row r="49" spans="1:13" x14ac:dyDescent="0.3">
      <c r="A49" s="3" t="s">
        <v>15</v>
      </c>
      <c r="B49" s="34">
        <f t="array" ref="B49">SUM(IF(('W7. Primary Energy Prod'!$C$51:$C$479=B$43)*('W7. Primary Energy Prod'!$B$51:$B$479=$A49)*('W7. Primary Energy Prod'!$E$50:$O$50=B$45),'W7. Primary Energy Prod'!$E$51:$O$479))</f>
        <v>113361.40893082572</v>
      </c>
      <c r="C49" s="34">
        <f t="array" ref="C49">SUM(IF(('W7. Primary Energy Prod'!$C$51:$C$479=C$43)*('W7. Primary Energy Prod'!$B$51:$B$479=$A49)*('W7. Primary Energy Prod'!$E$50:$O$50=C$45),'W7. Primary Energy Prod'!$E$51:$O$479))</f>
        <v>125068.22780197491</v>
      </c>
      <c r="D49" s="34">
        <f t="array" ref="D49">SUM(IF(('W7. Primary Energy Prod'!$C$51:$C$479=D$43)*('W7. Primary Energy Prod'!$B$51:$B$479=$A49)*('W7. Primary Energy Prod'!$E$50:$O$50=D$45),'W7. Primary Energy Prod'!$E$51:$O$479))</f>
        <v>164552.1853192726</v>
      </c>
      <c r="E49" s="34">
        <f t="array" ref="E49">SUM(IF(('W7. Primary Energy Prod'!$C$51:$C$479=E$43)*('W7. Primary Energy Prod'!$B$51:$B$479=$A49)*('W7. Primary Energy Prod'!$E$50:$O$50=E$45),'W7. Primary Energy Prod'!$E$51:$O$479))</f>
        <v>181023.47390344125</v>
      </c>
      <c r="F49" s="34">
        <f t="array" ref="F49">SUM(IF(('W7. Primary Energy Prod'!$C$51:$C$479=F$43)*('W7. Primary Energy Prod'!$B$51:$B$479=$A49)*('W7. Primary Energy Prod'!$E$50:$O$50=F$45),'W7. Primary Energy Prod'!$E$51:$O$479))</f>
        <v>190353.69102734642</v>
      </c>
      <c r="G49" s="34">
        <f t="array" ref="G49">SUM(IF(('W7. Primary Energy Prod'!$C$51:$C$479=G$43)*('W7. Primary Energy Prod'!$B$51:$B$479=$A49)*('W7. Primary Energy Prod'!$E$50:$O$50=G$45),'W7. Primary Energy Prod'!$E$51:$O$479))</f>
        <v>197765.15809754399</v>
      </c>
      <c r="H49" s="36">
        <f t="shared" si="5"/>
        <v>3008.4847556948102</v>
      </c>
      <c r="I49" s="14">
        <f t="shared" si="5"/>
        <v>3319.1706094056099</v>
      </c>
      <c r="J49" s="14">
        <f t="shared" si="5"/>
        <v>4367.0305946125382</v>
      </c>
      <c r="K49" s="14">
        <f t="shared" si="5"/>
        <v>4804.1601352515354</v>
      </c>
      <c r="L49" s="14">
        <f t="shared" si="5"/>
        <v>5051.7736419054609</v>
      </c>
      <c r="M49" s="14">
        <f t="shared" si="5"/>
        <v>5248.4656723620474</v>
      </c>
    </row>
    <row r="50" spans="1:13" x14ac:dyDescent="0.3">
      <c r="A50" s="3" t="s">
        <v>26</v>
      </c>
      <c r="B50" s="34">
        <f t="array" ref="B50">SUM(IF(('W7. Primary Energy Prod'!$C$51:$C$479=B$43)*('W7. Primary Energy Prod'!$B$51:$B$479=$A50)*('W7. Primary Energy Prod'!$E$50:$O$50=B$45),'W7. Primary Energy Prod'!$E$51:$O$479))</f>
        <v>113361.40893082572</v>
      </c>
      <c r="C50" s="34">
        <f t="array" ref="C50">SUM(IF(('W7. Primary Energy Prod'!$C$51:$C$479=C$43)*('W7. Primary Energy Prod'!$B$51:$B$479=$A50)*('W7. Primary Energy Prod'!$E$50:$O$50=C$45),'W7. Primary Energy Prod'!$E$51:$O$479))</f>
        <v>125068.22780197491</v>
      </c>
      <c r="D50" s="34">
        <f t="array" ref="D50">SUM(IF(('W7. Primary Energy Prod'!$C$51:$C$479=D$43)*('W7. Primary Energy Prod'!$B$51:$B$479=$A50)*('W7. Primary Energy Prod'!$E$50:$O$50=D$45),'W7. Primary Energy Prod'!$E$51:$O$479))</f>
        <v>164552.1853192726</v>
      </c>
      <c r="E50" s="34">
        <f t="array" ref="E50">SUM(IF(('W7. Primary Energy Prod'!$C$51:$C$479=E$43)*('W7. Primary Energy Prod'!$B$51:$B$479=$A50)*('W7. Primary Energy Prod'!$E$50:$O$50=E$45),'W7. Primary Energy Prod'!$E$51:$O$479))</f>
        <v>176766.93010542684</v>
      </c>
      <c r="F50" s="34">
        <f t="array" ref="F50">SUM(IF(('W7. Primary Energy Prod'!$C$51:$C$479=F$43)*('W7. Primary Energy Prod'!$B$51:$B$479=$A50)*('W7. Primary Energy Prod'!$E$50:$O$50=F$45),'W7. Primary Energy Prod'!$E$51:$O$479))</f>
        <v>193469.93034685316</v>
      </c>
      <c r="G50" s="34">
        <f t="array" ref="G50">SUM(IF(('W7. Primary Energy Prod'!$C$51:$C$479=G$43)*('W7. Primary Energy Prod'!$B$51:$B$479=$A50)*('W7. Primary Energy Prod'!$E$50:$O$50=G$45),'W7. Primary Energy Prod'!$E$51:$O$479))</f>
        <v>197662.35279108427</v>
      </c>
      <c r="H50" s="36">
        <f t="shared" si="5"/>
        <v>3008.4847556948102</v>
      </c>
      <c r="I50" s="14">
        <f t="shared" si="5"/>
        <v>3319.1706094056099</v>
      </c>
      <c r="J50" s="14">
        <f t="shared" si="5"/>
        <v>4367.0305946125382</v>
      </c>
      <c r="K50" s="14">
        <f t="shared" si="5"/>
        <v>4691.196232905475</v>
      </c>
      <c r="L50" s="14">
        <f t="shared" si="5"/>
        <v>5134.4751412627393</v>
      </c>
      <c r="M50" s="14">
        <f t="shared" si="5"/>
        <v>5245.7373347363446</v>
      </c>
    </row>
    <row r="51" spans="1:13" x14ac:dyDescent="0.3">
      <c r="A51" s="3" t="s">
        <v>32</v>
      </c>
      <c r="B51" s="34">
        <f t="array" ref="B51">SUM(IF(('W7. Primary Energy Prod'!$C$51:$C$479=B$43)*('W7. Primary Energy Prod'!$B$51:$B$479=$A51)*('W7. Primary Energy Prod'!$E$50:$O$50=B$45),'W7. Primary Energy Prod'!$E$51:$O$479))</f>
        <v>113361.40893082572</v>
      </c>
      <c r="C51" s="34">
        <f t="array" ref="C51">SUM(IF(('W7. Primary Energy Prod'!$C$51:$C$479=C$43)*('W7. Primary Energy Prod'!$B$51:$B$479=$A51)*('W7. Primary Energy Prod'!$E$50:$O$50=C$45),'W7. Primary Energy Prod'!$E$51:$O$479))</f>
        <v>125068.22780197491</v>
      </c>
      <c r="D51" s="34">
        <f t="array" ref="D51">SUM(IF(('W7. Primary Energy Prod'!$C$51:$C$479=D$43)*('W7. Primary Energy Prod'!$B$51:$B$479=$A51)*('W7. Primary Energy Prod'!$E$50:$O$50=D$45),'W7. Primary Energy Prod'!$E$51:$O$479))</f>
        <v>164552.1853192726</v>
      </c>
      <c r="E51" s="34">
        <f t="array" ref="E51">SUM(IF(('W7. Primary Energy Prod'!$C$51:$C$479=E$43)*('W7. Primary Energy Prod'!$B$51:$B$479=$A51)*('W7. Primary Energy Prod'!$E$50:$O$50=E$45),'W7. Primary Energy Prod'!$E$51:$O$479))</f>
        <v>192915.71703120167</v>
      </c>
      <c r="F51" s="34">
        <f t="array" ref="F51">SUM(IF(('W7. Primary Energy Prod'!$C$51:$C$479=F$43)*('W7. Primary Energy Prod'!$B$51:$B$479=$A51)*('W7. Primary Energy Prod'!$E$50:$O$50=F$45),'W7. Primary Energy Prod'!$E$51:$O$479))</f>
        <v>193798.76851038981</v>
      </c>
      <c r="G51" s="34">
        <f t="array" ref="G51">SUM(IF(('W7. Primary Energy Prod'!$C$51:$C$479=G$43)*('W7. Primary Energy Prod'!$B$51:$B$479=$A51)*('W7. Primary Energy Prod'!$E$50:$O$50=G$45),'W7. Primary Energy Prod'!$E$51:$O$479))</f>
        <v>197148.91761156073</v>
      </c>
      <c r="H51" s="36">
        <f t="shared" si="5"/>
        <v>3008.4847556948102</v>
      </c>
      <c r="I51" s="14">
        <f t="shared" si="5"/>
        <v>3319.1706094056099</v>
      </c>
      <c r="J51" s="14">
        <f t="shared" si="5"/>
        <v>4367.0305946125382</v>
      </c>
      <c r="K51" s="14">
        <f t="shared" si="5"/>
        <v>5119.7669409389582</v>
      </c>
      <c r="L51" s="14">
        <f t="shared" si="5"/>
        <v>5143.2021376138018</v>
      </c>
      <c r="M51" s="14">
        <f t="shared" si="5"/>
        <v>5232.1113404477892</v>
      </c>
    </row>
    <row r="52" spans="1:13" x14ac:dyDescent="0.3">
      <c r="A52" s="3" t="s">
        <v>37</v>
      </c>
      <c r="B52" s="34">
        <f t="array" ref="B52">SUM(IF(('W7. Primary Energy Prod'!$C$51:$C$479=B$43)*('W7. Primary Energy Prod'!$B$51:$B$479=$A52)*('W7. Primary Energy Prod'!$E$50:$O$50=B$45),'W7. Primary Energy Prod'!$E$51:$O$479))</f>
        <v>113361.40893082572</v>
      </c>
      <c r="C52" s="34">
        <f t="array" ref="C52">SUM(IF(('W7. Primary Energy Prod'!$C$51:$C$479=C$43)*('W7. Primary Energy Prod'!$B$51:$B$479=$A52)*('W7. Primary Energy Prod'!$E$50:$O$50=C$45),'W7. Primary Energy Prod'!$E$51:$O$479))</f>
        <v>125068.22780197491</v>
      </c>
      <c r="D52" s="34">
        <f t="array" ref="D52">SUM(IF(('W7. Primary Energy Prod'!$C$51:$C$479=D$43)*('W7. Primary Energy Prod'!$B$51:$B$479=$A52)*('W7. Primary Energy Prod'!$E$50:$O$50=D$45),'W7. Primary Energy Prod'!$E$51:$O$479))</f>
        <v>164552.1853192726</v>
      </c>
      <c r="E52" s="34">
        <f t="array" ref="E52">SUM(IF(('W7. Primary Energy Prod'!$C$51:$C$479=E$43)*('W7. Primary Energy Prod'!$B$51:$B$479=$A52)*('W7. Primary Energy Prod'!$E$50:$O$50=E$45),'W7. Primary Energy Prod'!$E$51:$O$479))</f>
        <v>175522.09526600322</v>
      </c>
      <c r="F52" s="34">
        <f t="array" ref="F52">SUM(IF(('W7. Primary Energy Prod'!$C$51:$C$479=F$43)*('W7. Primary Energy Prod'!$B$51:$B$479=$A52)*('W7. Primary Energy Prod'!$E$50:$O$50=F$45),'W7. Primary Energy Prod'!$E$51:$O$479))</f>
        <v>186485.67183568937</v>
      </c>
      <c r="G52" s="34">
        <f t="array" ref="G52">SUM(IF(('W7. Primary Energy Prod'!$C$51:$C$479=G$43)*('W7. Primary Energy Prod'!$B$51:$B$479=$A52)*('W7. Primary Energy Prod'!$E$50:$O$50=G$45),'W7. Primary Energy Prod'!$E$51:$O$479))</f>
        <v>198629.85633418793</v>
      </c>
      <c r="H52" s="36">
        <f t="shared" si="5"/>
        <v>3008.4847556948102</v>
      </c>
      <c r="I52" s="14">
        <f t="shared" si="5"/>
        <v>3319.1706094056099</v>
      </c>
      <c r="J52" s="14">
        <f t="shared" si="5"/>
        <v>4367.0305946125382</v>
      </c>
      <c r="K52" s="14">
        <f t="shared" si="5"/>
        <v>4658.1597112788868</v>
      </c>
      <c r="L52" s="14">
        <f t="shared" si="5"/>
        <v>4949.1207472159094</v>
      </c>
      <c r="M52" s="14">
        <f t="shared" si="5"/>
        <v>5271.4137945471457</v>
      </c>
    </row>
    <row r="53" spans="1:13" x14ac:dyDescent="0.3">
      <c r="A53" s="3" t="s">
        <v>1026</v>
      </c>
      <c r="B53" s="34">
        <f t="array" ref="B53">SUM(IF(('W7. Primary Energy Prod'!$C$51:$C$479=B$43)*('W7. Primary Energy Prod'!$B$51:$B$479=$A53)*('W7. Primary Energy Prod'!$E$50:$O$50=B$45),'W7. Primary Energy Prod'!$E$51:$O$479))</f>
        <v>113361.40893082572</v>
      </c>
      <c r="C53" s="34">
        <f t="array" ref="C53">SUM(IF(('W7. Primary Energy Prod'!$C$51:$C$479=C$43)*('W7. Primary Energy Prod'!$B$51:$B$479=$A53)*('W7. Primary Energy Prod'!$E$50:$O$50=C$45),'W7. Primary Energy Prod'!$E$51:$O$479))</f>
        <v>125068.22780197491</v>
      </c>
      <c r="D53" s="34">
        <f t="array" ref="D53">SUM(IF(('W7. Primary Energy Prod'!$C$51:$C$479=D$43)*('W7. Primary Energy Prod'!$B$51:$B$479=$A53)*('W7. Primary Energy Prod'!$E$50:$O$50=D$45),'W7. Primary Energy Prod'!$E$51:$O$479))</f>
        <v>164552.1853192726</v>
      </c>
      <c r="E53" s="34">
        <f t="array" ref="E53">SUM(IF(('W7. Primary Energy Prod'!$C$51:$C$479=E$43)*('W7. Primary Energy Prod'!$B$51:$B$479=$A53)*('W7. Primary Energy Prod'!$E$50:$O$50=E$45),'W7. Primary Energy Prod'!$E$51:$O$479))</f>
        <v>186224.65641708614</v>
      </c>
      <c r="F53" s="34">
        <f t="array" ref="F53">SUM(IF(('W7. Primary Energy Prod'!$C$51:$C$479=F$43)*('W7. Primary Energy Prod'!$B$51:$B$479=$A53)*('W7. Primary Energy Prod'!$E$50:$O$50=F$45),'W7. Primary Energy Prod'!$E$51:$O$479))</f>
        <v>205146.50726893242</v>
      </c>
      <c r="G53" s="34">
        <f t="array" ref="G53">SUM(IF(('W7. Primary Energy Prod'!$C$51:$C$479=G$43)*('W7. Primary Energy Prod'!$B$51:$B$479=$A53)*('W7. Primary Energy Prod'!$E$50:$O$50=G$45),'W7. Primary Energy Prod'!$E$51:$O$479))</f>
        <v>223390.51910375262</v>
      </c>
      <c r="H53" s="36">
        <f t="shared" si="5"/>
        <v>3008.4847556948102</v>
      </c>
      <c r="I53" s="14">
        <f t="shared" si="5"/>
        <v>3319.1706094056099</v>
      </c>
      <c r="J53" s="14">
        <f t="shared" si="5"/>
        <v>4367.0305946125382</v>
      </c>
      <c r="K53" s="14">
        <f t="shared" si="5"/>
        <v>4942.1936905104985</v>
      </c>
      <c r="L53" s="14">
        <f t="shared" si="5"/>
        <v>5444.3584075355602</v>
      </c>
      <c r="M53" s="14">
        <f t="shared" si="5"/>
        <v>5928.5340366622659</v>
      </c>
    </row>
    <row r="54" spans="1:13" x14ac:dyDescent="0.3">
      <c r="A54" s="3" t="s">
        <v>47</v>
      </c>
      <c r="B54" s="34">
        <f t="array" ref="B54">SUM(IF(('W7. Primary Energy Prod'!$C$51:$C$479=B$43)*('W7. Primary Energy Prod'!$B$51:$B$479=$A54)*('W7. Primary Energy Prod'!$E$50:$O$50=B$45),'W7. Primary Energy Prod'!$E$51:$O$479))</f>
        <v>113361.40893082572</v>
      </c>
      <c r="C54" s="34">
        <f t="array" ref="C54">SUM(IF(('W7. Primary Energy Prod'!$C$51:$C$479=C$43)*('W7. Primary Energy Prod'!$B$51:$B$479=$A54)*('W7. Primary Energy Prod'!$E$50:$O$50=C$45),'W7. Primary Energy Prod'!$E$51:$O$479))</f>
        <v>125068.22780197491</v>
      </c>
      <c r="D54" s="34">
        <f t="array" ref="D54">SUM(IF(('W7. Primary Energy Prod'!$C$51:$C$479=D$43)*('W7. Primary Energy Prod'!$B$51:$B$479=$A54)*('W7. Primary Energy Prod'!$E$50:$O$50=D$45),'W7. Primary Energy Prod'!$E$51:$O$479))</f>
        <v>164552.1853192726</v>
      </c>
      <c r="E54" s="34">
        <f t="array" ref="E54">SUM(IF(('W7. Primary Energy Prod'!$C$51:$C$479=E$43)*('W7. Primary Energy Prod'!$B$51:$B$479=$A54)*('W7. Primary Energy Prod'!$E$50:$O$50=E$45),'W7. Primary Energy Prod'!$E$51:$O$479))</f>
        <v>179393.03858454441</v>
      </c>
      <c r="F54" s="34">
        <f t="array" ref="F54">SUM(IF(('W7. Primary Energy Prod'!$C$51:$C$479=F$43)*('W7. Primary Energy Prod'!$B$51:$B$479=$A54)*('W7. Primary Energy Prod'!$E$50:$O$50=F$45),'W7. Primary Energy Prod'!$E$51:$O$479))</f>
        <v>186496.44730313428</v>
      </c>
      <c r="G54" s="34">
        <f t="array" ref="G54">SUM(IF(('W7. Primary Energy Prod'!$C$51:$C$479=G$43)*('W7. Primary Energy Prod'!$B$51:$B$479=$A54)*('W7. Primary Energy Prod'!$E$50:$O$50=G$45),'W7. Primary Energy Prod'!$E$51:$O$479))</f>
        <v>192148.05821959215</v>
      </c>
      <c r="H54" s="36">
        <f t="shared" si="5"/>
        <v>3008.4847556948102</v>
      </c>
      <c r="I54" s="14">
        <f t="shared" si="5"/>
        <v>3319.1706094056099</v>
      </c>
      <c r="J54" s="14">
        <f t="shared" si="5"/>
        <v>4367.0305946125382</v>
      </c>
      <c r="K54" s="14">
        <f t="shared" si="5"/>
        <v>4760.8902090190495</v>
      </c>
      <c r="L54" s="14">
        <f t="shared" si="5"/>
        <v>4949.4067160464783</v>
      </c>
      <c r="M54" s="14">
        <f t="shared" si="5"/>
        <v>5099.3941363480126</v>
      </c>
    </row>
    <row r="55" spans="1:13" x14ac:dyDescent="0.3">
      <c r="A55" s="3" t="s">
        <v>49</v>
      </c>
      <c r="B55" s="34">
        <f t="array" ref="B55">SUM(IF(('W7. Primary Energy Prod'!$C$51:$C$479=B$43)*('W7. Primary Energy Prod'!$B$51:$B$479=$A55)*('W7. Primary Energy Prod'!$E$50:$O$50=B$45),'W7. Primary Energy Prod'!$E$51:$O$479))</f>
        <v>113361.40893082572</v>
      </c>
      <c r="C55" s="34">
        <f t="array" ref="C55">SUM(IF(('W7. Primary Energy Prod'!$C$51:$C$479=C$43)*('W7. Primary Energy Prod'!$B$51:$B$479=$A55)*('W7. Primary Energy Prod'!$E$50:$O$50=C$45),'W7. Primary Energy Prod'!$E$51:$O$479))</f>
        <v>125068.22780197491</v>
      </c>
      <c r="D55" s="34">
        <f t="array" ref="D55">SUM(IF(('W7. Primary Energy Prod'!$C$51:$C$479=D$43)*('W7. Primary Energy Prod'!$B$51:$B$479=$A55)*('W7. Primary Energy Prod'!$E$50:$O$50=D$45),'W7. Primary Energy Prod'!$E$51:$O$479))</f>
        <v>164552.1853192726</v>
      </c>
      <c r="E55" s="34">
        <f t="array" ref="E55">SUM(IF(('W7. Primary Energy Prod'!$C$51:$C$479=E$43)*('W7. Primary Energy Prod'!$B$51:$B$479=$A55)*('W7. Primary Energy Prod'!$E$50:$O$50=E$45),'W7. Primary Energy Prod'!$E$51:$O$479))</f>
        <v>176183.40548563987</v>
      </c>
      <c r="F55" s="34">
        <f t="array" ref="F55">SUM(IF(('W7. Primary Energy Prod'!$C$51:$C$479=F$43)*('W7. Primary Energy Prod'!$B$51:$B$479=$A55)*('W7. Primary Energy Prod'!$E$50:$O$50=F$45),'W7. Primary Energy Prod'!$E$51:$O$479))</f>
        <v>178291.79188407914</v>
      </c>
      <c r="G55" s="34">
        <f t="array" ref="G55">SUM(IF(('W7. Primary Energy Prod'!$C$51:$C$479=G$43)*('W7. Primary Energy Prod'!$B$51:$B$479=$A55)*('W7. Primary Energy Prod'!$E$50:$O$50=G$45),'W7. Primary Energy Prod'!$E$51:$O$479))</f>
        <v>168742.97980745227</v>
      </c>
      <c r="H55" s="36">
        <f t="shared" si="5"/>
        <v>3008.4847556948102</v>
      </c>
      <c r="I55" s="14">
        <f t="shared" si="5"/>
        <v>3319.1706094056099</v>
      </c>
      <c r="J55" s="14">
        <f t="shared" si="5"/>
        <v>4367.0305946125382</v>
      </c>
      <c r="K55" s="14">
        <f t="shared" si="5"/>
        <v>4675.7101434173592</v>
      </c>
      <c r="L55" s="14">
        <f t="shared" si="5"/>
        <v>4731.6643556898034</v>
      </c>
      <c r="M55" s="14">
        <f t="shared" si="5"/>
        <v>4478.2495839568919</v>
      </c>
    </row>
    <row r="56" spans="1:13" ht="15" thickBot="1" x14ac:dyDescent="0.35"/>
    <row r="57" spans="1:13" s="25" customFormat="1" ht="15" thickBot="1" x14ac:dyDescent="0.35">
      <c r="A57" s="24" t="s">
        <v>377</v>
      </c>
    </row>
    <row r="59" spans="1:13" x14ac:dyDescent="0.3">
      <c r="B59" s="3" t="s">
        <v>418</v>
      </c>
      <c r="C59" s="3" t="s">
        <v>418</v>
      </c>
      <c r="D59" s="3" t="s">
        <v>418</v>
      </c>
      <c r="E59" s="3" t="s">
        <v>418</v>
      </c>
      <c r="F59" s="3" t="s">
        <v>418</v>
      </c>
      <c r="G59" s="3" t="s">
        <v>418</v>
      </c>
      <c r="H59" s="3" t="s">
        <v>418</v>
      </c>
      <c r="I59" s="3" t="s">
        <v>418</v>
      </c>
      <c r="J59" s="3" t="s">
        <v>418</v>
      </c>
      <c r="K59" s="3" t="s">
        <v>418</v>
      </c>
    </row>
    <row r="60" spans="1:13" x14ac:dyDescent="0.3">
      <c r="A60" s="3" t="s">
        <v>8</v>
      </c>
      <c r="B60" s="3">
        <v>2007</v>
      </c>
      <c r="C60" s="3">
        <v>2012</v>
      </c>
      <c r="D60" s="3">
        <v>2014</v>
      </c>
      <c r="E60" s="3">
        <v>2015</v>
      </c>
      <c r="F60" s="3">
        <v>2016</v>
      </c>
      <c r="G60" s="3">
        <v>2017</v>
      </c>
      <c r="H60" s="3">
        <v>2020</v>
      </c>
      <c r="I60" s="3">
        <v>2030</v>
      </c>
      <c r="J60" s="3">
        <v>2040</v>
      </c>
      <c r="K60" s="3">
        <v>2050</v>
      </c>
    </row>
    <row r="61" spans="1:13" x14ac:dyDescent="0.3">
      <c r="A61" s="3" t="s">
        <v>368</v>
      </c>
      <c r="B61" s="34"/>
      <c r="C61" s="34"/>
      <c r="D61" s="34" t="str">
        <f t="array" ref="D61">INDEX('W20. Fossil fuel prod'!$F$16:$R$45,MATCH($A61&amp;"Gas",'W20. Fossil fuel prod'!$A$16:$A$45&amp;'W20. Fossil fuel prod'!$C$16:$C$45,0),MATCH(D$60,'W20. Fossil fuel prod'!$F$15:$R$15,0))</f>
        <v/>
      </c>
      <c r="E61" s="34" t="str">
        <f t="array" ref="E61">INDEX('W20. Fossil fuel prod'!$F$16:$R$45,MATCH($A61&amp;"Gas",'W20. Fossil fuel prod'!$A$16:$A$45&amp;'W20. Fossil fuel prod'!$C$16:$C$45,0),MATCH(E$60,'W20. Fossil fuel prod'!$F$15:$R$15,0))</f>
        <v/>
      </c>
      <c r="F61" s="34">
        <f t="array" ref="F61">INDEX('W20. Fossil fuel prod'!$F$16:$R$45,MATCH($A61&amp;"Gas",'W20. Fossil fuel prod'!$A$16:$A$45&amp;'W20. Fossil fuel prod'!$C$16:$C$45,0),MATCH(F$60,'W20. Fossil fuel prod'!$F$15:$R$15,0))</f>
        <v>3636.84</v>
      </c>
      <c r="G61" s="34">
        <f t="array" ref="G61">INDEX('W20. Fossil fuel prod'!$F$16:$R$45,MATCH($A61&amp;"Gas",'W20. Fossil fuel prod'!$A$16:$A$45&amp;'W20. Fossil fuel prod'!$C$16:$C$45,0),MATCH(G$60,'W20. Fossil fuel prod'!$F$15:$R$15,0))</f>
        <v>3768.86</v>
      </c>
      <c r="H61" s="34">
        <f t="array" ref="H61">INDEX('W20. Fossil fuel prod'!$F$16:$R$45,MATCH($A61&amp;"Gas",'W20. Fossil fuel prod'!$A$16:$A$45&amp;'W20. Fossil fuel prod'!$C$16:$C$45,0),MATCH(H$60,'W20. Fossil fuel prod'!$F$15:$R$15,0))</f>
        <v>4000.3962500000002</v>
      </c>
      <c r="I61" s="34">
        <f t="array" ref="I61">INDEX('W20. Fossil fuel prod'!$F$16:$R$45,MATCH($A61&amp;"Gas",'W20. Fossil fuel prod'!$A$16:$A$45&amp;'W20. Fossil fuel prod'!$C$16:$C$45,0),MATCH(I$60,'W20. Fossil fuel prod'!$F$15:$R$15,0))</f>
        <v>4859.5</v>
      </c>
      <c r="J61" s="34">
        <f t="array" ref="J61">INDEX('W20. Fossil fuel prod'!$F$16:$R$45,MATCH($A61&amp;"Gas",'W20. Fossil fuel prod'!$A$16:$A$45&amp;'W20. Fossil fuel prod'!$C$16:$C$45,0),MATCH(J$60,'W20. Fossil fuel prod'!$F$15:$R$15,0))</f>
        <v>5846.69</v>
      </c>
      <c r="K61" s="34">
        <f t="array" ref="K61">INDEX('W20. Fossil fuel prod'!$F$16:$R$45,MATCH($A61&amp;"Gas",'W20. Fossil fuel prod'!$A$16:$A$45&amp;'W20. Fossil fuel prod'!$C$16:$C$45,0),MATCH(K$60,'W20. Fossil fuel prod'!$F$15:$R$15,0))</f>
        <v>6808.5299999999988</v>
      </c>
    </row>
    <row r="62" spans="1:13" x14ac:dyDescent="0.3">
      <c r="A62" s="3" t="s">
        <v>370</v>
      </c>
      <c r="B62" s="34"/>
      <c r="C62" s="34"/>
      <c r="D62" s="34" t="str">
        <f t="array" ref="D62">INDEX('W20. Fossil fuel prod'!$F$16:$R$45,MATCH($A62&amp;"Gas",'W20. Fossil fuel prod'!$A$16:$A$45&amp;'W20. Fossil fuel prod'!$C$16:$C$45,0),MATCH(D$60,'W20. Fossil fuel prod'!$F$15:$R$15,0))</f>
        <v/>
      </c>
      <c r="E62" s="34" t="str">
        <f t="array" ref="E62">INDEX('W20. Fossil fuel prod'!$F$16:$R$45,MATCH($A62&amp;"Gas",'W20. Fossil fuel prod'!$A$16:$A$45&amp;'W20. Fossil fuel prod'!$C$16:$C$45,0),MATCH(E$60,'W20. Fossil fuel prod'!$F$15:$R$15,0))</f>
        <v/>
      </c>
      <c r="F62" s="34">
        <f t="array" ref="F62">INDEX('W20. Fossil fuel prod'!$F$16:$R$45,MATCH($A62&amp;"Gas",'W20. Fossil fuel prod'!$A$16:$A$45&amp;'W20. Fossil fuel prod'!$C$16:$C$45,0),MATCH(F$60,'W20. Fossil fuel prod'!$F$15:$R$15,0))</f>
        <v>3636.84</v>
      </c>
      <c r="G62" s="34">
        <f t="array" ref="G62">INDEX('W20. Fossil fuel prod'!$F$16:$R$45,MATCH($A62&amp;"Gas",'W20. Fossil fuel prod'!$A$16:$A$45&amp;'W20. Fossil fuel prod'!$C$16:$C$45,0),MATCH(G$60,'W20. Fossil fuel prod'!$F$15:$R$15,0))</f>
        <v>3768.86</v>
      </c>
      <c r="H62" s="34">
        <f t="array" ref="H62">INDEX('W20. Fossil fuel prod'!$F$16:$R$45,MATCH($A62&amp;"Gas",'W20. Fossil fuel prod'!$A$16:$A$45&amp;'W20. Fossil fuel prod'!$C$16:$C$45,0),MATCH(H$60,'W20. Fossil fuel prod'!$F$15:$R$15,0))</f>
        <v>3965.5250000000001</v>
      </c>
      <c r="I62" s="34">
        <f t="array" ref="I62">INDEX('W20. Fossil fuel prod'!$F$16:$R$45,MATCH($A62&amp;"Gas",'W20. Fossil fuel prod'!$A$16:$A$45&amp;'W20. Fossil fuel prod'!$C$16:$C$45,0),MATCH(I$60,'W20. Fossil fuel prod'!$F$15:$R$15,0))</f>
        <v>4641.3999999999996</v>
      </c>
      <c r="J62" s="34">
        <f t="array" ref="J62">INDEX('W20. Fossil fuel prod'!$F$16:$R$45,MATCH($A62&amp;"Gas",'W20. Fossil fuel prod'!$A$16:$A$45&amp;'W20. Fossil fuel prod'!$C$16:$C$45,0),MATCH(J$60,'W20. Fossil fuel prod'!$F$15:$R$15,0))</f>
        <v>5398.5</v>
      </c>
      <c r="K62" s="34">
        <f t="array" ref="K62">INDEX('W20. Fossil fuel prod'!$F$16:$R$45,MATCH($A62&amp;"Gas",'W20. Fossil fuel prod'!$A$16:$A$45&amp;'W20. Fossil fuel prod'!$C$16:$C$45,0),MATCH(K$60,'W20. Fossil fuel prod'!$F$15:$R$15,0))</f>
        <v>6145.960000000021</v>
      </c>
    </row>
    <row r="63" spans="1:13" x14ac:dyDescent="0.3">
      <c r="A63" s="3" t="s">
        <v>372</v>
      </c>
      <c r="B63" s="34"/>
      <c r="C63" s="34"/>
      <c r="D63" s="34" t="str">
        <f t="array" ref="D63">INDEX('W20. Fossil fuel prod'!$F$16:$R$45,MATCH($A63&amp;"Gas",'W20. Fossil fuel prod'!$A$16:$A$45&amp;'W20. Fossil fuel prod'!$C$16:$C$45,0),MATCH(D$60,'W20. Fossil fuel prod'!$F$15:$R$15,0))</f>
        <v/>
      </c>
      <c r="E63" s="34" t="str">
        <f t="array" ref="E63">INDEX('W20. Fossil fuel prod'!$F$16:$R$45,MATCH($A63&amp;"Gas",'W20. Fossil fuel prod'!$A$16:$A$45&amp;'W20. Fossil fuel prod'!$C$16:$C$45,0),MATCH(E$60,'W20. Fossil fuel prod'!$F$15:$R$15,0))</f>
        <v/>
      </c>
      <c r="F63" s="34">
        <f t="array" ref="F63">INDEX('W20. Fossil fuel prod'!$F$16:$R$45,MATCH($A63&amp;"Gas",'W20. Fossil fuel prod'!$A$16:$A$45&amp;'W20. Fossil fuel prod'!$C$16:$C$45,0),MATCH(F$60,'W20. Fossil fuel prod'!$F$15:$R$15,0))</f>
        <v>3636.84</v>
      </c>
      <c r="G63" s="34">
        <f t="array" ref="G63">INDEX('W20. Fossil fuel prod'!$F$16:$R$45,MATCH($A63&amp;"Gas",'W20. Fossil fuel prod'!$A$16:$A$45&amp;'W20. Fossil fuel prod'!$C$16:$C$45,0),MATCH(G$60,'W20. Fossil fuel prod'!$F$15:$R$15,0))</f>
        <v>3768.86</v>
      </c>
      <c r="H63" s="34">
        <f t="array" ref="H63">INDEX('W20. Fossil fuel prod'!$F$16:$R$45,MATCH($A63&amp;"Gas",'W20. Fossil fuel prod'!$A$16:$A$45&amp;'W20. Fossil fuel prod'!$C$16:$C$45,0),MATCH(H$60,'W20. Fossil fuel prod'!$F$15:$R$15,0))</f>
        <v>3926.5250000000001</v>
      </c>
      <c r="I63" s="34">
        <f t="array" ref="I63">INDEX('W20. Fossil fuel prod'!$F$16:$R$45,MATCH($A63&amp;"Gas",'W20. Fossil fuel prod'!$A$16:$A$45&amp;'W20. Fossil fuel prod'!$C$16:$C$45,0),MATCH(I$60,'W20. Fossil fuel prod'!$F$15:$R$15,0))</f>
        <v>4317.6000000000004</v>
      </c>
      <c r="J63" s="34">
        <f t="array" ref="J63">INDEX('W20. Fossil fuel prod'!$F$16:$R$45,MATCH($A63&amp;"Gas",'W20. Fossil fuel prod'!$A$16:$A$45&amp;'W20. Fossil fuel prod'!$C$16:$C$45,0),MATCH(J$60,'W20. Fossil fuel prod'!$F$15:$R$15,0))</f>
        <v>4184.12</v>
      </c>
      <c r="K63" s="34">
        <f t="array" ref="K63">INDEX('W20. Fossil fuel prod'!$F$16:$R$45,MATCH($A63&amp;"Gas",'W20. Fossil fuel prod'!$A$16:$A$45&amp;'W20. Fossil fuel prod'!$C$16:$C$45,0),MATCH(K$60,'W20. Fossil fuel prod'!$F$15:$R$15,0))</f>
        <v>3956.9800000000032</v>
      </c>
    </row>
    <row r="64" spans="1:13" x14ac:dyDescent="0.3">
      <c r="A64" s="3" t="s">
        <v>378</v>
      </c>
      <c r="B64" s="34"/>
      <c r="C64" s="34"/>
      <c r="D64" s="34">
        <f t="array" ref="D64">INDEX('W20. Fossil fuel prod'!$F$16:$R$45,MATCH($A64&amp;"Gas",'W20. Fossil fuel prod'!$A$16:$A$45&amp;'W20. Fossil fuel prod'!$C$16:$C$45,0),MATCH(D$60,'W20. Fossil fuel prod'!$F$15:$R$15,0))</f>
        <v>3536.37</v>
      </c>
      <c r="E64" s="34" t="str">
        <f t="array" ref="E64">INDEX('W20. Fossil fuel prod'!$F$16:$R$45,MATCH($A64&amp;"Gas",'W20. Fossil fuel prod'!$A$16:$A$45&amp;'W20. Fossil fuel prod'!$C$16:$C$45,0),MATCH(E$60,'W20. Fossil fuel prod'!$F$15:$R$15,0))</f>
        <v/>
      </c>
      <c r="F64" s="34" t="str">
        <f t="array" ref="F64">INDEX('W20. Fossil fuel prod'!$F$16:$R$45,MATCH($A64&amp;"Gas",'W20. Fossil fuel prod'!$A$16:$A$45&amp;'W20. Fossil fuel prod'!$C$16:$C$45,0),MATCH(F$60,'W20. Fossil fuel prod'!$F$15:$R$15,0))</f>
        <v/>
      </c>
      <c r="G64" s="34" t="str">
        <f t="array" ref="G64">INDEX('W20. Fossil fuel prod'!$F$16:$R$45,MATCH($A64&amp;"Gas",'W20. Fossil fuel prod'!$A$16:$A$45&amp;'W20. Fossil fuel prod'!$C$16:$C$45,0),MATCH(G$60,'W20. Fossil fuel prod'!$F$15:$R$15,0))</f>
        <v/>
      </c>
      <c r="H64" s="34">
        <f t="array" ref="H64">INDEX('W20. Fossil fuel prod'!$F$16:$R$45,MATCH($A64&amp;"Gas",'W20. Fossil fuel prod'!$A$16:$A$45&amp;'W20. Fossil fuel prod'!$C$16:$C$45,0),MATCH(H$60,'W20. Fossil fuel prod'!$F$15:$R$15,0))</f>
        <v>3864.93</v>
      </c>
      <c r="I64" s="34">
        <f t="array" ref="I64">INDEX('W20. Fossil fuel prod'!$F$16:$R$45,MATCH($A64&amp;"Gas",'W20. Fossil fuel prod'!$A$16:$A$45&amp;'W20. Fossil fuel prod'!$C$16:$C$45,0),MATCH(I$60,'W20. Fossil fuel prod'!$F$15:$R$15,0))</f>
        <v>4726.22</v>
      </c>
      <c r="J64" s="34">
        <f t="array" ref="J64">INDEX('W20. Fossil fuel prod'!$F$16:$R$45,MATCH($A64&amp;"Gas",'W20. Fossil fuel prod'!$A$16:$A$45&amp;'W20. Fossil fuel prod'!$C$16:$C$45,0),MATCH(J$60,'W20. Fossil fuel prod'!$F$15:$R$15,0))</f>
        <v>5712.73</v>
      </c>
      <c r="K64" s="34">
        <f t="array" ref="K64">INDEX('W20. Fossil fuel prod'!$F$16:$R$45,MATCH($A64&amp;"Gas",'W20. Fossil fuel prod'!$A$16:$A$45&amp;'W20. Fossil fuel prod'!$C$16:$C$45,0),MATCH(K$60,'W20. Fossil fuel prod'!$F$15:$R$15,0))</f>
        <v>6699.2399999999989</v>
      </c>
    </row>
    <row r="65" spans="1:11" x14ac:dyDescent="0.3">
      <c r="A65" s="3" t="s">
        <v>379</v>
      </c>
      <c r="B65" s="34"/>
      <c r="C65" s="34"/>
      <c r="D65" s="34">
        <f t="array" ref="D65">INDEX('W20. Fossil fuel prod'!$F$16:$R$45,MATCH($A65&amp;"Gas",'W20. Fossil fuel prod'!$A$16:$A$45&amp;'W20. Fossil fuel prod'!$C$16:$C$45,0),MATCH(D$60,'W20. Fossil fuel prod'!$F$15:$R$15,0))</f>
        <v>3536.37</v>
      </c>
      <c r="E65" s="34" t="str">
        <f t="array" ref="E65">INDEX('W20. Fossil fuel prod'!$F$16:$R$45,MATCH($A65&amp;"Gas",'W20. Fossil fuel prod'!$A$16:$A$45&amp;'W20. Fossil fuel prod'!$C$16:$C$45,0),MATCH(E$60,'W20. Fossil fuel prod'!$F$15:$R$15,0))</f>
        <v/>
      </c>
      <c r="F65" s="34" t="str">
        <f t="array" ref="F65">INDEX('W20. Fossil fuel prod'!$F$16:$R$45,MATCH($A65&amp;"Gas",'W20. Fossil fuel prod'!$A$16:$A$45&amp;'W20. Fossil fuel prod'!$C$16:$C$45,0),MATCH(F$60,'W20. Fossil fuel prod'!$F$15:$R$15,0))</f>
        <v/>
      </c>
      <c r="G65" s="34" t="str">
        <f t="array" ref="G65">INDEX('W20. Fossil fuel prod'!$F$16:$R$45,MATCH($A65&amp;"Gas",'W20. Fossil fuel prod'!$A$16:$A$45&amp;'W20. Fossil fuel prod'!$C$16:$C$45,0),MATCH(G$60,'W20. Fossil fuel prod'!$F$15:$R$15,0))</f>
        <v/>
      </c>
      <c r="H65" s="34">
        <f t="array" ref="H65">INDEX('W20. Fossil fuel prod'!$F$16:$R$45,MATCH($A65&amp;"Gas",'W20. Fossil fuel prod'!$A$16:$A$45&amp;'W20. Fossil fuel prod'!$C$16:$C$45,0),MATCH(H$60,'W20. Fossil fuel prod'!$F$15:$R$15,0))</f>
        <v>3801.95</v>
      </c>
      <c r="I65" s="34">
        <f t="array" ref="I65">INDEX('W20. Fossil fuel prod'!$F$16:$R$45,MATCH($A65&amp;"Gas",'W20. Fossil fuel prod'!$A$16:$A$45&amp;'W20. Fossil fuel prod'!$C$16:$C$45,0),MATCH(I$60,'W20. Fossil fuel prod'!$F$15:$R$15,0))</f>
        <v>4465.8999999999996</v>
      </c>
      <c r="J65" s="34">
        <f t="array" ref="J65">INDEX('W20. Fossil fuel prod'!$F$16:$R$45,MATCH($A65&amp;"Gas",'W20. Fossil fuel prod'!$A$16:$A$45&amp;'W20. Fossil fuel prod'!$C$16:$C$45,0),MATCH(J$60,'W20. Fossil fuel prod'!$F$15:$R$15,0))</f>
        <v>5218.6899999999996</v>
      </c>
      <c r="K65" s="34">
        <f t="array" ref="K65">INDEX('W20. Fossil fuel prod'!$F$16:$R$45,MATCH($A65&amp;"Gas",'W20. Fossil fuel prod'!$A$16:$A$45&amp;'W20. Fossil fuel prod'!$C$16:$C$45,0),MATCH(K$60,'W20. Fossil fuel prod'!$F$15:$R$15,0))</f>
        <v>5940.4100000000326</v>
      </c>
    </row>
    <row r="66" spans="1:11" x14ac:dyDescent="0.3">
      <c r="A66" s="3" t="s">
        <v>380</v>
      </c>
      <c r="B66" s="34"/>
      <c r="C66" s="34"/>
      <c r="D66" s="34">
        <f t="array" ref="D66">INDEX('W20. Fossil fuel prod'!$F$16:$R$45,MATCH($A66&amp;"Gas",'W20. Fossil fuel prod'!$A$16:$A$45&amp;'W20. Fossil fuel prod'!$C$16:$C$45,0),MATCH(D$60,'W20. Fossil fuel prod'!$F$15:$R$15,0))</f>
        <v>3536.37</v>
      </c>
      <c r="E66" s="34" t="str">
        <f t="array" ref="E66">INDEX('W20. Fossil fuel prod'!$F$16:$R$45,MATCH($A66&amp;"Gas",'W20. Fossil fuel prod'!$A$16:$A$45&amp;'W20. Fossil fuel prod'!$C$16:$C$45,0),MATCH(E$60,'W20. Fossil fuel prod'!$F$15:$R$15,0))</f>
        <v/>
      </c>
      <c r="F66" s="34" t="str">
        <f t="array" ref="F66">INDEX('W20. Fossil fuel prod'!$F$16:$R$45,MATCH($A66&amp;"Gas",'W20. Fossil fuel prod'!$A$16:$A$45&amp;'W20. Fossil fuel prod'!$C$16:$C$45,0),MATCH(F$60,'W20. Fossil fuel prod'!$F$15:$R$15,0))</f>
        <v/>
      </c>
      <c r="G66" s="34" t="str">
        <f t="array" ref="G66">INDEX('W20. Fossil fuel prod'!$F$16:$R$45,MATCH($A66&amp;"Gas",'W20. Fossil fuel prod'!$A$16:$A$45&amp;'W20. Fossil fuel prod'!$C$16:$C$45,0),MATCH(G$60,'W20. Fossil fuel prod'!$F$15:$R$15,0))</f>
        <v/>
      </c>
      <c r="H66" s="34">
        <f t="array" ref="H66">INDEX('W20. Fossil fuel prod'!$F$16:$R$45,MATCH($A66&amp;"Gas",'W20. Fossil fuel prod'!$A$16:$A$45&amp;'W20. Fossil fuel prod'!$C$16:$C$45,0),MATCH(H$60,'W20. Fossil fuel prod'!$F$15:$R$15,0))</f>
        <v>3794.71</v>
      </c>
      <c r="I66" s="34">
        <f t="array" ref="I66">INDEX('W20. Fossil fuel prod'!$F$16:$R$45,MATCH($A66&amp;"Gas",'W20. Fossil fuel prod'!$A$16:$A$45&amp;'W20. Fossil fuel prod'!$C$16:$C$45,0),MATCH(I$60,'W20. Fossil fuel prod'!$F$15:$R$15,0))</f>
        <v>4062.05</v>
      </c>
      <c r="J66" s="34">
        <f t="array" ref="J66">INDEX('W20. Fossil fuel prod'!$F$16:$R$45,MATCH($A66&amp;"Gas",'W20. Fossil fuel prod'!$A$16:$A$45&amp;'W20. Fossil fuel prod'!$C$16:$C$45,0),MATCH(J$60,'W20. Fossil fuel prod'!$F$15:$R$15,0))</f>
        <v>4007.97</v>
      </c>
      <c r="K66" s="34">
        <f t="array" ref="K66">INDEX('W20. Fossil fuel prod'!$F$16:$R$45,MATCH($A66&amp;"Gas",'W20. Fossil fuel prod'!$A$16:$A$45&amp;'W20. Fossil fuel prod'!$C$16:$C$45,0),MATCH(K$60,'W20. Fossil fuel prod'!$F$15:$R$15,0))</f>
        <v>3953.8899999999994</v>
      </c>
    </row>
    <row r="67" spans="1:11" x14ac:dyDescent="0.3">
      <c r="A67" s="3" t="s">
        <v>381</v>
      </c>
      <c r="B67" s="34"/>
      <c r="C67" s="34"/>
      <c r="D67" s="34">
        <f t="array" ref="D67">INDEX('W20. Fossil fuel prod'!$F$16:$R$45,MATCH($A67&amp;"Gas",'W20. Fossil fuel prod'!$A$16:$A$45&amp;'W20. Fossil fuel prod'!$C$16:$C$45,0),MATCH(D$60,'W20. Fossil fuel prod'!$F$15:$R$15,0))</f>
        <v>3222.9196882935812</v>
      </c>
      <c r="E67" s="34" t="str">
        <f t="array" ref="E67">INDEX('W20. Fossil fuel prod'!$F$16:$R$45,MATCH($A67&amp;"Gas",'W20. Fossil fuel prod'!$A$16:$A$45&amp;'W20. Fossil fuel prod'!$C$16:$C$45,0),MATCH(E$60,'W20. Fossil fuel prod'!$F$15:$R$15,0))</f>
        <v/>
      </c>
      <c r="F67" s="34" t="str">
        <f t="array" ref="F67">INDEX('W20. Fossil fuel prod'!$F$16:$R$45,MATCH($A67&amp;"Gas",'W20. Fossil fuel prod'!$A$16:$A$45&amp;'W20. Fossil fuel prod'!$C$16:$C$45,0),MATCH(F$60,'W20. Fossil fuel prod'!$F$15:$R$15,0))</f>
        <v/>
      </c>
      <c r="G67" s="34" t="str">
        <f t="array" ref="G67">INDEX('W20. Fossil fuel prod'!$F$16:$R$45,MATCH($A67&amp;"Gas",'W20. Fossil fuel prod'!$A$16:$A$45&amp;'W20. Fossil fuel prod'!$C$16:$C$45,0),MATCH(G$60,'W20. Fossil fuel prod'!$F$15:$R$15,0))</f>
        <v/>
      </c>
      <c r="H67" s="34">
        <f t="array" ref="H67">INDEX('W20. Fossil fuel prod'!$F$16:$R$45,MATCH($A67&amp;"Gas",'W20. Fossil fuel prod'!$A$16:$A$45&amp;'W20. Fossil fuel prod'!$C$16:$C$45,0),MATCH(H$60,'W20. Fossil fuel prod'!$F$15:$R$15,0))</f>
        <v>3557.8352596884461</v>
      </c>
      <c r="I67" s="34">
        <f t="array" ref="I67">INDEX('W20. Fossil fuel prod'!$F$16:$R$45,MATCH($A67&amp;"Gas",'W20. Fossil fuel prod'!$A$16:$A$45&amp;'W20. Fossil fuel prod'!$C$16:$C$45,0),MATCH(I$60,'W20. Fossil fuel prod'!$F$15:$R$15,0))</f>
        <v>4177.737880920914</v>
      </c>
      <c r="J67" s="34">
        <f t="array" ref="J67">INDEX('W20. Fossil fuel prod'!$F$16:$R$45,MATCH($A67&amp;"Gas",'W20. Fossil fuel prod'!$A$16:$A$45&amp;'W20. Fossil fuel prod'!$C$16:$C$45,0),MATCH(J$60,'W20. Fossil fuel prod'!$F$15:$R$15,0))</f>
        <v>4616.408566259408</v>
      </c>
      <c r="K67" s="34">
        <f t="array" ref="K67">INDEX('W20. Fossil fuel prod'!$F$16:$R$45,MATCH($A67&amp;"Gas",'W20. Fossil fuel prod'!$A$16:$A$45&amp;'W20. Fossil fuel prod'!$C$16:$C$45,0),MATCH(K$60,'W20. Fossil fuel prod'!$F$15:$R$15,0))</f>
        <v>4880.799467932964</v>
      </c>
    </row>
    <row r="68" spans="1:11" x14ac:dyDescent="0.3">
      <c r="A68" s="3" t="s">
        <v>382</v>
      </c>
      <c r="B68" s="34"/>
      <c r="C68" s="34"/>
      <c r="D68" s="34">
        <f t="array" ref="D68">INDEX('W20. Fossil fuel prod'!$F$16:$R$45,MATCH($A68&amp;"Gas",'W20. Fossil fuel prod'!$A$16:$A$45&amp;'W20. Fossil fuel prod'!$C$16:$C$45,0),MATCH(D$60,'W20. Fossil fuel prod'!$F$15:$R$15,0))</f>
        <v>3222.9196882935812</v>
      </c>
      <c r="E68" s="34" t="str">
        <f t="array" ref="E68">INDEX('W20. Fossil fuel prod'!$F$16:$R$45,MATCH($A68&amp;"Gas",'W20. Fossil fuel prod'!$A$16:$A$45&amp;'W20. Fossil fuel prod'!$C$16:$C$45,0),MATCH(E$60,'W20. Fossil fuel prod'!$F$15:$R$15,0))</f>
        <v/>
      </c>
      <c r="F68" s="34" t="str">
        <f t="array" ref="F68">INDEX('W20. Fossil fuel prod'!$F$16:$R$45,MATCH($A68&amp;"Gas",'W20. Fossil fuel prod'!$A$16:$A$45&amp;'W20. Fossil fuel prod'!$C$16:$C$45,0),MATCH(F$60,'W20. Fossil fuel prod'!$F$15:$R$15,0))</f>
        <v/>
      </c>
      <c r="G68" s="34" t="str">
        <f t="array" ref="G68">INDEX('W20. Fossil fuel prod'!$F$16:$R$45,MATCH($A68&amp;"Gas",'W20. Fossil fuel prod'!$A$16:$A$45&amp;'W20. Fossil fuel prod'!$C$16:$C$45,0),MATCH(G$60,'W20. Fossil fuel prod'!$F$15:$R$15,0))</f>
        <v/>
      </c>
      <c r="H68" s="34">
        <f t="array" ref="H68">INDEX('W20. Fossil fuel prod'!$F$16:$R$45,MATCH($A68&amp;"Gas",'W20. Fossil fuel prod'!$A$16:$A$45&amp;'W20. Fossil fuel prod'!$C$16:$C$45,0),MATCH(H$60,'W20. Fossil fuel prod'!$F$15:$R$15,0))</f>
        <v>3461.4199045258315</v>
      </c>
      <c r="I68" s="34">
        <f t="array" ref="I68">INDEX('W20. Fossil fuel prod'!$F$16:$R$45,MATCH($A68&amp;"Gas",'W20. Fossil fuel prod'!$A$16:$A$45&amp;'W20. Fossil fuel prod'!$C$16:$C$45,0),MATCH(I$60,'W20. Fossil fuel prod'!$F$15:$R$15,0))</f>
        <v>3514.3182497912621</v>
      </c>
      <c r="J68" s="34">
        <f t="array" ref="J68">INDEX('W20. Fossil fuel prod'!$F$16:$R$45,MATCH($A68&amp;"Gas",'W20. Fossil fuel prod'!$A$16:$A$45&amp;'W20. Fossil fuel prod'!$C$16:$C$45,0),MATCH(J$60,'W20. Fossil fuel prod'!$F$15:$R$15,0))</f>
        <v>3158.7952146540092</v>
      </c>
      <c r="K68" s="34">
        <f t="array" ref="K68">INDEX('W20. Fossil fuel prod'!$F$16:$R$45,MATCH($A68&amp;"Gas",'W20. Fossil fuel prod'!$A$16:$A$45&amp;'W20. Fossil fuel prod'!$C$16:$C$45,0),MATCH(K$60,'W20. Fossil fuel prod'!$F$15:$R$15,0))</f>
        <v>2661.9552952670033</v>
      </c>
    </row>
    <row r="69" spans="1:11" x14ac:dyDescent="0.3">
      <c r="A69" s="3" t="s">
        <v>383</v>
      </c>
      <c r="B69" s="34"/>
      <c r="C69" s="34"/>
      <c r="D69" s="34">
        <f t="array" ref="D69">INDEX('W20. Fossil fuel prod'!$F$16:$R$45,MATCH($A69&amp;"Gas",'W20. Fossil fuel prod'!$A$16:$A$45&amp;'W20. Fossil fuel prod'!$C$16:$C$45,0),MATCH(D$60,'W20. Fossil fuel prod'!$F$15:$R$15,0))</f>
        <v>3222.9196882935812</v>
      </c>
      <c r="E69" s="34" t="str">
        <f t="array" ref="E69">INDEX('W20. Fossil fuel prod'!$F$16:$R$45,MATCH($A69&amp;"Gas",'W20. Fossil fuel prod'!$A$16:$A$45&amp;'W20. Fossil fuel prod'!$C$16:$C$45,0),MATCH(E$60,'W20. Fossil fuel prod'!$F$15:$R$15,0))</f>
        <v/>
      </c>
      <c r="F69" s="34" t="str">
        <f t="array" ref="F69">INDEX('W20. Fossil fuel prod'!$F$16:$R$45,MATCH($A69&amp;"Gas",'W20. Fossil fuel prod'!$A$16:$A$45&amp;'W20. Fossil fuel prod'!$C$16:$C$45,0),MATCH(F$60,'W20. Fossil fuel prod'!$F$15:$R$15,0))</f>
        <v/>
      </c>
      <c r="G69" s="34" t="str">
        <f t="array" ref="G69">INDEX('W20. Fossil fuel prod'!$F$16:$R$45,MATCH($A69&amp;"Gas",'W20. Fossil fuel prod'!$A$16:$A$45&amp;'W20. Fossil fuel prod'!$C$16:$C$45,0),MATCH(G$60,'W20. Fossil fuel prod'!$F$15:$R$15,0))</f>
        <v/>
      </c>
      <c r="H69" s="34">
        <f t="array" ref="H69">INDEX('W20. Fossil fuel prod'!$F$16:$R$45,MATCH($A69&amp;"Gas",'W20. Fossil fuel prod'!$A$16:$A$45&amp;'W20. Fossil fuel prod'!$C$16:$C$45,0),MATCH(H$60,'W20. Fossil fuel prod'!$F$15:$R$15,0))</f>
        <v>3409.3240438295925</v>
      </c>
      <c r="I69" s="34">
        <f t="array" ref="I69">INDEX('W20. Fossil fuel prod'!$F$16:$R$45,MATCH($A69&amp;"Gas",'W20. Fossil fuel prod'!$A$16:$A$45&amp;'W20. Fossil fuel prod'!$C$16:$C$45,0),MATCH(I$60,'W20. Fossil fuel prod'!$F$15:$R$15,0))</f>
        <v>3413.6397550688434</v>
      </c>
      <c r="J69" s="34">
        <f t="array" ref="J69">INDEX('W20. Fossil fuel prod'!$F$16:$R$45,MATCH($A69&amp;"Gas",'W20. Fossil fuel prod'!$A$16:$A$45&amp;'W20. Fossil fuel prod'!$C$16:$C$45,0),MATCH(J$60,'W20. Fossil fuel prod'!$F$15:$R$15,0))</f>
        <v>2663.2326157630973</v>
      </c>
      <c r="K69" s="34">
        <f t="array" ref="K69">INDEX('W20. Fossil fuel prod'!$F$16:$R$45,MATCH($A69&amp;"Gas",'W20. Fossil fuel prod'!$A$16:$A$45&amp;'W20. Fossil fuel prod'!$C$16:$C$45,0),MATCH(K$60,'W20. Fossil fuel prod'!$F$15:$R$15,0))</f>
        <v>1786.0569764012723</v>
      </c>
    </row>
    <row r="70" spans="1:11" x14ac:dyDescent="0.3">
      <c r="A70" s="3" t="s">
        <v>384</v>
      </c>
      <c r="B70" s="34"/>
      <c r="C70" s="34"/>
      <c r="D70" s="34" t="str">
        <f t="array" ref="D70">INDEX('W20. Fossil fuel prod'!$F$16:$R$45,MATCH($A70&amp;"Gas",'W20. Fossil fuel prod'!$A$16:$A$45&amp;'W20. Fossil fuel prod'!$C$16:$C$45,0),MATCH(D$60,'W20. Fossil fuel prod'!$F$15:$R$15,0))</f>
        <v/>
      </c>
      <c r="E70" s="34">
        <f t="array" ref="E70">INDEX('W20. Fossil fuel prod'!$F$16:$R$45,MATCH($A70&amp;"Gas",'W20. Fossil fuel prod'!$A$16:$A$45&amp;'W20. Fossil fuel prod'!$C$16:$C$45,0),MATCH(E$60,'W20. Fossil fuel prod'!$F$15:$R$15,0))</f>
        <v>3284.1939655650681</v>
      </c>
      <c r="F70" s="34" t="str">
        <f t="array" ref="F70">INDEX('W20. Fossil fuel prod'!$F$16:$R$45,MATCH($A70&amp;"Gas",'W20. Fossil fuel prod'!$A$16:$A$45&amp;'W20. Fossil fuel prod'!$C$16:$C$45,0),MATCH(F$60,'W20. Fossil fuel prod'!$F$15:$R$15,0))</f>
        <v/>
      </c>
      <c r="G70" s="34" t="str">
        <f t="array" ref="G70">INDEX('W20. Fossil fuel prod'!$F$16:$R$45,MATCH($A70&amp;"Gas",'W20. Fossil fuel prod'!$A$16:$A$45&amp;'W20. Fossil fuel prod'!$C$16:$C$45,0),MATCH(G$60,'W20. Fossil fuel prod'!$F$15:$R$15,0))</f>
        <v/>
      </c>
      <c r="H70" s="34">
        <f t="array" ref="H70">INDEX('W20. Fossil fuel prod'!$F$16:$R$45,MATCH($A70&amp;"Gas",'W20. Fossil fuel prod'!$A$16:$A$45&amp;'W20. Fossil fuel prod'!$C$16:$C$45,0),MATCH(H$60,'W20. Fossil fuel prod'!$F$15:$R$15,0))</f>
        <v>3630.3508334014023</v>
      </c>
      <c r="I70" s="34">
        <f t="array" ref="I70">INDEX('W20. Fossil fuel prod'!$F$16:$R$45,MATCH($A70&amp;"Gas",'W20. Fossil fuel prod'!$A$16:$A$45&amp;'W20. Fossil fuel prod'!$C$16:$C$45,0),MATCH(I$60,'W20. Fossil fuel prod'!$F$15:$R$15,0))</f>
        <v>4200.0444477806732</v>
      </c>
      <c r="J70" s="34">
        <f t="array" ref="J70">INDEX('W20. Fossil fuel prod'!$F$16:$R$45,MATCH($A70&amp;"Gas",'W20. Fossil fuel prod'!$A$16:$A$45&amp;'W20. Fossil fuel prod'!$C$16:$C$45,0),MATCH(J$60,'W20. Fossil fuel prod'!$F$15:$R$15,0))</f>
        <v>4000.7871456733706</v>
      </c>
      <c r="K70" s="34">
        <f t="array" ref="K70">INDEX('W20. Fossil fuel prod'!$F$16:$R$45,MATCH($A70&amp;"Gas",'W20. Fossil fuel prod'!$A$16:$A$45&amp;'W20. Fossil fuel prod'!$C$16:$C$45,0),MATCH(K$60,'W20. Fossil fuel prod'!$F$15:$R$15,0))</f>
        <v>3053.0051618174361</v>
      </c>
    </row>
    <row r="71" spans="1:11" x14ac:dyDescent="0.3">
      <c r="A71" s="3" t="s">
        <v>385</v>
      </c>
      <c r="B71" s="34">
        <f>INDEX('R18. BPStat 18 gas prod'!$B$83:$AW$83,MATCH(B$60,'R18. BPStat 18 gas prod'!$B$11:$AW$11,0))</f>
        <v>2941.3232940636217</v>
      </c>
      <c r="C71" s="34">
        <f>INDEX('R18. BPStat 18 gas prod'!$B$83:$AW$83,MATCH(C$60,'R18. BPStat 18 gas prod'!$B$11:$AW$11,0))</f>
        <v>3337.1329586289512</v>
      </c>
      <c r="D71" s="34">
        <f>INDEX('R18. BPStat 18 gas prod'!$B$83:$AW$83,MATCH(D$60,'R18. BPStat 18 gas prod'!$B$11:$AW$11,0))</f>
        <v>3446.86455215771</v>
      </c>
      <c r="E71" s="34">
        <f>INDEX('R18. BPStat 18 gas prod'!$B$83:$AW$83,MATCH(E$60,'R18. BPStat 18 gas prod'!$B$11:$AW$11,0))</f>
        <v>3519.4285606904286</v>
      </c>
      <c r="F71" s="34">
        <f>INDEX('R18. BPStat 18 gas prod'!$B$83:$AW$83,MATCH(F$60,'R18. BPStat 18 gas prod'!$B$11:$AW$11,0))</f>
        <v>3549.8174068664225</v>
      </c>
      <c r="G71" s="34">
        <f>INDEX('R18. BPStat 18 gas prod'!$B$83:$AW$83,MATCH(G$60,'R18. BPStat 18 gas prod'!$B$11:$AW$11,0))</f>
        <v>3680.377621992106</v>
      </c>
      <c r="H71" s="34"/>
      <c r="I71" s="34"/>
      <c r="J71" s="34"/>
      <c r="K71" s="34"/>
    </row>
  </sheetData>
  <conditionalFormatting sqref="A1:XFD18 A20:XFD52 B19:XFD19 A54:XFD1048576 B53:XFD53">
    <cfRule type="expression" dxfId="211" priority="3">
      <formula>_xlfn.ISFORMULA(A1)</formula>
    </cfRule>
  </conditionalFormatting>
  <conditionalFormatting sqref="A19">
    <cfRule type="expression" dxfId="210" priority="2">
      <formula>_xlfn.ISFORMULA(A19)</formula>
    </cfRule>
  </conditionalFormatting>
  <conditionalFormatting sqref="A53">
    <cfRule type="expression" dxfId="209" priority="1">
      <formula>_xlfn.ISFORMULA(A53)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B686-56C8-4D24-BF58-24DC938CDFE4}">
  <sheetPr>
    <tabColor theme="4" tint="0.499984740745262"/>
    <pageSetUpPr autoPageBreaks="0"/>
  </sheetPr>
  <dimension ref="A1:P71"/>
  <sheetViews>
    <sheetView topLeftCell="A7" zoomScale="70" zoomScaleNormal="70" workbookViewId="0">
      <selection activeCell="F23" sqref="F23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419</v>
      </c>
    </row>
    <row r="2" spans="1:16" s="20" customFormat="1" x14ac:dyDescent="0.3">
      <c r="A2" s="20" t="s">
        <v>5</v>
      </c>
      <c r="B2" s="20" t="s">
        <v>420</v>
      </c>
    </row>
    <row r="3" spans="1:16" s="20" customFormat="1" x14ac:dyDescent="0.3">
      <c r="A3" s="20" t="s">
        <v>6</v>
      </c>
      <c r="B3" s="20" t="s">
        <v>349</v>
      </c>
    </row>
    <row r="4" spans="1:16" s="20" customFormat="1" x14ac:dyDescent="0.3">
      <c r="A4" s="20" t="s">
        <v>4</v>
      </c>
      <c r="B4" s="20" t="s">
        <v>350</v>
      </c>
      <c r="O4" s="21"/>
      <c r="P4" s="22"/>
    </row>
    <row r="5" spans="1:16" s="20" customFormat="1" x14ac:dyDescent="0.3">
      <c r="A5" s="20" t="s">
        <v>351</v>
      </c>
      <c r="B5" s="23">
        <f>'R2. Unit conversion factors'!$E$9*'R2. Unit conversion factors'!$E$13</f>
        <v>3.582688455E-2</v>
      </c>
      <c r="C5" s="20" t="s">
        <v>421</v>
      </c>
      <c r="O5" s="21"/>
      <c r="P5" s="22"/>
    </row>
    <row r="6" spans="1:16" s="20" customFormat="1" x14ac:dyDescent="0.3">
      <c r="A6" s="20" t="s">
        <v>353</v>
      </c>
      <c r="B6" s="23">
        <f>($F$61/$J$46)</f>
        <v>0.81474068067578553</v>
      </c>
      <c r="C6" s="20" t="s">
        <v>994</v>
      </c>
      <c r="O6" s="21"/>
      <c r="P6" s="22"/>
    </row>
    <row r="7" spans="1:16" s="20" customFormat="1" x14ac:dyDescent="0.3">
      <c r="A7" s="20" t="s">
        <v>355</v>
      </c>
      <c r="B7" s="23" t="s">
        <v>356</v>
      </c>
      <c r="O7" s="21"/>
      <c r="P7" s="22"/>
    </row>
    <row r="8" spans="1:16" s="20" customFormat="1" x14ac:dyDescent="0.3">
      <c r="B8" s="23" t="s">
        <v>357</v>
      </c>
      <c r="O8" s="21"/>
      <c r="P8" s="22"/>
    </row>
    <row r="9" spans="1:16" ht="15" thickBot="1" x14ac:dyDescent="0.35"/>
    <row r="10" spans="1:16" s="25" customFormat="1" ht="15" thickBot="1" x14ac:dyDescent="0.35">
      <c r="A10" s="24" t="s">
        <v>358</v>
      </c>
    </row>
    <row r="11" spans="1:16" x14ac:dyDescent="0.3">
      <c r="E11" s="26"/>
      <c r="F11" s="27"/>
      <c r="G11" s="27"/>
      <c r="H11" s="27"/>
      <c r="I11" s="27"/>
      <c r="J11" s="27"/>
    </row>
    <row r="12" spans="1:16" x14ac:dyDescent="0.3">
      <c r="A12" s="3" t="s">
        <v>8</v>
      </c>
      <c r="B12" s="3" t="s">
        <v>86</v>
      </c>
      <c r="C12" s="3" t="s">
        <v>8</v>
      </c>
      <c r="D12" s="3">
        <v>2017</v>
      </c>
      <c r="E12" s="3">
        <v>2020</v>
      </c>
      <c r="F12" s="28">
        <v>2030</v>
      </c>
      <c r="G12" s="3">
        <v>2040</v>
      </c>
      <c r="H12" s="3">
        <v>2050</v>
      </c>
    </row>
    <row r="13" spans="1:16" ht="14.4" customHeight="1" x14ac:dyDescent="0.3">
      <c r="A13" s="37" t="s">
        <v>13</v>
      </c>
      <c r="B13" s="37" t="str">
        <f>INDEX('R1. Scenario specifications'!$C$11:$C$60,MATCH($A13,'R1. Scenario specifications'!$A$11:$A$60,0))</f>
        <v>Vivid BAU - WEO Current Policies Scenario emissions pathway run through TIAM</v>
      </c>
      <c r="C13" s="37" t="s">
        <v>359</v>
      </c>
      <c r="D13" s="38">
        <f>$D$23</f>
        <v>5359.8919999999998</v>
      </c>
      <c r="E13" s="38">
        <f>$E$23</f>
        <v>5368.7423750000007</v>
      </c>
      <c r="F13" s="38">
        <f t="shared" ref="F13:H15" si="0">INDEX($I$47:$N$55,MATCH($A13,$A$47:$A$55,0),MATCH(F$12,$I$45:$N$45,0))*$B$6</f>
        <v>5321.7220159139761</v>
      </c>
      <c r="G13" s="38">
        <f t="shared" si="0"/>
        <v>5516.0246932880655</v>
      </c>
      <c r="H13" s="38">
        <f t="shared" si="0"/>
        <v>6336.3915074813049</v>
      </c>
    </row>
    <row r="14" spans="1:16" x14ac:dyDescent="0.3">
      <c r="A14" s="37" t="s">
        <v>14</v>
      </c>
      <c r="B14" s="37" t="str">
        <f>INDEX('R1. Scenario specifications'!$C$11:$C$60,MATCH($A14,'R1. Scenario specifications'!$A$11:$A$60,0))</f>
        <v>Vivid Paris NDCs - WEO New Policies Scenario emissions pathway run through TIAM</v>
      </c>
      <c r="C14" s="37" t="s">
        <v>360</v>
      </c>
      <c r="D14" s="38">
        <f t="shared" ref="D14:D21" si="1">$D$23</f>
        <v>5359.8919999999998</v>
      </c>
      <c r="E14" s="38">
        <f t="shared" ref="E14:E21" si="2">$E$23</f>
        <v>5368.7423750000007</v>
      </c>
      <c r="F14" s="38">
        <f t="shared" si="0"/>
        <v>4132.8859517349701</v>
      </c>
      <c r="G14" s="38">
        <f t="shared" si="0"/>
        <v>4597.1226602823945</v>
      </c>
      <c r="H14" s="38">
        <f t="shared" si="0"/>
        <v>4996.6979943902106</v>
      </c>
    </row>
    <row r="15" spans="1:16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1">
        <f t="shared" si="1"/>
        <v>5359.8919999999998</v>
      </c>
      <c r="E15" s="31">
        <f t="shared" si="2"/>
        <v>5368.7423750000007</v>
      </c>
      <c r="F15" s="31">
        <f t="shared" si="0"/>
        <v>3120.8166494653251</v>
      </c>
      <c r="G15" s="31">
        <f t="shared" si="0"/>
        <v>2589.0466836297201</v>
      </c>
      <c r="H15" s="31">
        <f t="shared" si="0"/>
        <v>2417.7983410815973</v>
      </c>
    </row>
    <row r="16" spans="1:16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1">
        <f t="shared" si="1"/>
        <v>5359.8919999999998</v>
      </c>
      <c r="E16" s="31">
        <f t="shared" si="2"/>
        <v>5368.7423750000007</v>
      </c>
      <c r="F16" s="31">
        <f>F$23</f>
        <v>5405.11</v>
      </c>
      <c r="G16" s="31">
        <f t="shared" ref="G16:H21" si="3">INDEX($I$47:$N$55,MATCH($A16,$A$47:$A$55,0),MATCH(G$12,$I$45:$N$45,0))*$B$6</f>
        <v>2813.485713723735</v>
      </c>
      <c r="H16" s="31">
        <f t="shared" si="3"/>
        <v>2192.741175251751</v>
      </c>
    </row>
    <row r="17" spans="1:9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1">
        <f t="shared" si="1"/>
        <v>5359.8919999999998</v>
      </c>
      <c r="E17" s="31">
        <f t="shared" si="2"/>
        <v>5368.7423750000007</v>
      </c>
      <c r="F17" s="31">
        <f>INDEX($I$47:$N$55,MATCH($A17,$A$47:$A$55,0),MATCH(F$12,$I$45:$N$45,0))*$B$6</f>
        <v>2285.5036820410692</v>
      </c>
      <c r="G17" s="31">
        <f t="shared" si="3"/>
        <v>1508.6265452764417</v>
      </c>
      <c r="H17" s="31">
        <f t="shared" si="3"/>
        <v>1741.6619129891824</v>
      </c>
    </row>
    <row r="18" spans="1:9" ht="14.4" customHeight="1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1">
        <f t="shared" si="1"/>
        <v>5359.8919999999998</v>
      </c>
      <c r="E18" s="31">
        <f t="shared" si="2"/>
        <v>5368.7423750000007</v>
      </c>
      <c r="F18" s="31">
        <f>INDEX($I$47:$N$55,MATCH($A18,$A$47:$A$55,0),MATCH(F$12,$I$45:$N$45,0))*$B$6</f>
        <v>3191.3725369764666</v>
      </c>
      <c r="G18" s="31">
        <f t="shared" si="3"/>
        <v>2595.4413699447991</v>
      </c>
      <c r="H18" s="31">
        <f t="shared" si="3"/>
        <v>2436.1602142156048</v>
      </c>
    </row>
    <row r="19" spans="1:9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1">
        <f t="shared" si="1"/>
        <v>5359.8919999999998</v>
      </c>
      <c r="E19" s="31">
        <f t="shared" si="2"/>
        <v>5368.7423750000007</v>
      </c>
      <c r="F19" s="31">
        <f>INDEX($I$47:$N$55,MATCH($A19,$A$47:$A$55,0),MATCH(F$12,$I$45:$N$45,0))*$B$6</f>
        <v>3067.6248710657728</v>
      </c>
      <c r="G19" s="31">
        <f t="shared" si="3"/>
        <v>2454.6738356155274</v>
      </c>
      <c r="H19" s="31">
        <f t="shared" si="3"/>
        <v>2505.0874941070447</v>
      </c>
    </row>
    <row r="20" spans="1:9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1">
        <f t="shared" si="1"/>
        <v>5359.8919999999998</v>
      </c>
      <c r="E20" s="31">
        <f t="shared" si="2"/>
        <v>5368.7423750000007</v>
      </c>
      <c r="F20" s="31">
        <f>INDEX($I$47:$N$55,MATCH($A20,$A$47:$A$55,0),MATCH(F$12,$I$45:$N$45,0))*$B$6</f>
        <v>3300.4351824029036</v>
      </c>
      <c r="G20" s="31">
        <f t="shared" si="3"/>
        <v>2884.988106994826</v>
      </c>
      <c r="H20" s="31">
        <f t="shared" si="3"/>
        <v>2465.0183970912581</v>
      </c>
    </row>
    <row r="21" spans="1:9" x14ac:dyDescent="0.3">
      <c r="A21" s="39" t="s">
        <v>49</v>
      </c>
      <c r="B21" s="39" t="str">
        <f>INDEX('R1. Scenario specifications'!$C$11:$C$60,MATCH($A21,'R1. Scenario specifications'!$A$11:$A$60,0))</f>
        <v>Current 2DS, 2020 start, 'Expect the Unexpected' but with cheap energy efficiency</v>
      </c>
      <c r="C21" s="39" t="s">
        <v>367</v>
      </c>
      <c r="D21" s="40">
        <f t="shared" si="1"/>
        <v>5359.8919999999998</v>
      </c>
      <c r="E21" s="40">
        <f t="shared" si="2"/>
        <v>5368.7423750000007</v>
      </c>
      <c r="F21" s="40">
        <f>INDEX($I$47:$N$55,MATCH($A21,$A$47:$A$55,0),MATCH(F$12,$I$45:$N$45,0))*$B$6</f>
        <v>3272.7199229308676</v>
      </c>
      <c r="G21" s="40">
        <f t="shared" si="3"/>
        <v>2654.5206162440531</v>
      </c>
      <c r="H21" s="40">
        <f t="shared" si="3"/>
        <v>2112.374931294074</v>
      </c>
    </row>
    <row r="22" spans="1:9" ht="14.4" customHeight="1" x14ac:dyDescent="0.3">
      <c r="A22" s="3" t="s">
        <v>368</v>
      </c>
      <c r="B22" s="3" t="str">
        <f>INDEX('R1. Scenario specifications'!$C$11:$C$60,MATCH($A22,'R1. Scenario specifications'!$A$11:$A$60,0))</f>
        <v>Current Policies Scenario, World Energy Outlook 2018</v>
      </c>
      <c r="C22" s="3" t="s">
        <v>414</v>
      </c>
      <c r="D22" s="33">
        <f t="shared" ref="D22:H24" si="4">INDEX($D$61:$K$70,MATCH($A22,$A$61:$A$70,0),MATCH(D$12,$D$60:$K$60,0))</f>
        <v>5359.8919999999998</v>
      </c>
      <c r="E22" s="33">
        <f t="shared" si="4"/>
        <v>5491.5170000000007</v>
      </c>
      <c r="F22" s="33">
        <f t="shared" si="4"/>
        <v>6074.0859999999993</v>
      </c>
      <c r="G22" s="33">
        <f t="shared" si="4"/>
        <v>6813.43</v>
      </c>
      <c r="H22" s="33">
        <f t="shared" si="4"/>
        <v>7525.3259999999846</v>
      </c>
      <c r="I22" s="34"/>
    </row>
    <row r="23" spans="1:9" x14ac:dyDescent="0.3">
      <c r="A23" s="3" t="s">
        <v>370</v>
      </c>
      <c r="B23" s="3" t="str">
        <f>INDEX('R1. Scenario specifications'!$C$11:$C$60,MATCH($A23,'R1. Scenario specifications'!$A$11:$A$60,0))</f>
        <v>New Policies Scenario, World Energy Outlook 2018</v>
      </c>
      <c r="C23" s="3" t="s">
        <v>415</v>
      </c>
      <c r="D23" s="34">
        <f t="shared" si="4"/>
        <v>5359.8919999999998</v>
      </c>
      <c r="E23" s="34">
        <f t="shared" si="4"/>
        <v>5368.7423750000007</v>
      </c>
      <c r="F23" s="34">
        <f t="shared" si="4"/>
        <v>5405.11</v>
      </c>
      <c r="G23" s="34">
        <f t="shared" si="4"/>
        <v>5441.4790000000003</v>
      </c>
      <c r="H23" s="34">
        <f t="shared" si="4"/>
        <v>5485.7969999999978</v>
      </c>
      <c r="I23" s="34"/>
    </row>
    <row r="24" spans="1:9" x14ac:dyDescent="0.3">
      <c r="A24" s="3" t="s">
        <v>372</v>
      </c>
      <c r="B24" s="3" t="str">
        <f>INDEX('R1. Scenario specifications'!$C$11:$C$60,MATCH($A24,'R1. Scenario specifications'!$A$11:$A$60,0))</f>
        <v>Sustainable Development Scenario, World Energy Outlook 2018</v>
      </c>
      <c r="C24" s="3" t="s">
        <v>416</v>
      </c>
      <c r="D24" s="34">
        <f t="shared" si="4"/>
        <v>5359.8919999999998</v>
      </c>
      <c r="E24" s="34">
        <f t="shared" si="4"/>
        <v>4981.2950000000001</v>
      </c>
      <c r="F24" s="34">
        <f t="shared" si="4"/>
        <v>3451.9689999999996</v>
      </c>
      <c r="G24" s="34">
        <f t="shared" si="4"/>
        <v>2281.741</v>
      </c>
      <c r="H24" s="34">
        <f t="shared" si="4"/>
        <v>1368.7790000000182</v>
      </c>
    </row>
    <row r="40" spans="1:14" ht="15" thickBot="1" x14ac:dyDescent="0.35"/>
    <row r="41" spans="1:14" s="25" customFormat="1" ht="15" thickBot="1" x14ac:dyDescent="0.35">
      <c r="A41" s="24" t="s">
        <v>374</v>
      </c>
    </row>
    <row r="42" spans="1:14" x14ac:dyDescent="0.3">
      <c r="A42" s="4"/>
    </row>
    <row r="43" spans="1:14" x14ac:dyDescent="0.3">
      <c r="B43" s="3" t="s">
        <v>60</v>
      </c>
      <c r="C43" s="3" t="s">
        <v>60</v>
      </c>
      <c r="D43" s="3" t="s">
        <v>60</v>
      </c>
      <c r="E43" s="3" t="s">
        <v>60</v>
      </c>
      <c r="F43" s="3" t="s">
        <v>60</v>
      </c>
      <c r="G43" s="3" t="s">
        <v>60</v>
      </c>
    </row>
    <row r="44" spans="1:14" x14ac:dyDescent="0.3">
      <c r="B44" s="3" t="s">
        <v>422</v>
      </c>
      <c r="C44" s="3" t="s">
        <v>422</v>
      </c>
      <c r="D44" s="3" t="s">
        <v>422</v>
      </c>
      <c r="E44" s="3" t="s">
        <v>422</v>
      </c>
      <c r="F44" s="3" t="s">
        <v>422</v>
      </c>
      <c r="G44" s="3" t="s">
        <v>422</v>
      </c>
      <c r="H44" s="35" t="s">
        <v>423</v>
      </c>
      <c r="I44" s="3" t="s">
        <v>423</v>
      </c>
      <c r="J44" s="3" t="s">
        <v>423</v>
      </c>
      <c r="K44" s="3" t="s">
        <v>423</v>
      </c>
      <c r="L44" s="3" t="s">
        <v>423</v>
      </c>
      <c r="M44" s="3" t="s">
        <v>423</v>
      </c>
      <c r="N44" s="3" t="s">
        <v>423</v>
      </c>
    </row>
    <row r="45" spans="1:14" x14ac:dyDescent="0.3">
      <c r="A45" s="3" t="s">
        <v>8</v>
      </c>
      <c r="B45" s="3">
        <v>2007</v>
      </c>
      <c r="C45" s="3">
        <v>2012</v>
      </c>
      <c r="D45" s="3">
        <v>2020</v>
      </c>
      <c r="E45" s="3">
        <v>2030</v>
      </c>
      <c r="F45" s="3">
        <v>2040</v>
      </c>
      <c r="G45" s="3">
        <v>2050</v>
      </c>
      <c r="H45" s="35">
        <v>2007</v>
      </c>
      <c r="I45" s="3">
        <v>2012</v>
      </c>
      <c r="J45" s="3">
        <v>2016</v>
      </c>
      <c r="K45" s="3">
        <v>2020</v>
      </c>
      <c r="L45" s="3">
        <v>2030</v>
      </c>
      <c r="M45" s="3">
        <v>2040</v>
      </c>
      <c r="N45" s="3">
        <v>2050</v>
      </c>
    </row>
    <row r="46" spans="1:14" x14ac:dyDescent="0.3">
      <c r="A46" s="3" t="s">
        <v>11</v>
      </c>
      <c r="B46" s="34">
        <f t="array" ref="B46">SUM(IF(('W7. Primary Energy Prod'!$C$51:$C$479=B$43)*('W7. Primary Energy Prod'!$B$51:$B$479=$A46)*('W7. Primary Energy Prod'!$E$50:$O$50=B$45),'W7. Primary Energy Prod'!$E$51:$O$479))</f>
        <v>132862.88014752162</v>
      </c>
      <c r="C46" s="34">
        <f t="array" ref="C46">SUM(IF(('W7. Primary Energy Prod'!$C$51:$C$479=C$43)*('W7. Primary Energy Prod'!$B$51:$B$479=$A46)*('W7. Primary Energy Prod'!$E$50:$O$50=C$45),'W7. Primary Energy Prod'!$E$51:$O$479))</f>
        <v>167772.98687500271</v>
      </c>
      <c r="D46" s="34">
        <f t="array" ref="D46">SUM(IF(('W7. Primary Energy Prod'!$C$51:$C$479=D$43)*('W7. Primary Energy Prod'!$B$51:$B$479=$A46)*('W7. Primary Energy Prod'!$E$50:$O$50=D$45),'W7. Primary Energy Prod'!$E$51:$O$479))</f>
        <v>190200.28893003147</v>
      </c>
      <c r="E46" s="34">
        <f t="array" ref="E46">SUM(IF(('W7. Primary Energy Prod'!$C$51:$C$479=E$43)*('W7. Primary Energy Prod'!$B$51:$B$479=$A46)*('W7. Primary Energy Prod'!$E$50:$O$50=E$45),'W7. Primary Energy Prod'!$E$51:$O$479))</f>
        <v>199721.74391926528</v>
      </c>
      <c r="F46" s="34">
        <f t="array" ref="F46">SUM(IF(('W7. Primary Energy Prod'!$C$51:$C$479=F$43)*('W7. Primary Energy Prod'!$B$51:$B$479=$A46)*('W7. Primary Energy Prod'!$E$50:$O$50=F$45),'W7. Primary Energy Prod'!$E$51:$O$479))</f>
        <v>193593.42281906019</v>
      </c>
      <c r="G46" s="34">
        <f t="array" ref="G46">SUM(IF(('W7. Primary Energy Prod'!$C$51:$C$479=G$43)*('W7. Primary Energy Prod'!$B$51:$B$479=$A46)*('W7. Primary Energy Prod'!$E$50:$O$50=G$45),'W7. Primary Energy Prod'!$E$51:$O$479))</f>
        <v>217956.74380519876</v>
      </c>
      <c r="H46" s="36">
        <f t="shared" ref="H46:I55" si="5">B46*$B$5</f>
        <v>4760.0630680257436</v>
      </c>
      <c r="I46" s="14">
        <f t="shared" si="5"/>
        <v>6010.7834313793874</v>
      </c>
      <c r="J46" s="44">
        <f>AVERAGE(I46,K46)</f>
        <v>6412.5336121261334</v>
      </c>
      <c r="K46" s="14">
        <f t="shared" ref="K46:K55" si="6">D46*$B$5</f>
        <v>6814.2837928728804</v>
      </c>
      <c r="L46" s="14">
        <f t="shared" ref="L46:L55" si="7">E46*$B$5</f>
        <v>7155.4078615201815</v>
      </c>
      <c r="M46" s="14">
        <f t="shared" ref="M46:M55" si="8">F46*$B$5</f>
        <v>6935.8492089778047</v>
      </c>
      <c r="N46" s="14">
        <f t="shared" ref="N46:N55" si="9">G46*$B$5</f>
        <v>7808.711097202784</v>
      </c>
    </row>
    <row r="47" spans="1:14" x14ac:dyDescent="0.3">
      <c r="A47" s="3" t="s">
        <v>13</v>
      </c>
      <c r="B47" s="34">
        <f t="array" ref="B47">SUM(IF(('W7. Primary Energy Prod'!$C$51:$C$479=B$43)*('W7. Primary Energy Prod'!$B$51:$B$479=$A47)*('W7. Primary Energy Prod'!$E$50:$O$50=B$45),'W7. Primary Energy Prod'!$E$51:$O$479))</f>
        <v>132575.80382503354</v>
      </c>
      <c r="C47" s="34">
        <f t="array" ref="C47">SUM(IF(('W7. Primary Energy Prod'!$C$51:$C$479=C$43)*('W7. Primary Energy Prod'!$B$51:$B$479=$A47)*('W7. Primary Energy Prod'!$E$50:$O$50=C$45),'W7. Primary Energy Prod'!$E$51:$O$479))</f>
        <v>162308.18473056756</v>
      </c>
      <c r="D47" s="34">
        <f t="array" ref="D47">SUM(IF(('W7. Primary Energy Prod'!$C$51:$C$479=D$43)*('W7. Primary Energy Prod'!$B$51:$B$479=$A47)*('W7. Primary Energy Prod'!$E$50:$O$50=D$45),'W7. Primary Energy Prod'!$E$51:$O$479))</f>
        <v>155621.6860245429</v>
      </c>
      <c r="E47" s="34">
        <f t="array" ref="E47">SUM(IF(('W7. Primary Energy Prod'!$C$51:$C$479=E$43)*('W7. Primary Energy Prod'!$B$51:$B$479=$A47)*('W7. Primary Energy Prod'!$E$50:$O$50=E$45),'W7. Primary Energy Prod'!$E$51:$O$479))</f>
        <v>182315.56150273711</v>
      </c>
      <c r="F47" s="34">
        <f t="array" ref="F47">SUM(IF(('W7. Primary Energy Prod'!$C$51:$C$479=F$43)*('W7. Primary Energy Prod'!$B$51:$B$479=$A47)*('W7. Primary Energy Prod'!$E$50:$O$50=F$45),'W7. Primary Energy Prod'!$E$51:$O$479))</f>
        <v>188972.12898615879</v>
      </c>
      <c r="G47" s="34">
        <f t="array" ref="G47">SUM(IF(('W7. Primary Energy Prod'!$C$51:$C$479=G$43)*('W7. Primary Energy Prod'!$B$51:$B$479=$A47)*('W7. Primary Energy Prod'!$E$50:$O$50=G$45),'W7. Primary Energy Prod'!$E$51:$O$479))</f>
        <v>217076.8732626531</v>
      </c>
      <c r="H47" s="36">
        <f t="shared" si="5"/>
        <v>4749.7780177629247</v>
      </c>
      <c r="I47" s="14">
        <f t="shared" si="5"/>
        <v>5814.9965958621169</v>
      </c>
      <c r="J47" s="44">
        <f t="shared" ref="J47:J55" si="10">AVERAGE(I47,K47)</f>
        <v>5695.2183872698824</v>
      </c>
      <c r="K47" s="14">
        <f t="shared" si="6"/>
        <v>5575.4401786776471</v>
      </c>
      <c r="L47" s="14">
        <f t="shared" si="7"/>
        <v>6531.7985736269866</v>
      </c>
      <c r="M47" s="14">
        <f t="shared" si="8"/>
        <v>6770.2826483548197</v>
      </c>
      <c r="N47" s="14">
        <f t="shared" si="9"/>
        <v>7777.1880768560541</v>
      </c>
    </row>
    <row r="48" spans="1:14" x14ac:dyDescent="0.3">
      <c r="A48" s="3" t="s">
        <v>14</v>
      </c>
      <c r="B48" s="34">
        <f t="array" ref="B48">SUM(IF(('W7. Primary Energy Prod'!$C$51:$C$479=B$43)*('W7. Primary Energy Prod'!$B$51:$B$479=$A48)*('W7. Primary Energy Prod'!$E$50:$O$50=B$45),'W7. Primary Energy Prod'!$E$51:$O$479))</f>
        <v>132862.88014752162</v>
      </c>
      <c r="C48" s="34">
        <f t="array" ref="C48">SUM(IF(('W7. Primary Energy Prod'!$C$51:$C$479=C$43)*('W7. Primary Energy Prod'!$B$51:$B$479=$A48)*('W7. Primary Energy Prod'!$E$50:$O$50=C$45),'W7. Primary Energy Prod'!$E$51:$O$479))</f>
        <v>167772.98687500271</v>
      </c>
      <c r="D48" s="34">
        <f t="array" ref="D48">SUM(IF(('W7. Primary Energy Prod'!$C$51:$C$479=D$43)*('W7. Primary Energy Prod'!$B$51:$B$479=$A48)*('W7. Primary Energy Prod'!$E$50:$O$50=D$45),'W7. Primary Energy Prod'!$E$51:$O$479))</f>
        <v>133988.90917691623</v>
      </c>
      <c r="E48" s="34">
        <f t="array" ref="E48">SUM(IF(('W7. Primary Energy Prod'!$C$51:$C$479=E$43)*('W7. Primary Energy Prod'!$B$51:$B$479=$A48)*('W7. Primary Energy Prod'!$E$50:$O$50=E$45),'W7. Primary Energy Prod'!$E$51:$O$479))</f>
        <v>141587.52010422843</v>
      </c>
      <c r="F48" s="34">
        <f t="array" ref="F48">SUM(IF(('W7. Primary Energy Prod'!$C$51:$C$479=F$43)*('W7. Primary Energy Prod'!$B$51:$B$479=$A48)*('W7. Primary Energy Prod'!$E$50:$O$50=F$45),'W7. Primary Energy Prod'!$E$51:$O$479))</f>
        <v>157491.69096018586</v>
      </c>
      <c r="G48" s="34">
        <f t="array" ref="G48">SUM(IF(('W7. Primary Energy Prod'!$C$51:$C$479=G$43)*('W7. Primary Energy Prod'!$B$51:$B$479=$A48)*('W7. Primary Energy Prod'!$E$50:$O$50=G$45),'W7. Primary Energy Prod'!$E$51:$O$479))</f>
        <v>171180.64374326335</v>
      </c>
      <c r="H48" s="36">
        <f t="shared" si="5"/>
        <v>4760.0630680257436</v>
      </c>
      <c r="I48" s="14">
        <f t="shared" si="5"/>
        <v>6010.7834313793874</v>
      </c>
      <c r="J48" s="44">
        <f t="shared" si="10"/>
        <v>5405.5943057206005</v>
      </c>
      <c r="K48" s="14">
        <f t="shared" si="6"/>
        <v>4800.4051800618136</v>
      </c>
      <c r="L48" s="14">
        <f t="shared" si="7"/>
        <v>5072.6397364949962</v>
      </c>
      <c r="M48" s="14">
        <f t="shared" si="8"/>
        <v>5642.4366296148573</v>
      </c>
      <c r="N48" s="14">
        <f t="shared" si="9"/>
        <v>6132.8691605845761</v>
      </c>
    </row>
    <row r="49" spans="1:14" x14ac:dyDescent="0.3">
      <c r="A49" s="3" t="s">
        <v>15</v>
      </c>
      <c r="B49" s="34">
        <f t="array" ref="B49">SUM(IF(('W7. Primary Energy Prod'!$C$51:$C$479=B$43)*('W7. Primary Energy Prod'!$B$51:$B$479=$A49)*('W7. Primary Energy Prod'!$E$50:$O$50=B$45),'W7. Primary Energy Prod'!$E$51:$O$479))</f>
        <v>132862.88014752162</v>
      </c>
      <c r="C49" s="34">
        <f t="array" ref="C49">SUM(IF(('W7. Primary Energy Prod'!$C$51:$C$479=C$43)*('W7. Primary Energy Prod'!$B$51:$B$479=$A49)*('W7. Primary Energy Prod'!$E$50:$O$50=C$45),'W7. Primary Energy Prod'!$E$51:$O$479))</f>
        <v>167772.98687500271</v>
      </c>
      <c r="D49" s="34">
        <f t="array" ref="D49">SUM(IF(('W7. Primary Energy Prod'!$C$51:$C$479=D$43)*('W7. Primary Energy Prod'!$B$51:$B$479=$A49)*('W7. Primary Energy Prod'!$E$50:$O$50=D$45),'W7. Primary Energy Prod'!$E$51:$O$479))</f>
        <v>133988.90917691623</v>
      </c>
      <c r="E49" s="34">
        <f t="array" ref="E49">SUM(IF(('W7. Primary Energy Prod'!$C$51:$C$479=E$43)*('W7. Primary Energy Prod'!$B$51:$B$479=$A49)*('W7. Primary Energy Prod'!$E$50:$O$50=E$45),'W7. Primary Energy Prod'!$E$51:$O$479))</f>
        <v>106915.28758791123</v>
      </c>
      <c r="F49" s="34">
        <f t="array" ref="F49">SUM(IF(('W7. Primary Energy Prod'!$C$51:$C$479=F$43)*('W7. Primary Energy Prod'!$B$51:$B$479=$A49)*('W7. Primary Energy Prod'!$E$50:$O$50=F$45),'W7. Primary Energy Prod'!$E$51:$O$479))</f>
        <v>88697.511533150682</v>
      </c>
      <c r="G49" s="34">
        <f t="array" ref="G49">SUM(IF(('W7. Primary Energy Prod'!$C$51:$C$479=G$43)*('W7. Primary Energy Prod'!$B$51:$B$479=$A49)*('W7. Primary Energy Prod'!$E$50:$O$50=G$45),'W7. Primary Energy Prod'!$E$51:$O$479))</f>
        <v>82830.756818283815</v>
      </c>
      <c r="H49" s="36">
        <f t="shared" si="5"/>
        <v>4760.0630680257436</v>
      </c>
      <c r="I49" s="14">
        <f t="shared" si="5"/>
        <v>6010.7834313793874</v>
      </c>
      <c r="J49" s="44">
        <f t="shared" si="10"/>
        <v>5405.5943057206005</v>
      </c>
      <c r="K49" s="14">
        <f t="shared" si="6"/>
        <v>4800.4051800618136</v>
      </c>
      <c r="L49" s="14">
        <f t="shared" si="7"/>
        <v>3830.4416650421435</v>
      </c>
      <c r="M49" s="14">
        <f t="shared" si="8"/>
        <v>3177.7555055704829</v>
      </c>
      <c r="N49" s="14">
        <f t="shared" si="9"/>
        <v>2967.5679617177798</v>
      </c>
    </row>
    <row r="50" spans="1:14" x14ac:dyDescent="0.3">
      <c r="A50" s="3" t="s">
        <v>26</v>
      </c>
      <c r="B50" s="34">
        <f t="array" ref="B50">SUM(IF(('W7. Primary Energy Prod'!$C$51:$C$479=B$43)*('W7. Primary Energy Prod'!$B$51:$B$479=$A50)*('W7. Primary Energy Prod'!$E$50:$O$50=B$45),'W7. Primary Energy Prod'!$E$51:$O$479))</f>
        <v>132862.88014752162</v>
      </c>
      <c r="C50" s="34">
        <f t="array" ref="C50">SUM(IF(('W7. Primary Energy Prod'!$C$51:$C$479=C$43)*('W7. Primary Energy Prod'!$B$51:$B$479=$A50)*('W7. Primary Energy Prod'!$E$50:$O$50=C$45),'W7. Primary Energy Prod'!$E$51:$O$479))</f>
        <v>167772.98687500271</v>
      </c>
      <c r="D50" s="34">
        <f t="array" ref="D50">SUM(IF(('W7. Primary Energy Prod'!$C$51:$C$479=D$43)*('W7. Primary Energy Prod'!$B$51:$B$479=$A50)*('W7. Primary Energy Prod'!$E$50:$O$50=D$45),'W7. Primary Energy Prod'!$E$51:$O$479))</f>
        <v>133988.90917691623</v>
      </c>
      <c r="E50" s="34">
        <f t="array" ref="E50">SUM(IF(('W7. Primary Energy Prod'!$C$51:$C$479=E$43)*('W7. Primary Energy Prod'!$B$51:$B$479=$A50)*('W7. Primary Energy Prod'!$E$50:$O$50=E$45),'W7. Primary Energy Prod'!$E$51:$O$479))</f>
        <v>141587.52010422843</v>
      </c>
      <c r="F50" s="34">
        <f t="array" ref="F50">SUM(IF(('W7. Primary Energy Prod'!$C$51:$C$479=F$43)*('W7. Primary Energy Prod'!$B$51:$B$479=$A50)*('W7. Primary Energy Prod'!$E$50:$O$50=F$45),'W7. Primary Energy Prod'!$E$51:$O$479))</f>
        <v>96386.512888794095</v>
      </c>
      <c r="G50" s="34">
        <f t="array" ref="G50">SUM(IF(('W7. Primary Energy Prod'!$C$51:$C$479=G$43)*('W7. Primary Energy Prod'!$B$51:$B$479=$A50)*('W7. Primary Energy Prod'!$E$50:$O$50=G$45),'W7. Primary Energy Prod'!$E$51:$O$479))</f>
        <v>75120.578902980575</v>
      </c>
      <c r="H50" s="36">
        <f t="shared" si="5"/>
        <v>4760.0630680257436</v>
      </c>
      <c r="I50" s="14">
        <f t="shared" si="5"/>
        <v>6010.7834313793874</v>
      </c>
      <c r="J50" s="44">
        <f t="shared" si="10"/>
        <v>5405.5943057206005</v>
      </c>
      <c r="K50" s="14">
        <f t="shared" si="6"/>
        <v>4800.4051800618136</v>
      </c>
      <c r="L50" s="14">
        <f t="shared" si="7"/>
        <v>5072.6397364949962</v>
      </c>
      <c r="M50" s="14">
        <f t="shared" si="8"/>
        <v>3453.2284694439131</v>
      </c>
      <c r="N50" s="14">
        <f t="shared" si="9"/>
        <v>2691.3363076862506</v>
      </c>
    </row>
    <row r="51" spans="1:14" x14ac:dyDescent="0.3">
      <c r="A51" s="3" t="s">
        <v>32</v>
      </c>
      <c r="B51" s="34">
        <f t="array" ref="B51">SUM(IF(('W7. Primary Energy Prod'!$C$51:$C$479=B$43)*('W7. Primary Energy Prod'!$B$51:$B$479=$A51)*('W7. Primary Energy Prod'!$E$50:$O$50=B$45),'W7. Primary Energy Prod'!$E$51:$O$479))</f>
        <v>132862.88014752162</v>
      </c>
      <c r="C51" s="34">
        <f t="array" ref="C51">SUM(IF(('W7. Primary Energy Prod'!$C$51:$C$479=C$43)*('W7. Primary Energy Prod'!$B$51:$B$479=$A51)*('W7. Primary Energy Prod'!$E$50:$O$50=C$45),'W7. Primary Energy Prod'!$E$51:$O$479))</f>
        <v>167772.98687500271</v>
      </c>
      <c r="D51" s="34">
        <f t="array" ref="D51">SUM(IF(('W7. Primary Energy Prod'!$C$51:$C$479=D$43)*('W7. Primary Energy Prod'!$B$51:$B$479=$A51)*('W7. Primary Energy Prod'!$E$50:$O$50=D$45),'W7. Primary Energy Prod'!$E$51:$O$479))</f>
        <v>133988.90917691623</v>
      </c>
      <c r="E51" s="34">
        <f t="array" ref="E51">SUM(IF(('W7. Primary Energy Prod'!$C$51:$C$479=E$43)*('W7. Primary Energy Prod'!$B$51:$B$479=$A51)*('W7. Primary Energy Prod'!$E$50:$O$50=E$45),'W7. Primary Energy Prod'!$E$51:$O$479))</f>
        <v>78298.506735573581</v>
      </c>
      <c r="F51" s="34">
        <f t="array" ref="F51">SUM(IF(('W7. Primary Energy Prod'!$C$51:$C$479=F$43)*('W7. Primary Energy Prod'!$B$51:$B$479=$A51)*('W7. Primary Energy Prod'!$E$50:$O$50=F$45),'W7. Primary Energy Prod'!$E$51:$O$479))</f>
        <v>51683.66458780002</v>
      </c>
      <c r="G51" s="34">
        <f t="array" ref="G51">SUM(IF(('W7. Primary Energy Prod'!$C$51:$C$479=G$43)*('W7. Primary Energy Prod'!$B$51:$B$479=$A51)*('W7. Primary Energy Prod'!$E$50:$O$50=G$45),'W7. Primary Energy Prod'!$E$51:$O$479))</f>
        <v>59667.165752929635</v>
      </c>
      <c r="H51" s="36">
        <f t="shared" si="5"/>
        <v>4760.0630680257436</v>
      </c>
      <c r="I51" s="14">
        <f t="shared" si="5"/>
        <v>6010.7834313793874</v>
      </c>
      <c r="J51" s="44">
        <f t="shared" si="10"/>
        <v>5405.5943057206005</v>
      </c>
      <c r="K51" s="14">
        <f t="shared" si="6"/>
        <v>4800.4051800618136</v>
      </c>
      <c r="L51" s="14">
        <f t="shared" si="7"/>
        <v>2805.1915612527919</v>
      </c>
      <c r="M51" s="14">
        <f t="shared" si="8"/>
        <v>1851.6646843080346</v>
      </c>
      <c r="N51" s="14">
        <f t="shared" si="9"/>
        <v>2137.6886588559237</v>
      </c>
    </row>
    <row r="52" spans="1:14" x14ac:dyDescent="0.3">
      <c r="A52" s="3" t="s">
        <v>37</v>
      </c>
      <c r="B52" s="34">
        <f t="array" ref="B52">SUM(IF(('W7. Primary Energy Prod'!$C$51:$C$479=B$43)*('W7. Primary Energy Prod'!$B$51:$B$479=$A52)*('W7. Primary Energy Prod'!$E$50:$O$50=B$45),'W7. Primary Energy Prod'!$E$51:$O$479))</f>
        <v>132862.88014752162</v>
      </c>
      <c r="C52" s="34">
        <f t="array" ref="C52">SUM(IF(('W7. Primary Energy Prod'!$C$51:$C$479=C$43)*('W7. Primary Energy Prod'!$B$51:$B$479=$A52)*('W7. Primary Energy Prod'!$E$50:$O$50=C$45),'W7. Primary Energy Prod'!$E$51:$O$479))</f>
        <v>167772.98687500271</v>
      </c>
      <c r="D52" s="34">
        <f t="array" ref="D52">SUM(IF(('W7. Primary Energy Prod'!$C$51:$C$479=D$43)*('W7. Primary Energy Prod'!$B$51:$B$479=$A52)*('W7. Primary Energy Prod'!$E$50:$O$50=D$45),'W7. Primary Energy Prod'!$E$51:$O$479))</f>
        <v>133988.90917691623</v>
      </c>
      <c r="E52" s="34">
        <f t="array" ref="E52">SUM(IF(('W7. Primary Energy Prod'!$C$51:$C$479=E$43)*('W7. Primary Energy Prod'!$B$51:$B$479=$A52)*('W7. Primary Energy Prod'!$E$50:$O$50=E$45),'W7. Primary Energy Prod'!$E$51:$O$479))</f>
        <v>109332.44432974236</v>
      </c>
      <c r="F52" s="34">
        <f t="array" ref="F52">SUM(IF(('W7. Primary Energy Prod'!$C$51:$C$479=F$43)*('W7. Primary Energy Prod'!$B$51:$B$479=$A52)*('W7. Primary Energy Prod'!$E$50:$O$50=F$45),'W7. Primary Energy Prod'!$E$51:$O$479))</f>
        <v>88916.585513843602</v>
      </c>
      <c r="G52" s="34">
        <f t="array" ref="G52">SUM(IF(('W7. Primary Energy Prod'!$C$51:$C$479=G$43)*('W7. Primary Energy Prod'!$B$51:$B$479=$A52)*('W7. Primary Energy Prod'!$E$50:$O$50=G$45),'W7. Primary Energy Prod'!$E$51:$O$479))</f>
        <v>83459.811699515471</v>
      </c>
      <c r="H52" s="36">
        <f t="shared" si="5"/>
        <v>4760.0630680257436</v>
      </c>
      <c r="I52" s="14">
        <f t="shared" si="5"/>
        <v>6010.7834313793874</v>
      </c>
      <c r="J52" s="44">
        <f t="shared" si="10"/>
        <v>5405.5943057206005</v>
      </c>
      <c r="K52" s="14">
        <f t="shared" si="6"/>
        <v>4800.4051800618136</v>
      </c>
      <c r="L52" s="14">
        <f t="shared" si="7"/>
        <v>3917.0408605709817</v>
      </c>
      <c r="M52" s="14">
        <f t="shared" si="8"/>
        <v>3185.6042437846772</v>
      </c>
      <c r="N52" s="14">
        <f t="shared" si="9"/>
        <v>2990.10503832328</v>
      </c>
    </row>
    <row r="53" spans="1:14" x14ac:dyDescent="0.3">
      <c r="A53" s="3" t="s">
        <v>1026</v>
      </c>
      <c r="B53" s="34">
        <f t="array" ref="B53">SUM(IF(('W7. Primary Energy Prod'!$C$51:$C$479=B$43)*('W7. Primary Energy Prod'!$B$51:$B$479=$A53)*('W7. Primary Energy Prod'!$E$50:$O$50=B$45),'W7. Primary Energy Prod'!$E$51:$O$479))</f>
        <v>132862.88014752162</v>
      </c>
      <c r="C53" s="34">
        <f t="array" ref="C53">SUM(IF(('W7. Primary Energy Prod'!$C$51:$C$479=C$43)*('W7. Primary Energy Prod'!$B$51:$B$479=$A53)*('W7. Primary Energy Prod'!$E$50:$O$50=C$45),'W7. Primary Energy Prod'!$E$51:$O$479))</f>
        <v>167772.98687500271</v>
      </c>
      <c r="D53" s="34">
        <f t="array" ref="D53">SUM(IF(('W7. Primary Energy Prod'!$C$51:$C$479=D$43)*('W7. Primary Energy Prod'!$B$51:$B$479=$A53)*('W7. Primary Energy Prod'!$E$50:$O$50=D$45),'W7. Primary Energy Prod'!$E$51:$O$479))</f>
        <v>133988.90917691623</v>
      </c>
      <c r="E53" s="34">
        <f t="array" ref="E53">SUM(IF(('W7. Primary Energy Prod'!$C$51:$C$479=E$43)*('W7. Primary Energy Prod'!$B$51:$B$479=$A53)*('W7. Primary Energy Prod'!$E$50:$O$50=E$45),'W7. Primary Energy Prod'!$E$51:$O$479))</f>
        <v>105093.00357584826</v>
      </c>
      <c r="F53" s="34">
        <f t="array" ref="F53">SUM(IF(('W7. Primary Energy Prod'!$C$51:$C$479=F$43)*('W7. Primary Energy Prod'!$B$51:$B$479=$A53)*('W7. Primary Energy Prod'!$E$50:$O$50=F$45),'W7. Primary Energy Prod'!$E$51:$O$479))</f>
        <v>84094.065287147896</v>
      </c>
      <c r="G53" s="34">
        <f t="array" ref="G53">SUM(IF(('W7. Primary Energy Prod'!$C$51:$C$479=G$43)*('W7. Primary Energy Prod'!$B$51:$B$479=$A53)*('W7. Primary Energy Prod'!$E$50:$O$50=G$45),'W7. Primary Energy Prod'!$E$51:$O$479))</f>
        <v>85821.17437473328</v>
      </c>
      <c r="H53" s="36">
        <f t="shared" si="5"/>
        <v>4760.0630680257436</v>
      </c>
      <c r="I53" s="14">
        <f t="shared" si="5"/>
        <v>6010.7834313793874</v>
      </c>
      <c r="J53" s="44">
        <f t="shared" si="10"/>
        <v>5405.5943057206005</v>
      </c>
      <c r="K53" s="14">
        <f t="shared" si="6"/>
        <v>4800.4051800618136</v>
      </c>
      <c r="L53" s="14">
        <f t="shared" si="7"/>
        <v>3765.1549061246528</v>
      </c>
      <c r="M53" s="14">
        <f t="shared" si="8"/>
        <v>3012.8283683828104</v>
      </c>
      <c r="N53" s="14">
        <f t="shared" si="9"/>
        <v>3074.7053062689879</v>
      </c>
    </row>
    <row r="54" spans="1:14" x14ac:dyDescent="0.3">
      <c r="A54" s="3" t="s">
        <v>47</v>
      </c>
      <c r="B54" s="34">
        <f t="array" ref="B54">SUM(IF(('W7. Primary Energy Prod'!$C$51:$C$479=B$43)*('W7. Primary Energy Prod'!$B$51:$B$479=$A54)*('W7. Primary Energy Prod'!$E$50:$O$50=B$45),'W7. Primary Energy Prod'!$E$51:$O$479))</f>
        <v>132862.88014752162</v>
      </c>
      <c r="C54" s="34">
        <f t="array" ref="C54">SUM(IF(('W7. Primary Energy Prod'!$C$51:$C$479=C$43)*('W7. Primary Energy Prod'!$B$51:$B$479=$A54)*('W7. Primary Energy Prod'!$E$50:$O$50=C$45),'W7. Primary Energy Prod'!$E$51:$O$479))</f>
        <v>167772.98687500271</v>
      </c>
      <c r="D54" s="34">
        <f t="array" ref="D54">SUM(IF(('W7. Primary Energy Prod'!$C$51:$C$479=D$43)*('W7. Primary Energy Prod'!$B$51:$B$479=$A54)*('W7. Primary Energy Prod'!$E$50:$O$50=D$45),'W7. Primary Energy Prod'!$E$51:$O$479))</f>
        <v>133988.90917691623</v>
      </c>
      <c r="E54" s="34">
        <f t="array" ref="E54">SUM(IF(('W7. Primary Energy Prod'!$C$51:$C$479=E$43)*('W7. Primary Energy Prod'!$B$51:$B$479=$A54)*('W7. Primary Energy Prod'!$E$50:$O$50=E$45),'W7. Primary Energy Prod'!$E$51:$O$479))</f>
        <v>113068.79459013451</v>
      </c>
      <c r="F54" s="34">
        <f t="array" ref="F54">SUM(IF(('W7. Primary Energy Prod'!$C$51:$C$479=F$43)*('W7. Primary Energy Prod'!$B$51:$B$479=$A54)*('W7. Primary Energy Prod'!$E$50:$O$50=F$45),'W7. Primary Energy Prod'!$E$51:$O$479))</f>
        <v>98836.09573792186</v>
      </c>
      <c r="G54" s="34">
        <f t="array" ref="G54">SUM(IF(('W7. Primary Energy Prod'!$C$51:$C$479=G$43)*('W7. Primary Energy Prod'!$B$51:$B$479=$A54)*('W7. Primary Energy Prod'!$E$50:$O$50=G$45),'W7. Primary Energy Prod'!$E$51:$O$479))</f>
        <v>84448.457066408009</v>
      </c>
      <c r="H54" s="36">
        <f t="shared" si="5"/>
        <v>4760.0630680257436</v>
      </c>
      <c r="I54" s="14">
        <f t="shared" si="5"/>
        <v>6010.7834313793874</v>
      </c>
      <c r="J54" s="44">
        <f t="shared" si="10"/>
        <v>5405.5943057206005</v>
      </c>
      <c r="K54" s="14">
        <f t="shared" si="6"/>
        <v>4800.4051800618136</v>
      </c>
      <c r="L54" s="14">
        <f t="shared" si="7"/>
        <v>4050.9026499884135</v>
      </c>
      <c r="M54" s="14">
        <f t="shared" si="8"/>
        <v>3540.9893913752735</v>
      </c>
      <c r="N54" s="14">
        <f t="shared" si="9"/>
        <v>3025.5251217438313</v>
      </c>
    </row>
    <row r="55" spans="1:14" x14ac:dyDescent="0.3">
      <c r="A55" s="3" t="s">
        <v>49</v>
      </c>
      <c r="B55" s="34">
        <f t="array" ref="B55">SUM(IF(('W7. Primary Energy Prod'!$C$51:$C$479=B$43)*('W7. Primary Energy Prod'!$B$51:$B$479=$A55)*('W7. Primary Energy Prod'!$E$50:$O$50=B$45),'W7. Primary Energy Prod'!$E$51:$O$479))</f>
        <v>132862.88014752162</v>
      </c>
      <c r="C55" s="34">
        <f t="array" ref="C55">SUM(IF(('W7. Primary Energy Prod'!$C$51:$C$479=C$43)*('W7. Primary Energy Prod'!$B$51:$B$479=$A55)*('W7. Primary Energy Prod'!$E$50:$O$50=C$45),'W7. Primary Energy Prod'!$E$51:$O$479))</f>
        <v>167772.98687500271</v>
      </c>
      <c r="D55" s="34">
        <f t="array" ref="D55">SUM(IF(('W7. Primary Energy Prod'!$C$51:$C$479=D$43)*('W7. Primary Energy Prod'!$B$51:$B$479=$A55)*('W7. Primary Energy Prod'!$E$50:$O$50=D$45),'W7. Primary Energy Prod'!$E$51:$O$479))</f>
        <v>133988.90917691623</v>
      </c>
      <c r="E55" s="34">
        <f t="array" ref="E55">SUM(IF(('W7. Primary Energy Prod'!$C$51:$C$479=E$43)*('W7. Primary Energy Prod'!$B$51:$B$479=$A55)*('W7. Primary Energy Prod'!$E$50:$O$50=E$45),'W7. Primary Energy Prod'!$E$51:$O$479))</f>
        <v>112119.30435413042</v>
      </c>
      <c r="F55" s="34">
        <f t="array" ref="F55">SUM(IF(('W7. Primary Energy Prod'!$C$51:$C$479=F$43)*('W7. Primary Energy Prod'!$B$51:$B$479=$A55)*('W7. Primary Energy Prod'!$E$50:$O$50=F$45),'W7. Primary Energy Prod'!$E$51:$O$479))</f>
        <v>90940.566836054248</v>
      </c>
      <c r="G55" s="34">
        <f t="array" ref="G55">SUM(IF(('W7. Primary Energy Prod'!$C$51:$C$479=G$43)*('W7. Primary Energy Prod'!$B$51:$B$479=$A55)*('W7. Primary Energy Prod'!$E$50:$O$50=G$45),'W7. Primary Energy Prod'!$E$51:$O$479))</f>
        <v>72367.331580178914</v>
      </c>
      <c r="H55" s="36">
        <f t="shared" si="5"/>
        <v>4760.0630680257436</v>
      </c>
      <c r="I55" s="14">
        <f t="shared" si="5"/>
        <v>6010.7834313793874</v>
      </c>
      <c r="J55" s="44">
        <f t="shared" si="10"/>
        <v>5405.5943057206005</v>
      </c>
      <c r="K55" s="14">
        <f t="shared" si="6"/>
        <v>4800.4051800618136</v>
      </c>
      <c r="L55" s="14">
        <f t="shared" si="7"/>
        <v>4016.8853729217431</v>
      </c>
      <c r="M55" s="14">
        <f t="shared" si="8"/>
        <v>3258.1171889468742</v>
      </c>
      <c r="N55" s="14">
        <f t="shared" si="9"/>
        <v>2592.6960337146388</v>
      </c>
    </row>
    <row r="56" spans="1:14" ht="15" thickBot="1" x14ac:dyDescent="0.35"/>
    <row r="57" spans="1:14" s="25" customFormat="1" ht="15" thickBot="1" x14ac:dyDescent="0.35">
      <c r="A57" s="24" t="s">
        <v>377</v>
      </c>
    </row>
    <row r="59" spans="1:14" x14ac:dyDescent="0.3">
      <c r="B59" s="3" t="s">
        <v>423</v>
      </c>
      <c r="C59" s="3" t="s">
        <v>423</v>
      </c>
      <c r="D59" s="3" t="s">
        <v>423</v>
      </c>
      <c r="E59" s="3" t="s">
        <v>423</v>
      </c>
      <c r="F59" s="3" t="s">
        <v>423</v>
      </c>
      <c r="G59" s="3" t="s">
        <v>423</v>
      </c>
      <c r="H59" s="3" t="s">
        <v>423</v>
      </c>
      <c r="I59" s="3" t="s">
        <v>423</v>
      </c>
      <c r="J59" s="3" t="s">
        <v>423</v>
      </c>
      <c r="K59" s="3" t="s">
        <v>423</v>
      </c>
    </row>
    <row r="60" spans="1:14" x14ac:dyDescent="0.3">
      <c r="A60" s="3" t="s">
        <v>8</v>
      </c>
      <c r="B60" s="3">
        <v>2007</v>
      </c>
      <c r="C60" s="3">
        <v>2012</v>
      </c>
      <c r="D60" s="3">
        <v>2014</v>
      </c>
      <c r="E60" s="3">
        <v>2015</v>
      </c>
      <c r="F60" s="3">
        <v>2016</v>
      </c>
      <c r="G60" s="3">
        <v>2017</v>
      </c>
      <c r="H60" s="3">
        <v>2020</v>
      </c>
      <c r="I60" s="3">
        <v>2030</v>
      </c>
      <c r="J60" s="3">
        <v>2040</v>
      </c>
      <c r="K60" s="3">
        <v>2050</v>
      </c>
    </row>
    <row r="61" spans="1:14" x14ac:dyDescent="0.3">
      <c r="A61" s="3" t="s">
        <v>368</v>
      </c>
      <c r="B61" s="34"/>
      <c r="C61" s="34"/>
      <c r="D61" s="34" t="str">
        <f t="array" ref="D61">INDEX('W20. Fossil fuel prod'!$F$16:$R$45,MATCH($A61&amp;"Coal",'W20. Fossil fuel prod'!$A$16:$A$45&amp;'W20. Fossil fuel prod'!$C$16:$C$45,0),MATCH(D$60,'W20. Fossil fuel prod'!$F$15:$R$15,0))</f>
        <v/>
      </c>
      <c r="E61" s="34" t="str">
        <f t="array" ref="E61">INDEX('W20. Fossil fuel prod'!$F$16:$R$45,MATCH($A61&amp;"Coal",'W20. Fossil fuel prod'!$A$16:$A$45&amp;'W20. Fossil fuel prod'!$C$16:$C$45,0),MATCH(E$60,'W20. Fossil fuel prod'!$F$15:$R$15,0))</f>
        <v/>
      </c>
      <c r="F61" s="34">
        <f t="array" ref="F61">INDEX('W20. Fossil fuel prod'!$F$16:$R$45,MATCH($A61&amp;"Coal",'W20. Fossil fuel prod'!$A$16:$A$45&amp;'W20. Fossil fuel prod'!$C$16:$C$45,0),MATCH(F$60,'W20. Fossil fuel prod'!$F$15:$R$15,0))</f>
        <v>5224.5519999999997</v>
      </c>
      <c r="G61" s="34">
        <f t="array" ref="G61">INDEX('W20. Fossil fuel prod'!$F$16:$R$45,MATCH($A61&amp;"Coal",'W20. Fossil fuel prod'!$A$16:$A$45&amp;'W20. Fossil fuel prod'!$C$16:$C$45,0),MATCH(G$60,'W20. Fossil fuel prod'!$F$15:$R$15,0))</f>
        <v>5359.8919999999998</v>
      </c>
      <c r="H61" s="34">
        <f t="array" ref="H61">INDEX('W20. Fossil fuel prod'!$F$16:$R$45,MATCH($A61&amp;"Coal",'W20. Fossil fuel prod'!$A$16:$A$45&amp;'W20. Fossil fuel prod'!$C$16:$C$45,0),MATCH(H$60,'W20. Fossil fuel prod'!$F$15:$R$15,0))</f>
        <v>5491.5170000000007</v>
      </c>
      <c r="I61" s="34">
        <f t="array" ref="I61">INDEX('W20. Fossil fuel prod'!$F$16:$R$45,MATCH($A61&amp;"Coal",'W20. Fossil fuel prod'!$A$16:$A$45&amp;'W20. Fossil fuel prod'!$C$16:$C$45,0),MATCH(I$60,'W20. Fossil fuel prod'!$F$15:$R$15,0))</f>
        <v>6074.0859999999993</v>
      </c>
      <c r="J61" s="34">
        <f t="array" ref="J61">INDEX('W20. Fossil fuel prod'!$F$16:$R$45,MATCH($A61&amp;"Coal",'W20. Fossil fuel prod'!$A$16:$A$45&amp;'W20. Fossil fuel prod'!$C$16:$C$45,0),MATCH(J$60,'W20. Fossil fuel prod'!$F$15:$R$15,0))</f>
        <v>6813.43</v>
      </c>
      <c r="K61" s="34">
        <f t="array" ref="K61">INDEX('W20. Fossil fuel prod'!$F$16:$R$45,MATCH($A61&amp;"Coal",'W20. Fossil fuel prod'!$A$16:$A$45&amp;'W20. Fossil fuel prod'!$C$16:$C$45,0),MATCH(K$60,'W20. Fossil fuel prod'!$F$15:$R$15,0))</f>
        <v>7525.3259999999846</v>
      </c>
    </row>
    <row r="62" spans="1:14" x14ac:dyDescent="0.3">
      <c r="A62" s="3" t="s">
        <v>370</v>
      </c>
      <c r="B62" s="34"/>
      <c r="C62" s="34"/>
      <c r="D62" s="34" t="str">
        <f t="array" ref="D62">INDEX('W20. Fossil fuel prod'!$F$16:$R$45,MATCH($A62&amp;"Coal",'W20. Fossil fuel prod'!$A$16:$A$45&amp;'W20. Fossil fuel prod'!$C$16:$C$45,0),MATCH(D$60,'W20. Fossil fuel prod'!$F$15:$R$15,0))</f>
        <v/>
      </c>
      <c r="E62" s="34" t="str">
        <f t="array" ref="E62">INDEX('W20. Fossil fuel prod'!$F$16:$R$45,MATCH($A62&amp;"Coal",'W20. Fossil fuel prod'!$A$16:$A$45&amp;'W20. Fossil fuel prod'!$C$16:$C$45,0),MATCH(E$60,'W20. Fossil fuel prod'!$F$15:$R$15,0))</f>
        <v/>
      </c>
      <c r="F62" s="34">
        <f t="array" ref="F62">INDEX('W20. Fossil fuel prod'!$F$16:$R$45,MATCH($A62&amp;"Coal",'W20. Fossil fuel prod'!$A$16:$A$45&amp;'W20. Fossil fuel prod'!$C$16:$C$45,0),MATCH(F$60,'W20. Fossil fuel prod'!$F$15:$R$15,0))</f>
        <v>5224.5519999999997</v>
      </c>
      <c r="G62" s="34">
        <f t="array" ref="G62">INDEX('W20. Fossil fuel prod'!$F$16:$R$45,MATCH($A62&amp;"Coal",'W20. Fossil fuel prod'!$A$16:$A$45&amp;'W20. Fossil fuel prod'!$C$16:$C$45,0),MATCH(G$60,'W20. Fossil fuel prod'!$F$15:$R$15,0))</f>
        <v>5359.8919999999998</v>
      </c>
      <c r="H62" s="34">
        <f t="array" ref="H62">INDEX('W20. Fossil fuel prod'!$F$16:$R$45,MATCH($A62&amp;"Coal",'W20. Fossil fuel prod'!$A$16:$A$45&amp;'W20. Fossil fuel prod'!$C$16:$C$45,0),MATCH(H$60,'W20. Fossil fuel prod'!$F$15:$R$15,0))</f>
        <v>5368.7423750000007</v>
      </c>
      <c r="I62" s="34">
        <f t="array" ref="I62">INDEX('W20. Fossil fuel prod'!$F$16:$R$45,MATCH($A62&amp;"Coal",'W20. Fossil fuel prod'!$A$16:$A$45&amp;'W20. Fossil fuel prod'!$C$16:$C$45,0),MATCH(I$60,'W20. Fossil fuel prod'!$F$15:$R$15,0))</f>
        <v>5405.11</v>
      </c>
      <c r="J62" s="34">
        <f t="array" ref="J62">INDEX('W20. Fossil fuel prod'!$F$16:$R$45,MATCH($A62&amp;"Coal",'W20. Fossil fuel prod'!$A$16:$A$45&amp;'W20. Fossil fuel prod'!$C$16:$C$45,0),MATCH(J$60,'W20. Fossil fuel prod'!$F$15:$R$15,0))</f>
        <v>5441.4790000000003</v>
      </c>
      <c r="K62" s="34">
        <f t="array" ref="K62">INDEX('W20. Fossil fuel prod'!$F$16:$R$45,MATCH($A62&amp;"Coal",'W20. Fossil fuel prod'!$A$16:$A$45&amp;'W20. Fossil fuel prod'!$C$16:$C$45,0),MATCH(K$60,'W20. Fossil fuel prod'!$F$15:$R$15,0))</f>
        <v>5485.7969999999978</v>
      </c>
    </row>
    <row r="63" spans="1:14" x14ac:dyDescent="0.3">
      <c r="A63" s="3" t="s">
        <v>372</v>
      </c>
      <c r="B63" s="34"/>
      <c r="C63" s="34"/>
      <c r="D63" s="34" t="str">
        <f t="array" ref="D63">INDEX('W20. Fossil fuel prod'!$F$16:$R$45,MATCH($A63&amp;"Coal",'W20. Fossil fuel prod'!$A$16:$A$45&amp;'W20. Fossil fuel prod'!$C$16:$C$45,0),MATCH(D$60,'W20. Fossil fuel prod'!$F$15:$R$15,0))</f>
        <v/>
      </c>
      <c r="E63" s="34" t="str">
        <f t="array" ref="E63">INDEX('W20. Fossil fuel prod'!$F$16:$R$45,MATCH($A63&amp;"Coal",'W20. Fossil fuel prod'!$A$16:$A$45&amp;'W20. Fossil fuel prod'!$C$16:$C$45,0),MATCH(E$60,'W20. Fossil fuel prod'!$F$15:$R$15,0))</f>
        <v/>
      </c>
      <c r="F63" s="34">
        <f t="array" ref="F63">INDEX('W20. Fossil fuel prod'!$F$16:$R$45,MATCH($A63&amp;"Coal",'W20. Fossil fuel prod'!$A$16:$A$45&amp;'W20. Fossil fuel prod'!$C$16:$C$45,0),MATCH(F$60,'W20. Fossil fuel prod'!$F$15:$R$15,0))</f>
        <v>5224.5519999999997</v>
      </c>
      <c r="G63" s="34">
        <f t="array" ref="G63">INDEX('W20. Fossil fuel prod'!$F$16:$R$45,MATCH($A63&amp;"Coal",'W20. Fossil fuel prod'!$A$16:$A$45&amp;'W20. Fossil fuel prod'!$C$16:$C$45,0),MATCH(G$60,'W20. Fossil fuel prod'!$F$15:$R$15,0))</f>
        <v>5359.8919999999998</v>
      </c>
      <c r="H63" s="34">
        <f t="array" ref="H63">INDEX('W20. Fossil fuel prod'!$F$16:$R$45,MATCH($A63&amp;"Coal",'W20. Fossil fuel prod'!$A$16:$A$45&amp;'W20. Fossil fuel prod'!$C$16:$C$45,0),MATCH(H$60,'W20. Fossil fuel prod'!$F$15:$R$15,0))</f>
        <v>4981.2950000000001</v>
      </c>
      <c r="I63" s="34">
        <f t="array" ref="I63">INDEX('W20. Fossil fuel prod'!$F$16:$R$45,MATCH($A63&amp;"Coal",'W20. Fossil fuel prod'!$A$16:$A$45&amp;'W20. Fossil fuel prod'!$C$16:$C$45,0),MATCH(I$60,'W20. Fossil fuel prod'!$F$15:$R$15,0))</f>
        <v>3451.9689999999996</v>
      </c>
      <c r="J63" s="34">
        <f t="array" ref="J63">INDEX('W20. Fossil fuel prod'!$F$16:$R$45,MATCH($A63&amp;"Coal",'W20. Fossil fuel prod'!$A$16:$A$45&amp;'W20. Fossil fuel prod'!$C$16:$C$45,0),MATCH(J$60,'W20. Fossil fuel prod'!$F$15:$R$15,0))</f>
        <v>2281.741</v>
      </c>
      <c r="K63" s="34">
        <f t="array" ref="K63">INDEX('W20. Fossil fuel prod'!$F$16:$R$45,MATCH($A63&amp;"Coal",'W20. Fossil fuel prod'!$A$16:$A$45&amp;'W20. Fossil fuel prod'!$C$16:$C$45,0),MATCH(K$60,'W20. Fossil fuel prod'!$F$15:$R$15,0))</f>
        <v>1368.7790000000182</v>
      </c>
    </row>
    <row r="64" spans="1:14" x14ac:dyDescent="0.3">
      <c r="A64" s="3" t="s">
        <v>378</v>
      </c>
      <c r="B64" s="34"/>
      <c r="C64" s="34"/>
      <c r="D64" s="34">
        <f t="array" ref="D64">INDEX('W20. Fossil fuel prod'!$F$16:$R$45,MATCH($A64&amp;"Coal",'W20. Fossil fuel prod'!$A$16:$A$45&amp;'W20. Fossil fuel prod'!$C$16:$C$45,0),MATCH(D$60,'W20. Fossil fuel prod'!$F$15:$R$15,0))</f>
        <v>5680.2</v>
      </c>
      <c r="E64" s="34" t="str">
        <f t="array" ref="E64">INDEX('W20. Fossil fuel prod'!$F$16:$R$45,MATCH($A64&amp;"Coal",'W20. Fossil fuel prod'!$A$16:$A$45&amp;'W20. Fossil fuel prod'!$C$16:$C$45,0),MATCH(E$60,'W20. Fossil fuel prod'!$F$15:$R$15,0))</f>
        <v/>
      </c>
      <c r="F64" s="34" t="str">
        <f t="array" ref="F64">INDEX('W20. Fossil fuel prod'!$F$16:$R$45,MATCH($A64&amp;"Coal",'W20. Fossil fuel prod'!$A$16:$A$45&amp;'W20. Fossil fuel prod'!$C$16:$C$45,0),MATCH(F$60,'W20. Fossil fuel prod'!$F$15:$R$15,0))</f>
        <v/>
      </c>
      <c r="G64" s="34" t="str">
        <f t="array" ref="G64">INDEX('W20. Fossil fuel prod'!$F$16:$R$45,MATCH($A64&amp;"Coal",'W20. Fossil fuel prod'!$A$16:$A$45&amp;'W20. Fossil fuel prod'!$C$16:$C$45,0),MATCH(G$60,'W20. Fossil fuel prod'!$F$15:$R$15,0))</f>
        <v/>
      </c>
      <c r="H64" s="34">
        <f t="array" ref="H64">INDEX('W20. Fossil fuel prod'!$F$16:$R$45,MATCH($A64&amp;"Coal",'W20. Fossil fuel prod'!$A$16:$A$45&amp;'W20. Fossil fuel prod'!$C$16:$C$45,0),MATCH(H$60,'W20. Fossil fuel prod'!$F$15:$R$15,0))</f>
        <v>5787.71</v>
      </c>
      <c r="I64" s="34">
        <f t="array" ref="I64">INDEX('W20. Fossil fuel prod'!$F$16:$R$45,MATCH($A64&amp;"Coal",'W20. Fossil fuel prod'!$A$16:$A$45&amp;'W20. Fossil fuel prod'!$C$16:$C$45,0),MATCH(I$60,'W20. Fossil fuel prod'!$F$15:$R$15,0))</f>
        <v>6728.5300000000007</v>
      </c>
      <c r="J64" s="34">
        <f t="array" ref="J64">INDEX('W20. Fossil fuel prod'!$F$16:$R$45,MATCH($A64&amp;"Coal",'W20. Fossil fuel prod'!$A$16:$A$45&amp;'W20. Fossil fuel prod'!$C$16:$C$45,0),MATCH(J$60,'W20. Fossil fuel prod'!$F$15:$R$15,0))</f>
        <v>7609.82</v>
      </c>
      <c r="K64" s="34">
        <f t="array" ref="K64">INDEX('W20. Fossil fuel prod'!$F$16:$R$45,MATCH($A64&amp;"Coal",'W20. Fossil fuel prod'!$A$16:$A$45&amp;'W20. Fossil fuel prod'!$C$16:$C$45,0),MATCH(K$60,'W20. Fossil fuel prod'!$F$15:$R$15,0))</f>
        <v>8491.11</v>
      </c>
    </row>
    <row r="65" spans="1:11" x14ac:dyDescent="0.3">
      <c r="A65" s="3" t="s">
        <v>379</v>
      </c>
      <c r="B65" s="34"/>
      <c r="C65" s="34"/>
      <c r="D65" s="34">
        <f t="array" ref="D65">INDEX('W20. Fossil fuel prod'!$F$16:$R$45,MATCH($A65&amp;"Coal",'W20. Fossil fuel prod'!$A$16:$A$45&amp;'W20. Fossil fuel prod'!$C$16:$C$45,0),MATCH(D$60,'W20. Fossil fuel prod'!$F$15:$R$15,0))</f>
        <v>5680.2</v>
      </c>
      <c r="E65" s="34" t="str">
        <f t="array" ref="E65">INDEX('W20. Fossil fuel prod'!$F$16:$R$45,MATCH($A65&amp;"Coal",'W20. Fossil fuel prod'!$A$16:$A$45&amp;'W20. Fossil fuel prod'!$C$16:$C$45,0),MATCH(E$60,'W20. Fossil fuel prod'!$F$15:$R$15,0))</f>
        <v/>
      </c>
      <c r="F65" s="34" t="str">
        <f t="array" ref="F65">INDEX('W20. Fossil fuel prod'!$F$16:$R$45,MATCH($A65&amp;"Coal",'W20. Fossil fuel prod'!$A$16:$A$45&amp;'W20. Fossil fuel prod'!$C$16:$C$45,0),MATCH(F$60,'W20. Fossil fuel prod'!$F$15:$R$15,0))</f>
        <v/>
      </c>
      <c r="G65" s="34" t="str">
        <f t="array" ref="G65">INDEX('W20. Fossil fuel prod'!$F$16:$R$45,MATCH($A65&amp;"Coal",'W20. Fossil fuel prod'!$A$16:$A$45&amp;'W20. Fossil fuel prod'!$C$16:$C$45,0),MATCH(G$60,'W20. Fossil fuel prod'!$F$15:$R$15,0))</f>
        <v/>
      </c>
      <c r="H65" s="34">
        <f t="array" ref="H65">INDEX('W20. Fossil fuel prod'!$F$16:$R$45,MATCH($A65&amp;"Coal",'W20. Fossil fuel prod'!$A$16:$A$45&amp;'W20. Fossil fuel prod'!$C$16:$C$45,0),MATCH(H$60,'W20. Fossil fuel prod'!$F$15:$R$15,0))</f>
        <v>5579.53</v>
      </c>
      <c r="I65" s="34">
        <f t="array" ref="I65">INDEX('W20. Fossil fuel prod'!$F$16:$R$45,MATCH($A65&amp;"Coal",'W20. Fossil fuel prod'!$A$16:$A$45&amp;'W20. Fossil fuel prod'!$C$16:$C$45,0),MATCH(I$60,'W20. Fossil fuel prod'!$F$15:$R$15,0))</f>
        <v>5770.57</v>
      </c>
      <c r="J65" s="34">
        <f t="array" ref="J65">INDEX('W20. Fossil fuel prod'!$F$16:$R$45,MATCH($A65&amp;"Coal",'W20. Fossil fuel prod'!$A$16:$A$45&amp;'W20. Fossil fuel prod'!$C$16:$C$45,0),MATCH(J$60,'W20. Fossil fuel prod'!$F$15:$R$15,0))</f>
        <v>5914.57</v>
      </c>
      <c r="K65" s="34">
        <f t="array" ref="K65">INDEX('W20. Fossil fuel prod'!$F$16:$R$45,MATCH($A65&amp;"Coal",'W20. Fossil fuel prod'!$A$16:$A$45&amp;'W20. Fossil fuel prod'!$C$16:$C$45,0),MATCH(K$60,'W20. Fossil fuel prod'!$F$15:$R$15,0))</f>
        <v>6027.8300000000045</v>
      </c>
    </row>
    <row r="66" spans="1:11" x14ac:dyDescent="0.3">
      <c r="A66" s="3" t="s">
        <v>380</v>
      </c>
      <c r="B66" s="34"/>
      <c r="C66" s="34"/>
      <c r="D66" s="34">
        <f t="array" ref="D66">INDEX('W20. Fossil fuel prod'!$F$16:$R$45,MATCH($A66&amp;"Coal",'W20. Fossil fuel prod'!$A$16:$A$45&amp;'W20. Fossil fuel prod'!$C$16:$C$45,0),MATCH(D$60,'W20. Fossil fuel prod'!$F$15:$R$15,0))</f>
        <v>5680.2</v>
      </c>
      <c r="E66" s="34" t="str">
        <f t="array" ref="E66">INDEX('W20. Fossil fuel prod'!$F$16:$R$45,MATCH($A66&amp;"Coal",'W20. Fossil fuel prod'!$A$16:$A$45&amp;'W20. Fossil fuel prod'!$C$16:$C$45,0),MATCH(E$60,'W20. Fossil fuel prod'!$F$15:$R$15,0))</f>
        <v/>
      </c>
      <c r="F66" s="34" t="str">
        <f t="array" ref="F66">INDEX('W20. Fossil fuel prod'!$F$16:$R$45,MATCH($A66&amp;"Coal",'W20. Fossil fuel prod'!$A$16:$A$45&amp;'W20. Fossil fuel prod'!$C$16:$C$45,0),MATCH(F$60,'W20. Fossil fuel prod'!$F$15:$R$15,0))</f>
        <v/>
      </c>
      <c r="G66" s="34" t="str">
        <f t="array" ref="G66">INDEX('W20. Fossil fuel prod'!$F$16:$R$45,MATCH($A66&amp;"Coal",'W20. Fossil fuel prod'!$A$16:$A$45&amp;'W20. Fossil fuel prod'!$C$16:$C$45,0),MATCH(G$60,'W20. Fossil fuel prod'!$F$15:$R$15,0))</f>
        <v/>
      </c>
      <c r="H66" s="34">
        <f t="array" ref="H66">INDEX('W20. Fossil fuel prod'!$F$16:$R$45,MATCH($A66&amp;"Coal",'W20. Fossil fuel prod'!$A$16:$A$45&amp;'W20. Fossil fuel prod'!$C$16:$C$45,0),MATCH(H$60,'W20. Fossil fuel prod'!$F$15:$R$15,0))</f>
        <v>5174.49</v>
      </c>
      <c r="I66" s="34">
        <f t="array" ref="I66">INDEX('W20. Fossil fuel prod'!$F$16:$R$45,MATCH($A66&amp;"Coal",'W20. Fossil fuel prod'!$A$16:$A$45&amp;'W20. Fossil fuel prod'!$C$16:$C$45,0),MATCH(I$60,'W20. Fossil fuel prod'!$F$15:$R$15,0))</f>
        <v>3785.88</v>
      </c>
      <c r="J66" s="34">
        <f t="array" ref="J66">INDEX('W20. Fossil fuel prod'!$F$16:$R$45,MATCH($A66&amp;"Coal",'W20. Fossil fuel prod'!$A$16:$A$45&amp;'W20. Fossil fuel prod'!$C$16:$C$45,0),MATCH(J$60,'W20. Fossil fuel prod'!$F$15:$R$15,0))</f>
        <v>2857.8</v>
      </c>
      <c r="K66" s="34">
        <f t="array" ref="K66">INDEX('W20. Fossil fuel prod'!$F$16:$R$45,MATCH($A66&amp;"Coal",'W20. Fossil fuel prod'!$A$16:$A$45&amp;'W20. Fossil fuel prod'!$C$16:$C$45,0),MATCH(K$60,'W20. Fossil fuel prod'!$F$15:$R$15,0))</f>
        <v>1929.7200000000003</v>
      </c>
    </row>
    <row r="67" spans="1:11" x14ac:dyDescent="0.3">
      <c r="A67" s="3" t="s">
        <v>381</v>
      </c>
      <c r="B67" s="34"/>
      <c r="C67" s="34"/>
      <c r="D67" s="34">
        <f t="array" ref="D67">INDEX('W20. Fossil fuel prod'!$F$16:$R$45,MATCH($A67&amp;"Coal",'W20. Fossil fuel prod'!$A$16:$A$45&amp;'W20. Fossil fuel prod'!$C$16:$C$45,0),MATCH(D$60,'W20. Fossil fuel prod'!$F$15:$R$15,0))</f>
        <v>5870.3650831554214</v>
      </c>
      <c r="E67" s="34" t="str">
        <f t="array" ref="E67">INDEX('W20. Fossil fuel prod'!$F$16:$R$45,MATCH($A67&amp;"Coal",'W20. Fossil fuel prod'!$A$16:$A$45&amp;'W20. Fossil fuel prod'!$C$16:$C$45,0),MATCH(E$60,'W20. Fossil fuel prod'!$F$15:$R$15,0))</f>
        <v/>
      </c>
      <c r="F67" s="34" t="str">
        <f t="array" ref="F67">INDEX('W20. Fossil fuel prod'!$F$16:$R$45,MATCH($A67&amp;"Coal",'W20. Fossil fuel prod'!$A$16:$A$45&amp;'W20. Fossil fuel prod'!$C$16:$C$45,0),MATCH(F$60,'W20. Fossil fuel prod'!$F$15:$R$15,0))</f>
        <v/>
      </c>
      <c r="G67" s="34" t="str">
        <f t="array" ref="G67">INDEX('W20. Fossil fuel prod'!$F$16:$R$45,MATCH($A67&amp;"Coal",'W20. Fossil fuel prod'!$A$16:$A$45&amp;'W20. Fossil fuel prod'!$C$16:$C$45,0),MATCH(G$60,'W20. Fossil fuel prod'!$F$15:$R$15,0))</f>
        <v/>
      </c>
      <c r="H67" s="34">
        <f t="array" ref="H67">INDEX('W20. Fossil fuel prod'!$F$16:$R$45,MATCH($A67&amp;"Coal",'W20. Fossil fuel prod'!$A$16:$A$45&amp;'W20. Fossil fuel prod'!$C$16:$C$45,0),MATCH(H$60,'W20. Fossil fuel prod'!$F$15:$R$15,0))</f>
        <v>5841.8780637722848</v>
      </c>
      <c r="I67" s="34">
        <f t="array" ref="I67">INDEX('W20. Fossil fuel prod'!$F$16:$R$45,MATCH($A67&amp;"Coal",'W20. Fossil fuel prod'!$A$16:$A$45&amp;'W20. Fossil fuel prod'!$C$16:$C$45,0),MATCH(I$60,'W20. Fossil fuel prod'!$F$15:$R$15,0))</f>
        <v>5836.9780513172973</v>
      </c>
      <c r="J67" s="34">
        <f t="array" ref="J67">INDEX('W20. Fossil fuel prod'!$F$16:$R$45,MATCH($A67&amp;"Coal",'W20. Fossil fuel prod'!$A$16:$A$45&amp;'W20. Fossil fuel prod'!$C$16:$C$45,0),MATCH(J$60,'W20. Fossil fuel prod'!$F$15:$R$15,0))</f>
        <v>6035.2732344652768</v>
      </c>
      <c r="K67" s="34">
        <f t="array" ref="K67">INDEX('W20. Fossil fuel prod'!$F$16:$R$45,MATCH($A67&amp;"Coal",'W20. Fossil fuel prod'!$A$16:$A$45&amp;'W20. Fossil fuel prod'!$C$16:$C$45,0),MATCH(K$60,'W20. Fossil fuel prod'!$F$15:$R$15,0))</f>
        <v>5855.7849011136495</v>
      </c>
    </row>
    <row r="68" spans="1:11" x14ac:dyDescent="0.3">
      <c r="A68" s="3" t="s">
        <v>382</v>
      </c>
      <c r="B68" s="34"/>
      <c r="C68" s="34"/>
      <c r="D68" s="34">
        <f t="array" ref="D68">INDEX('W20. Fossil fuel prod'!$F$16:$R$45,MATCH($A68&amp;"Coal",'W20. Fossil fuel prod'!$A$16:$A$45&amp;'W20. Fossil fuel prod'!$C$16:$C$45,0),MATCH(D$60,'W20. Fossil fuel prod'!$F$15:$R$15,0))</f>
        <v>5870.3650831554214</v>
      </c>
      <c r="E68" s="34" t="str">
        <f t="array" ref="E68">INDEX('W20. Fossil fuel prod'!$F$16:$R$45,MATCH($A68&amp;"Coal",'W20. Fossil fuel prod'!$A$16:$A$45&amp;'W20. Fossil fuel prod'!$C$16:$C$45,0),MATCH(E$60,'W20. Fossil fuel prod'!$F$15:$R$15,0))</f>
        <v/>
      </c>
      <c r="F68" s="34" t="str">
        <f t="array" ref="F68">INDEX('W20. Fossil fuel prod'!$F$16:$R$45,MATCH($A68&amp;"Coal",'W20. Fossil fuel prod'!$A$16:$A$45&amp;'W20. Fossil fuel prod'!$C$16:$C$45,0),MATCH(F$60,'W20. Fossil fuel prod'!$F$15:$R$15,0))</f>
        <v/>
      </c>
      <c r="G68" s="34" t="str">
        <f t="array" ref="G68">INDEX('W20. Fossil fuel prod'!$F$16:$R$45,MATCH($A68&amp;"Coal",'W20. Fossil fuel prod'!$A$16:$A$45&amp;'W20. Fossil fuel prod'!$C$16:$C$45,0),MATCH(G$60,'W20. Fossil fuel prod'!$F$15:$R$15,0))</f>
        <v/>
      </c>
      <c r="H68" s="34">
        <f t="array" ref="H68">INDEX('W20. Fossil fuel prod'!$F$16:$R$45,MATCH($A68&amp;"Coal",'W20. Fossil fuel prod'!$A$16:$A$45&amp;'W20. Fossil fuel prod'!$C$16:$C$45,0),MATCH(H$60,'W20. Fossil fuel prod'!$F$15:$R$15,0))</f>
        <v>5068.9734953946672</v>
      </c>
      <c r="I68" s="34">
        <f t="array" ref="I68">INDEX('W20. Fossil fuel prod'!$F$16:$R$45,MATCH($A68&amp;"Coal",'W20. Fossil fuel prod'!$A$16:$A$45&amp;'W20. Fossil fuel prod'!$C$16:$C$45,0),MATCH(I$60,'W20. Fossil fuel prod'!$F$15:$R$15,0))</f>
        <v>3426.8452228877932</v>
      </c>
      <c r="J68" s="34">
        <f t="array" ref="J68">INDEX('W20. Fossil fuel prod'!$F$16:$R$45,MATCH($A68&amp;"Coal",'W20. Fossil fuel prod'!$A$16:$A$45&amp;'W20. Fossil fuel prod'!$C$16:$C$45,0),MATCH(J$60,'W20. Fossil fuel prod'!$F$15:$R$15,0))</f>
        <v>2343.6328327094539</v>
      </c>
      <c r="K68" s="34">
        <f t="array" ref="K68">INDEX('W20. Fossil fuel prod'!$F$16:$R$45,MATCH($A68&amp;"Coal",'W20. Fossil fuel prod'!$A$16:$A$45&amp;'W20. Fossil fuel prod'!$C$16:$C$45,0),MATCH(K$60,'W20. Fossil fuel prod'!$F$15:$R$15,0))</f>
        <v>1907.6207990925313</v>
      </c>
    </row>
    <row r="69" spans="1:11" x14ac:dyDescent="0.3">
      <c r="A69" s="3" t="s">
        <v>383</v>
      </c>
      <c r="B69" s="34"/>
      <c r="C69" s="34"/>
      <c r="D69" s="34">
        <f t="array" ref="D69">INDEX('W20. Fossil fuel prod'!$F$16:$R$45,MATCH($A69&amp;"Coal",'W20. Fossil fuel prod'!$A$16:$A$45&amp;'W20. Fossil fuel prod'!$C$16:$C$45,0),MATCH(D$60,'W20. Fossil fuel prod'!$F$15:$R$15,0))</f>
        <v>5870.3650831554214</v>
      </c>
      <c r="E69" s="34" t="str">
        <f t="array" ref="E69">INDEX('W20. Fossil fuel prod'!$F$16:$R$45,MATCH($A69&amp;"Coal",'W20. Fossil fuel prod'!$A$16:$A$45&amp;'W20. Fossil fuel prod'!$C$16:$C$45,0),MATCH(E$60,'W20. Fossil fuel prod'!$F$15:$R$15,0))</f>
        <v/>
      </c>
      <c r="F69" s="34" t="str">
        <f t="array" ref="F69">INDEX('W20. Fossil fuel prod'!$F$16:$R$45,MATCH($A69&amp;"Coal",'W20. Fossil fuel prod'!$A$16:$A$45&amp;'W20. Fossil fuel prod'!$C$16:$C$45,0),MATCH(F$60,'W20. Fossil fuel prod'!$F$15:$R$15,0))</f>
        <v/>
      </c>
      <c r="G69" s="34" t="str">
        <f t="array" ref="G69">INDEX('W20. Fossil fuel prod'!$F$16:$R$45,MATCH($A69&amp;"Coal",'W20. Fossil fuel prod'!$A$16:$A$45&amp;'W20. Fossil fuel prod'!$C$16:$C$45,0),MATCH(G$60,'W20. Fossil fuel prod'!$F$15:$R$15,0))</f>
        <v/>
      </c>
      <c r="H69" s="34">
        <f t="array" ref="H69">INDEX('W20. Fossil fuel prod'!$F$16:$R$45,MATCH($A69&amp;"Coal",'W20. Fossil fuel prod'!$A$16:$A$45&amp;'W20. Fossil fuel prod'!$C$16:$C$45,0),MATCH(H$60,'W20. Fossil fuel prod'!$F$15:$R$15,0))</f>
        <v>4634.1281198234183</v>
      </c>
      <c r="I69" s="34">
        <f t="array" ref="I69">INDEX('W20. Fossil fuel prod'!$F$16:$R$45,MATCH($A69&amp;"Coal",'W20. Fossil fuel prod'!$A$16:$A$45&amp;'W20. Fossil fuel prod'!$C$16:$C$45,0),MATCH(I$60,'W20. Fossil fuel prod'!$F$15:$R$15,0))</f>
        <v>2652.9045491236238</v>
      </c>
      <c r="J69" s="34">
        <f t="array" ref="J69">INDEX('W20. Fossil fuel prod'!$F$16:$R$45,MATCH($A69&amp;"Coal",'W20. Fossil fuel prod'!$A$16:$A$45&amp;'W20. Fossil fuel prod'!$C$16:$C$45,0),MATCH(J$60,'W20. Fossil fuel prod'!$F$15:$R$15,0))</f>
        <v>1851.3022958195145</v>
      </c>
      <c r="K69" s="34">
        <f t="array" ref="K69">INDEX('W20. Fossil fuel prod'!$F$16:$R$45,MATCH($A69&amp;"Coal",'W20. Fossil fuel prod'!$A$16:$A$45&amp;'W20. Fossil fuel prod'!$C$16:$C$45,0),MATCH(K$60,'W20. Fossil fuel prod'!$F$15:$R$15,0))</f>
        <v>1536.2792993322848</v>
      </c>
    </row>
    <row r="70" spans="1:11" x14ac:dyDescent="0.3">
      <c r="A70" s="3" t="s">
        <v>384</v>
      </c>
      <c r="B70" s="34"/>
      <c r="C70" s="34"/>
      <c r="D70" s="34" t="str">
        <f t="array" ref="D70">INDEX('W20. Fossil fuel prod'!$F$16:$R$45,MATCH($A70&amp;"Coal",'W20. Fossil fuel prod'!$A$16:$A$45&amp;'W20. Fossil fuel prod'!$C$16:$C$45,0),MATCH(D$60,'W20. Fossil fuel prod'!$F$15:$R$15,0))</f>
        <v/>
      </c>
      <c r="E70" s="34">
        <f t="array" ref="E70">INDEX('W20. Fossil fuel prod'!$F$16:$R$45,MATCH($A70&amp;"Coal",'W20. Fossil fuel prod'!$A$16:$A$45&amp;'W20. Fossil fuel prod'!$C$16:$C$45,0),MATCH(E$60,'W20. Fossil fuel prod'!$F$15:$R$15,0))</f>
        <v>5764.0635800085411</v>
      </c>
      <c r="F70" s="34" t="str">
        <f t="array" ref="F70">INDEX('W20. Fossil fuel prod'!$F$16:$R$45,MATCH($A70&amp;"Coal",'W20. Fossil fuel prod'!$A$16:$A$45&amp;'W20. Fossil fuel prod'!$C$16:$C$45,0),MATCH(F$60,'W20. Fossil fuel prod'!$F$15:$R$15,0))</f>
        <v/>
      </c>
      <c r="G70" s="34" t="str">
        <f t="array" ref="G70">INDEX('W20. Fossil fuel prod'!$F$16:$R$45,MATCH($A70&amp;"Coal",'W20. Fossil fuel prod'!$A$16:$A$45&amp;'W20. Fossil fuel prod'!$C$16:$C$45,0),MATCH(G$60,'W20. Fossil fuel prod'!$F$15:$R$15,0))</f>
        <v/>
      </c>
      <c r="H70" s="34">
        <f t="array" ref="H70">INDEX('W20. Fossil fuel prod'!$F$16:$R$45,MATCH($A70&amp;"Coal",'W20. Fossil fuel prod'!$A$16:$A$45&amp;'W20. Fossil fuel prod'!$C$16:$C$45,0),MATCH(H$60,'W20. Fossil fuel prod'!$F$15:$R$15,0))</f>
        <v>5638.6980343801515</v>
      </c>
      <c r="I70" s="34">
        <f t="array" ref="I70">INDEX('W20. Fossil fuel prod'!$F$16:$R$45,MATCH($A70&amp;"Coal",'W20. Fossil fuel prod'!$A$16:$A$45&amp;'W20. Fossil fuel prod'!$C$16:$C$45,0),MATCH(I$60,'W20. Fossil fuel prod'!$F$15:$R$15,0))</f>
        <v>5531.6834660054028</v>
      </c>
      <c r="J70" s="34">
        <f t="array" ref="J70">INDEX('W20. Fossil fuel prod'!$F$16:$R$45,MATCH($A70&amp;"Coal",'W20. Fossil fuel prod'!$A$16:$A$45&amp;'W20. Fossil fuel prod'!$C$16:$C$45,0),MATCH(J$60,'W20. Fossil fuel prod'!$F$15:$R$15,0))</f>
        <v>4652.2028902735383</v>
      </c>
      <c r="K70" s="34">
        <f t="array" ref="K70">INDEX('W20. Fossil fuel prod'!$F$16:$R$45,MATCH($A70&amp;"Coal",'W20. Fossil fuel prod'!$A$16:$A$45&amp;'W20. Fossil fuel prod'!$C$16:$C$45,0),MATCH(K$60,'W20. Fossil fuel prod'!$F$15:$R$15,0))</f>
        <v>3573.5649426514537</v>
      </c>
    </row>
    <row r="71" spans="1:11" x14ac:dyDescent="0.3">
      <c r="A71" s="3" t="s">
        <v>385</v>
      </c>
      <c r="B71" s="34">
        <f>INDEX('R19. BPStat 18 coal prod'!$B$67:$AL$67,MATCH(B$60,'R19. BPStat 18 coal prod'!$B$11:$AL$11,0))</f>
        <v>6688.1590923539015</v>
      </c>
      <c r="C71" s="34">
        <f>INDEX('R19. BPStat 18 coal prod'!$B$67:$AL$67,MATCH(C$60,'R19. BPStat 18 coal prod'!$B$11:$AL$11,0))</f>
        <v>8203.0153085580532</v>
      </c>
      <c r="D71" s="34">
        <f>INDEX('R19. BPStat 18 coal prod'!$B$67:$AL$67,MATCH(D$60,'R19. BPStat 18 coal prod'!$B$11:$AL$11,0))</f>
        <v>8195.6718227531837</v>
      </c>
      <c r="E71" s="34">
        <f>INDEX('R19. BPStat 18 coal prod'!$B$67:$AL$67,MATCH(E$60,'R19. BPStat 18 coal prod'!$B$11:$AL$11,0))</f>
        <v>7954.1509627198748</v>
      </c>
      <c r="F71" s="34">
        <f>INDEX('R19. BPStat 18 coal prod'!$B$67:$AL$67,MATCH(F$60,'R19. BPStat 18 coal prod'!$B$11:$AL$11,0))</f>
        <v>7491.9877649203336</v>
      </c>
      <c r="G71" s="34">
        <f>INDEX('R19. BPStat 18 coal prod'!$B$67:$AL$67,MATCH(G$60,'R19. BPStat 18 coal prod'!$B$11:$AL$11,0))</f>
        <v>7727.3289708581169</v>
      </c>
    </row>
  </sheetData>
  <conditionalFormatting sqref="A1:XFD2 A11:F11 I11 K11:XFD11 G12:XFD12 A12:C12 E12:E21 F13:XFD21 A5:XFD5 A3:A4 C3:XFD4 A67:A70 L61:XFD70 J22:XFD23 A59:A64 B59:XFD60 A71:XFD1048576 A9:XFD10 D6:XFD8 I24:XFD24 A25:XFD43 A56:XFD58 A44:I52 K44:XFD55 A54:I55 B53:I53">
    <cfRule type="expression" dxfId="208" priority="13">
      <formula>_xlfn.ISFORMULA(A1)</formula>
    </cfRule>
  </conditionalFormatting>
  <conditionalFormatting sqref="B4">
    <cfRule type="expression" dxfId="207" priority="10">
      <formula>_xlfn.ISFORMULA(B4)</formula>
    </cfRule>
  </conditionalFormatting>
  <conditionalFormatting sqref="A65:A66">
    <cfRule type="expression" dxfId="206" priority="12">
      <formula>_xlfn.ISFORMULA(A65)</formula>
    </cfRule>
  </conditionalFormatting>
  <conditionalFormatting sqref="C22">
    <cfRule type="expression" dxfId="205" priority="8">
      <formula>_xlfn.ISFORMULA(C22)</formula>
    </cfRule>
  </conditionalFormatting>
  <conditionalFormatting sqref="B3">
    <cfRule type="expression" dxfId="204" priority="11">
      <formula>_xlfn.ISFORMULA(B3)</formula>
    </cfRule>
  </conditionalFormatting>
  <conditionalFormatting sqref="A13:C18 A20:C23 B19:C19">
    <cfRule type="expression" dxfId="203" priority="9">
      <formula>_xlfn.ISFORMULA(A13)</formula>
    </cfRule>
  </conditionalFormatting>
  <conditionalFormatting sqref="D22:I23">
    <cfRule type="expression" dxfId="202" priority="6">
      <formula>_xlfn.ISFORMULA(D22)</formula>
    </cfRule>
  </conditionalFormatting>
  <conditionalFormatting sqref="B61:K70">
    <cfRule type="expression" dxfId="201" priority="7">
      <formula>_xlfn.ISFORMULA(B61)</formula>
    </cfRule>
  </conditionalFormatting>
  <conditionalFormatting sqref="A6:C8">
    <cfRule type="expression" dxfId="200" priority="5">
      <formula>_xlfn.ISFORMULA(A6)</formula>
    </cfRule>
  </conditionalFormatting>
  <conditionalFormatting sqref="A24:C24">
    <cfRule type="expression" dxfId="199" priority="4">
      <formula>_xlfn.ISFORMULA(A24)</formula>
    </cfRule>
  </conditionalFormatting>
  <conditionalFormatting sqref="D24:H24">
    <cfRule type="expression" dxfId="198" priority="3">
      <formula>_xlfn.ISFORMULA(D24)</formula>
    </cfRule>
  </conditionalFormatting>
  <conditionalFormatting sqref="A19">
    <cfRule type="expression" dxfId="197" priority="2">
      <formula>_xlfn.ISFORMULA(A19)</formula>
    </cfRule>
  </conditionalFormatting>
  <conditionalFormatting sqref="A53">
    <cfRule type="expression" dxfId="196" priority="1">
      <formula>_xlfn.ISFORMULA(A53)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0C030-D5E0-4C93-B20B-677F20DEDA1C}">
  <sheetPr>
    <tabColor theme="4" tint="0.499984740745262"/>
    <pageSetUpPr autoPageBreaks="0"/>
  </sheetPr>
  <dimension ref="A1:P79"/>
  <sheetViews>
    <sheetView zoomScale="70" zoomScaleNormal="70" workbookViewId="0">
      <selection activeCell="A19" sqref="A19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993</v>
      </c>
    </row>
    <row r="2" spans="1:16" s="20" customFormat="1" x14ac:dyDescent="0.3">
      <c r="A2" s="20" t="s">
        <v>5</v>
      </c>
      <c r="B2" s="20" t="s">
        <v>424</v>
      </c>
    </row>
    <row r="3" spans="1:16" s="20" customFormat="1" x14ac:dyDescent="0.3">
      <c r="A3" s="20" t="s">
        <v>6</v>
      </c>
      <c r="B3" s="20" t="s">
        <v>425</v>
      </c>
    </row>
    <row r="4" spans="1:16" s="20" customFormat="1" x14ac:dyDescent="0.3">
      <c r="A4" s="20" t="s">
        <v>4</v>
      </c>
      <c r="B4" s="20" t="s">
        <v>426</v>
      </c>
      <c r="O4" s="21"/>
      <c r="P4" s="22"/>
    </row>
    <row r="5" spans="1:16" s="20" customFormat="1" x14ac:dyDescent="0.3">
      <c r="A5" s="20" t="s">
        <v>351</v>
      </c>
      <c r="B5" s="23">
        <f>1/10^3</f>
        <v>1E-3</v>
      </c>
      <c r="C5" s="20" t="s">
        <v>427</v>
      </c>
      <c r="O5" s="21"/>
      <c r="P5" s="22"/>
    </row>
    <row r="6" spans="1:16" s="20" customFormat="1" x14ac:dyDescent="0.3">
      <c r="A6" s="20" t="s">
        <v>355</v>
      </c>
      <c r="B6" s="23" t="s">
        <v>356</v>
      </c>
      <c r="O6" s="21"/>
      <c r="P6" s="22"/>
    </row>
    <row r="7" spans="1:16" s="20" customFormat="1" x14ac:dyDescent="0.3">
      <c r="B7" s="23" t="s">
        <v>995</v>
      </c>
      <c r="O7" s="21"/>
      <c r="P7" s="22"/>
    </row>
    <row r="8" spans="1:16" s="20" customFormat="1" x14ac:dyDescent="0.3">
      <c r="A8" s="20" t="s">
        <v>997</v>
      </c>
      <c r="B8" s="23">
        <f>$F$23/$F$14</f>
        <v>1.2807159232705041</v>
      </c>
      <c r="C8" s="20" t="s">
        <v>998</v>
      </c>
      <c r="O8" s="21"/>
      <c r="P8" s="22"/>
    </row>
    <row r="9" spans="1:16" ht="15" thickBot="1" x14ac:dyDescent="0.35"/>
    <row r="10" spans="1:16" s="25" customFormat="1" ht="15" thickBot="1" x14ac:dyDescent="0.35">
      <c r="A10" s="24" t="s">
        <v>358</v>
      </c>
    </row>
    <row r="11" spans="1:16" x14ac:dyDescent="0.3">
      <c r="E11" s="26"/>
      <c r="F11" s="27"/>
      <c r="G11" s="27"/>
      <c r="H11" s="27"/>
      <c r="I11" s="27"/>
      <c r="J11" s="27"/>
    </row>
    <row r="12" spans="1:16" x14ac:dyDescent="0.3">
      <c r="A12" s="3" t="s">
        <v>8</v>
      </c>
      <c r="B12" s="3" t="s">
        <v>86</v>
      </c>
      <c r="C12" s="3" t="s">
        <v>8</v>
      </c>
      <c r="D12" s="3">
        <v>2017</v>
      </c>
      <c r="E12" s="3">
        <v>2020</v>
      </c>
      <c r="F12" s="28">
        <v>2030</v>
      </c>
      <c r="G12" s="3">
        <v>2040</v>
      </c>
      <c r="H12" s="3">
        <v>2050</v>
      </c>
    </row>
    <row r="13" spans="1:16" ht="14.4" customHeight="1" x14ac:dyDescent="0.3">
      <c r="A13" s="29" t="s">
        <v>13</v>
      </c>
      <c r="B13" s="29" t="str">
        <f>INDEX('R1. Scenario specifications'!$C$11:$C$60,MATCH($A13,'R1. Scenario specifications'!$A$11:$A$60,0))</f>
        <v>Vivid BAU - WEO Current Policies Scenario emissions pathway run through TIAM</v>
      </c>
      <c r="C13" s="29" t="s">
        <v>359</v>
      </c>
      <c r="D13" s="30">
        <f t="shared" ref="D13:D14" si="0">D$23</f>
        <v>2.3390000000000004</v>
      </c>
      <c r="E13" s="30">
        <f t="shared" ref="E13:H14" si="1">INDEX($B$53:$F$61,MATCH($A13,$A$53:$A$61,0),MATCH(E$12,$B$52:$F$52,0))*$B$5</f>
        <v>1.8628650989982876</v>
      </c>
      <c r="F13" s="30">
        <f t="shared" si="1"/>
        <v>3.3751338154553596</v>
      </c>
      <c r="G13" s="30">
        <f t="shared" si="1"/>
        <v>6.4977845409541057</v>
      </c>
      <c r="H13" s="30">
        <f t="shared" si="1"/>
        <v>8.875595675381982</v>
      </c>
    </row>
    <row r="14" spans="1:16" x14ac:dyDescent="0.3">
      <c r="A14" s="29" t="s">
        <v>14</v>
      </c>
      <c r="B14" s="29" t="str">
        <f>INDEX('R1. Scenario specifications'!$C$11:$C$60,MATCH($A14,'R1. Scenario specifications'!$A$11:$A$60,0))</f>
        <v>Vivid Paris NDCs - WEO New Policies Scenario emissions pathway run through TIAM</v>
      </c>
      <c r="C14" s="29" t="s">
        <v>360</v>
      </c>
      <c r="D14" s="30">
        <f t="shared" si="0"/>
        <v>2.3390000000000004</v>
      </c>
      <c r="E14" s="30">
        <f t="shared" si="1"/>
        <v>1.8023739978720303</v>
      </c>
      <c r="F14" s="30">
        <f t="shared" si="1"/>
        <v>3.6838770521036897</v>
      </c>
      <c r="G14" s="30">
        <f t="shared" si="1"/>
        <v>7.1492758761946034</v>
      </c>
      <c r="H14" s="30">
        <f t="shared" si="1"/>
        <v>10.808776515059137</v>
      </c>
    </row>
    <row r="15" spans="1:16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1">
        <f>D$23</f>
        <v>2.3390000000000004</v>
      </c>
      <c r="E15" s="31">
        <f t="shared" ref="E15:F21" si="2">E$23</f>
        <v>2.8658750000000004</v>
      </c>
      <c r="F15" s="31">
        <f>INDEX($B$53:$F$61,MATCH($A15,$A$53:$A$61,0),MATCH(F$12,$B$52:$F$52,0))*$B$5+(F$23-F$14)</f>
        <v>5.2663224128860566</v>
      </c>
      <c r="G15" s="34">
        <f t="shared" ref="G15:H21" si="3">INDEX($B$53:$F$61,MATCH($A15,$A$53:$A$61,0),MATCH(G$12,$B$52:$F$52,0))*$B$5</f>
        <v>8.6644984757252903</v>
      </c>
      <c r="H15" s="34">
        <f t="shared" si="3"/>
        <v>12.659372090485919</v>
      </c>
    </row>
    <row r="16" spans="1:16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1">
        <f t="shared" ref="D16:D21" si="4">D$23</f>
        <v>2.3390000000000004</v>
      </c>
      <c r="E16" s="31">
        <f t="shared" si="2"/>
        <v>2.8658750000000004</v>
      </c>
      <c r="F16" s="31">
        <f t="shared" si="2"/>
        <v>4.718</v>
      </c>
      <c r="G16" s="34">
        <f t="shared" si="3"/>
        <v>7.9861997387784323</v>
      </c>
      <c r="H16" s="34">
        <f t="shared" si="3"/>
        <v>12.593413650631945</v>
      </c>
    </row>
    <row r="17" spans="1:8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1">
        <f t="shared" si="4"/>
        <v>2.3390000000000004</v>
      </c>
      <c r="E17" s="31">
        <f t="shared" si="2"/>
        <v>2.8658750000000004</v>
      </c>
      <c r="F17" s="31">
        <f>INDEX($B$53:$F$61,MATCH($A17,$A$53:$A$61,0),MATCH(F$12,$B$52:$F$52,0))*$B$5+(F$23-F$14)</f>
        <v>5.4039110876217773</v>
      </c>
      <c r="G17" s="34">
        <f t="shared" si="3"/>
        <v>9.1999809900417464</v>
      </c>
      <c r="H17" s="34">
        <f t="shared" si="3"/>
        <v>13.070396372724867</v>
      </c>
    </row>
    <row r="18" spans="1:8" ht="14.4" customHeight="1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1">
        <f t="shared" si="4"/>
        <v>2.3390000000000004</v>
      </c>
      <c r="E18" s="31">
        <f t="shared" si="2"/>
        <v>2.8658750000000004</v>
      </c>
      <c r="F18" s="31">
        <f>INDEX($B$53:$F$61,MATCH($A18,$A$53:$A$61,0),MATCH(F$12,$B$52:$F$52,0))*$B$5+(F$23-F$14)</f>
        <v>6.0118319203631767</v>
      </c>
      <c r="G18" s="34">
        <f t="shared" si="3"/>
        <v>9.9078179775102164</v>
      </c>
      <c r="H18" s="34">
        <f t="shared" si="3"/>
        <v>13.667340446861617</v>
      </c>
    </row>
    <row r="19" spans="1:8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1">
        <f t="shared" si="4"/>
        <v>2.3390000000000004</v>
      </c>
      <c r="E19" s="31">
        <f t="shared" si="2"/>
        <v>2.8658750000000004</v>
      </c>
      <c r="F19" s="31">
        <f>INDEX($B$53:$F$61,MATCH($A19,$A$53:$A$61,0),MATCH(F$12,$B$52:$F$52,0))*$B$5+(F$23-F$14)</f>
        <v>4.3925206367673884</v>
      </c>
      <c r="G19" s="34">
        <f t="shared" si="3"/>
        <v>5.4087493223873411</v>
      </c>
      <c r="H19" s="34">
        <f t="shared" si="3"/>
        <v>6.9911255467972442</v>
      </c>
    </row>
    <row r="20" spans="1:8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1">
        <f t="shared" si="4"/>
        <v>2.3390000000000004</v>
      </c>
      <c r="E20" s="31">
        <f t="shared" si="2"/>
        <v>2.8658750000000004</v>
      </c>
      <c r="F20" s="31">
        <f>INDEX($B$53:$F$61,MATCH($A20,$A$53:$A$61,0),MATCH(F$12,$B$52:$F$52,0))*$B$5+(F$23-F$14)</f>
        <v>4.8927622139016309</v>
      </c>
      <c r="G20" s="34">
        <f t="shared" si="3"/>
        <v>8.3318322762496635</v>
      </c>
      <c r="H20" s="34">
        <f t="shared" si="3"/>
        <v>12.801215107382033</v>
      </c>
    </row>
    <row r="21" spans="1:8" x14ac:dyDescent="0.3">
      <c r="A21" s="3" t="s">
        <v>49</v>
      </c>
      <c r="B21" s="3" t="str">
        <f>INDEX('R1. Scenario specifications'!$C$11:$C$60,MATCH($A21,'R1. Scenario specifications'!$A$11:$A$60,0))</f>
        <v>Current 2DS, 2020 start, 'Expect the Unexpected' but with cheap energy efficiency</v>
      </c>
      <c r="C21" s="3" t="s">
        <v>367</v>
      </c>
      <c r="D21" s="31">
        <f t="shared" si="4"/>
        <v>2.3390000000000004</v>
      </c>
      <c r="E21" s="31">
        <f t="shared" si="2"/>
        <v>2.8658750000000004</v>
      </c>
      <c r="F21" s="31">
        <f>INDEX($B$53:$F$61,MATCH($A21,$A$53:$A$61,0),MATCH(F$12,$B$52:$F$52,0))*$B$5+(F$23-F$14)</f>
        <v>4.8522559800514786</v>
      </c>
      <c r="G21" s="34">
        <f t="shared" si="3"/>
        <v>7.7289202121205784</v>
      </c>
      <c r="H21" s="34">
        <f t="shared" si="3"/>
        <v>11.54690152800528</v>
      </c>
    </row>
    <row r="22" spans="1:8" ht="14.4" customHeight="1" x14ac:dyDescent="0.3">
      <c r="A22" s="32" t="s">
        <v>368</v>
      </c>
      <c r="B22" s="32" t="str">
        <f>INDEX('R1. Scenario specifications'!$C$11:$C$60,MATCH($A22,'R1. Scenario specifications'!$A$11:$A$60,0))</f>
        <v>Current Policies Scenario, World Energy Outlook 2018</v>
      </c>
      <c r="C22" s="32" t="s">
        <v>369</v>
      </c>
      <c r="D22" s="33">
        <f t="shared" ref="D22:H24" si="5">INDEX($C$71:$J$79,MATCH($A22,$A$71:$A$79,0),MATCH(D$12,$C$70:$J$70,0))</f>
        <v>2.3390000000000004</v>
      </c>
      <c r="E22" s="33">
        <f t="shared" si="5"/>
        <v>2.7983750000000001</v>
      </c>
      <c r="F22" s="33">
        <f t="shared" si="5"/>
        <v>4.1710000000000003</v>
      </c>
      <c r="G22" s="33">
        <f t="shared" si="5"/>
        <v>5.3939999999999992</v>
      </c>
      <c r="H22" s="33">
        <f t="shared" si="5"/>
        <v>6.6440000000000001</v>
      </c>
    </row>
    <row r="23" spans="1:8" x14ac:dyDescent="0.3">
      <c r="A23" s="3" t="s">
        <v>370</v>
      </c>
      <c r="B23" s="3" t="str">
        <f>INDEX('R1. Scenario specifications'!$C$11:$C$60,MATCH($A23,'R1. Scenario specifications'!$A$11:$A$60,0))</f>
        <v>New Policies Scenario, World Energy Outlook 2018</v>
      </c>
      <c r="C23" s="3" t="s">
        <v>371</v>
      </c>
      <c r="D23" s="34">
        <f t="shared" si="5"/>
        <v>2.3390000000000004</v>
      </c>
      <c r="E23" s="34">
        <f t="shared" si="5"/>
        <v>2.8658750000000004</v>
      </c>
      <c r="F23" s="34">
        <f t="shared" si="5"/>
        <v>4.718</v>
      </c>
      <c r="G23" s="34">
        <f t="shared" si="5"/>
        <v>6.5039999999999996</v>
      </c>
      <c r="H23" s="34">
        <f t="shared" si="5"/>
        <v>8.3119999999999994</v>
      </c>
    </row>
    <row r="24" spans="1:8" x14ac:dyDescent="0.3">
      <c r="A24" s="3" t="s">
        <v>372</v>
      </c>
      <c r="B24" s="3" t="str">
        <f>INDEX('R1. Scenario specifications'!$C$11:$C$60,MATCH($A24,'R1. Scenario specifications'!$A$11:$A$60,0))</f>
        <v>Sustainable Development Scenario, World Energy Outlook 2018</v>
      </c>
      <c r="C24" s="3" t="s">
        <v>373</v>
      </c>
      <c r="D24" s="34">
        <f t="shared" si="5"/>
        <v>2.3390000000000004</v>
      </c>
      <c r="E24" s="34">
        <f t="shared" si="5"/>
        <v>3.1066249999999997</v>
      </c>
      <c r="F24" s="34">
        <f t="shared" si="5"/>
        <v>6.173</v>
      </c>
      <c r="G24" s="34">
        <f t="shared" si="5"/>
        <v>9.9139999999999979</v>
      </c>
      <c r="H24" s="34">
        <f t="shared" si="5"/>
        <v>13.586</v>
      </c>
    </row>
    <row r="41" spans="1:6" ht="15" thickBot="1" x14ac:dyDescent="0.35"/>
    <row r="42" spans="1:6" s="25" customFormat="1" ht="15" thickBot="1" x14ac:dyDescent="0.35">
      <c r="A42" s="24" t="s">
        <v>374</v>
      </c>
    </row>
    <row r="43" spans="1:6" x14ac:dyDescent="0.3">
      <c r="A43" s="4"/>
      <c r="B43" s="3" t="s">
        <v>63</v>
      </c>
      <c r="C43" s="3" t="s">
        <v>63</v>
      </c>
      <c r="D43" s="3" t="s">
        <v>63</v>
      </c>
      <c r="E43" s="3" t="s">
        <v>63</v>
      </c>
      <c r="F43" s="3" t="s">
        <v>63</v>
      </c>
    </row>
    <row r="44" spans="1:6" x14ac:dyDescent="0.3">
      <c r="A44" s="4"/>
      <c r="B44" s="3" t="s">
        <v>73</v>
      </c>
      <c r="C44" s="3" t="s">
        <v>73</v>
      </c>
      <c r="D44" s="3" t="s">
        <v>73</v>
      </c>
      <c r="E44" s="3" t="s">
        <v>73</v>
      </c>
      <c r="F44" s="3" t="s">
        <v>73</v>
      </c>
    </row>
    <row r="45" spans="1:6" x14ac:dyDescent="0.3">
      <c r="A45" s="4"/>
      <c r="B45" s="3" t="s">
        <v>66</v>
      </c>
      <c r="C45" s="3" t="s">
        <v>66</v>
      </c>
      <c r="D45" s="3" t="s">
        <v>66</v>
      </c>
      <c r="E45" s="3" t="s">
        <v>66</v>
      </c>
      <c r="F45" s="3" t="s">
        <v>66</v>
      </c>
    </row>
    <row r="46" spans="1:6" x14ac:dyDescent="0.3">
      <c r="A46" s="4"/>
      <c r="B46" s="3" t="s">
        <v>67</v>
      </c>
      <c r="C46" s="3" t="s">
        <v>67</v>
      </c>
      <c r="D46" s="3" t="s">
        <v>67</v>
      </c>
      <c r="E46" s="3" t="s">
        <v>67</v>
      </c>
      <c r="F46" s="3" t="s">
        <v>67</v>
      </c>
    </row>
    <row r="47" spans="1:6" x14ac:dyDescent="0.3">
      <c r="A47" s="4"/>
      <c r="B47" s="3" t="s">
        <v>70</v>
      </c>
      <c r="C47" s="3" t="s">
        <v>70</v>
      </c>
      <c r="D47" s="3" t="s">
        <v>70</v>
      </c>
      <c r="E47" s="3" t="s">
        <v>70</v>
      </c>
      <c r="F47" s="3" t="s">
        <v>70</v>
      </c>
    </row>
    <row r="48" spans="1:6" x14ac:dyDescent="0.3">
      <c r="A48" s="4"/>
      <c r="B48" s="3" t="s">
        <v>71</v>
      </c>
      <c r="C48" s="3" t="s">
        <v>71</v>
      </c>
      <c r="D48" s="3" t="s">
        <v>71</v>
      </c>
      <c r="E48" s="3" t="s">
        <v>71</v>
      </c>
      <c r="F48" s="3" t="s">
        <v>71</v>
      </c>
    </row>
    <row r="49" spans="1:11" x14ac:dyDescent="0.3">
      <c r="A49" s="4"/>
      <c r="B49" s="3" t="s">
        <v>75</v>
      </c>
      <c r="C49" s="3" t="s">
        <v>75</v>
      </c>
      <c r="D49" s="3" t="s">
        <v>75</v>
      </c>
      <c r="E49" s="3" t="s">
        <v>75</v>
      </c>
      <c r="F49" s="3" t="s">
        <v>75</v>
      </c>
    </row>
    <row r="50" spans="1:11" x14ac:dyDescent="0.3">
      <c r="A50" s="4"/>
      <c r="B50" s="3" t="s">
        <v>72</v>
      </c>
      <c r="C50" s="3" t="s">
        <v>72</v>
      </c>
      <c r="D50" s="3" t="s">
        <v>72</v>
      </c>
      <c r="E50" s="3" t="s">
        <v>72</v>
      </c>
      <c r="F50" s="3" t="s">
        <v>72</v>
      </c>
    </row>
    <row r="51" spans="1:11" x14ac:dyDescent="0.3">
      <c r="B51" s="3" t="s">
        <v>429</v>
      </c>
      <c r="C51" s="3" t="s">
        <v>429</v>
      </c>
      <c r="D51" s="3" t="s">
        <v>429</v>
      </c>
      <c r="E51" s="3" t="s">
        <v>429</v>
      </c>
      <c r="F51" s="3" t="s">
        <v>429</v>
      </c>
      <c r="G51" s="41"/>
    </row>
    <row r="52" spans="1:11" x14ac:dyDescent="0.3">
      <c r="A52" s="3" t="s">
        <v>8</v>
      </c>
      <c r="B52" s="3">
        <v>2012</v>
      </c>
      <c r="C52" s="3">
        <v>2020</v>
      </c>
      <c r="D52" s="3">
        <v>2030</v>
      </c>
      <c r="E52" s="3">
        <v>2040</v>
      </c>
      <c r="F52" s="3">
        <v>2050</v>
      </c>
      <c r="G52" s="41"/>
    </row>
    <row r="53" spans="1:11" x14ac:dyDescent="0.3">
      <c r="A53" s="3" t="str">
        <f>A13</f>
        <v>Vivid_0A_BAU</v>
      </c>
      <c r="B53" s="34">
        <f t="array" ref="B53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Cap'!$B$50:$B$556=$A53)*('W10. Power Total Cap'!$E$49:$O$49=B$52),'W10. Power Total Cap'!$E$50:$O$556))</f>
        <v>1151.4261155180377</v>
      </c>
      <c r="C53" s="34">
        <f t="array" ref="C53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Cap'!$B$50:$B$556=$A53)*('W10. Power Total Cap'!$E$49:$O$49=C$52),'W10. Power Total Cap'!$E$50:$O$556))</f>
        <v>1862.8650989982875</v>
      </c>
      <c r="D53" s="34">
        <f t="array" ref="D53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Cap'!$B$50:$B$556=$A53)*('W10. Power Total Cap'!$E$49:$O$49=D$52),'W10. Power Total Cap'!$E$50:$O$556))</f>
        <v>3375.1338154553596</v>
      </c>
      <c r="E53" s="34">
        <f t="array" ref="E53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Cap'!$B$50:$B$556=$A53)*('W10. Power Total Cap'!$E$49:$O$49=E$52),'W10. Power Total Cap'!$E$50:$O$556))</f>
        <v>6497.784540954106</v>
      </c>
      <c r="F53" s="34">
        <f t="array" ref="F53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Cap'!$B$50:$B$556=$A53)*('W10. Power Total Cap'!$E$49:$O$49=F$52),'W10. Power Total Cap'!$E$50:$O$556))</f>
        <v>8875.595675381981</v>
      </c>
      <c r="G53" s="42"/>
      <c r="H53" s="14"/>
      <c r="I53" s="14"/>
      <c r="J53" s="14"/>
      <c r="K53" s="14"/>
    </row>
    <row r="54" spans="1:11" x14ac:dyDescent="0.3">
      <c r="A54" s="3" t="str">
        <f t="shared" ref="A54:A61" si="6">A14</f>
        <v>Vivid_0B</v>
      </c>
      <c r="B54" s="34">
        <f t="array" ref="B54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Cap'!$B$50:$B$556=$A54)*('W10. Power Total Cap'!$E$49:$O$49=B$52),'W10. Power Total Cap'!$E$50:$O$556))</f>
        <v>1151.128963064868</v>
      </c>
      <c r="C54" s="34">
        <f t="array" ref="C54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Cap'!$B$50:$B$556=$A54)*('W10. Power Total Cap'!$E$49:$O$49=C$52),'W10. Power Total Cap'!$E$50:$O$556))</f>
        <v>1802.3739978720303</v>
      </c>
      <c r="D54" s="34">
        <f t="array" ref="D54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Cap'!$B$50:$B$556=$A54)*('W10. Power Total Cap'!$E$49:$O$49=D$52),'W10. Power Total Cap'!$E$50:$O$556))</f>
        <v>3683.8770521036895</v>
      </c>
      <c r="E54" s="34">
        <f t="array" ref="E54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Cap'!$B$50:$B$556=$A54)*('W10. Power Total Cap'!$E$49:$O$49=E$52),'W10. Power Total Cap'!$E$50:$O$556))</f>
        <v>7149.2758761946034</v>
      </c>
      <c r="F54" s="34">
        <f t="array" ref="F54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Cap'!$B$50:$B$556=$A54)*('W10. Power Total Cap'!$E$49:$O$49=F$52),'W10. Power Total Cap'!$E$50:$O$556))</f>
        <v>10808.776515059137</v>
      </c>
      <c r="G54" s="42"/>
      <c r="H54" s="14"/>
      <c r="I54" s="14"/>
      <c r="J54" s="14"/>
      <c r="K54" s="14"/>
    </row>
    <row r="55" spans="1:11" x14ac:dyDescent="0.3">
      <c r="A55" s="3" t="str">
        <f t="shared" si="6"/>
        <v>Vivid_1</v>
      </c>
      <c r="B55" s="34">
        <f t="array" ref="B55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Cap'!$B$50:$B$556=$A55)*('W10. Power Total Cap'!$E$49:$O$49=B$52),'W10. Power Total Cap'!$E$50:$O$556))</f>
        <v>1151.128963064868</v>
      </c>
      <c r="C55" s="34">
        <f t="array" ref="C55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Cap'!$B$50:$B$556=$A55)*('W10. Power Total Cap'!$E$49:$O$49=C$52),'W10. Power Total Cap'!$E$50:$O$556))</f>
        <v>1802.3739978720303</v>
      </c>
      <c r="D55" s="34">
        <f t="array" ref="D55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Cap'!$B$50:$B$556=$A55)*('W10. Power Total Cap'!$E$49:$O$49=D$52),'W10. Power Total Cap'!$E$50:$O$556))</f>
        <v>4232.199464989746</v>
      </c>
      <c r="E55" s="34">
        <f t="array" ref="E55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Cap'!$B$50:$B$556=$A55)*('W10. Power Total Cap'!$E$49:$O$49=E$52),'W10. Power Total Cap'!$E$50:$O$556))</f>
        <v>8664.4984757252896</v>
      </c>
      <c r="F55" s="34">
        <f t="array" ref="F55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Cap'!$B$50:$B$556=$A55)*('W10. Power Total Cap'!$E$49:$O$49=F$52),'W10. Power Total Cap'!$E$50:$O$556))</f>
        <v>12659.372090485918</v>
      </c>
      <c r="G55" s="42"/>
      <c r="H55" s="14"/>
      <c r="I55" s="14"/>
      <c r="J55" s="14"/>
      <c r="K55" s="14"/>
    </row>
    <row r="56" spans="1:11" x14ac:dyDescent="0.3">
      <c r="A56" s="3" t="str">
        <f t="shared" si="6"/>
        <v>Vivid_2</v>
      </c>
      <c r="B56" s="34">
        <f t="array" ref="B56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Cap'!$B$50:$B$556=$A56)*('W10. Power Total Cap'!$E$49:$O$49=B$52),'W10. Power Total Cap'!$E$50:$O$556))</f>
        <v>1151.128963064868</v>
      </c>
      <c r="C56" s="34">
        <f t="array" ref="C56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Cap'!$B$50:$B$556=$A56)*('W10. Power Total Cap'!$E$49:$O$49=C$52),'W10. Power Total Cap'!$E$50:$O$556))</f>
        <v>1802.3739978720303</v>
      </c>
      <c r="D56" s="34">
        <f t="array" ref="D56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Cap'!$B$50:$B$556=$A56)*('W10. Power Total Cap'!$E$49:$O$49=D$52),'W10. Power Total Cap'!$E$50:$O$556))</f>
        <v>3683.8770521036895</v>
      </c>
      <c r="E56" s="34">
        <f t="array" ref="E56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Cap'!$B$50:$B$556=$A56)*('W10. Power Total Cap'!$E$49:$O$49=E$52),'W10. Power Total Cap'!$E$50:$O$556))</f>
        <v>7986.1997387784322</v>
      </c>
      <c r="F56" s="34">
        <f t="array" ref="F56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Cap'!$B$50:$B$556=$A56)*('W10. Power Total Cap'!$E$49:$O$49=F$52),'W10. Power Total Cap'!$E$50:$O$556))</f>
        <v>12593.413650631945</v>
      </c>
      <c r="G56" s="42"/>
      <c r="H56" s="14"/>
      <c r="I56" s="14"/>
      <c r="J56" s="14"/>
      <c r="K56" s="14"/>
    </row>
    <row r="57" spans="1:11" x14ac:dyDescent="0.3">
      <c r="A57" s="3" t="str">
        <f t="shared" si="6"/>
        <v>Vivid_25</v>
      </c>
      <c r="B57" s="34">
        <f t="array" ref="B57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Cap'!$B$50:$B$556=$A57)*('W10. Power Total Cap'!$E$49:$O$49=B$52),'W10. Power Total Cap'!$E$50:$O$556))</f>
        <v>1151.128963064868</v>
      </c>
      <c r="C57" s="34">
        <f t="array" ref="C57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Cap'!$B$50:$B$556=$A57)*('W10. Power Total Cap'!$E$49:$O$49=C$52),'W10. Power Total Cap'!$E$50:$O$556))</f>
        <v>1802.3739978720303</v>
      </c>
      <c r="D57" s="34">
        <f t="array" ref="D57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Cap'!$B$50:$B$556=$A57)*('W10. Power Total Cap'!$E$49:$O$49=D$52),'W10. Power Total Cap'!$E$50:$O$556))</f>
        <v>4369.7881397254669</v>
      </c>
      <c r="E57" s="34">
        <f t="array" ref="E57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Cap'!$B$50:$B$556=$A57)*('W10. Power Total Cap'!$E$49:$O$49=E$52),'W10. Power Total Cap'!$E$50:$O$556))</f>
        <v>9199.9809900417458</v>
      </c>
      <c r="F57" s="34">
        <f t="array" ref="F57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Cap'!$B$50:$B$556=$A57)*('W10. Power Total Cap'!$E$49:$O$49=F$52),'W10. Power Total Cap'!$E$50:$O$556))</f>
        <v>13070.396372724867</v>
      </c>
      <c r="G57" s="42"/>
      <c r="H57" s="14"/>
      <c r="I57" s="14"/>
      <c r="J57" s="14"/>
      <c r="K57" s="14"/>
    </row>
    <row r="58" spans="1:11" x14ac:dyDescent="0.3">
      <c r="A58" s="3" t="str">
        <f t="shared" si="6"/>
        <v>Vivid_3</v>
      </c>
      <c r="B58" s="34">
        <f t="array" ref="B58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Cap'!$B$50:$B$556=$A58)*('W10. Power Total Cap'!$E$49:$O$49=B$52),'W10. Power Total Cap'!$E$50:$O$556))</f>
        <v>1151.128963064868</v>
      </c>
      <c r="C58" s="34">
        <f t="array" ref="C58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Cap'!$B$50:$B$556=$A58)*('W10. Power Total Cap'!$E$49:$O$49=C$52),'W10. Power Total Cap'!$E$50:$O$556))</f>
        <v>1802.3739978720303</v>
      </c>
      <c r="D58" s="34">
        <f t="array" ref="D58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Cap'!$B$50:$B$556=$A58)*('W10. Power Total Cap'!$E$49:$O$49=D$52),'W10. Power Total Cap'!$E$50:$O$556))</f>
        <v>4977.7089724668667</v>
      </c>
      <c r="E58" s="34">
        <f t="array" ref="E58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Cap'!$B$50:$B$556=$A58)*('W10. Power Total Cap'!$E$49:$O$49=E$52),'W10. Power Total Cap'!$E$50:$O$556))</f>
        <v>9907.8179775102162</v>
      </c>
      <c r="F58" s="34">
        <f t="array" ref="F58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Cap'!$B$50:$B$556=$A58)*('W10. Power Total Cap'!$E$49:$O$49=F$52),'W10. Power Total Cap'!$E$50:$O$556))</f>
        <v>13667.340446861617</v>
      </c>
      <c r="G58" s="42"/>
      <c r="H58" s="14"/>
      <c r="I58" s="14"/>
      <c r="J58" s="14"/>
      <c r="K58" s="14"/>
    </row>
    <row r="59" spans="1:11" x14ac:dyDescent="0.3">
      <c r="A59" s="3" t="str">
        <f t="shared" si="6"/>
        <v>Vivid_5v2</v>
      </c>
      <c r="B59" s="34">
        <f t="array" ref="B59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Cap'!$B$50:$B$556=$A59)*('W10. Power Total Cap'!$E$49:$O$49=B$52),'W10. Power Total Cap'!$E$50:$O$556))</f>
        <v>1151.128963064868</v>
      </c>
      <c r="C59" s="34">
        <f t="array" ref="C59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Cap'!$B$50:$B$556=$A59)*('W10. Power Total Cap'!$E$49:$O$49=C$52),'W10. Power Total Cap'!$E$50:$O$556))</f>
        <v>1802.3739978720303</v>
      </c>
      <c r="D59" s="34">
        <f t="array" ref="D59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Cap'!$B$50:$B$556=$A59)*('W10. Power Total Cap'!$E$49:$O$49=D$52),'W10. Power Total Cap'!$E$50:$O$556))</f>
        <v>3358.3976888710777</v>
      </c>
      <c r="E59" s="34">
        <f t="array" ref="E59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Cap'!$B$50:$B$556=$A59)*('W10. Power Total Cap'!$E$49:$O$49=E$52),'W10. Power Total Cap'!$E$50:$O$556))</f>
        <v>5408.7493223873407</v>
      </c>
      <c r="F59" s="34">
        <f t="array" ref="F59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Cap'!$B$50:$B$556=$A59)*('W10. Power Total Cap'!$E$49:$O$49=F$52),'W10. Power Total Cap'!$E$50:$O$556))</f>
        <v>6991.1255467972442</v>
      </c>
      <c r="G59" s="42"/>
      <c r="H59" s="14"/>
      <c r="I59" s="14"/>
      <c r="J59" s="14"/>
      <c r="K59" s="14"/>
    </row>
    <row r="60" spans="1:11" x14ac:dyDescent="0.3">
      <c r="A60" s="3" t="str">
        <f t="shared" si="6"/>
        <v>Vivid_7</v>
      </c>
      <c r="B60" s="34">
        <f t="array" ref="B60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Cap'!$B$50:$B$556=$A60)*('W10. Power Total Cap'!$E$49:$O$49=B$52),'W10. Power Total Cap'!$E$50:$O$556))</f>
        <v>1151.128963064868</v>
      </c>
      <c r="C60" s="34">
        <f t="array" ref="C60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Cap'!$B$50:$B$556=$A60)*('W10. Power Total Cap'!$E$49:$O$49=C$52),'W10. Power Total Cap'!$E$50:$O$556))</f>
        <v>1802.3739978720303</v>
      </c>
      <c r="D60" s="34">
        <f t="array" ref="D60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Cap'!$B$50:$B$556=$A60)*('W10. Power Total Cap'!$E$49:$O$49=D$52),'W10. Power Total Cap'!$E$50:$O$556))</f>
        <v>3858.6392660053207</v>
      </c>
      <c r="E60" s="34">
        <f t="array" ref="E60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Cap'!$B$50:$B$556=$A60)*('W10. Power Total Cap'!$E$49:$O$49=E$52),'W10. Power Total Cap'!$E$50:$O$556))</f>
        <v>8331.8322762496628</v>
      </c>
      <c r="F60" s="34">
        <f t="array" ref="F60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Cap'!$B$50:$B$556=$A60)*('W10. Power Total Cap'!$E$49:$O$49=F$52),'W10. Power Total Cap'!$E$50:$O$556))</f>
        <v>12801.215107382033</v>
      </c>
      <c r="G60" s="42"/>
      <c r="H60" s="14"/>
      <c r="I60" s="14"/>
      <c r="J60" s="14"/>
      <c r="K60" s="14"/>
    </row>
    <row r="61" spans="1:11" x14ac:dyDescent="0.3">
      <c r="A61" s="3" t="str">
        <f t="shared" si="6"/>
        <v>Vivid_9</v>
      </c>
      <c r="B61" s="34">
        <f t="array" ref="B61">SUM(IF((('W10. Power Total Cap'!$C$50:$C$556=B$43)+('W10. Power Total Cap'!$C$50:$C$556=B$44)+('W10. Power Total Cap'!$C$50:$C$556=B$45)+('W10. Power Total Cap'!$C$50:$C$556=B$46)+('W10. Power Total Cap'!$C$50:$C$556=B$47)+('W10. Power Total Cap'!$C$50:$C$556=B$48)+('W10. Power Total Cap'!$C$50:$C$556=B$49)+('W10. Power Total Cap'!$C$50:$C$556=B$50))*('W10. Power Total Cap'!$B$50:$B$556=$A61)*('W10. Power Total Cap'!$E$49:$O$49=B$52),'W10. Power Total Cap'!$E$50:$O$556))</f>
        <v>1151.128963064868</v>
      </c>
      <c r="C61" s="34">
        <f t="array" ref="C61">SUM(IF((('W10. Power Total Cap'!$C$50:$C$556=C$43)+('W10. Power Total Cap'!$C$50:$C$556=C$44)+('W10. Power Total Cap'!$C$50:$C$556=C$45)+('W10. Power Total Cap'!$C$50:$C$556=C$46)+('W10. Power Total Cap'!$C$50:$C$556=C$47)+('W10. Power Total Cap'!$C$50:$C$556=C$48)+('W10. Power Total Cap'!$C$50:$C$556=C$49)+('W10. Power Total Cap'!$C$50:$C$556=C$50))*('W10. Power Total Cap'!$B$50:$B$556=$A61)*('W10. Power Total Cap'!$E$49:$O$49=C$52),'W10. Power Total Cap'!$E$50:$O$556))</f>
        <v>1802.3739978720303</v>
      </c>
      <c r="D61" s="34">
        <f t="array" ref="D61">SUM(IF((('W10. Power Total Cap'!$C$50:$C$556=D$43)+('W10. Power Total Cap'!$C$50:$C$556=D$44)+('W10. Power Total Cap'!$C$50:$C$556=D$45)+('W10. Power Total Cap'!$C$50:$C$556=D$46)+('W10. Power Total Cap'!$C$50:$C$556=D$47)+('W10. Power Total Cap'!$C$50:$C$556=D$48)+('W10. Power Total Cap'!$C$50:$C$556=D$49)+('W10. Power Total Cap'!$C$50:$C$556=D$50))*('W10. Power Total Cap'!$B$50:$B$556=$A61)*('W10. Power Total Cap'!$E$49:$O$49=D$52),'W10. Power Total Cap'!$E$50:$O$556))</f>
        <v>3818.1330321551682</v>
      </c>
      <c r="E61" s="34">
        <f t="array" ref="E61">SUM(IF((('W10. Power Total Cap'!$C$50:$C$556=E$43)+('W10. Power Total Cap'!$C$50:$C$556=E$44)+('W10. Power Total Cap'!$C$50:$C$556=E$45)+('W10. Power Total Cap'!$C$50:$C$556=E$46)+('W10. Power Total Cap'!$C$50:$C$556=E$47)+('W10. Power Total Cap'!$C$50:$C$556=E$48)+('W10. Power Total Cap'!$C$50:$C$556=E$49)+('W10. Power Total Cap'!$C$50:$C$556=E$50))*('W10. Power Total Cap'!$B$50:$B$556=$A61)*('W10. Power Total Cap'!$E$49:$O$49=E$52),'W10. Power Total Cap'!$E$50:$O$556))</f>
        <v>7728.9202121205781</v>
      </c>
      <c r="F61" s="34">
        <f t="array" ref="F61">SUM(IF((('W10. Power Total Cap'!$C$50:$C$556=F$43)+('W10. Power Total Cap'!$C$50:$C$556=F$44)+('W10. Power Total Cap'!$C$50:$C$556=F$45)+('W10. Power Total Cap'!$C$50:$C$556=F$46)+('W10. Power Total Cap'!$C$50:$C$556=F$47)+('W10. Power Total Cap'!$C$50:$C$556=F$48)+('W10. Power Total Cap'!$C$50:$C$556=F$49)+('W10. Power Total Cap'!$C$50:$C$556=F$50))*('W10. Power Total Cap'!$B$50:$B$556=$A61)*('W10. Power Total Cap'!$E$49:$O$49=F$52),'W10. Power Total Cap'!$E$50:$O$556))</f>
        <v>11546.901528005281</v>
      </c>
      <c r="G61" s="42"/>
      <c r="H61" s="14"/>
      <c r="I61" s="14"/>
      <c r="J61" s="14"/>
      <c r="K61" s="14"/>
    </row>
    <row r="62" spans="1:11" ht="15" thickBot="1" x14ac:dyDescent="0.35"/>
    <row r="63" spans="1:11" s="25" customFormat="1" ht="15" thickBot="1" x14ac:dyDescent="0.35">
      <c r="A63" s="24" t="s">
        <v>377</v>
      </c>
    </row>
    <row r="65" spans="1:10" x14ac:dyDescent="0.3">
      <c r="C65" s="3" t="s">
        <v>256</v>
      </c>
      <c r="D65" s="3" t="s">
        <v>256</v>
      </c>
      <c r="E65" s="3" t="s">
        <v>256</v>
      </c>
      <c r="F65" s="3" t="s">
        <v>256</v>
      </c>
      <c r="G65" s="3" t="s">
        <v>256</v>
      </c>
      <c r="H65" s="3" t="s">
        <v>256</v>
      </c>
      <c r="I65" s="3" t="s">
        <v>256</v>
      </c>
      <c r="J65" s="3" t="s">
        <v>256</v>
      </c>
    </row>
    <row r="66" spans="1:10" x14ac:dyDescent="0.3">
      <c r="C66" s="3" t="s">
        <v>253</v>
      </c>
      <c r="D66" s="3" t="s">
        <v>253</v>
      </c>
      <c r="E66" s="3" t="s">
        <v>253</v>
      </c>
      <c r="F66" s="3" t="s">
        <v>253</v>
      </c>
      <c r="G66" s="3" t="s">
        <v>253</v>
      </c>
      <c r="H66" s="3" t="s">
        <v>253</v>
      </c>
      <c r="I66" s="3" t="s">
        <v>253</v>
      </c>
      <c r="J66" s="3" t="s">
        <v>253</v>
      </c>
    </row>
    <row r="67" spans="1:10" x14ac:dyDescent="0.3">
      <c r="C67" s="3" t="s">
        <v>259</v>
      </c>
      <c r="D67" s="3" t="s">
        <v>259</v>
      </c>
      <c r="E67" s="3" t="s">
        <v>259</v>
      </c>
      <c r="F67" s="3" t="s">
        <v>259</v>
      </c>
      <c r="G67" s="3" t="s">
        <v>259</v>
      </c>
      <c r="H67" s="3" t="s">
        <v>259</v>
      </c>
      <c r="I67" s="3" t="s">
        <v>259</v>
      </c>
      <c r="J67" s="3" t="s">
        <v>259</v>
      </c>
    </row>
    <row r="68" spans="1:10" x14ac:dyDescent="0.3">
      <c r="C68" s="3" t="s">
        <v>260</v>
      </c>
      <c r="D68" s="3" t="s">
        <v>260</v>
      </c>
      <c r="E68" s="3" t="s">
        <v>260</v>
      </c>
      <c r="F68" s="3" t="s">
        <v>260</v>
      </c>
      <c r="G68" s="3" t="s">
        <v>260</v>
      </c>
      <c r="H68" s="3" t="s">
        <v>260</v>
      </c>
      <c r="I68" s="3" t="s">
        <v>260</v>
      </c>
      <c r="J68" s="3" t="s">
        <v>260</v>
      </c>
    </row>
    <row r="69" spans="1:10" x14ac:dyDescent="0.3">
      <c r="C69" s="3" t="s">
        <v>258</v>
      </c>
      <c r="D69" s="3" t="s">
        <v>258</v>
      </c>
      <c r="E69" s="3" t="s">
        <v>258</v>
      </c>
      <c r="F69" s="3" t="s">
        <v>258</v>
      </c>
      <c r="G69" s="3" t="s">
        <v>258</v>
      </c>
      <c r="H69" s="3" t="s">
        <v>258</v>
      </c>
      <c r="I69" s="3" t="s">
        <v>258</v>
      </c>
      <c r="J69" s="3" t="s">
        <v>258</v>
      </c>
    </row>
    <row r="70" spans="1:10" x14ac:dyDescent="0.3">
      <c r="A70" s="3" t="s">
        <v>8</v>
      </c>
      <c r="B70" s="3" t="s">
        <v>430</v>
      </c>
      <c r="C70" s="3">
        <v>2014</v>
      </c>
      <c r="D70" s="3">
        <v>2015</v>
      </c>
      <c r="E70" s="3">
        <v>2016</v>
      </c>
      <c r="F70" s="3">
        <v>2017</v>
      </c>
      <c r="G70" s="3">
        <v>2020</v>
      </c>
      <c r="H70" s="3">
        <v>2030</v>
      </c>
      <c r="I70" s="3">
        <v>2040</v>
      </c>
      <c r="J70" s="3">
        <v>2050</v>
      </c>
    </row>
    <row r="71" spans="1:10" x14ac:dyDescent="0.3">
      <c r="A71" s="3" t="s">
        <v>368</v>
      </c>
      <c r="B71" s="3" t="s">
        <v>431</v>
      </c>
      <c r="C71" s="34" t="str">
        <f t="array" ref="C71">IF(SUM(IF(('W21. Total generation capacity'!$A$10:$A$90=$A71)*(('W21.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capacity'!$A$10:$A$90=$A71)*(('W21.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/>
      </c>
      <c r="D71" s="34" t="str">
        <f t="array" ref="D71">IF(SUM(IF(('W21. Total generation capacity'!$A$10:$A$90=$A71)*(('W21.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capacity'!$A$10:$A$90=$A71)*(('W21.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1" s="34">
        <f t="array" ref="E71">IF(SUM(IF(('W21. Total generation capacity'!$A$10:$A$90=$A71)*(('W21.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capacity'!$A$10:$A$90=$A71)*(('W21.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>2.1589999999999998</v>
      </c>
      <c r="F71" s="34">
        <f t="array" ref="F71">IF(SUM(IF(('W21. Total generation capacity'!$A$10:$A$90=$A71)*(('W21.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capacity'!$A$10:$A$90=$A71)*(('W21.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>2.3390000000000004</v>
      </c>
      <c r="G71" s="34">
        <f t="array" ref="G71">IF(SUM(IF(('W21. Total generation capacity'!$A$10:$A$90=$A71)*(('W21.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capacity'!$A$10:$A$90=$A71)*(('W21.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2.7983750000000001</v>
      </c>
      <c r="H71" s="34">
        <f t="array" ref="H71">IF(SUM(IF(('W21. Total generation capacity'!$A$10:$A$90=$A71)*(('W21.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capacity'!$A$10:$A$90=$A71)*(('W21.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4.1710000000000003</v>
      </c>
      <c r="I71" s="34">
        <f t="array" ref="I71">IF(SUM(IF(('W21. Total generation capacity'!$A$10:$A$90=$A71)*(('W21.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capacity'!$A$10:$A$90=$A71)*(('W21.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5.3939999999999992</v>
      </c>
      <c r="J71" s="34">
        <f t="array" ref="J71">IF(SUM(IF(('W21. Total generation capacity'!$A$10:$A$90=$A71)*(('W21.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capacity'!$A$10:$A$90=$A71)*(('W21.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6.6440000000000001</v>
      </c>
    </row>
    <row r="72" spans="1:10" x14ac:dyDescent="0.3">
      <c r="A72" s="3" t="s">
        <v>370</v>
      </c>
      <c r="B72" s="3" t="s">
        <v>431</v>
      </c>
      <c r="C72" s="34" t="str">
        <f t="array" ref="C72">IF(SUM(IF(('W21. Total generation capacity'!$A$10:$A$90=$A72)*(('W21.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capacity'!$A$10:$A$90=$A72)*(('W21.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/>
      </c>
      <c r="D72" s="34" t="str">
        <f t="array" ref="D72">IF(SUM(IF(('W21. Total generation capacity'!$A$10:$A$90=$A72)*(('W21.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capacity'!$A$10:$A$90=$A72)*(('W21.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2" s="34">
        <f t="array" ref="E72">IF(SUM(IF(('W21. Total generation capacity'!$A$10:$A$90=$A72)*(('W21.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capacity'!$A$10:$A$90=$A72)*(('W21.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>2.1589999999999998</v>
      </c>
      <c r="F72" s="34">
        <f t="array" ref="F72">IF(SUM(IF(('W21. Total generation capacity'!$A$10:$A$90=$A72)*(('W21.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capacity'!$A$10:$A$90=$A72)*(('W21.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>2.3390000000000004</v>
      </c>
      <c r="G72" s="34">
        <f t="array" ref="G72">IF(SUM(IF(('W21. Total generation capacity'!$A$10:$A$90=$A72)*(('W21.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capacity'!$A$10:$A$90=$A72)*(('W21.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2.8658750000000004</v>
      </c>
      <c r="H72" s="34">
        <f t="array" ref="H72">IF(SUM(IF(('W21. Total generation capacity'!$A$10:$A$90=$A72)*(('W21.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capacity'!$A$10:$A$90=$A72)*(('W21.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4.718</v>
      </c>
      <c r="I72" s="34">
        <f t="array" ref="I72">IF(SUM(IF(('W21. Total generation capacity'!$A$10:$A$90=$A72)*(('W21.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capacity'!$A$10:$A$90=$A72)*(('W21.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6.5039999999999996</v>
      </c>
      <c r="J72" s="34">
        <f t="array" ref="J72">IF(SUM(IF(('W21. Total generation capacity'!$A$10:$A$90=$A72)*(('W21.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capacity'!$A$10:$A$90=$A72)*(('W21.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8.3119999999999994</v>
      </c>
    </row>
    <row r="73" spans="1:10" x14ac:dyDescent="0.3">
      <c r="A73" s="3" t="s">
        <v>372</v>
      </c>
      <c r="B73" s="3" t="s">
        <v>431</v>
      </c>
      <c r="C73" s="34" t="str">
        <f t="array" ref="C73">IF(SUM(IF(('W21. Total generation capacity'!$A$10:$A$90=$A73)*(('W21.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capacity'!$A$10:$A$90=$A73)*(('W21.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/>
      </c>
      <c r="D73" s="34" t="str">
        <f t="array" ref="D73">IF(SUM(IF(('W21. Total generation capacity'!$A$10:$A$90=$A73)*(('W21.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capacity'!$A$10:$A$90=$A73)*(('W21.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3" s="34">
        <f t="array" ref="E73">IF(SUM(IF(('W21. Total generation capacity'!$A$10:$A$90=$A73)*(('W21.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capacity'!$A$10:$A$90=$A73)*(('W21.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>2.1589999999999998</v>
      </c>
      <c r="F73" s="34">
        <f t="array" ref="F73">IF(SUM(IF(('W21. Total generation capacity'!$A$10:$A$90=$A73)*(('W21.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capacity'!$A$10:$A$90=$A73)*(('W21.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>2.3390000000000004</v>
      </c>
      <c r="G73" s="34">
        <f t="array" ref="G73">IF(SUM(IF(('W21. Total generation capacity'!$A$10:$A$90=$A73)*(('W21.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capacity'!$A$10:$A$90=$A73)*(('W21.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3.1066249999999997</v>
      </c>
      <c r="H73" s="34">
        <f t="array" ref="H73">IF(SUM(IF(('W21. Total generation capacity'!$A$10:$A$90=$A73)*(('W21.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capacity'!$A$10:$A$90=$A73)*(('W21.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6.173</v>
      </c>
      <c r="I73" s="34">
        <f t="array" ref="I73">IF(SUM(IF(('W21. Total generation capacity'!$A$10:$A$90=$A73)*(('W21.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capacity'!$A$10:$A$90=$A73)*(('W21.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9.9139999999999979</v>
      </c>
      <c r="J73" s="34">
        <f t="array" ref="J73">IF(SUM(IF(('W21. Total generation capacity'!$A$10:$A$90=$A73)*(('W21.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capacity'!$A$10:$A$90=$A73)*(('W21.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13.586</v>
      </c>
    </row>
    <row r="74" spans="1:10" x14ac:dyDescent="0.3">
      <c r="A74" s="3" t="s">
        <v>378</v>
      </c>
      <c r="B74" s="3" t="s">
        <v>431</v>
      </c>
      <c r="C74" s="34">
        <f t="array" ref="C74">IF(SUM(IF(('W21. Total generation capacity'!$A$10:$A$90=$A74)*(('W21.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capacity'!$A$10:$A$90=$A74)*(('W21.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1.8337177999999998</v>
      </c>
      <c r="D74" s="34" t="str">
        <f t="array" ref="D74">IF(SUM(IF(('W21. Total generation capacity'!$A$10:$A$90=$A74)*(('W21.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capacity'!$A$10:$A$90=$A74)*(('W21.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4" s="34" t="str">
        <f t="array" ref="E74">IF(SUM(IF(('W21. Total generation capacity'!$A$10:$A$90=$A74)*(('W21.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capacity'!$A$10:$A$90=$A74)*(('W21.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4" s="34" t="str">
        <f t="array" ref="F74">IF(SUM(IF(('W21. Total generation capacity'!$A$10:$A$90=$A74)*(('W21.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capacity'!$A$10:$A$90=$A74)*(('W21.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4" s="34">
        <f t="array" ref="G74">IF(SUM(IF(('W21. Total generation capacity'!$A$10:$A$90=$A74)*(('W21.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capacity'!$A$10:$A$90=$A74)*(('W21.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2.5489078000000003</v>
      </c>
      <c r="H74" s="34">
        <f t="array" ref="H74">IF(SUM(IF(('W21. Total generation capacity'!$A$10:$A$90=$A74)*(('W21.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capacity'!$A$10:$A$90=$A74)*(('W21.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3.4541157</v>
      </c>
      <c r="I74" s="34">
        <f t="array" ref="I74">IF(SUM(IF(('W21. Total generation capacity'!$A$10:$A$90=$A74)*(('W21.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capacity'!$A$10:$A$90=$A74)*(('W21.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4.3034773999999993</v>
      </c>
      <c r="J74" s="34">
        <f t="array" ref="J74">IF(SUM(IF(('W21. Total generation capacity'!$A$10:$A$90=$A74)*(('W21.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capacity'!$A$10:$A$90=$A74)*(('W21.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5.1528391000000004</v>
      </c>
    </row>
    <row r="75" spans="1:10" x14ac:dyDescent="0.3">
      <c r="A75" s="3" t="s">
        <v>379</v>
      </c>
      <c r="B75" s="3" t="s">
        <v>431</v>
      </c>
      <c r="C75" s="34">
        <f t="array" ref="C75">IF(SUM(IF(('W21. Total generation capacity'!$A$10:$A$90=$A75)*(('W21.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capacity'!$A$10:$A$90=$A75)*(('W21.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1.8337177999999998</v>
      </c>
      <c r="D75" s="34" t="str">
        <f t="array" ref="D75">IF(SUM(IF(('W21. Total generation capacity'!$A$10:$A$90=$A75)*(('W21.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capacity'!$A$10:$A$90=$A75)*(('W21.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5" s="34" t="str">
        <f t="array" ref="E75">IF(SUM(IF(('W21. Total generation capacity'!$A$10:$A$90=$A75)*(('W21.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capacity'!$A$10:$A$90=$A75)*(('W21.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5" s="34" t="str">
        <f t="array" ref="F75">IF(SUM(IF(('W21. Total generation capacity'!$A$10:$A$90=$A75)*(('W21.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capacity'!$A$10:$A$90=$A75)*(('W21.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5" s="34">
        <f t="array" ref="G75">IF(SUM(IF(('W21. Total generation capacity'!$A$10:$A$90=$A75)*(('W21.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capacity'!$A$10:$A$90=$A75)*(('W21.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2.6656024000000005</v>
      </c>
      <c r="H75" s="34">
        <f t="array" ref="H75">IF(SUM(IF(('W21. Total generation capacity'!$A$10:$A$90=$A75)*(('W21.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capacity'!$A$10:$A$90=$A75)*(('W21.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3.9564696000000006</v>
      </c>
      <c r="I75" s="34">
        <f t="array" ref="I75">IF(SUM(IF(('W21. Total generation capacity'!$A$10:$A$90=$A75)*(('W21.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capacity'!$A$10:$A$90=$A75)*(('W21.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5.1677428000000001</v>
      </c>
      <c r="J75" s="34">
        <f t="array" ref="J75">IF(SUM(IF(('W21. Total generation capacity'!$A$10:$A$90=$A75)*(('W21.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capacity'!$A$10:$A$90=$A75)*(('W21.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6.3395813999999904</v>
      </c>
    </row>
    <row r="76" spans="1:10" x14ac:dyDescent="0.3">
      <c r="A76" s="3" t="s">
        <v>380</v>
      </c>
      <c r="B76" s="3" t="s">
        <v>431</v>
      </c>
      <c r="C76" s="34">
        <f t="array" ref="C76">IF(SUM(IF(('W21. Total generation capacity'!$A$10:$A$90=$A76)*(('W21.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capacity'!$A$10:$A$90=$A76)*(('W21.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1.8337177999999998</v>
      </c>
      <c r="D76" s="34" t="str">
        <f t="array" ref="D76">IF(SUM(IF(('W21. Total generation capacity'!$A$10:$A$90=$A76)*(('W21.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capacity'!$A$10:$A$90=$A76)*(('W21.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6" s="34" t="str">
        <f t="array" ref="E76">IF(SUM(IF(('W21. Total generation capacity'!$A$10:$A$90=$A76)*(('W21.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capacity'!$A$10:$A$90=$A76)*(('W21.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6" s="34" t="str">
        <f t="array" ref="F76">IF(SUM(IF(('W21. Total generation capacity'!$A$10:$A$90=$A76)*(('W21.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capacity'!$A$10:$A$90=$A76)*(('W21.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6" s="34">
        <f t="array" ref="G76">IF(SUM(IF(('W21. Total generation capacity'!$A$10:$A$90=$A76)*(('W21.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capacity'!$A$10:$A$90=$A76)*(('W21.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2.7487559999999998</v>
      </c>
      <c r="H76" s="34">
        <f t="array" ref="H76">IF(SUM(IF(('W21. Total generation capacity'!$A$10:$A$90=$A76)*(('W21.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capacity'!$A$10:$A$90=$A76)*(('W21.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4.9548577999999992</v>
      </c>
      <c r="I76" s="34">
        <f t="array" ref="I76">IF(SUM(IF(('W21. Total generation capacity'!$A$10:$A$90=$A76)*(('W21.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capacity'!$A$10:$A$90=$A76)*(('W21.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7.2914165999999998</v>
      </c>
      <c r="J76" s="34">
        <f t="array" ref="J76">IF(SUM(IF(('W21. Total generation capacity'!$A$10:$A$90=$A76)*(('W21.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capacity'!$A$10:$A$90=$A76)*(('W21.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9.6279754000000004</v>
      </c>
    </row>
    <row r="77" spans="1:10" x14ac:dyDescent="0.3">
      <c r="A77" s="3" t="s">
        <v>381</v>
      </c>
      <c r="B77" s="3" t="s">
        <v>431</v>
      </c>
      <c r="C77" s="34">
        <f t="array" ref="C77">IF(SUM(IF(('W21. Total generation capacity'!$A$10:$A$90=$A77)*(('W21.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capacity'!$A$10:$A$90=$A77)*(('W21.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1.72276918568919</v>
      </c>
      <c r="D77" s="34" t="str">
        <f t="array" ref="D77">IF(SUM(IF(('W21. Total generation capacity'!$A$10:$A$90=$A77)*(('W21.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capacity'!$A$10:$A$90=$A77)*(('W21.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7" s="34" t="str">
        <f t="array" ref="E77">IF(SUM(IF(('W21. Total generation capacity'!$A$10:$A$90=$A77)*(('W21.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capacity'!$A$10:$A$90=$A77)*(('W21.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7" s="34" t="str">
        <f t="array" ref="F77">IF(SUM(IF(('W21. Total generation capacity'!$A$10:$A$90=$A77)*(('W21.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capacity'!$A$10:$A$90=$A77)*(('W21.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7" s="34">
        <f t="array" ref="G77">IF(SUM(IF(('W21. Total generation capacity'!$A$10:$A$90=$A77)*(('W21.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capacity'!$A$10:$A$90=$A77)*(('W21.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2.6331823239861083</v>
      </c>
      <c r="H77" s="34">
        <f t="array" ref="H77">IF(SUM(IF(('W21. Total generation capacity'!$A$10:$A$90=$A77)*(('W21.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capacity'!$A$10:$A$90=$A77)*(('W21.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4.1839892420016298</v>
      </c>
      <c r="I77" s="34">
        <f t="array" ref="I77">IF(SUM(IF(('W21. Total generation capacity'!$A$10:$A$90=$A77)*(('W21.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capacity'!$A$10:$A$90=$A77)*(('W21.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5.6647265628624606</v>
      </c>
      <c r="J77" s="34">
        <f t="array" ref="J77">IF(SUM(IF(('W21. Total generation capacity'!$A$10:$A$90=$A77)*(('W21.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capacity'!$A$10:$A$90=$A77)*(('W21.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7.3278309511853132</v>
      </c>
    </row>
    <row r="78" spans="1:10" x14ac:dyDescent="0.3">
      <c r="A78" s="3" t="s">
        <v>382</v>
      </c>
      <c r="B78" s="3" t="s">
        <v>431</v>
      </c>
      <c r="C78" s="34">
        <f t="array" ref="C78">IF(SUM(IF(('W21. Total generation capacity'!$A$10:$A$90=$A78)*(('W21.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capacity'!$A$10:$A$90=$A78)*(('W21.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1.72276918568919</v>
      </c>
      <c r="D78" s="34" t="str">
        <f t="array" ref="D78">IF(SUM(IF(('W21. Total generation capacity'!$A$10:$A$90=$A78)*(('W21.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capacity'!$A$10:$A$90=$A78)*(('W21.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8" s="34" t="str">
        <f t="array" ref="E78">IF(SUM(IF(('W21. Total generation capacity'!$A$10:$A$90=$A78)*(('W21.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capacity'!$A$10:$A$90=$A78)*(('W21.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8" s="34" t="str">
        <f t="array" ref="F78">IF(SUM(IF(('W21. Total generation capacity'!$A$10:$A$90=$A78)*(('W21.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capacity'!$A$10:$A$90=$A78)*(('W21.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8" s="34">
        <f t="array" ref="G78">IF(SUM(IF(('W21. Total generation capacity'!$A$10:$A$90=$A78)*(('W21.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capacity'!$A$10:$A$90=$A78)*(('W21.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2.8886280864391538</v>
      </c>
      <c r="H78" s="34">
        <f t="array" ref="H78">IF(SUM(IF(('W21. Total generation capacity'!$A$10:$A$90=$A78)*(('W21.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capacity'!$A$10:$A$90=$A78)*(('W21.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5.3185387843830423</v>
      </c>
      <c r="I78" s="34">
        <f t="array" ref="I78">IF(SUM(IF(('W21. Total generation capacity'!$A$10:$A$90=$A78)*(('W21.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capacity'!$A$10:$A$90=$A78)*(('W21.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7.9372725412913603</v>
      </c>
      <c r="J78" s="34">
        <f t="array" ref="J78">IF(SUM(IF(('W21. Total generation capacity'!$A$10:$A$90=$A78)*(('W21.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capacity'!$A$10:$A$90=$A78)*(('W21.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11.176655389314339</v>
      </c>
    </row>
    <row r="79" spans="1:10" x14ac:dyDescent="0.3">
      <c r="A79" s="3" t="s">
        <v>383</v>
      </c>
      <c r="B79" s="3" t="s">
        <v>431</v>
      </c>
      <c r="C79" s="34">
        <f t="array" ref="C79">IF(SUM(IF(('W21. Total generation capacity'!$A$10:$A$90=$A79)*(('W21.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capacity'!$E$10:$Q$90))=0,"",SUM(IF(('W21. Total generation capacity'!$A$10:$A$90=$A79)*(('W21. Total generation capacity'!$C$10:$C$90=C$65)+('W21. Total generation capacity'!$C$10:$C$90=C$66)+('W21. Total generation capacity'!$C$10:$C$90=C$67)+('W21. Total generation capacity'!$C$10:$C$90=C$68)+('W21. Total generation capacity'!$C$10:$C$90=C$69))*('W21. Total generation capacity'!$E$9:$Q$9=C$70),'W21. Total generation capacity'!$E$10:$Q$90)))</f>
        <v>1.72276918568919</v>
      </c>
      <c r="D79" s="34" t="str">
        <f t="array" ref="D79">IF(SUM(IF(('W21. Total generation capacity'!$A$10:$A$90=$A79)*(('W21.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capacity'!$E$10:$Q$90))=0,"",SUM(IF(('W21. Total generation capacity'!$A$10:$A$90=$A79)*(('W21. Total generation capacity'!$C$10:$C$90=D$65)+('W21. Total generation capacity'!$C$10:$C$90=D$66)+('W21. Total generation capacity'!$C$10:$C$90=D$67)+('W21. Total generation capacity'!$C$10:$C$90=D$68)+('W21. Total generation capacity'!$C$10:$C$90=D$69))*('W21. Total generation capacity'!$E$9:$Q$9=D$70),'W21. Total generation capacity'!$E$10:$Q$90)))</f>
        <v/>
      </c>
      <c r="E79" s="34" t="str">
        <f t="array" ref="E79">IF(SUM(IF(('W21. Total generation capacity'!$A$10:$A$90=$A79)*(('W21.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capacity'!$E$10:$Q$90))=0,"",SUM(IF(('W21. Total generation capacity'!$A$10:$A$90=$A79)*(('W21. Total generation capacity'!$C$10:$C$90=E$65)+('W21. Total generation capacity'!$C$10:$C$90=E$66)+('W21. Total generation capacity'!$C$10:$C$90=E$67)+('W21. Total generation capacity'!$C$10:$C$90=E$68)+('W21. Total generation capacity'!$C$10:$C$90=E$69))*('W21. Total generation capacity'!$E$9:$Q$9=E$70),'W21. Total generation capacity'!$E$10:$Q$90)))</f>
        <v/>
      </c>
      <c r="F79" s="34" t="str">
        <f t="array" ref="F79">IF(SUM(IF(('W21. Total generation capacity'!$A$10:$A$90=$A79)*(('W21.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capacity'!$E$10:$Q$90))=0,"",SUM(IF(('W21. Total generation capacity'!$A$10:$A$90=$A79)*(('W21. Total generation capacity'!$C$10:$C$90=F$65)+('W21. Total generation capacity'!$C$10:$C$90=F$66)+('W21. Total generation capacity'!$C$10:$C$90=F$67)+('W21. Total generation capacity'!$C$10:$C$90=F$68)+('W21. Total generation capacity'!$C$10:$C$90=F$69))*('W21. Total generation capacity'!$E$9:$Q$9=F$70),'W21. Total generation capacity'!$E$10:$Q$90)))</f>
        <v/>
      </c>
      <c r="G79" s="34">
        <f t="array" ref="G79">IF(SUM(IF(('W21. Total generation capacity'!$A$10:$A$90=$A79)*(('W21.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capacity'!$E$10:$Q$90))=0,"",SUM(IF(('W21. Total generation capacity'!$A$10:$A$90=$A79)*(('W21. Total generation capacity'!$C$10:$C$90=G$65)+('W21. Total generation capacity'!$C$10:$C$90=G$66)+('W21. Total generation capacity'!$C$10:$C$90=G$67)+('W21. Total generation capacity'!$C$10:$C$90=G$68)+('W21. Total generation capacity'!$C$10:$C$90=G$69))*('W21. Total generation capacity'!$E$9:$Q$9=G$70),'W21. Total generation capacity'!$E$10:$Q$90)))</f>
        <v>2.8880151136304204</v>
      </c>
      <c r="H79" s="34">
        <f t="array" ref="H79">IF(SUM(IF(('W21. Total generation capacity'!$A$10:$A$90=$A79)*(('W21.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capacity'!$E$10:$Q$90))=0,"",SUM(IF(('W21. Total generation capacity'!$A$10:$A$90=$A79)*(('W21. Total generation capacity'!$C$10:$C$90=H$65)+('W21. Total generation capacity'!$C$10:$C$90=H$66)+('W21. Total generation capacity'!$C$10:$C$90=H$67)+('W21. Total generation capacity'!$C$10:$C$90=H$68)+('W21. Total generation capacity'!$C$10:$C$90=H$69))*('W21. Total generation capacity'!$E$9:$Q$9=H$70),'W21. Total generation capacity'!$E$10:$Q$90)))</f>
        <v>5.1901825823632333</v>
      </c>
      <c r="I79" s="34">
        <f t="array" ref="I79">IF(SUM(IF(('W21. Total generation capacity'!$A$10:$A$90=$A79)*(('W21.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capacity'!$E$10:$Q$90))=0,"",SUM(IF(('W21. Total generation capacity'!$A$10:$A$90=$A79)*(('W21. Total generation capacity'!$C$10:$C$90=I$65)+('W21. Total generation capacity'!$C$10:$C$90=I$66)+('W21. Total generation capacity'!$C$10:$C$90=I$67)+('W21. Total generation capacity'!$C$10:$C$90=I$68)+('W21. Total generation capacity'!$C$10:$C$90=I$69))*('W21. Total generation capacity'!$E$9:$Q$9=I$70),'W21. Total generation capacity'!$E$10:$Q$90)))</f>
        <v>8.5371771706287234</v>
      </c>
      <c r="J79" s="34">
        <f t="array" ref="J79">IF(SUM(IF(('W21. Total generation capacity'!$A$10:$A$90=$A79)*(('W21.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capacity'!$E$10:$Q$90))=0,"",SUM(IF(('W21. Total generation capacity'!$A$10:$A$90=$A79)*(('W21. Total generation capacity'!$C$10:$C$90=J$65)+('W21. Total generation capacity'!$C$10:$C$90=J$66)+('W21. Total generation capacity'!$C$10:$C$90=J$67)+('W21. Total generation capacity'!$C$10:$C$90=J$68)+('W21. Total generation capacity'!$C$10:$C$90=J$69))*('W21. Total generation capacity'!$E$9:$Q$9=J$70),'W21. Total generation capacity'!$E$10:$Q$90)))</f>
        <v>12.645638182781438</v>
      </c>
    </row>
  </sheetData>
  <conditionalFormatting sqref="A1:XFD18 A20:XFD1048576 B19:XFD19">
    <cfRule type="expression" dxfId="195" priority="2">
      <formula>_xlfn.ISFORMULA(A1)</formula>
    </cfRule>
  </conditionalFormatting>
  <conditionalFormatting sqref="A19">
    <cfRule type="expression" dxfId="194" priority="1">
      <formula>_xlfn.ISFORMULA(A19)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91721-8961-4978-840B-C9616BEB92BF}">
  <sheetPr>
    <tabColor theme="4" tint="0.499984740745262"/>
    <pageSetUpPr autoPageBreaks="0"/>
  </sheetPr>
  <dimension ref="A1:AM67"/>
  <sheetViews>
    <sheetView zoomScale="55" zoomScaleNormal="55" workbookViewId="0">
      <selection activeCell="A32" sqref="A32"/>
    </sheetView>
  </sheetViews>
  <sheetFormatPr defaultColWidth="8.5546875" defaultRowHeight="14.4" x14ac:dyDescent="0.3"/>
  <cols>
    <col min="1" max="45" width="15.77734375" style="3" customWidth="1"/>
    <col min="46" max="16384" width="8.5546875" style="3"/>
  </cols>
  <sheetData>
    <row r="1" spans="1:39" s="19" customFormat="1" ht="49.5" customHeight="1" x14ac:dyDescent="0.3">
      <c r="A1" s="19" t="s">
        <v>1009</v>
      </c>
    </row>
    <row r="2" spans="1:39" s="20" customFormat="1" x14ac:dyDescent="0.3">
      <c r="A2" s="20" t="s">
        <v>5</v>
      </c>
      <c r="B2" s="20" t="s">
        <v>432</v>
      </c>
    </row>
    <row r="3" spans="1:39" s="20" customFormat="1" x14ac:dyDescent="0.3">
      <c r="A3" s="20" t="s">
        <v>6</v>
      </c>
      <c r="B3" s="20" t="s">
        <v>433</v>
      </c>
    </row>
    <row r="4" spans="1:39" s="20" customFormat="1" x14ac:dyDescent="0.3">
      <c r="A4" s="20" t="s">
        <v>4</v>
      </c>
      <c r="B4" s="20" t="s">
        <v>434</v>
      </c>
      <c r="O4" s="21"/>
      <c r="P4" s="22"/>
    </row>
    <row r="5" spans="1:39" s="20" customFormat="1" x14ac:dyDescent="0.3">
      <c r="A5" s="20" t="s">
        <v>351</v>
      </c>
      <c r="B5" s="23">
        <f>1/($H$5/10^3)</f>
        <v>4.863430350138831E-2</v>
      </c>
      <c r="C5" s="20" t="s">
        <v>435</v>
      </c>
      <c r="E5" s="20" t="s">
        <v>436</v>
      </c>
      <c r="H5" s="772">
        <f>(SUM('W19. Transport total capacity'!B39:B44)*10^9)/($I$5*1000)</f>
        <v>20561.618610852609</v>
      </c>
      <c r="I5" s="775">
        <f>834915.648606667</f>
        <v>834915.64860666695</v>
      </c>
      <c r="O5" s="21"/>
      <c r="P5" s="22"/>
    </row>
    <row r="6" spans="1:39" s="20" customFormat="1" x14ac:dyDescent="0.3">
      <c r="A6" s="20" t="s">
        <v>355</v>
      </c>
      <c r="B6" s="23" t="s">
        <v>356</v>
      </c>
      <c r="O6" s="21"/>
      <c r="P6" s="22"/>
    </row>
    <row r="7" spans="1:39" s="20" customFormat="1" x14ac:dyDescent="0.3">
      <c r="B7" s="23" t="s">
        <v>428</v>
      </c>
      <c r="O7" s="21"/>
      <c r="P7" s="22"/>
    </row>
    <row r="8" spans="1:39" ht="15" thickBot="1" x14ac:dyDescent="0.35"/>
    <row r="9" spans="1:39" s="25" customFormat="1" ht="15" thickBot="1" x14ac:dyDescent="0.35">
      <c r="A9" s="24" t="s">
        <v>358</v>
      </c>
    </row>
    <row r="10" spans="1:39" x14ac:dyDescent="0.3">
      <c r="E10" s="26"/>
      <c r="F10" s="27"/>
      <c r="G10" s="27"/>
      <c r="H10" s="27"/>
      <c r="I10" s="27"/>
      <c r="J10" s="27"/>
    </row>
    <row r="11" spans="1:39" x14ac:dyDescent="0.3">
      <c r="A11" s="3" t="s">
        <v>8</v>
      </c>
      <c r="B11" s="3" t="s">
        <v>86</v>
      </c>
      <c r="C11" s="3" t="s">
        <v>8</v>
      </c>
      <c r="D11" s="3">
        <v>2017</v>
      </c>
      <c r="E11" s="3">
        <v>2020</v>
      </c>
      <c r="F11" s="28">
        <v>2030</v>
      </c>
      <c r="G11" s="3">
        <v>2040</v>
      </c>
      <c r="H11" s="3">
        <v>2050</v>
      </c>
      <c r="U11" s="3">
        <v>2017</v>
      </c>
      <c r="V11" s="786">
        <v>2030</v>
      </c>
      <c r="W11" s="786"/>
      <c r="X11" s="786"/>
      <c r="Y11" s="786"/>
      <c r="Z11" s="786"/>
      <c r="AA11" s="786"/>
      <c r="AB11" s="786"/>
      <c r="AC11" s="786"/>
      <c r="AD11" s="786"/>
      <c r="AE11" s="786">
        <v>2050</v>
      </c>
      <c r="AF11" s="786"/>
      <c r="AG11" s="786"/>
      <c r="AH11" s="786"/>
      <c r="AI11" s="786"/>
      <c r="AJ11" s="786"/>
      <c r="AK11" s="786"/>
      <c r="AL11" s="786"/>
      <c r="AM11" s="786"/>
    </row>
    <row r="12" spans="1:39" ht="14.4" customHeight="1" x14ac:dyDescent="0.3">
      <c r="A12" s="3" t="s">
        <v>437</v>
      </c>
      <c r="E12" s="14">
        <f>INDEX($D$62:$J$67,MATCH("EVO 2017 2DS",$A$62:$A$67,0),MATCH(E$11,$D$61:$J$61,0))/INDEX($Q$49:$U$57,MATCH("Vivid_1",$A$49:$A$57,0),MATCH(E$11,$Q$48:$U$48,0))</f>
        <v>8.4486181788628105</v>
      </c>
      <c r="F12" s="14">
        <f>INDEX($D$62:$J$67,MATCH("EVO 2017 2DS",$A$62:$A$67,0),MATCH(F$11,$D$61:$J$61,0))/INDEX($Q$49:$U$57,MATCH("Vivid_1",$A$49:$A$57,0),MATCH(F$11,$Q$48:$U$48,0))</f>
        <v>0.90166938705670552</v>
      </c>
      <c r="G12" s="14">
        <f>INDEX($D$62:$J$67,MATCH("EVO 2017 2DS",$A$62:$A$67,0),MATCH(G$11,$D$61:$J$61,0))/INDEX($Q$49:$U$57,MATCH("Vivid_1",$A$49:$A$57,0),MATCH(G$11,$Q$48:$U$48,0))</f>
        <v>0.77048126582558074</v>
      </c>
      <c r="H12" s="14">
        <f>INDEX($D$62:$J$67,MATCH("EVO 2017 2DS",$A$62:$A$67,0),MATCH(H$11,$D$61:$J$61,0))/INDEX($Q$49:$U$57,MATCH("Vivid_1",$A$49:$A$57,0),MATCH(H$11,$Q$48:$U$48,0))</f>
        <v>0.57006645448719739</v>
      </c>
      <c r="U12" s="3" t="s">
        <v>440</v>
      </c>
      <c r="V12" s="3" t="s">
        <v>440</v>
      </c>
      <c r="W12" s="46" t="s">
        <v>443</v>
      </c>
      <c r="X12" s="3" t="s">
        <v>361</v>
      </c>
      <c r="Y12" s="3" t="s">
        <v>362</v>
      </c>
      <c r="Z12" s="3" t="s">
        <v>363</v>
      </c>
      <c r="AA12" s="3" t="s">
        <v>364</v>
      </c>
      <c r="AB12" s="3" t="s">
        <v>365</v>
      </c>
      <c r="AC12" s="3" t="s">
        <v>366</v>
      </c>
      <c r="AD12" s="3" t="s">
        <v>367</v>
      </c>
      <c r="AE12" s="3" t="s">
        <v>440</v>
      </c>
      <c r="AF12" s="46" t="s">
        <v>443</v>
      </c>
      <c r="AG12" s="3" t="s">
        <v>361</v>
      </c>
      <c r="AH12" s="3" t="s">
        <v>362</v>
      </c>
      <c r="AI12" s="3" t="s">
        <v>363</v>
      </c>
      <c r="AJ12" s="3" t="s">
        <v>364</v>
      </c>
      <c r="AK12" s="3" t="s">
        <v>365</v>
      </c>
      <c r="AL12" s="3" t="s">
        <v>366</v>
      </c>
      <c r="AM12" s="3" t="s">
        <v>367</v>
      </c>
    </row>
    <row r="13" spans="1:39" x14ac:dyDescent="0.3">
      <c r="A13" s="29" t="s">
        <v>13</v>
      </c>
      <c r="B13" s="29" t="str">
        <f>INDEX('R1. Scenario specifications'!$C$11:$C$60,MATCH($A13,'R1. Scenario specifications'!$A$11:$A$60,0))</f>
        <v>Vivid BAU - WEO Current Policies Scenario emissions pathway run through TIAM</v>
      </c>
      <c r="C13" s="29" t="s">
        <v>359</v>
      </c>
      <c r="D13" s="30"/>
      <c r="E13" s="30">
        <f>E$23</f>
        <v>19.8361516009697</v>
      </c>
      <c r="F13" s="30">
        <f t="shared" ref="F13:H14" si="0">INDEX($Q$49:$U$57,MATCH($A13,$A$49:$A$57,0),MATCH(F$11,$Q$48:$U$48,0))*F$12</f>
        <v>157.65419696142564</v>
      </c>
      <c r="G13" s="30">
        <f t="shared" si="0"/>
        <v>224.84939893264212</v>
      </c>
      <c r="H13" s="30">
        <f t="shared" si="0"/>
        <v>354.93551052586298</v>
      </c>
      <c r="T13" s="3" t="s">
        <v>346</v>
      </c>
      <c r="U13" s="3">
        <v>2017</v>
      </c>
      <c r="V13" s="3">
        <v>2030</v>
      </c>
      <c r="W13" s="3">
        <v>2030</v>
      </c>
      <c r="X13" s="3">
        <v>2030</v>
      </c>
      <c r="Y13" s="3">
        <v>2030</v>
      </c>
      <c r="Z13" s="3">
        <v>2030</v>
      </c>
      <c r="AA13" s="3">
        <v>2030</v>
      </c>
      <c r="AB13" s="3">
        <v>2030</v>
      </c>
      <c r="AC13" s="3">
        <v>2030</v>
      </c>
      <c r="AD13" s="3">
        <v>2030</v>
      </c>
      <c r="AE13" s="3">
        <v>2050</v>
      </c>
      <c r="AF13" s="3">
        <v>2050</v>
      </c>
      <c r="AG13" s="3">
        <v>2050</v>
      </c>
      <c r="AH13" s="3">
        <v>2050</v>
      </c>
      <c r="AI13" s="3">
        <v>2050</v>
      </c>
      <c r="AJ13" s="3">
        <v>2050</v>
      </c>
      <c r="AK13" s="3">
        <v>2050</v>
      </c>
      <c r="AL13" s="3">
        <v>2050</v>
      </c>
      <c r="AM13" s="3">
        <v>2050</v>
      </c>
    </row>
    <row r="14" spans="1:39" x14ac:dyDescent="0.3">
      <c r="A14" s="29" t="s">
        <v>14</v>
      </c>
      <c r="B14" s="29" t="str">
        <f>INDEX('R1. Scenario specifications'!$C$11:$C$60,MATCH($A14,'R1. Scenario specifications'!$A$11:$A$60,0))</f>
        <v>Vivid Paris NDCs - WEO New Policies Scenario emissions pathway run through TIAM</v>
      </c>
      <c r="C14" s="29" t="s">
        <v>360</v>
      </c>
      <c r="D14" s="30"/>
      <c r="E14" s="30">
        <f t="shared" ref="E14:E21" si="1">E$23</f>
        <v>19.8361516009697</v>
      </c>
      <c r="F14" s="30">
        <f t="shared" si="0"/>
        <v>156.4690415084238</v>
      </c>
      <c r="G14" s="30">
        <f t="shared" si="0"/>
        <v>255.79288248279056</v>
      </c>
      <c r="H14" s="30">
        <f t="shared" si="0"/>
        <v>397.33426031545059</v>
      </c>
      <c r="T14" s="3" t="s">
        <v>327</v>
      </c>
      <c r="U14" s="361"/>
      <c r="V14" s="361"/>
      <c r="W14" s="361"/>
      <c r="X14" s="361">
        <f t="array" ref="X14">INDEX($Q$49:$AJ$57,MATCH(INDEX($A$13:$A$24,MATCH(X$12,$C$13:$C$24,0)),$A$49:$A$57,0),MATCH(X$13&amp;$T14,$Q$48:$AJ$48&amp;$Q$46:$AJ$46,0))</f>
        <v>1098.464506811398</v>
      </c>
      <c r="Y14" s="361">
        <f t="array" ref="Y14">INDEX($Q$49:$AJ$57,MATCH(INDEX($A$13:$A$24,MATCH(Y$12,$C$13:$C$24,0)),$A$49:$A$57,0),MATCH(Y$13&amp;$T14,$Q$48:$AJ$48&amp;$Q$46:$AJ$46,0))</f>
        <v>1087.1380324147058</v>
      </c>
      <c r="Z14" s="361">
        <f t="array" ref="Z14">INDEX($Q$49:$AJ$57,MATCH(INDEX($A$13:$A$24,MATCH(Z$12,$C$13:$C$24,0)),$A$49:$A$57,0),MATCH(Z$13&amp;$T14,$Q$48:$AJ$48&amp;$Q$46:$AJ$46,0))</f>
        <v>1083.7305152948941</v>
      </c>
      <c r="AA14" s="361">
        <f t="array" ref="AA14">INDEX($Q$49:$AJ$57,MATCH(INDEX($A$13:$A$24,MATCH(AA$12,$C$13:$C$24,0)),$A$49:$A$57,0),MATCH(AA$13&amp;$T14,$Q$48:$AJ$48&amp;$Q$46:$AJ$46,0))</f>
        <v>1094.597140830394</v>
      </c>
      <c r="AB14" s="361">
        <f t="array" ref="AB14">INDEX($Q$49:$AJ$57,MATCH(INDEX($A$13:$A$24,MATCH(AB$12,$C$13:$C$24,0)),$A$49:$A$57,0),MATCH(AB$13&amp;$T14,$Q$48:$AJ$48&amp;$Q$46:$AJ$46,0))</f>
        <v>1093.4905545086469</v>
      </c>
      <c r="AC14" s="361">
        <f t="array" ref="AC14">INDEX($Q$49:$AJ$57,MATCH(INDEX($A$13:$A$24,MATCH(AC$12,$C$13:$C$24,0)),$A$49:$A$57,0),MATCH(AC$13&amp;$T14,$Q$48:$AJ$48&amp;$Q$46:$AJ$46,0))</f>
        <v>649.79291675877721</v>
      </c>
      <c r="AD14" s="361">
        <f t="array" ref="AD14">INDEX($Q$49:$AJ$57,MATCH(INDEX($A$13:$A$24,MATCH(AD$12,$C$13:$C$24,0)),$A$49:$A$57,0),MATCH(AD$13&amp;$T14,$Q$48:$AJ$48&amp;$Q$46:$AJ$46,0))</f>
        <v>823.12209930697338</v>
      </c>
      <c r="AE14" s="361"/>
      <c r="AF14" s="361"/>
      <c r="AG14" s="361">
        <f t="array" ref="AG14">INDEX($Q$49:$AJ$57,MATCH(INDEX($A$13:$A$24,MATCH(AG$12,$C$13:$C$24,0)),$A$49:$A$57,0),MATCH(AG$13&amp;$T14,$Q$48:$AJ$48&amp;$Q$46:$AJ$46,0))</f>
        <v>730.0496388595285</v>
      </c>
      <c r="AH14" s="361">
        <f t="array" ref="AH14">INDEX($Q$49:$AJ$57,MATCH(INDEX($A$13:$A$24,MATCH(AH$12,$C$13:$C$24,0)),$A$49:$A$57,0),MATCH(AH$13&amp;$T14,$Q$48:$AJ$48&amp;$Q$46:$AJ$46,0))</f>
        <v>761.60201511369564</v>
      </c>
      <c r="AI14" s="361">
        <f t="array" ref="AI14">INDEX($Q$49:$AJ$57,MATCH(INDEX($A$13:$A$24,MATCH(AI$12,$C$13:$C$24,0)),$A$49:$A$57,0),MATCH(AI$13&amp;$T14,$Q$48:$AJ$48&amp;$Q$46:$AJ$46,0))</f>
        <v>732.77681969678054</v>
      </c>
      <c r="AJ14" s="361">
        <f t="array" ref="AJ14">INDEX($Q$49:$AJ$57,MATCH(INDEX($A$13:$A$24,MATCH(AJ$12,$C$13:$C$24,0)),$A$49:$A$57,0),MATCH(AJ$13&amp;$T14,$Q$48:$AJ$48&amp;$Q$46:$AJ$46,0))</f>
        <v>732.93478650773784</v>
      </c>
      <c r="AK14" s="361">
        <f t="array" ref="AK14">INDEX($Q$49:$AJ$57,MATCH(INDEX($A$13:$A$24,MATCH(AK$12,$C$13:$C$24,0)),$A$49:$A$57,0),MATCH(AK$13&amp;$T14,$Q$48:$AJ$48&amp;$Q$46:$AJ$46,0))</f>
        <v>728.84836201225801</v>
      </c>
      <c r="AL14" s="361">
        <f t="array" ref="AL14">INDEX($Q$49:$AJ$57,MATCH(INDEX($A$13:$A$24,MATCH(AL$12,$C$13:$C$24,0)),$A$49:$A$57,0),MATCH(AL$13&amp;$T14,$Q$48:$AJ$48&amp;$Q$46:$AJ$46,0))</f>
        <v>249.47773463377459</v>
      </c>
      <c r="AM14" s="361">
        <f t="array" ref="AM14">INDEX($Q$49:$AJ$57,MATCH(INDEX($A$13:$A$24,MATCH(AM$12,$C$13:$C$24,0)),$A$49:$A$57,0),MATCH(AM$13&amp;$T14,$Q$48:$AJ$48&amp;$Q$46:$AJ$46,0))</f>
        <v>579.35737711913885</v>
      </c>
    </row>
    <row r="15" spans="1:39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1">
        <f t="shared" ref="D15:D22" si="2">$D$23</f>
        <v>3.1090500000000008</v>
      </c>
      <c r="E15" s="31">
        <f t="shared" si="1"/>
        <v>19.8361516009697</v>
      </c>
      <c r="F15" s="34">
        <f>INDEX($Q$49:$U$57,MATCH($A15,$A$49:$A$57,0),MATCH(F$11,$Q$48:$U$48,0))</f>
        <v>172.79605002617052</v>
      </c>
      <c r="G15" s="34">
        <f>INDEX($Q$49:$U$57,MATCH($A15,$A$49:$A$57,0),MATCH(G$11,$Q$48:$U$48,0))</f>
        <v>374.94416243953987</v>
      </c>
      <c r="H15" s="34">
        <f>INDEX($Q$49:$U$57,MATCH($A15,$A$49:$A$57,0),MATCH(H$11,$Q$48:$U$48,0))</f>
        <v>740.2119418644395</v>
      </c>
      <c r="T15" s="3" t="s">
        <v>324</v>
      </c>
      <c r="U15" s="776">
        <f>$F$63</f>
        <v>3.1090500000000008</v>
      </c>
      <c r="V15" s="776">
        <f>$H$64</f>
        <v>55.540270362869101</v>
      </c>
      <c r="W15" s="776">
        <f>$H$65</f>
        <v>113.24543865659901</v>
      </c>
      <c r="X15" s="361">
        <f t="array" ref="X15">INDEX($Q$49:$AJ$57,MATCH(INDEX($A$13:$A$24,MATCH(X$12,$C$13:$C$24,0)),$A$49:$A$57,0),MATCH(X$13&amp;$T15,$Q$48:$AJ$48&amp;$Q$46:$AJ$46,0))</f>
        <v>172.79605002617052</v>
      </c>
      <c r="Y15" s="361">
        <f t="array" ref="Y15">INDEX($Q$49:$AJ$57,MATCH(INDEX($A$13:$A$24,MATCH(Y$12,$C$13:$C$24,0)),$A$49:$A$57,0),MATCH(Y$13&amp;$T15,$Q$48:$AJ$48&amp;$Q$46:$AJ$46,0))</f>
        <v>173.53260935161762</v>
      </c>
      <c r="Z15" s="361">
        <f t="array" ref="Z15">INDEX($Q$49:$AJ$57,MATCH(INDEX($A$13:$A$24,MATCH(Z$12,$C$13:$C$24,0)),$A$49:$A$57,0),MATCH(Z$13&amp;$T15,$Q$48:$AJ$48&amp;$Q$46:$AJ$46,0))</f>
        <v>177.03309671084588</v>
      </c>
      <c r="AA15" s="361">
        <f t="array" ref="AA15">INDEX($Q$49:$AJ$57,MATCH(INDEX($A$13:$A$24,MATCH(AA$12,$C$13:$C$24,0)),$A$49:$A$57,0),MATCH(AA$13&amp;$T15,$Q$48:$AJ$48&amp;$Q$46:$AJ$46,0))</f>
        <v>172.79605002617052</v>
      </c>
      <c r="AB15" s="361">
        <f t="array" ref="AB15">INDEX($Q$49:$AJ$57,MATCH(INDEX($A$13:$A$24,MATCH(AB$12,$C$13:$C$24,0)),$A$49:$A$57,0),MATCH(AB$13&amp;$T15,$Q$48:$AJ$48&amp;$Q$46:$AJ$46,0))</f>
        <v>177.90464264931219</v>
      </c>
      <c r="AC15" s="361">
        <f t="array" ref="AC15">INDEX($Q$49:$AJ$57,MATCH(INDEX($A$13:$A$24,MATCH(AC$12,$C$13:$C$24,0)),$A$49:$A$57,0),MATCH(AC$13&amp;$T15,$Q$48:$AJ$48&amp;$Q$46:$AJ$46,0))</f>
        <v>699.539708817259</v>
      </c>
      <c r="AD15" s="361">
        <f t="array" ref="AD15">INDEX($Q$49:$AJ$57,MATCH(INDEX($A$13:$A$24,MATCH(AD$12,$C$13:$C$24,0)),$A$49:$A$57,0),MATCH(AD$13&amp;$T15,$Q$48:$AJ$48&amp;$Q$46:$AJ$46,0))</f>
        <v>123.17520954423168</v>
      </c>
      <c r="AE15" s="776">
        <f>$J$64</f>
        <v>148.58794599681823</v>
      </c>
      <c r="AF15" s="776">
        <f>$J$65</f>
        <v>300.06401276785982</v>
      </c>
      <c r="AG15" s="361">
        <f t="array" ref="AG15">INDEX($Q$49:$AJ$57,MATCH(INDEX($A$13:$A$24,MATCH(AG$12,$C$13:$C$24,0)),$A$49:$A$57,0),MATCH(AG$13&amp;$T15,$Q$48:$AJ$48&amp;$Q$46:$AJ$46,0))</f>
        <v>740.2119418644395</v>
      </c>
      <c r="AH15" s="361">
        <f t="array" ref="AH15">INDEX($Q$49:$AJ$57,MATCH(INDEX($A$13:$A$24,MATCH(AH$12,$C$13:$C$24,0)),$A$49:$A$57,0),MATCH(AH$13&amp;$T15,$Q$48:$AJ$48&amp;$Q$46:$AJ$46,0))</f>
        <v>728.01072324912616</v>
      </c>
      <c r="AI15" s="361">
        <f t="array" ref="AI15">INDEX($Q$49:$AJ$57,MATCH(INDEX($A$13:$A$24,MATCH(AI$12,$C$13:$C$24,0)),$A$49:$A$57,0),MATCH(AI$13&amp;$T15,$Q$48:$AJ$48&amp;$Q$46:$AJ$46,0))</f>
        <v>778.95439439179734</v>
      </c>
      <c r="AJ15" s="361">
        <f t="array" ref="AJ15">INDEX($Q$49:$AJ$57,MATCH(INDEX($A$13:$A$24,MATCH(AJ$12,$C$13:$C$24,0)),$A$49:$A$57,0),MATCH(AJ$13&amp;$T15,$Q$48:$AJ$48&amp;$Q$46:$AJ$46,0))</f>
        <v>739.8881827797004</v>
      </c>
      <c r="AK15" s="361">
        <f t="array" ref="AK15">INDEX($Q$49:$AJ$57,MATCH(INDEX($A$13:$A$24,MATCH(AK$12,$C$13:$C$24,0)),$A$49:$A$57,0),MATCH(AK$13&amp;$T15,$Q$48:$AJ$48&amp;$Q$46:$AJ$46,0))</f>
        <v>740.1623321711063</v>
      </c>
      <c r="AL15" s="361">
        <f t="array" ref="AL15">INDEX($Q$49:$AJ$57,MATCH(INDEX($A$13:$A$24,MATCH(AL$12,$C$13:$C$24,0)),$A$49:$A$57,0),MATCH(AL$13&amp;$T15,$Q$48:$AJ$48&amp;$Q$46:$AJ$46,0))</f>
        <v>1297.4151239443352</v>
      </c>
      <c r="AM15" s="361">
        <f t="array" ref="AM15">INDEX($Q$49:$AJ$57,MATCH(INDEX($A$13:$A$24,MATCH(AM$12,$C$13:$C$24,0)),$A$49:$A$57,0),MATCH(AM$13&amp;$T15,$Q$48:$AJ$48&amp;$Q$46:$AJ$46,0))</f>
        <v>601.62551704250177</v>
      </c>
    </row>
    <row r="16" spans="1:39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1">
        <f t="shared" si="2"/>
        <v>3.1090500000000008</v>
      </c>
      <c r="E16" s="31">
        <f t="shared" si="1"/>
        <v>19.8361516009697</v>
      </c>
      <c r="F16" s="31">
        <f>$F$23</f>
        <v>113.24543865659901</v>
      </c>
      <c r="G16" s="34">
        <f t="shared" ref="G16:H21" si="3">INDEX($Q$49:$U$57,MATCH($A16,$A$49:$A$57,0),MATCH(G$11,$Q$48:$U$48,0))</f>
        <v>372.10941953930063</v>
      </c>
      <c r="H16" s="34">
        <f t="shared" si="3"/>
        <v>728.01072324912616</v>
      </c>
      <c r="T16" s="3" t="s">
        <v>1008</v>
      </c>
      <c r="U16" s="361"/>
      <c r="V16" s="361"/>
      <c r="W16" s="361"/>
      <c r="X16" s="361">
        <f t="array" ref="X16">INDEX($Q$49:$AJ$57,MATCH(INDEX($A$13:$A$24,MATCH(X$12,$C$13:$C$24,0)),$A$49:$A$57,0),MATCH(X$13&amp;$T16,$Q$48:$AJ$48&amp;$Q$46:$AJ$46,0))</f>
        <v>104.42810157498747</v>
      </c>
      <c r="Y16" s="361">
        <f t="array" ref="Y16">INDEX($Q$49:$AJ$57,MATCH(INDEX($A$13:$A$24,MATCH(Y$12,$C$13:$C$24,0)),$A$49:$A$57,0),MATCH(Y$13&amp;$T16,$Q$48:$AJ$48&amp;$Q$46:$AJ$46,0))</f>
        <v>117.80943348946741</v>
      </c>
      <c r="Z16" s="361">
        <f t="array" ref="Z16">INDEX($Q$49:$AJ$57,MATCH(INDEX($A$13:$A$24,MATCH(Z$12,$C$13:$C$24,0)),$A$49:$A$57,0),MATCH(Z$13&amp;$T16,$Q$48:$AJ$48&amp;$Q$46:$AJ$46,0))</f>
        <v>98.731039507237455</v>
      </c>
      <c r="AA16" s="361">
        <f t="array" ref="AA16">INDEX($Q$49:$AJ$57,MATCH(INDEX($A$13:$A$24,MATCH(AA$12,$C$13:$C$24,0)),$A$49:$A$57,0),MATCH(AA$13&amp;$T16,$Q$48:$AJ$48&amp;$Q$46:$AJ$46,0))</f>
        <v>108.50987266655561</v>
      </c>
      <c r="AB16" s="361">
        <f t="array" ref="AB16">INDEX($Q$49:$AJ$57,MATCH(INDEX($A$13:$A$24,MATCH(AB$12,$C$13:$C$24,0)),$A$49:$A$57,0),MATCH(AB$13&amp;$T16,$Q$48:$AJ$48&amp;$Q$46:$AJ$46,0))</f>
        <v>103.92997184860471</v>
      </c>
      <c r="AC16" s="361">
        <f t="array" ref="AC16">INDEX($Q$49:$AJ$57,MATCH(INDEX($A$13:$A$24,MATCH(AC$12,$C$13:$C$24,0)),$A$49:$A$57,0),MATCH(AC$13&amp;$T16,$Q$48:$AJ$48&amp;$Q$46:$AJ$46,0))</f>
        <v>64.110018291911757</v>
      </c>
      <c r="AD16" s="361">
        <f t="array" ref="AD16">INDEX($Q$49:$AJ$57,MATCH(INDEX($A$13:$A$24,MATCH(AD$12,$C$13:$C$24,0)),$A$49:$A$57,0),MATCH(AD$13&amp;$T16,$Q$48:$AJ$48&amp;$Q$46:$AJ$46,0))</f>
        <v>74.279540272018878</v>
      </c>
      <c r="AE16" s="361"/>
      <c r="AF16" s="361"/>
      <c r="AG16" s="361">
        <f t="array" ref="AG16">INDEX($Q$49:$AJ$57,MATCH(INDEX($A$13:$A$24,MATCH(AG$12,$C$13:$C$24,0)),$A$49:$A$57,0),MATCH(AG$13&amp;$T16,$Q$48:$AJ$48&amp;$Q$46:$AJ$46,0))</f>
        <v>202.76204700717076</v>
      </c>
      <c r="AH16" s="361">
        <f t="array" ref="AH16">INDEX($Q$49:$AJ$57,MATCH(INDEX($A$13:$A$24,MATCH(AH$12,$C$13:$C$24,0)),$A$49:$A$57,0),MATCH(AH$13&amp;$T16,$Q$48:$AJ$48&amp;$Q$46:$AJ$46,0))</f>
        <v>182.21994579525915</v>
      </c>
      <c r="AI16" s="361">
        <f t="array" ref="AI16">INDEX($Q$49:$AJ$57,MATCH(INDEX($A$13:$A$24,MATCH(AI$12,$C$13:$C$24,0)),$A$49:$A$57,0),MATCH(AI$13&amp;$T16,$Q$48:$AJ$48&amp;$Q$46:$AJ$46,0))</f>
        <v>146.31972825773539</v>
      </c>
      <c r="AJ16" s="361">
        <f t="array" ref="AJ16">INDEX($Q$49:$AJ$57,MATCH(INDEX($A$13:$A$24,MATCH(AJ$12,$C$13:$C$24,0)),$A$49:$A$57,0),MATCH(AJ$13&amp;$T16,$Q$48:$AJ$48&amp;$Q$46:$AJ$46,0))</f>
        <v>200.2006584437008</v>
      </c>
      <c r="AK16" s="361">
        <f t="array" ref="AK16">INDEX($Q$49:$AJ$57,MATCH(INDEX($A$13:$A$24,MATCH(AK$12,$C$13:$C$24,0)),$A$49:$A$57,0),MATCH(AK$13&amp;$T16,$Q$48:$AJ$48&amp;$Q$46:$AJ$46,0))</f>
        <v>203.52339413766438</v>
      </c>
      <c r="AL16" s="361">
        <f t="array" ref="AL16">INDEX($Q$49:$AJ$57,MATCH(INDEX($A$13:$A$24,MATCH(AL$12,$C$13:$C$24,0)),$A$49:$A$57,0),MATCH(AL$13&amp;$T16,$Q$48:$AJ$48&amp;$Q$46:$AJ$46,0))</f>
        <v>182.54255911182571</v>
      </c>
      <c r="AM16" s="361">
        <f t="array" ref="AM16">INDEX($Q$49:$AJ$57,MATCH(INDEX($A$13:$A$24,MATCH(AM$12,$C$13:$C$24,0)),$A$49:$A$57,0),MATCH(AM$13&amp;$T16,$Q$48:$AJ$48&amp;$Q$46:$AJ$46,0))</f>
        <v>191.88545719410021</v>
      </c>
    </row>
    <row r="17" spans="1:39" ht="14.4" customHeight="1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1">
        <f t="shared" si="2"/>
        <v>3.1090500000000008</v>
      </c>
      <c r="E17" s="31">
        <f t="shared" si="1"/>
        <v>19.8361516009697</v>
      </c>
      <c r="F17" s="34">
        <f>INDEX($Q$49:$U$57,MATCH($A17,$A$49:$A$57,0),MATCH(F$11,$Q$48:$U$48,0))</f>
        <v>177.03309671084588</v>
      </c>
      <c r="G17" s="34">
        <f t="shared" si="3"/>
        <v>390.39881134889214</v>
      </c>
      <c r="H17" s="34">
        <f t="shared" si="3"/>
        <v>778.95439439179734</v>
      </c>
      <c r="T17" s="3" t="s">
        <v>258</v>
      </c>
      <c r="U17" s="776">
        <f>$I$5/10^3-U15</f>
        <v>831.80659860666697</v>
      </c>
      <c r="V17" s="776">
        <f t="array" ref="V17">INDEX($Q$49:$AJ$57,MATCH("Vivid_0A_BAU",$A$49:$A$57,0),MATCH("Total"&amp;V$13,$Q$46:$AJ$46&amp;$Q$48:$AJ$48,0))-V$15</f>
        <v>1322.9398048929215</v>
      </c>
      <c r="W17" s="776">
        <f t="array" ref="W17">INDEX($Q$49:$AJ$57,MATCH("Vivid_0A_BAU",$A$49:$A$57,0),MATCH("Total"&amp;W$13,$Q$46:$AJ$46&amp;$Q$48:$AJ$48,0))-W$15</f>
        <v>1265.2346365991916</v>
      </c>
      <c r="X17" s="361"/>
      <c r="Y17" s="361"/>
      <c r="Z17" s="361"/>
      <c r="AA17" s="361"/>
      <c r="AB17" s="361"/>
      <c r="AC17" s="361"/>
      <c r="AD17" s="361"/>
      <c r="AE17" s="776">
        <f t="array" ref="AE17">INDEX($Q$49:$AJ$57,MATCH("Vivid_0A_BAU",$A$49:$A$57,0),MATCH("Total"&amp;AE$13,$Q$46:$AJ$46&amp;$Q$48:$AJ$48,0))-AE$15</f>
        <v>1524.8995000912741</v>
      </c>
      <c r="AF17" s="776">
        <f t="array" ref="AF17">INDEX($Q$49:$AJ$57,MATCH("Vivid_0A_BAU",$A$49:$A$57,0),MATCH("Total"&amp;AF$13,$Q$46:$AJ$46&amp;$Q$48:$AJ$48,0))-AF$15</f>
        <v>1373.4234333202326</v>
      </c>
      <c r="AG17" s="361"/>
      <c r="AH17" s="361"/>
      <c r="AI17" s="361"/>
      <c r="AJ17" s="361"/>
      <c r="AK17" s="361"/>
      <c r="AL17" s="361"/>
      <c r="AM17" s="361"/>
    </row>
    <row r="18" spans="1:39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1">
        <f t="shared" si="2"/>
        <v>3.1090500000000008</v>
      </c>
      <c r="E18" s="31">
        <f t="shared" si="1"/>
        <v>19.8361516009697</v>
      </c>
      <c r="F18" s="34">
        <f>INDEX($Q$49:$U$57,MATCH($A18,$A$49:$A$57,0),MATCH(F$11,$Q$48:$U$48,0))</f>
        <v>172.79605002617052</v>
      </c>
      <c r="G18" s="34">
        <f t="shared" si="3"/>
        <v>374.51895709794422</v>
      </c>
      <c r="H18" s="34">
        <f t="shared" si="3"/>
        <v>739.8881827797004</v>
      </c>
    </row>
    <row r="19" spans="1:39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1">
        <f t="shared" si="2"/>
        <v>3.1090500000000008</v>
      </c>
      <c r="E19" s="31">
        <f t="shared" si="1"/>
        <v>19.8361516009697</v>
      </c>
      <c r="F19" s="34">
        <f>INDEX($Q$49:$U$57,MATCH($A19,$A$49:$A$57,0),MATCH(F$11,$Q$48:$U$48,0))</f>
        <v>177.90464264931219</v>
      </c>
      <c r="G19" s="34">
        <f t="shared" si="3"/>
        <v>376.45895163181689</v>
      </c>
      <c r="H19" s="34">
        <f t="shared" si="3"/>
        <v>740.1623321711063</v>
      </c>
    </row>
    <row r="20" spans="1:39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1">
        <f t="shared" si="2"/>
        <v>3.1090500000000008</v>
      </c>
      <c r="E20" s="31">
        <f t="shared" si="1"/>
        <v>19.8361516009697</v>
      </c>
      <c r="F20" s="34">
        <f>INDEX($Q$49:$U$57,MATCH($A20,$A$49:$A$57,0),MATCH(F$11,$Q$48:$U$48,0))</f>
        <v>699.539708817259</v>
      </c>
      <c r="G20" s="34">
        <f t="shared" si="3"/>
        <v>944.21391812104696</v>
      </c>
      <c r="H20" s="34">
        <f t="shared" si="3"/>
        <v>1297.4151239443352</v>
      </c>
    </row>
    <row r="21" spans="1:39" ht="14.4" customHeight="1" x14ac:dyDescent="0.3">
      <c r="A21" s="3" t="s">
        <v>49</v>
      </c>
      <c r="B21" s="3" t="str">
        <f>INDEX('R1. Scenario specifications'!$C$11:$C$60,MATCH($A21,'R1. Scenario specifications'!$A$11:$A$60,0))</f>
        <v>Current 2DS, 2020 start, 'Expect the Unexpected' but with cheap energy efficiency</v>
      </c>
      <c r="C21" s="3" t="s">
        <v>367</v>
      </c>
      <c r="D21" s="31">
        <f t="shared" si="2"/>
        <v>3.1090500000000008</v>
      </c>
      <c r="E21" s="31">
        <f t="shared" si="1"/>
        <v>19.8361516009697</v>
      </c>
      <c r="F21" s="34">
        <f>INDEX($Q$49:$U$57,MATCH($A21,$A$49:$A$57,0),MATCH(F$11,$Q$48:$U$48,0))</f>
        <v>123.17520954423168</v>
      </c>
      <c r="G21" s="34">
        <f t="shared" si="3"/>
        <v>304.4470188588819</v>
      </c>
      <c r="H21" s="34">
        <f t="shared" si="3"/>
        <v>601.62551704250177</v>
      </c>
    </row>
    <row r="22" spans="1:39" x14ac:dyDescent="0.3">
      <c r="A22" s="32" t="s">
        <v>438</v>
      </c>
      <c r="B22" s="32" t="s">
        <v>439</v>
      </c>
      <c r="C22" s="32" t="s">
        <v>440</v>
      </c>
      <c r="D22" s="43">
        <f t="shared" si="2"/>
        <v>3.1090500000000008</v>
      </c>
      <c r="E22" s="33">
        <f t="shared" ref="E22:H24" si="4">INDEX($G$64:$J$67,MATCH($A22,$A$64:$A$67,0),MATCH(E$11,$G$61:$J$61,0))</f>
        <v>9.0164325458953201</v>
      </c>
      <c r="F22" s="33">
        <f t="shared" si="4"/>
        <v>55.540270362869101</v>
      </c>
      <c r="G22" s="33">
        <f t="shared" si="4"/>
        <v>102.06410817984397</v>
      </c>
      <c r="H22" s="33">
        <f t="shared" si="4"/>
        <v>148.58794599681823</v>
      </c>
    </row>
    <row r="23" spans="1:39" x14ac:dyDescent="0.3">
      <c r="A23" s="3" t="s">
        <v>441</v>
      </c>
      <c r="B23" s="3" t="s">
        <v>442</v>
      </c>
      <c r="C23" s="3" t="s">
        <v>443</v>
      </c>
      <c r="D23" s="34">
        <f t="shared" ref="D23:D24" si="5">$F$63</f>
        <v>3.1090500000000008</v>
      </c>
      <c r="E23" s="34">
        <f t="shared" si="4"/>
        <v>19.8361516009697</v>
      </c>
      <c r="F23" s="34">
        <f t="shared" si="4"/>
        <v>113.24543865659901</v>
      </c>
      <c r="G23" s="34">
        <f t="shared" si="4"/>
        <v>206.65472571222926</v>
      </c>
      <c r="H23" s="34">
        <f t="shared" si="4"/>
        <v>300.06401276785982</v>
      </c>
    </row>
    <row r="24" spans="1:39" x14ac:dyDescent="0.3">
      <c r="A24" s="3" t="s">
        <v>444</v>
      </c>
      <c r="B24" s="3" t="s">
        <v>445</v>
      </c>
      <c r="C24" s="3" t="s">
        <v>446</v>
      </c>
      <c r="D24" s="34">
        <f t="shared" si="5"/>
        <v>3.1090500000000008</v>
      </c>
      <c r="E24" s="34">
        <f t="shared" si="4"/>
        <v>22.7223641355023</v>
      </c>
      <c r="F24" s="34">
        <f t="shared" si="4"/>
        <v>155.804908512917</v>
      </c>
      <c r="G24" s="34">
        <f t="shared" si="4"/>
        <v>288.88745289032886</v>
      </c>
      <c r="H24" s="34">
        <f t="shared" si="4"/>
        <v>421.96999726774447</v>
      </c>
    </row>
    <row r="41" spans="1:36" ht="15" thickBot="1" x14ac:dyDescent="0.35"/>
    <row r="42" spans="1:36" s="25" customFormat="1" ht="15" thickBot="1" x14ac:dyDescent="0.35">
      <c r="A42" s="24" t="s">
        <v>374</v>
      </c>
    </row>
    <row r="43" spans="1:36" x14ac:dyDescent="0.3">
      <c r="A43" s="4"/>
    </row>
    <row r="44" spans="1:36" x14ac:dyDescent="0.3">
      <c r="B44" s="3" t="s">
        <v>324</v>
      </c>
      <c r="C44" s="3" t="s">
        <v>324</v>
      </c>
      <c r="D44" s="3" t="s">
        <v>324</v>
      </c>
      <c r="E44" s="3" t="s">
        <v>324</v>
      </c>
      <c r="F44" s="3" t="s">
        <v>324</v>
      </c>
      <c r="G44" s="3" t="s">
        <v>327</v>
      </c>
      <c r="H44" s="3" t="s">
        <v>327</v>
      </c>
      <c r="I44" s="3" t="s">
        <v>327</v>
      </c>
      <c r="J44" s="3" t="s">
        <v>327</v>
      </c>
      <c r="K44" s="3" t="s">
        <v>327</v>
      </c>
      <c r="L44" s="3" t="s">
        <v>326</v>
      </c>
      <c r="M44" s="3" t="s">
        <v>326</v>
      </c>
      <c r="N44" s="3" t="s">
        <v>326</v>
      </c>
      <c r="O44" s="3" t="s">
        <v>326</v>
      </c>
      <c r="P44" s="3" t="s">
        <v>326</v>
      </c>
    </row>
    <row r="45" spans="1:36" x14ac:dyDescent="0.3">
      <c r="B45" s="3" t="s">
        <v>329</v>
      </c>
      <c r="C45" s="3" t="s">
        <v>329</v>
      </c>
      <c r="D45" s="3" t="s">
        <v>329</v>
      </c>
      <c r="E45" s="3" t="s">
        <v>329</v>
      </c>
      <c r="F45" s="3" t="s">
        <v>329</v>
      </c>
      <c r="G45" s="3" t="s">
        <v>328</v>
      </c>
      <c r="H45" s="3" t="s">
        <v>328</v>
      </c>
      <c r="I45" s="3" t="s">
        <v>328</v>
      </c>
      <c r="J45" s="3" t="s">
        <v>328</v>
      </c>
      <c r="K45" s="3" t="s">
        <v>328</v>
      </c>
      <c r="L45" s="3" t="s">
        <v>325</v>
      </c>
      <c r="M45" s="3" t="s">
        <v>325</v>
      </c>
      <c r="N45" s="3" t="s">
        <v>325</v>
      </c>
      <c r="O45" s="3" t="s">
        <v>325</v>
      </c>
      <c r="P45" s="3" t="s">
        <v>325</v>
      </c>
    </row>
    <row r="46" spans="1:36" x14ac:dyDescent="0.3">
      <c r="Q46" s="3" t="s">
        <v>324</v>
      </c>
      <c r="R46" s="3" t="s">
        <v>324</v>
      </c>
      <c r="S46" s="3" t="s">
        <v>324</v>
      </c>
      <c r="T46" s="3" t="s">
        <v>324</v>
      </c>
      <c r="U46" s="3" t="s">
        <v>324</v>
      </c>
      <c r="V46" s="3" t="s">
        <v>327</v>
      </c>
      <c r="W46" s="3" t="s">
        <v>327</v>
      </c>
      <c r="X46" s="3" t="s">
        <v>327</v>
      </c>
      <c r="Y46" s="3" t="s">
        <v>327</v>
      </c>
      <c r="Z46" s="3" t="s">
        <v>327</v>
      </c>
      <c r="AA46" s="3" t="s">
        <v>1008</v>
      </c>
      <c r="AB46" s="3" t="s">
        <v>1008</v>
      </c>
      <c r="AC46" s="3" t="s">
        <v>1008</v>
      </c>
      <c r="AD46" s="3" t="s">
        <v>1008</v>
      </c>
      <c r="AE46" s="3" t="s">
        <v>1008</v>
      </c>
      <c r="AF46" s="3" t="s">
        <v>690</v>
      </c>
      <c r="AG46" s="3" t="s">
        <v>690</v>
      </c>
      <c r="AH46" s="3" t="s">
        <v>690</v>
      </c>
      <c r="AI46" s="3" t="s">
        <v>690</v>
      </c>
      <c r="AJ46" s="3" t="s">
        <v>690</v>
      </c>
    </row>
    <row r="47" spans="1:36" x14ac:dyDescent="0.3">
      <c r="B47" s="3" t="s">
        <v>447</v>
      </c>
      <c r="C47" s="3" t="s">
        <v>447</v>
      </c>
      <c r="D47" s="3" t="s">
        <v>447</v>
      </c>
      <c r="E47" s="3" t="s">
        <v>447</v>
      </c>
      <c r="F47" s="3" t="s">
        <v>447</v>
      </c>
      <c r="G47" s="3" t="s">
        <v>1003</v>
      </c>
      <c r="H47" s="3" t="s">
        <v>1003</v>
      </c>
      <c r="I47" s="3" t="s">
        <v>1003</v>
      </c>
      <c r="J47" s="3" t="s">
        <v>1003</v>
      </c>
      <c r="K47" s="3" t="s">
        <v>1003</v>
      </c>
      <c r="L47" s="3" t="s">
        <v>1004</v>
      </c>
      <c r="M47" s="3" t="s">
        <v>1004</v>
      </c>
      <c r="N47" s="3" t="s">
        <v>1004</v>
      </c>
      <c r="O47" s="3" t="s">
        <v>1004</v>
      </c>
      <c r="P47" s="3" t="s">
        <v>1004</v>
      </c>
      <c r="Q47" s="41" t="s">
        <v>448</v>
      </c>
      <c r="R47" s="3" t="s">
        <v>448</v>
      </c>
      <c r="S47" s="3" t="s">
        <v>448</v>
      </c>
      <c r="T47" s="3" t="s">
        <v>448</v>
      </c>
      <c r="U47" s="3" t="s">
        <v>448</v>
      </c>
      <c r="V47" s="3" t="s">
        <v>1005</v>
      </c>
      <c r="W47" s="3" t="s">
        <v>1005</v>
      </c>
      <c r="X47" s="3" t="s">
        <v>1005</v>
      </c>
      <c r="Y47" s="3" t="s">
        <v>1005</v>
      </c>
      <c r="Z47" s="3" t="s">
        <v>1005</v>
      </c>
      <c r="AA47" s="3" t="s">
        <v>1006</v>
      </c>
      <c r="AB47" s="3" t="s">
        <v>1006</v>
      </c>
      <c r="AC47" s="3" t="s">
        <v>1006</v>
      </c>
      <c r="AD47" s="3" t="s">
        <v>1006</v>
      </c>
      <c r="AE47" s="773" t="s">
        <v>1006</v>
      </c>
      <c r="AF47" s="3" t="s">
        <v>1007</v>
      </c>
      <c r="AG47" s="3" t="s">
        <v>1007</v>
      </c>
      <c r="AH47" s="3" t="s">
        <v>1007</v>
      </c>
      <c r="AI47" s="3" t="s">
        <v>1007</v>
      </c>
      <c r="AJ47" s="3" t="s">
        <v>1007</v>
      </c>
    </row>
    <row r="48" spans="1:36" x14ac:dyDescent="0.3">
      <c r="A48" s="3" t="s">
        <v>8</v>
      </c>
      <c r="B48" s="3">
        <v>2012</v>
      </c>
      <c r="C48" s="3">
        <v>2020</v>
      </c>
      <c r="D48" s="3">
        <v>2030</v>
      </c>
      <c r="E48" s="3">
        <v>2040</v>
      </c>
      <c r="F48" s="3">
        <v>2050</v>
      </c>
      <c r="G48" s="3">
        <v>2012</v>
      </c>
      <c r="H48" s="3">
        <v>2020</v>
      </c>
      <c r="I48" s="3">
        <v>2030</v>
      </c>
      <c r="J48" s="3">
        <v>2040</v>
      </c>
      <c r="K48" s="3">
        <v>2050</v>
      </c>
      <c r="L48" s="3">
        <v>2012</v>
      </c>
      <c r="M48" s="3">
        <v>2020</v>
      </c>
      <c r="N48" s="3">
        <v>2030</v>
      </c>
      <c r="O48" s="3">
        <v>2040</v>
      </c>
      <c r="P48" s="3">
        <v>2050</v>
      </c>
      <c r="Q48" s="41">
        <v>2012</v>
      </c>
      <c r="R48" s="3">
        <v>2020</v>
      </c>
      <c r="S48" s="3">
        <v>2030</v>
      </c>
      <c r="T48" s="3">
        <v>2040</v>
      </c>
      <c r="U48" s="3">
        <v>2050</v>
      </c>
      <c r="V48" s="3">
        <v>2012</v>
      </c>
      <c r="W48" s="3">
        <v>2020</v>
      </c>
      <c r="X48" s="3">
        <v>2030</v>
      </c>
      <c r="Y48" s="3">
        <v>2040</v>
      </c>
      <c r="Z48" s="3">
        <v>2050</v>
      </c>
      <c r="AA48" s="3">
        <v>2012</v>
      </c>
      <c r="AB48" s="3">
        <v>2020</v>
      </c>
      <c r="AC48" s="3">
        <v>2030</v>
      </c>
      <c r="AD48" s="3">
        <v>2040</v>
      </c>
      <c r="AE48" s="773">
        <v>2050</v>
      </c>
      <c r="AF48" s="3">
        <v>2012</v>
      </c>
      <c r="AG48" s="3">
        <v>2020</v>
      </c>
      <c r="AH48" s="3">
        <v>2030</v>
      </c>
      <c r="AI48" s="3">
        <v>2040</v>
      </c>
      <c r="AJ48" s="3">
        <v>2050</v>
      </c>
    </row>
    <row r="49" spans="1:36" x14ac:dyDescent="0.3">
      <c r="A49" s="3" t="str">
        <f t="shared" ref="A49:A57" si="6">A13</f>
        <v>Vivid_0A_BAU</v>
      </c>
      <c r="B49" s="34">
        <f t="array" ref="B49">SUM(IF(('W19. Transport total capacity'!$B$48:$B$281=$A49)*(('W19. Transport total capacity'!$D$48:$D$281=B$44)+('W19. Transport total capacity'!$D$48:$D$281=B$45))*('W19. Transport total capacity'!$E$47:$O$47=B$48),'W19. Transport total capacity'!$E$48:$O$281))</f>
        <v>6.1144027199999992E-2</v>
      </c>
      <c r="C49" s="34">
        <f t="array" ref="C49">SUM(IF(('W19. Transport total capacity'!$B$48:$B$281=$A49)*(('W19. Transport total capacity'!$D$48:$D$281=C$44)+('W19. Transport total capacity'!$D$48:$D$281=C$45))*('W19. Transport total capacity'!$E$47:$O$47=C$48),'W19. Transport total capacity'!$E$48:$O$281))</f>
        <v>55.29999999999994</v>
      </c>
      <c r="D49" s="34">
        <f t="array" ref="D49">SUM(IF(('W19. Transport total capacity'!$B$48:$B$281=$A49)*(('W19. Transport total capacity'!$D$48:$D$281=D$44)+('W19. Transport total capacity'!$D$48:$D$281=D$45))*('W19. Transport total capacity'!$E$47:$O$47=D$48),'W19. Transport total capacity'!$E$48:$O$281))</f>
        <v>3595.1375491438389</v>
      </c>
      <c r="E49" s="34">
        <f t="array" ref="E49">SUM(IF(('W19. Transport total capacity'!$B$48:$B$281=$A49)*(('W19. Transport total capacity'!$D$48:$D$281=E$44)+('W19. Transport total capacity'!$D$48:$D$281=E$45))*('W19. Transport total capacity'!$E$47:$O$47=E$48),'W19. Transport total capacity'!$E$48:$O$281))</f>
        <v>6000.4931862665671</v>
      </c>
      <c r="F49" s="34">
        <f t="array" ref="F49">SUM(IF(('W19. Transport total capacity'!$B$48:$B$281=$A49)*(('W19. Transport total capacity'!$D$48:$D$281=F$44)+('W19. Transport total capacity'!$D$48:$D$281=F$45))*('W19. Transport total capacity'!$E$47:$O$47=F$48),'W19. Transport total capacity'!$E$48:$O$281))</f>
        <v>12802.10147682871</v>
      </c>
      <c r="G49" s="34">
        <f t="array" ref="G49">SUM(IF(('W19. Transport total capacity'!$B$48:$B$281=$A49)*(('W19.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17014.902533173685</v>
      </c>
      <c r="H49" s="34">
        <f t="array" ref="H49">SUM(IF(('W19. Transport total capacity'!$B$48:$B$281=$A49)*(('W19.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24282.111243733405</v>
      </c>
      <c r="I49" s="34">
        <f t="array" ref="I49">SUM(IF(('W19. Transport total capacity'!$B$48:$B$281=$A49)*(('W19.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21715.746104543538</v>
      </c>
      <c r="J49" s="34">
        <f t="array" ref="J49">SUM(IF(('W19. Transport total capacity'!$B$48:$B$281=$A49)*(('W19.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19186.046405178065</v>
      </c>
      <c r="K49" s="34">
        <f t="array" ref="K49">SUM(IF(('W19. Transport total capacity'!$B$48:$B$281=$A49)*(('W19.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16459.048676655118</v>
      </c>
      <c r="L49" s="34">
        <f t="array" ref="L49">SUM(IF(('W19. Transport total capacity'!$B$48:$B$281=$A49)*(('W19.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151.98471759890444</v>
      </c>
      <c r="M49" s="34">
        <f t="array" ref="M49">SUM(IF(('W19. Transport total capacity'!$B$48:$B$281=$A49)*(('W19.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1328.9639000898185</v>
      </c>
      <c r="N49" s="34">
        <f t="array" ref="N49">SUM(IF(('W19. Transport total capacity'!$B$48:$B$281=$A49)*(('W19.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3032.8979163815893</v>
      </c>
      <c r="O49" s="34">
        <f t="array" ref="O49">SUM(IF(('W19. Transport total capacity'!$B$48:$B$281=$A49)*(('W19.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3828.4608365623308</v>
      </c>
      <c r="P49" s="34">
        <f t="array" ref="P49">SUM(IF(('W19. Transport total capacity'!$B$48:$B$281=$A49)*(('W19.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5148.4604630292934</v>
      </c>
      <c r="Q49" s="42">
        <f t="shared" ref="Q49:Q57" si="7">B49*$B$5</f>
        <v>2.9736971761419417E-3</v>
      </c>
      <c r="R49" s="14">
        <f t="shared" ref="R49:R57" si="8">C49*$B$5</f>
        <v>2.6894769836267707</v>
      </c>
      <c r="S49" s="14">
        <f t="shared" ref="S49:S57" si="9">D49*$B$5</f>
        <v>174.8470106942988</v>
      </c>
      <c r="T49" s="14">
        <f t="shared" ref="T49:T57" si="10">E49*$B$5</f>
        <v>291.82980677890077</v>
      </c>
      <c r="U49" s="14">
        <f t="shared" ref="U49:U57" si="11">F49*$B$5</f>
        <v>622.62128867965896</v>
      </c>
      <c r="V49" s="14">
        <f t="shared" ref="V49:V57" si="12">G49*$B$5</f>
        <v>827.50793384490976</v>
      </c>
      <c r="W49" s="14">
        <f t="shared" ref="W49:W57" si="13">H49*$B$5</f>
        <v>1180.943567882204</v>
      </c>
      <c r="X49" s="14">
        <f t="shared" ref="X49:X57" si="14">I49*$B$5</f>
        <v>1056.1301868074613</v>
      </c>
      <c r="Y49" s="14">
        <f t="shared" ref="Y49:Y57" si="15">J49*$B$5</f>
        <v>933.10000386115019</v>
      </c>
      <c r="Z49" s="14">
        <f t="shared" ref="Z49:Z57" si="16">K49*$B$5</f>
        <v>800.47436868456862</v>
      </c>
      <c r="AA49" s="14">
        <f t="shared" ref="AA49:AE57" si="17">L49*$B$5</f>
        <v>7.3916708832779117</v>
      </c>
      <c r="AB49" s="14">
        <f t="shared" si="17"/>
        <v>64.633233659356918</v>
      </c>
      <c r="AC49" s="14">
        <f t="shared" si="17"/>
        <v>147.50287775403044</v>
      </c>
      <c r="AD49" s="14">
        <f t="shared" si="17"/>
        <v>186.19452626855139</v>
      </c>
      <c r="AE49" s="774">
        <f t="shared" si="17"/>
        <v>250.39178872386483</v>
      </c>
      <c r="AF49" s="14">
        <f>SUM(Q49,V49,AA49)</f>
        <v>834.9025784253638</v>
      </c>
      <c r="AG49" s="14">
        <f t="shared" ref="AG49:AJ57" si="18">SUM(R49,W49,AB49)</f>
        <v>1248.2662785251875</v>
      </c>
      <c r="AH49" s="14">
        <f t="shared" si="18"/>
        <v>1378.4800752557906</v>
      </c>
      <c r="AI49" s="14">
        <f t="shared" si="18"/>
        <v>1411.1243369086023</v>
      </c>
      <c r="AJ49" s="14">
        <f t="shared" si="18"/>
        <v>1673.4874460880924</v>
      </c>
    </row>
    <row r="50" spans="1:36" x14ac:dyDescent="0.3">
      <c r="A50" s="3" t="str">
        <f t="shared" si="6"/>
        <v>Vivid_0B</v>
      </c>
      <c r="B50" s="34">
        <f t="array" ref="B50">SUM(IF(('W19. Transport total capacity'!$B$48:$B$281=$A50)*(('W19. Transport total capacity'!$D$48:$D$281=B$44)+('W19. Transport total capacity'!$D$48:$D$281=B$45))*('W19. Transport total capacity'!$E$47:$O$47=B$48),'W19. Transport total capacity'!$E$48:$O$281))</f>
        <v>6.1144027199999992E-2</v>
      </c>
      <c r="C50" s="34">
        <f t="array" ref="C50">SUM(IF(('W19. Transport total capacity'!$B$48:$B$281=$A50)*(('W19. Transport total capacity'!$D$48:$D$281=C$44)+('W19. Transport total capacity'!$D$48:$D$281=C$45))*('W19. Transport total capacity'!$E$47:$O$47=C$48),'W19. Transport total capacity'!$E$48:$O$281))</f>
        <v>55.300000000000061</v>
      </c>
      <c r="D50" s="34">
        <f t="array" ref="D50">SUM(IF(('W19. Transport total capacity'!$B$48:$B$281=$A50)*(('W19. Transport total capacity'!$D$48:$D$281=D$44)+('W19. Transport total capacity'!$D$48:$D$281=D$45))*('W19. Transport total capacity'!$E$47:$O$47=D$48),'W19. Transport total capacity'!$E$48:$O$281))</f>
        <v>3568.1113300340362</v>
      </c>
      <c r="E50" s="34">
        <f t="array" ref="E50">SUM(IF(('W19. Transport total capacity'!$B$48:$B$281=$A50)*(('W19. Transport total capacity'!$D$48:$D$281=E$44)+('W19. Transport total capacity'!$D$48:$D$281=E$45))*('W19. Transport total capacity'!$E$47:$O$47=E$48),'W19. Transport total capacity'!$E$48:$O$281))</f>
        <v>6826.2732999044965</v>
      </c>
      <c r="F50" s="34">
        <f t="array" ref="F50">SUM(IF(('W19. Transport total capacity'!$B$48:$B$281=$A50)*(('W19. Transport total capacity'!$D$48:$D$281=F$44)+('W19. Transport total capacity'!$D$48:$D$281=F$45))*('W19. Transport total capacity'!$E$47:$O$47=F$48),'W19. Transport total capacity'!$E$48:$O$281))</f>
        <v>14331.373925485037</v>
      </c>
      <c r="G50" s="34">
        <f t="array" ref="G50">SUM(IF(('W19. Transport total capacity'!$B$48:$B$281=$A50)*(('W19.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0" s="34">
        <f t="array" ref="H50">SUM(IF(('W19. Transport total capacity'!$B$48:$B$281=$A50)*(('W19.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0" s="34">
        <f t="array" ref="I50">SUM(IF(('W19. Transport total capacity'!$B$48:$B$281=$A50)*(('W19.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22353.317599863898</v>
      </c>
      <c r="J50" s="34">
        <f t="array" ref="J50">SUM(IF(('W19. Transport total capacity'!$B$48:$B$281=$A50)*(('W19.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18637.164291228364</v>
      </c>
      <c r="K50" s="34">
        <f t="array" ref="K50">SUM(IF(('W19. Transport total capacity'!$B$48:$B$281=$A50)*(('W19.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15114.439931537208</v>
      </c>
      <c r="L50" s="34">
        <f t="array" ref="L50">SUM(IF(('W19. Transport total capacity'!$B$48:$B$281=$A50)*(('W19.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0" s="34">
        <f t="array" ref="M50">SUM(IF(('W19. Transport total capacity'!$B$48:$B$281=$A50)*(('W19.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0" s="34">
        <f t="array" ref="N50">SUM(IF(('W19. Transport total capacity'!$B$48:$B$281=$A50)*(('W19.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2422.3526401710355</v>
      </c>
      <c r="O50" s="34">
        <f t="array" ref="O50">SUM(IF(('W19. Transport total capacity'!$B$48:$B$281=$A50)*(('W19.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3557.0005125855819</v>
      </c>
      <c r="P50" s="34">
        <f t="array" ref="P50">SUM(IF(('W19. Transport total capacity'!$B$48:$B$281=$A50)*(('W19.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4968.046455555962</v>
      </c>
      <c r="Q50" s="42">
        <f t="shared" si="7"/>
        <v>2.9736971761419417E-3</v>
      </c>
      <c r="R50" s="14">
        <f t="shared" si="8"/>
        <v>2.6894769836267765</v>
      </c>
      <c r="S50" s="14">
        <f t="shared" si="9"/>
        <v>173.53260935161762</v>
      </c>
      <c r="T50" s="14">
        <f t="shared" si="10"/>
        <v>331.99104745097878</v>
      </c>
      <c r="U50" s="14">
        <f t="shared" si="11"/>
        <v>696.99638908392205</v>
      </c>
      <c r="V50" s="14">
        <f t="shared" si="12"/>
        <v>827.29500846404051</v>
      </c>
      <c r="W50" s="14">
        <f t="shared" si="13"/>
        <v>1187.224668266866</v>
      </c>
      <c r="X50" s="14">
        <f t="shared" si="14"/>
        <v>1087.1380324147058</v>
      </c>
      <c r="Y50" s="14">
        <f t="shared" si="15"/>
        <v>906.40550454483684</v>
      </c>
      <c r="Z50" s="14">
        <f t="shared" si="16"/>
        <v>735.08025888388329</v>
      </c>
      <c r="AA50" s="14">
        <f t="shared" si="17"/>
        <v>7.6176664454504062</v>
      </c>
      <c r="AB50" s="14">
        <f t="shared" si="17"/>
        <v>58.358135321700885</v>
      </c>
      <c r="AC50" s="14">
        <f t="shared" si="17"/>
        <v>117.80943348946741</v>
      </c>
      <c r="AD50" s="14">
        <f t="shared" si="17"/>
        <v>172.99224248368097</v>
      </c>
      <c r="AE50" s="774">
        <f t="shared" si="17"/>
        <v>241.6174791285051</v>
      </c>
      <c r="AF50" s="14">
        <f t="shared" ref="AF50:AF57" si="19">SUM(Q50,V50,AA50)</f>
        <v>834.91564860666699</v>
      </c>
      <c r="AG50" s="14">
        <f t="shared" si="18"/>
        <v>1248.2722805721937</v>
      </c>
      <c r="AH50" s="14">
        <f t="shared" si="18"/>
        <v>1378.4800752557908</v>
      </c>
      <c r="AI50" s="14">
        <f t="shared" si="18"/>
        <v>1411.3887944794965</v>
      </c>
      <c r="AJ50" s="14">
        <f t="shared" si="18"/>
        <v>1673.6941270963105</v>
      </c>
    </row>
    <row r="51" spans="1:36" x14ac:dyDescent="0.3">
      <c r="A51" s="3" t="str">
        <f t="shared" si="6"/>
        <v>Vivid_1</v>
      </c>
      <c r="B51" s="34">
        <f t="array" ref="B51">SUM(IF(('W19. Transport total capacity'!$B$48:$B$281=$A51)*(('W19. Transport total capacity'!$D$48:$D$281=B$44)+('W19. Transport total capacity'!$D$48:$D$281=B$45))*('W19. Transport total capacity'!$E$47:$O$47=B$48),'W19. Transport total capacity'!$E$48:$O$281))</f>
        <v>6.1144027199999992E-2</v>
      </c>
      <c r="C51" s="34">
        <f t="array" ref="C51">SUM(IF(('W19. Transport total capacity'!$B$48:$B$281=$A51)*(('W19. Transport total capacity'!$D$48:$D$281=C$44)+('W19. Transport total capacity'!$D$48:$D$281=C$45))*('W19. Transport total capacity'!$E$47:$O$47=C$48),'W19. Transport total capacity'!$E$48:$O$281))</f>
        <v>55.300000000000061</v>
      </c>
      <c r="D51" s="34">
        <f t="array" ref="D51">SUM(IF(('W19. Transport total capacity'!$B$48:$B$281=$A51)*(('W19. Transport total capacity'!$D$48:$D$281=D$44)+('W19. Transport total capacity'!$D$48:$D$281=D$45))*('W19. Transport total capacity'!$E$47:$O$47=D$48),'W19. Transport total capacity'!$E$48:$O$281))</f>
        <v>3552.966478099926</v>
      </c>
      <c r="E51" s="34">
        <f t="array" ref="E51">SUM(IF(('W19. Transport total capacity'!$B$48:$B$281=$A51)*(('W19. Transport total capacity'!$D$48:$D$281=E$44)+('W19. Transport total capacity'!$D$48:$D$281=E$45))*('W19. Transport total capacity'!$E$47:$O$47=E$48),'W19. Transport total capacity'!$E$48:$O$281))</f>
        <v>7709.4588684473865</v>
      </c>
      <c r="F51" s="34">
        <f t="array" ref="F51">SUM(IF(('W19. Transport total capacity'!$B$48:$B$281=$A51)*(('W19. Transport total capacity'!$D$48:$D$281=F$44)+('W19. Transport total capacity'!$D$48:$D$281=F$45))*('W19. Transport total capacity'!$E$47:$O$47=F$48),'W19. Transport total capacity'!$E$48:$O$281))</f>
        <v>15219.955639815207</v>
      </c>
      <c r="G51" s="34">
        <f t="array" ref="G51">SUM(IF(('W19. Transport total capacity'!$B$48:$B$281=$A51)*(('W19.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1" s="34">
        <f t="array" ref="H51">SUM(IF(('W19. Transport total capacity'!$B$48:$B$281=$A51)*(('W19.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1" s="34">
        <f t="array" ref="I51">SUM(IF(('W19. Transport total capacity'!$B$48:$B$281=$A51)*(('W19.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22586.208246614271</v>
      </c>
      <c r="J51" s="34">
        <f t="array" ref="J51">SUM(IF(('W19. Transport total capacity'!$B$48:$B$281=$A51)*(('W19.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18322.628998992484</v>
      </c>
      <c r="K51" s="34">
        <f t="array" ref="K51">SUM(IF(('W19. Transport total capacity'!$B$48:$B$281=$A51)*(('W19.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15011.002241220305</v>
      </c>
      <c r="L51" s="34">
        <f t="array" ref="L51">SUM(IF(('W19. Transport total capacity'!$B$48:$B$281=$A51)*(('W19.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1" s="34">
        <f t="array" ref="M51">SUM(IF(('W19. Transport total capacity'!$B$48:$B$281=$A51)*(('W19.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1" s="34">
        <f t="array" ref="N51">SUM(IF(('W19. Transport total capacity'!$B$48:$B$281=$A51)*(('W19.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2147.2107968402688</v>
      </c>
      <c r="O51" s="34">
        <f t="array" ref="O51">SUM(IF(('W19. Transport total capacity'!$B$48:$B$281=$A51)*(('W19.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3090.8712726181857</v>
      </c>
      <c r="P51" s="34">
        <f t="array" ref="P51">SUM(IF(('W19. Transport total capacity'!$B$48:$B$281=$A51)*(('W19.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4169.1158793172135</v>
      </c>
      <c r="Q51" s="42">
        <f t="shared" si="7"/>
        <v>2.9736971761419417E-3</v>
      </c>
      <c r="R51" s="14">
        <f t="shared" si="8"/>
        <v>2.6894769836267765</v>
      </c>
      <c r="S51" s="14">
        <f t="shared" si="9"/>
        <v>172.79605002617052</v>
      </c>
      <c r="T51" s="14">
        <f t="shared" si="10"/>
        <v>374.94416243953987</v>
      </c>
      <c r="U51" s="14">
        <f t="shared" si="11"/>
        <v>740.2119418644395</v>
      </c>
      <c r="V51" s="14">
        <f t="shared" si="12"/>
        <v>827.29500846404051</v>
      </c>
      <c r="W51" s="14">
        <f t="shared" si="13"/>
        <v>1187.224668266866</v>
      </c>
      <c r="X51" s="14">
        <f t="shared" si="14"/>
        <v>1098.464506811398</v>
      </c>
      <c r="Y51" s="14">
        <f t="shared" si="15"/>
        <v>891.1082996803392</v>
      </c>
      <c r="Z51" s="14">
        <f t="shared" si="16"/>
        <v>730.0496388595285</v>
      </c>
      <c r="AA51" s="14">
        <f t="shared" si="17"/>
        <v>7.6176664454504062</v>
      </c>
      <c r="AB51" s="14">
        <f t="shared" si="17"/>
        <v>58.358135321700885</v>
      </c>
      <c r="AC51" s="14">
        <f t="shared" si="17"/>
        <v>104.42810157498747</v>
      </c>
      <c r="AD51" s="14">
        <f t="shared" si="17"/>
        <v>150.32237155623517</v>
      </c>
      <c r="AE51" s="774">
        <f t="shared" si="17"/>
        <v>202.76204700717076</v>
      </c>
      <c r="AF51" s="14">
        <f t="shared" si="19"/>
        <v>834.91564860666699</v>
      </c>
      <c r="AG51" s="14">
        <f t="shared" si="18"/>
        <v>1248.2722805721937</v>
      </c>
      <c r="AH51" s="14">
        <f t="shared" si="18"/>
        <v>1375.6886584125559</v>
      </c>
      <c r="AI51" s="14">
        <f t="shared" si="18"/>
        <v>1416.3748336761141</v>
      </c>
      <c r="AJ51" s="14">
        <f t="shared" si="18"/>
        <v>1673.023627731139</v>
      </c>
    </row>
    <row r="52" spans="1:36" x14ac:dyDescent="0.3">
      <c r="A52" s="3" t="str">
        <f t="shared" si="6"/>
        <v>Vivid_2</v>
      </c>
      <c r="B52" s="34">
        <f t="array" ref="B52">SUM(IF(('W19. Transport total capacity'!$B$48:$B$281=$A52)*(('W19. Transport total capacity'!$D$48:$D$281=B$44)+('W19. Transport total capacity'!$D$48:$D$281=B$45))*('W19. Transport total capacity'!$E$47:$O$47=B$48),'W19. Transport total capacity'!$E$48:$O$281))</f>
        <v>6.1144027199999992E-2</v>
      </c>
      <c r="C52" s="34">
        <f t="array" ref="C52">SUM(IF(('W19. Transport total capacity'!$B$48:$B$281=$A52)*(('W19. Transport total capacity'!$D$48:$D$281=C$44)+('W19. Transport total capacity'!$D$48:$D$281=C$45))*('W19. Transport total capacity'!$E$47:$O$47=C$48),'W19. Transport total capacity'!$E$48:$O$281))</f>
        <v>55.300000000000061</v>
      </c>
      <c r="D52" s="34">
        <f t="array" ref="D52">SUM(IF(('W19. Transport total capacity'!$B$48:$B$281=$A52)*(('W19. Transport total capacity'!$D$48:$D$281=D$44)+('W19. Transport total capacity'!$D$48:$D$281=D$45))*('W19. Transport total capacity'!$E$47:$O$47=D$48),'W19. Transport total capacity'!$E$48:$O$281))</f>
        <v>3568.1113300340362</v>
      </c>
      <c r="E52" s="34">
        <f t="array" ref="E52">SUM(IF(('W19. Transport total capacity'!$B$48:$B$281=$A52)*(('W19. Transport total capacity'!$D$48:$D$281=E$44)+('W19. Transport total capacity'!$D$48:$D$281=E$45))*('W19. Transport total capacity'!$E$47:$O$47=E$48),'W19. Transport total capacity'!$E$48:$O$281))</f>
        <v>7651.171966072845</v>
      </c>
      <c r="F52" s="34">
        <f t="array" ref="F52">SUM(IF(('W19. Transport total capacity'!$B$48:$B$281=$A52)*(('W19. Transport total capacity'!$D$48:$D$281=F$44)+('W19. Transport total capacity'!$D$48:$D$281=F$45))*('W19. Transport total capacity'!$E$47:$O$47=F$48),'W19. Transport total capacity'!$E$48:$O$281))</f>
        <v>14969.0788360595</v>
      </c>
      <c r="G52" s="34">
        <f t="array" ref="G52">SUM(IF(('W19. Transport total capacity'!$B$48:$B$281=$A52)*(('W19.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2" s="34">
        <f t="array" ref="H52">SUM(IF(('W19. Transport total capacity'!$B$48:$B$281=$A52)*(('W19.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2" s="34">
        <f t="array" ref="I52">SUM(IF(('W19. Transport total capacity'!$B$48:$B$281=$A52)*(('W19.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22353.317599863898</v>
      </c>
      <c r="J52" s="34">
        <f t="array" ref="J52">SUM(IF(('W19. Transport total capacity'!$B$48:$B$281=$A52)*(('W19.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18350.774956442456</v>
      </c>
      <c r="K52" s="34">
        <f t="array" ref="K52">SUM(IF(('W19. Transport total capacity'!$B$48:$B$281=$A52)*(('W19.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15659.770168024614</v>
      </c>
      <c r="L52" s="34">
        <f t="array" ref="L52">SUM(IF(('W19. Transport total capacity'!$B$48:$B$281=$A52)*(('W19.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2" s="34">
        <f t="array" ref="M52">SUM(IF(('W19. Transport total capacity'!$B$48:$B$281=$A52)*(('W19.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2" s="34">
        <f t="array" ref="N52">SUM(IF(('W19. Transport total capacity'!$B$48:$B$281=$A52)*(('W19.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2422.3526401710355</v>
      </c>
      <c r="O52" s="34">
        <f t="array" ref="O52">SUM(IF(('W19. Transport total capacity'!$B$48:$B$281=$A52)*(('W19.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3121.0122175427682</v>
      </c>
      <c r="P52" s="34">
        <f t="array" ref="P52">SUM(IF(('W19. Transport total capacity'!$B$48:$B$281=$A52)*(('W19.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3746.7370287323538</v>
      </c>
      <c r="Q52" s="42">
        <f t="shared" si="7"/>
        <v>2.9736971761419417E-3</v>
      </c>
      <c r="R52" s="14">
        <f t="shared" si="8"/>
        <v>2.6894769836267765</v>
      </c>
      <c r="S52" s="14">
        <f t="shared" si="9"/>
        <v>173.53260935161762</v>
      </c>
      <c r="T52" s="14">
        <f t="shared" si="10"/>
        <v>372.10941953930063</v>
      </c>
      <c r="U52" s="14">
        <f t="shared" si="11"/>
        <v>728.01072324912616</v>
      </c>
      <c r="V52" s="14">
        <f t="shared" si="12"/>
        <v>827.29500846404051</v>
      </c>
      <c r="W52" s="14">
        <f t="shared" si="13"/>
        <v>1187.224668266866</v>
      </c>
      <c r="X52" s="14">
        <f t="shared" si="14"/>
        <v>1087.1380324147058</v>
      </c>
      <c r="Y52" s="14">
        <f t="shared" si="15"/>
        <v>892.47715871729827</v>
      </c>
      <c r="Z52" s="14">
        <f t="shared" si="16"/>
        <v>761.60201511369564</v>
      </c>
      <c r="AA52" s="14">
        <f t="shared" si="17"/>
        <v>7.6176664454504062</v>
      </c>
      <c r="AB52" s="14">
        <f t="shared" si="17"/>
        <v>58.358135321700885</v>
      </c>
      <c r="AC52" s="14">
        <f t="shared" si="17"/>
        <v>117.80943348946741</v>
      </c>
      <c r="AD52" s="14">
        <f t="shared" si="17"/>
        <v>151.78825541951593</v>
      </c>
      <c r="AE52" s="774">
        <f t="shared" si="17"/>
        <v>182.21994579525915</v>
      </c>
      <c r="AF52" s="14">
        <f t="shared" si="19"/>
        <v>834.91564860666699</v>
      </c>
      <c r="AG52" s="14">
        <f t="shared" si="18"/>
        <v>1248.2722805721937</v>
      </c>
      <c r="AH52" s="14">
        <f t="shared" si="18"/>
        <v>1378.4800752557908</v>
      </c>
      <c r="AI52" s="14">
        <f t="shared" si="18"/>
        <v>1416.3748336761148</v>
      </c>
      <c r="AJ52" s="14">
        <f t="shared" si="18"/>
        <v>1671.8326841580811</v>
      </c>
    </row>
    <row r="53" spans="1:36" x14ac:dyDescent="0.3">
      <c r="A53" s="3" t="str">
        <f t="shared" si="6"/>
        <v>Vivid_25</v>
      </c>
      <c r="B53" s="34">
        <f t="array" ref="B53">SUM(IF(('W19. Transport total capacity'!$B$48:$B$281=$A53)*(('W19. Transport total capacity'!$D$48:$D$281=B$44)+('W19. Transport total capacity'!$D$48:$D$281=B$45))*('W19. Transport total capacity'!$E$47:$O$47=B$48),'W19. Transport total capacity'!$E$48:$O$281))</f>
        <v>6.1144027199999992E-2</v>
      </c>
      <c r="C53" s="34">
        <f t="array" ref="C53">SUM(IF(('W19. Transport total capacity'!$B$48:$B$281=$A53)*(('W19. Transport total capacity'!$D$48:$D$281=C$44)+('W19. Transport total capacity'!$D$48:$D$281=C$45))*('W19. Transport total capacity'!$E$47:$O$47=C$48),'W19. Transport total capacity'!$E$48:$O$281))</f>
        <v>55.300000000000061</v>
      </c>
      <c r="D53" s="34">
        <f t="array" ref="D53">SUM(IF(('W19. Transport total capacity'!$B$48:$B$281=$A53)*(('W19. Transport total capacity'!$D$48:$D$281=D$44)+('W19. Transport total capacity'!$D$48:$D$281=D$45))*('W19. Transport total capacity'!$E$47:$O$47=D$48),'W19. Transport total capacity'!$E$48:$O$281))</f>
        <v>3640.0870160665982</v>
      </c>
      <c r="E53" s="34">
        <f t="array" ref="E53">SUM(IF(('W19. Transport total capacity'!$B$48:$B$281=$A53)*(('W19. Transport total capacity'!$D$48:$D$281=E$44)+('W19. Transport total capacity'!$D$48:$D$281=E$45))*('W19. Transport total capacity'!$E$47:$O$47=E$48),'W19. Transport total capacity'!$E$48:$O$281))</f>
        <v>8027.2314650861163</v>
      </c>
      <c r="F53" s="34">
        <f t="array" ref="F53">SUM(IF(('W19. Transport total capacity'!$B$48:$B$281=$A53)*(('W19. Transport total capacity'!$D$48:$D$281=F$44)+('W19. Transport total capacity'!$D$48:$D$281=F$45))*('W19. Transport total capacity'!$E$47:$O$47=F$48),'W19. Transport total capacity'!$E$48:$O$281))</f>
        <v>16016.563172731801</v>
      </c>
      <c r="G53" s="34">
        <f t="array" ref="G53">SUM(IF(('W19. Transport total capacity'!$B$48:$B$281=$A53)*(('W19.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3" s="34">
        <f t="array" ref="H53">SUM(IF(('W19. Transport total capacity'!$B$48:$B$281=$A53)*(('W19.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3" s="34">
        <f t="array" ref="I53">SUM(IF(('W19. Transport total capacity'!$B$48:$B$281=$A53)*(('W19.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22283.253532436382</v>
      </c>
      <c r="J53" s="34">
        <f t="array" ref="J53">SUM(IF(('W19. Transport total capacity'!$B$48:$B$281=$A53)*(('W19.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18493.635432290394</v>
      </c>
      <c r="K53" s="34">
        <f t="array" ref="K53">SUM(IF(('W19. Transport total capacity'!$B$48:$B$281=$A53)*(('W19.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15067.077493478708</v>
      </c>
      <c r="L53" s="34">
        <f t="array" ref="L53">SUM(IF(('W19. Transport total capacity'!$B$48:$B$281=$A53)*(('W19.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3" s="34">
        <f t="array" ref="M53">SUM(IF(('W19. Transport total capacity'!$B$48:$B$281=$A53)*(('W19.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3" s="34">
        <f t="array" ref="N53">SUM(IF(('W19. Transport total capacity'!$B$48:$B$281=$A53)*(('W19.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2030.0699794008378</v>
      </c>
      <c r="O53" s="34">
        <f t="array" ref="O53">SUM(IF(('W19. Transport total capacity'!$B$48:$B$281=$A53)*(('W19.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2522.8406832224787</v>
      </c>
      <c r="P53" s="34">
        <f t="array" ref="P53">SUM(IF(('W19. Transport total capacity'!$B$48:$B$281=$A53)*(('W19.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3008.5704476791484</v>
      </c>
      <c r="Q53" s="42">
        <f t="shared" si="7"/>
        <v>2.9736971761419417E-3</v>
      </c>
      <c r="R53" s="14">
        <f t="shared" si="8"/>
        <v>2.6894769836267765</v>
      </c>
      <c r="S53" s="14">
        <f t="shared" si="9"/>
        <v>177.03309671084588</v>
      </c>
      <c r="T53" s="14">
        <f t="shared" si="10"/>
        <v>390.39881134889214</v>
      </c>
      <c r="U53" s="14">
        <f t="shared" si="11"/>
        <v>778.95439439179734</v>
      </c>
      <c r="V53" s="14">
        <f t="shared" si="12"/>
        <v>827.29500846404051</v>
      </c>
      <c r="W53" s="14">
        <f t="shared" si="13"/>
        <v>1187.224668266866</v>
      </c>
      <c r="X53" s="14">
        <f t="shared" si="14"/>
        <v>1083.7305152948941</v>
      </c>
      <c r="Y53" s="14">
        <f t="shared" si="15"/>
        <v>899.42507845803959</v>
      </c>
      <c r="Z53" s="14">
        <f t="shared" si="16"/>
        <v>732.77681969678054</v>
      </c>
      <c r="AA53" s="14">
        <f t="shared" si="17"/>
        <v>7.6176664454504062</v>
      </c>
      <c r="AB53" s="14">
        <f t="shared" si="17"/>
        <v>58.358135321700885</v>
      </c>
      <c r="AC53" s="14">
        <f t="shared" si="17"/>
        <v>98.731039507237455</v>
      </c>
      <c r="AD53" s="14">
        <f t="shared" si="17"/>
        <v>122.69659947349187</v>
      </c>
      <c r="AE53" s="774">
        <f t="shared" si="17"/>
        <v>146.31972825773539</v>
      </c>
      <c r="AF53" s="14">
        <f t="shared" si="19"/>
        <v>834.91564860666699</v>
      </c>
      <c r="AG53" s="14">
        <f t="shared" si="18"/>
        <v>1248.2722805721937</v>
      </c>
      <c r="AH53" s="14">
        <f t="shared" si="18"/>
        <v>1359.4946515129775</v>
      </c>
      <c r="AI53" s="14">
        <f t="shared" si="18"/>
        <v>1412.5204892804236</v>
      </c>
      <c r="AJ53" s="14">
        <f t="shared" si="18"/>
        <v>1658.0509423463131</v>
      </c>
    </row>
    <row r="54" spans="1:36" x14ac:dyDescent="0.3">
      <c r="A54" s="3" t="str">
        <f t="shared" si="6"/>
        <v>Vivid_3</v>
      </c>
      <c r="B54" s="34">
        <f t="array" ref="B54">SUM(IF(('W19. Transport total capacity'!$B$48:$B$281=$A54)*(('W19. Transport total capacity'!$D$48:$D$281=B$44)+('W19. Transport total capacity'!$D$48:$D$281=B$45))*('W19. Transport total capacity'!$E$47:$O$47=B$48),'W19. Transport total capacity'!$E$48:$O$281))</f>
        <v>6.1144027199999992E-2</v>
      </c>
      <c r="C54" s="34">
        <f t="array" ref="C54">SUM(IF(('W19. Transport total capacity'!$B$48:$B$281=$A54)*(('W19. Transport total capacity'!$D$48:$D$281=C$44)+('W19. Transport total capacity'!$D$48:$D$281=C$45))*('W19. Transport total capacity'!$E$47:$O$47=C$48),'W19. Transport total capacity'!$E$48:$O$281))</f>
        <v>55.300000000000061</v>
      </c>
      <c r="D54" s="34">
        <f t="array" ref="D54">SUM(IF(('W19. Transport total capacity'!$B$48:$B$281=$A54)*(('W19. Transport total capacity'!$D$48:$D$281=D$44)+('W19. Transport total capacity'!$D$48:$D$281=D$45))*('W19. Transport total capacity'!$E$47:$O$47=D$48),'W19. Transport total capacity'!$E$48:$O$281))</f>
        <v>3552.966478099926</v>
      </c>
      <c r="E54" s="34">
        <f t="array" ref="E54">SUM(IF(('W19. Transport total capacity'!$B$48:$B$281=$A54)*(('W19. Transport total capacity'!$D$48:$D$281=E$44)+('W19. Transport total capacity'!$D$48:$D$281=E$45))*('W19. Transport total capacity'!$E$47:$O$47=E$48),'W19. Transport total capacity'!$E$48:$O$281))</f>
        <v>7700.7159583821995</v>
      </c>
      <c r="F54" s="34">
        <f t="array" ref="F54">SUM(IF(('W19. Transport total capacity'!$B$48:$B$281=$A54)*(('W19. Transport total capacity'!$D$48:$D$281=F$44)+('W19. Transport total capacity'!$D$48:$D$281=F$45))*('W19. Transport total capacity'!$E$47:$O$47=F$48),'W19. Transport total capacity'!$E$48:$O$281))</f>
        <v>15213.298628993003</v>
      </c>
      <c r="G54" s="34">
        <f t="array" ref="G54">SUM(IF(('W19. Transport total capacity'!$B$48:$B$281=$A54)*(('W19.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4" s="34">
        <f t="array" ref="H54">SUM(IF(('W19. Transport total capacity'!$B$48:$B$281=$A54)*(('W19.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4" s="34">
        <f t="array" ref="I54">SUM(IF(('W19. Transport total capacity'!$B$48:$B$281=$A54)*(('W19.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22506.688942284283</v>
      </c>
      <c r="J54" s="34">
        <f t="array" ref="J54">SUM(IF(('W19. Transport total capacity'!$B$48:$B$281=$A54)*(('W19.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18304.144701093202</v>
      </c>
      <c r="K54" s="34">
        <f t="array" ref="K54">SUM(IF(('W19. Transport total capacity'!$B$48:$B$281=$A54)*(('W19.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15070.325546798786</v>
      </c>
      <c r="L54" s="34">
        <f t="array" ref="L54">SUM(IF(('W19. Transport total capacity'!$B$48:$B$281=$A54)*(('W19.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4" s="34">
        <f t="array" ref="M54">SUM(IF(('W19. Transport total capacity'!$B$48:$B$281=$A54)*(('W19.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4" s="34">
        <f t="array" ref="N54">SUM(IF(('W19. Transport total capacity'!$B$48:$B$281=$A54)*(('W19.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2231.1386172818966</v>
      </c>
      <c r="O54" s="34">
        <f t="array" ref="O54">SUM(IF(('W19. Transport total capacity'!$B$48:$B$281=$A54)*(('W19.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3118.0984805826565</v>
      </c>
      <c r="P54" s="34">
        <f t="array" ref="P54">SUM(IF(('W19. Transport total capacity'!$B$48:$B$281=$A54)*(('W19.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4116.4495845609445</v>
      </c>
      <c r="Q54" s="42">
        <f t="shared" si="7"/>
        <v>2.9736971761419417E-3</v>
      </c>
      <c r="R54" s="14">
        <f t="shared" si="8"/>
        <v>2.6894769836267765</v>
      </c>
      <c r="S54" s="14">
        <f t="shared" si="9"/>
        <v>172.79605002617052</v>
      </c>
      <c r="T54" s="14">
        <f t="shared" si="10"/>
        <v>374.51895709794422</v>
      </c>
      <c r="U54" s="14">
        <f t="shared" si="11"/>
        <v>739.8881827797004</v>
      </c>
      <c r="V54" s="14">
        <f t="shared" si="12"/>
        <v>827.29500846404051</v>
      </c>
      <c r="W54" s="14">
        <f t="shared" si="13"/>
        <v>1187.224668266866</v>
      </c>
      <c r="X54" s="14">
        <f t="shared" si="14"/>
        <v>1094.597140830394</v>
      </c>
      <c r="Y54" s="14">
        <f t="shared" si="15"/>
        <v>890.20932872629544</v>
      </c>
      <c r="Z54" s="14">
        <f t="shared" si="16"/>
        <v>732.93478650773784</v>
      </c>
      <c r="AA54" s="14">
        <f t="shared" si="17"/>
        <v>7.6176664454504062</v>
      </c>
      <c r="AB54" s="14">
        <f t="shared" si="17"/>
        <v>58.358135321700885</v>
      </c>
      <c r="AC54" s="14">
        <f t="shared" si="17"/>
        <v>108.50987266655561</v>
      </c>
      <c r="AD54" s="14">
        <f t="shared" si="17"/>
        <v>151.64654785187466</v>
      </c>
      <c r="AE54" s="774">
        <f t="shared" si="17"/>
        <v>200.2006584437008</v>
      </c>
      <c r="AF54" s="14">
        <f t="shared" si="19"/>
        <v>834.91564860666699</v>
      </c>
      <c r="AG54" s="14">
        <f t="shared" si="18"/>
        <v>1248.2722805721937</v>
      </c>
      <c r="AH54" s="14">
        <f t="shared" si="18"/>
        <v>1375.9030635231202</v>
      </c>
      <c r="AI54" s="14">
        <f t="shared" si="18"/>
        <v>1416.3748336761143</v>
      </c>
      <c r="AJ54" s="14">
        <f t="shared" si="18"/>
        <v>1673.0236277311392</v>
      </c>
    </row>
    <row r="55" spans="1:36" x14ac:dyDescent="0.3">
      <c r="A55" s="3" t="str">
        <f t="shared" si="6"/>
        <v>Vivid_5v2</v>
      </c>
      <c r="B55" s="34">
        <f t="array" ref="B55">SUM(IF(('W19. Transport total capacity'!$B$48:$B$281=$A55)*(('W19. Transport total capacity'!$D$48:$D$281=B$44)+('W19. Transport total capacity'!$D$48:$D$281=B$45))*('W19. Transport total capacity'!$E$47:$O$47=B$48),'W19. Transport total capacity'!$E$48:$O$281))</f>
        <v>6.1144027199999992E-2</v>
      </c>
      <c r="C55" s="34">
        <f t="array" ref="C55">SUM(IF(('W19. Transport total capacity'!$B$48:$B$281=$A55)*(('W19. Transport total capacity'!$D$48:$D$281=C$44)+('W19. Transport total capacity'!$D$48:$D$281=C$45))*('W19. Transport total capacity'!$E$47:$O$47=C$48),'W19. Transport total capacity'!$E$48:$O$281))</f>
        <v>55.300000000000061</v>
      </c>
      <c r="D55" s="34">
        <f t="array" ref="D55">SUM(IF(('W19. Transport total capacity'!$B$48:$B$281=$A55)*(('W19. Transport total capacity'!$D$48:$D$281=D$44)+('W19. Transport total capacity'!$D$48:$D$281=D$45))*('W19. Transport total capacity'!$E$47:$O$47=D$48),'W19. Transport total capacity'!$E$48:$O$281))</f>
        <v>3658.0074112551802</v>
      </c>
      <c r="E55" s="34">
        <f t="array" ref="E55">SUM(IF(('W19. Transport total capacity'!$B$48:$B$281=$A55)*(('W19. Transport total capacity'!$D$48:$D$281=E$44)+('W19. Transport total capacity'!$D$48:$D$281=E$45))*('W19. Transport total capacity'!$E$47:$O$47=E$48),'W19. Transport total capacity'!$E$48:$O$281))</f>
        <v>7740.6053860948277</v>
      </c>
      <c r="F55" s="34">
        <f t="array" ref="F55">SUM(IF(('W19. Transport total capacity'!$B$48:$B$281=$A55)*(('W19. Transport total capacity'!$D$48:$D$281=F$44)+('W19. Transport total capacity'!$D$48:$D$281=F$45))*('W19. Transport total capacity'!$E$47:$O$47=F$48),'W19. Transport total capacity'!$E$48:$O$281))</f>
        <v>15218.935584221488</v>
      </c>
      <c r="G55" s="34">
        <f t="array" ref="G55">SUM(IF(('W19. Transport total capacity'!$B$48:$B$281=$A55)*(('W19.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5" s="34">
        <f t="array" ref="H55">SUM(IF(('W19. Transport total capacity'!$B$48:$B$281=$A55)*(('W19.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5" s="34">
        <f t="array" ref="I55">SUM(IF(('W19. Transport total capacity'!$B$48:$B$281=$A55)*(('W19.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22483.935736376534</v>
      </c>
      <c r="J55" s="34">
        <f t="array" ref="J55">SUM(IF(('W19. Transport total capacity'!$B$48:$B$281=$A55)*(('W19.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18239.293834131749</v>
      </c>
      <c r="K55" s="34">
        <f t="array" ref="K55">SUM(IF(('W19. Transport total capacity'!$B$48:$B$281=$A55)*(('W19.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14986.302044840682</v>
      </c>
      <c r="L55" s="34">
        <f t="array" ref="L55">SUM(IF(('W19. Transport total capacity'!$B$48:$B$281=$A55)*(('W19.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5" s="34">
        <f t="array" ref="M55">SUM(IF(('W19. Transport total capacity'!$B$48:$B$281=$A55)*(('W19.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5" s="34">
        <f t="array" ref="N55">SUM(IF(('W19. Transport total capacity'!$B$48:$B$281=$A55)*(('W19.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2136.9684433876582</v>
      </c>
      <c r="O55" s="34">
        <f t="array" ref="O55">SUM(IF(('W19. Transport total capacity'!$B$48:$B$281=$A55)*(('W19.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3138.7578800389001</v>
      </c>
      <c r="P55" s="34">
        <f t="array" ref="P55">SUM(IF(('W19. Transport total capacity'!$B$48:$B$281=$A55)*(('W19.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4184.7704086448903</v>
      </c>
      <c r="Q55" s="42">
        <f t="shared" si="7"/>
        <v>2.9736971761419417E-3</v>
      </c>
      <c r="R55" s="14">
        <f t="shared" si="8"/>
        <v>2.6894769836267765</v>
      </c>
      <c r="S55" s="14">
        <f t="shared" si="9"/>
        <v>177.90464264931219</v>
      </c>
      <c r="T55" s="14">
        <f t="shared" si="10"/>
        <v>376.45895163181689</v>
      </c>
      <c r="U55" s="14">
        <f t="shared" si="11"/>
        <v>740.1623321711063</v>
      </c>
      <c r="V55" s="14">
        <f t="shared" si="12"/>
        <v>827.29500846404051</v>
      </c>
      <c r="W55" s="14">
        <f t="shared" si="13"/>
        <v>1187.224668266866</v>
      </c>
      <c r="X55" s="14">
        <f t="shared" si="14"/>
        <v>1093.4905545086469</v>
      </c>
      <c r="Y55" s="14">
        <f t="shared" si="15"/>
        <v>887.055351980164</v>
      </c>
      <c r="Z55" s="14">
        <f t="shared" si="16"/>
        <v>728.84836201225801</v>
      </c>
      <c r="AA55" s="14">
        <f t="shared" si="17"/>
        <v>7.6176664454504062</v>
      </c>
      <c r="AB55" s="14">
        <f t="shared" si="17"/>
        <v>58.358135321700885</v>
      </c>
      <c r="AC55" s="14">
        <f t="shared" si="17"/>
        <v>103.92997184860471</v>
      </c>
      <c r="AD55" s="14">
        <f t="shared" si="17"/>
        <v>152.65130335518603</v>
      </c>
      <c r="AE55" s="774">
        <f t="shared" si="17"/>
        <v>203.52339413766438</v>
      </c>
      <c r="AF55" s="14">
        <f t="shared" si="19"/>
        <v>834.91564860666699</v>
      </c>
      <c r="AG55" s="14">
        <f t="shared" si="18"/>
        <v>1248.2722805721937</v>
      </c>
      <c r="AH55" s="14">
        <f t="shared" si="18"/>
        <v>1375.3251690065638</v>
      </c>
      <c r="AI55" s="14">
        <f t="shared" si="18"/>
        <v>1416.1656069671669</v>
      </c>
      <c r="AJ55" s="14">
        <f t="shared" si="18"/>
        <v>1672.5340883210285</v>
      </c>
    </row>
    <row r="56" spans="1:36" x14ac:dyDescent="0.3">
      <c r="A56" s="3" t="str">
        <f t="shared" si="6"/>
        <v>Vivid_7</v>
      </c>
      <c r="B56" s="34">
        <f t="array" ref="B56">SUM(IF(('W19. Transport total capacity'!$B$48:$B$281=$A56)*(('W19. Transport total capacity'!$D$48:$D$281=B$44)+('W19. Transport total capacity'!$D$48:$D$281=B$45))*('W19. Transport total capacity'!$E$47:$O$47=B$48),'W19. Transport total capacity'!$E$48:$O$281))</f>
        <v>6.1144027199999992E-2</v>
      </c>
      <c r="C56" s="34">
        <f t="array" ref="C56">SUM(IF(('W19. Transport total capacity'!$B$48:$B$281=$A56)*(('W19. Transport total capacity'!$D$48:$D$281=C$44)+('W19. Transport total capacity'!$D$48:$D$281=C$45))*('W19. Transport total capacity'!$E$47:$O$47=C$48),'W19. Transport total capacity'!$E$48:$O$281))</f>
        <v>55.300000000000061</v>
      </c>
      <c r="D56" s="34">
        <f t="array" ref="D56">SUM(IF(('W19. Transport total capacity'!$B$48:$B$281=$A56)*(('W19. Transport total capacity'!$D$48:$D$281=D$44)+('W19. Transport total capacity'!$D$48:$D$281=D$45))*('W19. Transport total capacity'!$E$47:$O$47=D$48),'W19. Transport total capacity'!$E$48:$O$281))</f>
        <v>14383.668695847367</v>
      </c>
      <c r="E56" s="34">
        <f t="array" ref="E56">SUM(IF(('W19. Transport total capacity'!$B$48:$B$281=$A56)*(('W19. Transport total capacity'!$D$48:$D$281=E$44)+('W19. Transport total capacity'!$D$48:$D$281=E$45))*('W19. Transport total capacity'!$E$47:$O$47=E$48),'W19. Transport total capacity'!$E$48:$O$281))</f>
        <v>19414.566471463779</v>
      </c>
      <c r="F56" s="34">
        <f t="array" ref="F56">SUM(IF(('W19. Transport total capacity'!$B$48:$B$281=$A56)*(('W19. Transport total capacity'!$D$48:$D$281=F$44)+('W19. Transport total capacity'!$D$48:$D$281=F$45))*('W19. Transport total capacity'!$E$47:$O$47=F$48),'W19. Transport total capacity'!$E$48:$O$281))</f>
        <v>26676.954958495484</v>
      </c>
      <c r="G56" s="34">
        <f t="array" ref="G56">SUM(IF(('W19. Transport total capacity'!$B$48:$B$281=$A56)*(('W19.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6" s="34">
        <f t="array" ref="H56">SUM(IF(('W19. Transport total capacity'!$B$48:$B$281=$A56)*(('W19.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6" s="34">
        <f t="array" ref="I56">SUM(IF(('W19. Transport total capacity'!$B$48:$B$281=$A56)*(('W19.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13360.794130427472</v>
      </c>
      <c r="J56" s="34">
        <f t="array" ref="J56">SUM(IF(('W19. Transport total capacity'!$B$48:$B$281=$A56)*(('W19.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8342.2078216845402</v>
      </c>
      <c r="K56" s="34">
        <f t="array" ref="K56">SUM(IF(('W19. Transport total capacity'!$B$48:$B$281=$A56)*(('W19.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5129.6660314391675</v>
      </c>
      <c r="L56" s="34">
        <f t="array" ref="L56">SUM(IF(('W19. Transport total capacity'!$B$48:$B$281=$A56)*(('W19.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6" s="34">
        <f t="array" ref="M56">SUM(IF(('W19. Transport total capacity'!$B$48:$B$281=$A56)*(('W19.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6" s="34">
        <f t="array" ref="N56">SUM(IF(('W19. Transport total capacity'!$B$48:$B$281=$A56)*(('W19.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1318.2057452530739</v>
      </c>
      <c r="O56" s="34">
        <f t="array" ref="O56">SUM(IF(('W19. Transport total capacity'!$B$48:$B$281=$A56)*(('W19.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2121.0055333561381</v>
      </c>
      <c r="P56" s="34">
        <f t="array" ref="P56">SUM(IF(('W19. Transport total capacity'!$B$48:$B$281=$A56)*(('W19.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3753.3704807063777</v>
      </c>
      <c r="Q56" s="42">
        <f t="shared" si="7"/>
        <v>2.9736971761419417E-3</v>
      </c>
      <c r="R56" s="14">
        <f t="shared" si="8"/>
        <v>2.6894769836267765</v>
      </c>
      <c r="S56" s="14">
        <f t="shared" si="9"/>
        <v>699.539708817259</v>
      </c>
      <c r="T56" s="14">
        <f t="shared" si="10"/>
        <v>944.21391812104696</v>
      </c>
      <c r="U56" s="14">
        <f t="shared" si="11"/>
        <v>1297.4151239443352</v>
      </c>
      <c r="V56" s="14">
        <f t="shared" si="12"/>
        <v>827.29500846404051</v>
      </c>
      <c r="W56" s="14">
        <f t="shared" si="13"/>
        <v>1187.224668266866</v>
      </c>
      <c r="X56" s="14">
        <f t="shared" si="14"/>
        <v>649.79291675877721</v>
      </c>
      <c r="Y56" s="14">
        <f t="shared" si="15"/>
        <v>405.71746707146139</v>
      </c>
      <c r="Z56" s="14">
        <f t="shared" si="16"/>
        <v>249.47773463377459</v>
      </c>
      <c r="AA56" s="14">
        <f t="shared" si="17"/>
        <v>7.6176664454504062</v>
      </c>
      <c r="AB56" s="14">
        <f t="shared" si="17"/>
        <v>58.358135321700885</v>
      </c>
      <c r="AC56" s="14">
        <f t="shared" si="17"/>
        <v>64.110018291911757</v>
      </c>
      <c r="AD56" s="14">
        <f t="shared" si="17"/>
        <v>103.1536268373664</v>
      </c>
      <c r="AE56" s="774">
        <f t="shared" si="17"/>
        <v>182.54255911182571</v>
      </c>
      <c r="AF56" s="14">
        <f t="shared" si="19"/>
        <v>834.91564860666699</v>
      </c>
      <c r="AG56" s="14">
        <f t="shared" si="18"/>
        <v>1248.2722805721937</v>
      </c>
      <c r="AH56" s="14">
        <f t="shared" si="18"/>
        <v>1413.4426438679479</v>
      </c>
      <c r="AI56" s="14">
        <f t="shared" si="18"/>
        <v>1453.0850120298746</v>
      </c>
      <c r="AJ56" s="14">
        <f t="shared" si="18"/>
        <v>1729.4354176899355</v>
      </c>
    </row>
    <row r="57" spans="1:36" x14ac:dyDescent="0.3">
      <c r="A57" s="3" t="str">
        <f t="shared" si="6"/>
        <v>Vivid_9</v>
      </c>
      <c r="B57" s="34">
        <f t="array" ref="B57">SUM(IF(('W19. Transport total capacity'!$B$48:$B$281=$A57)*(('W19. Transport total capacity'!$D$48:$D$281=B$44)+('W19. Transport total capacity'!$D$48:$D$281=B$45))*('W19. Transport total capacity'!$E$47:$O$47=B$48),'W19. Transport total capacity'!$E$48:$O$281))</f>
        <v>6.1144027199999992E-2</v>
      </c>
      <c r="C57" s="34">
        <f t="array" ref="C57">SUM(IF(('W19. Transport total capacity'!$B$48:$B$281=$A57)*(('W19. Transport total capacity'!$D$48:$D$281=C$44)+('W19. Transport total capacity'!$D$48:$D$281=C$45))*('W19. Transport total capacity'!$E$47:$O$47=C$48),'W19. Transport total capacity'!$E$48:$O$281))</f>
        <v>55.300000000000061</v>
      </c>
      <c r="D57" s="34">
        <f t="array" ref="D57">SUM(IF(('W19. Transport total capacity'!$B$48:$B$281=$A57)*(('W19. Transport total capacity'!$D$48:$D$281=D$44)+('W19. Transport total capacity'!$D$48:$D$281=D$45))*('W19. Transport total capacity'!$E$47:$O$47=D$48),'W19. Transport total capacity'!$E$48:$O$281))</f>
        <v>2532.6816809603438</v>
      </c>
      <c r="E57" s="34">
        <f t="array" ref="E57">SUM(IF(('W19. Transport total capacity'!$B$48:$B$281=$A57)*(('W19. Transport total capacity'!$D$48:$D$281=E$44)+('W19. Transport total capacity'!$D$48:$D$281=E$45))*('W19. Transport total capacity'!$E$47:$O$47=E$48),'W19. Transport total capacity'!$E$48:$O$281))</f>
        <v>6259.9234889873815</v>
      </c>
      <c r="F57" s="34">
        <f t="array" ref="F57">SUM(IF(('W19. Transport total capacity'!$B$48:$B$281=$A57)*(('W19. Transport total capacity'!$D$48:$D$281=F$44)+('W19. Transport total capacity'!$D$48:$D$281=F$45))*('W19. Transport total capacity'!$E$47:$O$47=F$48),'W19. Transport total capacity'!$E$48:$O$281))</f>
        <v>12370.394427984927</v>
      </c>
      <c r="G57" s="34">
        <f t="array" ref="G57">SUM(IF(('W19. Transport total capacity'!$B$48:$B$281=$A57)*(('W19.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7" s="34">
        <f t="array" ref="H57">SUM(IF(('W19. Transport total capacity'!$B$48:$B$281=$A57)*(('W19.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7" s="34">
        <f t="array" ref="I57">SUM(IF(('W19. Transport total capacity'!$B$48:$B$281=$A57)*(('W19.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16924.722676114332</v>
      </c>
      <c r="J57" s="34">
        <f t="array" ref="J57">SUM(IF(('W19. Transport total capacity'!$B$48:$B$281=$A57)*(('W19.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15978.052608526164</v>
      </c>
      <c r="K57" s="34">
        <f t="array" ref="K57">SUM(IF(('W19. Transport total capacity'!$B$48:$B$281=$A57)*(('W19.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11912.525427707638</v>
      </c>
      <c r="L57" s="34">
        <f t="array" ref="L57">SUM(IF(('W19. Transport total capacity'!$B$48:$B$281=$A57)*(('W19.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7" s="34">
        <f t="array" ref="M57">SUM(IF(('W19. Transport total capacity'!$B$48:$B$281=$A57)*(('W19.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7" s="34">
        <f t="array" ref="N57">SUM(IF(('W19. Transport total capacity'!$B$48:$B$281=$A57)*(('W19.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1527.307577662719</v>
      </c>
      <c r="O57" s="34">
        <f t="array" ref="O57">SUM(IF(('W19. Transport total capacity'!$B$48:$B$281=$A57)*(('W19.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2656.9459313005364</v>
      </c>
      <c r="P57" s="34">
        <f t="array" ref="P57">SUM(IF(('W19. Transport total capacity'!$B$48:$B$281=$A57)*(('W19.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3945.4755877941725</v>
      </c>
      <c r="Q57" s="42">
        <f t="shared" si="7"/>
        <v>2.9736971761419417E-3</v>
      </c>
      <c r="R57" s="14">
        <f t="shared" si="8"/>
        <v>2.6894769836267765</v>
      </c>
      <c r="S57" s="14">
        <f t="shared" si="9"/>
        <v>123.17520954423168</v>
      </c>
      <c r="T57" s="14">
        <f t="shared" si="10"/>
        <v>304.4470188588819</v>
      </c>
      <c r="U57" s="14">
        <f t="shared" si="11"/>
        <v>601.62551704250177</v>
      </c>
      <c r="V57" s="14">
        <f t="shared" si="12"/>
        <v>827.29500846404051</v>
      </c>
      <c r="W57" s="14">
        <f t="shared" si="13"/>
        <v>1187.224668266866</v>
      </c>
      <c r="X57" s="14">
        <f t="shared" si="14"/>
        <v>823.12209930697338</v>
      </c>
      <c r="Y57" s="14">
        <f t="shared" si="15"/>
        <v>777.08145992421066</v>
      </c>
      <c r="Z57" s="14">
        <f t="shared" si="16"/>
        <v>579.35737711913885</v>
      </c>
      <c r="AA57" s="14">
        <f t="shared" si="17"/>
        <v>7.6176664454504062</v>
      </c>
      <c r="AB57" s="14">
        <f t="shared" si="17"/>
        <v>58.358135321700885</v>
      </c>
      <c r="AC57" s="14">
        <f t="shared" si="17"/>
        <v>74.279540272018878</v>
      </c>
      <c r="AD57" s="14">
        <f t="shared" si="17"/>
        <v>129.2187148096491</v>
      </c>
      <c r="AE57" s="774">
        <f t="shared" si="17"/>
        <v>191.88545719410021</v>
      </c>
      <c r="AF57" s="14">
        <f t="shared" si="19"/>
        <v>834.91564860666699</v>
      </c>
      <c r="AG57" s="14">
        <f t="shared" si="18"/>
        <v>1248.2722805721937</v>
      </c>
      <c r="AH57" s="14">
        <f t="shared" si="18"/>
        <v>1020.576849123224</v>
      </c>
      <c r="AI57" s="14">
        <f t="shared" si="18"/>
        <v>1210.7471935927417</v>
      </c>
      <c r="AJ57" s="14">
        <f t="shared" si="18"/>
        <v>1372.8683513557407</v>
      </c>
    </row>
    <row r="58" spans="1:36" ht="15" thickBot="1" x14ac:dyDescent="0.35"/>
    <row r="59" spans="1:36" s="25" customFormat="1" ht="15" thickBot="1" x14ac:dyDescent="0.35">
      <c r="A59" s="24" t="s">
        <v>377</v>
      </c>
    </row>
    <row r="61" spans="1:36" x14ac:dyDescent="0.3">
      <c r="A61" s="3" t="s">
        <v>8</v>
      </c>
      <c r="B61" s="3" t="s">
        <v>449</v>
      </c>
      <c r="C61" s="3" t="s">
        <v>430</v>
      </c>
      <c r="D61" s="3">
        <v>2015</v>
      </c>
      <c r="E61" s="3">
        <v>2016</v>
      </c>
      <c r="F61" s="3">
        <v>2017</v>
      </c>
      <c r="G61" s="3">
        <v>2020</v>
      </c>
      <c r="H61" s="3">
        <v>2030</v>
      </c>
      <c r="I61" s="3">
        <v>2040</v>
      </c>
      <c r="J61" s="3">
        <v>2050</v>
      </c>
    </row>
    <row r="62" spans="1:36" x14ac:dyDescent="0.3">
      <c r="A62" s="3" t="s">
        <v>450</v>
      </c>
      <c r="B62" s="3" t="s">
        <v>95</v>
      </c>
      <c r="C62" s="3" t="s">
        <v>451</v>
      </c>
      <c r="D62" s="14">
        <f>'R12. EVO 17 hist stock'!L23/10^3</f>
        <v>1.26261</v>
      </c>
      <c r="E62" s="14">
        <f>'R12. EVO 17 hist stock'!M23/10^3</f>
        <v>2.0142199999999999</v>
      </c>
    </row>
    <row r="63" spans="1:36" x14ac:dyDescent="0.3">
      <c r="A63" s="3" t="s">
        <v>452</v>
      </c>
      <c r="B63" s="3" t="s">
        <v>95</v>
      </c>
      <c r="C63" s="3" t="s">
        <v>451</v>
      </c>
      <c r="D63" s="14">
        <f>'R15. EVO 18 hist stock'!L32/10^3</f>
        <v>1.2394499999999999</v>
      </c>
      <c r="E63" s="14">
        <f>'R15. EVO 18 hist stock'!M32/10^3</f>
        <v>1.98204</v>
      </c>
      <c r="F63" s="14">
        <f>'R15. EVO 18 hist stock'!N32/10^3</f>
        <v>3.1090500000000008</v>
      </c>
    </row>
    <row r="64" spans="1:36" x14ac:dyDescent="0.3">
      <c r="A64" s="3" t="s">
        <v>438</v>
      </c>
      <c r="B64" s="3" t="s">
        <v>453</v>
      </c>
      <c r="C64" s="3" t="s">
        <v>451</v>
      </c>
      <c r="G64" s="14">
        <f>INDEX('R14. EVO 17 scenario stock'!$B$11:$H$14,MATCH($B64,'R14. EVO 17 scenario stock'!$A$11:$A$14,0),MATCH(G$61,'R14. EVO 17 scenario stock'!$B$10:$H$10,0))</f>
        <v>9.0164325458953201</v>
      </c>
      <c r="H64" s="14">
        <f>INDEX('R14. EVO 17 scenario stock'!$B$11:$H$14,MATCH($B64,'R14. EVO 17 scenario stock'!$A$11:$A$14,0),MATCH(H$61,'R14. EVO 17 scenario stock'!$B$10:$H$10,0))</f>
        <v>55.540270362869101</v>
      </c>
      <c r="I64" s="44">
        <f>TREND($G64:$H64,$G$61:$H$61,I$61)</f>
        <v>102.06410817984397</v>
      </c>
      <c r="J64" s="44">
        <f>TREND($G64:$H64,$G$61:$H$61,J$61)</f>
        <v>148.58794599681823</v>
      </c>
    </row>
    <row r="65" spans="1:10" x14ac:dyDescent="0.3">
      <c r="A65" s="3" t="s">
        <v>441</v>
      </c>
      <c r="B65" s="3" t="s">
        <v>360</v>
      </c>
      <c r="C65" s="3" t="s">
        <v>451</v>
      </c>
      <c r="G65" s="14">
        <f>INDEX('R14. EVO 17 scenario stock'!$B$11:$H$14,MATCH($B65,'R14. EVO 17 scenario stock'!$A$11:$A$14,0),MATCH(G$61,'R14. EVO 17 scenario stock'!$B$10:$H$10,0))</f>
        <v>19.8361516009697</v>
      </c>
      <c r="H65" s="14">
        <f>INDEX('R14. EVO 17 scenario stock'!$B$11:$H$14,MATCH($B65,'R14. EVO 17 scenario stock'!$A$11:$A$14,0),MATCH(H$61,'R14. EVO 17 scenario stock'!$B$10:$H$10,0))</f>
        <v>113.24543865659901</v>
      </c>
      <c r="I65" s="44">
        <f t="shared" ref="I65:J67" si="20">TREND($G65:$H65,$G$61:$H$61,I$61)</f>
        <v>206.65472571222926</v>
      </c>
      <c r="J65" s="44">
        <f t="shared" si="20"/>
        <v>300.06401276785982</v>
      </c>
    </row>
    <row r="66" spans="1:10" x14ac:dyDescent="0.3">
      <c r="A66" s="3" t="s">
        <v>444</v>
      </c>
      <c r="B66" s="3" t="s">
        <v>102</v>
      </c>
      <c r="C66" s="3" t="s">
        <v>451</v>
      </c>
      <c r="G66" s="14">
        <f>INDEX('R14. EVO 17 scenario stock'!$B$11:$H$14,MATCH($B66,'R14. EVO 17 scenario stock'!$A$11:$A$14,0),MATCH(G$61,'R14. EVO 17 scenario stock'!$B$10:$H$10,0))</f>
        <v>22.7223641355023</v>
      </c>
      <c r="H66" s="14">
        <f>INDEX('R14. EVO 17 scenario stock'!$B$11:$H$14,MATCH($B66,'R14. EVO 17 scenario stock'!$A$11:$A$14,0),MATCH(H$61,'R14. EVO 17 scenario stock'!$B$10:$H$10,0))</f>
        <v>155.804908512917</v>
      </c>
      <c r="I66" s="44">
        <f t="shared" si="20"/>
        <v>288.88745289032886</v>
      </c>
      <c r="J66" s="44">
        <f t="shared" si="20"/>
        <v>421.96999726774447</v>
      </c>
    </row>
    <row r="67" spans="1:10" x14ac:dyDescent="0.3">
      <c r="A67" s="3" t="s">
        <v>454</v>
      </c>
      <c r="B67" s="3" t="s">
        <v>455</v>
      </c>
      <c r="C67" s="3" t="s">
        <v>451</v>
      </c>
      <c r="G67" s="14">
        <f>INDEX('R14. EVO 17 scenario stock'!$B$11:$H$14,MATCH($B67,'R14. EVO 17 scenario stock'!$A$11:$A$14,0),MATCH(G$61,'R14. EVO 17 scenario stock'!$B$10:$H$10,0))</f>
        <v>25.606668430342701</v>
      </c>
      <c r="H67" s="14">
        <f>INDEX('R14. EVO 17 scenario stock'!$B$11:$H$14,MATCH($B67,'R14. EVO 17 scenario stock'!$A$11:$A$14,0),MATCH(H$61,'R14. EVO 17 scenario stock'!$B$10:$H$10,0))</f>
        <v>203.41071823539801</v>
      </c>
      <c r="I67" s="44">
        <f t="shared" si="20"/>
        <v>381.21476804045233</v>
      </c>
      <c r="J67" s="44">
        <f t="shared" si="20"/>
        <v>559.01881784550642</v>
      </c>
    </row>
  </sheetData>
  <mergeCells count="2">
    <mergeCell ref="V11:AD11"/>
    <mergeCell ref="AE11:AM11"/>
  </mergeCells>
  <conditionalFormatting sqref="A1:XFD4 C6:XFD7 A13 A46:F57 A58:XFD1048576 L46:P46 Q47:U57 A45:K45 Q45:XFD45 G49:P57 AF47:XFD47 A5:G5 I5:XFD5 AK48:XFD48 V49:XFD57 V46:XFD46 T12:T16 AT13:XFD13 C13:T13 A8:XFD10 A12:U12 AE11 X12:AD12 A11:T11 AN11:XFD12 A14:XFD18 A20:XFD44 B19:XFD19">
    <cfRule type="expression" dxfId="193" priority="14">
      <formula>_xlfn.ISFORMULA(A1)</formula>
    </cfRule>
  </conditionalFormatting>
  <conditionalFormatting sqref="A6:B7">
    <cfRule type="expression" dxfId="192" priority="13">
      <formula>_xlfn.ISFORMULA(A6)</formula>
    </cfRule>
  </conditionalFormatting>
  <conditionalFormatting sqref="B13">
    <cfRule type="expression" dxfId="191" priority="11">
      <formula>_xlfn.ISFORMULA(B13)</formula>
    </cfRule>
  </conditionalFormatting>
  <conditionalFormatting sqref="V48:Z48">
    <cfRule type="expression" dxfId="190" priority="10">
      <formula>_xlfn.ISFORMULA(V48)</formula>
    </cfRule>
  </conditionalFormatting>
  <conditionalFormatting sqref="AA48:AE48">
    <cfRule type="expression" dxfId="189" priority="9">
      <formula>_xlfn.ISFORMULA(AA48)</formula>
    </cfRule>
  </conditionalFormatting>
  <conditionalFormatting sqref="AF48:AJ48">
    <cfRule type="expression" dxfId="188" priority="6">
      <formula>_xlfn.ISFORMULA(AF48)</formula>
    </cfRule>
  </conditionalFormatting>
  <conditionalFormatting sqref="H5">
    <cfRule type="expression" dxfId="187" priority="7">
      <formula>_xlfn.ISFORMULA(H5)</formula>
    </cfRule>
  </conditionalFormatting>
  <conditionalFormatting sqref="AG12:AM12">
    <cfRule type="expression" dxfId="186" priority="4">
      <formula>_xlfn.ISFORMULA(AG12)</formula>
    </cfRule>
  </conditionalFormatting>
  <conditionalFormatting sqref="U13 X13:AM13">
    <cfRule type="expression" dxfId="185" priority="3">
      <formula>_xlfn.ISFORMULA(U13)</formula>
    </cfRule>
  </conditionalFormatting>
  <conditionalFormatting sqref="U11">
    <cfRule type="expression" dxfId="184" priority="2">
      <formula>_xlfn.ISFORMULA(U11)</formula>
    </cfRule>
  </conditionalFormatting>
  <conditionalFormatting sqref="A19">
    <cfRule type="expression" dxfId="183" priority="1">
      <formula>_xlfn.ISFORMULA(A19)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6710D-A5A5-4E97-B4B8-FE763F68DE96}">
  <sheetPr>
    <tabColor theme="4" tint="0.499984740745262"/>
    <pageSetUpPr autoPageBreaks="0"/>
  </sheetPr>
  <dimension ref="A1:AV140"/>
  <sheetViews>
    <sheetView zoomScale="55" zoomScaleNormal="55" workbookViewId="0">
      <selection activeCell="A20" sqref="A20"/>
    </sheetView>
  </sheetViews>
  <sheetFormatPr defaultColWidth="8.5546875" defaultRowHeight="14.4" x14ac:dyDescent="0.3"/>
  <cols>
    <col min="1" max="47" width="15.77734375" style="3" customWidth="1"/>
    <col min="48" max="16384" width="8.5546875" style="3"/>
  </cols>
  <sheetData>
    <row r="1" spans="1:23" s="19" customFormat="1" ht="49.5" customHeight="1" x14ac:dyDescent="0.3">
      <c r="A1" s="19" t="s">
        <v>456</v>
      </c>
    </row>
    <row r="2" spans="1:23" s="20" customFormat="1" x14ac:dyDescent="0.3">
      <c r="A2" s="20" t="s">
        <v>5</v>
      </c>
      <c r="B2" s="20" t="s">
        <v>457</v>
      </c>
    </row>
    <row r="3" spans="1:23" s="20" customFormat="1" x14ac:dyDescent="0.3">
      <c r="A3" s="20" t="s">
        <v>6</v>
      </c>
      <c r="B3" s="20" t="s">
        <v>458</v>
      </c>
    </row>
    <row r="4" spans="1:23" s="20" customFormat="1" x14ac:dyDescent="0.3">
      <c r="A4" s="20" t="s">
        <v>4</v>
      </c>
      <c r="B4" s="20" t="s">
        <v>459</v>
      </c>
      <c r="O4" s="21"/>
      <c r="P4" s="22"/>
    </row>
    <row r="5" spans="1:23" s="20" customFormat="1" x14ac:dyDescent="0.3">
      <c r="A5" s="20" t="s">
        <v>351</v>
      </c>
      <c r="B5" s="23">
        <f>1/10^3</f>
        <v>1E-3</v>
      </c>
      <c r="C5" s="20" t="s">
        <v>460</v>
      </c>
      <c r="O5" s="21"/>
      <c r="P5" s="22"/>
    </row>
    <row r="6" spans="1:23" s="20" customFormat="1" x14ac:dyDescent="0.3">
      <c r="A6" s="20" t="s">
        <v>355</v>
      </c>
      <c r="B6" s="23" t="s">
        <v>428</v>
      </c>
      <c r="O6" s="21"/>
      <c r="P6" s="22"/>
    </row>
    <row r="7" spans="1:23" s="20" customFormat="1" x14ac:dyDescent="0.3">
      <c r="A7" s="20" t="s">
        <v>997</v>
      </c>
      <c r="B7" s="23">
        <f>'O6. Total ren capacity'!$B$8</f>
        <v>1.2807159232705041</v>
      </c>
      <c r="C7" s="20" t="s">
        <v>998</v>
      </c>
      <c r="O7" s="21"/>
      <c r="P7" s="22"/>
    </row>
    <row r="8" spans="1:23" ht="15" thickBot="1" x14ac:dyDescent="0.35"/>
    <row r="9" spans="1:23" s="25" customFormat="1" ht="15" thickBot="1" x14ac:dyDescent="0.35">
      <c r="A9" s="24" t="s">
        <v>358</v>
      </c>
    </row>
    <row r="10" spans="1:23" x14ac:dyDescent="0.3">
      <c r="E10" s="26"/>
      <c r="F10" s="27"/>
      <c r="G10" s="27"/>
      <c r="H10" s="27"/>
      <c r="I10" s="27"/>
      <c r="J10" s="27"/>
    </row>
    <row r="11" spans="1:23" x14ac:dyDescent="0.3">
      <c r="A11" s="3" t="s">
        <v>8</v>
      </c>
      <c r="C11" s="35" t="s">
        <v>368</v>
      </c>
      <c r="D11" s="35" t="s">
        <v>368</v>
      </c>
      <c r="E11" s="3" t="s">
        <v>370</v>
      </c>
      <c r="F11" s="3" t="s">
        <v>372</v>
      </c>
      <c r="G11" s="35" t="s">
        <v>15</v>
      </c>
      <c r="H11" s="3" t="s">
        <v>26</v>
      </c>
      <c r="I11" s="3" t="s">
        <v>32</v>
      </c>
      <c r="J11" s="3" t="s">
        <v>37</v>
      </c>
      <c r="K11" s="3" t="s">
        <v>1026</v>
      </c>
      <c r="L11" s="3" t="s">
        <v>47</v>
      </c>
      <c r="M11" s="3" t="s">
        <v>49</v>
      </c>
      <c r="N11" s="35" t="s">
        <v>368</v>
      </c>
      <c r="O11" s="3" t="s">
        <v>368</v>
      </c>
      <c r="P11" s="3" t="s">
        <v>370</v>
      </c>
      <c r="Q11" s="35" t="s">
        <v>15</v>
      </c>
      <c r="R11" s="3" t="s">
        <v>26</v>
      </c>
      <c r="S11" s="3" t="s">
        <v>32</v>
      </c>
      <c r="T11" s="3" t="s">
        <v>37</v>
      </c>
      <c r="U11" s="3" t="s">
        <v>1026</v>
      </c>
      <c r="V11" s="3" t="s">
        <v>47</v>
      </c>
      <c r="W11" s="3" t="s">
        <v>49</v>
      </c>
    </row>
    <row r="12" spans="1:23" x14ac:dyDescent="0.3">
      <c r="A12" s="3" t="s">
        <v>86</v>
      </c>
      <c r="C12" s="35" t="str">
        <f>INDEX('R1. Scenario specifications'!$C$11:$C$60,MATCH(C$11,'R1. Scenario specifications'!$A$11:$A$60,0))</f>
        <v>Current Policies Scenario, World Energy Outlook 2018</v>
      </c>
      <c r="D12" s="35" t="str">
        <f>INDEX('R1. Scenario specifications'!$C$11:$C$60,MATCH(D$11,'R1. Scenario specifications'!$A$11:$A$60,0))</f>
        <v>Current Policies Scenario, World Energy Outlook 2018</v>
      </c>
      <c r="E12" s="3" t="str">
        <f>INDEX('R1. Scenario specifications'!$C$11:$C$60,MATCH(E$11,'R1. Scenario specifications'!$A$11:$A$60,0))</f>
        <v>New Policies Scenario, World Energy Outlook 2018</v>
      </c>
      <c r="F12" s="3" t="str">
        <f>INDEX('R1. Scenario specifications'!$C$11:$C$60,MATCH(F$11,'R1. Scenario specifications'!$A$11:$A$60,0))</f>
        <v>Sustainable Development Scenario, World Energy Outlook 2018</v>
      </c>
      <c r="G12" s="35" t="str">
        <f>INDEX('R1. Scenario specifications'!$C$11:$C$60,MATCH(G$11,'R1. Scenario specifications'!$A$11:$A$60,0))</f>
        <v>Current 2DS, 2020 start, 'Expect the Unexpected'</v>
      </c>
      <c r="H12" s="3" t="str">
        <f>INDEX('R1. Scenario specifications'!$C$11:$C$60,MATCH(H$11,'R1. Scenario specifications'!$A$11:$A$60,0))</f>
        <v>Current 2DS, 2030 start, 'Expect the Unexpected'</v>
      </c>
      <c r="I12" s="3" t="str">
        <f>INDEX('R1. Scenario specifications'!$C$11:$C$60,MATCH(I$11,'R1. Scenario specifications'!$A$11:$A$60,0))</f>
        <v>Current 1.75DS, 2020 start, 'Expect the Unexpected'</v>
      </c>
      <c r="J12" s="3" t="str">
        <f>INDEX('R1. Scenario specifications'!$C$11:$C$60,MATCH(J$11,'R1. Scenario specifications'!$A$11:$A$60,0))</f>
        <v>Current 2DS, 2020 start, 'Expect the Unexpected' but with cheap renewables</v>
      </c>
      <c r="K12" s="3" t="str">
        <f>INDEX('R1. Scenario specifications'!$C$11:$C$60,MATCH(K$11,'R1. Scenario specifications'!$A$11:$A$60,0))</f>
        <v>Current 2DS, 2020 start, 'Expect the unexpceted' but with expensive renewables (cheap CCS)</v>
      </c>
      <c r="L12" s="3" t="str">
        <f>INDEX('R1. Scenario specifications'!$C$11:$C$60,MATCH(L$11,'R1. Scenario specifications'!$A$11:$A$60,0))</f>
        <v>Current 2DS, 2020 start, 'Expect the Unexpected' but with cheap EVs</v>
      </c>
      <c r="M12" s="3" t="str">
        <f>INDEX('R1. Scenario specifications'!$C$11:$C$60,MATCH(M$11,'R1. Scenario specifications'!$A$11:$A$60,0))</f>
        <v>Current 2DS, 2020 start, 'Expect the Unexpected' but with cheap energy efficiency</v>
      </c>
      <c r="N12" s="35" t="str">
        <f>INDEX('R1. Scenario specifications'!$C$11:$C$60,MATCH(N$11,'R1. Scenario specifications'!$A$11:$A$60,0))</f>
        <v>Current Policies Scenario, World Energy Outlook 2018</v>
      </c>
      <c r="O12" s="3" t="str">
        <f>INDEX('R1. Scenario specifications'!$C$11:$C$60,MATCH(O$11,'R1. Scenario specifications'!$A$11:$A$60,0))</f>
        <v>Current Policies Scenario, World Energy Outlook 2018</v>
      </c>
      <c r="P12" s="3" t="str">
        <f>INDEX('R1. Scenario specifications'!$C$11:$C$60,MATCH(P$11,'R1. Scenario specifications'!$A$11:$A$60,0))</f>
        <v>New Policies Scenario, World Energy Outlook 2018</v>
      </c>
      <c r="Q12" s="35" t="str">
        <f>INDEX('R1. Scenario specifications'!$C$11:$C$60,MATCH(Q$11,'R1. Scenario specifications'!$A$11:$A$60,0))</f>
        <v>Current 2DS, 2020 start, 'Expect the Unexpected'</v>
      </c>
      <c r="R12" s="3" t="str">
        <f>INDEX('R1. Scenario specifications'!$C$11:$C$60,MATCH(R$11,'R1. Scenario specifications'!$A$11:$A$60,0))</f>
        <v>Current 2DS, 2030 start, 'Expect the Unexpected'</v>
      </c>
      <c r="S12" s="3" t="str">
        <f>INDEX('R1. Scenario specifications'!$C$11:$C$60,MATCH(S$11,'R1. Scenario specifications'!$A$11:$A$60,0))</f>
        <v>Current 1.75DS, 2020 start, 'Expect the Unexpected'</v>
      </c>
      <c r="T12" s="3" t="str">
        <f>INDEX('R1. Scenario specifications'!$C$11:$C$60,MATCH(T$11,'R1. Scenario specifications'!$A$11:$A$60,0))</f>
        <v>Current 2DS, 2020 start, 'Expect the Unexpected' but with cheap renewables</v>
      </c>
      <c r="U12" s="3" t="str">
        <f>INDEX('R1. Scenario specifications'!$C$11:$C$60,MATCH(U$11,'R1. Scenario specifications'!$A$11:$A$60,0))</f>
        <v>Current 2DS, 2020 start, 'Expect the unexpceted' but with expensive renewables (cheap CCS)</v>
      </c>
      <c r="V12" s="3" t="str">
        <f>INDEX('R1. Scenario specifications'!$C$11:$C$60,MATCH(V$11,'R1. Scenario specifications'!$A$11:$A$60,0))</f>
        <v>Current 2DS, 2020 start, 'Expect the Unexpected' but with cheap EVs</v>
      </c>
      <c r="W12" s="3" t="str">
        <f>INDEX('R1. Scenario specifications'!$C$11:$C$60,MATCH(W$11,'R1. Scenario specifications'!$A$11:$A$60,0))</f>
        <v>Current 2DS, 2020 start, 'Expect the Unexpected' but with cheap energy efficiency</v>
      </c>
    </row>
    <row r="13" spans="1:23" x14ac:dyDescent="0.3">
      <c r="A13" s="3" t="s">
        <v>192</v>
      </c>
      <c r="C13" s="35">
        <v>2017</v>
      </c>
      <c r="D13" s="35">
        <v>2030</v>
      </c>
      <c r="E13" s="3">
        <v>2030</v>
      </c>
      <c r="F13" s="3">
        <v>2030</v>
      </c>
      <c r="G13" s="35">
        <v>2030</v>
      </c>
      <c r="H13" s="3">
        <v>2030</v>
      </c>
      <c r="I13" s="3">
        <v>2030</v>
      </c>
      <c r="J13" s="3">
        <v>2030</v>
      </c>
      <c r="K13" s="3">
        <v>2030</v>
      </c>
      <c r="L13" s="3">
        <v>2030</v>
      </c>
      <c r="M13" s="3">
        <v>2030</v>
      </c>
      <c r="N13" s="35">
        <v>2050</v>
      </c>
      <c r="O13" s="3">
        <v>2050</v>
      </c>
      <c r="P13" s="3">
        <v>2050</v>
      </c>
      <c r="Q13" s="35">
        <v>2050</v>
      </c>
      <c r="R13" s="3">
        <v>2050</v>
      </c>
      <c r="S13" s="3">
        <v>2050</v>
      </c>
      <c r="T13" s="3">
        <v>2050</v>
      </c>
      <c r="U13" s="3">
        <v>2050</v>
      </c>
      <c r="V13" s="3">
        <v>2050</v>
      </c>
      <c r="W13" s="3">
        <v>2050</v>
      </c>
    </row>
    <row r="14" spans="1:23" x14ac:dyDescent="0.3">
      <c r="C14" s="35">
        <v>2017</v>
      </c>
      <c r="D14" s="787">
        <v>2030</v>
      </c>
      <c r="E14" s="786"/>
      <c r="F14" s="786"/>
      <c r="G14" s="786"/>
      <c r="H14" s="786"/>
      <c r="I14" s="786"/>
      <c r="J14" s="786"/>
      <c r="K14" s="786"/>
      <c r="L14" s="786"/>
      <c r="M14" s="788"/>
      <c r="N14" s="787">
        <v>2050</v>
      </c>
      <c r="O14" s="786"/>
      <c r="P14" s="786"/>
      <c r="Q14" s="786"/>
      <c r="R14" s="786"/>
      <c r="S14" s="786"/>
      <c r="T14" s="786"/>
      <c r="U14" s="786"/>
      <c r="V14" s="786"/>
      <c r="W14" s="786"/>
    </row>
    <row r="15" spans="1:23" x14ac:dyDescent="0.3">
      <c r="A15" s="3" t="s">
        <v>252</v>
      </c>
      <c r="B15" s="3" t="s">
        <v>996</v>
      </c>
      <c r="C15" s="35" t="s">
        <v>369</v>
      </c>
      <c r="D15" s="35" t="s">
        <v>369</v>
      </c>
      <c r="E15" s="3" t="s">
        <v>371</v>
      </c>
      <c r="F15" s="3" t="s">
        <v>373</v>
      </c>
      <c r="G15" s="35" t="s">
        <v>361</v>
      </c>
      <c r="H15" s="3" t="s">
        <v>362</v>
      </c>
      <c r="I15" s="3" t="s">
        <v>363</v>
      </c>
      <c r="J15" s="3" t="s">
        <v>364</v>
      </c>
      <c r="K15" s="3" t="s">
        <v>365</v>
      </c>
      <c r="L15" s="3" t="s">
        <v>366</v>
      </c>
      <c r="M15" s="3" t="s">
        <v>367</v>
      </c>
      <c r="N15" s="35" t="s">
        <v>369</v>
      </c>
      <c r="O15" s="3" t="s">
        <v>369</v>
      </c>
      <c r="P15" s="3" t="s">
        <v>371</v>
      </c>
      <c r="Q15" s="35" t="s">
        <v>361</v>
      </c>
      <c r="R15" s="3" t="s">
        <v>362</v>
      </c>
      <c r="S15" s="3" t="s">
        <v>363</v>
      </c>
      <c r="T15" s="3" t="s">
        <v>364</v>
      </c>
      <c r="U15" s="3" t="s">
        <v>365</v>
      </c>
      <c r="V15" s="3" t="s">
        <v>366</v>
      </c>
      <c r="W15" s="3" t="s">
        <v>367</v>
      </c>
    </row>
    <row r="16" spans="1:23" x14ac:dyDescent="0.3">
      <c r="A16" s="3" t="s">
        <v>253</v>
      </c>
      <c r="B16" s="3" t="s">
        <v>394</v>
      </c>
      <c r="C16" s="47">
        <f t="array" ref="C16">INDEX($C$71:$J$140,MATCH(C$11&amp;$A16,$A$71:$A$140&amp;$B$71:$B$140,0),MATCH(C$13,$C$70:$J$70,0))*$B$5</f>
        <v>57.945311909628494</v>
      </c>
      <c r="D16" s="47">
        <f t="array" ref="D16">INDEX($C$71:$J$140,MATCH(D$11&amp;$A16,$A$71:$A$140&amp;$B$71:$B$140,0),MATCH(D$13,$C$70:$J$70,0))*$B$5</f>
        <v>69.040331892324701</v>
      </c>
      <c r="E16" s="34">
        <f t="array" ref="E16">INDEX($C$71:$J$140,MATCH(E$11&amp;$A16,$A$71:$A$140&amp;$B$71:$B$140,0),MATCH(E$13,$C$70:$J$70,0))*$B$5</f>
        <v>70.798787889582215</v>
      </c>
      <c r="F16" s="34">
        <f t="array" ref="F16">INDEX($C$71:$J$140,MATCH(F$11&amp;$A16,$A$71:$A$140&amp;$B$71:$B$140,0),MATCH(F$13,$C$70:$J$70,0))*$B$5</f>
        <v>53.465435916615306</v>
      </c>
      <c r="G16" s="770">
        <f t="array" ref="G16">SUM(IF(($B$58:$B$66=$A16)*($C$56:$AV$56=G$13)*($C$57:$AV$57=G$11),$C$58:$AV$66))*$B$5*IF($B16="Renewables",$B$7,1)</f>
        <v>134.28450094557175</v>
      </c>
      <c r="H16" s="31">
        <f t="shared" ref="H16:H22" si="0">$E16</f>
        <v>70.798787889582215</v>
      </c>
      <c r="I16" s="31">
        <f t="array" ref="I16">SUM(IF(($B$58:$B$66=$A16)*($C$56:$AV$56=I$13)*($C$57:$AV$57=I$11),$C$58:$AV$66))*$B$5*IF($B16="Renewables",$B$7,1)</f>
        <v>141.70530072854075</v>
      </c>
      <c r="J16" s="31">
        <f t="array" ref="J16">SUM(IF(($B$58:$B$66=$A16)*($C$56:$AV$56=J$13)*($C$57:$AV$57=J$11),$C$58:$AV$66))*$B$5*IF($B16="Renewables",$B$7,1)</f>
        <v>125.8565763725866</v>
      </c>
      <c r="K16" s="31">
        <f t="array" ref="K16">SUM(IF(($B$58:$B$66=$A16)*($C$56:$AV$56=K$13)*($C$57:$AV$57=K$11),$C$58:$AV$66))*$B$5*IF($B16="Renewables",$B$7,1)</f>
        <v>138.59788688837384</v>
      </c>
      <c r="L16" s="31">
        <f t="array" ref="L16">SUM(IF(($B$58:$B$66=$A16)*($C$56:$AV$56=L$13)*($C$57:$AV$57=L$11),$C$58:$AV$66))*$B$5*IF($B16="Renewables",$B$7,1)</f>
        <v>127.35901139029664</v>
      </c>
      <c r="M16" s="31">
        <f t="array" ref="M16">SUM(IF(($B$58:$B$66=$A16)*($C$56:$AV$56=M$13)*($C$57:$AV$57=M$11),$C$58:$AV$66))*$B$5*IF($B16="Renewables",$B$7,1)</f>
        <v>127.64138436237037</v>
      </c>
      <c r="N16" s="47">
        <f t="array" ref="N16">INDEX($C$71:$J$140,MATCH(N$11&amp;$A16,$A$71:$A$140&amp;$B$71:$B$140,0),MATCH(N$13,$C$70:$J$70,0))*$B$5</f>
        <v>78.586235877436906</v>
      </c>
      <c r="O16" s="34">
        <f t="array" ref="O16">INDEX($C$71:$J$140,MATCH(O$11&amp;$A16,$A$71:$A$140&amp;$B$71:$B$140,0),MATCH(O$13,$C$70:$J$70,0))*$B$5</f>
        <v>78.586235877436906</v>
      </c>
      <c r="P16" s="34">
        <f t="array" ref="P16">INDEX($C$71:$J$140,MATCH(P$11&amp;$A16,$A$71:$A$140&amp;$B$71:$B$140,0),MATCH(P$13,$C$70:$J$70,0))*$B$5</f>
        <v>83.777867869340028</v>
      </c>
      <c r="Q16" s="47">
        <f t="array" ref="Q16">SUM(IF(($B$58:$B$66=$A16)*($C$56:$AV$56=Q$13)*($C$57:$AV$57=Q$11),$C$58:$AV$66))*$B$5</f>
        <v>149.3658265345897</v>
      </c>
      <c r="R16" s="34">
        <f t="array" ref="R16">SUM(IF(($B$58:$B$66=$A16)*($C$56:$AV$56=R$13)*($C$57:$AV$57=R$11),$C$58:$AV$66))*$B$5</f>
        <v>151.97227198691817</v>
      </c>
      <c r="S16" s="34">
        <f t="array" ref="S16">SUM(IF(($B$58:$B$66=$A16)*($C$56:$AV$56=S$13)*($C$57:$AV$57=S$11),$C$58:$AV$66))*$B$5</f>
        <v>168.02366238076252</v>
      </c>
      <c r="T16" s="34">
        <f t="array" ref="T16">SUM(IF(($B$58:$B$66=$A16)*($C$56:$AV$56=T$13)*($C$57:$AV$57=T$11),$C$58:$AV$66))*$B$5</f>
        <v>142.93988655346081</v>
      </c>
      <c r="U16" s="34">
        <f t="array" ref="U16">SUM(IF(($B$58:$B$66=$A16)*($C$56:$AV$56=U$13)*($C$57:$AV$57=U$11),$C$58:$AV$66))*$B$5</f>
        <v>161.19983580304807</v>
      </c>
      <c r="V16" s="34">
        <f t="array" ref="V16">SUM(IF(($B$58:$B$66=$A16)*($C$56:$AV$56=V$13)*($C$57:$AV$57=V$11),$C$58:$AV$66))*$B$5</f>
        <v>145.34171423651259</v>
      </c>
      <c r="W16" s="34">
        <f t="array" ref="W16">SUM(IF(($B$58:$B$66=$A16)*($C$56:$AV$56=W$13)*($C$57:$AV$57=W$11),$C$58:$AV$66))*$B$5</f>
        <v>136.59055166884073</v>
      </c>
    </row>
    <row r="17" spans="1:23" x14ac:dyDescent="0.3">
      <c r="A17" s="3" t="s">
        <v>254</v>
      </c>
      <c r="C17" s="47">
        <f t="array" ref="C17">INDEX($C$71:$J$140,MATCH(C$11&amp;$A17,$A$71:$A$140&amp;$B$71:$B$140,0),MATCH(C$13,$C$70:$J$70,0))*$B$5</f>
        <v>157.004999755135</v>
      </c>
      <c r="D17" s="47">
        <f t="array" ref="D17">INDEX($C$71:$J$140,MATCH(D$11&amp;$A17,$A$71:$A$140&amp;$B$71:$B$140,0),MATCH(D$13,$C$70:$J$70,0))*$B$5</f>
        <v>178.02273572235575</v>
      </c>
      <c r="E17" s="34">
        <f t="array" ref="E17">INDEX($C$71:$J$140,MATCH(E$11&amp;$A17,$A$71:$A$140&amp;$B$71:$B$140,0),MATCH(E$13,$C$70:$J$70,0))*$B$5</f>
        <v>158.38664375298021</v>
      </c>
      <c r="F17" s="34">
        <f t="array" ref="F17">INDEX($C$71:$J$140,MATCH(F$11&amp;$A17,$A$71:$A$140&amp;$B$71:$B$140,0),MATCH(F$13,$C$70:$J$70,0))*$B$5</f>
        <v>101.15308784224165</v>
      </c>
      <c r="G17" s="770">
        <f t="array" ref="G17">SUM(IF(($B$58:$B$66=$A17)*($C$56:$AV$56=G$13)*($C$57:$AV$57=G$11),$C$58:$AV$66))*$B$5*IF($B17="Renewables",$B$7,1)</f>
        <v>106.91528758791122</v>
      </c>
      <c r="H17" s="31">
        <f t="shared" si="0"/>
        <v>158.38664375298021</v>
      </c>
      <c r="I17" s="31">
        <f t="array" ref="I17">SUM(IF(($B$58:$B$66=$A17)*($C$56:$AV$56=I$13)*($C$57:$AV$57=I$11),$C$58:$AV$66))*$B$5*IF($B17="Renewables",$B$7,1)</f>
        <v>78.298506735573582</v>
      </c>
      <c r="J17" s="31">
        <f t="array" ref="J17">SUM(IF(($B$58:$B$66=$A17)*($C$56:$AV$56=J$13)*($C$57:$AV$57=J$11),$C$58:$AV$66))*$B$5*IF($B17="Renewables",$B$7,1)</f>
        <v>109.33244432974236</v>
      </c>
      <c r="K17" s="31">
        <f t="array" ref="K17">SUM(IF(($B$58:$B$66=$A17)*($C$56:$AV$56=K$13)*($C$57:$AV$57=K$11),$C$58:$AV$66))*$B$5*IF($B17="Renewables",$B$7,1)</f>
        <v>105.09300357584826</v>
      </c>
      <c r="L17" s="31">
        <f t="array" ref="L17">SUM(IF(($B$58:$B$66=$A17)*($C$56:$AV$56=L$13)*($C$57:$AV$57=L$11),$C$58:$AV$66))*$B$5*IF($B17="Renewables",$B$7,1)</f>
        <v>113.06879459013452</v>
      </c>
      <c r="M17" s="31">
        <f t="array" ref="M17">SUM(IF(($B$58:$B$66=$A17)*($C$56:$AV$56=M$13)*($C$57:$AV$57=M$11),$C$58:$AV$66))*$B$5*IF($B17="Renewables",$B$7,1)</f>
        <v>112.11930435413042</v>
      </c>
      <c r="N17" s="47">
        <f t="array" ref="N17">INDEX($C$71:$J$140,MATCH(N$11&amp;$A17,$A$71:$A$140&amp;$B$71:$B$140,0),MATCH(N$13,$C$70:$J$70,0))*$B$5</f>
        <v>220.51875565607895</v>
      </c>
      <c r="O17" s="34">
        <f t="array" ref="O17">INDEX($C$71:$J$140,MATCH(O$11&amp;$A17,$A$71:$A$140&amp;$B$71:$B$140,0),MATCH(O$13,$C$70:$J$70,0))*$B$5</f>
        <v>220.51875565607895</v>
      </c>
      <c r="P17" s="34">
        <f t="array" ref="P17">INDEX($C$71:$J$140,MATCH(P$11&amp;$A17,$A$71:$A$140&amp;$B$71:$B$140,0),MATCH(P$13,$C$70:$J$70,0))*$B$5</f>
        <v>160.81498774919297</v>
      </c>
      <c r="Q17" s="47">
        <f t="array" ref="Q17">SUM(IF(($B$58:$B$66=$A17)*($C$56:$AV$56=Q$13)*($C$57:$AV$57=Q$11),$C$58:$AV$66))*$B$5</f>
        <v>82.830756818283817</v>
      </c>
      <c r="R17" s="34">
        <f t="array" ref="R17">SUM(IF(($B$58:$B$66=$A17)*($C$56:$AV$56=R$13)*($C$57:$AV$57=R$11),$C$58:$AV$66))*$B$5</f>
        <v>75.120578902980583</v>
      </c>
      <c r="S17" s="34">
        <f t="array" ref="S17">SUM(IF(($B$58:$B$66=$A17)*($C$56:$AV$56=S$13)*($C$57:$AV$57=S$11),$C$58:$AV$66))*$B$5</f>
        <v>59.667165752929634</v>
      </c>
      <c r="T17" s="34">
        <f t="array" ref="T17">SUM(IF(($B$58:$B$66=$A17)*($C$56:$AV$56=T$13)*($C$57:$AV$57=T$11),$C$58:$AV$66))*$B$5</f>
        <v>83.45981169951547</v>
      </c>
      <c r="U17" s="34">
        <f t="array" ref="U17">SUM(IF(($B$58:$B$66=$A17)*($C$56:$AV$56=U$13)*($C$57:$AV$57=U$11),$C$58:$AV$66))*$B$5</f>
        <v>85.821174374733289</v>
      </c>
      <c r="V17" s="34">
        <f t="array" ref="V17">SUM(IF(($B$58:$B$66=$A17)*($C$56:$AV$56=V$13)*($C$57:$AV$57=V$11),$C$58:$AV$66))*$B$5</f>
        <v>84.448457066408011</v>
      </c>
      <c r="W17" s="34">
        <f t="array" ref="W17">SUM(IF(($B$58:$B$66=$A17)*($C$56:$AV$56=W$13)*($C$57:$AV$57=W$11),$C$58:$AV$66))*$B$5</f>
        <v>72.367331580178913</v>
      </c>
    </row>
    <row r="18" spans="1:23" x14ac:dyDescent="0.3">
      <c r="A18" s="3" t="s">
        <v>255</v>
      </c>
      <c r="C18" s="47">
        <f t="array" ref="C18">INDEX($C$71:$J$140,MATCH(C$11&amp;$A18,$A$71:$A$140&amp;$B$71:$B$140,0),MATCH(C$13,$C$70:$J$70,0))*$B$5</f>
        <v>130.08387579712118</v>
      </c>
      <c r="D18" s="47">
        <f t="array" ref="D18">INDEX($C$71:$J$140,MATCH(D$11&amp;$A18,$A$71:$A$140&amp;$B$71:$B$140,0),MATCH(D$13,$C$70:$J$70,0))*$B$5</f>
        <v>167.47199973881067</v>
      </c>
      <c r="E18" s="34">
        <f t="array" ref="E18">INDEX($C$71:$J$140,MATCH(E$11&amp;$A18,$A$71:$A$140&amp;$B$71:$B$140,0),MATCH(E$13,$C$70:$J$70,0))*$B$5</f>
        <v>159.93575975056419</v>
      </c>
      <c r="F18" s="34">
        <f t="array" ref="F18">INDEX($C$71:$J$140,MATCH(F$11&amp;$A18,$A$71:$A$140&amp;$B$71:$B$140,0),MATCH(F$13,$C$70:$J$70,0))*$B$5</f>
        <v>148.79887176793329</v>
      </c>
      <c r="G18" s="770">
        <f t="array" ref="G18">SUM(IF(($B$58:$B$66=$A18)*($C$56:$AV$56=G$13)*($C$57:$AV$57=G$11),$C$58:$AV$66))*$B$5*IF($B18="Renewables",$B$7,1)</f>
        <v>181.02347390344124</v>
      </c>
      <c r="H18" s="31">
        <f t="shared" si="0"/>
        <v>159.93575975056419</v>
      </c>
      <c r="I18" s="31">
        <f t="array" ref="I18">SUM(IF(($B$58:$B$66=$A18)*($C$56:$AV$56=I$13)*($C$57:$AV$57=I$11),$C$58:$AV$66))*$B$5*IF($B18="Renewables",$B$7,1)</f>
        <v>192.91571703120167</v>
      </c>
      <c r="J18" s="31">
        <f t="array" ref="J18">SUM(IF(($B$58:$B$66=$A18)*($C$56:$AV$56=J$13)*($C$57:$AV$57=J$11),$C$58:$AV$66))*$B$5*IF($B18="Renewables",$B$7,1)</f>
        <v>175.52209526600322</v>
      </c>
      <c r="K18" s="31">
        <f t="array" ref="K18">SUM(IF(($B$58:$B$66=$A18)*($C$56:$AV$56=K$13)*($C$57:$AV$57=K$11),$C$58:$AV$66))*$B$5*IF($B18="Renewables",$B$7,1)</f>
        <v>186.22465641708615</v>
      </c>
      <c r="L18" s="31">
        <f t="array" ref="L18">SUM(IF(($B$58:$B$66=$A18)*($C$56:$AV$56=L$13)*($C$57:$AV$57=L$11),$C$58:$AV$66))*$B$5*IF($B18="Renewables",$B$7,1)</f>
        <v>179.39303858454443</v>
      </c>
      <c r="M18" s="31">
        <f t="array" ref="M18">SUM(IF(($B$58:$B$66=$A18)*($C$56:$AV$56=M$13)*($C$57:$AV$57=M$11),$C$58:$AV$66))*$B$5*IF($B18="Renewables",$B$7,1)</f>
        <v>176.18340548563987</v>
      </c>
      <c r="N18" s="47">
        <f t="array" ref="N18">INDEX($C$71:$J$140,MATCH(N$11&amp;$A18,$A$71:$A$140&amp;$B$71:$B$140,0),MATCH(N$13,$C$70:$J$70,0))*$B$5</f>
        <v>233.95838363511848</v>
      </c>
      <c r="O18" s="34">
        <f t="array" ref="O18">INDEX($C$71:$J$140,MATCH(O$11&amp;$A18,$A$71:$A$140&amp;$B$71:$B$140,0),MATCH(O$13,$C$70:$J$70,0))*$B$5</f>
        <v>233.95838363511848</v>
      </c>
      <c r="P18" s="34">
        <f t="array" ref="P18">INDEX($C$71:$J$140,MATCH(P$11&amp;$A18,$A$71:$A$140&amp;$B$71:$B$140,0),MATCH(P$13,$C$70:$J$70,0))*$B$5</f>
        <v>211.18219167064026</v>
      </c>
      <c r="Q18" s="47">
        <f t="array" ref="Q18">SUM(IF(($B$58:$B$66=$A18)*($C$56:$AV$56=Q$13)*($C$57:$AV$57=Q$11),$C$58:$AV$66))*$B$5</f>
        <v>197.765158097544</v>
      </c>
      <c r="R18" s="34">
        <f t="array" ref="R18">SUM(IF(($B$58:$B$66=$A18)*($C$56:$AV$56=R$13)*($C$57:$AV$57=R$11),$C$58:$AV$66))*$B$5</f>
        <v>197.66235279108426</v>
      </c>
      <c r="S18" s="34">
        <f t="array" ref="S18">SUM(IF(($B$58:$B$66=$A18)*($C$56:$AV$56=S$13)*($C$57:$AV$57=S$11),$C$58:$AV$66))*$B$5</f>
        <v>197.14891761156073</v>
      </c>
      <c r="T18" s="34">
        <f t="array" ref="T18">SUM(IF(($B$58:$B$66=$A18)*($C$56:$AV$56=T$13)*($C$57:$AV$57=T$11),$C$58:$AV$66))*$B$5</f>
        <v>198.62985633418793</v>
      </c>
      <c r="U18" s="34">
        <f t="array" ref="U18">SUM(IF(($B$58:$B$66=$A18)*($C$56:$AV$56=U$13)*($C$57:$AV$57=U$11),$C$58:$AV$66))*$B$5</f>
        <v>223.39051910375264</v>
      </c>
      <c r="V18" s="34">
        <f t="array" ref="V18">SUM(IF(($B$58:$B$66=$A18)*($C$56:$AV$56=V$13)*($C$57:$AV$57=V$11),$C$58:$AV$66))*$B$5</f>
        <v>192.14805821959214</v>
      </c>
      <c r="W18" s="34">
        <f t="array" ref="W18">SUM(IF(($B$58:$B$66=$A18)*($C$56:$AV$56=W$13)*($C$57:$AV$57=W$11),$C$58:$AV$66))*$B$5</f>
        <v>168.74297980745229</v>
      </c>
    </row>
    <row r="19" spans="1:23" ht="14.4" customHeight="1" x14ac:dyDescent="0.3">
      <c r="A19" s="3" t="s">
        <v>256</v>
      </c>
      <c r="B19" s="3" t="s">
        <v>394</v>
      </c>
      <c r="C19" s="47">
        <f t="array" ref="C19">INDEX($C$71:$J$140,MATCH(C$11&amp;$A19,$A$71:$A$140&amp;$B$71:$B$140,0),MATCH(C$13,$C$70:$J$70,0))*$B$5</f>
        <v>14.779403976950041</v>
      </c>
      <c r="D19" s="47">
        <f t="array" ref="D19">INDEX($C$71:$J$140,MATCH(D$11&amp;$A19,$A$71:$A$140&amp;$B$71:$B$140,0),MATCH(D$13,$C$70:$J$70,0))*$B$5</f>
        <v>18.798731970681498</v>
      </c>
      <c r="E19" s="34">
        <f t="array" ref="E19">INDEX($C$71:$J$140,MATCH(E$11&amp;$A19,$A$71:$A$140&amp;$B$71:$B$140,0),MATCH(E$13,$C$70:$J$70,0))*$B$5</f>
        <v>19.175543970093823</v>
      </c>
      <c r="F19" s="34">
        <f t="array" ref="F19">INDEX($C$71:$J$140,MATCH(F$11&amp;$A19,$A$71:$A$140&amp;$B$71:$B$140,0),MATCH(F$13,$C$70:$J$70,0))*$B$5</f>
        <v>20.599055967873714</v>
      </c>
      <c r="G19" s="770">
        <f t="array" ref="G19">SUM(IF(($B$58:$B$66=$A19)*($C$56:$AV$56=G$13)*($C$57:$AV$57=G$11),$C$58:$AV$66))*$B$5*IF($B19="Renewables",$B$7,1)</f>
        <v>22.320640707115718</v>
      </c>
      <c r="H19" s="31">
        <f t="shared" si="0"/>
        <v>19.175543970093823</v>
      </c>
      <c r="I19" s="31">
        <f t="array" ref="I19">SUM(IF(($B$58:$B$66=$A19)*($C$56:$AV$56=I$13)*($C$57:$AV$57=I$11),$C$58:$AV$66))*$B$5*IF($B19="Renewables",$B$7,1)</f>
        <v>22.812141539518556</v>
      </c>
      <c r="J19" s="31">
        <f t="array" ref="J19">SUM(IF(($B$58:$B$66=$A19)*($C$56:$AV$56=J$13)*($C$57:$AV$57=J$11),$C$58:$AV$66))*$B$5*IF($B19="Renewables",$B$7,1)</f>
        <v>22.307778458297012</v>
      </c>
      <c r="K19" s="31">
        <f t="array" ref="K19">SUM(IF(($B$58:$B$66=$A19)*($C$56:$AV$56=K$13)*($C$57:$AV$57=K$11),$C$58:$AV$66))*$B$5*IF($B19="Renewables",$B$7,1)</f>
        <v>22.652136908783685</v>
      </c>
      <c r="L19" s="31">
        <f t="array" ref="L19">SUM(IF(($B$58:$B$66=$A19)*($C$56:$AV$56=L$13)*($C$57:$AV$57=L$11),$C$58:$AV$66))*$B$5*IF($B19="Renewables",$B$7,1)</f>
        <v>22.320649452712868</v>
      </c>
      <c r="M19" s="31">
        <f t="array" ref="M19">SUM(IF(($B$58:$B$66=$A19)*($C$56:$AV$56=M$13)*($C$57:$AV$57=M$11),$C$58:$AV$66))*$B$5*IF($B19="Renewables",$B$7,1)</f>
        <v>22.220448286296453</v>
      </c>
      <c r="N19" s="47">
        <f t="array" ref="N19">INDEX($C$71:$J$140,MATCH(N$11&amp;$A19,$A$71:$A$140&amp;$B$71:$B$140,0),MATCH(N$13,$C$70:$J$70,0))*$B$5</f>
        <v>24.199703962258141</v>
      </c>
      <c r="O19" s="34">
        <f t="array" ref="O19">INDEX($C$71:$J$140,MATCH(O$11&amp;$A19,$A$71:$A$140&amp;$B$71:$B$140,0),MATCH(O$13,$C$70:$J$70,0))*$B$5</f>
        <v>24.199703962258141</v>
      </c>
      <c r="P19" s="34">
        <f t="array" ref="P19">INDEX($C$71:$J$140,MATCH(P$11&amp;$A19,$A$71:$A$140&amp;$B$71:$B$140,0),MATCH(P$13,$C$70:$J$70,0))*$B$5</f>
        <v>25.162667960756302</v>
      </c>
      <c r="Q19" s="47">
        <f t="array" ref="Q19">SUM(IF(($B$58:$B$66=$A19)*($C$56:$AV$56=Q$13)*($C$57:$AV$57=Q$11),$C$58:$AV$66))*$B$5</f>
        <v>23.790208360954175</v>
      </c>
      <c r="R19" s="34">
        <f t="array" ref="R19">SUM(IF(($B$58:$B$66=$A19)*($C$56:$AV$56=R$13)*($C$57:$AV$57=R$11),$C$58:$AV$66))*$B$5</f>
        <v>24.529344910639839</v>
      </c>
      <c r="S19" s="34">
        <f t="array" ref="S19">SUM(IF(($B$58:$B$66=$A19)*($C$56:$AV$56=S$13)*($C$57:$AV$57=S$11),$C$58:$AV$66))*$B$5</f>
        <v>25.435876568493761</v>
      </c>
      <c r="T19" s="34">
        <f t="array" ref="T19">SUM(IF(($B$58:$B$66=$A19)*($C$56:$AV$56=T$13)*($C$57:$AV$57=T$11),$C$58:$AV$66))*$B$5</f>
        <v>24.148940166317072</v>
      </c>
      <c r="U19" s="34">
        <f t="array" ref="U19">SUM(IF(($B$58:$B$66=$A19)*($C$56:$AV$56=U$13)*($C$57:$AV$57=U$11),$C$58:$AV$66))*$B$5</f>
        <v>25.846336496137706</v>
      </c>
      <c r="V19" s="34">
        <f t="array" ref="V19">SUM(IF(($B$58:$B$66=$A19)*($C$56:$AV$56=V$13)*($C$57:$AV$57=V$11),$C$58:$AV$66))*$B$5</f>
        <v>24.103259598822035</v>
      </c>
      <c r="W19" s="34">
        <f t="array" ref="W19">SUM(IF(($B$58:$B$66=$A19)*($C$56:$AV$56=W$13)*($C$57:$AV$57=W$11),$C$58:$AV$66))*$B$5</f>
        <v>22.439016483567084</v>
      </c>
    </row>
    <row r="20" spans="1:23" x14ac:dyDescent="0.3">
      <c r="A20" s="3" t="s">
        <v>257</v>
      </c>
      <c r="C20" s="47">
        <f t="array" ref="C20">INDEX($C$71:$J$140,MATCH(C$11&amp;$A20,$A$71:$A$140&amp;$B$71:$B$140,0),MATCH(C$13,$C$70:$J$70,0))*$B$5</f>
        <v>28.805183955075435</v>
      </c>
      <c r="D20" s="47">
        <f t="array" ref="D20">INDEX($C$71:$J$140,MATCH(D$11&amp;$A20,$A$71:$A$140&amp;$B$71:$B$140,0),MATCH(D$13,$C$70:$J$70,0))*$B$5</f>
        <v>35.336591944889051</v>
      </c>
      <c r="E20" s="34">
        <f t="array" ref="E20">INDEX($C$71:$J$140,MATCH(E$11&amp;$A20,$A$71:$A$140&amp;$B$71:$B$140,0),MATCH(E$13,$C$70:$J$70,0))*$B$5</f>
        <v>35.504063944627859</v>
      </c>
      <c r="F20" s="34">
        <f t="array" ref="F20">INDEX($C$71:$J$140,MATCH(F$11&amp;$A20,$A$71:$A$140&amp;$B$71:$B$140,0),MATCH(F$13,$C$70:$J$70,0))*$B$5</f>
        <v>42.412283933853807</v>
      </c>
      <c r="G20" s="770">
        <f t="array" ref="G20">SUM(IF(($B$58:$B$66=$A20)*($C$56:$AV$56=G$13)*($C$57:$AV$57=G$11),$C$58:$AV$66))*$B$5*IF($B20="Renewables",$B$7,1)</f>
        <v>14.514167854150609</v>
      </c>
      <c r="H20" s="31">
        <f t="shared" si="0"/>
        <v>35.504063944627859</v>
      </c>
      <c r="I20" s="31">
        <f t="array" ref="I20">SUM(IF(($B$58:$B$66=$A20)*($C$56:$AV$56=I$13)*($C$57:$AV$57=I$11),$C$58:$AV$66))*$B$5*IF($B20="Renewables",$B$7,1)</f>
        <v>14.514167854150609</v>
      </c>
      <c r="J20" s="31">
        <f t="array" ref="J20">SUM(IF(($B$58:$B$66=$A20)*($C$56:$AV$56=J$13)*($C$57:$AV$57=J$11),$C$58:$AV$66))*$B$5*IF($B20="Renewables",$B$7,1)</f>
        <v>14.514167854150609</v>
      </c>
      <c r="K20" s="31">
        <f t="array" ref="K20">SUM(IF(($B$58:$B$66=$A20)*($C$56:$AV$56=K$13)*($C$57:$AV$57=K$11),$C$58:$AV$66))*$B$5*IF($B20="Renewables",$B$7,1)</f>
        <v>14.514167854150609</v>
      </c>
      <c r="L20" s="31">
        <f t="array" ref="L20">SUM(IF(($B$58:$B$66=$A20)*($C$56:$AV$56=L$13)*($C$57:$AV$57=L$11),$C$58:$AV$66))*$B$5*IF($B20="Renewables",$B$7,1)</f>
        <v>14.514167854150609</v>
      </c>
      <c r="M20" s="31">
        <f t="array" ref="M20">SUM(IF(($B$58:$B$66=$A20)*($C$56:$AV$56=M$13)*($C$57:$AV$57=M$11),$C$58:$AV$66))*$B$5*IF($B20="Renewables",$B$7,1)</f>
        <v>14.514167854150609</v>
      </c>
      <c r="N20" s="47">
        <f t="array" ref="N20">INDEX($C$71:$J$140,MATCH(N$11&amp;$A20,$A$71:$A$140&amp;$B$71:$B$140,0),MATCH(N$13,$C$70:$J$70,0))*$B$5</f>
        <v>45.008099929805368</v>
      </c>
      <c r="O20" s="34">
        <f t="array" ref="O20">INDEX($C$71:$J$140,MATCH(O$11&amp;$A20,$A$71:$A$140&amp;$B$71:$B$140,0),MATCH(O$13,$C$70:$J$70,0))*$B$5</f>
        <v>45.008099929805368</v>
      </c>
      <c r="P20" s="34">
        <f t="array" ref="P20">INDEX($C$71:$J$140,MATCH(P$11&amp;$A20,$A$71:$A$140&amp;$B$71:$B$140,0),MATCH(P$13,$C$70:$J$70,0))*$B$5</f>
        <v>45.091835929674772</v>
      </c>
      <c r="Q20" s="47">
        <f t="array" ref="Q20">SUM(IF(($B$58:$B$66=$A20)*($C$56:$AV$56=Q$13)*($C$57:$AV$57=Q$11),$C$58:$AV$66))*$B$5</f>
        <v>23.100058135655392</v>
      </c>
      <c r="R20" s="34">
        <f t="array" ref="R20">SUM(IF(($B$58:$B$66=$A20)*($C$56:$AV$56=R$13)*($C$57:$AV$57=R$11),$C$58:$AV$66))*$B$5</f>
        <v>23.771416194236696</v>
      </c>
      <c r="S20" s="34">
        <f t="array" ref="S20">SUM(IF(($B$58:$B$66=$A20)*($C$56:$AV$56=S$13)*($C$57:$AV$57=S$11),$C$58:$AV$66))*$B$5</f>
        <v>24.552996119163538</v>
      </c>
      <c r="T20" s="34">
        <f t="array" ref="T20">SUM(IF(($B$58:$B$66=$A20)*($C$56:$AV$56=T$13)*($C$57:$AV$57=T$11),$C$58:$AV$66))*$B$5</f>
        <v>23.095663551952011</v>
      </c>
      <c r="U20" s="34">
        <f t="array" ref="U20">SUM(IF(($B$58:$B$66=$A20)*($C$56:$AV$56=U$13)*($C$57:$AV$57=U$11),$C$58:$AV$66))*$B$5</f>
        <v>24.925344846272601</v>
      </c>
      <c r="V20" s="34">
        <f t="array" ref="V20">SUM(IF(($B$58:$B$66=$A20)*($C$56:$AV$56=V$13)*($C$57:$AV$57=V$11),$C$58:$AV$66))*$B$5</f>
        <v>22.976192980843464</v>
      </c>
      <c r="W20" s="34">
        <f t="array" ref="W20">SUM(IF(($B$58:$B$66=$A20)*($C$56:$AV$56=W$13)*($C$57:$AV$57=W$11),$C$58:$AV$66))*$B$5</f>
        <v>21.155728529743101</v>
      </c>
    </row>
    <row r="21" spans="1:23" x14ac:dyDescent="0.3">
      <c r="A21" s="3" t="s">
        <v>266</v>
      </c>
      <c r="C21" s="47">
        <f t="array" ref="C21">INDEX($C$71:$J$140,MATCH(C$11&amp;$A21,$A$71:$A$140&amp;$B$71:$B$140,0),MATCH(C$13,$C$70:$J$70,0))*$B$5</f>
        <v>185.68457971040635</v>
      </c>
      <c r="D21" s="47">
        <f t="array" ref="D21">INDEX($C$71:$J$140,MATCH(D$11&amp;$A21,$A$71:$A$140&amp;$B$71:$B$140,0),MATCH(D$13,$C$70:$J$70,0))*$B$5</f>
        <v>214.69910366515526</v>
      </c>
      <c r="E21" s="34">
        <f t="array" ref="E21">INDEX($C$71:$J$140,MATCH(E$11&amp;$A21,$A$71:$A$140&amp;$B$71:$B$140,0),MATCH(E$13,$C$70:$J$70,0))*$B$5</f>
        <v>202.22243968461387</v>
      </c>
      <c r="F21" s="34">
        <f t="array" ref="F21">INDEX($C$71:$J$140,MATCH(F$11&amp;$A21,$A$71:$A$140&amp;$B$71:$B$140,0),MATCH(F$13,$C$70:$J$70,0))*$B$5</f>
        <v>166.84397973979011</v>
      </c>
      <c r="G21" s="770">
        <f t="array" ref="G21">SUM(IF(($B$58:$B$66=$A21)*($C$56:$AV$56=G$13)*($C$57:$AV$57=G$11),$C$58:$AV$66))*$B$5*IF($B21="Renewables",$B$7,1)</f>
        <v>173.50679141583552</v>
      </c>
      <c r="H21" s="31">
        <f t="shared" si="0"/>
        <v>202.22243968461387</v>
      </c>
      <c r="I21" s="31">
        <f t="array" ref="I21">SUM(IF(($B$58:$B$66=$A21)*($C$56:$AV$56=I$13)*($C$57:$AV$57=I$11),$C$58:$AV$66))*$B$5*IF($B21="Renewables",$B$7,1)</f>
        <v>169.56231890813055</v>
      </c>
      <c r="J21" s="31">
        <f t="array" ref="J21">SUM(IF(($B$58:$B$66=$A21)*($C$56:$AV$56=J$13)*($C$57:$AV$57=J$11),$C$58:$AV$66))*$B$5*IF($B21="Renewables",$B$7,1)</f>
        <v>173.75908992337426</v>
      </c>
      <c r="K21" s="31">
        <f t="array" ref="K21">SUM(IF(($B$58:$B$66=$A21)*($C$56:$AV$56=K$13)*($C$57:$AV$57=K$11),$C$58:$AV$66))*$B$5*IF($B21="Renewables",$B$7,1)</f>
        <v>172.26322997899112</v>
      </c>
      <c r="L21" s="31">
        <f t="array" ref="L21">SUM(IF(($B$58:$B$66=$A21)*($C$56:$AV$56=L$13)*($C$57:$AV$57=L$11),$C$58:$AV$66))*$B$5*IF($B21="Renewables",$B$7,1)</f>
        <v>162.10417467200489</v>
      </c>
      <c r="M21" s="31">
        <f t="array" ref="M21">SUM(IF(($B$58:$B$66=$A21)*($C$56:$AV$56=M$13)*($C$57:$AV$57=M$11),$C$58:$AV$66))*$B$5*IF($B21="Renewables",$B$7,1)</f>
        <v>165.10054249270254</v>
      </c>
      <c r="N21" s="47">
        <f t="array" ref="N21">INDEX($C$71:$J$140,MATCH(N$11&amp;$A21,$A$71:$A$140&amp;$B$71:$B$140,0),MATCH(N$13,$C$70:$J$70,0))*$B$5</f>
        <v>253.38513560482053</v>
      </c>
      <c r="O21" s="34">
        <f t="array" ref="O21">INDEX($C$71:$J$140,MATCH(O$11&amp;$A21,$A$71:$A$140&amp;$B$71:$B$140,0),MATCH(O$13,$C$70:$J$70,0))*$B$5</f>
        <v>253.38513560482053</v>
      </c>
      <c r="P21" s="34">
        <f t="array" ref="P21">INDEX($C$71:$J$140,MATCH(P$11&amp;$A21,$A$71:$A$140&amp;$B$71:$B$140,0),MATCH(P$13,$C$70:$J$70,0))*$B$5</f>
        <v>209.25626367364393</v>
      </c>
      <c r="Q21" s="47">
        <f t="array" ref="Q21">SUM(IF(($B$58:$B$66=$A21)*($C$56:$AV$56=Q$13)*($C$57:$AV$57=Q$11),$C$58:$AV$66))*$B$5</f>
        <v>159.92283552746989</v>
      </c>
      <c r="R21" s="34">
        <f t="array" ref="R21">SUM(IF(($B$58:$B$66=$A21)*($C$56:$AV$56=R$13)*($C$57:$AV$57=R$11),$C$58:$AV$66))*$B$5</f>
        <v>157.75502563447128</v>
      </c>
      <c r="S21" s="34">
        <f t="array" ref="S21">SUM(IF(($B$58:$B$66=$A21)*($C$56:$AV$56=S$13)*($C$57:$AV$57=S$11),$C$58:$AV$66))*$B$5</f>
        <v>151.11205138907252</v>
      </c>
      <c r="T21" s="34">
        <f t="array" ref="T21">SUM(IF(($B$58:$B$66=$A21)*($C$56:$AV$56=T$13)*($C$57:$AV$57=T$11),$C$58:$AV$66))*$B$5</f>
        <v>158.31623067812436</v>
      </c>
      <c r="U21" s="34">
        <f t="array" ref="U21">SUM(IF(($B$58:$B$66=$A21)*($C$56:$AV$56=U$13)*($C$57:$AV$57=U$11),$C$58:$AV$66))*$B$5</f>
        <v>160.16468455355744</v>
      </c>
      <c r="V21" s="34">
        <f t="array" ref="V21">SUM(IF(($B$58:$B$66=$A21)*($C$56:$AV$56=V$13)*($C$57:$AV$57=V$11),$C$58:$AV$66))*$B$5</f>
        <v>152.72029554846918</v>
      </c>
      <c r="W21" s="34">
        <f t="array" ref="W21">SUM(IF(($B$58:$B$66=$A21)*($C$56:$AV$56=W$13)*($C$57:$AV$57=W$11),$C$58:$AV$66))*$B$5</f>
        <v>143.43526218496115</v>
      </c>
    </row>
    <row r="22" spans="1:23" x14ac:dyDescent="0.3">
      <c r="A22" s="3" t="s">
        <v>461</v>
      </c>
      <c r="B22" s="3" t="s">
        <v>394</v>
      </c>
      <c r="C22" s="47">
        <f t="array" ref="C22">INDEX($C$71:$J$140,MATCH(C$11&amp;$A22,$A$71:$A$140&amp;$B$71:$B$140,0),MATCH(C$13,$C$70:$J$70,0))*$B$5</f>
        <v>10.634471983414478</v>
      </c>
      <c r="D22" s="47">
        <f t="array" ref="D22">INDEX($C$71:$J$140,MATCH(D$11&amp;$A22,$A$71:$A$140&amp;$B$71:$B$140,0),MATCH(D$13,$C$70:$J$70,0))*$B$5</f>
        <v>25.958159959515655</v>
      </c>
      <c r="E22" s="34">
        <f t="array" ref="E22">INDEX($C$71:$J$140,MATCH(E$11&amp;$A22,$A$71:$A$140&amp;$B$71:$B$140,0),MATCH(E$13,$C$70:$J$70,0))*$B$5</f>
        <v>30.814847951941164</v>
      </c>
      <c r="F22" s="34">
        <f t="array" ref="F22">INDEX($C$71:$J$140,MATCH(F$11&amp;$A22,$A$71:$A$140&amp;$B$71:$B$140,0),MATCH(F$13,$C$70:$J$70,0))*$B$5</f>
        <v>45.343043929282992</v>
      </c>
      <c r="G22" s="770">
        <f t="array" ref="G22">SUM(IF(($B$58:$B$66=$A22)*($C$56:$AV$56=G$13)*($C$57:$AV$57=G$11),$C$58:$AV$66))*$B$5*IF($B22="Renewables",$B$7,1)</f>
        <v>26.029298029066712</v>
      </c>
      <c r="H22" s="31">
        <f t="shared" si="0"/>
        <v>30.814847951941164</v>
      </c>
      <c r="I22" s="31">
        <f t="array" ref="I22">SUM(IF(($B$58:$B$66=$A22)*($C$56:$AV$56=I$13)*($C$57:$AV$57=I$11),$C$58:$AV$66))*$B$5*IF($B22="Renewables",$B$7,1)</f>
        <v>26.714795003511377</v>
      </c>
      <c r="J22" s="31">
        <f t="array" ref="J22">SUM(IF(($B$58:$B$66=$A22)*($C$56:$AV$56=J$13)*($C$57:$AV$57=J$11),$C$58:$AV$66))*$B$5*IF($B22="Renewables",$B$7,1)</f>
        <v>32.989699356627362</v>
      </c>
      <c r="K22" s="31">
        <f t="array" ref="K22">SUM(IF(($B$58:$B$66=$A22)*($C$56:$AV$56=K$13)*($C$57:$AV$57=K$11),$C$58:$AV$66))*$B$5*IF($B22="Renewables",$B$7,1)</f>
        <v>20.035550174267158</v>
      </c>
      <c r="L22" s="31">
        <f t="array" ref="L22">SUM(IF(($B$58:$B$66=$A22)*($C$56:$AV$56=L$13)*($C$57:$AV$57=L$11),$C$58:$AV$66))*$B$5*IF($B22="Renewables",$B$7,1)</f>
        <v>23.562110052082446</v>
      </c>
      <c r="M22" s="31">
        <f t="array" ref="M22">SUM(IF(($B$58:$B$66=$A22)*($C$56:$AV$56=M$13)*($C$57:$AV$57=M$11),$C$58:$AV$66))*$B$5*IF($B22="Renewables",$B$7,1)</f>
        <v>23.474954981050814</v>
      </c>
      <c r="N22" s="47">
        <f t="array" ref="N22">INDEX($C$71:$J$140,MATCH(N$11&amp;$A22,$A$71:$A$140&amp;$B$71:$B$140,0),MATCH(N$13,$C$70:$J$70,0))*$B$5</f>
        <v>54.260927915374658</v>
      </c>
      <c r="O22" s="34">
        <f t="array" ref="O22">INDEX($C$71:$J$140,MATCH(O$11&amp;$A22,$A$71:$A$140&amp;$B$71:$B$140,0),MATCH(O$13,$C$70:$J$70,0))*$B$5</f>
        <v>54.260927915374658</v>
      </c>
      <c r="P22" s="34">
        <f t="array" ref="P22">INDEX($C$71:$J$140,MATCH(P$11&amp;$A22,$A$71:$A$140&amp;$B$71:$B$140,0),MATCH(P$13,$C$70:$J$70,0))*$B$5</f>
        <v>72.557243886839714</v>
      </c>
      <c r="Q22" s="47">
        <f t="array" ref="Q22">SUM(IF(($B$58:$B$66=$A22)*($C$56:$AV$56=Q$13)*($C$57:$AV$57=Q$11),$C$58:$AV$66))*$B$5</f>
        <v>68.648038428773205</v>
      </c>
      <c r="R22" s="34">
        <f t="array" ref="R22">SUM(IF(($B$58:$B$66=$A22)*($C$56:$AV$56=R$13)*($C$57:$AV$57=R$11),$C$58:$AV$66))*$B$5</f>
        <v>68.807892906445403</v>
      </c>
      <c r="S22" s="34">
        <f t="array" ref="S22">SUM(IF(($B$58:$B$66=$A22)*($C$56:$AV$56=S$13)*($C$57:$AV$57=S$11),$C$58:$AV$66))*$B$5</f>
        <v>69.864324658182426</v>
      </c>
      <c r="T22" s="34">
        <f t="array" ref="T22">SUM(IF(($B$58:$B$66=$A22)*($C$56:$AV$56=T$13)*($C$57:$AV$57=T$11),$C$58:$AV$66))*$B$5</f>
        <v>74.093302428250567</v>
      </c>
      <c r="U22" s="34">
        <f t="array" ref="U22">SUM(IF(($B$58:$B$66=$A22)*($C$56:$AV$56=U$13)*($C$57:$AV$57=U$11),$C$58:$AV$66))*$B$5</f>
        <v>40.596507005744328</v>
      </c>
      <c r="V22" s="34">
        <f t="array" ref="V22">SUM(IF(($B$58:$B$66=$A22)*($C$56:$AV$56=V$13)*($C$57:$AV$57=V$11),$C$58:$AV$66))*$B$5</f>
        <v>69.404315271887938</v>
      </c>
      <c r="W22" s="34">
        <f t="array" ref="W22">SUM(IF(($B$58:$B$66=$A22)*($C$56:$AV$56=W$13)*($C$57:$AV$57=W$11),$C$58:$AV$66))*$B$5</f>
        <v>62.148013436734608</v>
      </c>
    </row>
    <row r="23" spans="1:23" x14ac:dyDescent="0.3"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</row>
    <row r="24" spans="1:23" ht="14.4" customHeight="1" x14ac:dyDescent="0.3"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</row>
    <row r="25" spans="1:23" x14ac:dyDescent="0.3">
      <c r="D25" s="34"/>
      <c r="E25" s="34"/>
      <c r="F25" s="34"/>
      <c r="G25" s="34"/>
    </row>
    <row r="26" spans="1:23" x14ac:dyDescent="0.3">
      <c r="E26" s="34"/>
      <c r="F26" s="34"/>
      <c r="G26" s="34"/>
      <c r="H26" s="34"/>
    </row>
    <row r="27" spans="1:23" x14ac:dyDescent="0.3">
      <c r="E27" s="34"/>
      <c r="F27" s="34"/>
      <c r="G27" s="34"/>
      <c r="H27" s="34"/>
    </row>
    <row r="28" spans="1:23" x14ac:dyDescent="0.3">
      <c r="E28" s="34"/>
      <c r="F28" s="34"/>
      <c r="G28" s="34"/>
      <c r="H28" s="34"/>
    </row>
    <row r="29" spans="1:23" x14ac:dyDescent="0.3">
      <c r="E29" s="34"/>
      <c r="F29" s="34"/>
      <c r="G29" s="34"/>
      <c r="H29" s="34"/>
    </row>
    <row r="30" spans="1:23" x14ac:dyDescent="0.3">
      <c r="E30" s="34"/>
      <c r="F30" s="34"/>
      <c r="G30" s="34"/>
      <c r="H30" s="34"/>
    </row>
    <row r="31" spans="1:23" x14ac:dyDescent="0.3">
      <c r="E31" s="34"/>
      <c r="F31" s="34"/>
      <c r="G31" s="34"/>
      <c r="H31" s="34"/>
    </row>
    <row r="32" spans="1:23" x14ac:dyDescent="0.3">
      <c r="E32" s="34"/>
      <c r="F32" s="34"/>
      <c r="G32" s="34"/>
      <c r="H32" s="34"/>
    </row>
    <row r="33" spans="4:8" x14ac:dyDescent="0.3">
      <c r="E33" s="34"/>
      <c r="F33" s="34"/>
      <c r="G33" s="34"/>
      <c r="H33" s="34"/>
    </row>
    <row r="34" spans="4:8" x14ac:dyDescent="0.3">
      <c r="E34" s="34"/>
      <c r="F34" s="34"/>
      <c r="G34" s="34"/>
      <c r="H34" s="34"/>
    </row>
    <row r="35" spans="4:8" x14ac:dyDescent="0.3">
      <c r="E35" s="34"/>
      <c r="F35" s="34"/>
      <c r="G35" s="34"/>
      <c r="H35" s="34"/>
    </row>
    <row r="36" spans="4:8" ht="14.4" customHeight="1" x14ac:dyDescent="0.3">
      <c r="D36" s="34"/>
      <c r="E36" s="34"/>
      <c r="F36" s="34"/>
      <c r="G36" s="34"/>
    </row>
    <row r="53" spans="1:48" ht="15" thickBot="1" x14ac:dyDescent="0.35"/>
    <row r="54" spans="1:48" s="25" customFormat="1" ht="15" thickBot="1" x14ac:dyDescent="0.35">
      <c r="A54" s="24" t="s">
        <v>374</v>
      </c>
    </row>
    <row r="55" spans="1:48" x14ac:dyDescent="0.3">
      <c r="A55" s="4"/>
    </row>
    <row r="56" spans="1:48" x14ac:dyDescent="0.3">
      <c r="C56" s="3">
        <v>2012</v>
      </c>
      <c r="D56" s="3">
        <v>2020</v>
      </c>
      <c r="E56" s="3">
        <v>2020</v>
      </c>
      <c r="F56" s="3">
        <v>2020</v>
      </c>
      <c r="G56" s="3">
        <v>2020</v>
      </c>
      <c r="H56" s="3">
        <v>2020</v>
      </c>
      <c r="I56" s="3">
        <v>2020</v>
      </c>
      <c r="J56" s="3">
        <v>2020</v>
      </c>
      <c r="K56" s="3">
        <v>2020</v>
      </c>
      <c r="L56" s="3">
        <v>2020</v>
      </c>
      <c r="M56" s="3">
        <v>2030</v>
      </c>
      <c r="N56" s="3">
        <v>2030</v>
      </c>
      <c r="O56" s="3">
        <v>2030</v>
      </c>
      <c r="P56" s="3">
        <v>2030</v>
      </c>
      <c r="Q56" s="3">
        <v>2030</v>
      </c>
      <c r="R56" s="3">
        <v>2030</v>
      </c>
      <c r="S56" s="3">
        <v>2030</v>
      </c>
      <c r="T56" s="3">
        <v>2030</v>
      </c>
      <c r="U56" s="3">
        <v>2030</v>
      </c>
      <c r="V56" s="3">
        <v>2040</v>
      </c>
      <c r="W56" s="3">
        <v>2040</v>
      </c>
      <c r="X56" s="3">
        <v>2040</v>
      </c>
      <c r="Y56" s="3">
        <v>2040</v>
      </c>
      <c r="Z56" s="3">
        <v>2040</v>
      </c>
      <c r="AA56" s="3">
        <v>2040</v>
      </c>
      <c r="AB56" s="3">
        <v>2040</v>
      </c>
      <c r="AC56" s="3">
        <v>2040</v>
      </c>
      <c r="AD56" s="3">
        <v>2040</v>
      </c>
      <c r="AE56" s="3">
        <v>2050</v>
      </c>
      <c r="AF56" s="3">
        <v>2050</v>
      </c>
      <c r="AG56" s="3">
        <v>2050</v>
      </c>
      <c r="AH56" s="3">
        <v>2050</v>
      </c>
      <c r="AI56" s="3">
        <v>2050</v>
      </c>
      <c r="AJ56" s="3">
        <v>2050</v>
      </c>
      <c r="AK56" s="3">
        <v>2050</v>
      </c>
      <c r="AL56" s="3">
        <v>2050</v>
      </c>
      <c r="AM56" s="3">
        <v>2050</v>
      </c>
      <c r="AN56" s="3">
        <v>2060</v>
      </c>
      <c r="AO56" s="3">
        <v>2060</v>
      </c>
      <c r="AP56" s="3">
        <v>2060</v>
      </c>
      <c r="AQ56" s="3">
        <v>2060</v>
      </c>
      <c r="AR56" s="3">
        <v>2060</v>
      </c>
      <c r="AS56" s="3">
        <v>2060</v>
      </c>
      <c r="AT56" s="3">
        <v>2060</v>
      </c>
      <c r="AU56" s="3">
        <v>2060</v>
      </c>
      <c r="AV56" s="3">
        <v>2060</v>
      </c>
    </row>
    <row r="57" spans="1:48" x14ac:dyDescent="0.3">
      <c r="A57" s="3" t="s">
        <v>252</v>
      </c>
      <c r="B57" s="3" t="s">
        <v>462</v>
      </c>
      <c r="C57" s="3" t="str">
        <f>E$11</f>
        <v>NPS WEO 18</v>
      </c>
      <c r="D57" s="3" t="str">
        <f t="shared" ref="D57:L57" si="1">E$11</f>
        <v>NPS WEO 18</v>
      </c>
      <c r="E57" s="3" t="str">
        <f t="shared" si="1"/>
        <v>SDS WEO 18</v>
      </c>
      <c r="F57" s="3" t="str">
        <f t="shared" si="1"/>
        <v>Vivid_1</v>
      </c>
      <c r="G57" s="3" t="str">
        <f t="shared" si="1"/>
        <v>Vivid_2</v>
      </c>
      <c r="H57" s="3" t="str">
        <f t="shared" si="1"/>
        <v>Vivid_25</v>
      </c>
      <c r="I57" s="3" t="str">
        <f t="shared" si="1"/>
        <v>Vivid_3</v>
      </c>
      <c r="J57" s="3" t="str">
        <f t="shared" si="1"/>
        <v>Vivid_5v2</v>
      </c>
      <c r="K57" s="3" t="str">
        <f t="shared" si="1"/>
        <v>Vivid_7</v>
      </c>
      <c r="L57" s="3" t="str">
        <f t="shared" si="1"/>
        <v>Vivid_9</v>
      </c>
      <c r="M57" s="3" t="str">
        <f t="shared" ref="M57:U57" si="2">E$11</f>
        <v>NPS WEO 18</v>
      </c>
      <c r="N57" s="3" t="str">
        <f t="shared" si="2"/>
        <v>SDS WEO 18</v>
      </c>
      <c r="O57" s="3" t="str">
        <f t="shared" si="2"/>
        <v>Vivid_1</v>
      </c>
      <c r="P57" s="3" t="str">
        <f t="shared" si="2"/>
        <v>Vivid_2</v>
      </c>
      <c r="Q57" s="3" t="str">
        <f t="shared" si="2"/>
        <v>Vivid_25</v>
      </c>
      <c r="R57" s="3" t="str">
        <f t="shared" si="2"/>
        <v>Vivid_3</v>
      </c>
      <c r="S57" s="3" t="str">
        <f t="shared" si="2"/>
        <v>Vivid_5v2</v>
      </c>
      <c r="T57" s="3" t="str">
        <f t="shared" si="2"/>
        <v>Vivid_7</v>
      </c>
      <c r="U57" s="3" t="str">
        <f t="shared" si="2"/>
        <v>Vivid_9</v>
      </c>
      <c r="V57" s="3" t="str">
        <f t="shared" ref="V57:AD57" si="3">E$11</f>
        <v>NPS WEO 18</v>
      </c>
      <c r="W57" s="3" t="str">
        <f t="shared" si="3"/>
        <v>SDS WEO 18</v>
      </c>
      <c r="X57" s="3" t="str">
        <f t="shared" si="3"/>
        <v>Vivid_1</v>
      </c>
      <c r="Y57" s="3" t="str">
        <f t="shared" si="3"/>
        <v>Vivid_2</v>
      </c>
      <c r="Z57" s="3" t="str">
        <f t="shared" si="3"/>
        <v>Vivid_25</v>
      </c>
      <c r="AA57" s="3" t="str">
        <f t="shared" si="3"/>
        <v>Vivid_3</v>
      </c>
      <c r="AB57" s="3" t="str">
        <f t="shared" si="3"/>
        <v>Vivid_5v2</v>
      </c>
      <c r="AC57" s="3" t="str">
        <f t="shared" si="3"/>
        <v>Vivid_7</v>
      </c>
      <c r="AD57" s="3" t="str">
        <f t="shared" si="3"/>
        <v>Vivid_9</v>
      </c>
      <c r="AE57" s="3" t="str">
        <f t="shared" ref="AE57:AM57" si="4">E$11</f>
        <v>NPS WEO 18</v>
      </c>
      <c r="AF57" s="3" t="str">
        <f t="shared" si="4"/>
        <v>SDS WEO 18</v>
      </c>
      <c r="AG57" s="3" t="str">
        <f t="shared" si="4"/>
        <v>Vivid_1</v>
      </c>
      <c r="AH57" s="3" t="str">
        <f t="shared" si="4"/>
        <v>Vivid_2</v>
      </c>
      <c r="AI57" s="3" t="str">
        <f t="shared" si="4"/>
        <v>Vivid_25</v>
      </c>
      <c r="AJ57" s="3" t="str">
        <f t="shared" si="4"/>
        <v>Vivid_3</v>
      </c>
      <c r="AK57" s="3" t="str">
        <f t="shared" si="4"/>
        <v>Vivid_5v2</v>
      </c>
      <c r="AL57" s="3" t="str">
        <f t="shared" si="4"/>
        <v>Vivid_7</v>
      </c>
      <c r="AM57" s="3" t="str">
        <f t="shared" si="4"/>
        <v>Vivid_9</v>
      </c>
      <c r="AN57" s="3" t="str">
        <f t="shared" ref="AN57:AV57" si="5">E$11</f>
        <v>NPS WEO 18</v>
      </c>
      <c r="AO57" s="3" t="str">
        <f t="shared" si="5"/>
        <v>SDS WEO 18</v>
      </c>
      <c r="AP57" s="3" t="str">
        <f t="shared" si="5"/>
        <v>Vivid_1</v>
      </c>
      <c r="AQ57" s="3" t="str">
        <f t="shared" si="5"/>
        <v>Vivid_2</v>
      </c>
      <c r="AR57" s="3" t="str">
        <f t="shared" si="5"/>
        <v>Vivid_25</v>
      </c>
      <c r="AS57" s="3" t="str">
        <f t="shared" si="5"/>
        <v>Vivid_3</v>
      </c>
      <c r="AT57" s="3" t="str">
        <f t="shared" si="5"/>
        <v>Vivid_5v2</v>
      </c>
      <c r="AU57" s="3" t="str">
        <f t="shared" si="5"/>
        <v>Vivid_7</v>
      </c>
      <c r="AV57" s="3" t="str">
        <f t="shared" si="5"/>
        <v>Vivid_9</v>
      </c>
    </row>
    <row r="58" spans="1:48" x14ac:dyDescent="0.3">
      <c r="A58" s="3" t="s">
        <v>253</v>
      </c>
      <c r="B58" s="3" t="s">
        <v>253</v>
      </c>
      <c r="C58" s="34">
        <f t="array" ref="C58">SUM(IF(('W7. Primary Energy Prod'!$B$51:$B$479=C$57)*('W7. Primary Energy Prod'!$D$51:$D$479=$A58)*('W7. Primary Energy Prod'!$E$50:$O$50=C$56),'W7. Primary Energy Prod'!$E$51:$O$479))</f>
        <v>0</v>
      </c>
      <c r="D58" s="34">
        <f t="array" ref="D58">SUM(IF(('W7. Primary Energy Prod'!$B$51:$B$479=D$57)*('W7. Primary Energy Prod'!$D$51:$D$479=$A58)*('W7. Primary Energy Prod'!$E$50:$O$50=D$56),'W7. Primary Energy Prod'!$E$51:$O$479))</f>
        <v>0</v>
      </c>
      <c r="E58" s="34">
        <f t="array" ref="E58">SUM(IF(('W7. Primary Energy Prod'!$B$51:$B$479=E$57)*('W7. Primary Energy Prod'!$D$51:$D$479=$A58)*('W7. Primary Energy Prod'!$E$50:$O$50=E$56),'W7. Primary Energy Prod'!$E$51:$O$479))</f>
        <v>0</v>
      </c>
      <c r="F58" s="34">
        <f t="array" ref="F58">SUM(IF(('W7. Primary Energy Prod'!$B$51:$B$479=F$57)*('W7. Primary Energy Prod'!$D$51:$D$479=$A58)*('W7. Primary Energy Prod'!$E$50:$O$50=F$56),'W7. Primary Energy Prod'!$E$51:$O$479))</f>
        <v>71262.17128058261</v>
      </c>
      <c r="G58" s="34">
        <f t="array" ref="G58">SUM(IF(('W7. Primary Energy Prod'!$B$51:$B$479=G$57)*('W7. Primary Energy Prod'!$D$51:$D$479=$A58)*('W7. Primary Energy Prod'!$E$50:$O$50=G$56),'W7. Primary Energy Prod'!$E$51:$O$479))</f>
        <v>71262.17128058261</v>
      </c>
      <c r="H58" s="34">
        <f t="array" ref="H58">SUM(IF(('W7. Primary Energy Prod'!$B$51:$B$479=H$57)*('W7. Primary Energy Prod'!$D$51:$D$479=$A58)*('W7. Primary Energy Prod'!$E$50:$O$50=H$56),'W7. Primary Energy Prod'!$E$51:$O$479))</f>
        <v>71262.17128058261</v>
      </c>
      <c r="I58" s="34">
        <f t="array" ref="I58">SUM(IF(('W7. Primary Energy Prod'!$B$51:$B$479=I$57)*('W7. Primary Energy Prod'!$D$51:$D$479=$A58)*('W7. Primary Energy Prod'!$E$50:$O$50=I$56),'W7. Primary Energy Prod'!$E$51:$O$479))</f>
        <v>71262.17128058261</v>
      </c>
      <c r="J58" s="34">
        <f t="array" ref="J58">SUM(IF(('W7. Primary Energy Prod'!$B$51:$B$479=J$57)*('W7. Primary Energy Prod'!$D$51:$D$479=$A58)*('W7. Primary Energy Prod'!$E$50:$O$50=J$56),'W7. Primary Energy Prod'!$E$51:$O$479))</f>
        <v>71262.17128058261</v>
      </c>
      <c r="K58" s="34">
        <f t="array" ref="K58">SUM(IF(('W7. Primary Energy Prod'!$B$51:$B$479=K$57)*('W7. Primary Energy Prod'!$D$51:$D$479=$A58)*('W7. Primary Energy Prod'!$E$50:$O$50=K$56),'W7. Primary Energy Prod'!$E$51:$O$479))</f>
        <v>71262.17128058261</v>
      </c>
      <c r="L58" s="34">
        <f t="array" ref="L58">SUM(IF(('W7. Primary Energy Prod'!$B$51:$B$479=L$57)*('W7. Primary Energy Prod'!$D$51:$D$479=$A58)*('W7. Primary Energy Prod'!$E$50:$O$50=L$56),'W7. Primary Energy Prod'!$E$51:$O$479))</f>
        <v>71262.17128058261</v>
      </c>
      <c r="M58" s="34">
        <f t="array" ref="M58">SUM(IF(('W7. Primary Energy Prod'!$B$51:$B$479=M$57)*('W7. Primary Energy Prod'!$D$51:$D$479=$A58)*('W7. Primary Energy Prod'!$E$50:$O$50=M$56),'W7. Primary Energy Prod'!$E$51:$O$479))</f>
        <v>0</v>
      </c>
      <c r="N58" s="34">
        <f t="array" ref="N58">SUM(IF(('W7. Primary Energy Prod'!$B$51:$B$479=N$57)*('W7. Primary Energy Prod'!$D$51:$D$479=$A58)*('W7. Primary Energy Prod'!$E$50:$O$50=N$56),'W7. Primary Energy Prod'!$E$51:$O$479))</f>
        <v>0</v>
      </c>
      <c r="O58" s="34">
        <f t="array" ref="O58">SUM(IF(('W7. Primary Energy Prod'!$B$51:$B$479=O$57)*('W7. Primary Energy Prod'!$D$51:$D$479=$A58)*('W7. Primary Energy Prod'!$E$50:$O$50=O$56),'W7. Primary Energy Prod'!$E$51:$O$479))</f>
        <v>104851.12155290123</v>
      </c>
      <c r="P58" s="34">
        <f t="array" ref="P58">SUM(IF(('W7. Primary Energy Prod'!$B$51:$B$479=P$57)*('W7. Primary Energy Prod'!$D$51:$D$479=$A58)*('W7. Primary Energy Prod'!$E$50:$O$50=P$56),'W7. Primary Energy Prod'!$E$51:$O$479))</f>
        <v>95987.494917697361</v>
      </c>
      <c r="Q58" s="34">
        <f t="array" ref="Q58">SUM(IF(('W7. Primary Energy Prod'!$B$51:$B$479=Q$57)*('W7. Primary Energy Prod'!$D$51:$D$479=$A58)*('W7. Primary Energy Prod'!$E$50:$O$50=Q$56),'W7. Primary Energy Prod'!$E$51:$O$479))</f>
        <v>110645.3805670461</v>
      </c>
      <c r="R58" s="34">
        <f t="array" ref="R58">SUM(IF(('W7. Primary Energy Prod'!$B$51:$B$479=R$57)*('W7. Primary Energy Prod'!$D$51:$D$479=$A58)*('W7. Primary Energy Prod'!$E$50:$O$50=R$56),'W7. Primary Energy Prod'!$E$51:$O$479))</f>
        <v>98270.486128721328</v>
      </c>
      <c r="S58" s="34">
        <f t="array" ref="S58">SUM(IF(('W7. Primary Energy Prod'!$B$51:$B$479=S$57)*('W7. Primary Energy Prod'!$D$51:$D$479=$A58)*('W7. Primary Energy Prod'!$E$50:$O$50=S$56),'W7. Primary Energy Prod'!$E$51:$O$479))</f>
        <v>108219.07057612191</v>
      </c>
      <c r="T58" s="34">
        <f t="array" ref="T58">SUM(IF(('W7. Primary Energy Prod'!$B$51:$B$479=T$57)*('W7. Primary Energy Prod'!$D$51:$D$479=$A58)*('W7. Primary Energy Prod'!$E$50:$O$50=T$56),'W7. Primary Energy Prod'!$E$51:$O$479))</f>
        <v>99443.607341951298</v>
      </c>
      <c r="U58" s="34">
        <f t="array" ref="U58">SUM(IF(('W7. Primary Energy Prod'!$B$51:$B$479=U$57)*('W7. Primary Energy Prod'!$D$51:$D$479=$A58)*('W7. Primary Energy Prod'!$E$50:$O$50=U$56),'W7. Primary Energy Prod'!$E$51:$O$479))</f>
        <v>99664.087908283807</v>
      </c>
      <c r="V58" s="34">
        <f t="array" ref="V58">SUM(IF(('W7. Primary Energy Prod'!$B$51:$B$479=V$57)*('W7. Primary Energy Prod'!$D$51:$D$479=$A58)*('W7. Primary Energy Prod'!$E$50:$O$50=V$56),'W7. Primary Energy Prod'!$E$51:$O$479))</f>
        <v>0</v>
      </c>
      <c r="W58" s="34">
        <f t="array" ref="W58">SUM(IF(('W7. Primary Energy Prod'!$B$51:$B$479=W$57)*('W7. Primary Energy Prod'!$D$51:$D$479=$A58)*('W7. Primary Energy Prod'!$E$50:$O$50=W$56),'W7. Primary Energy Prod'!$E$51:$O$479))</f>
        <v>0</v>
      </c>
      <c r="X58" s="34">
        <f t="array" ref="X58">SUM(IF(('W7. Primary Energy Prod'!$B$51:$B$479=X$57)*('W7. Primary Energy Prod'!$D$51:$D$479=$A58)*('W7. Primary Energy Prod'!$E$50:$O$50=X$56),'W7. Primary Energy Prod'!$E$51:$O$479))</f>
        <v>120492.83509216137</v>
      </c>
      <c r="Y58" s="34">
        <f t="array" ref="Y58">SUM(IF(('W7. Primary Energy Prod'!$B$51:$B$479=Y$57)*('W7. Primary Energy Prod'!$D$51:$D$479=$A58)*('W7. Primary Energy Prod'!$E$50:$O$50=Y$56),'W7. Primary Energy Prod'!$E$51:$O$479))</f>
        <v>122058.65655904301</v>
      </c>
      <c r="Z58" s="34">
        <f t="array" ref="Z58">SUM(IF(('W7. Primary Energy Prod'!$B$51:$B$479=Z$57)*('W7. Primary Energy Prod'!$D$51:$D$479=$A58)*('W7. Primary Energy Prod'!$E$50:$O$50=Z$56),'W7. Primary Energy Prod'!$E$51:$O$479))</f>
        <v>133407.51346828416</v>
      </c>
      <c r="AA58" s="34">
        <f t="array" ref="AA58">SUM(IF(('W7. Primary Energy Prod'!$B$51:$B$479=AA$57)*('W7. Primary Energy Prod'!$D$51:$D$479=$A58)*('W7. Primary Energy Prod'!$E$50:$O$50=AA$56),'W7. Primary Energy Prod'!$E$51:$O$479))</f>
        <v>113724.1421325499</v>
      </c>
      <c r="AB58" s="34">
        <f t="array" ref="AB58">SUM(IF(('W7. Primary Energy Prod'!$B$51:$B$479=AB$57)*('W7. Primary Energy Prod'!$D$51:$D$479=$A58)*('W7. Primary Energy Prod'!$E$50:$O$50=AB$56),'W7. Primary Energy Prod'!$E$51:$O$479))</f>
        <v>130622.17551080094</v>
      </c>
      <c r="AC58" s="34">
        <f t="array" ref="AC58">SUM(IF(('W7. Primary Energy Prod'!$B$51:$B$479=AC$57)*('W7. Primary Energy Prod'!$D$51:$D$479=$A58)*('W7. Primary Energy Prod'!$E$50:$O$50=AC$56),'W7. Primary Energy Prod'!$E$51:$O$479))</f>
        <v>114893.51832729478</v>
      </c>
      <c r="AD58" s="34">
        <f t="array" ref="AD58">SUM(IF(('W7. Primary Energy Prod'!$B$51:$B$479=AD$57)*('W7. Primary Energy Prod'!$D$51:$D$479=$A58)*('W7. Primary Energy Prod'!$E$50:$O$50=AD$56),'W7. Primary Energy Prod'!$E$51:$O$479))</f>
        <v>111372.3811968458</v>
      </c>
      <c r="AE58" s="34">
        <f t="array" ref="AE58">SUM(IF(('W7. Primary Energy Prod'!$B$51:$B$479=AE$57)*('W7. Primary Energy Prod'!$D$51:$D$479=$A58)*('W7. Primary Energy Prod'!$E$50:$O$50=AE$56),'W7. Primary Energy Prod'!$E$51:$O$479))</f>
        <v>0</v>
      </c>
      <c r="AF58" s="34">
        <f t="array" ref="AF58">SUM(IF(('W7. Primary Energy Prod'!$B$51:$B$479=AF$57)*('W7. Primary Energy Prod'!$D$51:$D$479=$A58)*('W7. Primary Energy Prod'!$E$50:$O$50=AF$56),'W7. Primary Energy Prod'!$E$51:$O$479))</f>
        <v>0</v>
      </c>
      <c r="AG58" s="34">
        <f t="array" ref="AG58">SUM(IF(('W7. Primary Energy Prod'!$B$51:$B$479=AG$57)*('W7. Primary Energy Prod'!$D$51:$D$479=$A58)*('W7. Primary Energy Prod'!$E$50:$O$50=AG$56),'W7. Primary Energy Prod'!$E$51:$O$479))</f>
        <v>149365.82653458969</v>
      </c>
      <c r="AH58" s="34">
        <f t="array" ref="AH58">SUM(IF(('W7. Primary Energy Prod'!$B$51:$B$479=AH$57)*('W7. Primary Energy Prod'!$D$51:$D$479=$A58)*('W7. Primary Energy Prod'!$E$50:$O$50=AH$56),'W7. Primary Energy Prod'!$E$51:$O$479))</f>
        <v>151972.27198691817</v>
      </c>
      <c r="AI58" s="34">
        <f t="array" ref="AI58">SUM(IF(('W7. Primary Energy Prod'!$B$51:$B$479=AI$57)*('W7. Primary Energy Prod'!$D$51:$D$479=$A58)*('W7. Primary Energy Prod'!$E$50:$O$50=AI$56),'W7. Primary Energy Prod'!$E$51:$O$479))</f>
        <v>168023.66238076251</v>
      </c>
      <c r="AJ58" s="34">
        <f t="array" ref="AJ58">SUM(IF(('W7. Primary Energy Prod'!$B$51:$B$479=AJ$57)*('W7. Primary Energy Prod'!$D$51:$D$479=$A58)*('W7. Primary Energy Prod'!$E$50:$O$50=AJ$56),'W7. Primary Energy Prod'!$E$51:$O$479))</f>
        <v>142939.88655346082</v>
      </c>
      <c r="AK58" s="34">
        <f t="array" ref="AK58">SUM(IF(('W7. Primary Energy Prod'!$B$51:$B$479=AK$57)*('W7. Primary Energy Prod'!$D$51:$D$479=$A58)*('W7. Primary Energy Prod'!$E$50:$O$50=AK$56),'W7. Primary Energy Prod'!$E$51:$O$479))</f>
        <v>161199.83580304807</v>
      </c>
      <c r="AL58" s="34">
        <f t="array" ref="AL58">SUM(IF(('W7. Primary Energy Prod'!$B$51:$B$479=AL$57)*('W7. Primary Energy Prod'!$D$51:$D$479=$A58)*('W7. Primary Energy Prod'!$E$50:$O$50=AL$56),'W7. Primary Energy Prod'!$E$51:$O$479))</f>
        <v>145341.71423651258</v>
      </c>
      <c r="AM58" s="34">
        <f t="array" ref="AM58">SUM(IF(('W7. Primary Energy Prod'!$B$51:$B$479=AM$57)*('W7. Primary Energy Prod'!$D$51:$D$479=$A58)*('W7. Primary Energy Prod'!$E$50:$O$50=AM$56),'W7. Primary Energy Prod'!$E$51:$O$479))</f>
        <v>136590.55166884072</v>
      </c>
      <c r="AN58" s="34">
        <f t="array" ref="AN58">SUM(IF(('W7. Primary Energy Prod'!$B$51:$B$479=AN$57)*('W7. Primary Energy Prod'!$D$51:$D$479=$A58)*('W7. Primary Energy Prod'!$E$50:$O$50=AN$56),'W7. Primary Energy Prod'!$E$51:$O$479))</f>
        <v>0</v>
      </c>
      <c r="AO58" s="34">
        <f t="array" ref="AO58">SUM(IF(('W7. Primary Energy Prod'!$B$51:$B$479=AO$57)*('W7. Primary Energy Prod'!$D$51:$D$479=$A58)*('W7. Primary Energy Prod'!$E$50:$O$50=AO$56),'W7. Primary Energy Prod'!$E$51:$O$479))</f>
        <v>0</v>
      </c>
      <c r="AP58" s="34">
        <f t="array" ref="AP58">SUM(IF(('W7. Primary Energy Prod'!$B$51:$B$479=AP$57)*('W7. Primary Energy Prod'!$D$51:$D$479=$A58)*('W7. Primary Energy Prod'!$E$50:$O$50=AP$56),'W7. Primary Energy Prod'!$E$51:$O$479))</f>
        <v>176281.70082362634</v>
      </c>
      <c r="AQ58" s="34">
        <f t="array" ref="AQ58">SUM(IF(('W7. Primary Energy Prod'!$B$51:$B$479=AQ$57)*('W7. Primary Energy Prod'!$D$51:$D$479=$A58)*('W7. Primary Energy Prod'!$E$50:$O$50=AQ$56),'W7. Primary Energy Prod'!$E$51:$O$479))</f>
        <v>168669.73704658079</v>
      </c>
      <c r="AR58" s="34">
        <f t="array" ref="AR58">SUM(IF(('W7. Primary Energy Prod'!$B$51:$B$479=AR$57)*('W7. Primary Energy Prod'!$D$51:$D$479=$A58)*('W7. Primary Energy Prod'!$E$50:$O$50=AR$56),'W7. Primary Energy Prod'!$E$51:$O$479))</f>
        <v>209867.56368519165</v>
      </c>
      <c r="AS58" s="34">
        <f t="array" ref="AS58">SUM(IF(('W7. Primary Energy Prod'!$B$51:$B$479=AS$57)*('W7. Primary Energy Prod'!$D$51:$D$479=$A58)*('W7. Primary Energy Prod'!$E$50:$O$50=AS$56),'W7. Primary Energy Prod'!$E$51:$O$479))</f>
        <v>171718.78964556841</v>
      </c>
      <c r="AT58" s="34">
        <f t="array" ref="AT58">SUM(IF(('W7. Primary Energy Prod'!$B$51:$B$479=AT$57)*('W7. Primary Energy Prod'!$D$51:$D$479=$A58)*('W7. Primary Energy Prod'!$E$50:$O$50=AT$56),'W7. Primary Energy Prod'!$E$51:$O$479))</f>
        <v>198945.09546317547</v>
      </c>
      <c r="AU58" s="34">
        <f t="array" ref="AU58">SUM(IF(('W7. Primary Energy Prod'!$B$51:$B$479=AU$57)*('W7. Primary Energy Prod'!$D$51:$D$479=$A58)*('W7. Primary Energy Prod'!$E$50:$O$50=AU$56),'W7. Primary Energy Prod'!$E$51:$O$479))</f>
        <v>174479.87366234607</v>
      </c>
      <c r="AV58" s="34">
        <f t="array" ref="AV58">SUM(IF(('W7. Primary Energy Prod'!$B$51:$B$479=AV$57)*('W7. Primary Energy Prod'!$D$51:$D$479=$A58)*('W7. Primary Energy Prod'!$E$50:$O$50=AV$56),'W7. Primary Energy Prod'!$E$51:$O$479))</f>
        <v>149564.14540852688</v>
      </c>
    </row>
    <row r="59" spans="1:48" x14ac:dyDescent="0.3">
      <c r="A59" s="3" t="s">
        <v>254</v>
      </c>
      <c r="B59" s="3" t="s">
        <v>254</v>
      </c>
      <c r="C59" s="34">
        <f t="array" ref="C59">SUM(IF(('W7. Primary Energy Prod'!$B$51:$B$479=C$57)*('W7. Primary Energy Prod'!$D$51:$D$479=$A59)*('W7. Primary Energy Prod'!$E$50:$O$50=C$56),'W7. Primary Energy Prod'!$E$51:$O$479))</f>
        <v>0</v>
      </c>
      <c r="D59" s="34">
        <f t="array" ref="D59">SUM(IF(('W7. Primary Energy Prod'!$B$51:$B$479=D$57)*('W7. Primary Energy Prod'!$D$51:$D$479=$A59)*('W7. Primary Energy Prod'!$E$50:$O$50=D$56),'W7. Primary Energy Prod'!$E$51:$O$479))</f>
        <v>0</v>
      </c>
      <c r="E59" s="34">
        <f t="array" ref="E59">SUM(IF(('W7. Primary Energy Prod'!$B$51:$B$479=E$57)*('W7. Primary Energy Prod'!$D$51:$D$479=$A59)*('W7. Primary Energy Prod'!$E$50:$O$50=E$56),'W7. Primary Energy Prod'!$E$51:$O$479))</f>
        <v>0</v>
      </c>
      <c r="F59" s="34">
        <f t="array" ref="F59">SUM(IF(('W7. Primary Energy Prod'!$B$51:$B$479=F$57)*('W7. Primary Energy Prod'!$D$51:$D$479=$A59)*('W7. Primary Energy Prod'!$E$50:$O$50=F$56),'W7. Primary Energy Prod'!$E$51:$O$479))</f>
        <v>133988.90917691623</v>
      </c>
      <c r="G59" s="34">
        <f t="array" ref="G59">SUM(IF(('W7. Primary Energy Prod'!$B$51:$B$479=G$57)*('W7. Primary Energy Prod'!$D$51:$D$479=$A59)*('W7. Primary Energy Prod'!$E$50:$O$50=G$56),'W7. Primary Energy Prod'!$E$51:$O$479))</f>
        <v>133988.90917691623</v>
      </c>
      <c r="H59" s="34">
        <f t="array" ref="H59">SUM(IF(('W7. Primary Energy Prod'!$B$51:$B$479=H$57)*('W7. Primary Energy Prod'!$D$51:$D$479=$A59)*('W7. Primary Energy Prod'!$E$50:$O$50=H$56),'W7. Primary Energy Prod'!$E$51:$O$479))</f>
        <v>133988.90917691623</v>
      </c>
      <c r="I59" s="34">
        <f t="array" ref="I59">SUM(IF(('W7. Primary Energy Prod'!$B$51:$B$479=I$57)*('W7. Primary Energy Prod'!$D$51:$D$479=$A59)*('W7. Primary Energy Prod'!$E$50:$O$50=I$56),'W7. Primary Energy Prod'!$E$51:$O$479))</f>
        <v>133988.90917691623</v>
      </c>
      <c r="J59" s="34">
        <f t="array" ref="J59">SUM(IF(('W7. Primary Energy Prod'!$B$51:$B$479=J$57)*('W7. Primary Energy Prod'!$D$51:$D$479=$A59)*('W7. Primary Energy Prod'!$E$50:$O$50=J$56),'W7. Primary Energy Prod'!$E$51:$O$479))</f>
        <v>133988.90917691623</v>
      </c>
      <c r="K59" s="34">
        <f t="array" ref="K59">SUM(IF(('W7. Primary Energy Prod'!$B$51:$B$479=K$57)*('W7. Primary Energy Prod'!$D$51:$D$479=$A59)*('W7. Primary Energy Prod'!$E$50:$O$50=K$56),'W7. Primary Energy Prod'!$E$51:$O$479))</f>
        <v>133988.90917691623</v>
      </c>
      <c r="L59" s="34">
        <f t="array" ref="L59">SUM(IF(('W7. Primary Energy Prod'!$B$51:$B$479=L$57)*('W7. Primary Energy Prod'!$D$51:$D$479=$A59)*('W7. Primary Energy Prod'!$E$50:$O$50=L$56),'W7. Primary Energy Prod'!$E$51:$O$479))</f>
        <v>133988.90917691623</v>
      </c>
      <c r="M59" s="34">
        <f t="array" ref="M59">SUM(IF(('W7. Primary Energy Prod'!$B$51:$B$479=M$57)*('W7. Primary Energy Prod'!$D$51:$D$479=$A59)*('W7. Primary Energy Prod'!$E$50:$O$50=M$56),'W7. Primary Energy Prod'!$E$51:$O$479))</f>
        <v>0</v>
      </c>
      <c r="N59" s="34">
        <f t="array" ref="N59">SUM(IF(('W7. Primary Energy Prod'!$B$51:$B$479=N$57)*('W7. Primary Energy Prod'!$D$51:$D$479=$A59)*('W7. Primary Energy Prod'!$E$50:$O$50=N$56),'W7. Primary Energy Prod'!$E$51:$O$479))</f>
        <v>0</v>
      </c>
      <c r="O59" s="34">
        <f t="array" ref="O59">SUM(IF(('W7. Primary Energy Prod'!$B$51:$B$479=O$57)*('W7. Primary Energy Prod'!$D$51:$D$479=$A59)*('W7. Primary Energy Prod'!$E$50:$O$50=O$56),'W7. Primary Energy Prod'!$E$51:$O$479))</f>
        <v>106915.28758791123</v>
      </c>
      <c r="P59" s="34">
        <f t="array" ref="P59">SUM(IF(('W7. Primary Energy Prod'!$B$51:$B$479=P$57)*('W7. Primary Energy Prod'!$D$51:$D$479=$A59)*('W7. Primary Energy Prod'!$E$50:$O$50=P$56),'W7. Primary Energy Prod'!$E$51:$O$479))</f>
        <v>141587.52010422843</v>
      </c>
      <c r="Q59" s="34">
        <f t="array" ref="Q59">SUM(IF(('W7. Primary Energy Prod'!$B$51:$B$479=Q$57)*('W7. Primary Energy Prod'!$D$51:$D$479=$A59)*('W7. Primary Energy Prod'!$E$50:$O$50=Q$56),'W7. Primary Energy Prod'!$E$51:$O$479))</f>
        <v>78298.506735573581</v>
      </c>
      <c r="R59" s="34">
        <f t="array" ref="R59">SUM(IF(('W7. Primary Energy Prod'!$B$51:$B$479=R$57)*('W7. Primary Energy Prod'!$D$51:$D$479=$A59)*('W7. Primary Energy Prod'!$E$50:$O$50=R$56),'W7. Primary Energy Prod'!$E$51:$O$479))</f>
        <v>109332.44432974236</v>
      </c>
      <c r="S59" s="34">
        <f t="array" ref="S59">SUM(IF(('W7. Primary Energy Prod'!$B$51:$B$479=S$57)*('W7. Primary Energy Prod'!$D$51:$D$479=$A59)*('W7. Primary Energy Prod'!$E$50:$O$50=S$56),'W7. Primary Energy Prod'!$E$51:$O$479))</f>
        <v>105093.00357584826</v>
      </c>
      <c r="T59" s="34">
        <f t="array" ref="T59">SUM(IF(('W7. Primary Energy Prod'!$B$51:$B$479=T$57)*('W7. Primary Energy Prod'!$D$51:$D$479=$A59)*('W7. Primary Energy Prod'!$E$50:$O$50=T$56),'W7. Primary Energy Prod'!$E$51:$O$479))</f>
        <v>113068.79459013451</v>
      </c>
      <c r="U59" s="34">
        <f t="array" ref="U59">SUM(IF(('W7. Primary Energy Prod'!$B$51:$B$479=U$57)*('W7. Primary Energy Prod'!$D$51:$D$479=$A59)*('W7. Primary Energy Prod'!$E$50:$O$50=U$56),'W7. Primary Energy Prod'!$E$51:$O$479))</f>
        <v>112119.30435413042</v>
      </c>
      <c r="V59" s="34">
        <f t="array" ref="V59">SUM(IF(('W7. Primary Energy Prod'!$B$51:$B$479=V$57)*('W7. Primary Energy Prod'!$D$51:$D$479=$A59)*('W7. Primary Energy Prod'!$E$50:$O$50=V$56),'W7. Primary Energy Prod'!$E$51:$O$479))</f>
        <v>0</v>
      </c>
      <c r="W59" s="34">
        <f t="array" ref="W59">SUM(IF(('W7. Primary Energy Prod'!$B$51:$B$479=W$57)*('W7. Primary Energy Prod'!$D$51:$D$479=$A59)*('W7. Primary Energy Prod'!$E$50:$O$50=W$56),'W7. Primary Energy Prod'!$E$51:$O$479))</f>
        <v>0</v>
      </c>
      <c r="X59" s="34">
        <f t="array" ref="X59">SUM(IF(('W7. Primary Energy Prod'!$B$51:$B$479=X$57)*('W7. Primary Energy Prod'!$D$51:$D$479=$A59)*('W7. Primary Energy Prod'!$E$50:$O$50=X$56),'W7. Primary Energy Prod'!$E$51:$O$479))</f>
        <v>88697.511533150682</v>
      </c>
      <c r="Y59" s="34">
        <f t="array" ref="Y59">SUM(IF(('W7. Primary Energy Prod'!$B$51:$B$479=Y$57)*('W7. Primary Energy Prod'!$D$51:$D$479=$A59)*('W7. Primary Energy Prod'!$E$50:$O$50=Y$56),'W7. Primary Energy Prod'!$E$51:$O$479))</f>
        <v>96386.512888794095</v>
      </c>
      <c r="Z59" s="34">
        <f t="array" ref="Z59">SUM(IF(('W7. Primary Energy Prod'!$B$51:$B$479=Z$57)*('W7. Primary Energy Prod'!$D$51:$D$479=$A59)*('W7. Primary Energy Prod'!$E$50:$O$50=Z$56),'W7. Primary Energy Prod'!$E$51:$O$479))</f>
        <v>51683.66458780002</v>
      </c>
      <c r="AA59" s="34">
        <f t="array" ref="AA59">SUM(IF(('W7. Primary Energy Prod'!$B$51:$B$479=AA$57)*('W7. Primary Energy Prod'!$D$51:$D$479=$A59)*('W7. Primary Energy Prod'!$E$50:$O$50=AA$56),'W7. Primary Energy Prod'!$E$51:$O$479))</f>
        <v>88916.585513843602</v>
      </c>
      <c r="AB59" s="34">
        <f t="array" ref="AB59">SUM(IF(('W7. Primary Energy Prod'!$B$51:$B$479=AB$57)*('W7. Primary Energy Prod'!$D$51:$D$479=$A59)*('W7. Primary Energy Prod'!$E$50:$O$50=AB$56),'W7. Primary Energy Prod'!$E$51:$O$479))</f>
        <v>84094.065287147896</v>
      </c>
      <c r="AC59" s="34">
        <f t="array" ref="AC59">SUM(IF(('W7. Primary Energy Prod'!$B$51:$B$479=AC$57)*('W7. Primary Energy Prod'!$D$51:$D$479=$A59)*('W7. Primary Energy Prod'!$E$50:$O$50=AC$56),'W7. Primary Energy Prod'!$E$51:$O$479))</f>
        <v>98836.09573792186</v>
      </c>
      <c r="AD59" s="34">
        <f t="array" ref="AD59">SUM(IF(('W7. Primary Energy Prod'!$B$51:$B$479=AD$57)*('W7. Primary Energy Prod'!$D$51:$D$479=$A59)*('W7. Primary Energy Prod'!$E$50:$O$50=AD$56),'W7. Primary Energy Prod'!$E$51:$O$479))</f>
        <v>90940.566836054248</v>
      </c>
      <c r="AE59" s="34">
        <f t="array" ref="AE59">SUM(IF(('W7. Primary Energy Prod'!$B$51:$B$479=AE$57)*('W7. Primary Energy Prod'!$D$51:$D$479=$A59)*('W7. Primary Energy Prod'!$E$50:$O$50=AE$56),'W7. Primary Energy Prod'!$E$51:$O$479))</f>
        <v>0</v>
      </c>
      <c r="AF59" s="34">
        <f t="array" ref="AF59">SUM(IF(('W7. Primary Energy Prod'!$B$51:$B$479=AF$57)*('W7. Primary Energy Prod'!$D$51:$D$479=$A59)*('W7. Primary Energy Prod'!$E$50:$O$50=AF$56),'W7. Primary Energy Prod'!$E$51:$O$479))</f>
        <v>0</v>
      </c>
      <c r="AG59" s="34">
        <f t="array" ref="AG59">SUM(IF(('W7. Primary Energy Prod'!$B$51:$B$479=AG$57)*('W7. Primary Energy Prod'!$D$51:$D$479=$A59)*('W7. Primary Energy Prod'!$E$50:$O$50=AG$56),'W7. Primary Energy Prod'!$E$51:$O$479))</f>
        <v>82830.756818283815</v>
      </c>
      <c r="AH59" s="34">
        <f t="array" ref="AH59">SUM(IF(('W7. Primary Energy Prod'!$B$51:$B$479=AH$57)*('W7. Primary Energy Prod'!$D$51:$D$479=$A59)*('W7. Primary Energy Prod'!$E$50:$O$50=AH$56),'W7. Primary Energy Prod'!$E$51:$O$479))</f>
        <v>75120.578902980575</v>
      </c>
      <c r="AI59" s="34">
        <f t="array" ref="AI59">SUM(IF(('W7. Primary Energy Prod'!$B$51:$B$479=AI$57)*('W7. Primary Energy Prod'!$D$51:$D$479=$A59)*('W7. Primary Energy Prod'!$E$50:$O$50=AI$56),'W7. Primary Energy Prod'!$E$51:$O$479))</f>
        <v>59667.165752929635</v>
      </c>
      <c r="AJ59" s="34">
        <f t="array" ref="AJ59">SUM(IF(('W7. Primary Energy Prod'!$B$51:$B$479=AJ$57)*('W7. Primary Energy Prod'!$D$51:$D$479=$A59)*('W7. Primary Energy Prod'!$E$50:$O$50=AJ$56),'W7. Primary Energy Prod'!$E$51:$O$479))</f>
        <v>83459.811699515471</v>
      </c>
      <c r="AK59" s="34">
        <f t="array" ref="AK59">SUM(IF(('W7. Primary Energy Prod'!$B$51:$B$479=AK$57)*('W7. Primary Energy Prod'!$D$51:$D$479=$A59)*('W7. Primary Energy Prod'!$E$50:$O$50=AK$56),'W7. Primary Energy Prod'!$E$51:$O$479))</f>
        <v>85821.17437473328</v>
      </c>
      <c r="AL59" s="34">
        <f t="array" ref="AL59">SUM(IF(('W7. Primary Energy Prod'!$B$51:$B$479=AL$57)*('W7. Primary Energy Prod'!$D$51:$D$479=$A59)*('W7. Primary Energy Prod'!$E$50:$O$50=AL$56),'W7. Primary Energy Prod'!$E$51:$O$479))</f>
        <v>84448.457066408009</v>
      </c>
      <c r="AM59" s="34">
        <f t="array" ref="AM59">SUM(IF(('W7. Primary Energy Prod'!$B$51:$B$479=AM$57)*('W7. Primary Energy Prod'!$D$51:$D$479=$A59)*('W7. Primary Energy Prod'!$E$50:$O$50=AM$56),'W7. Primary Energy Prod'!$E$51:$O$479))</f>
        <v>72367.331580178914</v>
      </c>
      <c r="AN59" s="34">
        <f t="array" ref="AN59">SUM(IF(('W7. Primary Energy Prod'!$B$51:$B$479=AN$57)*('W7. Primary Energy Prod'!$D$51:$D$479=$A59)*('W7. Primary Energy Prod'!$E$50:$O$50=AN$56),'W7. Primary Energy Prod'!$E$51:$O$479))</f>
        <v>0</v>
      </c>
      <c r="AO59" s="34">
        <f t="array" ref="AO59">SUM(IF(('W7. Primary Energy Prod'!$B$51:$B$479=AO$57)*('W7. Primary Energy Prod'!$D$51:$D$479=$A59)*('W7. Primary Energy Prod'!$E$50:$O$50=AO$56),'W7. Primary Energy Prod'!$E$51:$O$479))</f>
        <v>0</v>
      </c>
      <c r="AP59" s="34">
        <f t="array" ref="AP59">SUM(IF(('W7. Primary Energy Prod'!$B$51:$B$479=AP$57)*('W7. Primary Energy Prod'!$D$51:$D$479=$A59)*('W7. Primary Energy Prod'!$E$50:$O$50=AP$56),'W7. Primary Energy Prod'!$E$51:$O$479))</f>
        <v>88506.349569171289</v>
      </c>
      <c r="AQ59" s="34">
        <f t="array" ref="AQ59">SUM(IF(('W7. Primary Energy Prod'!$B$51:$B$479=AQ$57)*('W7. Primary Energy Prod'!$D$51:$D$479=$A59)*('W7. Primary Energy Prod'!$E$50:$O$50=AQ$56),'W7. Primary Energy Prod'!$E$51:$O$479))</f>
        <v>80401.077617929986</v>
      </c>
      <c r="AR59" s="34">
        <f t="array" ref="AR59">SUM(IF(('W7. Primary Energy Prod'!$B$51:$B$479=AR$57)*('W7. Primary Energy Prod'!$D$51:$D$479=$A59)*('W7. Primary Energy Prod'!$E$50:$O$50=AR$56),'W7. Primary Energy Prod'!$E$51:$O$479))</f>
        <v>86302.355596739682</v>
      </c>
      <c r="AS59" s="34">
        <f t="array" ref="AS59">SUM(IF(('W7. Primary Energy Prod'!$B$51:$B$479=AS$57)*('W7. Primary Energy Prod'!$D$51:$D$479=$A59)*('W7. Primary Energy Prod'!$E$50:$O$50=AS$56),'W7. Primary Energy Prod'!$E$51:$O$479))</f>
        <v>88926.867360270669</v>
      </c>
      <c r="AT59" s="34">
        <f t="array" ref="AT59">SUM(IF(('W7. Primary Energy Prod'!$B$51:$B$479=AT$57)*('W7. Primary Energy Prod'!$D$51:$D$479=$A59)*('W7. Primary Energy Prod'!$E$50:$O$50=AT$56),'W7. Primary Energy Prod'!$E$51:$O$479))</f>
        <v>90291.205986457731</v>
      </c>
      <c r="AU59" s="34">
        <f t="array" ref="AU59">SUM(IF(('W7. Primary Energy Prod'!$B$51:$B$479=AU$57)*('W7. Primary Energy Prod'!$D$51:$D$479=$A59)*('W7. Primary Energy Prod'!$E$50:$O$50=AU$56),'W7. Primary Energy Prod'!$E$51:$O$479))</f>
        <v>89479.634974582412</v>
      </c>
      <c r="AV59" s="34">
        <f t="array" ref="AV59">SUM(IF(('W7. Primary Energy Prod'!$B$51:$B$479=AV$57)*('W7. Primary Energy Prod'!$D$51:$D$479=$A59)*('W7. Primary Energy Prod'!$E$50:$O$50=AV$56),'W7. Primary Energy Prod'!$E$51:$O$479))</f>
        <v>72840.899782209133</v>
      </c>
    </row>
    <row r="60" spans="1:48" x14ac:dyDescent="0.3">
      <c r="A60" s="3" t="s">
        <v>255</v>
      </c>
      <c r="B60" s="3" t="s">
        <v>255</v>
      </c>
      <c r="C60" s="34">
        <f t="array" ref="C60">SUM(IF(('W7. Primary Energy Prod'!$B$51:$B$479=C$57)*('W7. Primary Energy Prod'!$D$51:$D$479=$A60)*('W7. Primary Energy Prod'!$E$50:$O$50=C$56),'W7. Primary Energy Prod'!$E$51:$O$479))</f>
        <v>0</v>
      </c>
      <c r="D60" s="34">
        <f t="array" ref="D60">SUM(IF(('W7. Primary Energy Prod'!$B$51:$B$479=D$57)*('W7. Primary Energy Prod'!$D$51:$D$479=$A60)*('W7. Primary Energy Prod'!$E$50:$O$50=D$56),'W7. Primary Energy Prod'!$E$51:$O$479))</f>
        <v>0</v>
      </c>
      <c r="E60" s="34">
        <f t="array" ref="E60">SUM(IF(('W7. Primary Energy Prod'!$B$51:$B$479=E$57)*('W7. Primary Energy Prod'!$D$51:$D$479=$A60)*('W7. Primary Energy Prod'!$E$50:$O$50=E$56),'W7. Primary Energy Prod'!$E$51:$O$479))</f>
        <v>0</v>
      </c>
      <c r="F60" s="34">
        <f t="array" ref="F60">SUM(IF(('W7. Primary Energy Prod'!$B$51:$B$479=F$57)*('W7. Primary Energy Prod'!$D$51:$D$479=$A60)*('W7. Primary Energy Prod'!$E$50:$O$50=F$56),'W7. Primary Energy Prod'!$E$51:$O$479))</f>
        <v>164552.1853192726</v>
      </c>
      <c r="G60" s="34">
        <f t="array" ref="G60">SUM(IF(('W7. Primary Energy Prod'!$B$51:$B$479=G$57)*('W7. Primary Energy Prod'!$D$51:$D$479=$A60)*('W7. Primary Energy Prod'!$E$50:$O$50=G$56),'W7. Primary Energy Prod'!$E$51:$O$479))</f>
        <v>164552.1853192726</v>
      </c>
      <c r="H60" s="34">
        <f t="array" ref="H60">SUM(IF(('W7. Primary Energy Prod'!$B$51:$B$479=H$57)*('W7. Primary Energy Prod'!$D$51:$D$479=$A60)*('W7. Primary Energy Prod'!$E$50:$O$50=H$56),'W7. Primary Energy Prod'!$E$51:$O$479))</f>
        <v>164552.1853192726</v>
      </c>
      <c r="I60" s="34">
        <f t="array" ref="I60">SUM(IF(('W7. Primary Energy Prod'!$B$51:$B$479=I$57)*('W7. Primary Energy Prod'!$D$51:$D$479=$A60)*('W7. Primary Energy Prod'!$E$50:$O$50=I$56),'W7. Primary Energy Prod'!$E$51:$O$479))</f>
        <v>164552.1853192726</v>
      </c>
      <c r="J60" s="34">
        <f t="array" ref="J60">SUM(IF(('W7. Primary Energy Prod'!$B$51:$B$479=J$57)*('W7. Primary Energy Prod'!$D$51:$D$479=$A60)*('W7. Primary Energy Prod'!$E$50:$O$50=J$56),'W7. Primary Energy Prod'!$E$51:$O$479))</f>
        <v>164552.1853192726</v>
      </c>
      <c r="K60" s="34">
        <f t="array" ref="K60">SUM(IF(('W7. Primary Energy Prod'!$B$51:$B$479=K$57)*('W7. Primary Energy Prod'!$D$51:$D$479=$A60)*('W7. Primary Energy Prod'!$E$50:$O$50=K$56),'W7. Primary Energy Prod'!$E$51:$O$479))</f>
        <v>164552.1853192726</v>
      </c>
      <c r="L60" s="34">
        <f t="array" ref="L60">SUM(IF(('W7. Primary Energy Prod'!$B$51:$B$479=L$57)*('W7. Primary Energy Prod'!$D$51:$D$479=$A60)*('W7. Primary Energy Prod'!$E$50:$O$50=L$56),'W7. Primary Energy Prod'!$E$51:$O$479))</f>
        <v>164552.1853192726</v>
      </c>
      <c r="M60" s="34">
        <f t="array" ref="M60">SUM(IF(('W7. Primary Energy Prod'!$B$51:$B$479=M$57)*('W7. Primary Energy Prod'!$D$51:$D$479=$A60)*('W7. Primary Energy Prod'!$E$50:$O$50=M$56),'W7. Primary Energy Prod'!$E$51:$O$479))</f>
        <v>0</v>
      </c>
      <c r="N60" s="34">
        <f t="array" ref="N60">SUM(IF(('W7. Primary Energy Prod'!$B$51:$B$479=N$57)*('W7. Primary Energy Prod'!$D$51:$D$479=$A60)*('W7. Primary Energy Prod'!$E$50:$O$50=N$56),'W7. Primary Energy Prod'!$E$51:$O$479))</f>
        <v>0</v>
      </c>
      <c r="O60" s="34">
        <f t="array" ref="O60">SUM(IF(('W7. Primary Energy Prod'!$B$51:$B$479=O$57)*('W7. Primary Energy Prod'!$D$51:$D$479=$A60)*('W7. Primary Energy Prod'!$E$50:$O$50=O$56),'W7. Primary Energy Prod'!$E$51:$O$479))</f>
        <v>181023.47390344125</v>
      </c>
      <c r="P60" s="34">
        <f t="array" ref="P60">SUM(IF(('W7. Primary Energy Prod'!$B$51:$B$479=P$57)*('W7. Primary Energy Prod'!$D$51:$D$479=$A60)*('W7. Primary Energy Prod'!$E$50:$O$50=P$56),'W7. Primary Energy Prod'!$E$51:$O$479))</f>
        <v>176766.93010542684</v>
      </c>
      <c r="Q60" s="34">
        <f t="array" ref="Q60">SUM(IF(('W7. Primary Energy Prod'!$B$51:$B$479=Q$57)*('W7. Primary Energy Prod'!$D$51:$D$479=$A60)*('W7. Primary Energy Prod'!$E$50:$O$50=Q$56),'W7. Primary Energy Prod'!$E$51:$O$479))</f>
        <v>192915.71703120167</v>
      </c>
      <c r="R60" s="34">
        <f t="array" ref="R60">SUM(IF(('W7. Primary Energy Prod'!$B$51:$B$479=R$57)*('W7. Primary Energy Prod'!$D$51:$D$479=$A60)*('W7. Primary Energy Prod'!$E$50:$O$50=R$56),'W7. Primary Energy Prod'!$E$51:$O$479))</f>
        <v>175522.09526600322</v>
      </c>
      <c r="S60" s="34">
        <f t="array" ref="S60">SUM(IF(('W7. Primary Energy Prod'!$B$51:$B$479=S$57)*('W7. Primary Energy Prod'!$D$51:$D$479=$A60)*('W7. Primary Energy Prod'!$E$50:$O$50=S$56),'W7. Primary Energy Prod'!$E$51:$O$479))</f>
        <v>186224.65641708614</v>
      </c>
      <c r="T60" s="34">
        <f t="array" ref="T60">SUM(IF(('W7. Primary Energy Prod'!$B$51:$B$479=T$57)*('W7. Primary Energy Prod'!$D$51:$D$479=$A60)*('W7. Primary Energy Prod'!$E$50:$O$50=T$56),'W7. Primary Energy Prod'!$E$51:$O$479))</f>
        <v>179393.03858454441</v>
      </c>
      <c r="U60" s="34">
        <f t="array" ref="U60">SUM(IF(('W7. Primary Energy Prod'!$B$51:$B$479=U$57)*('W7. Primary Energy Prod'!$D$51:$D$479=$A60)*('W7. Primary Energy Prod'!$E$50:$O$50=U$56),'W7. Primary Energy Prod'!$E$51:$O$479))</f>
        <v>176183.40548563987</v>
      </c>
      <c r="V60" s="34">
        <f t="array" ref="V60">SUM(IF(('W7. Primary Energy Prod'!$B$51:$B$479=V$57)*('W7. Primary Energy Prod'!$D$51:$D$479=$A60)*('W7. Primary Energy Prod'!$E$50:$O$50=V$56),'W7. Primary Energy Prod'!$E$51:$O$479))</f>
        <v>0</v>
      </c>
      <c r="W60" s="34">
        <f t="array" ref="W60">SUM(IF(('W7. Primary Energy Prod'!$B$51:$B$479=W$57)*('W7. Primary Energy Prod'!$D$51:$D$479=$A60)*('W7. Primary Energy Prod'!$E$50:$O$50=W$56),'W7. Primary Energy Prod'!$E$51:$O$479))</f>
        <v>0</v>
      </c>
      <c r="X60" s="34">
        <f t="array" ref="X60">SUM(IF(('W7. Primary Energy Prod'!$B$51:$B$479=X$57)*('W7. Primary Energy Prod'!$D$51:$D$479=$A60)*('W7. Primary Energy Prod'!$E$50:$O$50=X$56),'W7. Primary Energy Prod'!$E$51:$O$479))</f>
        <v>190353.69102734642</v>
      </c>
      <c r="Y60" s="34">
        <f t="array" ref="Y60">SUM(IF(('W7. Primary Energy Prod'!$B$51:$B$479=Y$57)*('W7. Primary Energy Prod'!$D$51:$D$479=$A60)*('W7. Primary Energy Prod'!$E$50:$O$50=Y$56),'W7. Primary Energy Prod'!$E$51:$O$479))</f>
        <v>193469.93034685316</v>
      </c>
      <c r="Z60" s="34">
        <f t="array" ref="Z60">SUM(IF(('W7. Primary Energy Prod'!$B$51:$B$479=Z$57)*('W7. Primary Energy Prod'!$D$51:$D$479=$A60)*('W7. Primary Energy Prod'!$E$50:$O$50=Z$56),'W7. Primary Energy Prod'!$E$51:$O$479))</f>
        <v>193798.76851038981</v>
      </c>
      <c r="AA60" s="34">
        <f t="array" ref="AA60">SUM(IF(('W7. Primary Energy Prod'!$B$51:$B$479=AA$57)*('W7. Primary Energy Prod'!$D$51:$D$479=$A60)*('W7. Primary Energy Prod'!$E$50:$O$50=AA$56),'W7. Primary Energy Prod'!$E$51:$O$479))</f>
        <v>186485.67183568937</v>
      </c>
      <c r="AB60" s="34">
        <f t="array" ref="AB60">SUM(IF(('W7. Primary Energy Prod'!$B$51:$B$479=AB$57)*('W7. Primary Energy Prod'!$D$51:$D$479=$A60)*('W7. Primary Energy Prod'!$E$50:$O$50=AB$56),'W7. Primary Energy Prod'!$E$51:$O$479))</f>
        <v>205146.50726893242</v>
      </c>
      <c r="AC60" s="34">
        <f t="array" ref="AC60">SUM(IF(('W7. Primary Energy Prod'!$B$51:$B$479=AC$57)*('W7. Primary Energy Prod'!$D$51:$D$479=$A60)*('W7. Primary Energy Prod'!$E$50:$O$50=AC$56),'W7. Primary Energy Prod'!$E$51:$O$479))</f>
        <v>186496.44730313428</v>
      </c>
      <c r="AD60" s="34">
        <f t="array" ref="AD60">SUM(IF(('W7. Primary Energy Prod'!$B$51:$B$479=AD$57)*('W7. Primary Energy Prod'!$D$51:$D$479=$A60)*('W7. Primary Energy Prod'!$E$50:$O$50=AD$56),'W7. Primary Energy Prod'!$E$51:$O$479))</f>
        <v>178291.79188407914</v>
      </c>
      <c r="AE60" s="34">
        <f t="array" ref="AE60">SUM(IF(('W7. Primary Energy Prod'!$B$51:$B$479=AE$57)*('W7. Primary Energy Prod'!$D$51:$D$479=$A60)*('W7. Primary Energy Prod'!$E$50:$O$50=AE$56),'W7. Primary Energy Prod'!$E$51:$O$479))</f>
        <v>0</v>
      </c>
      <c r="AF60" s="34">
        <f t="array" ref="AF60">SUM(IF(('W7. Primary Energy Prod'!$B$51:$B$479=AF$57)*('W7. Primary Energy Prod'!$D$51:$D$479=$A60)*('W7. Primary Energy Prod'!$E$50:$O$50=AF$56),'W7. Primary Energy Prod'!$E$51:$O$479))</f>
        <v>0</v>
      </c>
      <c r="AG60" s="34">
        <f t="array" ref="AG60">SUM(IF(('W7. Primary Energy Prod'!$B$51:$B$479=AG$57)*('W7. Primary Energy Prod'!$D$51:$D$479=$A60)*('W7. Primary Energy Prod'!$E$50:$O$50=AG$56),'W7. Primary Energy Prod'!$E$51:$O$479))</f>
        <v>197765.15809754399</v>
      </c>
      <c r="AH60" s="34">
        <f t="array" ref="AH60">SUM(IF(('W7. Primary Energy Prod'!$B$51:$B$479=AH$57)*('W7. Primary Energy Prod'!$D$51:$D$479=$A60)*('W7. Primary Energy Prod'!$E$50:$O$50=AH$56),'W7. Primary Energy Prod'!$E$51:$O$479))</f>
        <v>197662.35279108427</v>
      </c>
      <c r="AI60" s="34">
        <f t="array" ref="AI60">SUM(IF(('W7. Primary Energy Prod'!$B$51:$B$479=AI$57)*('W7. Primary Energy Prod'!$D$51:$D$479=$A60)*('W7. Primary Energy Prod'!$E$50:$O$50=AI$56),'W7. Primary Energy Prod'!$E$51:$O$479))</f>
        <v>197148.91761156073</v>
      </c>
      <c r="AJ60" s="34">
        <f t="array" ref="AJ60">SUM(IF(('W7. Primary Energy Prod'!$B$51:$B$479=AJ$57)*('W7. Primary Energy Prod'!$D$51:$D$479=$A60)*('W7. Primary Energy Prod'!$E$50:$O$50=AJ$56),'W7. Primary Energy Prod'!$E$51:$O$479))</f>
        <v>198629.85633418793</v>
      </c>
      <c r="AK60" s="34">
        <f t="array" ref="AK60">SUM(IF(('W7. Primary Energy Prod'!$B$51:$B$479=AK$57)*('W7. Primary Energy Prod'!$D$51:$D$479=$A60)*('W7. Primary Energy Prod'!$E$50:$O$50=AK$56),'W7. Primary Energy Prod'!$E$51:$O$479))</f>
        <v>223390.51910375262</v>
      </c>
      <c r="AL60" s="34">
        <f t="array" ref="AL60">SUM(IF(('W7. Primary Energy Prod'!$B$51:$B$479=AL$57)*('W7. Primary Energy Prod'!$D$51:$D$479=$A60)*('W7. Primary Energy Prod'!$E$50:$O$50=AL$56),'W7. Primary Energy Prod'!$E$51:$O$479))</f>
        <v>192148.05821959215</v>
      </c>
      <c r="AM60" s="34">
        <f t="array" ref="AM60">SUM(IF(('W7. Primary Energy Prod'!$B$51:$B$479=AM$57)*('W7. Primary Energy Prod'!$D$51:$D$479=$A60)*('W7. Primary Energy Prod'!$E$50:$O$50=AM$56),'W7. Primary Energy Prod'!$E$51:$O$479))</f>
        <v>168742.97980745227</v>
      </c>
      <c r="AN60" s="34">
        <f t="array" ref="AN60">SUM(IF(('W7. Primary Energy Prod'!$B$51:$B$479=AN$57)*('W7. Primary Energy Prod'!$D$51:$D$479=$A60)*('W7. Primary Energy Prod'!$E$50:$O$50=AN$56),'W7. Primary Energy Prod'!$E$51:$O$479))</f>
        <v>0</v>
      </c>
      <c r="AO60" s="34">
        <f t="array" ref="AO60">SUM(IF(('W7. Primary Energy Prod'!$B$51:$B$479=AO$57)*('W7. Primary Energy Prod'!$D$51:$D$479=$A60)*('W7. Primary Energy Prod'!$E$50:$O$50=AO$56),'W7. Primary Energy Prod'!$E$51:$O$479))</f>
        <v>0</v>
      </c>
      <c r="AP60" s="34">
        <f t="array" ref="AP60">SUM(IF(('W7. Primary Energy Prod'!$B$51:$B$479=AP$57)*('W7. Primary Energy Prod'!$D$51:$D$479=$A60)*('W7. Primary Energy Prod'!$E$50:$O$50=AP$56),'W7. Primary Energy Prod'!$E$51:$O$479))</f>
        <v>188291.78919820685</v>
      </c>
      <c r="AQ60" s="34">
        <f t="array" ref="AQ60">SUM(IF(('W7. Primary Energy Prod'!$B$51:$B$479=AQ$57)*('W7. Primary Energy Prod'!$D$51:$D$479=$A60)*('W7. Primary Energy Prod'!$E$50:$O$50=AQ$56),'W7. Primary Energy Prod'!$E$51:$O$479))</f>
        <v>190876.63220136912</v>
      </c>
      <c r="AR60" s="34">
        <f t="array" ref="AR60">SUM(IF(('W7. Primary Energy Prod'!$B$51:$B$479=AR$57)*('W7. Primary Energy Prod'!$D$51:$D$479=$A60)*('W7. Primary Energy Prod'!$E$50:$O$50=AR$56),'W7. Primary Energy Prod'!$E$51:$O$479))</f>
        <v>168179.60732139551</v>
      </c>
      <c r="AS60" s="34">
        <f t="array" ref="AS60">SUM(IF(('W7. Primary Energy Prod'!$B$51:$B$479=AS$57)*('W7. Primary Energy Prod'!$D$51:$D$479=$A60)*('W7. Primary Energy Prod'!$E$50:$O$50=AS$56),'W7. Primary Energy Prod'!$E$51:$O$479))</f>
        <v>187744.77267399975</v>
      </c>
      <c r="AT60" s="34">
        <f t="array" ref="AT60">SUM(IF(('W7. Primary Energy Prod'!$B$51:$B$479=AT$57)*('W7. Primary Energy Prod'!$D$51:$D$479=$A60)*('W7. Primary Energy Prod'!$E$50:$O$50=AT$56),'W7. Primary Energy Prod'!$E$51:$O$479))</f>
        <v>213743.18172366027</v>
      </c>
      <c r="AU60" s="34">
        <f t="array" ref="AU60">SUM(IF(('W7. Primary Energy Prod'!$B$51:$B$479=AU$57)*('W7. Primary Energy Prod'!$D$51:$D$479=$A60)*('W7. Primary Energy Prod'!$E$50:$O$50=AU$56),'W7. Primary Energy Prod'!$E$51:$O$479))</f>
        <v>187041.85344767111</v>
      </c>
      <c r="AV60" s="34">
        <f t="array" ref="AV60">SUM(IF(('W7. Primary Energy Prod'!$B$51:$B$479=AV$57)*('W7. Primary Energy Prod'!$D$51:$D$479=$A60)*('W7. Primary Energy Prod'!$E$50:$O$50=AV$56),'W7. Primary Energy Prod'!$E$51:$O$479))</f>
        <v>165057.09056725368</v>
      </c>
    </row>
    <row r="61" spans="1:48" x14ac:dyDescent="0.3">
      <c r="A61" s="3" t="s">
        <v>256</v>
      </c>
      <c r="B61" s="3" t="s">
        <v>256</v>
      </c>
      <c r="C61" s="34">
        <f t="array" ref="C61">SUM(IF(('W7. Primary Energy Prod'!$B$51:$B$479=C$57)*('W7. Primary Energy Prod'!$D$51:$D$479=$A61)*('W7. Primary Energy Prod'!$E$50:$O$50=C$56),'W7. Primary Energy Prod'!$E$51:$O$479))</f>
        <v>0</v>
      </c>
      <c r="D61" s="34">
        <f t="array" ref="D61">SUM(IF(('W7. Primary Energy Prod'!$B$51:$B$479=D$57)*('W7. Primary Energy Prod'!$D$51:$D$479=$A61)*('W7. Primary Energy Prod'!$E$50:$O$50=D$56),'W7. Primary Energy Prod'!$E$51:$O$479))</f>
        <v>0</v>
      </c>
      <c r="E61" s="34">
        <f t="array" ref="E61">SUM(IF(('W7. Primary Energy Prod'!$B$51:$B$479=E$57)*('W7. Primary Energy Prod'!$D$51:$D$479=$A61)*('W7. Primary Energy Prod'!$E$50:$O$50=E$56),'W7. Primary Energy Prod'!$E$51:$O$479))</f>
        <v>0</v>
      </c>
      <c r="F61" s="34">
        <f t="array" ref="F61">SUM(IF(('W7. Primary Energy Prod'!$B$51:$B$479=F$57)*('W7. Primary Energy Prod'!$D$51:$D$479=$A61)*('W7. Primary Energy Prod'!$E$50:$O$50=F$56),'W7. Primary Energy Prod'!$E$51:$O$479))</f>
        <v>14734.740994143709</v>
      </c>
      <c r="G61" s="34">
        <f t="array" ref="G61">SUM(IF(('W7. Primary Energy Prod'!$B$51:$B$479=G$57)*('W7. Primary Energy Prod'!$D$51:$D$479=$A61)*('W7. Primary Energy Prod'!$E$50:$O$50=G$56),'W7. Primary Energy Prod'!$E$51:$O$479))</f>
        <v>14734.740994143709</v>
      </c>
      <c r="H61" s="34">
        <f t="array" ref="H61">SUM(IF(('W7. Primary Energy Prod'!$B$51:$B$479=H$57)*('W7. Primary Energy Prod'!$D$51:$D$479=$A61)*('W7. Primary Energy Prod'!$E$50:$O$50=H$56),'W7. Primary Energy Prod'!$E$51:$O$479))</f>
        <v>14734.740994143709</v>
      </c>
      <c r="I61" s="34">
        <f t="array" ref="I61">SUM(IF(('W7. Primary Energy Prod'!$B$51:$B$479=I$57)*('W7. Primary Energy Prod'!$D$51:$D$479=$A61)*('W7. Primary Energy Prod'!$E$50:$O$50=I$56),'W7. Primary Energy Prod'!$E$51:$O$479))</f>
        <v>14734.740994143709</v>
      </c>
      <c r="J61" s="34">
        <f t="array" ref="J61">SUM(IF(('W7. Primary Energy Prod'!$B$51:$B$479=J$57)*('W7. Primary Energy Prod'!$D$51:$D$479=$A61)*('W7. Primary Energy Prod'!$E$50:$O$50=J$56),'W7. Primary Energy Prod'!$E$51:$O$479))</f>
        <v>14734.740994143709</v>
      </c>
      <c r="K61" s="34">
        <f t="array" ref="K61">SUM(IF(('W7. Primary Energy Prod'!$B$51:$B$479=K$57)*('W7. Primary Energy Prod'!$D$51:$D$479=$A61)*('W7. Primary Energy Prod'!$E$50:$O$50=K$56),'W7. Primary Energy Prod'!$E$51:$O$479))</f>
        <v>14734.740994143709</v>
      </c>
      <c r="L61" s="34">
        <f t="array" ref="L61">SUM(IF(('W7. Primary Energy Prod'!$B$51:$B$479=L$57)*('W7. Primary Energy Prod'!$D$51:$D$479=$A61)*('W7. Primary Energy Prod'!$E$50:$O$50=L$56),'W7. Primary Energy Prod'!$E$51:$O$479))</f>
        <v>14734.740994143709</v>
      </c>
      <c r="M61" s="34">
        <f t="array" ref="M61">SUM(IF(('W7. Primary Energy Prod'!$B$51:$B$479=M$57)*('W7. Primary Energy Prod'!$D$51:$D$479=$A61)*('W7. Primary Energy Prod'!$E$50:$O$50=M$56),'W7. Primary Energy Prod'!$E$51:$O$479))</f>
        <v>0</v>
      </c>
      <c r="N61" s="34">
        <f t="array" ref="N61">SUM(IF(('W7. Primary Energy Prod'!$B$51:$B$479=N$57)*('W7. Primary Energy Prod'!$D$51:$D$479=$A61)*('W7. Primary Energy Prod'!$E$50:$O$50=N$56),'W7. Primary Energy Prod'!$E$51:$O$479))</f>
        <v>0</v>
      </c>
      <c r="O61" s="34">
        <f t="array" ref="O61">SUM(IF(('W7. Primary Energy Prod'!$B$51:$B$479=O$57)*('W7. Primary Energy Prod'!$D$51:$D$479=$A61)*('W7. Primary Energy Prod'!$E$50:$O$50=O$56),'W7. Primary Energy Prod'!$E$51:$O$479))</f>
        <v>17428.252668332996</v>
      </c>
      <c r="P61" s="34">
        <f t="array" ref="P61">SUM(IF(('W7. Primary Energy Prod'!$B$51:$B$479=P$57)*('W7. Primary Energy Prod'!$D$51:$D$479=$A61)*('W7. Primary Energy Prod'!$E$50:$O$50=P$56),'W7. Primary Energy Prod'!$E$51:$O$479))</f>
        <v>17241.713076375538</v>
      </c>
      <c r="Q61" s="34">
        <f t="array" ref="Q61">SUM(IF(('W7. Primary Energy Prod'!$B$51:$B$479=Q$57)*('W7. Primary Energy Prod'!$D$51:$D$479=$A61)*('W7. Primary Energy Prod'!$E$50:$O$50=Q$56),'W7. Primary Energy Prod'!$E$51:$O$479))</f>
        <v>17812.023045098293</v>
      </c>
      <c r="R61" s="34">
        <f t="array" ref="R61">SUM(IF(('W7. Primary Energy Prod'!$B$51:$B$479=R$57)*('W7. Primary Energy Prod'!$D$51:$D$479=$A61)*('W7. Primary Energy Prod'!$E$50:$O$50=R$56),'W7. Primary Energy Prod'!$E$51:$O$479))</f>
        <v>17418.209653652688</v>
      </c>
      <c r="S61" s="34">
        <f t="array" ref="S61">SUM(IF(('W7. Primary Energy Prod'!$B$51:$B$479=S$57)*('W7. Primary Energy Prod'!$D$51:$D$479=$A61)*('W7. Primary Energy Prod'!$E$50:$O$50=S$56),'W7. Primary Energy Prod'!$E$51:$O$479))</f>
        <v>17687.089304658592</v>
      </c>
      <c r="T61" s="34">
        <f t="array" ref="T61">SUM(IF(('W7. Primary Energy Prod'!$B$51:$B$479=T$57)*('W7. Primary Energy Prod'!$D$51:$D$479=$A61)*('W7. Primary Energy Prod'!$E$50:$O$50=T$56),'W7. Primary Energy Prod'!$E$51:$O$479))</f>
        <v>17428.259497011386</v>
      </c>
      <c r="U61" s="34">
        <f t="array" ref="U61">SUM(IF(('W7. Primary Energy Prod'!$B$51:$B$479=U$57)*('W7. Primary Energy Prod'!$D$51:$D$479=$A61)*('W7. Primary Energy Prod'!$E$50:$O$50=U$56),'W7. Primary Energy Prod'!$E$51:$O$479))</f>
        <v>17350.02109566432</v>
      </c>
      <c r="V61" s="34">
        <f t="array" ref="V61">SUM(IF(('W7. Primary Energy Prod'!$B$51:$B$479=V$57)*('W7. Primary Energy Prod'!$D$51:$D$479=$A61)*('W7. Primary Energy Prod'!$E$50:$O$50=V$56),'W7. Primary Energy Prod'!$E$51:$O$479))</f>
        <v>0</v>
      </c>
      <c r="W61" s="34">
        <f t="array" ref="W61">SUM(IF(('W7. Primary Energy Prod'!$B$51:$B$479=W$57)*('W7. Primary Energy Prod'!$D$51:$D$479=$A61)*('W7. Primary Energy Prod'!$E$50:$O$50=W$56),'W7. Primary Energy Prod'!$E$51:$O$479))</f>
        <v>0</v>
      </c>
      <c r="X61" s="34">
        <f t="array" ref="X61">SUM(IF(('W7. Primary Energy Prod'!$B$51:$B$479=X$57)*('W7. Primary Energy Prod'!$D$51:$D$479=$A61)*('W7. Primary Energy Prod'!$E$50:$O$50=X$56),'W7. Primary Energy Prod'!$E$51:$O$479))</f>
        <v>20364.195648658264</v>
      </c>
      <c r="Y61" s="34">
        <f t="array" ref="Y61">SUM(IF(('W7. Primary Energy Prod'!$B$51:$B$479=Y$57)*('W7. Primary Energy Prod'!$D$51:$D$479=$A61)*('W7. Primary Energy Prod'!$E$50:$O$50=Y$56),'W7. Primary Energy Prod'!$E$51:$O$479))</f>
        <v>19683.776713159183</v>
      </c>
      <c r="Z61" s="34">
        <f t="array" ref="Z61">SUM(IF(('W7. Primary Energy Prod'!$B$51:$B$479=Z$57)*('W7. Primary Energy Prod'!$D$51:$D$479=$A61)*('W7. Primary Energy Prod'!$E$50:$O$50=Z$56),'W7. Primary Energy Prod'!$E$51:$O$479))</f>
        <v>21860.241221484794</v>
      </c>
      <c r="AA61" s="34">
        <f t="array" ref="AA61">SUM(IF(('W7. Primary Energy Prod'!$B$51:$B$479=AA$57)*('W7. Primary Energy Prod'!$D$51:$D$479=$A61)*('W7. Primary Energy Prod'!$E$50:$O$50=AA$56),'W7. Primary Energy Prod'!$E$51:$O$479))</f>
        <v>20095.689658693947</v>
      </c>
      <c r="AB61" s="34">
        <f t="array" ref="AB61">SUM(IF(('W7. Primary Energy Prod'!$B$51:$B$479=AB$57)*('W7. Primary Energy Prod'!$D$51:$D$479=$A61)*('W7. Primary Energy Prod'!$E$50:$O$50=AB$56),'W7. Primary Energy Prod'!$E$51:$O$479))</f>
        <v>21682.931140902278</v>
      </c>
      <c r="AC61" s="34">
        <f t="array" ref="AC61">SUM(IF(('W7. Primary Energy Prod'!$B$51:$B$479=AC$57)*('W7. Primary Energy Prod'!$D$51:$D$479=$A61)*('W7. Primary Energy Prod'!$E$50:$O$50=AC$56),'W7. Primary Energy Prod'!$E$51:$O$479))</f>
        <v>20086.239308008477</v>
      </c>
      <c r="AD61" s="34">
        <f t="array" ref="AD61">SUM(IF(('W7. Primary Energy Prod'!$B$51:$B$479=AD$57)*('W7. Primary Energy Prod'!$D$51:$D$479=$A61)*('W7. Primary Energy Prod'!$E$50:$O$50=AD$56),'W7. Primary Energy Prod'!$E$51:$O$479))</f>
        <v>19710.855239891356</v>
      </c>
      <c r="AE61" s="34">
        <f t="array" ref="AE61">SUM(IF(('W7. Primary Energy Prod'!$B$51:$B$479=AE$57)*('W7. Primary Energy Prod'!$D$51:$D$479=$A61)*('W7. Primary Energy Prod'!$E$50:$O$50=AE$56),'W7. Primary Energy Prod'!$E$51:$O$479))</f>
        <v>0</v>
      </c>
      <c r="AF61" s="34">
        <f t="array" ref="AF61">SUM(IF(('W7. Primary Energy Prod'!$B$51:$B$479=AF$57)*('W7. Primary Energy Prod'!$D$51:$D$479=$A61)*('W7. Primary Energy Prod'!$E$50:$O$50=AF$56),'W7. Primary Energy Prod'!$E$51:$O$479))</f>
        <v>0</v>
      </c>
      <c r="AG61" s="34">
        <f t="array" ref="AG61">SUM(IF(('W7. Primary Energy Prod'!$B$51:$B$479=AG$57)*('W7. Primary Energy Prod'!$D$51:$D$479=$A61)*('W7. Primary Energy Prod'!$E$50:$O$50=AG$56),'W7. Primary Energy Prod'!$E$51:$O$479))</f>
        <v>23790.208360954173</v>
      </c>
      <c r="AH61" s="34">
        <f t="array" ref="AH61">SUM(IF(('W7. Primary Energy Prod'!$B$51:$B$479=AH$57)*('W7. Primary Energy Prod'!$D$51:$D$479=$A61)*('W7. Primary Energy Prod'!$E$50:$O$50=AH$56),'W7. Primary Energy Prod'!$E$51:$O$479))</f>
        <v>24529.34491063984</v>
      </c>
      <c r="AI61" s="34">
        <f t="array" ref="AI61">SUM(IF(('W7. Primary Energy Prod'!$B$51:$B$479=AI$57)*('W7. Primary Energy Prod'!$D$51:$D$479=$A61)*('W7. Primary Energy Prod'!$E$50:$O$50=AI$56),'W7. Primary Energy Prod'!$E$51:$O$479))</f>
        <v>25435.876568493761</v>
      </c>
      <c r="AJ61" s="34">
        <f t="array" ref="AJ61">SUM(IF(('W7. Primary Energy Prod'!$B$51:$B$479=AJ$57)*('W7. Primary Energy Prod'!$D$51:$D$479=$A61)*('W7. Primary Energy Prod'!$E$50:$O$50=AJ$56),'W7. Primary Energy Prod'!$E$51:$O$479))</f>
        <v>24148.940166317072</v>
      </c>
      <c r="AK61" s="34">
        <f t="array" ref="AK61">SUM(IF(('W7. Primary Energy Prod'!$B$51:$B$479=AK$57)*('W7. Primary Energy Prod'!$D$51:$D$479=$A61)*('W7. Primary Energy Prod'!$E$50:$O$50=AK$56),'W7. Primary Energy Prod'!$E$51:$O$479))</f>
        <v>25846.336496137705</v>
      </c>
      <c r="AL61" s="34">
        <f t="array" ref="AL61">SUM(IF(('W7. Primary Energy Prod'!$B$51:$B$479=AL$57)*('W7. Primary Energy Prod'!$D$51:$D$479=$A61)*('W7. Primary Energy Prod'!$E$50:$O$50=AL$56),'W7. Primary Energy Prod'!$E$51:$O$479))</f>
        <v>24103.259598822035</v>
      </c>
      <c r="AM61" s="34">
        <f t="array" ref="AM61">SUM(IF(('W7. Primary Energy Prod'!$B$51:$B$479=AM$57)*('W7. Primary Energy Prod'!$D$51:$D$479=$A61)*('W7. Primary Energy Prod'!$E$50:$O$50=AM$56),'W7. Primary Energy Prod'!$E$51:$O$479))</f>
        <v>22439.016483567084</v>
      </c>
      <c r="AN61" s="34">
        <f t="array" ref="AN61">SUM(IF(('W7. Primary Energy Prod'!$B$51:$B$479=AN$57)*('W7. Primary Energy Prod'!$D$51:$D$479=$A61)*('W7. Primary Energy Prod'!$E$50:$O$50=AN$56),'W7. Primary Energy Prod'!$E$51:$O$479))</f>
        <v>0</v>
      </c>
      <c r="AO61" s="34">
        <f t="array" ref="AO61">SUM(IF(('W7. Primary Energy Prod'!$B$51:$B$479=AO$57)*('W7. Primary Energy Prod'!$D$51:$D$479=$A61)*('W7. Primary Energy Prod'!$E$50:$O$50=AO$56),'W7. Primary Energy Prod'!$E$51:$O$479))</f>
        <v>0</v>
      </c>
      <c r="AP61" s="34">
        <f t="array" ref="AP61">SUM(IF(('W7. Primary Energy Prod'!$B$51:$B$479=AP$57)*('W7. Primary Energy Prod'!$D$51:$D$479=$A61)*('W7. Primary Energy Prod'!$E$50:$O$50=AP$56),'W7. Primary Energy Prod'!$E$51:$O$479))</f>
        <v>25650.488693715753</v>
      </c>
      <c r="AQ61" s="34">
        <f t="array" ref="AQ61">SUM(IF(('W7. Primary Energy Prod'!$B$51:$B$479=AQ$57)*('W7. Primary Energy Prod'!$D$51:$D$479=$A61)*('W7. Primary Energy Prod'!$E$50:$O$50=AQ$56),'W7. Primary Energy Prod'!$E$51:$O$479))</f>
        <v>26240.22834639101</v>
      </c>
      <c r="AR61" s="34">
        <f t="array" ref="AR61">SUM(IF(('W7. Primary Energy Prod'!$B$51:$B$479=AR$57)*('W7. Primary Energy Prod'!$D$51:$D$479=$A61)*('W7. Primary Energy Prod'!$E$50:$O$50=AR$56),'W7. Primary Energy Prod'!$E$51:$O$479))</f>
        <v>26852.371666234798</v>
      </c>
      <c r="AS61" s="34">
        <f t="array" ref="AS61">SUM(IF(('W7. Primary Energy Prod'!$B$51:$B$479=AS$57)*('W7. Primary Energy Prod'!$D$51:$D$479=$A61)*('W7. Primary Energy Prod'!$E$50:$O$50=AS$56),'W7. Primary Energy Prod'!$E$51:$O$479))</f>
        <v>25507.509903029553</v>
      </c>
      <c r="AT61" s="34">
        <f t="array" ref="AT61">SUM(IF(('W7. Primary Energy Prod'!$B$51:$B$479=AT$57)*('W7. Primary Energy Prod'!$D$51:$D$479=$A61)*('W7. Primary Energy Prod'!$E$50:$O$50=AT$56),'W7. Primary Energy Prod'!$E$51:$O$479))</f>
        <v>28359.045854255713</v>
      </c>
      <c r="AU61" s="34">
        <f t="array" ref="AU61">SUM(IF(('W7. Primary Energy Prod'!$B$51:$B$479=AU$57)*('W7. Primary Energy Prod'!$D$51:$D$479=$A61)*('W7. Primary Energy Prod'!$E$50:$O$50=AU$56),'W7. Primary Energy Prod'!$E$51:$O$479))</f>
        <v>25847.759061109995</v>
      </c>
      <c r="AV61" s="34">
        <f t="array" ref="AV61">SUM(IF(('W7. Primary Energy Prod'!$B$51:$B$479=AV$57)*('W7. Primary Energy Prod'!$D$51:$D$479=$A61)*('W7. Primary Energy Prod'!$E$50:$O$50=AV$56),'W7. Primary Energy Prod'!$E$51:$O$479))</f>
        <v>24003.879262199898</v>
      </c>
    </row>
    <row r="62" spans="1:48" x14ac:dyDescent="0.3">
      <c r="A62" s="3" t="s">
        <v>257</v>
      </c>
      <c r="B62" s="3" t="s">
        <v>257</v>
      </c>
      <c r="C62" s="34">
        <f t="array" ref="C62">SUM(IF(('W7. Primary Energy Prod'!$B$51:$B$479=C$57)*('W7. Primary Energy Prod'!$D$51:$D$479=$A62)*('W7. Primary Energy Prod'!$E$50:$O$50=C$56),'W7. Primary Energy Prod'!$E$51:$O$479))</f>
        <v>0</v>
      </c>
      <c r="D62" s="34">
        <f t="array" ref="D62">SUM(IF(('W7. Primary Energy Prod'!$B$51:$B$479=D$57)*('W7. Primary Energy Prod'!$D$51:$D$479=$A62)*('W7. Primary Energy Prod'!$E$50:$O$50=D$56),'W7. Primary Energy Prod'!$E$51:$O$479))</f>
        <v>0</v>
      </c>
      <c r="E62" s="34">
        <f t="array" ref="E62">SUM(IF(('W7. Primary Energy Prod'!$B$51:$B$479=E$57)*('W7. Primary Energy Prod'!$D$51:$D$479=$A62)*('W7. Primary Energy Prod'!$E$50:$O$50=E$56),'W7. Primary Energy Prod'!$E$51:$O$479))</f>
        <v>0</v>
      </c>
      <c r="F62" s="34">
        <f t="array" ref="F62">SUM(IF(('W7. Primary Energy Prod'!$B$51:$B$479=F$57)*('W7. Primary Energy Prod'!$D$51:$D$479=$A62)*('W7. Primary Energy Prod'!$E$50:$O$50=F$56),'W7. Primary Energy Prod'!$E$51:$O$479))</f>
        <v>13753.197500000002</v>
      </c>
      <c r="G62" s="34">
        <f t="array" ref="G62">SUM(IF(('W7. Primary Energy Prod'!$B$51:$B$479=G$57)*('W7. Primary Energy Prod'!$D$51:$D$479=$A62)*('W7. Primary Energy Prod'!$E$50:$O$50=G$56),'W7. Primary Energy Prod'!$E$51:$O$479))</f>
        <v>13753.197500000002</v>
      </c>
      <c r="H62" s="34">
        <f t="array" ref="H62">SUM(IF(('W7. Primary Energy Prod'!$B$51:$B$479=H$57)*('W7. Primary Energy Prod'!$D$51:$D$479=$A62)*('W7. Primary Energy Prod'!$E$50:$O$50=H$56),'W7. Primary Energy Prod'!$E$51:$O$479))</f>
        <v>13753.197500000002</v>
      </c>
      <c r="I62" s="34">
        <f t="array" ref="I62">SUM(IF(('W7. Primary Energy Prod'!$B$51:$B$479=I$57)*('W7. Primary Energy Prod'!$D$51:$D$479=$A62)*('W7. Primary Energy Prod'!$E$50:$O$50=I$56),'W7. Primary Energy Prod'!$E$51:$O$479))</f>
        <v>13753.197500000002</v>
      </c>
      <c r="J62" s="34">
        <f t="array" ref="J62">SUM(IF(('W7. Primary Energy Prod'!$B$51:$B$479=J$57)*('W7. Primary Energy Prod'!$D$51:$D$479=$A62)*('W7. Primary Energy Prod'!$E$50:$O$50=J$56),'W7. Primary Energy Prod'!$E$51:$O$479))</f>
        <v>13753.197500000002</v>
      </c>
      <c r="K62" s="34">
        <f t="array" ref="K62">SUM(IF(('W7. Primary Energy Prod'!$B$51:$B$479=K$57)*('W7. Primary Energy Prod'!$D$51:$D$479=$A62)*('W7. Primary Energy Prod'!$E$50:$O$50=K$56),'W7. Primary Energy Prod'!$E$51:$O$479))</f>
        <v>13753.197500000002</v>
      </c>
      <c r="L62" s="34">
        <f t="array" ref="L62">SUM(IF(('W7. Primary Energy Prod'!$B$51:$B$479=L$57)*('W7. Primary Energy Prod'!$D$51:$D$479=$A62)*('W7. Primary Energy Prod'!$E$50:$O$50=L$56),'W7. Primary Energy Prod'!$E$51:$O$479))</f>
        <v>13753.197500000002</v>
      </c>
      <c r="M62" s="34">
        <f t="array" ref="M62">SUM(IF(('W7. Primary Energy Prod'!$B$51:$B$479=M$57)*('W7. Primary Energy Prod'!$D$51:$D$479=$A62)*('W7. Primary Energy Prod'!$E$50:$O$50=M$56),'W7. Primary Energy Prod'!$E$51:$O$479))</f>
        <v>0</v>
      </c>
      <c r="N62" s="34">
        <f t="array" ref="N62">SUM(IF(('W7. Primary Energy Prod'!$B$51:$B$479=N$57)*('W7. Primary Energy Prod'!$D$51:$D$479=$A62)*('W7. Primary Energy Prod'!$E$50:$O$50=N$56),'W7. Primary Energy Prod'!$E$51:$O$479))</f>
        <v>0</v>
      </c>
      <c r="O62" s="34">
        <f t="array" ref="O62">SUM(IF(('W7. Primary Energy Prod'!$B$51:$B$479=O$57)*('W7. Primary Energy Prod'!$D$51:$D$479=$A62)*('W7. Primary Energy Prod'!$E$50:$O$50=O$56),'W7. Primary Energy Prod'!$E$51:$O$479))</f>
        <v>14514.167854150608</v>
      </c>
      <c r="P62" s="34">
        <f t="array" ref="P62">SUM(IF(('W7. Primary Energy Prod'!$B$51:$B$479=P$57)*('W7. Primary Energy Prod'!$D$51:$D$479=$A62)*('W7. Primary Energy Prod'!$E$50:$O$50=P$56),'W7. Primary Energy Prod'!$E$51:$O$479))</f>
        <v>14514.167854150608</v>
      </c>
      <c r="Q62" s="34">
        <f t="array" ref="Q62">SUM(IF(('W7. Primary Energy Prod'!$B$51:$B$479=Q$57)*('W7. Primary Energy Prod'!$D$51:$D$479=$A62)*('W7. Primary Energy Prod'!$E$50:$O$50=Q$56),'W7. Primary Energy Prod'!$E$51:$O$479))</f>
        <v>14514.167854150608</v>
      </c>
      <c r="R62" s="34">
        <f t="array" ref="R62">SUM(IF(('W7. Primary Energy Prod'!$B$51:$B$479=R$57)*('W7. Primary Energy Prod'!$D$51:$D$479=$A62)*('W7. Primary Energy Prod'!$E$50:$O$50=R$56),'W7. Primary Energy Prod'!$E$51:$O$479))</f>
        <v>14514.167854150608</v>
      </c>
      <c r="S62" s="34">
        <f t="array" ref="S62">SUM(IF(('W7. Primary Energy Prod'!$B$51:$B$479=S$57)*('W7. Primary Energy Prod'!$D$51:$D$479=$A62)*('W7. Primary Energy Prod'!$E$50:$O$50=S$56),'W7. Primary Energy Prod'!$E$51:$O$479))</f>
        <v>14514.167854150608</v>
      </c>
      <c r="T62" s="34">
        <f t="array" ref="T62">SUM(IF(('W7. Primary Energy Prod'!$B$51:$B$479=T$57)*('W7. Primary Energy Prod'!$D$51:$D$479=$A62)*('W7. Primary Energy Prod'!$E$50:$O$50=T$56),'W7. Primary Energy Prod'!$E$51:$O$479))</f>
        <v>14514.167854150608</v>
      </c>
      <c r="U62" s="34">
        <f t="array" ref="U62">SUM(IF(('W7. Primary Energy Prod'!$B$51:$B$479=U$57)*('W7. Primary Energy Prod'!$D$51:$D$479=$A62)*('W7. Primary Energy Prod'!$E$50:$O$50=U$56),'W7. Primary Energy Prod'!$E$51:$O$479))</f>
        <v>14514.167854150608</v>
      </c>
      <c r="V62" s="34">
        <f t="array" ref="V62">SUM(IF(('W7. Primary Energy Prod'!$B$51:$B$479=V$57)*('W7. Primary Energy Prod'!$D$51:$D$479=$A62)*('W7. Primary Energy Prod'!$E$50:$O$50=V$56),'W7. Primary Energy Prod'!$E$51:$O$479))</f>
        <v>0</v>
      </c>
      <c r="W62" s="34">
        <f t="array" ref="W62">SUM(IF(('W7. Primary Energy Prod'!$B$51:$B$479=W$57)*('W7. Primary Energy Prod'!$D$51:$D$479=$A62)*('W7. Primary Energy Prod'!$E$50:$O$50=W$56),'W7. Primary Energy Prod'!$E$51:$O$479))</f>
        <v>0</v>
      </c>
      <c r="X62" s="34">
        <f t="array" ref="X62">SUM(IF(('W7. Primary Energy Prod'!$B$51:$B$479=X$57)*('W7. Primary Energy Prod'!$D$51:$D$479=$A62)*('W7. Primary Energy Prod'!$E$50:$O$50=X$56),'W7. Primary Energy Prod'!$E$51:$O$479))</f>
        <v>16581.74997273034</v>
      </c>
      <c r="Y62" s="34">
        <f t="array" ref="Y62">SUM(IF(('W7. Primary Energy Prod'!$B$51:$B$479=Y$57)*('W7. Primary Energy Prod'!$D$51:$D$479=$A62)*('W7. Primary Energy Prod'!$E$50:$O$50=Y$56),'W7. Primary Energy Prod'!$E$51:$O$479))</f>
        <v>15191.631806438925</v>
      </c>
      <c r="Z62" s="34">
        <f t="array" ref="Z62">SUM(IF(('W7. Primary Energy Prod'!$B$51:$B$479=Z$57)*('W7. Primary Energy Prod'!$D$51:$D$479=$A62)*('W7. Primary Energy Prod'!$E$50:$O$50=Z$56),'W7. Primary Energy Prod'!$E$51:$O$479))</f>
        <v>17132.08644893012</v>
      </c>
      <c r="AA62" s="34">
        <f t="array" ref="AA62">SUM(IF(('W7. Primary Energy Prod'!$B$51:$B$479=AA$57)*('W7. Primary Energy Prod'!$D$51:$D$479=$A62)*('W7. Primary Energy Prod'!$E$50:$O$50=AA$56),'W7. Primary Energy Prod'!$E$51:$O$479))</f>
        <v>16218.313795067785</v>
      </c>
      <c r="AB62" s="34">
        <f t="array" ref="AB62">SUM(IF(('W7. Primary Energy Prod'!$B$51:$B$479=AB$57)*('W7. Primary Energy Prod'!$D$51:$D$479=$A62)*('W7. Primary Energy Prod'!$E$50:$O$50=AB$56),'W7. Primary Energy Prod'!$E$51:$O$479))</f>
        <v>17702.865000000002</v>
      </c>
      <c r="AC62" s="34">
        <f t="array" ref="AC62">SUM(IF(('W7. Primary Energy Prod'!$B$51:$B$479=AC$57)*('W7. Primary Energy Prod'!$D$51:$D$479=$A62)*('W7. Primary Energy Prod'!$E$50:$O$50=AC$56),'W7. Primary Energy Prod'!$E$51:$O$479))</f>
        <v>16455.882818093443</v>
      </c>
      <c r="AD62" s="34">
        <f t="array" ref="AD62">SUM(IF(('W7. Primary Energy Prod'!$B$51:$B$479=AD$57)*('W7. Primary Energy Prod'!$D$51:$D$479=$A62)*('W7. Primary Energy Prod'!$E$50:$O$50=AD$56),'W7. Primary Energy Prod'!$E$51:$O$479))</f>
        <v>16446.599972730342</v>
      </c>
      <c r="AE62" s="34">
        <f t="array" ref="AE62">SUM(IF(('W7. Primary Energy Prod'!$B$51:$B$479=AE$57)*('W7. Primary Energy Prod'!$D$51:$D$479=$A62)*('W7. Primary Energy Prod'!$E$50:$O$50=AE$56),'W7. Primary Energy Prod'!$E$51:$O$479))</f>
        <v>0</v>
      </c>
      <c r="AF62" s="34">
        <f t="array" ref="AF62">SUM(IF(('W7. Primary Energy Prod'!$B$51:$B$479=AF$57)*('W7. Primary Energy Prod'!$D$51:$D$479=$A62)*('W7. Primary Energy Prod'!$E$50:$O$50=AF$56),'W7. Primary Energy Prod'!$E$51:$O$479))</f>
        <v>0</v>
      </c>
      <c r="AG62" s="34">
        <f t="array" ref="AG62">SUM(IF(('W7. Primary Energy Prod'!$B$51:$B$479=AG$57)*('W7. Primary Energy Prod'!$D$51:$D$479=$A62)*('W7. Primary Energy Prod'!$E$50:$O$50=AG$56),'W7. Primary Energy Prod'!$E$51:$O$479))</f>
        <v>23100.058135655392</v>
      </c>
      <c r="AH62" s="34">
        <f t="array" ref="AH62">SUM(IF(('W7. Primary Energy Prod'!$B$51:$B$479=AH$57)*('W7. Primary Energy Prod'!$D$51:$D$479=$A62)*('W7. Primary Energy Prod'!$E$50:$O$50=AH$56),'W7. Primary Energy Prod'!$E$51:$O$479))</f>
        <v>23771.416194236695</v>
      </c>
      <c r="AI62" s="34">
        <f t="array" ref="AI62">SUM(IF(('W7. Primary Energy Prod'!$B$51:$B$479=AI$57)*('W7. Primary Energy Prod'!$D$51:$D$479=$A62)*('W7. Primary Energy Prod'!$E$50:$O$50=AI$56),'W7. Primary Energy Prod'!$E$51:$O$479))</f>
        <v>24552.996119163538</v>
      </c>
      <c r="AJ62" s="34">
        <f t="array" ref="AJ62">SUM(IF(('W7. Primary Energy Prod'!$B$51:$B$479=AJ$57)*('W7. Primary Energy Prod'!$D$51:$D$479=$A62)*('W7. Primary Energy Prod'!$E$50:$O$50=AJ$56),'W7. Primary Energy Prod'!$E$51:$O$479))</f>
        <v>23095.66355195201</v>
      </c>
      <c r="AK62" s="34">
        <f t="array" ref="AK62">SUM(IF(('W7. Primary Energy Prod'!$B$51:$B$479=AK$57)*('W7. Primary Energy Prod'!$D$51:$D$479=$A62)*('W7. Primary Energy Prod'!$E$50:$O$50=AK$56),'W7. Primary Energy Prod'!$E$51:$O$479))</f>
        <v>24925.344846272601</v>
      </c>
      <c r="AL62" s="34">
        <f t="array" ref="AL62">SUM(IF(('W7. Primary Energy Prod'!$B$51:$B$479=AL$57)*('W7. Primary Energy Prod'!$D$51:$D$479=$A62)*('W7. Primary Energy Prod'!$E$50:$O$50=AL$56),'W7. Primary Energy Prod'!$E$51:$O$479))</f>
        <v>22976.192980843465</v>
      </c>
      <c r="AM62" s="34">
        <f t="array" ref="AM62">SUM(IF(('W7. Primary Energy Prod'!$B$51:$B$479=AM$57)*('W7. Primary Energy Prod'!$D$51:$D$479=$A62)*('W7. Primary Energy Prod'!$E$50:$O$50=AM$56),'W7. Primary Energy Prod'!$E$51:$O$479))</f>
        <v>21155.728529743101</v>
      </c>
      <c r="AN62" s="34">
        <f t="array" ref="AN62">SUM(IF(('W7. Primary Energy Prod'!$B$51:$B$479=AN$57)*('W7. Primary Energy Prod'!$D$51:$D$479=$A62)*('W7. Primary Energy Prod'!$E$50:$O$50=AN$56),'W7. Primary Energy Prod'!$E$51:$O$479))</f>
        <v>0</v>
      </c>
      <c r="AO62" s="34">
        <f t="array" ref="AO62">SUM(IF(('W7. Primary Energy Prod'!$B$51:$B$479=AO$57)*('W7. Primary Energy Prod'!$D$51:$D$479=$A62)*('W7. Primary Energy Prod'!$E$50:$O$50=AO$56),'W7. Primary Energy Prod'!$E$51:$O$479))</f>
        <v>0</v>
      </c>
      <c r="AP62" s="34">
        <f t="array" ref="AP62">SUM(IF(('W7. Primary Energy Prod'!$B$51:$B$479=AP$57)*('W7. Primary Energy Prod'!$D$51:$D$479=$A62)*('W7. Primary Energy Prod'!$E$50:$O$50=AP$56),'W7. Primary Energy Prod'!$E$51:$O$479))</f>
        <v>29261.482250082499</v>
      </c>
      <c r="AQ62" s="34">
        <f t="array" ref="AQ62">SUM(IF(('W7. Primary Energy Prod'!$B$51:$B$479=AQ$57)*('W7. Primary Energy Prod'!$D$51:$D$479=$A62)*('W7. Primary Energy Prod'!$E$50:$O$50=AQ$56),'W7. Primary Energy Prod'!$E$51:$O$479))</f>
        <v>29226.529402157921</v>
      </c>
      <c r="AR62" s="34">
        <f t="array" ref="AR62">SUM(IF(('W7. Primary Energy Prod'!$B$51:$B$479=AR$57)*('W7. Primary Energy Prod'!$D$51:$D$479=$A62)*('W7. Primary Energy Prod'!$E$50:$O$50=AR$56),'W7. Primary Energy Prod'!$E$51:$O$479))</f>
        <v>29337.793560134902</v>
      </c>
      <c r="AS62" s="34">
        <f t="array" ref="AS62">SUM(IF(('W7. Primary Energy Prod'!$B$51:$B$479=AS$57)*('W7. Primary Energy Prod'!$D$51:$D$479=$A62)*('W7. Primary Energy Prod'!$E$50:$O$50=AS$56),'W7. Primary Energy Prod'!$E$51:$O$479))</f>
        <v>27419.988527939138</v>
      </c>
      <c r="AT62" s="34">
        <f t="array" ref="AT62">SUM(IF(('W7. Primary Energy Prod'!$B$51:$B$479=AT$57)*('W7. Primary Energy Prod'!$D$51:$D$479=$A62)*('W7. Primary Energy Prod'!$E$50:$O$50=AT$56),'W7. Primary Energy Prod'!$E$51:$O$479))</f>
        <v>29320.904494184961</v>
      </c>
      <c r="AU62" s="34">
        <f t="array" ref="AU62">SUM(IF(('W7. Primary Energy Prod'!$B$51:$B$479=AU$57)*('W7. Primary Energy Prod'!$D$51:$D$479=$A62)*('W7. Primary Energy Prod'!$E$50:$O$50=AU$56),'W7. Primary Energy Prod'!$E$51:$O$479))</f>
        <v>28732.668659947933</v>
      </c>
      <c r="AV62" s="34">
        <f t="array" ref="AV62">SUM(IF(('W7. Primary Energy Prod'!$B$51:$B$479=AV$57)*('W7. Primary Energy Prod'!$D$51:$D$479=$A62)*('W7. Primary Energy Prod'!$E$50:$O$50=AV$56),'W7. Primary Energy Prod'!$E$51:$O$479))</f>
        <v>26463.937607664182</v>
      </c>
    </row>
    <row r="63" spans="1:48" x14ac:dyDescent="0.3">
      <c r="A63" s="3" t="s">
        <v>266</v>
      </c>
      <c r="B63" s="3" t="s">
        <v>266</v>
      </c>
      <c r="C63" s="34">
        <f t="array" ref="C63">SUM(IF(('W7. Primary Energy Prod'!$B$51:$B$479=C$57)*('W7. Primary Energy Prod'!$D$51:$D$479=$A63)*('W7. Primary Energy Prod'!$E$50:$O$50=C$56),'W7. Primary Energy Prod'!$E$51:$O$479))</f>
        <v>0</v>
      </c>
      <c r="D63" s="34">
        <f t="array" ref="D63">SUM(IF(('W7. Primary Energy Prod'!$B$51:$B$479=D$57)*('W7. Primary Energy Prod'!$D$51:$D$479=$A63)*('W7. Primary Energy Prod'!$E$50:$O$50=D$56),'W7. Primary Energy Prod'!$E$51:$O$479))</f>
        <v>0</v>
      </c>
      <c r="E63" s="34">
        <f t="array" ref="E63">SUM(IF(('W7. Primary Energy Prod'!$B$51:$B$479=E$57)*('W7. Primary Energy Prod'!$D$51:$D$479=$A63)*('W7. Primary Energy Prod'!$E$50:$O$50=E$56),'W7. Primary Energy Prod'!$E$51:$O$479))</f>
        <v>0</v>
      </c>
      <c r="F63" s="34">
        <f t="array" ref="F63">SUM(IF(('W7. Primary Energy Prod'!$B$51:$B$479=F$57)*('W7. Primary Energy Prod'!$D$51:$D$479=$A63)*('W7. Primary Energy Prod'!$E$50:$O$50=F$56),'W7. Primary Energy Prod'!$E$51:$O$479))</f>
        <v>170699.74489631387</v>
      </c>
      <c r="G63" s="34">
        <f t="array" ref="G63">SUM(IF(('W7. Primary Energy Prod'!$B$51:$B$479=G$57)*('W7. Primary Energy Prod'!$D$51:$D$479=$A63)*('W7. Primary Energy Prod'!$E$50:$O$50=G$56),'W7. Primary Energy Prod'!$E$51:$O$479))</f>
        <v>170699.74489631387</v>
      </c>
      <c r="H63" s="34">
        <f t="array" ref="H63">SUM(IF(('W7. Primary Energy Prod'!$B$51:$B$479=H$57)*('W7. Primary Energy Prod'!$D$51:$D$479=$A63)*('W7. Primary Energy Prod'!$E$50:$O$50=H$56),'W7. Primary Energy Prod'!$E$51:$O$479))</f>
        <v>170699.74489631387</v>
      </c>
      <c r="I63" s="34">
        <f t="array" ref="I63">SUM(IF(('W7. Primary Energy Prod'!$B$51:$B$479=I$57)*('W7. Primary Energy Prod'!$D$51:$D$479=$A63)*('W7. Primary Energy Prod'!$E$50:$O$50=I$56),'W7. Primary Energy Prod'!$E$51:$O$479))</f>
        <v>170699.74489631387</v>
      </c>
      <c r="J63" s="34">
        <f t="array" ref="J63">SUM(IF(('W7. Primary Energy Prod'!$B$51:$B$479=J$57)*('W7. Primary Energy Prod'!$D$51:$D$479=$A63)*('W7. Primary Energy Prod'!$E$50:$O$50=J$56),'W7. Primary Energy Prod'!$E$51:$O$479))</f>
        <v>170699.74489631387</v>
      </c>
      <c r="K63" s="34">
        <f t="array" ref="K63">SUM(IF(('W7. Primary Energy Prod'!$B$51:$B$479=K$57)*('W7. Primary Energy Prod'!$D$51:$D$479=$A63)*('W7. Primary Energy Prod'!$E$50:$O$50=K$56),'W7. Primary Energy Prod'!$E$51:$O$479))</f>
        <v>170699.74489631387</v>
      </c>
      <c r="L63" s="34">
        <f t="array" ref="L63">SUM(IF(('W7. Primary Energy Prod'!$B$51:$B$479=L$57)*('W7. Primary Energy Prod'!$D$51:$D$479=$A63)*('W7. Primary Energy Prod'!$E$50:$O$50=L$56),'W7. Primary Energy Prod'!$E$51:$O$479))</f>
        <v>170699.74489631387</v>
      </c>
      <c r="M63" s="34">
        <f t="array" ref="M63">SUM(IF(('W7. Primary Energy Prod'!$B$51:$B$479=M$57)*('W7. Primary Energy Prod'!$D$51:$D$479=$A63)*('W7. Primary Energy Prod'!$E$50:$O$50=M$56),'W7. Primary Energy Prod'!$E$51:$O$479))</f>
        <v>0</v>
      </c>
      <c r="N63" s="34">
        <f t="array" ref="N63">SUM(IF(('W7. Primary Energy Prod'!$B$51:$B$479=N$57)*('W7. Primary Energy Prod'!$D$51:$D$479=$A63)*('W7. Primary Energy Prod'!$E$50:$O$50=N$56),'W7. Primary Energy Prod'!$E$51:$O$479))</f>
        <v>0</v>
      </c>
      <c r="O63" s="34">
        <f t="array" ref="O63">SUM(IF(('W7. Primary Energy Prod'!$B$51:$B$479=O$57)*('W7. Primary Energy Prod'!$D$51:$D$479=$A63)*('W7. Primary Energy Prod'!$E$50:$O$50=O$56),'W7. Primary Energy Prod'!$E$51:$O$479))</f>
        <v>173506.79141583553</v>
      </c>
      <c r="P63" s="34">
        <f t="array" ref="P63">SUM(IF(('W7. Primary Energy Prod'!$B$51:$B$479=P$57)*('W7. Primary Energy Prod'!$D$51:$D$479=$A63)*('W7. Primary Energy Prod'!$E$50:$O$50=P$56),'W7. Primary Energy Prod'!$E$51:$O$479))</f>
        <v>176541.28948572898</v>
      </c>
      <c r="Q63" s="34">
        <f t="array" ref="Q63">SUM(IF(('W7. Primary Energy Prod'!$B$51:$B$479=Q$57)*('W7. Primary Energy Prod'!$D$51:$D$479=$A63)*('W7. Primary Energy Prod'!$E$50:$O$50=Q$56),'W7. Primary Energy Prod'!$E$51:$O$479))</f>
        <v>169562.31890813055</v>
      </c>
      <c r="R63" s="34">
        <f t="array" ref="R63">SUM(IF(('W7. Primary Energy Prod'!$B$51:$B$479=R$57)*('W7. Primary Energy Prod'!$D$51:$D$479=$A63)*('W7. Primary Energy Prod'!$E$50:$O$50=R$56),'W7. Primary Energy Prod'!$E$51:$O$479))</f>
        <v>173759.08992337427</v>
      </c>
      <c r="S63" s="34">
        <f t="array" ref="S63">SUM(IF(('W7. Primary Energy Prod'!$B$51:$B$479=S$57)*('W7. Primary Energy Prod'!$D$51:$D$479=$A63)*('W7. Primary Energy Prod'!$E$50:$O$50=S$56),'W7. Primary Energy Prod'!$E$51:$O$479))</f>
        <v>172263.22997899112</v>
      </c>
      <c r="T63" s="34">
        <f t="array" ref="T63">SUM(IF(('W7. Primary Energy Prod'!$B$51:$B$479=T$57)*('W7. Primary Energy Prod'!$D$51:$D$479=$A63)*('W7. Primary Energy Prod'!$E$50:$O$50=T$56),'W7. Primary Energy Prod'!$E$51:$O$479))</f>
        <v>162104.17467200488</v>
      </c>
      <c r="U63" s="34">
        <f t="array" ref="U63">SUM(IF(('W7. Primary Energy Prod'!$B$51:$B$479=U$57)*('W7. Primary Energy Prod'!$D$51:$D$479=$A63)*('W7. Primary Energy Prod'!$E$50:$O$50=U$56),'W7. Primary Energy Prod'!$E$51:$O$479))</f>
        <v>165100.54249270255</v>
      </c>
      <c r="V63" s="34">
        <f t="array" ref="V63">SUM(IF(('W7. Primary Energy Prod'!$B$51:$B$479=V$57)*('W7. Primary Energy Prod'!$D$51:$D$479=$A63)*('W7. Primary Energy Prod'!$E$50:$O$50=V$56),'W7. Primary Energy Prod'!$E$51:$O$479))</f>
        <v>0</v>
      </c>
      <c r="W63" s="34">
        <f t="array" ref="W63">SUM(IF(('W7. Primary Energy Prod'!$B$51:$B$479=W$57)*('W7. Primary Energy Prod'!$D$51:$D$479=$A63)*('W7. Primary Energy Prod'!$E$50:$O$50=W$56),'W7. Primary Energy Prod'!$E$51:$O$479))</f>
        <v>0</v>
      </c>
      <c r="X63" s="34">
        <f t="array" ref="X63">SUM(IF(('W7. Primary Energy Prod'!$B$51:$B$479=X$57)*('W7. Primary Energy Prod'!$D$51:$D$479=$A63)*('W7. Primary Energy Prod'!$E$50:$O$50=X$56),'W7. Primary Energy Prod'!$E$51:$O$479))</f>
        <v>171359.19362465074</v>
      </c>
      <c r="Y63" s="34">
        <f t="array" ref="Y63">SUM(IF(('W7. Primary Energy Prod'!$B$51:$B$479=Y$57)*('W7. Primary Energy Prod'!$D$51:$D$479=$A63)*('W7. Primary Energy Prod'!$E$50:$O$50=Y$56),'W7. Primary Energy Prod'!$E$51:$O$479))</f>
        <v>171293.14235974263</v>
      </c>
      <c r="Z63" s="34">
        <f t="array" ref="Z63">SUM(IF(('W7. Primary Energy Prod'!$B$51:$B$479=Z$57)*('W7. Primary Energy Prod'!$D$51:$D$479=$A63)*('W7. Primary Energy Prod'!$E$50:$O$50=Z$56),'W7. Primary Energy Prod'!$E$51:$O$479))</f>
        <v>161193.81815585829</v>
      </c>
      <c r="AA63" s="34">
        <f t="array" ref="AA63">SUM(IF(('W7. Primary Energy Prod'!$B$51:$B$479=AA$57)*('W7. Primary Energy Prod'!$D$51:$D$479=$A63)*('W7. Primary Energy Prod'!$E$50:$O$50=AA$56),'W7. Primary Energy Prod'!$E$51:$O$479))</f>
        <v>172352.27879695277</v>
      </c>
      <c r="AB63" s="34">
        <f t="array" ref="AB63">SUM(IF(('W7. Primary Energy Prod'!$B$51:$B$479=AB$57)*('W7. Primary Energy Prod'!$D$51:$D$479=$A63)*('W7. Primary Energy Prod'!$E$50:$O$50=AB$56),'W7. Primary Energy Prod'!$E$51:$O$479))</f>
        <v>169079.41678152993</v>
      </c>
      <c r="AC63" s="34">
        <f t="array" ref="AC63">SUM(IF(('W7. Primary Energy Prod'!$B$51:$B$479=AC$57)*('W7. Primary Energy Prod'!$D$51:$D$479=$A63)*('W7. Primary Energy Prod'!$E$50:$O$50=AC$56),'W7. Primary Energy Prod'!$E$51:$O$479))</f>
        <v>157477.4265732627</v>
      </c>
      <c r="AD63" s="34">
        <f t="array" ref="AD63">SUM(IF(('W7. Primary Energy Prod'!$B$51:$B$479=AD$57)*('W7. Primary Energy Prod'!$D$51:$D$479=$A63)*('W7. Primary Energy Prod'!$E$50:$O$50=AD$56),'W7. Primary Energy Prod'!$E$51:$O$479))</f>
        <v>162633.57187244322</v>
      </c>
      <c r="AE63" s="34">
        <f t="array" ref="AE63">SUM(IF(('W7. Primary Energy Prod'!$B$51:$B$479=AE$57)*('W7. Primary Energy Prod'!$D$51:$D$479=$A63)*('W7. Primary Energy Prod'!$E$50:$O$50=AE$56),'W7. Primary Energy Prod'!$E$51:$O$479))</f>
        <v>0</v>
      </c>
      <c r="AF63" s="34">
        <f t="array" ref="AF63">SUM(IF(('W7. Primary Energy Prod'!$B$51:$B$479=AF$57)*('W7. Primary Energy Prod'!$D$51:$D$479=$A63)*('W7. Primary Energy Prod'!$E$50:$O$50=AF$56),'W7. Primary Energy Prod'!$E$51:$O$479))</f>
        <v>0</v>
      </c>
      <c r="AG63" s="34">
        <f t="array" ref="AG63">SUM(IF(('W7. Primary Energy Prod'!$B$51:$B$479=AG$57)*('W7. Primary Energy Prod'!$D$51:$D$479=$A63)*('W7. Primary Energy Prod'!$E$50:$O$50=AG$56),'W7. Primary Energy Prod'!$E$51:$O$479))</f>
        <v>159922.83552746987</v>
      </c>
      <c r="AH63" s="34">
        <f t="array" ref="AH63">SUM(IF(('W7. Primary Energy Prod'!$B$51:$B$479=AH$57)*('W7. Primary Energy Prod'!$D$51:$D$479=$A63)*('W7. Primary Energy Prod'!$E$50:$O$50=AH$56),'W7. Primary Energy Prod'!$E$51:$O$479))</f>
        <v>157755.02563447127</v>
      </c>
      <c r="AI63" s="34">
        <f t="array" ref="AI63">SUM(IF(('W7. Primary Energy Prod'!$B$51:$B$479=AI$57)*('W7. Primary Energy Prod'!$D$51:$D$479=$A63)*('W7. Primary Energy Prod'!$E$50:$O$50=AI$56),'W7. Primary Energy Prod'!$E$51:$O$479))</f>
        <v>151112.05138907253</v>
      </c>
      <c r="AJ63" s="34">
        <f t="array" ref="AJ63">SUM(IF(('W7. Primary Energy Prod'!$B$51:$B$479=AJ$57)*('W7. Primary Energy Prod'!$D$51:$D$479=$A63)*('W7. Primary Energy Prod'!$E$50:$O$50=AJ$56),'W7. Primary Energy Prod'!$E$51:$O$479))</f>
        <v>158316.23067812435</v>
      </c>
      <c r="AK63" s="34">
        <f t="array" ref="AK63">SUM(IF(('W7. Primary Energy Prod'!$B$51:$B$479=AK$57)*('W7. Primary Energy Prod'!$D$51:$D$479=$A63)*('W7. Primary Energy Prod'!$E$50:$O$50=AK$56),'W7. Primary Energy Prod'!$E$51:$O$479))</f>
        <v>160164.68455355742</v>
      </c>
      <c r="AL63" s="34">
        <f t="array" ref="AL63">SUM(IF(('W7. Primary Energy Prod'!$B$51:$B$479=AL$57)*('W7. Primary Energy Prod'!$D$51:$D$479=$A63)*('W7. Primary Energy Prod'!$E$50:$O$50=AL$56),'W7. Primary Energy Prod'!$E$51:$O$479))</f>
        <v>152720.29554846918</v>
      </c>
      <c r="AM63" s="34">
        <f t="array" ref="AM63">SUM(IF(('W7. Primary Energy Prod'!$B$51:$B$479=AM$57)*('W7. Primary Energy Prod'!$D$51:$D$479=$A63)*('W7. Primary Energy Prod'!$E$50:$O$50=AM$56),'W7. Primary Energy Prod'!$E$51:$O$479))</f>
        <v>143435.26218496115</v>
      </c>
      <c r="AN63" s="34">
        <f t="array" ref="AN63">SUM(IF(('W7. Primary Energy Prod'!$B$51:$B$479=AN$57)*('W7. Primary Energy Prod'!$D$51:$D$479=$A63)*('W7. Primary Energy Prod'!$E$50:$O$50=AN$56),'W7. Primary Energy Prod'!$E$51:$O$479))</f>
        <v>0</v>
      </c>
      <c r="AO63" s="34">
        <f t="array" ref="AO63">SUM(IF(('W7. Primary Energy Prod'!$B$51:$B$479=AO$57)*('W7. Primary Energy Prod'!$D$51:$D$479=$A63)*('W7. Primary Energy Prod'!$E$50:$O$50=AO$56),'W7. Primary Energy Prod'!$E$51:$O$479))</f>
        <v>0</v>
      </c>
      <c r="AP63" s="34">
        <f t="array" ref="AP63">SUM(IF(('W7. Primary Energy Prod'!$B$51:$B$479=AP$57)*('W7. Primary Energy Prod'!$D$51:$D$479=$A63)*('W7. Primary Energy Prod'!$E$50:$O$50=AP$56),'W7. Primary Energy Prod'!$E$51:$O$479))</f>
        <v>158545.6879546165</v>
      </c>
      <c r="AQ63" s="34">
        <f t="array" ref="AQ63">SUM(IF(('W7. Primary Energy Prod'!$B$51:$B$479=AQ$57)*('W7. Primary Energy Prod'!$D$51:$D$479=$A63)*('W7. Primary Energy Prod'!$E$50:$O$50=AQ$56),'W7. Primary Energy Prod'!$E$51:$O$479))</f>
        <v>156854.90653399739</v>
      </c>
      <c r="AR63" s="34">
        <f t="array" ref="AR63">SUM(IF(('W7. Primary Energy Prod'!$B$51:$B$479=AR$57)*('W7. Primary Energy Prod'!$D$51:$D$479=$A63)*('W7. Primary Energy Prod'!$E$50:$O$50=AR$56),'W7. Primary Energy Prod'!$E$51:$O$479))</f>
        <v>150582.15992195604</v>
      </c>
      <c r="AS63" s="34">
        <f t="array" ref="AS63">SUM(IF(('W7. Primary Energy Prod'!$B$51:$B$479=AS$57)*('W7. Primary Energy Prod'!$D$51:$D$479=$A63)*('W7. Primary Energy Prod'!$E$50:$O$50=AS$56),'W7. Primary Energy Prod'!$E$51:$O$479))</f>
        <v>158436.26406625914</v>
      </c>
      <c r="AT63" s="34">
        <f t="array" ref="AT63">SUM(IF(('W7. Primary Energy Prod'!$B$51:$B$479=AT$57)*('W7. Primary Energy Prod'!$D$51:$D$479=$A63)*('W7. Primary Energy Prod'!$E$50:$O$50=AT$56),'W7. Primary Energy Prod'!$E$51:$O$479))</f>
        <v>156819.85502647329</v>
      </c>
      <c r="AU63" s="34">
        <f t="array" ref="AU63">SUM(IF(('W7. Primary Energy Prod'!$B$51:$B$479=AU$57)*('W7. Primary Energy Prod'!$D$51:$D$479=$A63)*('W7. Primary Energy Prod'!$E$50:$O$50=AU$56),'W7. Primary Energy Prod'!$E$51:$O$479))</f>
        <v>153747.72425170633</v>
      </c>
      <c r="AV63" s="34">
        <f t="array" ref="AV63">SUM(IF(('W7. Primary Energy Prod'!$B$51:$B$479=AV$57)*('W7. Primary Energy Prod'!$D$51:$D$479=$A63)*('W7. Primary Energy Prod'!$E$50:$O$50=AV$56),'W7. Primary Energy Prod'!$E$51:$O$479))</f>
        <v>141870.83960000408</v>
      </c>
    </row>
    <row r="64" spans="1:48" x14ac:dyDescent="0.3">
      <c r="A64" s="3" t="s">
        <v>258</v>
      </c>
      <c r="B64" s="3" t="s">
        <v>461</v>
      </c>
      <c r="C64" s="34">
        <f t="array" ref="C64">SUM(IF(('W7. Primary Energy Prod'!$B$51:$B$479=C$57)*('W7. Primary Energy Prod'!$D$51:$D$479=$A64)*('W7. Primary Energy Prod'!$E$50:$O$50=C$56),'W7. Primary Energy Prod'!$E$51:$O$479))</f>
        <v>0</v>
      </c>
      <c r="D64" s="34">
        <f t="array" ref="D64">SUM(IF(('W7. Primary Energy Prod'!$B$51:$B$479=D$57)*('W7. Primary Energy Prod'!$D$51:$D$479=$A64)*('W7. Primary Energy Prod'!$E$50:$O$50=D$56),'W7. Primary Energy Prod'!$E$51:$O$479))</f>
        <v>0</v>
      </c>
      <c r="E64" s="34">
        <f t="array" ref="E64">SUM(IF(('W7. Primary Energy Prod'!$B$51:$B$479=E$57)*('W7. Primary Energy Prod'!$D$51:$D$479=$A64)*('W7. Primary Energy Prod'!$E$50:$O$50=E$56),'W7. Primary Energy Prod'!$E$51:$O$479))</f>
        <v>0</v>
      </c>
      <c r="F64" s="34">
        <f t="array" ref="F64">SUM(IF(('W7. Primary Energy Prod'!$B$51:$B$479=F$57)*('W7. Primary Energy Prod'!$D$51:$D$479=$A64)*('W7. Primary Energy Prod'!$E$50:$O$50=F$56),'W7. Primary Energy Prod'!$E$51:$O$479))</f>
        <v>2772.9177013987673</v>
      </c>
      <c r="G64" s="34">
        <f t="array" ref="G64">SUM(IF(('W7. Primary Energy Prod'!$B$51:$B$479=G$57)*('W7. Primary Energy Prod'!$D$51:$D$479=$A64)*('W7. Primary Energy Prod'!$E$50:$O$50=G$56),'W7. Primary Energy Prod'!$E$51:$O$479))</f>
        <v>2772.9177013987673</v>
      </c>
      <c r="H64" s="34">
        <f t="array" ref="H64">SUM(IF(('W7. Primary Energy Prod'!$B$51:$B$479=H$57)*('W7. Primary Energy Prod'!$D$51:$D$479=$A64)*('W7. Primary Energy Prod'!$E$50:$O$50=H$56),'W7. Primary Energy Prod'!$E$51:$O$479))</f>
        <v>2772.9177013987673</v>
      </c>
      <c r="I64" s="34">
        <f t="array" ref="I64">SUM(IF(('W7. Primary Energy Prod'!$B$51:$B$479=I$57)*('W7. Primary Energy Prod'!$D$51:$D$479=$A64)*('W7. Primary Energy Prod'!$E$50:$O$50=I$56),'W7. Primary Energy Prod'!$E$51:$O$479))</f>
        <v>2772.9177013987673</v>
      </c>
      <c r="J64" s="34">
        <f t="array" ref="J64">SUM(IF(('W7. Primary Energy Prod'!$B$51:$B$479=J$57)*('W7. Primary Energy Prod'!$D$51:$D$479=$A64)*('W7. Primary Energy Prod'!$E$50:$O$50=J$56),'W7. Primary Energy Prod'!$E$51:$O$479))</f>
        <v>2772.9177013987673</v>
      </c>
      <c r="K64" s="34">
        <f t="array" ref="K64">SUM(IF(('W7. Primary Energy Prod'!$B$51:$B$479=K$57)*('W7. Primary Energy Prod'!$D$51:$D$479=$A64)*('W7. Primary Energy Prod'!$E$50:$O$50=K$56),'W7. Primary Energy Prod'!$E$51:$O$479))</f>
        <v>2772.9177013987673</v>
      </c>
      <c r="L64" s="34">
        <f t="array" ref="L64">SUM(IF(('W7. Primary Energy Prod'!$B$51:$B$479=L$57)*('W7. Primary Energy Prod'!$D$51:$D$479=$A64)*('W7. Primary Energy Prod'!$E$50:$O$50=L$56),'W7. Primary Energy Prod'!$E$51:$O$479))</f>
        <v>2772.9177013987673</v>
      </c>
      <c r="M64" s="34">
        <f t="array" ref="M64">SUM(IF(('W7. Primary Energy Prod'!$B$51:$B$479=M$57)*('W7. Primary Energy Prod'!$D$51:$D$479=$A64)*('W7. Primary Energy Prod'!$E$50:$O$50=M$56),'W7. Primary Energy Prod'!$E$51:$O$479))</f>
        <v>0</v>
      </c>
      <c r="N64" s="34">
        <f t="array" ref="N64">SUM(IF(('W7. Primary Energy Prod'!$B$51:$B$479=N$57)*('W7. Primary Energy Prod'!$D$51:$D$479=$A64)*('W7. Primary Energy Prod'!$E$50:$O$50=N$56),'W7. Primary Energy Prod'!$E$51:$O$479))</f>
        <v>0</v>
      </c>
      <c r="O64" s="34">
        <f t="array" ref="O64">SUM(IF(('W7. Primary Energy Prod'!$B$51:$B$479=O$57)*('W7. Primary Energy Prod'!$D$51:$D$479=$A64)*('W7. Primary Energy Prod'!$E$50:$O$50=O$56),'W7. Primary Energy Prod'!$E$51:$O$479))</f>
        <v>4290.8040431569516</v>
      </c>
      <c r="P64" s="34">
        <f t="array" ref="P64">SUM(IF(('W7. Primary Energy Prod'!$B$51:$B$479=P$57)*('W7. Primary Energy Prod'!$D$51:$D$479=$A64)*('W7. Primary Energy Prod'!$E$50:$O$50=P$56),'W7. Primary Energy Prod'!$E$51:$O$479))</f>
        <v>4279.9501535856525</v>
      </c>
      <c r="Q64" s="34">
        <f t="array" ref="Q64">SUM(IF(('W7. Primary Energy Prod'!$B$51:$B$479=Q$57)*('W7. Primary Energy Prod'!$D$51:$D$479=$A64)*('W7. Primary Energy Prod'!$E$50:$O$50=Q$56),'W7. Primary Energy Prod'!$E$51:$O$479))</f>
        <v>4290.8040431569516</v>
      </c>
      <c r="R64" s="34">
        <f t="array" ref="R64">SUM(IF(('W7. Primary Energy Prod'!$B$51:$B$479=R$57)*('W7. Primary Energy Prod'!$D$51:$D$479=$A64)*('W7. Primary Energy Prod'!$E$50:$O$50=R$56),'W7. Primary Energy Prod'!$E$51:$O$479))</f>
        <v>4295.3770575463532</v>
      </c>
      <c r="S64" s="34">
        <f t="array" ref="S64">SUM(IF(('W7. Primary Energy Prod'!$B$51:$B$479=S$57)*('W7. Primary Energy Prod'!$D$51:$D$479=$A64)*('W7. Primary Energy Prod'!$E$50:$O$50=S$56),'W7. Primary Energy Prod'!$E$51:$O$479))</f>
        <v>4290.8040431569516</v>
      </c>
      <c r="T64" s="34">
        <f t="array" ref="T64">SUM(IF(('W7. Primary Energy Prod'!$B$51:$B$479=T$57)*('W7. Primary Energy Prod'!$D$51:$D$479=$A64)*('W7. Primary Energy Prod'!$E$50:$O$50=T$56),'W7. Primary Energy Prod'!$E$51:$O$479))</f>
        <v>4290.8040431569516</v>
      </c>
      <c r="U64" s="34">
        <f t="array" ref="U64">SUM(IF(('W7. Primary Energy Prod'!$B$51:$B$479=U$57)*('W7. Primary Energy Prod'!$D$51:$D$479=$A64)*('W7. Primary Energy Prod'!$E$50:$O$50=U$56),'W7. Primary Energy Prod'!$E$51:$O$479))</f>
        <v>4290.8040431569516</v>
      </c>
      <c r="V64" s="34">
        <f t="array" ref="V64">SUM(IF(('W7. Primary Energy Prod'!$B$51:$B$479=V$57)*('W7. Primary Energy Prod'!$D$51:$D$479=$A64)*('W7. Primary Energy Prod'!$E$50:$O$50=V$56),'W7. Primary Energy Prod'!$E$51:$O$479))</f>
        <v>0</v>
      </c>
      <c r="W64" s="34">
        <f t="array" ref="W64">SUM(IF(('W7. Primary Energy Prod'!$B$51:$B$479=W$57)*('W7. Primary Energy Prod'!$D$51:$D$479=$A64)*('W7. Primary Energy Prod'!$E$50:$O$50=W$56),'W7. Primary Energy Prod'!$E$51:$O$479))</f>
        <v>0</v>
      </c>
      <c r="X64" s="34">
        <f t="array" ref="X64">SUM(IF(('W7. Primary Energy Prod'!$B$51:$B$479=X$57)*('W7. Primary Energy Prod'!$D$51:$D$479=$A64)*('W7. Primary Energy Prod'!$E$50:$O$50=X$56),'W7. Primary Energy Prod'!$E$51:$O$479))</f>
        <v>5843.2595034002707</v>
      </c>
      <c r="Y64" s="34">
        <f t="array" ref="Y64">SUM(IF(('W7. Primary Energy Prod'!$B$51:$B$479=Y$57)*('W7. Primary Energy Prod'!$D$51:$D$479=$A64)*('W7. Primary Energy Prod'!$E$50:$O$50=Y$56),'W7. Primary Energy Prod'!$E$51:$O$479))</f>
        <v>5843.2633225332474</v>
      </c>
      <c r="Z64" s="34">
        <f t="array" ref="Z64">SUM(IF(('W7. Primary Energy Prod'!$B$51:$B$479=Z$57)*('W7. Primary Energy Prod'!$D$51:$D$479=$A64)*('W7. Primary Energy Prod'!$E$50:$O$50=Z$56),'W7. Primary Energy Prod'!$E$51:$O$479))</f>
        <v>5759.0493484849148</v>
      </c>
      <c r="AA64" s="34">
        <f t="array" ref="AA64">SUM(IF(('W7. Primary Energy Prod'!$B$51:$B$479=AA$57)*('W7. Primary Energy Prod'!$D$51:$D$479=$A64)*('W7. Primary Energy Prod'!$E$50:$O$50=AA$56),'W7. Primary Energy Prod'!$E$51:$O$479))</f>
        <v>5843.2595034002707</v>
      </c>
      <c r="AB64" s="34">
        <f t="array" ref="AB64">SUM(IF(('W7. Primary Energy Prod'!$B$51:$B$479=AB$57)*('W7. Primary Energy Prod'!$D$51:$D$479=$A64)*('W7. Primary Energy Prod'!$E$50:$O$50=AB$56),'W7. Primary Energy Prod'!$E$51:$O$479))</f>
        <v>5834.1172937544434</v>
      </c>
      <c r="AC64" s="34">
        <f t="array" ref="AC64">SUM(IF(('W7. Primary Energy Prod'!$B$51:$B$479=AC$57)*('W7. Primary Energy Prod'!$D$51:$D$479=$A64)*('W7. Primary Energy Prod'!$E$50:$O$50=AC$56),'W7. Primary Energy Prod'!$E$51:$O$479))</f>
        <v>5832.4056138289716</v>
      </c>
      <c r="AD64" s="34">
        <f t="array" ref="AD64">SUM(IF(('W7. Primary Energy Prod'!$B$51:$B$479=AD$57)*('W7. Primary Energy Prod'!$D$51:$D$479=$A64)*('W7. Primary Energy Prod'!$E$50:$O$50=AD$56),'W7. Primary Energy Prod'!$E$51:$O$479))</f>
        <v>5808.6903849151322</v>
      </c>
      <c r="AE64" s="34">
        <f t="array" ref="AE64">SUM(IF(('W7. Primary Energy Prod'!$B$51:$B$479=AE$57)*('W7. Primary Energy Prod'!$D$51:$D$479=$A64)*('W7. Primary Energy Prod'!$E$50:$O$50=AE$56),'W7. Primary Energy Prod'!$E$51:$O$479))</f>
        <v>0</v>
      </c>
      <c r="AF64" s="34">
        <f t="array" ref="AF64">SUM(IF(('W7. Primary Energy Prod'!$B$51:$B$479=AF$57)*('W7. Primary Energy Prod'!$D$51:$D$479=$A64)*('W7. Primary Energy Prod'!$E$50:$O$50=AF$56),'W7. Primary Energy Prod'!$E$51:$O$479))</f>
        <v>0</v>
      </c>
      <c r="AG64" s="34">
        <f t="array" ref="AG64">SUM(IF(('W7. Primary Energy Prod'!$B$51:$B$479=AG$57)*('W7. Primary Energy Prod'!$D$51:$D$479=$A64)*('W7. Primary Energy Prod'!$E$50:$O$50=AG$56),'W7. Primary Energy Prod'!$E$51:$O$479))</f>
        <v>8146.624357109562</v>
      </c>
      <c r="AH64" s="34">
        <f t="array" ref="AH64">SUM(IF(('W7. Primary Energy Prod'!$B$51:$B$479=AH$57)*('W7. Primary Energy Prod'!$D$51:$D$479=$A64)*('W7. Primary Energy Prod'!$E$50:$O$50=AH$56),'W7. Primary Energy Prod'!$E$51:$O$479))</f>
        <v>8523.2253425070521</v>
      </c>
      <c r="AI64" s="34">
        <f t="array" ref="AI64">SUM(IF(('W7. Primary Energy Prod'!$B$51:$B$479=AI$57)*('W7. Primary Energy Prod'!$D$51:$D$479=$A64)*('W7. Primary Energy Prod'!$E$50:$O$50=AI$56),'W7. Primary Energy Prod'!$E$51:$O$479))</f>
        <v>8300.0638732088046</v>
      </c>
      <c r="AJ64" s="34">
        <f t="array" ref="AJ64">SUM(IF(('W7. Primary Energy Prod'!$B$51:$B$479=AJ$57)*('W7. Primary Energy Prod'!$D$51:$D$479=$A64)*('W7. Primary Energy Prod'!$E$50:$O$50=AJ$56),'W7. Primary Energy Prod'!$E$51:$O$479))</f>
        <v>8130.0094761562414</v>
      </c>
      <c r="AK64" s="34">
        <f t="array" ref="AK64">SUM(IF(('W7. Primary Energy Prod'!$B$51:$B$479=AK$57)*('W7. Primary Energy Prod'!$D$51:$D$479=$A64)*('W7. Primary Energy Prod'!$E$50:$O$50=AK$56),'W7. Primary Energy Prod'!$E$51:$O$479))</f>
        <v>9246.5229532388257</v>
      </c>
      <c r="AL64" s="34">
        <f t="array" ref="AL64">SUM(IF(('W7. Primary Energy Prod'!$B$51:$B$479=AL$57)*('W7. Primary Energy Prod'!$D$51:$D$479=$A64)*('W7. Primary Energy Prod'!$E$50:$O$50=AL$56),'W7. Primary Energy Prod'!$E$51:$O$479))</f>
        <v>8183.4970723269043</v>
      </c>
      <c r="AM64" s="34">
        <f t="array" ref="AM64">SUM(IF(('W7. Primary Energy Prod'!$B$51:$B$479=AM$57)*('W7. Primary Energy Prod'!$D$51:$D$479=$A64)*('W7. Primary Energy Prod'!$E$50:$O$50=AM$56),'W7. Primary Energy Prod'!$E$51:$O$479))</f>
        <v>7279.9711701737642</v>
      </c>
      <c r="AN64" s="34">
        <f t="array" ref="AN64">SUM(IF(('W7. Primary Energy Prod'!$B$51:$B$479=AN$57)*('W7. Primary Energy Prod'!$D$51:$D$479=$A64)*('W7. Primary Energy Prod'!$E$50:$O$50=AN$56),'W7. Primary Energy Prod'!$E$51:$O$479))</f>
        <v>0</v>
      </c>
      <c r="AO64" s="34">
        <f t="array" ref="AO64">SUM(IF(('W7. Primary Energy Prod'!$B$51:$B$479=AO$57)*('W7. Primary Energy Prod'!$D$51:$D$479=$A64)*('W7. Primary Energy Prod'!$E$50:$O$50=AO$56),'W7. Primary Energy Prod'!$E$51:$O$479))</f>
        <v>0</v>
      </c>
      <c r="AP64" s="34">
        <f t="array" ref="AP64">SUM(IF(('W7. Primary Energy Prod'!$B$51:$B$479=AP$57)*('W7. Primary Energy Prod'!$D$51:$D$479=$A64)*('W7. Primary Energy Prod'!$E$50:$O$50=AP$56),'W7. Primary Energy Prod'!$E$51:$O$479))</f>
        <v>12120.057810771468</v>
      </c>
      <c r="AQ64" s="34">
        <f t="array" ref="AQ64">SUM(IF(('W7. Primary Energy Prod'!$B$51:$B$479=AQ$57)*('W7. Primary Energy Prod'!$D$51:$D$479=$A64)*('W7. Primary Energy Prod'!$E$50:$O$50=AQ$56),'W7. Primary Energy Prod'!$E$51:$O$479))</f>
        <v>14115.860726178054</v>
      </c>
      <c r="AR64" s="34">
        <f t="array" ref="AR64">SUM(IF(('W7. Primary Energy Prod'!$B$51:$B$479=AR$57)*('W7. Primary Energy Prod'!$D$51:$D$479=$A64)*('W7. Primary Energy Prod'!$E$50:$O$50=AR$56),'W7. Primary Energy Prod'!$E$51:$O$479))</f>
        <v>13489.100082937392</v>
      </c>
      <c r="AS64" s="34">
        <f t="array" ref="AS64">SUM(IF(('W7. Primary Energy Prod'!$B$51:$B$479=AS$57)*('W7. Primary Energy Prod'!$D$51:$D$479=$A64)*('W7. Primary Energy Prod'!$E$50:$O$50=AS$56),'W7. Primary Energy Prod'!$E$51:$O$479))</f>
        <v>11940.122119609669</v>
      </c>
      <c r="AT64" s="34">
        <f t="array" ref="AT64">SUM(IF(('W7. Primary Energy Prod'!$B$51:$B$479=AT$57)*('W7. Primary Energy Prod'!$D$51:$D$479=$A64)*('W7. Primary Energy Prod'!$E$50:$O$50=AT$56),'W7. Primary Energy Prod'!$E$51:$O$479))</f>
        <v>18598.75887139879</v>
      </c>
      <c r="AU64" s="34">
        <f t="array" ref="AU64">SUM(IF(('W7. Primary Energy Prod'!$B$51:$B$479=AU$57)*('W7. Primary Energy Prod'!$D$51:$D$479=$A64)*('W7. Primary Energy Prod'!$E$50:$O$50=AU$56),'W7. Primary Energy Prod'!$E$51:$O$479))</f>
        <v>12663.665788177004</v>
      </c>
      <c r="AV64" s="34">
        <f t="array" ref="AV64">SUM(IF(('W7. Primary Energy Prod'!$B$51:$B$479=AV$57)*('W7. Primary Energy Prod'!$D$51:$D$479=$A64)*('W7. Primary Energy Prod'!$E$50:$O$50=AV$56),'W7. Primary Energy Prod'!$E$51:$O$479))</f>
        <v>7188.6357520854517</v>
      </c>
    </row>
    <row r="65" spans="1:48" x14ac:dyDescent="0.3">
      <c r="A65" s="3" t="s">
        <v>259</v>
      </c>
      <c r="B65" s="3" t="s">
        <v>461</v>
      </c>
      <c r="C65" s="34">
        <f t="array" ref="C65">SUM(IF(('W7. Primary Energy Prod'!$B$51:$B$479=C$57)*('W7. Primary Energy Prod'!$D$51:$D$479=$A65)*('W7. Primary Energy Prod'!$E$50:$O$50=C$56),'W7. Primary Energy Prod'!$E$51:$O$479))</f>
        <v>0</v>
      </c>
      <c r="D65" s="34">
        <f t="array" ref="D65">SUM(IF(('W7. Primary Energy Prod'!$B$51:$B$479=D$57)*('W7. Primary Energy Prod'!$D$51:$D$479=$A65)*('W7. Primary Energy Prod'!$E$50:$O$50=D$56),'W7. Primary Energy Prod'!$E$51:$O$479))</f>
        <v>0</v>
      </c>
      <c r="E65" s="34">
        <f t="array" ref="E65">SUM(IF(('W7. Primary Energy Prod'!$B$51:$B$479=E$57)*('W7. Primary Energy Prod'!$D$51:$D$479=$A65)*('W7. Primary Energy Prod'!$E$50:$O$50=E$56),'W7. Primary Energy Prod'!$E$51:$O$479))</f>
        <v>0</v>
      </c>
      <c r="F65" s="34">
        <f t="array" ref="F65">SUM(IF(('W7. Primary Energy Prod'!$B$51:$B$479=F$57)*('W7. Primary Energy Prod'!$D$51:$D$479=$A65)*('W7. Primary Energy Prod'!$E$50:$O$50=F$56),'W7. Primary Energy Prod'!$E$51:$O$479))</f>
        <v>982.16937416852284</v>
      </c>
      <c r="G65" s="34">
        <f t="array" ref="G65">SUM(IF(('W7. Primary Energy Prod'!$B$51:$B$479=G$57)*('W7. Primary Energy Prod'!$D$51:$D$479=$A65)*('W7. Primary Energy Prod'!$E$50:$O$50=G$56),'W7. Primary Energy Prod'!$E$51:$O$479))</f>
        <v>982.16937416852284</v>
      </c>
      <c r="H65" s="34">
        <f t="array" ref="H65">SUM(IF(('W7. Primary Energy Prod'!$B$51:$B$479=H$57)*('W7. Primary Energy Prod'!$D$51:$D$479=$A65)*('W7. Primary Energy Prod'!$E$50:$O$50=H$56),'W7. Primary Energy Prod'!$E$51:$O$479))</f>
        <v>982.16937416852284</v>
      </c>
      <c r="I65" s="34">
        <f t="array" ref="I65">SUM(IF(('W7. Primary Energy Prod'!$B$51:$B$479=I$57)*('W7. Primary Energy Prod'!$D$51:$D$479=$A65)*('W7. Primary Energy Prod'!$E$50:$O$50=I$56),'W7. Primary Energy Prod'!$E$51:$O$479))</f>
        <v>982.16937416852284</v>
      </c>
      <c r="J65" s="34">
        <f t="array" ref="J65">SUM(IF(('W7. Primary Energy Prod'!$B$51:$B$479=J$57)*('W7. Primary Energy Prod'!$D$51:$D$479=$A65)*('W7. Primary Energy Prod'!$E$50:$O$50=J$56),'W7. Primary Energy Prod'!$E$51:$O$479))</f>
        <v>982.16937416852284</v>
      </c>
      <c r="K65" s="34">
        <f t="array" ref="K65">SUM(IF(('W7. Primary Energy Prod'!$B$51:$B$479=K$57)*('W7. Primary Energy Prod'!$D$51:$D$479=$A65)*('W7. Primary Energy Prod'!$E$50:$O$50=K$56),'W7. Primary Energy Prod'!$E$51:$O$479))</f>
        <v>982.16937416852284</v>
      </c>
      <c r="L65" s="34">
        <f t="array" ref="L65">SUM(IF(('W7. Primary Energy Prod'!$B$51:$B$479=L$57)*('W7. Primary Energy Prod'!$D$51:$D$479=$A65)*('W7. Primary Energy Prod'!$E$50:$O$50=L$56),'W7. Primary Energy Prod'!$E$51:$O$479))</f>
        <v>982.16937416852284</v>
      </c>
      <c r="M65" s="34">
        <f t="array" ref="M65">SUM(IF(('W7. Primary Energy Prod'!$B$51:$B$479=M$57)*('W7. Primary Energy Prod'!$D$51:$D$479=$A65)*('W7. Primary Energy Prod'!$E$50:$O$50=M$56),'W7. Primary Energy Prod'!$E$51:$O$479))</f>
        <v>0</v>
      </c>
      <c r="N65" s="34">
        <f t="array" ref="N65">SUM(IF(('W7. Primary Energy Prod'!$B$51:$B$479=N$57)*('W7. Primary Energy Prod'!$D$51:$D$479=$A65)*('W7. Primary Energy Prod'!$E$50:$O$50=N$56),'W7. Primary Energy Prod'!$E$51:$O$479))</f>
        <v>0</v>
      </c>
      <c r="O65" s="34">
        <f t="array" ref="O65">SUM(IF(('W7. Primary Energy Prod'!$B$51:$B$479=O$57)*('W7. Primary Energy Prod'!$D$51:$D$479=$A65)*('W7. Primary Energy Prod'!$E$50:$O$50=O$56),'W7. Primary Energy Prod'!$E$51:$O$479))</f>
        <v>4346.1138690338703</v>
      </c>
      <c r="P65" s="34">
        <f t="array" ref="P65">SUM(IF(('W7. Primary Energy Prod'!$B$51:$B$479=P$57)*('W7. Primary Energy Prod'!$D$51:$D$479=$A65)*('W7. Primary Energy Prod'!$E$50:$O$50=P$56),'W7. Primary Energy Prod'!$E$51:$O$479))</f>
        <v>2735.0686521639873</v>
      </c>
      <c r="Q65" s="34">
        <f t="array" ref="Q65">SUM(IF(('W7. Primary Energy Prod'!$B$51:$B$479=Q$57)*('W7. Primary Energy Prod'!$D$51:$D$479=$A65)*('W7. Primary Energy Prod'!$E$50:$O$50=Q$56),'W7. Primary Energy Prod'!$E$51:$O$479))</f>
        <v>4337.6455704266982</v>
      </c>
      <c r="R65" s="34">
        <f t="array" ref="R65">SUM(IF(('W7. Primary Energy Prod'!$B$51:$B$479=R$57)*('W7. Primary Energy Prod'!$D$51:$D$479=$A65)*('W7. Primary Energy Prod'!$E$50:$O$50=R$56),'W7. Primary Energy Prod'!$E$51:$O$479))</f>
        <v>5467.4547587780835</v>
      </c>
      <c r="S65" s="34">
        <f t="array" ref="S65">SUM(IF(('W7. Primary Energy Prod'!$B$51:$B$479=S$57)*('W7. Primary Energy Prod'!$D$51:$D$479=$A65)*('W7. Primary Energy Prod'!$E$50:$O$50=S$56),'W7. Primary Energy Prod'!$E$51:$O$479))</f>
        <v>1088.8272310671744</v>
      </c>
      <c r="T65" s="34">
        <f t="array" ref="T65">SUM(IF(('W7. Primary Energy Prod'!$B$51:$B$479=T$57)*('W7. Primary Energy Prod'!$D$51:$D$479=$A65)*('W7. Primary Energy Prod'!$E$50:$O$50=T$56),'W7. Primary Energy Prod'!$E$51:$O$479))</f>
        <v>3339.7567360825929</v>
      </c>
      <c r="U65" s="34">
        <f t="array" ref="U65">SUM(IF(('W7. Primary Energy Prod'!$B$51:$B$479=U$57)*('W7. Primary Energy Prod'!$D$51:$D$479=$A65)*('W7. Primary Energy Prod'!$E$50:$O$50=U$56),'W7. Primary Energy Prod'!$E$51:$O$479))</f>
        <v>3159.5698083703696</v>
      </c>
      <c r="V65" s="34">
        <f t="array" ref="V65">SUM(IF(('W7. Primary Energy Prod'!$B$51:$B$479=V$57)*('W7. Primary Energy Prod'!$D$51:$D$479=$A65)*('W7. Primary Energy Prod'!$E$50:$O$50=V$56),'W7. Primary Energy Prod'!$E$51:$O$479))</f>
        <v>0</v>
      </c>
      <c r="W65" s="34">
        <f t="array" ref="W65">SUM(IF(('W7. Primary Energy Prod'!$B$51:$B$479=W$57)*('W7. Primary Energy Prod'!$D$51:$D$479=$A65)*('W7. Primary Energy Prod'!$E$50:$O$50=W$56),'W7. Primary Energy Prod'!$E$51:$O$479))</f>
        <v>0</v>
      </c>
      <c r="X65" s="34">
        <f t="array" ref="X65">SUM(IF(('W7. Primary Energy Prod'!$B$51:$B$479=X$57)*('W7. Primary Energy Prod'!$D$51:$D$479=$A65)*('W7. Primary Energy Prod'!$E$50:$O$50=X$56),'W7. Primary Energy Prod'!$E$51:$O$479))</f>
        <v>14478.114854363826</v>
      </c>
      <c r="Y65" s="34">
        <f t="array" ref="Y65">SUM(IF(('W7. Primary Energy Prod'!$B$51:$B$479=Y$57)*('W7. Primary Energy Prod'!$D$51:$D$479=$A65)*('W7. Primary Energy Prod'!$E$50:$O$50=Y$56),'W7. Primary Energy Prod'!$E$51:$O$479))</f>
        <v>11096.124527823085</v>
      </c>
      <c r="Z65" s="34">
        <f t="array" ref="Z65">SUM(IF(('W7. Primary Energy Prod'!$B$51:$B$479=Z$57)*('W7. Primary Energy Prod'!$D$51:$D$479=$A65)*('W7. Primary Energy Prod'!$E$50:$O$50=Z$56),'W7. Primary Energy Prod'!$E$51:$O$479))</f>
        <v>15891.584683018784</v>
      </c>
      <c r="AA65" s="34">
        <f t="array" ref="AA65">SUM(IF(('W7. Primary Energy Prod'!$B$51:$B$479=AA$57)*('W7. Primary Energy Prod'!$D$51:$D$479=$A65)*('W7. Primary Energy Prod'!$E$50:$O$50=AA$56),'W7. Primary Energy Prod'!$E$51:$O$479))</f>
        <v>19180.586922645129</v>
      </c>
      <c r="AB65" s="34">
        <f t="array" ref="AB65">SUM(IF(('W7. Primary Energy Prod'!$B$51:$B$479=AB$57)*('W7. Primary Energy Prod'!$D$51:$D$479=$A65)*('W7. Primary Energy Prod'!$E$50:$O$50=AB$56),'W7. Primary Energy Prod'!$E$51:$O$479))</f>
        <v>1109.7901838065577</v>
      </c>
      <c r="AC65" s="34">
        <f t="array" ref="AC65">SUM(IF(('W7. Primary Energy Prod'!$B$51:$B$479=AC$57)*('W7. Primary Energy Prod'!$D$51:$D$479=$A65)*('W7. Primary Energy Prod'!$E$50:$O$50=AC$56),'W7. Primary Energy Prod'!$E$51:$O$479))</f>
        <v>12833.009845184673</v>
      </c>
      <c r="AD65" s="34">
        <f t="array" ref="AD65">SUM(IF(('W7. Primary Energy Prod'!$B$51:$B$479=AD$57)*('W7. Primary Energy Prod'!$D$51:$D$479=$A65)*('W7. Primary Energy Prod'!$E$50:$O$50=AD$56),'W7. Primary Energy Prod'!$E$51:$O$479))</f>
        <v>11026.608179814177</v>
      </c>
      <c r="AE65" s="34">
        <f t="array" ref="AE65">SUM(IF(('W7. Primary Energy Prod'!$B$51:$B$479=AE$57)*('W7. Primary Energy Prod'!$D$51:$D$479=$A65)*('W7. Primary Energy Prod'!$E$50:$O$50=AE$56),'W7. Primary Energy Prod'!$E$51:$O$479))</f>
        <v>0</v>
      </c>
      <c r="AF65" s="34">
        <f t="array" ref="AF65">SUM(IF(('W7. Primary Energy Prod'!$B$51:$B$479=AF$57)*('W7. Primary Energy Prod'!$D$51:$D$479=$A65)*('W7. Primary Energy Prod'!$E$50:$O$50=AF$56),'W7. Primary Energy Prod'!$E$51:$O$479))</f>
        <v>0</v>
      </c>
      <c r="AG65" s="34">
        <f t="array" ref="AG65">SUM(IF(('W7. Primary Energy Prod'!$B$51:$B$479=AG$57)*('W7. Primary Energy Prod'!$D$51:$D$479=$A65)*('W7. Primary Energy Prod'!$E$50:$O$50=AG$56),'W7. Primary Energy Prod'!$E$51:$O$479))</f>
        <v>25431.280817055129</v>
      </c>
      <c r="AH65" s="34">
        <f t="array" ref="AH65">SUM(IF(('W7. Primary Energy Prod'!$B$51:$B$479=AH$57)*('W7. Primary Energy Prod'!$D$51:$D$479=$A65)*('W7. Primary Energy Prod'!$E$50:$O$50=AH$56),'W7. Primary Energy Prod'!$E$51:$O$479))</f>
        <v>25303.218537157802</v>
      </c>
      <c r="AI65" s="34">
        <f t="array" ref="AI65">SUM(IF(('W7. Primary Energy Prod'!$B$51:$B$479=AI$57)*('W7. Primary Energy Prod'!$D$51:$D$479=$A65)*('W7. Primary Energy Prod'!$E$50:$O$50=AI$56),'W7. Primary Energy Prod'!$E$51:$O$479))</f>
        <v>25674.355061546779</v>
      </c>
      <c r="AJ65" s="34">
        <f t="array" ref="AJ65">SUM(IF(('W7. Primary Energy Prod'!$B$51:$B$479=AJ$57)*('W7. Primary Energy Prod'!$D$51:$D$479=$A65)*('W7. Primary Energy Prod'!$E$50:$O$50=AJ$56),'W7. Primary Energy Prod'!$E$51:$O$479))</f>
        <v>29252.774791448493</v>
      </c>
      <c r="AK65" s="34">
        <f t="array" ref="AK65">SUM(IF(('W7. Primary Energy Prod'!$B$51:$B$479=AK$57)*('W7. Primary Energy Prod'!$D$51:$D$479=$A65)*('W7. Primary Energy Prod'!$E$50:$O$50=AK$56),'W7. Primary Energy Prod'!$E$51:$O$479))</f>
        <v>1198.5099633332702</v>
      </c>
      <c r="AL65" s="34">
        <f t="array" ref="AL65">SUM(IF(('W7. Primary Energy Prod'!$B$51:$B$479=AL$57)*('W7. Primary Energy Prod'!$D$51:$D$479=$A65)*('W7. Primary Energy Prod'!$E$50:$O$50=AL$56),'W7. Primary Energy Prod'!$E$51:$O$479))</f>
        <v>25523.559755026879</v>
      </c>
      <c r="AM65" s="34">
        <f t="array" ref="AM65">SUM(IF(('W7. Primary Energy Prod'!$B$51:$B$479=AM$57)*('W7. Primary Energy Prod'!$D$51:$D$479=$A65)*('W7. Primary Energy Prod'!$E$50:$O$50=AM$56),'W7. Primary Energy Prod'!$E$51:$O$479))</f>
        <v>23469.36548728223</v>
      </c>
      <c r="AN65" s="34">
        <f t="array" ref="AN65">SUM(IF(('W7. Primary Energy Prod'!$B$51:$B$479=AN$57)*('W7. Primary Energy Prod'!$D$51:$D$479=$A65)*('W7. Primary Energy Prod'!$E$50:$O$50=AN$56),'W7. Primary Energy Prod'!$E$51:$O$479))</f>
        <v>0</v>
      </c>
      <c r="AO65" s="34">
        <f t="array" ref="AO65">SUM(IF(('W7. Primary Energy Prod'!$B$51:$B$479=AO$57)*('W7. Primary Energy Prod'!$D$51:$D$479=$A65)*('W7. Primary Energy Prod'!$E$50:$O$50=AO$56),'W7. Primary Energy Prod'!$E$51:$O$479))</f>
        <v>0</v>
      </c>
      <c r="AP65" s="34">
        <f t="array" ref="AP65">SUM(IF(('W7. Primary Energy Prod'!$B$51:$B$479=AP$57)*('W7. Primary Energy Prod'!$D$51:$D$479=$A65)*('W7. Primary Energy Prod'!$E$50:$O$50=AP$56),'W7. Primary Energy Prod'!$E$51:$O$479))</f>
        <v>32611.287277625052</v>
      </c>
      <c r="AQ65" s="34">
        <f t="array" ref="AQ65">SUM(IF(('W7. Primary Energy Prod'!$B$51:$B$479=AQ$57)*('W7. Primary Energy Prod'!$D$51:$D$479=$A65)*('W7. Primary Energy Prod'!$E$50:$O$50=AQ$56),'W7. Primary Energy Prod'!$E$51:$O$479))</f>
        <v>34224.139232296075</v>
      </c>
      <c r="AR65" s="34">
        <f t="array" ref="AR65">SUM(IF(('W7. Primary Energy Prod'!$B$51:$B$479=AR$57)*('W7. Primary Energy Prod'!$D$51:$D$479=$A65)*('W7. Primary Energy Prod'!$E$50:$O$50=AR$56),'W7. Primary Energy Prod'!$E$51:$O$479))</f>
        <v>34476.292562159353</v>
      </c>
      <c r="AS65" s="34">
        <f t="array" ref="AS65">SUM(IF(('W7. Primary Energy Prod'!$B$51:$B$479=AS$57)*('W7. Primary Energy Prod'!$D$51:$D$479=$A65)*('W7. Primary Energy Prod'!$E$50:$O$50=AS$56),'W7. Primary Energy Prod'!$E$51:$O$479))</f>
        <v>35757.660280797048</v>
      </c>
      <c r="AT65" s="34">
        <f t="array" ref="AT65">SUM(IF(('W7. Primary Energy Prod'!$B$51:$B$479=AT$57)*('W7. Primary Energy Prod'!$D$51:$D$479=$A65)*('W7. Primary Energy Prod'!$E$50:$O$50=AT$56),'W7. Primary Energy Prod'!$E$51:$O$479))</f>
        <v>1640.023335394623</v>
      </c>
      <c r="AU65" s="34">
        <f t="array" ref="AU65">SUM(IF(('W7. Primary Energy Prod'!$B$51:$B$479=AU$57)*('W7. Primary Energy Prod'!$D$51:$D$479=$A65)*('W7. Primary Energy Prod'!$E$50:$O$50=AU$56),'W7. Primary Energy Prod'!$E$51:$O$479))</f>
        <v>32787.515654605726</v>
      </c>
      <c r="AV65" s="34">
        <f t="array" ref="AV65">SUM(IF(('W7. Primary Energy Prod'!$B$51:$B$479=AV$57)*('W7. Primary Energy Prod'!$D$51:$D$479=$A65)*('W7. Primary Energy Prod'!$E$50:$O$50=AV$56),'W7. Primary Energy Prod'!$E$51:$O$479))</f>
        <v>30456.283728517832</v>
      </c>
    </row>
    <row r="66" spans="1:48" x14ac:dyDescent="0.3">
      <c r="A66" s="3" t="s">
        <v>260</v>
      </c>
      <c r="B66" s="3" t="s">
        <v>461</v>
      </c>
      <c r="C66" s="34">
        <f t="array" ref="C66">SUM(IF(('W7. Primary Energy Prod'!$B$51:$B$479=C$57)*('W7. Primary Energy Prod'!$D$51:$D$479=$A66)*('W7. Primary Energy Prod'!$E$50:$O$50=C$56),'W7. Primary Energy Prod'!$E$51:$O$479))</f>
        <v>0</v>
      </c>
      <c r="D66" s="34">
        <f t="array" ref="D66">SUM(IF(('W7. Primary Energy Prod'!$B$51:$B$479=D$57)*('W7. Primary Energy Prod'!$D$51:$D$479=$A66)*('W7. Primary Energy Prod'!$E$50:$O$50=D$56),'W7. Primary Energy Prod'!$E$51:$O$479))</f>
        <v>0</v>
      </c>
      <c r="E66" s="34">
        <f t="array" ref="E66">SUM(IF(('W7. Primary Energy Prod'!$B$51:$B$479=E$57)*('W7. Primary Energy Prod'!$D$51:$D$479=$A66)*('W7. Primary Energy Prod'!$E$50:$O$50=E$56),'W7. Primary Energy Prod'!$E$51:$O$479))</f>
        <v>0</v>
      </c>
      <c r="F66" s="34">
        <f t="array" ref="F66">SUM(IF(('W7. Primary Energy Prod'!$B$51:$B$479=F$57)*('W7. Primary Energy Prod'!$D$51:$D$479=$A66)*('W7. Primary Energy Prod'!$E$50:$O$50=F$56),'W7. Primary Energy Prod'!$E$51:$O$479))</f>
        <v>2685.5545190640855</v>
      </c>
      <c r="G66" s="34">
        <f t="array" ref="G66">SUM(IF(('W7. Primary Energy Prod'!$B$51:$B$479=G$57)*('W7. Primary Energy Prod'!$D$51:$D$479=$A66)*('W7. Primary Energy Prod'!$E$50:$O$50=G$56),'W7. Primary Energy Prod'!$E$51:$O$479))</f>
        <v>2685.5545190640855</v>
      </c>
      <c r="H66" s="34">
        <f t="array" ref="H66">SUM(IF(('W7. Primary Energy Prod'!$B$51:$B$479=H$57)*('W7. Primary Energy Prod'!$D$51:$D$479=$A66)*('W7. Primary Energy Prod'!$E$50:$O$50=H$56),'W7. Primary Energy Prod'!$E$51:$O$479))</f>
        <v>2685.5545190640855</v>
      </c>
      <c r="I66" s="34">
        <f t="array" ref="I66">SUM(IF(('W7. Primary Energy Prod'!$B$51:$B$479=I$57)*('W7. Primary Energy Prod'!$D$51:$D$479=$A66)*('W7. Primary Energy Prod'!$E$50:$O$50=I$56),'W7. Primary Energy Prod'!$E$51:$O$479))</f>
        <v>2685.5545190640855</v>
      </c>
      <c r="J66" s="34">
        <f t="array" ref="J66">SUM(IF(('W7. Primary Energy Prod'!$B$51:$B$479=J$57)*('W7. Primary Energy Prod'!$D$51:$D$479=$A66)*('W7. Primary Energy Prod'!$E$50:$O$50=J$56),'W7. Primary Energy Prod'!$E$51:$O$479))</f>
        <v>2685.5545190640855</v>
      </c>
      <c r="K66" s="34">
        <f t="array" ref="K66">SUM(IF(('W7. Primary Energy Prod'!$B$51:$B$479=K$57)*('W7. Primary Energy Prod'!$D$51:$D$479=$A66)*('W7. Primary Energy Prod'!$E$50:$O$50=K$56),'W7. Primary Energy Prod'!$E$51:$O$479))</f>
        <v>2685.5545190640855</v>
      </c>
      <c r="L66" s="34">
        <f t="array" ref="L66">SUM(IF(('W7. Primary Energy Prod'!$B$51:$B$479=L$57)*('W7. Primary Energy Prod'!$D$51:$D$479=$A66)*('W7. Primary Energy Prod'!$E$50:$O$50=L$56),'W7. Primary Energy Prod'!$E$51:$O$479))</f>
        <v>2685.5545190640855</v>
      </c>
      <c r="M66" s="34">
        <f t="array" ref="M66">SUM(IF(('W7. Primary Energy Prod'!$B$51:$B$479=M$57)*('W7. Primary Energy Prod'!$D$51:$D$479=$A66)*('W7. Primary Energy Prod'!$E$50:$O$50=M$56),'W7. Primary Energy Prod'!$E$51:$O$479))</f>
        <v>0</v>
      </c>
      <c r="N66" s="34">
        <f t="array" ref="N66">SUM(IF(('W7. Primary Energy Prod'!$B$51:$B$479=N$57)*('W7. Primary Energy Prod'!$D$51:$D$479=$A66)*('W7. Primary Energy Prod'!$E$50:$O$50=N$56),'W7. Primary Energy Prod'!$E$51:$O$479))</f>
        <v>0</v>
      </c>
      <c r="O66" s="34">
        <f t="array" ref="O66">SUM(IF(('W7. Primary Energy Prod'!$B$51:$B$479=O$57)*('W7. Primary Energy Prod'!$D$51:$D$479=$A66)*('W7. Primary Energy Prod'!$E$50:$O$50=O$56),'W7. Primary Energy Prod'!$E$51:$O$479))</f>
        <v>11687.103641782611</v>
      </c>
      <c r="P66" s="34">
        <f t="array" ref="P66">SUM(IF(('W7. Primary Energy Prod'!$B$51:$B$479=P$57)*('W7. Primary Energy Prod'!$D$51:$D$479=$A66)*('W7. Primary Energy Prod'!$E$50:$O$50=P$56),'W7. Primary Energy Prod'!$E$51:$O$479))</f>
        <v>10882.32058635127</v>
      </c>
      <c r="Q66" s="34">
        <f t="array" ref="Q66">SUM(IF(('W7. Primary Energy Prod'!$B$51:$B$479=Q$57)*('W7. Primary Energy Prod'!$D$51:$D$479=$A66)*('W7. Primary Energy Prod'!$E$50:$O$50=Q$56),'W7. Primary Energy Prod'!$E$51:$O$479))</f>
        <v>12230.817081009372</v>
      </c>
      <c r="R66" s="34">
        <f t="array" ref="R66">SUM(IF(('W7. Primary Energy Prod'!$B$51:$B$479=R$57)*('W7. Primary Energy Prod'!$D$51:$D$479=$A66)*('W7. Primary Energy Prod'!$E$50:$O$50=R$56),'W7. Primary Energy Prod'!$E$51:$O$479))</f>
        <v>15995.963524006083</v>
      </c>
      <c r="S66" s="34">
        <f t="array" ref="S66">SUM(IF(('W7. Primary Energy Prod'!$B$51:$B$479=S$57)*('W7. Primary Energy Prod'!$D$51:$D$479=$A66)*('W7. Primary Energy Prod'!$E$50:$O$50=S$56),'W7. Primary Energy Prod'!$E$51:$O$479))</f>
        <v>10264.392361480594</v>
      </c>
      <c r="T66" s="34">
        <f t="array" ref="T66">SUM(IF(('W7. Primary Energy Prod'!$B$51:$B$479=T$57)*('W7. Primary Energy Prod'!$D$51:$D$479=$A66)*('W7. Primary Energy Prod'!$E$50:$O$50=T$56),'W7. Primary Energy Prod'!$E$51:$O$479))</f>
        <v>10767.047639583727</v>
      </c>
      <c r="U66" s="34">
        <f t="array" ref="U66">SUM(IF(('W7. Primary Energy Prod'!$B$51:$B$479=U$57)*('W7. Primary Energy Prod'!$D$51:$D$479=$A66)*('W7. Primary Energy Prod'!$E$50:$O$50=U$56),'W7. Primary Energy Prod'!$E$51:$O$479))</f>
        <v>10879.182730469352</v>
      </c>
      <c r="V66" s="34">
        <f t="array" ref="V66">SUM(IF(('W7. Primary Energy Prod'!$B$51:$B$479=V$57)*('W7. Primary Energy Prod'!$D$51:$D$479=$A66)*('W7. Primary Energy Prod'!$E$50:$O$50=V$56),'W7. Primary Energy Prod'!$E$51:$O$479))</f>
        <v>0</v>
      </c>
      <c r="W66" s="34">
        <f t="array" ref="W66">SUM(IF(('W7. Primary Energy Prod'!$B$51:$B$479=W$57)*('W7. Primary Energy Prod'!$D$51:$D$479=$A66)*('W7. Primary Energy Prod'!$E$50:$O$50=W$56),'W7. Primary Energy Prod'!$E$51:$O$479))</f>
        <v>0</v>
      </c>
      <c r="X66" s="34">
        <f t="array" ref="X66">SUM(IF(('W7. Primary Energy Prod'!$B$51:$B$479=X$57)*('W7. Primary Energy Prod'!$D$51:$D$479=$A66)*('W7. Primary Energy Prod'!$E$50:$O$50=X$56),'W7. Primary Energy Prod'!$E$51:$O$479))</f>
        <v>27133.166085332879</v>
      </c>
      <c r="Y66" s="34">
        <f t="array" ref="Y66">SUM(IF(('W7. Primary Energy Prod'!$B$51:$B$479=Y$57)*('W7. Primary Energy Prod'!$D$51:$D$479=$A66)*('W7. Primary Energy Prod'!$E$50:$O$50=Y$56),'W7. Primary Energy Prod'!$E$51:$O$479))</f>
        <v>27461.490665347628</v>
      </c>
      <c r="Z66" s="34">
        <f t="array" ref="Z66">SUM(IF(('W7. Primary Energy Prod'!$B$51:$B$479=Z$57)*('W7. Primary Energy Prod'!$D$51:$D$479=$A66)*('W7. Primary Energy Prod'!$E$50:$O$50=Z$56),'W7. Primary Energy Prod'!$E$51:$O$479))</f>
        <v>27450.538961751263</v>
      </c>
      <c r="AA66" s="34">
        <f t="array" ref="AA66">SUM(IF(('W7. Primary Energy Prod'!$B$51:$B$479=AA$57)*('W7. Primary Energy Prod'!$D$51:$D$479=$A66)*('W7. Primary Energy Prod'!$E$50:$O$50=AA$56),'W7. Primary Energy Prod'!$E$51:$O$479))</f>
        <v>29245.710641954556</v>
      </c>
      <c r="AB66" s="34">
        <f t="array" ref="AB66">SUM(IF(('W7. Primary Energy Prod'!$B$51:$B$479=AB$57)*('W7. Primary Energy Prod'!$D$51:$D$479=$A66)*('W7. Primary Energy Prod'!$E$50:$O$50=AB$56),'W7. Primary Energy Prod'!$E$51:$O$479))</f>
        <v>22938.430575891591</v>
      </c>
      <c r="AC66" s="34">
        <f t="array" ref="AC66">SUM(IF(('W7. Primary Energy Prod'!$B$51:$B$479=AC$57)*('W7. Primary Energy Prod'!$D$51:$D$479=$A66)*('W7. Primary Energy Prod'!$E$50:$O$50=AC$56),'W7. Primary Energy Prod'!$E$51:$O$479))</f>
        <v>27455.005721666996</v>
      </c>
      <c r="AD66" s="34">
        <f t="array" ref="AD66">SUM(IF(('W7. Primary Energy Prod'!$B$51:$B$479=AD$57)*('W7. Primary Energy Prod'!$D$51:$D$479=$A66)*('W7. Primary Energy Prod'!$E$50:$O$50=AD$56),'W7. Primary Energy Prod'!$E$51:$O$479))</f>
        <v>26191.515174759763</v>
      </c>
      <c r="AE66" s="34">
        <f t="array" ref="AE66">SUM(IF(('W7. Primary Energy Prod'!$B$51:$B$479=AE$57)*('W7. Primary Energy Prod'!$D$51:$D$479=$A66)*('W7. Primary Energy Prod'!$E$50:$O$50=AE$56),'W7. Primary Energy Prod'!$E$51:$O$479))</f>
        <v>0</v>
      </c>
      <c r="AF66" s="34">
        <f t="array" ref="AF66">SUM(IF(('W7. Primary Energy Prod'!$B$51:$B$479=AF$57)*('W7. Primary Energy Prod'!$D$51:$D$479=$A66)*('W7. Primary Energy Prod'!$E$50:$O$50=AF$56),'W7. Primary Energy Prod'!$E$51:$O$479))</f>
        <v>0</v>
      </c>
      <c r="AG66" s="34">
        <f t="array" ref="AG66">SUM(IF(('W7. Primary Energy Prod'!$B$51:$B$479=AG$57)*('W7. Primary Energy Prod'!$D$51:$D$479=$A66)*('W7. Primary Energy Prod'!$E$50:$O$50=AG$56),'W7. Primary Energy Prod'!$E$51:$O$479))</f>
        <v>35070.13325460851</v>
      </c>
      <c r="AH66" s="34">
        <f t="array" ref="AH66">SUM(IF(('W7. Primary Energy Prod'!$B$51:$B$479=AH$57)*('W7. Primary Energy Prod'!$D$51:$D$479=$A66)*('W7. Primary Energy Prod'!$E$50:$O$50=AH$56),'W7. Primary Energy Prod'!$E$51:$O$479))</f>
        <v>34981.449026780552</v>
      </c>
      <c r="AI66" s="34">
        <f t="array" ref="AI66">SUM(IF(('W7. Primary Energy Prod'!$B$51:$B$479=AI$57)*('W7. Primary Energy Prod'!$D$51:$D$479=$A66)*('W7. Primary Energy Prod'!$E$50:$O$50=AI$56),'W7. Primary Energy Prod'!$E$51:$O$479))</f>
        <v>35889.905723426833</v>
      </c>
      <c r="AJ66" s="34">
        <f t="array" ref="AJ66">SUM(IF(('W7. Primary Energy Prod'!$B$51:$B$479=AJ$57)*('W7. Primary Energy Prod'!$D$51:$D$479=$A66)*('W7. Primary Energy Prod'!$E$50:$O$50=AJ$56),'W7. Primary Energy Prod'!$E$51:$O$479))</f>
        <v>36710.518160645828</v>
      </c>
      <c r="AK66" s="34">
        <f t="array" ref="AK66">SUM(IF(('W7. Primary Energy Prod'!$B$51:$B$479=AK$57)*('W7. Primary Energy Prod'!$D$51:$D$479=$A66)*('W7. Primary Energy Prod'!$E$50:$O$50=AK$56),'W7. Primary Energy Prod'!$E$51:$O$479))</f>
        <v>30151.474089172232</v>
      </c>
      <c r="AL66" s="34">
        <f t="array" ref="AL66">SUM(IF(('W7. Primary Energy Prod'!$B$51:$B$479=AL$57)*('W7. Primary Energy Prod'!$D$51:$D$479=$A66)*('W7. Primary Energy Prod'!$E$50:$O$50=AL$56),'W7. Primary Energy Prod'!$E$51:$O$479))</f>
        <v>35697.258444534156</v>
      </c>
      <c r="AM66" s="34">
        <f t="array" ref="AM66">SUM(IF(('W7. Primary Energy Prod'!$B$51:$B$479=AM$57)*('W7. Primary Energy Prod'!$D$51:$D$479=$A66)*('W7. Primary Energy Prod'!$E$50:$O$50=AM$56),'W7. Primary Energy Prod'!$E$51:$O$479))</f>
        <v>31398.676779278612</v>
      </c>
      <c r="AN66" s="34">
        <f t="array" ref="AN66">SUM(IF(('W7. Primary Energy Prod'!$B$51:$B$479=AN$57)*('W7. Primary Energy Prod'!$D$51:$D$479=$A66)*('W7. Primary Energy Prod'!$E$50:$O$50=AN$56),'W7. Primary Energy Prod'!$E$51:$O$479))</f>
        <v>0</v>
      </c>
      <c r="AO66" s="34">
        <f t="array" ref="AO66">SUM(IF(('W7. Primary Energy Prod'!$B$51:$B$479=AO$57)*('W7. Primary Energy Prod'!$D$51:$D$479=$A66)*('W7. Primary Energy Prod'!$E$50:$O$50=AO$56),'W7. Primary Energy Prod'!$E$51:$O$479))</f>
        <v>0</v>
      </c>
      <c r="AP66" s="34">
        <f t="array" ref="AP66">SUM(IF(('W7. Primary Energy Prod'!$B$51:$B$479=AP$57)*('W7. Primary Energy Prod'!$D$51:$D$479=$A66)*('W7. Primary Energy Prod'!$E$50:$O$50=AP$56),'W7. Primary Energy Prod'!$E$51:$O$479))</f>
        <v>47531.225316239877</v>
      </c>
      <c r="AQ66" s="34">
        <f t="array" ref="AQ66">SUM(IF(('W7. Primary Energy Prod'!$B$51:$B$479=AQ$57)*('W7. Primary Energy Prod'!$D$51:$D$479=$A66)*('W7. Primary Energy Prod'!$E$50:$O$50=AQ$56),'W7. Primary Energy Prod'!$E$51:$O$479))</f>
        <v>48538.665888058436</v>
      </c>
      <c r="AR66" s="34">
        <f t="array" ref="AR66">SUM(IF(('W7. Primary Energy Prod'!$B$51:$B$479=AR$57)*('W7. Primary Energy Prod'!$D$51:$D$479=$A66)*('W7. Primary Energy Prod'!$E$50:$O$50=AR$56),'W7. Primary Energy Prod'!$E$51:$O$479))</f>
        <v>51297.188060637847</v>
      </c>
      <c r="AS66" s="34">
        <f t="array" ref="AS66">SUM(IF(('W7. Primary Energy Prod'!$B$51:$B$479=AS$57)*('W7. Primary Energy Prod'!$D$51:$D$479=$A66)*('W7. Primary Energy Prod'!$E$50:$O$50=AS$56),'W7. Primary Energy Prod'!$E$51:$O$479))</f>
        <v>49050.755611872555</v>
      </c>
      <c r="AT66" s="34">
        <f t="array" ref="AT66">SUM(IF(('W7. Primary Energy Prod'!$B$51:$B$479=AT$57)*('W7. Primary Energy Prod'!$D$51:$D$479=$A66)*('W7. Primary Energy Prod'!$E$50:$O$50=AT$56),'W7. Primary Energy Prod'!$E$51:$O$479))</f>
        <v>40597.429837710886</v>
      </c>
      <c r="AU66" s="34">
        <f t="array" ref="AU66">SUM(IF(('W7. Primary Energy Prod'!$B$51:$B$479=AU$57)*('W7. Primary Energy Prod'!$D$51:$D$479=$A66)*('W7. Primary Energy Prod'!$E$50:$O$50=AU$56),'W7. Primary Energy Prod'!$E$51:$O$479))</f>
        <v>48436.209470350965</v>
      </c>
      <c r="AV66" s="34">
        <f t="array" ref="AV66">SUM(IF(('W7. Primary Energy Prod'!$B$51:$B$479=AV$57)*('W7. Primary Energy Prod'!$D$51:$D$479=$A66)*('W7. Primary Energy Prod'!$E$50:$O$50=AV$56),'W7. Primary Energy Prod'!$E$51:$O$479))</f>
        <v>41358.618626744363</v>
      </c>
    </row>
    <row r="67" spans="1:48" ht="15" thickBot="1" x14ac:dyDescent="0.35"/>
    <row r="68" spans="1:48" s="25" customFormat="1" ht="15" thickBot="1" x14ac:dyDescent="0.35">
      <c r="A68" s="24" t="s">
        <v>377</v>
      </c>
    </row>
    <row r="70" spans="1:48" x14ac:dyDescent="0.3">
      <c r="A70" s="3" t="s">
        <v>8</v>
      </c>
      <c r="B70" s="3" t="s">
        <v>252</v>
      </c>
      <c r="C70" s="3">
        <v>2014</v>
      </c>
      <c r="D70" s="3">
        <v>2015</v>
      </c>
      <c r="E70" s="3">
        <v>2016</v>
      </c>
      <c r="F70" s="3">
        <v>2017</v>
      </c>
      <c r="G70" s="3">
        <v>2020</v>
      </c>
      <c r="H70" s="3">
        <v>2030</v>
      </c>
      <c r="I70" s="3">
        <v>2040</v>
      </c>
      <c r="J70" s="3">
        <v>2050</v>
      </c>
    </row>
    <row r="71" spans="1:48" x14ac:dyDescent="0.3">
      <c r="A71" s="3" t="s">
        <v>368</v>
      </c>
      <c r="B71" s="3" t="s">
        <v>254</v>
      </c>
      <c r="C71" s="34" t="str">
        <f t="array" ref="C71">INDEX('W23. TPES'!$F$13:$R$82,MATCH($A71&amp;$B71,'W23. TPES'!$A$13:$A$82&amp;'W23. TPES'!$C$13:$C$82,0),MATCH(C$70,'W23. TPES'!$F$12:$R$12,0))</f>
        <v/>
      </c>
      <c r="D71" s="34" t="str">
        <f t="array" ref="D71">INDEX('W23. TPES'!$F$13:$R$82,MATCH($A71&amp;$B71,'W23. TPES'!$A$13:$A$82&amp;'W23. TPES'!$C$13:$C$82,0),MATCH(D$70,'W23. TPES'!$F$12:$R$12,0))</f>
        <v/>
      </c>
      <c r="E71" s="34">
        <f t="array" ref="E71">INDEX('W23. TPES'!$F$13:$R$82,MATCH($A71&amp;$B71,'W23. TPES'!$A$13:$A$82&amp;'W23. TPES'!$C$13:$C$82,0),MATCH(E$70,'W23. TPES'!$F$12:$R$12,0))</f>
        <v>155748.95975709392</v>
      </c>
      <c r="F71" s="34">
        <f t="array" ref="F71">INDEX('W23. TPES'!$F$13:$R$82,MATCH($A71&amp;$B71,'W23. TPES'!$A$13:$A$82&amp;'W23. TPES'!$C$13:$C$82,0),MATCH(F$70,'W23. TPES'!$F$12:$R$12,0))</f>
        <v>157004.99975513501</v>
      </c>
      <c r="G71" s="34">
        <f t="array" ref="G71">INDEX('W23. TPES'!$F$13:$R$82,MATCH($A71&amp;$B71,'W23. TPES'!$A$13:$A$82&amp;'W23. TPES'!$C$13:$C$82,0),MATCH(G$70,'W23. TPES'!$F$12:$R$12,0))</f>
        <v>160898.72374906234</v>
      </c>
      <c r="H71" s="34">
        <f t="array" ref="H71">INDEX('W23. TPES'!$F$13:$R$82,MATCH($A71&amp;$B71,'W23. TPES'!$A$13:$A$82&amp;'W23. TPES'!$C$13:$C$82,0),MATCH(H$70,'W23. TPES'!$F$12:$R$12,0))</f>
        <v>178022.73572235575</v>
      </c>
      <c r="I71" s="34">
        <f t="array" ref="I71">INDEX('W23. TPES'!$F$13:$R$82,MATCH($A71&amp;$B71,'W23. TPES'!$A$13:$A$82&amp;'W23. TPES'!$C$13:$C$82,0),MATCH(I$70,'W23. TPES'!$F$12:$R$12,0))</f>
        <v>199668.49168859702</v>
      </c>
      <c r="J71" s="34">
        <f t="array" ref="J71">INDEX('W23. TPES'!$F$13:$R$82,MATCH($A71&amp;$B71,'W23. TPES'!$A$13:$A$82&amp;'W23. TPES'!$C$13:$C$82,0),MATCH(J$70,'W23. TPES'!$F$12:$R$12,0))</f>
        <v>220518.75565607895</v>
      </c>
    </row>
    <row r="72" spans="1:48" x14ac:dyDescent="0.3">
      <c r="A72" s="3" t="s">
        <v>368</v>
      </c>
      <c r="B72" s="3" t="s">
        <v>266</v>
      </c>
      <c r="C72" s="34" t="str">
        <f t="array" ref="C72">INDEX('W23. TPES'!$F$13:$R$82,MATCH($A72&amp;$B72,'W23. TPES'!$A$13:$A$82&amp;'W23. TPES'!$C$13:$C$82,0),MATCH(C$70,'W23. TPES'!$F$12:$R$12,0))</f>
        <v/>
      </c>
      <c r="D72" s="34" t="str">
        <f t="array" ref="D72">INDEX('W23. TPES'!$F$13:$R$82,MATCH($A72&amp;$B72,'W23. TPES'!$A$13:$A$82&amp;'W23. TPES'!$C$13:$C$82,0),MATCH(D$70,'W23. TPES'!$F$12:$R$12,0))</f>
        <v/>
      </c>
      <c r="E72" s="34">
        <f t="array" ref="E72">INDEX('W23. TPES'!$F$13:$R$82,MATCH($A72&amp;$B72,'W23. TPES'!$A$13:$A$82&amp;'W23. TPES'!$C$13:$C$82,0),MATCH(E$70,'W23. TPES'!$F$12:$R$12,0))</f>
        <v>182711.95171504244</v>
      </c>
      <c r="F72" s="34">
        <f t="array" ref="F72">INDEX('W23. TPES'!$F$13:$R$82,MATCH($A72&amp;$B72,'W23. TPES'!$A$13:$A$82&amp;'W23. TPES'!$C$13:$C$82,0),MATCH(F$70,'W23. TPES'!$F$12:$R$12,0))</f>
        <v>185684.57971040634</v>
      </c>
      <c r="G72" s="34">
        <f t="array" ref="G72">INDEX('W23. TPES'!$F$13:$R$82,MATCH($A72&amp;$B72,'W23. TPES'!$A$13:$A$82&amp;'W23. TPES'!$C$13:$C$82,0),MATCH(G$70,'W23. TPES'!$F$12:$R$12,0))</f>
        <v>193016.71319897112</v>
      </c>
      <c r="H72" s="34">
        <f t="array" ref="H72">INDEX('W23. TPES'!$F$13:$R$82,MATCH($A72&amp;$B72,'W23. TPES'!$A$13:$A$82&amp;'W23. TPES'!$C$13:$C$82,0),MATCH(H$70,'W23. TPES'!$F$12:$R$12,0))</f>
        <v>214699.10366515527</v>
      </c>
      <c r="I72" s="34">
        <f t="array" ref="I72">INDEX('W23. TPES'!$F$13:$R$82,MATCH($A72&amp;$B72,'W23. TPES'!$A$13:$A$82&amp;'W23. TPES'!$C$13:$C$82,0),MATCH(I$70,'W23. TPES'!$F$12:$R$12,0))</f>
        <v>233204.75963629386</v>
      </c>
      <c r="J72" s="34">
        <f t="array" ref="J72">INDEX('W23. TPES'!$F$13:$R$82,MATCH($A72&amp;$B72,'W23. TPES'!$A$13:$A$82&amp;'W23. TPES'!$C$13:$C$82,0),MATCH(J$70,'W23. TPES'!$F$12:$R$12,0))</f>
        <v>253385.13560482053</v>
      </c>
    </row>
    <row r="73" spans="1:48" x14ac:dyDescent="0.3">
      <c r="A73" s="3" t="s">
        <v>368</v>
      </c>
      <c r="B73" s="3" t="s">
        <v>255</v>
      </c>
      <c r="C73" s="34" t="str">
        <f t="array" ref="C73">INDEX('W23. TPES'!$F$13:$R$82,MATCH($A73&amp;$B73,'W23. TPES'!$A$13:$A$82&amp;'W23. TPES'!$C$13:$C$82,0),MATCH(C$70,'W23. TPES'!$F$12:$R$12,0))</f>
        <v/>
      </c>
      <c r="D73" s="34" t="str">
        <f t="array" ref="D73">INDEX('W23. TPES'!$F$13:$R$82,MATCH($A73&amp;$B73,'W23. TPES'!$A$13:$A$82&amp;'W23. TPES'!$C$13:$C$82,0),MATCH(D$70,'W23. TPES'!$F$12:$R$12,0))</f>
        <v/>
      </c>
      <c r="E73" s="34">
        <f t="array" ref="E73">INDEX('W23. TPES'!$F$13:$R$82,MATCH($A73&amp;$B73,'W23. TPES'!$A$13:$A$82&amp;'W23. TPES'!$C$13:$C$82,0),MATCH(E$70,'W23. TPES'!$F$12:$R$12,0))</f>
        <v>126525.09580267147</v>
      </c>
      <c r="F73" s="34">
        <f t="array" ref="F73">INDEX('W23. TPES'!$F$13:$R$82,MATCH($A73&amp;$B73,'W23. TPES'!$A$13:$A$82&amp;'W23. TPES'!$C$13:$C$82,0),MATCH(F$70,'W23. TPES'!$F$12:$R$12,0))</f>
        <v>130083.87579712119</v>
      </c>
      <c r="G73" s="34">
        <f t="array" ref="G73">INDEX('W23. TPES'!$F$13:$R$82,MATCH($A73&amp;$B73,'W23. TPES'!$A$13:$A$82&amp;'W23. TPES'!$C$13:$C$82,0),MATCH(G$70,'W23. TPES'!$F$12:$R$12,0))</f>
        <v>138075.43028465754</v>
      </c>
      <c r="H73" s="34">
        <f t="array" ref="H73">INDEX('W23. TPES'!$F$13:$R$82,MATCH($A73&amp;$B73,'W23. TPES'!$A$13:$A$82&amp;'W23. TPES'!$C$13:$C$82,0),MATCH(H$70,'W23. TPES'!$F$12:$R$12,0))</f>
        <v>167471.99973881067</v>
      </c>
      <c r="I73" s="34">
        <f t="array" ref="I73">INDEX('W23. TPES'!$F$13:$R$82,MATCH($A73&amp;$B73,'W23. TPES'!$A$13:$A$82&amp;'W23. TPES'!$C$13:$C$82,0),MATCH(I$70,'W23. TPES'!$F$12:$R$12,0))</f>
        <v>201133.87168631161</v>
      </c>
      <c r="J73" s="34">
        <f t="array" ref="J73">INDEX('W23. TPES'!$F$13:$R$82,MATCH($A73&amp;$B73,'W23. TPES'!$A$13:$A$82&amp;'W23. TPES'!$C$13:$C$82,0),MATCH(J$70,'W23. TPES'!$F$12:$R$12,0))</f>
        <v>233958.38363511849</v>
      </c>
    </row>
    <row r="74" spans="1:48" x14ac:dyDescent="0.3">
      <c r="A74" s="3" t="s">
        <v>368</v>
      </c>
      <c r="B74" s="3" t="s">
        <v>257</v>
      </c>
      <c r="C74" s="34" t="str">
        <f t="array" ref="C74">INDEX('W23. TPES'!$F$13:$R$82,MATCH($A74&amp;$B74,'W23. TPES'!$A$13:$A$82&amp;'W23. TPES'!$C$13:$C$82,0),MATCH(C$70,'W23. TPES'!$F$12:$R$12,0))</f>
        <v/>
      </c>
      <c r="D74" s="34" t="str">
        <f t="array" ref="D74">INDEX('W23. TPES'!$F$13:$R$82,MATCH($A74&amp;$B74,'W23. TPES'!$A$13:$A$82&amp;'W23. TPES'!$C$13:$C$82,0),MATCH(D$70,'W23. TPES'!$F$12:$R$12,0))</f>
        <v/>
      </c>
      <c r="E74" s="34">
        <f t="array" ref="E74">INDEX('W23. TPES'!$F$13:$R$82,MATCH($A74&amp;$B74,'W23. TPES'!$A$13:$A$82&amp;'W23. TPES'!$C$13:$C$82,0),MATCH(E$70,'W23. TPES'!$F$12:$R$12,0))</f>
        <v>28428.371955663111</v>
      </c>
      <c r="F74" s="34">
        <f t="array" ref="F74">INDEX('W23. TPES'!$F$13:$R$82,MATCH($A74&amp;$B74,'W23. TPES'!$A$13:$A$82&amp;'W23. TPES'!$C$13:$C$82,0),MATCH(F$70,'W23. TPES'!$F$12:$R$12,0))</f>
        <v>28805.183955075434</v>
      </c>
      <c r="G74" s="34">
        <f t="array" ref="G74">INDEX('W23. TPES'!$F$13:$R$82,MATCH($A74&amp;$B74,'W23. TPES'!$A$13:$A$82&amp;'W23. TPES'!$C$13:$C$82,0),MATCH(G$70,'W23. TPES'!$F$12:$R$12,0))</f>
        <v>30610.741452259488</v>
      </c>
      <c r="H74" s="34">
        <f t="array" ref="H74">INDEX('W23. TPES'!$F$13:$R$82,MATCH($A74&amp;$B74,'W23. TPES'!$A$13:$A$82&amp;'W23. TPES'!$C$13:$C$82,0),MATCH(H$70,'W23. TPES'!$F$12:$R$12,0))</f>
        <v>35336.591944889049</v>
      </c>
      <c r="I74" s="34">
        <f t="array" ref="I74">INDEX('W23. TPES'!$F$13:$R$82,MATCH($A74&amp;$B74,'W23. TPES'!$A$13:$A$82&amp;'W23. TPES'!$C$13:$C$82,0),MATCH(I$70,'W23. TPES'!$F$12:$R$12,0))</f>
        <v>39816.467937902235</v>
      </c>
      <c r="J74" s="34">
        <f t="array" ref="J74">INDEX('W23. TPES'!$F$13:$R$82,MATCH($A74&amp;$B74,'W23. TPES'!$A$13:$A$82&amp;'W23. TPES'!$C$13:$C$82,0),MATCH(J$70,'W23. TPES'!$F$12:$R$12,0))</f>
        <v>45008.099929805365</v>
      </c>
    </row>
    <row r="75" spans="1:48" x14ac:dyDescent="0.3">
      <c r="A75" s="3" t="s">
        <v>368</v>
      </c>
      <c r="B75" s="3" t="s">
        <v>256</v>
      </c>
      <c r="C75" s="34" t="str">
        <f t="array" ref="C75">INDEX('W23. TPES'!$F$13:$R$82,MATCH($A75&amp;$B75,'W23. TPES'!$A$13:$A$82&amp;'W23. TPES'!$C$13:$C$82,0),MATCH(C$70,'W23. TPES'!$F$12:$R$12,0))</f>
        <v/>
      </c>
      <c r="D75" s="34" t="str">
        <f t="array" ref="D75">INDEX('W23. TPES'!$F$13:$R$82,MATCH($A75&amp;$B75,'W23. TPES'!$A$13:$A$82&amp;'W23. TPES'!$C$13:$C$82,0),MATCH(D$70,'W23. TPES'!$F$12:$R$12,0))</f>
        <v/>
      </c>
      <c r="E75" s="34">
        <f t="array" ref="E75">INDEX('W23. TPES'!$F$13:$R$82,MATCH($A75&amp;$B75,'W23. TPES'!$A$13:$A$82&amp;'W23. TPES'!$C$13:$C$82,0),MATCH(E$70,'W23. TPES'!$F$12:$R$12,0))</f>
        <v>14570.063977276528</v>
      </c>
      <c r="F75" s="34">
        <f t="array" ref="F75">INDEX('W23. TPES'!$F$13:$R$82,MATCH($A75&amp;$B75,'W23. TPES'!$A$13:$A$82&amp;'W23. TPES'!$C$13:$C$82,0),MATCH(F$70,'W23. TPES'!$F$12:$R$12,0))</f>
        <v>14779.403976950041</v>
      </c>
      <c r="G75" s="34">
        <f t="array" ref="G75">INDEX('W23. TPES'!$F$13:$R$82,MATCH($A75&amp;$B75,'W23. TPES'!$A$13:$A$82&amp;'W23. TPES'!$C$13:$C$82,0),MATCH(G$70,'W23. TPES'!$F$12:$R$12,0))</f>
        <v>15721.433975480852</v>
      </c>
      <c r="H75" s="34">
        <f t="array" ref="H75">INDEX('W23. TPES'!$F$13:$R$82,MATCH($A75&amp;$B75,'W23. TPES'!$A$13:$A$82&amp;'W23. TPES'!$C$13:$C$82,0),MATCH(H$70,'W23. TPES'!$F$12:$R$12,0))</f>
        <v>18798.731970681496</v>
      </c>
      <c r="I75" s="34">
        <f t="array" ref="I75">INDEX('W23. TPES'!$F$13:$R$82,MATCH($A75&amp;$B75,'W23. TPES'!$A$13:$A$82&amp;'W23. TPES'!$C$13:$C$82,0),MATCH(I$70,'W23. TPES'!$F$12:$R$12,0))</f>
        <v>21520.15196643717</v>
      </c>
      <c r="J75" s="34">
        <f t="array" ref="J75">INDEX('W23. TPES'!$F$13:$R$82,MATCH($A75&amp;$B75,'W23. TPES'!$A$13:$A$82&amp;'W23. TPES'!$C$13:$C$82,0),MATCH(J$70,'W23. TPES'!$F$12:$R$12,0))</f>
        <v>24199.70396225814</v>
      </c>
    </row>
    <row r="76" spans="1:48" x14ac:dyDescent="0.3">
      <c r="A76" s="3" t="s">
        <v>368</v>
      </c>
      <c r="B76" s="3" t="s">
        <v>253</v>
      </c>
      <c r="C76" s="34" t="str">
        <f t="array" ref="C76">INDEX('W23. TPES'!$F$13:$R$82,MATCH($A76&amp;$B76,'W23. TPES'!$A$13:$A$82&amp;'W23. TPES'!$C$13:$C$82,0),MATCH(C$70,'W23. TPES'!$F$12:$R$12,0))</f>
        <v/>
      </c>
      <c r="D76" s="34" t="str">
        <f t="array" ref="D76">INDEX('W23. TPES'!$F$13:$R$82,MATCH($A76&amp;$B76,'W23. TPES'!$A$13:$A$82&amp;'W23. TPES'!$C$13:$C$82,0),MATCH(D$70,'W23. TPES'!$F$12:$R$12,0))</f>
        <v/>
      </c>
      <c r="E76" s="34">
        <f t="array" ref="E76">INDEX('W23. TPES'!$F$13:$R$82,MATCH($A76&amp;$B76,'W23. TPES'!$A$13:$A$82&amp;'W23. TPES'!$C$13:$C$82,0),MATCH(E$70,'W23. TPES'!$F$12:$R$12,0))</f>
        <v>56521.799911848597</v>
      </c>
      <c r="F76" s="34">
        <f t="array" ref="F76">INDEX('W23. TPES'!$F$13:$R$82,MATCH($A76&amp;$B76,'W23. TPES'!$A$13:$A$82&amp;'W23. TPES'!$C$13:$C$82,0),MATCH(F$70,'W23. TPES'!$F$12:$R$12,0))</f>
        <v>57945.311909628494</v>
      </c>
      <c r="G76" s="34">
        <f t="array" ref="G76">INDEX('W23. TPES'!$F$13:$R$82,MATCH($A76&amp;$B76,'W23. TPES'!$A$13:$A$82&amp;'W23. TPES'!$C$13:$C$82,0),MATCH(G$70,'W23. TPES'!$F$12:$R$12,0))</f>
        <v>60897.005905025027</v>
      </c>
      <c r="H76" s="34">
        <f t="array" ref="H76">INDEX('W23. TPES'!$F$13:$R$82,MATCH($A76&amp;$B76,'W23. TPES'!$A$13:$A$82&amp;'W23. TPES'!$C$13:$C$82,0),MATCH(H$70,'W23. TPES'!$F$12:$R$12,0))</f>
        <v>69040.331892324699</v>
      </c>
      <c r="I76" s="34">
        <f t="array" ref="I76">INDEX('W23. TPES'!$F$13:$R$82,MATCH($A76&amp;$B76,'W23. TPES'!$A$13:$A$82&amp;'W23. TPES'!$C$13:$C$82,0),MATCH(I$70,'W23. TPES'!$F$12:$R$12,0))</f>
        <v>74148.227884358421</v>
      </c>
      <c r="J76" s="34">
        <f t="array" ref="J76">INDEX('W23. TPES'!$F$13:$R$82,MATCH($A76&amp;$B76,'W23. TPES'!$A$13:$A$82&amp;'W23. TPES'!$C$13:$C$82,0),MATCH(J$70,'W23. TPES'!$F$12:$R$12,0))</f>
        <v>78586.235877436906</v>
      </c>
    </row>
    <row r="77" spans="1:48" x14ac:dyDescent="0.3">
      <c r="A77" s="3" t="s">
        <v>368</v>
      </c>
      <c r="B77" s="3" t="s">
        <v>461</v>
      </c>
      <c r="C77" s="34" t="str">
        <f t="array" ref="C77">INDEX('W23. TPES'!$F$13:$R$82,MATCH($A77&amp;$B77,'W23. TPES'!$A$13:$A$82&amp;'W23. TPES'!$C$13:$C$82,0),MATCH(C$70,'W23. TPES'!$F$12:$R$12,0))</f>
        <v/>
      </c>
      <c r="D77" s="34" t="str">
        <f t="array" ref="D77">INDEX('W23. TPES'!$F$13:$R$82,MATCH($A77&amp;$B77,'W23. TPES'!$A$13:$A$82&amp;'W23. TPES'!$C$13:$C$82,0),MATCH(D$70,'W23. TPES'!$F$12:$R$12,0))</f>
        <v/>
      </c>
      <c r="E77" s="34">
        <f t="array" ref="E77">INDEX('W23. TPES'!$F$13:$R$82,MATCH($A77&amp;$B77,'W23. TPES'!$A$13:$A$82&amp;'W23. TPES'!$C$13:$C$82,0),MATCH(E$70,'W23. TPES'!$F$12:$R$12,0))</f>
        <v>9378.4319853733978</v>
      </c>
      <c r="F77" s="34">
        <f t="array" ref="F77">INDEX('W23. TPES'!$F$13:$R$82,MATCH($A77&amp;$B77,'W23. TPES'!$A$13:$A$82&amp;'W23. TPES'!$C$13:$C$82,0),MATCH(F$70,'W23. TPES'!$F$12:$R$12,0))</f>
        <v>10634.471983414478</v>
      </c>
      <c r="G77" s="34">
        <f t="array" ref="G77">INDEX('W23. TPES'!$F$13:$R$82,MATCH($A77&amp;$B77,'W23. TPES'!$A$13:$A$82&amp;'W23. TPES'!$C$13:$C$82,0),MATCH(G$70,'W23. TPES'!$F$12:$R$12,0))</f>
        <v>14167.084477905015</v>
      </c>
      <c r="H77" s="34">
        <f t="array" ref="H77">INDEX('W23. TPES'!$F$13:$R$82,MATCH($A77&amp;$B77,'W23. TPES'!$A$13:$A$82&amp;'W23. TPES'!$C$13:$C$82,0),MATCH(H$70,'W23. TPES'!$F$12:$R$12,0))</f>
        <v>25958.159959515655</v>
      </c>
      <c r="I77" s="34">
        <f t="array" ref="I77">INDEX('W23. TPES'!$F$13:$R$82,MATCH($A77&amp;$B77,'W23. TPES'!$A$13:$A$82&amp;'W23. TPES'!$C$13:$C$82,0),MATCH(I$70,'W23. TPES'!$F$12:$R$12,0))</f>
        <v>39690.863938098126</v>
      </c>
      <c r="J77" s="34">
        <f t="array" ref="J77">INDEX('W23. TPES'!$F$13:$R$82,MATCH($A77&amp;$B77,'W23. TPES'!$A$13:$A$82&amp;'W23. TPES'!$C$13:$C$82,0),MATCH(J$70,'W23. TPES'!$F$12:$R$12,0))</f>
        <v>54260.927915374654</v>
      </c>
    </row>
    <row r="78" spans="1:48" x14ac:dyDescent="0.3">
      <c r="A78" s="3" t="s">
        <v>370</v>
      </c>
      <c r="B78" s="3" t="s">
        <v>254</v>
      </c>
      <c r="C78" s="34" t="str">
        <f t="array" ref="C78">INDEX('W23. TPES'!$F$13:$R$82,MATCH($A78&amp;$B78,'W23. TPES'!$A$13:$A$82&amp;'W23. TPES'!$C$13:$C$82,0),MATCH(C$70,'W23. TPES'!$F$12:$R$12,0))</f>
        <v/>
      </c>
      <c r="D78" s="34" t="str">
        <f t="array" ref="D78">INDEX('W23. TPES'!$F$13:$R$82,MATCH($A78&amp;$B78,'W23. TPES'!$A$13:$A$82&amp;'W23. TPES'!$C$13:$C$82,0),MATCH(D$70,'W23. TPES'!$F$12:$R$12,0))</f>
        <v/>
      </c>
      <c r="E78" s="34">
        <f t="array" ref="E78">INDEX('W23. TPES'!$F$13:$R$82,MATCH($A78&amp;$B78,'W23. TPES'!$A$13:$A$82&amp;'W23. TPES'!$C$13:$C$82,0),MATCH(E$70,'W23. TPES'!$F$12:$R$12,0))</f>
        <v>155748.95975709392</v>
      </c>
      <c r="F78" s="34">
        <f t="array" ref="F78">INDEX('W23. TPES'!$F$13:$R$82,MATCH($A78&amp;$B78,'W23. TPES'!$A$13:$A$82&amp;'W23. TPES'!$C$13:$C$82,0),MATCH(F$70,'W23. TPES'!$F$12:$R$12,0))</f>
        <v>157004.99975513501</v>
      </c>
      <c r="G78" s="34">
        <f t="array" ref="G78">INDEX('W23. TPES'!$F$13:$R$82,MATCH($A78&amp;$B78,'W23. TPES'!$A$13:$A$82&amp;'W23. TPES'!$C$13:$C$82,0),MATCH(G$70,'W23. TPES'!$F$12:$R$12,0))</f>
        <v>157287.60875469423</v>
      </c>
      <c r="H78" s="34">
        <f t="array" ref="H78">INDEX('W23. TPES'!$F$13:$R$82,MATCH($A78&amp;$B78,'W23. TPES'!$A$13:$A$82&amp;'W23. TPES'!$C$13:$C$82,0),MATCH(H$70,'W23. TPES'!$F$12:$R$12,0))</f>
        <v>158386.64375298019</v>
      </c>
      <c r="I78" s="34">
        <f t="array" ref="I78">INDEX('W23. TPES'!$F$13:$R$82,MATCH($A78&amp;$B78,'W23. TPES'!$A$13:$A$82&amp;'W23. TPES'!$C$13:$C$82,0),MATCH(I$70,'W23. TPES'!$F$12:$R$12,0))</f>
        <v>159475.21175128245</v>
      </c>
      <c r="J78" s="34">
        <f t="array" ref="J78">INDEX('W23. TPES'!$F$13:$R$82,MATCH($A78&amp;$B78,'W23. TPES'!$A$13:$A$82&amp;'W23. TPES'!$C$13:$C$82,0),MATCH(J$70,'W23. TPES'!$F$12:$R$12,0))</f>
        <v>160814.98774919295</v>
      </c>
    </row>
    <row r="79" spans="1:48" x14ac:dyDescent="0.3">
      <c r="A79" s="3" t="s">
        <v>370</v>
      </c>
      <c r="B79" s="3" t="s">
        <v>266</v>
      </c>
      <c r="C79" s="34" t="str">
        <f t="array" ref="C79">INDEX('W23. TPES'!$F$13:$R$82,MATCH($A79&amp;$B79,'W23. TPES'!$A$13:$A$82&amp;'W23. TPES'!$C$13:$C$82,0),MATCH(C$70,'W23. TPES'!$F$12:$R$12,0))</f>
        <v/>
      </c>
      <c r="D79" s="34" t="str">
        <f t="array" ref="D79">INDEX('W23. TPES'!$F$13:$R$82,MATCH($A79&amp;$B79,'W23. TPES'!$A$13:$A$82&amp;'W23. TPES'!$C$13:$C$82,0),MATCH(D$70,'W23. TPES'!$F$12:$R$12,0))</f>
        <v/>
      </c>
      <c r="E79" s="34">
        <f t="array" ref="E79">INDEX('W23. TPES'!$F$13:$R$82,MATCH($A79&amp;$B79,'W23. TPES'!$A$13:$A$82&amp;'W23. TPES'!$C$13:$C$82,0),MATCH(E$70,'W23. TPES'!$F$12:$R$12,0))</f>
        <v>182711.95171504244</v>
      </c>
      <c r="F79" s="34">
        <f t="array" ref="F79">INDEX('W23. TPES'!$F$13:$R$82,MATCH($A79&amp;$B79,'W23. TPES'!$A$13:$A$82&amp;'W23. TPES'!$C$13:$C$82,0),MATCH(F$70,'W23. TPES'!$F$12:$R$12,0))</f>
        <v>185684.57971040634</v>
      </c>
      <c r="G79" s="34">
        <f t="array" ref="G79">INDEX('W23. TPES'!$F$13:$R$82,MATCH($A79&amp;$B79,'W23. TPES'!$A$13:$A$82&amp;'W23. TPES'!$C$13:$C$82,0),MATCH(G$70,'W23. TPES'!$F$12:$R$12,0))</f>
        <v>190693.03920259513</v>
      </c>
      <c r="H79" s="34">
        <f t="array" ref="H79">INDEX('W23. TPES'!$F$13:$R$82,MATCH($A79&amp;$B79,'W23. TPES'!$A$13:$A$82&amp;'W23. TPES'!$C$13:$C$82,0),MATCH(H$70,'W23. TPES'!$F$12:$R$12,0))</f>
        <v>202222.43968461387</v>
      </c>
      <c r="I79" s="34">
        <f t="array" ref="I79">INDEX('W23. TPES'!$F$13:$R$82,MATCH($A79&amp;$B79,'W23. TPES'!$A$13:$A$82&amp;'W23. TPES'!$C$13:$C$82,0),MATCH(I$70,'W23. TPES'!$F$12:$R$12,0))</f>
        <v>204901.99168043485</v>
      </c>
      <c r="J79" s="34">
        <f t="array" ref="J79">INDEX('W23. TPES'!$F$13:$R$82,MATCH($A79&amp;$B79,'W23. TPES'!$A$13:$A$82&amp;'W23. TPES'!$C$13:$C$82,0),MATCH(J$70,'W23. TPES'!$F$12:$R$12,0))</f>
        <v>209256.26367364393</v>
      </c>
    </row>
    <row r="80" spans="1:48" x14ac:dyDescent="0.3">
      <c r="A80" s="3" t="s">
        <v>370</v>
      </c>
      <c r="B80" s="3" t="s">
        <v>255</v>
      </c>
      <c r="C80" s="34" t="str">
        <f t="array" ref="C80">INDEX('W23. TPES'!$F$13:$R$82,MATCH($A80&amp;$B80,'W23. TPES'!$A$13:$A$82&amp;'W23. TPES'!$C$13:$C$82,0),MATCH(C$70,'W23. TPES'!$F$12:$R$12,0))</f>
        <v/>
      </c>
      <c r="D80" s="34" t="str">
        <f t="array" ref="D80">INDEX('W23. TPES'!$F$13:$R$82,MATCH($A80&amp;$B80,'W23. TPES'!$A$13:$A$82&amp;'W23. TPES'!$C$13:$C$82,0),MATCH(D$70,'W23. TPES'!$F$12:$R$12,0))</f>
        <v/>
      </c>
      <c r="E80" s="34">
        <f t="array" ref="E80">INDEX('W23. TPES'!$F$13:$R$82,MATCH($A80&amp;$B80,'W23. TPES'!$A$13:$A$82&amp;'W23. TPES'!$C$13:$C$82,0),MATCH(E$70,'W23. TPES'!$F$12:$R$12,0))</f>
        <v>126525.09580267147</v>
      </c>
      <c r="F80" s="34">
        <f t="array" ref="F80">INDEX('W23. TPES'!$F$13:$R$82,MATCH($A80&amp;$B80,'W23. TPES'!$A$13:$A$82&amp;'W23. TPES'!$C$13:$C$82,0),MATCH(F$70,'W23. TPES'!$F$12:$R$12,0))</f>
        <v>130083.87579712119</v>
      </c>
      <c r="G80" s="34">
        <f t="array" ref="G80">INDEX('W23. TPES'!$F$13:$R$82,MATCH($A80&amp;$B80,'W23. TPES'!$A$13:$A$82&amp;'W23. TPES'!$C$13:$C$82,0),MATCH(G$70,'W23. TPES'!$F$12:$R$12,0))</f>
        <v>136866.49178654302</v>
      </c>
      <c r="H80" s="34">
        <f t="array" ref="H80">INDEX('W23. TPES'!$F$13:$R$82,MATCH($A80&amp;$B80,'W23. TPES'!$A$13:$A$82&amp;'W23. TPES'!$C$13:$C$82,0),MATCH(H$70,'W23. TPES'!$F$12:$R$12,0))</f>
        <v>159935.75975056418</v>
      </c>
      <c r="I80" s="34">
        <f t="array" ref="I80">INDEX('W23. TPES'!$F$13:$R$82,MATCH($A80&amp;$B80,'W23. TPES'!$A$13:$A$82&amp;'W23. TPES'!$C$13:$C$82,0),MATCH(I$70,'W23. TPES'!$F$12:$R$12,0))</f>
        <v>185726.44771034102</v>
      </c>
      <c r="J80" s="34">
        <f t="array" ref="J80">INDEX('W23. TPES'!$F$13:$R$82,MATCH($A80&amp;$B80,'W23. TPES'!$A$13:$A$82&amp;'W23. TPES'!$C$13:$C$82,0),MATCH(J$70,'W23. TPES'!$F$12:$R$12,0))</f>
        <v>211182.19167064026</v>
      </c>
    </row>
    <row r="81" spans="1:10" x14ac:dyDescent="0.3">
      <c r="A81" s="3" t="s">
        <v>370</v>
      </c>
      <c r="B81" s="3" t="s">
        <v>257</v>
      </c>
      <c r="C81" s="34" t="str">
        <f t="array" ref="C81">INDEX('W23. TPES'!$F$13:$R$82,MATCH($A81&amp;$B81,'W23. TPES'!$A$13:$A$82&amp;'W23. TPES'!$C$13:$C$82,0),MATCH(C$70,'W23. TPES'!$F$12:$R$12,0))</f>
        <v/>
      </c>
      <c r="D81" s="34" t="str">
        <f t="array" ref="D81">INDEX('W23. TPES'!$F$13:$R$82,MATCH($A81&amp;$B81,'W23. TPES'!$A$13:$A$82&amp;'W23. TPES'!$C$13:$C$82,0),MATCH(D$70,'W23. TPES'!$F$12:$R$12,0))</f>
        <v/>
      </c>
      <c r="E81" s="34">
        <f t="array" ref="E81">INDEX('W23. TPES'!$F$13:$R$82,MATCH($A81&amp;$B81,'W23. TPES'!$A$13:$A$82&amp;'W23. TPES'!$C$13:$C$82,0),MATCH(E$70,'W23. TPES'!$F$12:$R$12,0))</f>
        <v>28428.371955663111</v>
      </c>
      <c r="F81" s="34">
        <f t="array" ref="F81">INDEX('W23. TPES'!$F$13:$R$82,MATCH($A81&amp;$B81,'W23. TPES'!$A$13:$A$82&amp;'W23. TPES'!$C$13:$C$82,0),MATCH(F$70,'W23. TPES'!$F$12:$R$12,0))</f>
        <v>28805.183955075434</v>
      </c>
      <c r="G81" s="34">
        <f t="array" ref="G81">INDEX('W23. TPES'!$F$13:$R$82,MATCH($A81&amp;$B81,'W23. TPES'!$A$13:$A$82&amp;'W23. TPES'!$C$13:$C$82,0),MATCH(G$70,'W23. TPES'!$F$12:$R$12,0))</f>
        <v>30642.142452210515</v>
      </c>
      <c r="H81" s="34">
        <f t="array" ref="H81">INDEX('W23. TPES'!$F$13:$R$82,MATCH($A81&amp;$B81,'W23. TPES'!$A$13:$A$82&amp;'W23. TPES'!$C$13:$C$82,0),MATCH(H$70,'W23. TPES'!$F$12:$R$12,0))</f>
        <v>35504.063944627858</v>
      </c>
      <c r="I81" s="34">
        <f t="array" ref="I81">INDEX('W23. TPES'!$F$13:$R$82,MATCH($A81&amp;$B81,'W23. TPES'!$A$13:$A$82&amp;'W23. TPES'!$C$13:$C$82,0),MATCH(I$70,'W23. TPES'!$F$12:$R$12,0))</f>
        <v>40653.827936596288</v>
      </c>
      <c r="J81" s="34">
        <f t="array" ref="J81">INDEX('W23. TPES'!$F$13:$R$82,MATCH($A81&amp;$B81,'W23. TPES'!$A$13:$A$82&amp;'W23. TPES'!$C$13:$C$82,0),MATCH(J$70,'W23. TPES'!$F$12:$R$12,0))</f>
        <v>45091.835929674773</v>
      </c>
    </row>
    <row r="82" spans="1:10" x14ac:dyDescent="0.3">
      <c r="A82" s="3" t="s">
        <v>370</v>
      </c>
      <c r="B82" s="3" t="s">
        <v>256</v>
      </c>
      <c r="C82" s="34" t="str">
        <f t="array" ref="C82">INDEX('W23. TPES'!$F$13:$R$82,MATCH($A82&amp;$B82,'W23. TPES'!$A$13:$A$82&amp;'W23. TPES'!$C$13:$C$82,0),MATCH(C$70,'W23. TPES'!$F$12:$R$12,0))</f>
        <v/>
      </c>
      <c r="D82" s="34" t="str">
        <f t="array" ref="D82">INDEX('W23. TPES'!$F$13:$R$82,MATCH($A82&amp;$B82,'W23. TPES'!$A$13:$A$82&amp;'W23. TPES'!$C$13:$C$82,0),MATCH(D$70,'W23. TPES'!$F$12:$R$12,0))</f>
        <v/>
      </c>
      <c r="E82" s="34">
        <f t="array" ref="E82">INDEX('W23. TPES'!$F$13:$R$82,MATCH($A82&amp;$B82,'W23. TPES'!$A$13:$A$82&amp;'W23. TPES'!$C$13:$C$82,0),MATCH(E$70,'W23. TPES'!$F$12:$R$12,0))</f>
        <v>14570.063977276528</v>
      </c>
      <c r="F82" s="34">
        <f t="array" ref="F82">INDEX('W23. TPES'!$F$13:$R$82,MATCH($A82&amp;$B82,'W23. TPES'!$A$13:$A$82&amp;'W23. TPES'!$C$13:$C$82,0),MATCH(F$70,'W23. TPES'!$F$12:$R$12,0))</f>
        <v>14779.403976950041</v>
      </c>
      <c r="G82" s="34">
        <f t="array" ref="G82">INDEX('W23. TPES'!$F$13:$R$82,MATCH($A82&amp;$B82,'W23. TPES'!$A$13:$A$82&amp;'W23. TPES'!$C$13:$C$82,0),MATCH(G$70,'W23. TPES'!$F$12:$R$12,0))</f>
        <v>15752.834975431879</v>
      </c>
      <c r="H82" s="34">
        <f t="array" ref="H82">INDEX('W23. TPES'!$F$13:$R$82,MATCH($A82&amp;$B82,'W23. TPES'!$A$13:$A$82&amp;'W23. TPES'!$C$13:$C$82,0),MATCH(H$70,'W23. TPES'!$F$12:$R$12,0))</f>
        <v>19175.543970093822</v>
      </c>
      <c r="I82" s="34">
        <f t="array" ref="I82">INDEX('W23. TPES'!$F$13:$R$82,MATCH($A82&amp;$B82,'W23. TPES'!$A$13:$A$82&amp;'W23. TPES'!$C$13:$C$82,0),MATCH(I$70,'W23. TPES'!$F$12:$R$12,0))</f>
        <v>22231.907965327115</v>
      </c>
      <c r="J82" s="34">
        <f t="array" ref="J82">INDEX('W23. TPES'!$F$13:$R$82,MATCH($A82&amp;$B82,'W23. TPES'!$A$13:$A$82&amp;'W23. TPES'!$C$13:$C$82,0),MATCH(J$70,'W23. TPES'!$F$12:$R$12,0))</f>
        <v>25162.667960756302</v>
      </c>
    </row>
    <row r="83" spans="1:10" x14ac:dyDescent="0.3">
      <c r="A83" s="3" t="s">
        <v>370</v>
      </c>
      <c r="B83" s="3" t="s">
        <v>253</v>
      </c>
      <c r="C83" s="34" t="str">
        <f t="array" ref="C83">INDEX('W23. TPES'!$F$13:$R$82,MATCH($A83&amp;$B83,'W23. TPES'!$A$13:$A$82&amp;'W23. TPES'!$C$13:$C$82,0),MATCH(C$70,'W23. TPES'!$F$12:$R$12,0))</f>
        <v/>
      </c>
      <c r="D83" s="34" t="str">
        <f t="array" ref="D83">INDEX('W23. TPES'!$F$13:$R$82,MATCH($A83&amp;$B83,'W23. TPES'!$A$13:$A$82&amp;'W23. TPES'!$C$13:$C$82,0),MATCH(D$70,'W23. TPES'!$F$12:$R$12,0))</f>
        <v/>
      </c>
      <c r="E83" s="34">
        <f t="array" ref="E83">INDEX('W23. TPES'!$F$13:$R$82,MATCH($A83&amp;$B83,'W23. TPES'!$A$13:$A$82&amp;'W23. TPES'!$C$13:$C$82,0),MATCH(E$70,'W23. TPES'!$F$12:$R$12,0))</f>
        <v>56521.799911848597</v>
      </c>
      <c r="F83" s="34">
        <f t="array" ref="F83">INDEX('W23. TPES'!$F$13:$R$82,MATCH($A83&amp;$B83,'W23. TPES'!$A$13:$A$82&amp;'W23. TPES'!$C$13:$C$82,0),MATCH(F$70,'W23. TPES'!$F$12:$R$12,0))</f>
        <v>57945.311909628494</v>
      </c>
      <c r="G83" s="34">
        <f t="array" ref="G83">INDEX('W23. TPES'!$F$13:$R$82,MATCH($A83&amp;$B83,'W23. TPES'!$A$13:$A$82&amp;'W23. TPES'!$C$13:$C$82,0),MATCH(G$70,'W23. TPES'!$F$12:$R$12,0))</f>
        <v>61179.614904584269</v>
      </c>
      <c r="H83" s="34">
        <f t="array" ref="H83">INDEX('W23. TPES'!$F$13:$R$82,MATCH($A83&amp;$B83,'W23. TPES'!$A$13:$A$82&amp;'W23. TPES'!$C$13:$C$82,0),MATCH(H$70,'W23. TPES'!$F$12:$R$12,0))</f>
        <v>70798.787889582207</v>
      </c>
      <c r="I83" s="34">
        <f t="array" ref="I83">INDEX('W23. TPES'!$F$13:$R$82,MATCH($A83&amp;$B83,'W23. TPES'!$A$13:$A$82&amp;'W23. TPES'!$C$13:$C$82,0),MATCH(I$70,'W23. TPES'!$F$12:$R$12,0))</f>
        <v>77497.667879134635</v>
      </c>
      <c r="J83" s="34">
        <f t="array" ref="J83">INDEX('W23. TPES'!$F$13:$R$82,MATCH($A83&amp;$B83,'W23. TPES'!$A$13:$A$82&amp;'W23. TPES'!$C$13:$C$82,0),MATCH(J$70,'W23. TPES'!$F$12:$R$12,0))</f>
        <v>83777.867869340029</v>
      </c>
    </row>
    <row r="84" spans="1:10" x14ac:dyDescent="0.3">
      <c r="A84" s="3" t="s">
        <v>370</v>
      </c>
      <c r="B84" s="3" t="s">
        <v>461</v>
      </c>
      <c r="C84" s="34" t="str">
        <f t="array" ref="C84">INDEX('W23. TPES'!$F$13:$R$82,MATCH($A84&amp;$B84,'W23. TPES'!$A$13:$A$82&amp;'W23. TPES'!$C$13:$C$82,0),MATCH(C$70,'W23. TPES'!$F$12:$R$12,0))</f>
        <v/>
      </c>
      <c r="D84" s="34" t="str">
        <f t="array" ref="D84">INDEX('W23. TPES'!$F$13:$R$82,MATCH($A84&amp;$B84,'W23. TPES'!$A$13:$A$82&amp;'W23. TPES'!$C$13:$C$82,0),MATCH(D$70,'W23. TPES'!$F$12:$R$12,0))</f>
        <v/>
      </c>
      <c r="E84" s="34">
        <f t="array" ref="E84">INDEX('W23. TPES'!$F$13:$R$82,MATCH($A84&amp;$B84,'W23. TPES'!$A$13:$A$82&amp;'W23. TPES'!$C$13:$C$82,0),MATCH(E$70,'W23. TPES'!$F$12:$R$12,0))</f>
        <v>9378.4319853733978</v>
      </c>
      <c r="F84" s="34">
        <f t="array" ref="F84">INDEX('W23. TPES'!$F$13:$R$82,MATCH($A84&amp;$B84,'W23. TPES'!$A$13:$A$82&amp;'W23. TPES'!$C$13:$C$82,0),MATCH(F$70,'W23. TPES'!$F$12:$R$12,0))</f>
        <v>10634.471983414478</v>
      </c>
      <c r="G84" s="34">
        <f t="array" ref="G84">INDEX('W23. TPES'!$F$13:$R$82,MATCH($A84&amp;$B84,'W23. TPES'!$A$13:$A$82&amp;'W23. TPES'!$C$13:$C$82,0),MATCH(G$70,'W23. TPES'!$F$12:$R$12,0))</f>
        <v>14748.002976999014</v>
      </c>
      <c r="H84" s="34">
        <f t="array" ref="H84">INDEX('W23. TPES'!$F$13:$R$82,MATCH($A84&amp;$B84,'W23. TPES'!$A$13:$A$82&amp;'W23. TPES'!$C$13:$C$82,0),MATCH(H$70,'W23. TPES'!$F$12:$R$12,0))</f>
        <v>30814.847951941163</v>
      </c>
      <c r="I84" s="34">
        <f t="array" ref="I84">INDEX('W23. TPES'!$F$13:$R$82,MATCH($A84&amp;$B84,'W23. TPES'!$A$13:$A$82&amp;'W23. TPES'!$C$13:$C$82,0),MATCH(I$70,'W23. TPES'!$F$12:$R$12,0))</f>
        <v>51204.563920141358</v>
      </c>
      <c r="J84" s="34">
        <f t="array" ref="J84">INDEX('W23. TPES'!$F$13:$R$82,MATCH($A84&amp;$B84,'W23. TPES'!$A$13:$A$82&amp;'W23. TPES'!$C$13:$C$82,0),MATCH(J$70,'W23. TPES'!$F$12:$R$12,0))</f>
        <v>72557.243886839715</v>
      </c>
    </row>
    <row r="85" spans="1:10" x14ac:dyDescent="0.3">
      <c r="A85" s="3" t="s">
        <v>372</v>
      </c>
      <c r="B85" s="3" t="s">
        <v>254</v>
      </c>
      <c r="C85" s="34" t="str">
        <f t="array" ref="C85">INDEX('W23. TPES'!$F$13:$R$82,MATCH($A85&amp;$B85,'W23. TPES'!$A$13:$A$82&amp;'W23. TPES'!$C$13:$C$82,0),MATCH(C$70,'W23. TPES'!$F$12:$R$12,0))</f>
        <v/>
      </c>
      <c r="D85" s="34" t="str">
        <f t="array" ref="D85">INDEX('W23. TPES'!$F$13:$R$82,MATCH($A85&amp;$B85,'W23. TPES'!$A$13:$A$82&amp;'W23. TPES'!$C$13:$C$82,0),MATCH(D$70,'W23. TPES'!$F$12:$R$12,0))</f>
        <v/>
      </c>
      <c r="E85" s="34">
        <f t="array" ref="E85">INDEX('W23. TPES'!$F$13:$R$82,MATCH($A85&amp;$B85,'W23. TPES'!$A$13:$A$82&amp;'W23. TPES'!$C$13:$C$82,0),MATCH(E$70,'W23. TPES'!$F$12:$R$12,0))</f>
        <v>155748.95975709392</v>
      </c>
      <c r="F85" s="34">
        <f t="array" ref="F85">INDEX('W23. TPES'!$F$13:$R$82,MATCH($A85&amp;$B85,'W23. TPES'!$A$13:$A$82&amp;'W23. TPES'!$C$13:$C$82,0),MATCH(F$70,'W23. TPES'!$F$12:$R$12,0))</f>
        <v>157004.99975513501</v>
      </c>
      <c r="G85" s="34">
        <f t="array" ref="G85">INDEX('W23. TPES'!$F$13:$R$82,MATCH($A85&amp;$B85,'W23. TPES'!$A$13:$A$82&amp;'W23. TPES'!$C$13:$C$82,0),MATCH(G$70,'W23. TPES'!$F$12:$R$12,0))</f>
        <v>145936.14727239797</v>
      </c>
      <c r="H85" s="34">
        <f t="array" ref="H85">INDEX('W23. TPES'!$F$13:$R$82,MATCH($A85&amp;$B85,'W23. TPES'!$A$13:$A$82&amp;'W23. TPES'!$C$13:$C$82,0),MATCH(H$70,'W23. TPES'!$F$12:$R$12,0))</f>
        <v>101153.08784224164</v>
      </c>
      <c r="I85" s="34">
        <f t="array" ref="I85">INDEX('W23. TPES'!$F$13:$R$82,MATCH($A85&amp;$B85,'W23. TPES'!$A$13:$A$82&amp;'W23. TPES'!$C$13:$C$82,0),MATCH(I$70,'W23. TPES'!$F$12:$R$12,0))</f>
        <v>66863.195895720157</v>
      </c>
      <c r="J85" s="34">
        <f t="array" ref="J85">INDEX('W23. TPES'!$F$13:$R$82,MATCH($A85&amp;$B85,'W23. TPES'!$A$13:$A$82&amp;'W23. TPES'!$C$13:$C$82,0),MATCH(J$70,'W23. TPES'!$F$12:$R$12,0))</f>
        <v>40067.675937510452</v>
      </c>
    </row>
    <row r="86" spans="1:10" x14ac:dyDescent="0.3">
      <c r="A86" s="3" t="s">
        <v>372</v>
      </c>
      <c r="B86" s="3" t="s">
        <v>266</v>
      </c>
      <c r="C86" s="34" t="str">
        <f t="array" ref="C86">INDEX('W23. TPES'!$F$13:$R$82,MATCH($A86&amp;$B86,'W23. TPES'!$A$13:$A$82&amp;'W23. TPES'!$C$13:$C$82,0),MATCH(C$70,'W23. TPES'!$F$12:$R$12,0))</f>
        <v/>
      </c>
      <c r="D86" s="34" t="str">
        <f t="array" ref="D86">INDEX('W23. TPES'!$F$13:$R$82,MATCH($A86&amp;$B86,'W23. TPES'!$A$13:$A$82&amp;'W23. TPES'!$C$13:$C$82,0),MATCH(D$70,'W23. TPES'!$F$12:$R$12,0))</f>
        <v/>
      </c>
      <c r="E86" s="34">
        <f t="array" ref="E86">INDEX('W23. TPES'!$F$13:$R$82,MATCH($A86&amp;$B86,'W23. TPES'!$A$13:$A$82&amp;'W23. TPES'!$C$13:$C$82,0),MATCH(E$70,'W23. TPES'!$F$12:$R$12,0))</f>
        <v>182711.95171504244</v>
      </c>
      <c r="F86" s="34">
        <f t="array" ref="F86">INDEX('W23. TPES'!$F$13:$R$82,MATCH($A86&amp;$B86,'W23. TPES'!$A$13:$A$82&amp;'W23. TPES'!$C$13:$C$82,0),MATCH(F$70,'W23. TPES'!$F$12:$R$12,0))</f>
        <v>185684.57971040634</v>
      </c>
      <c r="G86" s="34">
        <f t="array" ref="G86">INDEX('W23. TPES'!$F$13:$R$82,MATCH($A86&amp;$B86,'W23. TPES'!$A$13:$A$82&amp;'W23. TPES'!$C$13:$C$82,0),MATCH(G$70,'W23. TPES'!$F$12:$R$12,0))</f>
        <v>184098.82921287947</v>
      </c>
      <c r="H86" s="34">
        <f t="array" ref="H86">INDEX('W23. TPES'!$F$13:$R$82,MATCH($A86&amp;$B86,'W23. TPES'!$A$13:$A$82&amp;'W23. TPES'!$C$13:$C$82,0),MATCH(H$70,'W23. TPES'!$F$12:$R$12,0))</f>
        <v>166843.97973979011</v>
      </c>
      <c r="I86" s="34">
        <f t="array" ref="I86">INDEX('W23. TPES'!$F$13:$R$82,MATCH($A86&amp;$B86,'W23. TPES'!$A$13:$A$82&amp;'W23. TPES'!$C$13:$C$82,0),MATCH(I$70,'W23. TPES'!$F$12:$R$12,0))</f>
        <v>132135.40779392162</v>
      </c>
      <c r="J86" s="34">
        <f t="array" ref="J86">INDEX('W23. TPES'!$F$13:$R$82,MATCH($A86&amp;$B86,'W23. TPES'!$A$13:$A$82&amp;'W23. TPES'!$C$13:$C$82,0),MATCH(J$70,'W23. TPES'!$F$12:$R$12,0))</f>
        <v>102074.1838408051</v>
      </c>
    </row>
    <row r="87" spans="1:10" x14ac:dyDescent="0.3">
      <c r="A87" s="3" t="s">
        <v>372</v>
      </c>
      <c r="B87" s="3" t="s">
        <v>255</v>
      </c>
      <c r="C87" s="34" t="str">
        <f t="array" ref="C87">INDEX('W23. TPES'!$F$13:$R$82,MATCH($A87&amp;$B87,'W23. TPES'!$A$13:$A$82&amp;'W23. TPES'!$C$13:$C$82,0),MATCH(C$70,'W23. TPES'!$F$12:$R$12,0))</f>
        <v/>
      </c>
      <c r="D87" s="34" t="str">
        <f t="array" ref="D87">INDEX('W23. TPES'!$F$13:$R$82,MATCH($A87&amp;$B87,'W23. TPES'!$A$13:$A$82&amp;'W23. TPES'!$C$13:$C$82,0),MATCH(D$70,'W23. TPES'!$F$12:$R$12,0))</f>
        <v/>
      </c>
      <c r="E87" s="34">
        <f t="array" ref="E87">INDEX('W23. TPES'!$F$13:$R$82,MATCH($A87&amp;$B87,'W23. TPES'!$A$13:$A$82&amp;'W23. TPES'!$C$13:$C$82,0),MATCH(E$70,'W23. TPES'!$F$12:$R$12,0))</f>
        <v>126525.09580267147</v>
      </c>
      <c r="F87" s="34">
        <f t="array" ref="F87">INDEX('W23. TPES'!$F$13:$R$82,MATCH($A87&amp;$B87,'W23. TPES'!$A$13:$A$82&amp;'W23. TPES'!$C$13:$C$82,0),MATCH(F$70,'W23. TPES'!$F$12:$R$12,0))</f>
        <v>130083.87579712119</v>
      </c>
      <c r="G87" s="34">
        <f t="array" ref="G87">INDEX('W23. TPES'!$F$13:$R$82,MATCH($A87&amp;$B87,'W23. TPES'!$A$13:$A$82&amp;'W23. TPES'!$C$13:$C$82,0),MATCH(G$70,'W23. TPES'!$F$12:$R$12,0))</f>
        <v>135531.94928862437</v>
      </c>
      <c r="H87" s="34">
        <f t="array" ref="H87">INDEX('W23. TPES'!$F$13:$R$82,MATCH($A87&amp;$B87,'W23. TPES'!$A$13:$A$82&amp;'W23. TPES'!$C$13:$C$82,0),MATCH(H$70,'W23. TPES'!$F$12:$R$12,0))</f>
        <v>148798.87176793328</v>
      </c>
      <c r="I87" s="34">
        <f t="array" ref="I87">INDEX('W23. TPES'!$F$13:$R$82,MATCH($A87&amp;$B87,'W23. TPES'!$A$13:$A$82&amp;'W23. TPES'!$C$13:$C$82,0),MATCH(I$70,'W23. TPES'!$F$12:$R$12,0))</f>
        <v>143732.84377583425</v>
      </c>
      <c r="J87" s="34">
        <f t="array" ref="J87">INDEX('W23. TPES'!$F$13:$R$82,MATCH($A87&amp;$B87,'W23. TPES'!$A$13:$A$82&amp;'W23. TPES'!$C$13:$C$82,0),MATCH(J$70,'W23. TPES'!$F$12:$R$12,0))</f>
        <v>135442.97978876313</v>
      </c>
    </row>
    <row r="88" spans="1:10" x14ac:dyDescent="0.3">
      <c r="A88" s="3" t="s">
        <v>372</v>
      </c>
      <c r="B88" s="3" t="s">
        <v>257</v>
      </c>
      <c r="C88" s="34" t="str">
        <f t="array" ref="C88">INDEX('W23. TPES'!$F$13:$R$82,MATCH($A88&amp;$B88,'W23. TPES'!$A$13:$A$82&amp;'W23. TPES'!$C$13:$C$82,0),MATCH(C$70,'W23. TPES'!$F$12:$R$12,0))</f>
        <v/>
      </c>
      <c r="D88" s="34" t="str">
        <f t="array" ref="D88">INDEX('W23. TPES'!$F$13:$R$82,MATCH($A88&amp;$B88,'W23. TPES'!$A$13:$A$82&amp;'W23. TPES'!$C$13:$C$82,0),MATCH(D$70,'W23. TPES'!$F$12:$R$12,0))</f>
        <v/>
      </c>
      <c r="E88" s="34">
        <f t="array" ref="E88">INDEX('W23. TPES'!$F$13:$R$82,MATCH($A88&amp;$B88,'W23. TPES'!$A$13:$A$82&amp;'W23. TPES'!$C$13:$C$82,0),MATCH(E$70,'W23. TPES'!$F$12:$R$12,0))</f>
        <v>28428.371955663111</v>
      </c>
      <c r="F88" s="34">
        <f t="array" ref="F88">INDEX('W23. TPES'!$F$13:$R$82,MATCH($A88&amp;$B88,'W23. TPES'!$A$13:$A$82&amp;'W23. TPES'!$C$13:$C$82,0),MATCH(F$70,'W23. TPES'!$F$12:$R$12,0))</f>
        <v>28805.183955075434</v>
      </c>
      <c r="G88" s="34">
        <f t="array" ref="G88">INDEX('W23. TPES'!$F$13:$R$82,MATCH($A88&amp;$B88,'W23. TPES'!$A$13:$A$82&amp;'W23. TPES'!$C$13:$C$82,0),MATCH(G$70,'W23. TPES'!$F$12:$R$12,0))</f>
        <v>31521.370450839269</v>
      </c>
      <c r="H88" s="34">
        <f t="array" ref="H88">INDEX('W23. TPES'!$F$13:$R$82,MATCH($A88&amp;$B88,'W23. TPES'!$A$13:$A$82&amp;'W23. TPES'!$C$13:$C$82,0),MATCH(H$70,'W23. TPES'!$F$12:$R$12,0))</f>
        <v>42412.283933853803</v>
      </c>
      <c r="I88" s="34">
        <f t="array" ref="I88">INDEX('W23. TPES'!$F$13:$R$82,MATCH($A88&amp;$B88,'W23. TPES'!$A$13:$A$82&amp;'W23. TPES'!$C$13:$C$82,0),MATCH(I$70,'W23. TPES'!$F$12:$R$12,0))</f>
        <v>54135.323915570545</v>
      </c>
      <c r="J88" s="34">
        <f t="array" ref="J88">INDEX('W23. TPES'!$F$13:$R$82,MATCH($A88&amp;$B88,'W23. TPES'!$A$13:$A$82&amp;'W23. TPES'!$C$13:$C$82,0),MATCH(J$70,'W23. TPES'!$F$12:$R$12,0))</f>
        <v>63430.019901074542</v>
      </c>
    </row>
    <row r="89" spans="1:10" x14ac:dyDescent="0.3">
      <c r="A89" s="3" t="s">
        <v>372</v>
      </c>
      <c r="B89" s="3" t="s">
        <v>256</v>
      </c>
      <c r="C89" s="34" t="str">
        <f t="array" ref="C89">INDEX('W23. TPES'!$F$13:$R$82,MATCH($A89&amp;$B89,'W23. TPES'!$A$13:$A$82&amp;'W23. TPES'!$C$13:$C$82,0),MATCH(C$70,'W23. TPES'!$F$12:$R$12,0))</f>
        <v/>
      </c>
      <c r="D89" s="34" t="str">
        <f t="array" ref="D89">INDEX('W23. TPES'!$F$13:$R$82,MATCH($A89&amp;$B89,'W23. TPES'!$A$13:$A$82&amp;'W23. TPES'!$C$13:$C$82,0),MATCH(D$70,'W23. TPES'!$F$12:$R$12,0))</f>
        <v/>
      </c>
      <c r="E89" s="34">
        <f t="array" ref="E89">INDEX('W23. TPES'!$F$13:$R$82,MATCH($A89&amp;$B89,'W23. TPES'!$A$13:$A$82&amp;'W23. TPES'!$C$13:$C$82,0),MATCH(E$70,'W23. TPES'!$F$12:$R$12,0))</f>
        <v>14570.063977276528</v>
      </c>
      <c r="F89" s="34">
        <f t="array" ref="F89">INDEX('W23. TPES'!$F$13:$R$82,MATCH($A89&amp;$B89,'W23. TPES'!$A$13:$A$82&amp;'W23. TPES'!$C$13:$C$82,0),MATCH(F$70,'W23. TPES'!$F$12:$R$12,0))</f>
        <v>14779.403976950041</v>
      </c>
      <c r="G89" s="34">
        <f t="array" ref="G89">INDEX('W23. TPES'!$F$13:$R$82,MATCH($A89&amp;$B89,'W23. TPES'!$A$13:$A$82&amp;'W23. TPES'!$C$13:$C$82,0),MATCH(G$70,'W23. TPES'!$F$12:$R$12,0))</f>
        <v>16004.042975040094</v>
      </c>
      <c r="H89" s="34">
        <f t="array" ref="H89">INDEX('W23. TPES'!$F$13:$R$82,MATCH($A89&amp;$B89,'W23. TPES'!$A$13:$A$82&amp;'W23. TPES'!$C$13:$C$82,0),MATCH(H$70,'W23. TPES'!$F$12:$R$12,0))</f>
        <v>20599.055967873712</v>
      </c>
      <c r="I89" s="34">
        <f t="array" ref="I89">INDEX('W23. TPES'!$F$13:$R$82,MATCH($A89&amp;$B89,'W23. TPES'!$A$13:$A$82&amp;'W23. TPES'!$C$13:$C$82,0),MATCH(I$70,'W23. TPES'!$F$12:$R$12,0))</f>
        <v>25162.667960756302</v>
      </c>
      <c r="J89" s="34">
        <f t="array" ref="J89">INDEX('W23. TPES'!$F$13:$R$82,MATCH($A89&amp;$B89,'W23. TPES'!$A$13:$A$82&amp;'W23. TPES'!$C$13:$C$82,0),MATCH(J$70,'W23. TPES'!$F$12:$R$12,0))</f>
        <v>29600.675953834787</v>
      </c>
    </row>
    <row r="90" spans="1:10" x14ac:dyDescent="0.3">
      <c r="A90" s="3" t="s">
        <v>372</v>
      </c>
      <c r="B90" s="3" t="s">
        <v>253</v>
      </c>
      <c r="C90" s="34" t="str">
        <f t="array" ref="C90">INDEX('W23. TPES'!$F$13:$R$82,MATCH($A90&amp;$B90,'W23. TPES'!$A$13:$A$82&amp;'W23. TPES'!$C$13:$C$82,0),MATCH(C$70,'W23. TPES'!$F$12:$R$12,0))</f>
        <v/>
      </c>
      <c r="D90" s="34" t="str">
        <f t="array" ref="D90">INDEX('W23. TPES'!$F$13:$R$82,MATCH($A90&amp;$B90,'W23. TPES'!$A$13:$A$82&amp;'W23. TPES'!$C$13:$C$82,0),MATCH(D$70,'W23. TPES'!$F$12:$R$12,0))</f>
        <v/>
      </c>
      <c r="E90" s="34">
        <f t="array" ref="E90">INDEX('W23. TPES'!$F$13:$R$82,MATCH($A90&amp;$B90,'W23. TPES'!$A$13:$A$82&amp;'W23. TPES'!$C$13:$C$82,0),MATCH(E$70,'W23. TPES'!$F$12:$R$12,0))</f>
        <v>56521.799911848597</v>
      </c>
      <c r="F90" s="34">
        <f t="array" ref="F90">INDEX('W23. TPES'!$F$13:$R$82,MATCH($A90&amp;$B90,'W23. TPES'!$A$13:$A$82&amp;'W23. TPES'!$C$13:$C$82,0),MATCH(F$70,'W23. TPES'!$F$12:$R$12,0))</f>
        <v>57945.311909628494</v>
      </c>
      <c r="G90" s="34">
        <f t="array" ref="G90">INDEX('W23. TPES'!$F$13:$R$82,MATCH($A90&amp;$B90,'W23. TPES'!$A$13:$A$82&amp;'W23. TPES'!$C$13:$C$82,0),MATCH(G$70,'W23. TPES'!$F$12:$R$12,0))</f>
        <v>57772.606409897839</v>
      </c>
      <c r="H90" s="34">
        <f t="array" ref="H90">INDEX('W23. TPES'!$F$13:$R$82,MATCH($A90&amp;$B90,'W23. TPES'!$A$13:$A$82&amp;'W23. TPES'!$C$13:$C$82,0),MATCH(H$70,'W23. TPES'!$F$12:$R$12,0))</f>
        <v>53465.435916615308</v>
      </c>
      <c r="I90" s="34">
        <f t="array" ref="I90">INDEX('W23. TPES'!$F$13:$R$82,MATCH($A90&amp;$B90,'W23. TPES'!$A$13:$A$82&amp;'W23. TPES'!$C$13:$C$82,0),MATCH(I$70,'W23. TPES'!$F$12:$R$12,0))</f>
        <v>62969.471901792807</v>
      </c>
      <c r="J90" s="34">
        <f t="array" ref="J90">INDEX('W23. TPES'!$F$13:$R$82,MATCH($A90&amp;$B90,'W23. TPES'!$A$13:$A$82&amp;'W23. TPES'!$C$13:$C$82,0),MATCH(J$70,'W23. TPES'!$F$12:$R$12,0))</f>
        <v>72012.959887688587</v>
      </c>
    </row>
    <row r="91" spans="1:10" x14ac:dyDescent="0.3">
      <c r="A91" s="3" t="s">
        <v>372</v>
      </c>
      <c r="B91" s="3" t="s">
        <v>461</v>
      </c>
      <c r="C91" s="34" t="str">
        <f t="array" ref="C91">INDEX('W23. TPES'!$F$13:$R$82,MATCH($A91&amp;$B91,'W23. TPES'!$A$13:$A$82&amp;'W23. TPES'!$C$13:$C$82,0),MATCH(C$70,'W23. TPES'!$F$12:$R$12,0))</f>
        <v/>
      </c>
      <c r="D91" s="34" t="str">
        <f t="array" ref="D91">INDEX('W23. TPES'!$F$13:$R$82,MATCH($A91&amp;$B91,'W23. TPES'!$A$13:$A$82&amp;'W23. TPES'!$C$13:$C$82,0),MATCH(D$70,'W23. TPES'!$F$12:$R$12,0))</f>
        <v/>
      </c>
      <c r="E91" s="34">
        <f t="array" ref="E91">INDEX('W23. TPES'!$F$13:$R$82,MATCH($A91&amp;$B91,'W23. TPES'!$A$13:$A$82&amp;'W23. TPES'!$C$13:$C$82,0),MATCH(E$70,'W23. TPES'!$F$12:$R$12,0))</f>
        <v>9378.4319853733978</v>
      </c>
      <c r="F91" s="34">
        <f t="array" ref="F91">INDEX('W23. TPES'!$F$13:$R$82,MATCH($A91&amp;$B91,'W23. TPES'!$A$13:$A$82&amp;'W23. TPES'!$C$13:$C$82,0),MATCH(F$70,'W23. TPES'!$F$12:$R$12,0))</f>
        <v>10634.471983414478</v>
      </c>
      <c r="G91" s="34">
        <f t="array" ref="G91">INDEX('W23. TPES'!$F$13:$R$82,MATCH($A91&amp;$B91,'W23. TPES'!$A$13:$A$82&amp;'W23. TPES'!$C$13:$C$82,0),MATCH(G$70,'W23. TPES'!$F$12:$R$12,0))</f>
        <v>16820.468973766798</v>
      </c>
      <c r="H91" s="34">
        <f t="array" ref="H91">INDEX('W23. TPES'!$F$13:$R$82,MATCH($A91&amp;$B91,'W23. TPES'!$A$13:$A$82&amp;'W23. TPES'!$C$13:$C$82,0),MATCH(H$70,'W23. TPES'!$F$12:$R$12,0))</f>
        <v>45343.043929282991</v>
      </c>
      <c r="I91" s="34">
        <f t="array" ref="I91">INDEX('W23. TPES'!$F$13:$R$82,MATCH($A91&amp;$B91,'W23. TPES'!$A$13:$A$82&amp;'W23. TPES'!$C$13:$C$82,0),MATCH(I$70,'W23. TPES'!$F$12:$R$12,0))</f>
        <v>89262.575860786092</v>
      </c>
      <c r="J91" s="34">
        <f t="array" ref="J91">INDEX('W23. TPES'!$F$13:$R$82,MATCH($A91&amp;$B91,'W23. TPES'!$A$13:$A$82&amp;'W23. TPES'!$C$13:$C$82,0),MATCH(J$70,'W23. TPES'!$F$12:$R$12,0))</f>
        <v>133977.59979104853</v>
      </c>
    </row>
    <row r="92" spans="1:10" x14ac:dyDescent="0.3">
      <c r="A92" s="3" t="s">
        <v>378</v>
      </c>
      <c r="B92" s="3" t="s">
        <v>254</v>
      </c>
      <c r="C92" s="34">
        <f t="array" ref="C92">INDEX('W23. TPES'!$F$13:$R$82,MATCH($A92&amp;$B92,'W23. TPES'!$A$13:$A$82&amp;'W23. TPES'!$C$13:$C$82,0),MATCH(C$70,'W23. TPES'!$F$12:$R$12,0))</f>
        <v>164381.98643202987</v>
      </c>
      <c r="D92" s="34" t="str">
        <f t="array" ref="D92">INDEX('W23. TPES'!$F$13:$R$82,MATCH($A92&amp;$B92,'W23. TPES'!$A$13:$A$82&amp;'W23. TPES'!$C$13:$C$82,0),MATCH(D$70,'W23. TPES'!$F$12:$R$12,0))</f>
        <v/>
      </c>
      <c r="E92" s="34" t="str">
        <f t="array" ref="E92">INDEX('W23. TPES'!$F$13:$R$82,MATCH($A92&amp;$B92,'W23. TPES'!$A$13:$A$82&amp;'W23. TPES'!$C$13:$C$82,0),MATCH(E$70,'W23. TPES'!$F$12:$R$12,0))</f>
        <v/>
      </c>
      <c r="F92" s="34" t="str">
        <f t="array" ref="F92">INDEX('W23. TPES'!$F$13:$R$82,MATCH($A92&amp;$B92,'W23. TPES'!$A$13:$A$82&amp;'W23. TPES'!$C$13:$C$82,0),MATCH(F$70,'W23. TPES'!$F$12:$R$12,0))</f>
        <v/>
      </c>
      <c r="G92" s="34">
        <f t="array" ref="G92">INDEX('W23. TPES'!$F$13:$R$82,MATCH($A92&amp;$B92,'W23. TPES'!$A$13:$A$82&amp;'W23. TPES'!$C$13:$C$82,0),MATCH(G$70,'W23. TPES'!$F$12:$R$12,0))</f>
        <v>169624.6429554534</v>
      </c>
      <c r="H92" s="34">
        <f t="array" ref="H92">INDEX('W23. TPES'!$F$13:$R$82,MATCH($A92&amp;$B92,'W23. TPES'!$A$13:$A$82&amp;'W23. TPES'!$C$13:$C$82,0),MATCH(H$70,'W23. TPES'!$F$12:$R$12,0))</f>
        <v>197197.31672845106</v>
      </c>
      <c r="I92" s="34">
        <f t="array" ref="I92">INDEX('W23. TPES'!$F$13:$R$82,MATCH($A92&amp;$B92,'W23. TPES'!$A$13:$A$82&amp;'W23. TPES'!$C$13:$C$82,0),MATCH(I$70,'W23. TPES'!$F$12:$R$12,0))</f>
        <v>223025.72356936909</v>
      </c>
      <c r="J92" s="34">
        <f t="array" ref="J92">INDEX('W23. TPES'!$F$13:$R$82,MATCH($A92&amp;$B92,'W23. TPES'!$A$13:$A$82&amp;'W23. TPES'!$C$13:$C$82,0),MATCH(J$70,'W23. TPES'!$F$12:$R$12,0))</f>
        <v>248854.13041028712</v>
      </c>
    </row>
    <row r="93" spans="1:10" x14ac:dyDescent="0.3">
      <c r="A93" s="3" t="s">
        <v>378</v>
      </c>
      <c r="B93" s="3" t="s">
        <v>266</v>
      </c>
      <c r="C93" s="34">
        <f t="array" ref="C93">INDEX('W23. TPES'!$F$13:$R$82,MATCH($A93&amp;$B93,'W23. TPES'!$A$13:$A$82&amp;'W23. TPES'!$C$13:$C$82,0),MATCH(C$70,'W23. TPES'!$F$12:$R$12,0))</f>
        <v>178601.82877665258</v>
      </c>
      <c r="D93" s="34" t="str">
        <f t="array" ref="D93">INDEX('W23. TPES'!$F$13:$R$82,MATCH($A93&amp;$B93,'W23. TPES'!$A$13:$A$82&amp;'W23. TPES'!$C$13:$C$82,0),MATCH(D$70,'W23. TPES'!$F$12:$R$12,0))</f>
        <v/>
      </c>
      <c r="E93" s="34" t="str">
        <f t="array" ref="E93">INDEX('W23. TPES'!$F$13:$R$82,MATCH($A93&amp;$B93,'W23. TPES'!$A$13:$A$82&amp;'W23. TPES'!$C$13:$C$82,0),MATCH(E$70,'W23. TPES'!$F$12:$R$12,0))</f>
        <v/>
      </c>
      <c r="F93" s="34" t="str">
        <f t="array" ref="F93">INDEX('W23. TPES'!$F$13:$R$82,MATCH($A93&amp;$B93,'W23. TPES'!$A$13:$A$82&amp;'W23. TPES'!$C$13:$C$82,0),MATCH(F$70,'W23. TPES'!$F$12:$R$12,0))</f>
        <v/>
      </c>
      <c r="G93" s="34">
        <f t="array" ref="G93">INDEX('W23. TPES'!$F$13:$R$82,MATCH($A93&amp;$B93,'W23. TPES'!$A$13:$A$82&amp;'W23. TPES'!$C$13:$C$82,0),MATCH(G$70,'W23. TPES'!$F$12:$R$12,0))</f>
        <v>190406.41506184216</v>
      </c>
      <c r="H93" s="34">
        <f t="array" ref="H93">INDEX('W23. TPES'!$F$13:$R$82,MATCH($A93&amp;$B93,'W23. TPES'!$A$13:$A$82&amp;'W23. TPES'!$C$13:$C$82,0),MATCH(H$70,'W23. TPES'!$F$12:$R$12,0))</f>
        <v>207657.84810613684</v>
      </c>
      <c r="I93" s="34">
        <f t="array" ref="I93">INDEX('W23. TPES'!$F$13:$R$82,MATCH($A93&amp;$B93,'W23. TPES'!$A$13:$A$82&amp;'W23. TPES'!$C$13:$C$82,0),MATCH(I$70,'W23. TPES'!$F$12:$R$12,0))</f>
        <v>226173.5691444597</v>
      </c>
      <c r="J93" s="34">
        <f t="array" ref="J93">INDEX('W23. TPES'!$F$13:$R$82,MATCH($A93&amp;$B93,'W23. TPES'!$A$13:$A$82&amp;'W23. TPES'!$C$13:$C$82,0),MATCH(J$70,'W23. TPES'!$F$12:$R$12,0))</f>
        <v>244689.29018278257</v>
      </c>
    </row>
    <row r="94" spans="1:10" x14ac:dyDescent="0.3">
      <c r="A94" s="3" t="s">
        <v>378</v>
      </c>
      <c r="B94" s="3" t="s">
        <v>255</v>
      </c>
      <c r="C94" s="34">
        <f t="array" ref="C94">INDEX('W23. TPES'!$F$13:$R$82,MATCH($A94&amp;$B94,'W23. TPES'!$A$13:$A$82&amp;'W23. TPES'!$C$13:$C$82,0),MATCH(C$70,'W23. TPES'!$F$12:$R$12,0))</f>
        <v>121123.52928549574</v>
      </c>
      <c r="D94" s="34" t="str">
        <f t="array" ref="D94">INDEX('W23. TPES'!$F$13:$R$82,MATCH($A94&amp;$B94,'W23. TPES'!$A$13:$A$82&amp;'W23. TPES'!$C$13:$C$82,0),MATCH(D$70,'W23. TPES'!$F$12:$R$12,0))</f>
        <v/>
      </c>
      <c r="E94" s="34" t="str">
        <f t="array" ref="E94">INDEX('W23. TPES'!$F$13:$R$82,MATCH($A94&amp;$B94,'W23. TPES'!$A$13:$A$82&amp;'W23. TPES'!$C$13:$C$82,0),MATCH(E$70,'W23. TPES'!$F$12:$R$12,0))</f>
        <v/>
      </c>
      <c r="F94" s="34" t="str">
        <f t="array" ref="F94">INDEX('W23. TPES'!$F$13:$R$82,MATCH($A94&amp;$B94,'W23. TPES'!$A$13:$A$82&amp;'W23. TPES'!$C$13:$C$82,0),MATCH(F$70,'W23. TPES'!$F$12:$R$12,0))</f>
        <v/>
      </c>
      <c r="G94" s="34">
        <f t="array" ref="G94">INDEX('W23. TPES'!$F$13:$R$82,MATCH($A94&amp;$B94,'W23. TPES'!$A$13:$A$82&amp;'W23. TPES'!$C$13:$C$82,0),MATCH(G$70,'W23. TPES'!$F$12:$R$12,0))</f>
        <v>133710.02559026584</v>
      </c>
      <c r="H94" s="34">
        <f t="array" ref="H94">INDEX('W23. TPES'!$F$13:$R$82,MATCH($A94&amp;$B94,'W23. TPES'!$A$13:$A$82&amp;'W23. TPES'!$C$13:$C$82,0),MATCH(H$70,'W23. TPES'!$F$12:$R$12,0))</f>
        <v>163192.84312428444</v>
      </c>
      <c r="I94" s="34">
        <f t="array" ref="I94">INDEX('W23. TPES'!$F$13:$R$82,MATCH($A94&amp;$B94,'W23. TPES'!$A$13:$A$82&amp;'W23. TPES'!$C$13:$C$82,0),MATCH(I$70,'W23. TPES'!$F$12:$R$12,0))</f>
        <v>197527.46265513616</v>
      </c>
      <c r="J94" s="34">
        <f t="array" ref="J94">INDEX('W23. TPES'!$F$13:$R$82,MATCH($A94&amp;$B94,'W23. TPES'!$A$13:$A$82&amp;'W23. TPES'!$C$13:$C$82,0),MATCH(J$70,'W23. TPES'!$F$12:$R$12,0))</f>
        <v>231862.08218598788</v>
      </c>
    </row>
    <row r="95" spans="1:10" x14ac:dyDescent="0.3">
      <c r="A95" s="3" t="s">
        <v>378</v>
      </c>
      <c r="B95" s="3" t="s">
        <v>257</v>
      </c>
      <c r="C95" s="34">
        <f t="array" ref="C95">INDEX('W23. TPES'!$F$13:$R$82,MATCH($A95&amp;$B95,'W23. TPES'!$A$13:$A$82&amp;'W23. TPES'!$C$13:$C$82,0),MATCH(C$70,'W23. TPES'!$F$12:$R$12,0))</f>
        <v>27731.382800350137</v>
      </c>
      <c r="D95" s="34" t="str">
        <f t="array" ref="D95">INDEX('W23. TPES'!$F$13:$R$82,MATCH($A95&amp;$B95,'W23. TPES'!$A$13:$A$82&amp;'W23. TPES'!$C$13:$C$82,0),MATCH(D$70,'W23. TPES'!$F$12:$R$12,0))</f>
        <v/>
      </c>
      <c r="E95" s="34" t="str">
        <f t="array" ref="E95">INDEX('W23. TPES'!$F$13:$R$82,MATCH($A95&amp;$B95,'W23. TPES'!$A$13:$A$82&amp;'W23. TPES'!$C$13:$C$82,0),MATCH(E$70,'W23. TPES'!$F$12:$R$12,0))</f>
        <v/>
      </c>
      <c r="F95" s="34" t="str">
        <f t="array" ref="F95">INDEX('W23. TPES'!$F$13:$R$82,MATCH($A95&amp;$B95,'W23. TPES'!$A$13:$A$82&amp;'W23. TPES'!$C$13:$C$82,0),MATCH(F$70,'W23. TPES'!$F$12:$R$12,0))</f>
        <v/>
      </c>
      <c r="G95" s="34">
        <f t="array" ref="G95">INDEX('W23. TPES'!$F$13:$R$82,MATCH($A95&amp;$B95,'W23. TPES'!$A$13:$A$82&amp;'W23. TPES'!$C$13:$C$82,0),MATCH(G$70,'W23. TPES'!$F$12:$R$12,0))</f>
        <v>33190.51781743607</v>
      </c>
      <c r="H95" s="34">
        <f t="array" ref="H95">INDEX('W23. TPES'!$F$13:$R$82,MATCH($A95&amp;$B95,'W23. TPES'!$A$13:$A$82&amp;'W23. TPES'!$C$13:$C$82,0),MATCH(H$70,'W23. TPES'!$F$12:$R$12,0))</f>
        <v>39184.282072888192</v>
      </c>
      <c r="I95" s="34">
        <f t="array" ref="I95">INDEX('W23. TPES'!$F$13:$R$82,MATCH($A95&amp;$B95,'W23. TPES'!$A$13:$A$82&amp;'W23. TPES'!$C$13:$C$82,0),MATCH(I$70,'W23. TPES'!$F$12:$R$12,0))</f>
        <v>43219.088666195508</v>
      </c>
      <c r="J95" s="34">
        <f t="array" ref="J95">INDEX('W23. TPES'!$F$13:$R$82,MATCH($A95&amp;$B95,'W23. TPES'!$A$13:$A$82&amp;'W23. TPES'!$C$13:$C$82,0),MATCH(J$70,'W23. TPES'!$F$12:$R$12,0))</f>
        <v>47253.895259502817</v>
      </c>
    </row>
    <row r="96" spans="1:10" x14ac:dyDescent="0.3">
      <c r="A96" s="3" t="s">
        <v>378</v>
      </c>
      <c r="B96" s="3" t="s">
        <v>256</v>
      </c>
      <c r="C96" s="34">
        <f t="array" ref="C96">INDEX('W23. TPES'!$F$13:$R$82,MATCH($A96&amp;$B96,'W23. TPES'!$A$13:$A$82&amp;'W23. TPES'!$C$13:$C$82,0),MATCH(C$70,'W23. TPES'!$F$12:$R$12,0))</f>
        <v>14019.60026133503</v>
      </c>
      <c r="D96" s="34" t="str">
        <f t="array" ref="D96">INDEX('W23. TPES'!$F$13:$R$82,MATCH($A96&amp;$B96,'W23. TPES'!$A$13:$A$82&amp;'W23. TPES'!$C$13:$C$82,0),MATCH(D$70,'W23. TPES'!$F$12:$R$12,0))</f>
        <v/>
      </c>
      <c r="E96" s="34" t="str">
        <f t="array" ref="E96">INDEX('W23. TPES'!$F$13:$R$82,MATCH($A96&amp;$B96,'W23. TPES'!$A$13:$A$82&amp;'W23. TPES'!$C$13:$C$82,0),MATCH(E$70,'W23. TPES'!$F$12:$R$12,0))</f>
        <v/>
      </c>
      <c r="F96" s="34" t="str">
        <f t="array" ref="F96">INDEX('W23. TPES'!$F$13:$R$82,MATCH($A96&amp;$B96,'W23. TPES'!$A$13:$A$82&amp;'W23. TPES'!$C$13:$C$82,0),MATCH(F$70,'W23. TPES'!$F$12:$R$12,0))</f>
        <v/>
      </c>
      <c r="G96" s="34">
        <f t="array" ref="G96">INDEX('W23. TPES'!$F$13:$R$82,MATCH($A96&amp;$B96,'W23. TPES'!$A$13:$A$82&amp;'W23. TPES'!$C$13:$C$82,0),MATCH(G$70,'W23. TPES'!$F$12:$R$12,0))</f>
        <v>15709.053607900159</v>
      </c>
      <c r="H96" s="34">
        <f t="array" ref="H96">INDEX('W23. TPES'!$F$13:$R$82,MATCH($A96&amp;$B96,'W23. TPES'!$A$13:$A$82&amp;'W23. TPES'!$C$13:$C$82,0),MATCH(H$70,'W23. TPES'!$F$12:$R$12,0))</f>
        <v>18836.639257822375</v>
      </c>
      <c r="I96" s="34">
        <f t="array" ref="I96">INDEX('W23. TPES'!$F$13:$R$82,MATCH($A96&amp;$B96,'W23. TPES'!$A$13:$A$82&amp;'W23. TPES'!$C$13:$C$82,0),MATCH(I$70,'W23. TPES'!$F$12:$R$12,0))</f>
        <v>21545.879852397047</v>
      </c>
      <c r="J96" s="34">
        <f t="array" ref="J96">INDEX('W23. TPES'!$F$13:$R$82,MATCH($A96&amp;$B96,'W23. TPES'!$A$13:$A$82&amp;'W23. TPES'!$C$13:$C$82,0),MATCH(J$70,'W23. TPES'!$F$12:$R$12,0))</f>
        <v>24255.120446971716</v>
      </c>
    </row>
    <row r="97" spans="1:10" x14ac:dyDescent="0.3">
      <c r="A97" s="3" t="s">
        <v>378</v>
      </c>
      <c r="B97" s="3" t="s">
        <v>253</v>
      </c>
      <c r="C97" s="34">
        <f t="array" ref="C97">INDEX('W23. TPES'!$F$13:$R$82,MATCH($A97&amp;$B97,'W23. TPES'!$A$13:$A$82&amp;'W23. TPES'!$C$13:$C$82,0),MATCH(C$70,'W23. TPES'!$F$12:$R$12,0))</f>
        <v>59494.884268411777</v>
      </c>
      <c r="D97" s="34" t="str">
        <f t="array" ref="D97">INDEX('W23. TPES'!$F$13:$R$82,MATCH($A97&amp;$B97,'W23. TPES'!$A$13:$A$82&amp;'W23. TPES'!$C$13:$C$82,0),MATCH(D$70,'W23. TPES'!$F$12:$R$12,0))</f>
        <v/>
      </c>
      <c r="E97" s="34" t="str">
        <f t="array" ref="E97">INDEX('W23. TPES'!$F$13:$R$82,MATCH($A97&amp;$B97,'W23. TPES'!$A$13:$A$82&amp;'W23. TPES'!$C$13:$C$82,0),MATCH(E$70,'W23. TPES'!$F$12:$R$12,0))</f>
        <v/>
      </c>
      <c r="F97" s="34" t="str">
        <f t="array" ref="F97">INDEX('W23. TPES'!$F$13:$R$82,MATCH($A97&amp;$B97,'W23. TPES'!$A$13:$A$82&amp;'W23. TPES'!$C$13:$C$82,0),MATCH(F$70,'W23. TPES'!$F$12:$R$12,0))</f>
        <v/>
      </c>
      <c r="G97" s="34">
        <f t="array" ref="G97">INDEX('W23. TPES'!$F$13:$R$82,MATCH($A97&amp;$B97,'W23. TPES'!$A$13:$A$82&amp;'W23. TPES'!$C$13:$C$82,0),MATCH(G$70,'W23. TPES'!$F$12:$R$12,0))</f>
        <v>64459.139526269522</v>
      </c>
      <c r="H97" s="34">
        <f t="array" ref="H97">INDEX('W23. TPES'!$F$13:$R$82,MATCH($A97&amp;$B97,'W23. TPES'!$A$13:$A$82&amp;'W23. TPES'!$C$13:$C$82,0),MATCH(H$70,'W23. TPES'!$F$12:$R$12,0))</f>
        <v>70969.969394115236</v>
      </c>
      <c r="I97" s="34">
        <f t="array" ref="I97">INDEX('W23. TPES'!$F$13:$R$82,MATCH($A97&amp;$B97,'W23. TPES'!$A$13:$A$82&amp;'W23. TPES'!$C$13:$C$82,0),MATCH(I$70,'W23. TPES'!$F$12:$R$12,0))</f>
        <v>76789.947955438387</v>
      </c>
      <c r="J97" s="34">
        <f t="array" ref="J97">INDEX('W23. TPES'!$F$13:$R$82,MATCH($A97&amp;$B97,'W23. TPES'!$A$13:$A$82&amp;'W23. TPES'!$C$13:$C$82,0),MATCH(J$70,'W23. TPES'!$F$12:$R$12,0))</f>
        <v>82609.926516761552</v>
      </c>
    </row>
    <row r="98" spans="1:10" x14ac:dyDescent="0.3">
      <c r="A98" s="3" t="s">
        <v>378</v>
      </c>
      <c r="B98" s="3" t="s">
        <v>461</v>
      </c>
      <c r="C98" s="34">
        <f t="array" ref="C98">INDEX('W23. TPES'!$F$13:$R$82,MATCH($A98&amp;$B98,'W23. TPES'!$A$13:$A$82&amp;'W23. TPES'!$C$13:$C$82,0),MATCH(C$70,'W23. TPES'!$F$12:$R$12,0))</f>
        <v>7571.9366449908075</v>
      </c>
      <c r="D98" s="34" t="str">
        <f t="array" ref="D98">INDEX('W23. TPES'!$F$13:$R$82,MATCH($A98&amp;$B98,'W23. TPES'!$A$13:$A$82&amp;'W23. TPES'!$C$13:$C$82,0),MATCH(D$70,'W23. TPES'!$F$12:$R$12,0))</f>
        <v/>
      </c>
      <c r="E98" s="34" t="str">
        <f t="array" ref="E98">INDEX('W23. TPES'!$F$13:$R$82,MATCH($A98&amp;$B98,'W23. TPES'!$A$13:$A$82&amp;'W23. TPES'!$C$13:$C$82,0),MATCH(E$70,'W23. TPES'!$F$12:$R$12,0))</f>
        <v/>
      </c>
      <c r="F98" s="34" t="str">
        <f t="array" ref="F98">INDEX('W23. TPES'!$F$13:$R$82,MATCH($A98&amp;$B98,'W23. TPES'!$A$13:$A$82&amp;'W23. TPES'!$C$13:$C$82,0),MATCH(F$70,'W23. TPES'!$F$12:$R$12,0))</f>
        <v/>
      </c>
      <c r="G98" s="34">
        <f t="array" ref="G98">INDEX('W23. TPES'!$F$13:$R$82,MATCH($A98&amp;$B98,'W23. TPES'!$A$13:$A$82&amp;'W23. TPES'!$C$13:$C$82,0),MATCH(G$70,'W23. TPES'!$F$12:$R$12,0))</f>
        <v>13336.620138800206</v>
      </c>
      <c r="H98" s="34">
        <f t="array" ref="H98">INDEX('W23. TPES'!$F$13:$R$82,MATCH($A98&amp;$B98,'W23. TPES'!$A$13:$A$82&amp;'W23. TPES'!$C$13:$C$82,0),MATCH(H$70,'W23. TPES'!$F$12:$R$12,0))</f>
        <v>22397.80154146839</v>
      </c>
      <c r="I98" s="34">
        <f t="array" ref="I98">INDEX('W23. TPES'!$F$13:$R$82,MATCH($A98&amp;$B98,'W23. TPES'!$A$13:$A$82&amp;'W23. TPES'!$C$13:$C$82,0),MATCH(I$70,'W23. TPES'!$F$12:$R$12,0))</f>
        <v>33857.462495995904</v>
      </c>
      <c r="J98" s="34">
        <f t="array" ref="J98">INDEX('W23. TPES'!$F$13:$R$82,MATCH($A98&amp;$B98,'W23. TPES'!$A$13:$A$82&amp;'W23. TPES'!$C$13:$C$82,0),MATCH(J$70,'W23. TPES'!$F$12:$R$12,0))</f>
        <v>45317.123450523417</v>
      </c>
    </row>
    <row r="99" spans="1:10" x14ac:dyDescent="0.3">
      <c r="A99" s="3" t="s">
        <v>379</v>
      </c>
      <c r="B99" s="3" t="s">
        <v>254</v>
      </c>
      <c r="C99" s="34">
        <f t="array" ref="C99">INDEX('W23. TPES'!$F$13:$R$82,MATCH($A99&amp;$B99,'W23. TPES'!$A$13:$A$82&amp;'W23. TPES'!$C$13:$C$82,0),MATCH(C$70,'W23. TPES'!$F$12:$R$12,0))</f>
        <v>164381.98643202987</v>
      </c>
      <c r="D99" s="34" t="str">
        <f t="array" ref="D99">INDEX('W23. TPES'!$F$13:$R$82,MATCH($A99&amp;$B99,'W23. TPES'!$A$13:$A$82&amp;'W23. TPES'!$C$13:$C$82,0),MATCH(D$70,'W23. TPES'!$F$12:$R$12,0))</f>
        <v/>
      </c>
      <c r="E99" s="34" t="str">
        <f t="array" ref="E99">INDEX('W23. TPES'!$F$13:$R$82,MATCH($A99&amp;$B99,'W23. TPES'!$A$13:$A$82&amp;'W23. TPES'!$C$13:$C$82,0),MATCH(E$70,'W23. TPES'!$F$12:$R$12,0))</f>
        <v/>
      </c>
      <c r="F99" s="34" t="str">
        <f t="array" ref="F99">INDEX('W23. TPES'!$F$13:$R$82,MATCH($A99&amp;$B99,'W23. TPES'!$A$13:$A$82&amp;'W23. TPES'!$C$13:$C$82,0),MATCH(F$70,'W23. TPES'!$F$12:$R$12,0))</f>
        <v/>
      </c>
      <c r="G99" s="34">
        <f t="array" ref="G99">INDEX('W23. TPES'!$F$13:$R$82,MATCH($A99&amp;$B99,'W23. TPES'!$A$13:$A$82&amp;'W23. TPES'!$C$13:$C$82,0),MATCH(G$70,'W23. TPES'!$F$12:$R$12,0))</f>
        <v>163523.1523361693</v>
      </c>
      <c r="H99" s="34">
        <f t="array" ref="H99">INDEX('W23. TPES'!$F$13:$R$82,MATCH($A99&amp;$B99,'W23. TPES'!$A$13:$A$82&amp;'W23. TPES'!$C$13:$C$82,0),MATCH(H$70,'W23. TPES'!$F$12:$R$12,0))</f>
        <v>169121.67848543782</v>
      </c>
      <c r="I99" s="34">
        <f t="array" ref="I99">INDEX('W23. TPES'!$F$13:$R$82,MATCH($A99&amp;$B99,'W23. TPES'!$A$13:$A$82&amp;'W23. TPES'!$C$13:$C$82,0),MATCH(I$70,'W23. TPES'!$F$12:$R$12,0))</f>
        <v>173342.00218645579</v>
      </c>
      <c r="J99" s="34">
        <f t="array" ref="J99">INDEX('W23. TPES'!$F$13:$R$82,MATCH($A99&amp;$B99,'W23. TPES'!$A$13:$A$82&amp;'W23. TPES'!$C$13:$C$82,0),MATCH(J$70,'W23. TPES'!$F$12:$R$12,0))</f>
        <v>176661.69915407844</v>
      </c>
    </row>
    <row r="100" spans="1:10" x14ac:dyDescent="0.3">
      <c r="A100" s="3" t="s">
        <v>379</v>
      </c>
      <c r="B100" s="3" t="s">
        <v>266</v>
      </c>
      <c r="C100" s="34">
        <f t="array" ref="C100">INDEX('W23. TPES'!$F$13:$R$82,MATCH($A100&amp;$B100,'W23. TPES'!$A$13:$A$82&amp;'W23. TPES'!$C$13:$C$82,0),MATCH(C$70,'W23. TPES'!$F$12:$R$12,0))</f>
        <v>178601.82877665258</v>
      </c>
      <c r="D100" s="34" t="str">
        <f t="array" ref="D100">INDEX('W23. TPES'!$F$13:$R$82,MATCH($A100&amp;$B100,'W23. TPES'!$A$13:$A$82&amp;'W23. TPES'!$C$13:$C$82,0),MATCH(D$70,'W23. TPES'!$F$12:$R$12,0))</f>
        <v/>
      </c>
      <c r="E100" s="34" t="str">
        <f t="array" ref="E100">INDEX('W23. TPES'!$F$13:$R$82,MATCH($A100&amp;$B100,'W23. TPES'!$A$13:$A$82&amp;'W23. TPES'!$C$13:$C$82,0),MATCH(E$70,'W23. TPES'!$F$12:$R$12,0))</f>
        <v/>
      </c>
      <c r="F100" s="34" t="str">
        <f t="array" ref="F100">INDEX('W23. TPES'!$F$13:$R$82,MATCH($A100&amp;$B100,'W23. TPES'!$A$13:$A$82&amp;'W23. TPES'!$C$13:$C$82,0),MATCH(F$70,'W23. TPES'!$F$12:$R$12,0))</f>
        <v/>
      </c>
      <c r="G100" s="34">
        <f t="array" ref="G100">INDEX('W23. TPES'!$F$13:$R$82,MATCH($A100&amp;$B100,'W23. TPES'!$A$13:$A$82&amp;'W23. TPES'!$C$13:$C$82,0),MATCH(G$70,'W23. TPES'!$F$12:$R$12,0))</f>
        <v>187313.67196146562</v>
      </c>
      <c r="H100" s="34">
        <f t="array" ref="H100">INDEX('W23. TPES'!$F$13:$R$82,MATCH($A100&amp;$B100,'W23. TPES'!$A$13:$A$82&amp;'W23. TPES'!$C$13:$C$82,0),MATCH(H$70,'W23. TPES'!$F$12:$R$12,0))</f>
        <v>193866.89317924518</v>
      </c>
      <c r="I100" s="34">
        <f t="array" ref="I100">INDEX('W23. TPES'!$F$13:$R$82,MATCH($A100&amp;$B100,'W23. TPES'!$A$13:$A$82&amp;'W23. TPES'!$C$13:$C$82,0),MATCH(I$70,'W23. TPES'!$F$12:$R$12,0))</f>
        <v>199934.38698258233</v>
      </c>
      <c r="J100" s="34">
        <f t="array" ref="J100">INDEX('W23. TPES'!$F$13:$R$82,MATCH($A100&amp;$B100,'W23. TPES'!$A$13:$A$82&amp;'W23. TPES'!$C$13:$C$82,0),MATCH(J$70,'W23. TPES'!$F$12:$R$12,0))</f>
        <v>205567.9189665961</v>
      </c>
    </row>
    <row r="101" spans="1:10" x14ac:dyDescent="0.3">
      <c r="A101" s="3" t="s">
        <v>379</v>
      </c>
      <c r="B101" s="3" t="s">
        <v>255</v>
      </c>
      <c r="C101" s="34">
        <f t="array" ref="C101">INDEX('W23. TPES'!$F$13:$R$82,MATCH($A101&amp;$B101,'W23. TPES'!$A$13:$A$82&amp;'W23. TPES'!$C$13:$C$82,0),MATCH(C$70,'W23. TPES'!$F$12:$R$12,0))</f>
        <v>121123.52928549574</v>
      </c>
      <c r="D101" s="34" t="str">
        <f t="array" ref="D101">INDEX('W23. TPES'!$F$13:$R$82,MATCH($A101&amp;$B101,'W23. TPES'!$A$13:$A$82&amp;'W23. TPES'!$C$13:$C$82,0),MATCH(D$70,'W23. TPES'!$F$12:$R$12,0))</f>
        <v/>
      </c>
      <c r="E101" s="34" t="str">
        <f t="array" ref="E101">INDEX('W23. TPES'!$F$13:$R$82,MATCH($A101&amp;$B101,'W23. TPES'!$A$13:$A$82&amp;'W23. TPES'!$C$13:$C$82,0),MATCH(E$70,'W23. TPES'!$F$12:$R$12,0))</f>
        <v/>
      </c>
      <c r="F101" s="34" t="str">
        <f t="array" ref="F101">INDEX('W23. TPES'!$F$13:$R$82,MATCH($A101&amp;$B101,'W23. TPES'!$A$13:$A$82&amp;'W23. TPES'!$C$13:$C$82,0),MATCH(F$70,'W23. TPES'!$F$12:$R$12,0))</f>
        <v/>
      </c>
      <c r="G101" s="34">
        <f t="array" ref="G101">INDEX('W23. TPES'!$F$13:$R$82,MATCH($A101&amp;$B101,'W23. TPES'!$A$13:$A$82&amp;'W23. TPES'!$C$13:$C$82,0),MATCH(G$70,'W23. TPES'!$F$12:$R$12,0))</f>
        <v>131509.20905289825</v>
      </c>
      <c r="H101" s="34">
        <f t="array" ref="H101">INDEX('W23. TPES'!$F$13:$R$82,MATCH($A101&amp;$B101,'W23. TPES'!$A$13:$A$82&amp;'W23. TPES'!$C$13:$C$82,0),MATCH(H$70,'W23. TPES'!$F$12:$R$12,0))</f>
        <v>154305.30925134543</v>
      </c>
      <c r="I101" s="34">
        <f t="array" ref="I101">INDEX('W23. TPES'!$F$13:$R$82,MATCH($A101&amp;$B101,'W23. TPES'!$A$13:$A$82&amp;'W23. TPES'!$C$13:$C$82,0),MATCH(I$70,'W23. TPES'!$F$12:$R$12,0))</f>
        <v>180586.48083035732</v>
      </c>
      <c r="J101" s="34">
        <f t="array" ref="J101">INDEX('W23. TPES'!$F$13:$R$82,MATCH($A101&amp;$B101,'W23. TPES'!$A$13:$A$82&amp;'W23. TPES'!$C$13:$C$82,0),MATCH(J$70,'W23. TPES'!$F$12:$R$12,0))</f>
        <v>205909.15991326416</v>
      </c>
    </row>
    <row r="102" spans="1:10" x14ac:dyDescent="0.3">
      <c r="A102" s="3" t="s">
        <v>379</v>
      </c>
      <c r="B102" s="3" t="s">
        <v>257</v>
      </c>
      <c r="C102" s="34">
        <f t="array" ref="C102">INDEX('W23. TPES'!$F$13:$R$82,MATCH($A102&amp;$B102,'W23. TPES'!$A$13:$A$82&amp;'W23. TPES'!$C$13:$C$82,0),MATCH(C$70,'W23. TPES'!$F$12:$R$12,0))</f>
        <v>27731.382800350137</v>
      </c>
      <c r="D102" s="34" t="str">
        <f t="array" ref="D102">INDEX('W23. TPES'!$F$13:$R$82,MATCH($A102&amp;$B102,'W23. TPES'!$A$13:$A$82&amp;'W23. TPES'!$C$13:$C$82,0),MATCH(D$70,'W23. TPES'!$F$12:$R$12,0))</f>
        <v/>
      </c>
      <c r="E102" s="34" t="str">
        <f t="array" ref="E102">INDEX('W23. TPES'!$F$13:$R$82,MATCH($A102&amp;$B102,'W23. TPES'!$A$13:$A$82&amp;'W23. TPES'!$C$13:$C$82,0),MATCH(E$70,'W23. TPES'!$F$12:$R$12,0))</f>
        <v/>
      </c>
      <c r="F102" s="34" t="str">
        <f t="array" ref="F102">INDEX('W23. TPES'!$F$13:$R$82,MATCH($A102&amp;$B102,'W23. TPES'!$A$13:$A$82&amp;'W23. TPES'!$C$13:$C$82,0),MATCH(F$70,'W23. TPES'!$F$12:$R$12,0))</f>
        <v/>
      </c>
      <c r="G102" s="34">
        <f t="array" ref="G102">INDEX('W23. TPES'!$F$13:$R$82,MATCH($A102&amp;$B102,'W23. TPES'!$A$13:$A$82&amp;'W23. TPES'!$C$13:$C$82,0),MATCH(G$70,'W23. TPES'!$F$12:$R$12,0))</f>
        <v>33319.881563634313</v>
      </c>
      <c r="H102" s="34">
        <f t="array" ref="H102">INDEX('W23. TPES'!$F$13:$R$82,MATCH($A102&amp;$B102,'W23. TPES'!$A$13:$A$82&amp;'W23. TPES'!$C$13:$C$82,0),MATCH(H$70,'W23. TPES'!$F$12:$R$12,0))</f>
        <v>41983.777514922098</v>
      </c>
      <c r="I102" s="34">
        <f t="array" ref="I102">INDEX('W23. TPES'!$F$13:$R$82,MATCH($A102&amp;$B102,'W23. TPES'!$A$13:$A$82&amp;'W23. TPES'!$C$13:$C$82,0),MATCH(I$70,'W23. TPES'!$F$12:$R$12,0))</f>
        <v>49456.595856867498</v>
      </c>
      <c r="J102" s="34">
        <f t="array" ref="J102">INDEX('W23. TPES'!$F$13:$R$82,MATCH($A102&amp;$B102,'W23. TPES'!$A$13:$A$82&amp;'W23. TPES'!$C$13:$C$82,0),MATCH(J$70,'W23. TPES'!$F$12:$R$12,0))</f>
        <v>56585.368096149599</v>
      </c>
    </row>
    <row r="103" spans="1:10" x14ac:dyDescent="0.3">
      <c r="A103" s="3" t="s">
        <v>379</v>
      </c>
      <c r="B103" s="3" t="s">
        <v>256</v>
      </c>
      <c r="C103" s="34">
        <f t="array" ref="C103">INDEX('W23. TPES'!$F$13:$R$82,MATCH($A103&amp;$B103,'W23. TPES'!$A$13:$A$82&amp;'W23. TPES'!$C$13:$C$82,0),MATCH(C$70,'W23. TPES'!$F$12:$R$12,0))</f>
        <v>14019.60026133503</v>
      </c>
      <c r="D103" s="34" t="str">
        <f t="array" ref="D103">INDEX('W23. TPES'!$F$13:$R$82,MATCH($A103&amp;$B103,'W23. TPES'!$A$13:$A$82&amp;'W23. TPES'!$C$13:$C$82,0),MATCH(D$70,'W23. TPES'!$F$12:$R$12,0))</f>
        <v/>
      </c>
      <c r="E103" s="34" t="str">
        <f t="array" ref="E103">INDEX('W23. TPES'!$F$13:$R$82,MATCH($A103&amp;$B103,'W23. TPES'!$A$13:$A$82&amp;'W23. TPES'!$C$13:$C$82,0),MATCH(E$70,'W23. TPES'!$F$12:$R$12,0))</f>
        <v/>
      </c>
      <c r="F103" s="34" t="str">
        <f t="array" ref="F103">INDEX('W23. TPES'!$F$13:$R$82,MATCH($A103&amp;$B103,'W23. TPES'!$A$13:$A$82&amp;'W23. TPES'!$C$13:$C$82,0),MATCH(F$70,'W23. TPES'!$F$12:$R$12,0))</f>
        <v/>
      </c>
      <c r="G103" s="34">
        <f t="array" ref="G103">INDEX('W23. TPES'!$F$13:$R$82,MATCH($A103&amp;$B103,'W23. TPES'!$A$13:$A$82&amp;'W23. TPES'!$C$13:$C$82,0),MATCH(G$70,'W23. TPES'!$F$12:$R$12,0))</f>
        <v>15793.987032567697</v>
      </c>
      <c r="H103" s="34">
        <f t="array" ref="H103">INDEX('W23. TPES'!$F$13:$R$82,MATCH($A103&amp;$B103,'W23. TPES'!$A$13:$A$82&amp;'W23. TPES'!$C$13:$C$82,0),MATCH(H$70,'W23. TPES'!$F$12:$R$12,0))</f>
        <v>19377.67430017858</v>
      </c>
      <c r="I103" s="34">
        <f t="array" ref="I103">INDEX('W23. TPES'!$F$13:$R$82,MATCH($A103&amp;$B103,'W23. TPES'!$A$13:$A$82&amp;'W23. TPES'!$C$13:$C$82,0),MATCH(I$70,'W23. TPES'!$F$12:$R$12,0))</f>
        <v>22430.914942616746</v>
      </c>
      <c r="J103" s="34">
        <f t="array" ref="J103">INDEX('W23. TPES'!$F$13:$R$82,MATCH($A103&amp;$B103,'W23. TPES'!$A$13:$A$82&amp;'W23. TPES'!$C$13:$C$82,0),MATCH(J$70,'W23. TPES'!$F$12:$R$12,0))</f>
        <v>25282.410440569576</v>
      </c>
    </row>
    <row r="104" spans="1:10" x14ac:dyDescent="0.3">
      <c r="A104" s="3" t="s">
        <v>379</v>
      </c>
      <c r="B104" s="3" t="s">
        <v>253</v>
      </c>
      <c r="C104" s="34">
        <f t="array" ref="C104">INDEX('W23. TPES'!$F$13:$R$82,MATCH($A104&amp;$B104,'W23. TPES'!$A$13:$A$82&amp;'W23. TPES'!$C$13:$C$82,0),MATCH(C$70,'W23. TPES'!$F$12:$R$12,0))</f>
        <v>59494.884268411777</v>
      </c>
      <c r="D104" s="34" t="str">
        <f t="array" ref="D104">INDEX('W23. TPES'!$F$13:$R$82,MATCH($A104&amp;$B104,'W23. TPES'!$A$13:$A$82&amp;'W23. TPES'!$C$13:$C$82,0),MATCH(D$70,'W23. TPES'!$F$12:$R$12,0))</f>
        <v/>
      </c>
      <c r="E104" s="34" t="str">
        <f t="array" ref="E104">INDEX('W23. TPES'!$F$13:$R$82,MATCH($A104&amp;$B104,'W23. TPES'!$A$13:$A$82&amp;'W23. TPES'!$C$13:$C$82,0),MATCH(E$70,'W23. TPES'!$F$12:$R$12,0))</f>
        <v/>
      </c>
      <c r="F104" s="34" t="str">
        <f t="array" ref="F104">INDEX('W23. TPES'!$F$13:$R$82,MATCH($A104&amp;$B104,'W23. TPES'!$A$13:$A$82&amp;'W23. TPES'!$C$13:$C$82,0),MATCH(F$70,'W23. TPES'!$F$12:$R$12,0))</f>
        <v/>
      </c>
      <c r="G104" s="34">
        <f t="array" ref="G104">INDEX('W23. TPES'!$F$13:$R$82,MATCH($A104&amp;$B104,'W23. TPES'!$A$13:$A$82&amp;'W23. TPES'!$C$13:$C$82,0),MATCH(G$70,'W23. TPES'!$F$12:$R$12,0))</f>
        <v>64608.784131636137</v>
      </c>
      <c r="H104" s="34">
        <f t="array" ref="H104">INDEX('W23. TPES'!$F$13:$R$82,MATCH($A104&amp;$B104,'W23. TPES'!$A$13:$A$82&amp;'W23. TPES'!$C$13:$C$82,0),MATCH(H$70,'W23. TPES'!$F$12:$R$12,0))</f>
        <v>72050.285209630369</v>
      </c>
      <c r="I104" s="34">
        <f t="array" ref="I104">INDEX('W23. TPES'!$F$13:$R$82,MATCH($A104&amp;$B104,'W23. TPES'!$A$13:$A$82&amp;'W23. TPES'!$C$13:$C$82,0),MATCH(I$70,'W23. TPES'!$F$12:$R$12,0))</f>
        <v>78845.068039833233</v>
      </c>
      <c r="J104" s="34">
        <f t="array" ref="J104">INDEX('W23. TPES'!$F$13:$R$82,MATCH($A104&amp;$B104,'W23. TPES'!$A$13:$A$82&amp;'W23. TPES'!$C$13:$C$82,0),MATCH(J$70,'W23. TPES'!$F$12:$R$12,0))</f>
        <v>85451.059684730601</v>
      </c>
    </row>
    <row r="105" spans="1:10" x14ac:dyDescent="0.3">
      <c r="A105" s="3" t="s">
        <v>379</v>
      </c>
      <c r="B105" s="3" t="s">
        <v>461</v>
      </c>
      <c r="C105" s="34">
        <f t="array" ref="C105">INDEX('W23. TPES'!$F$13:$R$82,MATCH($A105&amp;$B105,'W23. TPES'!$A$13:$A$82&amp;'W23. TPES'!$C$13:$C$82,0),MATCH(C$70,'W23. TPES'!$F$12:$R$12,0))</f>
        <v>7571.9366449908075</v>
      </c>
      <c r="D105" s="34" t="str">
        <f t="array" ref="D105">INDEX('W23. TPES'!$F$13:$R$82,MATCH($A105&amp;$B105,'W23. TPES'!$A$13:$A$82&amp;'W23. TPES'!$C$13:$C$82,0),MATCH(D$70,'W23. TPES'!$F$12:$R$12,0))</f>
        <v/>
      </c>
      <c r="E105" s="34" t="str">
        <f t="array" ref="E105">INDEX('W23. TPES'!$F$13:$R$82,MATCH($A105&amp;$B105,'W23. TPES'!$A$13:$A$82&amp;'W23. TPES'!$C$13:$C$82,0),MATCH(E$70,'W23. TPES'!$F$12:$R$12,0))</f>
        <v/>
      </c>
      <c r="F105" s="34" t="str">
        <f t="array" ref="F105">INDEX('W23. TPES'!$F$13:$R$82,MATCH($A105&amp;$B105,'W23. TPES'!$A$13:$A$82&amp;'W23. TPES'!$C$13:$C$82,0),MATCH(F$70,'W23. TPES'!$F$12:$R$12,0))</f>
        <v/>
      </c>
      <c r="G105" s="34">
        <f t="array" ref="G105">INDEX('W23. TPES'!$F$13:$R$82,MATCH($A105&amp;$B105,'W23. TPES'!$A$13:$A$82&amp;'W23. TPES'!$C$13:$C$82,0),MATCH(G$70,'W23. TPES'!$F$12:$R$12,0))</f>
        <v>14185.029102677028</v>
      </c>
      <c r="H105" s="34">
        <f t="array" ref="H105">INDEX('W23. TPES'!$F$13:$R$82,MATCH($A105&amp;$B105,'W23. TPES'!$A$13:$A$82&amp;'W23. TPES'!$C$13:$C$82,0),MATCH(H$70,'W23. TPES'!$F$12:$R$12,0))</f>
        <v>26928.769054801891</v>
      </c>
      <c r="I105" s="34">
        <f t="array" ref="I105">INDEX('W23. TPES'!$F$13:$R$82,MATCH($A105&amp;$B105,'W23. TPES'!$A$13:$A$82&amp;'W23. TPES'!$C$13:$C$82,0),MATCH(I$70,'W23. TPES'!$F$12:$R$12,0))</f>
        <v>43398.400936315855</v>
      </c>
      <c r="J105" s="34">
        <f t="array" ref="J105">INDEX('W23. TPES'!$F$13:$R$82,MATCH($A105&amp;$B105,'W23. TPES'!$A$13:$A$82&amp;'W23. TPES'!$C$13:$C$82,0),MATCH(J$70,'W23. TPES'!$F$12:$R$12,0))</f>
        <v>60248.32823483643</v>
      </c>
    </row>
    <row r="106" spans="1:10" x14ac:dyDescent="0.3">
      <c r="A106" s="3" t="s">
        <v>380</v>
      </c>
      <c r="B106" s="3" t="s">
        <v>254</v>
      </c>
      <c r="C106" s="34">
        <f t="array" ref="C106">INDEX('W23. TPES'!$F$13:$R$82,MATCH($A106&amp;$B106,'W23. TPES'!$A$13:$A$82&amp;'W23. TPES'!$C$13:$C$82,0),MATCH(C$70,'W23. TPES'!$F$12:$R$12,0))</f>
        <v>164381.98643202987</v>
      </c>
      <c r="D106" s="34" t="str">
        <f t="array" ref="D106">INDEX('W23. TPES'!$F$13:$R$82,MATCH($A106&amp;$B106,'W23. TPES'!$A$13:$A$82&amp;'W23. TPES'!$C$13:$C$82,0),MATCH(D$70,'W23. TPES'!$F$12:$R$12,0))</f>
        <v/>
      </c>
      <c r="E106" s="34" t="str">
        <f t="array" ref="E106">INDEX('W23. TPES'!$F$13:$R$82,MATCH($A106&amp;$B106,'W23. TPES'!$A$13:$A$82&amp;'W23. TPES'!$C$13:$C$82,0),MATCH(E$70,'W23. TPES'!$F$12:$R$12,0))</f>
        <v/>
      </c>
      <c r="F106" s="34" t="str">
        <f t="array" ref="F106">INDEX('W23. TPES'!$F$13:$R$82,MATCH($A106&amp;$B106,'W23. TPES'!$A$13:$A$82&amp;'W23. TPES'!$C$13:$C$82,0),MATCH(F$70,'W23. TPES'!$F$12:$R$12,0))</f>
        <v/>
      </c>
      <c r="G106" s="34">
        <f t="array" ref="G106">INDEX('W23. TPES'!$F$13:$R$82,MATCH($A106&amp;$B106,'W23. TPES'!$A$13:$A$82&amp;'W23. TPES'!$C$13:$C$82,0),MATCH(G$70,'W23. TPES'!$F$12:$R$12,0))</f>
        <v>151652.52346788271</v>
      </c>
      <c r="H106" s="34">
        <f t="array" ref="H106">INDEX('W23. TPES'!$F$13:$R$82,MATCH($A106&amp;$B106,'W23. TPES'!$A$13:$A$82&amp;'W23. TPES'!$C$13:$C$82,0),MATCH(H$70,'W23. TPES'!$F$12:$R$12,0))</f>
        <v>110955.48356855383</v>
      </c>
      <c r="I106" s="34">
        <f t="array" ref="I106">INDEX('W23. TPES'!$F$13:$R$82,MATCH($A106&amp;$B106,'W23. TPES'!$A$13:$A$82&amp;'W23. TPES'!$C$13:$C$82,0),MATCH(I$70,'W23. TPES'!$F$12:$R$12,0))</f>
        <v>83755.518730974902</v>
      </c>
      <c r="J106" s="34">
        <f t="array" ref="J106">INDEX('W23. TPES'!$F$13:$R$82,MATCH($A106&amp;$B106,'W23. TPES'!$A$13:$A$82&amp;'W23. TPES'!$C$13:$C$82,0),MATCH(J$70,'W23. TPES'!$F$12:$R$12,0))</f>
        <v>56555.553893395954</v>
      </c>
    </row>
    <row r="107" spans="1:10" x14ac:dyDescent="0.3">
      <c r="A107" s="3" t="s">
        <v>380</v>
      </c>
      <c r="B107" s="3" t="s">
        <v>266</v>
      </c>
      <c r="C107" s="34">
        <f t="array" ref="C107">INDEX('W23. TPES'!$F$13:$R$82,MATCH($A107&amp;$B107,'W23. TPES'!$A$13:$A$82&amp;'W23. TPES'!$C$13:$C$82,0),MATCH(C$70,'W23. TPES'!$F$12:$R$12,0))</f>
        <v>178601.82877665258</v>
      </c>
      <c r="D107" s="34" t="str">
        <f t="array" ref="D107">INDEX('W23. TPES'!$F$13:$R$82,MATCH($A107&amp;$B107,'W23. TPES'!$A$13:$A$82&amp;'W23. TPES'!$C$13:$C$82,0),MATCH(D$70,'W23. TPES'!$F$12:$R$12,0))</f>
        <v/>
      </c>
      <c r="E107" s="34" t="str">
        <f t="array" ref="E107">INDEX('W23. TPES'!$F$13:$R$82,MATCH($A107&amp;$B107,'W23. TPES'!$A$13:$A$82&amp;'W23. TPES'!$C$13:$C$82,0),MATCH(E$70,'W23. TPES'!$F$12:$R$12,0))</f>
        <v/>
      </c>
      <c r="F107" s="34" t="str">
        <f t="array" ref="F107">INDEX('W23. TPES'!$F$13:$R$82,MATCH($A107&amp;$B107,'W23. TPES'!$A$13:$A$82&amp;'W23. TPES'!$C$13:$C$82,0),MATCH(F$70,'W23. TPES'!$F$12:$R$12,0))</f>
        <v/>
      </c>
      <c r="G107" s="34">
        <f t="array" ref="G107">INDEX('W23. TPES'!$F$13:$R$82,MATCH($A107&amp;$B107,'W23. TPES'!$A$13:$A$82&amp;'W23. TPES'!$C$13:$C$82,0),MATCH(G$70,'W23. TPES'!$F$12:$R$12,0))</f>
        <v>181897.32185351296</v>
      </c>
      <c r="H107" s="34">
        <f t="array" ref="H107">INDEX('W23. TPES'!$F$13:$R$82,MATCH($A107&amp;$B107,'W23. TPES'!$A$13:$A$82&amp;'W23. TPES'!$C$13:$C$82,0),MATCH(H$70,'W23. TPES'!$F$12:$R$12,0))</f>
        <v>162570.45018445511</v>
      </c>
      <c r="I107" s="34">
        <f t="array" ref="I107">INDEX('W23. TPES'!$F$13:$R$82,MATCH($A107&amp;$B107,'W23. TPES'!$A$13:$A$82&amp;'W23. TPES'!$C$13:$C$82,0),MATCH(I$70,'W23. TPES'!$F$12:$R$12,0))</f>
        <v>139255.00675441787</v>
      </c>
      <c r="J107" s="34">
        <f t="array" ref="J107">INDEX('W23. TPES'!$F$13:$R$82,MATCH($A107&amp;$B107,'W23. TPES'!$A$13:$A$82&amp;'W23. TPES'!$C$13:$C$82,0),MATCH(J$70,'W23. TPES'!$F$12:$R$12,0))</f>
        <v>115939.56332438064</v>
      </c>
    </row>
    <row r="108" spans="1:10" x14ac:dyDescent="0.3">
      <c r="A108" s="3" t="s">
        <v>380</v>
      </c>
      <c r="B108" s="3" t="s">
        <v>255</v>
      </c>
      <c r="C108" s="34">
        <f t="array" ref="C108">INDEX('W23. TPES'!$F$13:$R$82,MATCH($A108&amp;$B108,'W23. TPES'!$A$13:$A$82&amp;'W23. TPES'!$C$13:$C$82,0),MATCH(C$70,'W23. TPES'!$F$12:$R$12,0))</f>
        <v>121123.52928549574</v>
      </c>
      <c r="D108" s="34" t="str">
        <f t="array" ref="D108">INDEX('W23. TPES'!$F$13:$R$82,MATCH($A108&amp;$B108,'W23. TPES'!$A$13:$A$82&amp;'W23. TPES'!$C$13:$C$82,0),MATCH(D$70,'W23. TPES'!$F$12:$R$12,0))</f>
        <v/>
      </c>
      <c r="E108" s="34" t="str">
        <f t="array" ref="E108">INDEX('W23. TPES'!$F$13:$R$82,MATCH($A108&amp;$B108,'W23. TPES'!$A$13:$A$82&amp;'W23. TPES'!$C$13:$C$82,0),MATCH(E$70,'W23. TPES'!$F$12:$R$12,0))</f>
        <v/>
      </c>
      <c r="F108" s="34" t="str">
        <f t="array" ref="F108">INDEX('W23. TPES'!$F$13:$R$82,MATCH($A108&amp;$B108,'W23. TPES'!$A$13:$A$82&amp;'W23. TPES'!$C$13:$C$82,0),MATCH(F$70,'W23. TPES'!$F$12:$R$12,0))</f>
        <v/>
      </c>
      <c r="G108" s="34">
        <f t="array" ref="G108">INDEX('W23. TPES'!$F$13:$R$82,MATCH($A108&amp;$B108,'W23. TPES'!$A$13:$A$82&amp;'W23. TPES'!$C$13:$C$82,0),MATCH(G$70,'W23. TPES'!$F$12:$R$12,0))</f>
        <v>131284.29415724901</v>
      </c>
      <c r="H108" s="34">
        <f t="array" ref="H108">INDEX('W23. TPES'!$F$13:$R$82,MATCH($A108&amp;$B108,'W23. TPES'!$A$13:$A$82&amp;'W23. TPES'!$C$13:$C$82,0),MATCH(H$70,'W23. TPES'!$F$12:$R$12,0))</f>
        <v>140214.93113612078</v>
      </c>
      <c r="I108" s="34">
        <f t="array" ref="I108">INDEX('W23. TPES'!$F$13:$R$82,MATCH($A108&amp;$B108,'W23. TPES'!$A$13:$A$82&amp;'W23. TPES'!$C$13:$C$82,0),MATCH(I$70,'W23. TPES'!$F$12:$R$12,0))</f>
        <v>138194.99691887107</v>
      </c>
      <c r="J108" s="34">
        <f t="array" ref="J108">INDEX('W23. TPES'!$F$13:$R$82,MATCH($A108&amp;$B108,'W23. TPES'!$A$13:$A$82&amp;'W23. TPES'!$C$13:$C$82,0),MATCH(J$70,'W23. TPES'!$F$12:$R$12,0))</f>
        <v>136175.06270162135</v>
      </c>
    </row>
    <row r="109" spans="1:10" x14ac:dyDescent="0.3">
      <c r="A109" s="3" t="s">
        <v>380</v>
      </c>
      <c r="B109" s="3" t="s">
        <v>257</v>
      </c>
      <c r="C109" s="34">
        <f t="array" ref="C109">INDEX('W23. TPES'!$F$13:$R$82,MATCH($A109&amp;$B109,'W23. TPES'!$A$13:$A$82&amp;'W23. TPES'!$C$13:$C$82,0),MATCH(C$70,'W23. TPES'!$F$12:$R$12,0))</f>
        <v>27731.382800350137</v>
      </c>
      <c r="D109" s="34" t="str">
        <f t="array" ref="D109">INDEX('W23. TPES'!$F$13:$R$82,MATCH($A109&amp;$B109,'W23. TPES'!$A$13:$A$82&amp;'W23. TPES'!$C$13:$C$82,0),MATCH(D$70,'W23. TPES'!$F$12:$R$12,0))</f>
        <v/>
      </c>
      <c r="E109" s="34" t="str">
        <f t="array" ref="E109">INDEX('W23. TPES'!$F$13:$R$82,MATCH($A109&amp;$B109,'W23. TPES'!$A$13:$A$82&amp;'W23. TPES'!$C$13:$C$82,0),MATCH(E$70,'W23. TPES'!$F$12:$R$12,0))</f>
        <v/>
      </c>
      <c r="F109" s="34" t="str">
        <f t="array" ref="F109">INDEX('W23. TPES'!$F$13:$R$82,MATCH($A109&amp;$B109,'W23. TPES'!$A$13:$A$82&amp;'W23. TPES'!$C$13:$C$82,0),MATCH(F$70,'W23. TPES'!$F$12:$R$12,0))</f>
        <v/>
      </c>
      <c r="G109" s="34">
        <f t="array" ref="G109">INDEX('W23. TPES'!$F$13:$R$82,MATCH($A109&amp;$B109,'W23. TPES'!$A$13:$A$82&amp;'W23. TPES'!$C$13:$C$82,0),MATCH(G$70,'W23. TPES'!$F$12:$R$12,0))</f>
        <v>34137.873425558573</v>
      </c>
      <c r="H109" s="34">
        <f t="array" ref="H109">INDEX('W23. TPES'!$F$13:$R$82,MATCH($A109&amp;$B109,'W23. TPES'!$A$13:$A$82&amp;'W23. TPES'!$C$13:$C$82,0),MATCH(H$70,'W23. TPES'!$F$12:$R$12,0))</f>
        <v>51655.6790590378</v>
      </c>
      <c r="I109" s="34">
        <f t="array" ref="I109">INDEX('W23. TPES'!$F$13:$R$82,MATCH($A109&amp;$B109,'W23. TPES'!$A$13:$A$82&amp;'W23. TPES'!$C$13:$C$82,0),MATCH(I$70,'W23. TPES'!$F$12:$R$12,0))</f>
        <v>66572.765953773109</v>
      </c>
      <c r="J109" s="34">
        <f t="array" ref="J109">INDEX('W23. TPES'!$F$13:$R$82,MATCH($A109&amp;$B109,'W23. TPES'!$A$13:$A$82&amp;'W23. TPES'!$C$13:$C$82,0),MATCH(J$70,'W23. TPES'!$F$12:$R$12,0))</f>
        <v>81489.852848508424</v>
      </c>
    </row>
    <row r="110" spans="1:10" x14ac:dyDescent="0.3">
      <c r="A110" s="3" t="s">
        <v>380</v>
      </c>
      <c r="B110" s="3" t="s">
        <v>256</v>
      </c>
      <c r="C110" s="34">
        <f t="array" ref="C110">INDEX('W23. TPES'!$F$13:$R$82,MATCH($A110&amp;$B110,'W23. TPES'!$A$13:$A$82&amp;'W23. TPES'!$C$13:$C$82,0),MATCH(C$70,'W23. TPES'!$F$12:$R$12,0))</f>
        <v>14019.60026133503</v>
      </c>
      <c r="D110" s="34" t="str">
        <f t="array" ref="D110">INDEX('W23. TPES'!$F$13:$R$82,MATCH($A110&amp;$B110,'W23. TPES'!$A$13:$A$82&amp;'W23. TPES'!$C$13:$C$82,0),MATCH(D$70,'W23. TPES'!$F$12:$R$12,0))</f>
        <v/>
      </c>
      <c r="E110" s="34" t="str">
        <f t="array" ref="E110">INDEX('W23. TPES'!$F$13:$R$82,MATCH($A110&amp;$B110,'W23. TPES'!$A$13:$A$82&amp;'W23. TPES'!$C$13:$C$82,0),MATCH(E$70,'W23. TPES'!$F$12:$R$12,0))</f>
        <v/>
      </c>
      <c r="F110" s="34" t="str">
        <f t="array" ref="F110">INDEX('W23. TPES'!$F$13:$R$82,MATCH($A110&amp;$B110,'W23. TPES'!$A$13:$A$82&amp;'W23. TPES'!$C$13:$C$82,0),MATCH(F$70,'W23. TPES'!$F$12:$R$12,0))</f>
        <v/>
      </c>
      <c r="G110" s="34">
        <f t="array" ref="G110">INDEX('W23. TPES'!$F$13:$R$82,MATCH($A110&amp;$B110,'W23. TPES'!$A$13:$A$82&amp;'W23. TPES'!$C$13:$C$82,0),MATCH(G$70,'W23. TPES'!$F$12:$R$12,0))</f>
        <v>15814.473044935747</v>
      </c>
      <c r="H110" s="34">
        <f t="array" ref="H110">INDEX('W23. TPES'!$F$13:$R$82,MATCH($A110&amp;$B110,'W23. TPES'!$A$13:$A$82&amp;'W23. TPES'!$C$13:$C$82,0),MATCH(H$70,'W23. TPES'!$F$12:$R$12,0))</f>
        <v>20361.354585044432</v>
      </c>
      <c r="I110" s="34">
        <f t="array" ref="I110">INDEX('W23. TPES'!$F$13:$R$82,MATCH($A110&amp;$B110,'W23. TPES'!$A$13:$A$82&amp;'W23. TPES'!$C$13:$C$82,0),MATCH(I$70,'W23. TPES'!$F$12:$R$12,0))</f>
        <v>24810.692058905246</v>
      </c>
      <c r="J110" s="34">
        <f t="array" ref="J110">INDEX('W23. TPES'!$F$13:$R$82,MATCH($A110&amp;$B110,'W23. TPES'!$A$13:$A$82&amp;'W23. TPES'!$C$13:$C$82,0),MATCH(J$70,'W23. TPES'!$F$12:$R$12,0))</f>
        <v>29260.029532766061</v>
      </c>
    </row>
    <row r="111" spans="1:10" x14ac:dyDescent="0.3">
      <c r="A111" s="3" t="s">
        <v>380</v>
      </c>
      <c r="B111" s="3" t="s">
        <v>253</v>
      </c>
      <c r="C111" s="34">
        <f t="array" ref="C111">INDEX('W23. TPES'!$F$13:$R$82,MATCH($A111&amp;$B111,'W23. TPES'!$A$13:$A$82&amp;'W23. TPES'!$C$13:$C$82,0),MATCH(C$70,'W23. TPES'!$F$12:$R$12,0))</f>
        <v>59494.884268411777</v>
      </c>
      <c r="D111" s="34" t="str">
        <f t="array" ref="D111">INDEX('W23. TPES'!$F$13:$R$82,MATCH($A111&amp;$B111,'W23. TPES'!$A$13:$A$82&amp;'W23. TPES'!$C$13:$C$82,0),MATCH(D$70,'W23. TPES'!$F$12:$R$12,0))</f>
        <v/>
      </c>
      <c r="E111" s="34" t="str">
        <f t="array" ref="E111">INDEX('W23. TPES'!$F$13:$R$82,MATCH($A111&amp;$B111,'W23. TPES'!$A$13:$A$82&amp;'W23. TPES'!$C$13:$C$82,0),MATCH(E$70,'W23. TPES'!$F$12:$R$12,0))</f>
        <v/>
      </c>
      <c r="F111" s="34" t="str">
        <f t="array" ref="F111">INDEX('W23. TPES'!$F$13:$R$82,MATCH($A111&amp;$B111,'W23. TPES'!$A$13:$A$82&amp;'W23. TPES'!$C$13:$C$82,0),MATCH(F$70,'W23. TPES'!$F$12:$R$12,0))</f>
        <v/>
      </c>
      <c r="G111" s="34">
        <f t="array" ref="G111">INDEX('W23. TPES'!$F$13:$R$82,MATCH($A111&amp;$B111,'W23. TPES'!$A$13:$A$82&amp;'W23. TPES'!$C$13:$C$82,0),MATCH(G$70,'W23. TPES'!$F$12:$R$12,0))</f>
        <v>64891.71551479488</v>
      </c>
      <c r="H111" s="34">
        <f t="array" ref="H111">INDEX('W23. TPES'!$F$13:$R$82,MATCH($A111&amp;$B111,'W23. TPES'!$A$13:$A$82&amp;'W23. TPES'!$C$13:$C$82,0),MATCH(H$70,'W23. TPES'!$F$12:$R$12,0))</f>
        <v>80707.478094128615</v>
      </c>
      <c r="I111" s="34">
        <f t="array" ref="I111">INDEX('W23. TPES'!$F$13:$R$82,MATCH($A111&amp;$B111,'W23. TPES'!$A$13:$A$82&amp;'W23. TPES'!$C$13:$C$82,0),MATCH(I$70,'W23. TPES'!$F$12:$R$12,0))</f>
        <v>96712.622197566991</v>
      </c>
      <c r="J111" s="34">
        <f t="array" ref="J111">INDEX('W23. TPES'!$F$13:$R$82,MATCH($A111&amp;$B111,'W23. TPES'!$A$13:$A$82&amp;'W23. TPES'!$C$13:$C$82,0),MATCH(J$70,'W23. TPES'!$F$12:$R$12,0))</f>
        <v>112717.76630100537</v>
      </c>
    </row>
    <row r="112" spans="1:10" x14ac:dyDescent="0.3">
      <c r="A112" s="3" t="s">
        <v>380</v>
      </c>
      <c r="B112" s="3" t="s">
        <v>461</v>
      </c>
      <c r="C112" s="34">
        <f t="array" ref="C112">INDEX('W23. TPES'!$F$13:$R$82,MATCH($A112&amp;$B112,'W23. TPES'!$A$13:$A$82&amp;'W23. TPES'!$C$13:$C$82,0),MATCH(C$70,'W23. TPES'!$F$12:$R$12,0))</f>
        <v>7571.9366449908075</v>
      </c>
      <c r="D112" s="34" t="str">
        <f t="array" ref="D112">INDEX('W23. TPES'!$F$13:$R$82,MATCH($A112&amp;$B112,'W23. TPES'!$A$13:$A$82&amp;'W23. TPES'!$C$13:$C$82,0),MATCH(D$70,'W23. TPES'!$F$12:$R$12,0))</f>
        <v/>
      </c>
      <c r="E112" s="34" t="str">
        <f t="array" ref="E112">INDEX('W23. TPES'!$F$13:$R$82,MATCH($A112&amp;$B112,'W23. TPES'!$A$13:$A$82&amp;'W23. TPES'!$C$13:$C$82,0),MATCH(E$70,'W23. TPES'!$F$12:$R$12,0))</f>
        <v/>
      </c>
      <c r="F112" s="34" t="str">
        <f t="array" ref="F112">INDEX('W23. TPES'!$F$13:$R$82,MATCH($A112&amp;$B112,'W23. TPES'!$A$13:$A$82&amp;'W23. TPES'!$C$13:$C$82,0),MATCH(F$70,'W23. TPES'!$F$12:$R$12,0))</f>
        <v/>
      </c>
      <c r="G112" s="34">
        <f t="array" ref="G112">INDEX('W23. TPES'!$F$13:$R$82,MATCH($A112&amp;$B112,'W23. TPES'!$A$13:$A$82&amp;'W23. TPES'!$C$13:$C$82,0),MATCH(G$70,'W23. TPES'!$F$12:$R$12,0))</f>
        <v>15017.670577778441</v>
      </c>
      <c r="H112" s="34">
        <f t="array" ref="H112">INDEX('W23. TPES'!$F$13:$R$82,MATCH($A112&amp;$B112,'W23. TPES'!$A$13:$A$82&amp;'W23. TPES'!$C$13:$C$82,0),MATCH(H$70,'W23. TPES'!$F$12:$R$12,0))</f>
        <v>39299.473501108543</v>
      </c>
      <c r="I112" s="34">
        <f t="array" ref="I112">INDEX('W23. TPES'!$F$13:$R$82,MATCH($A112&amp;$B112,'W23. TPES'!$A$13:$A$82&amp;'W23. TPES'!$C$13:$C$82,0),MATCH(I$70,'W23. TPES'!$F$12:$R$12,0))</f>
        <v>73631.137151164876</v>
      </c>
      <c r="J112" s="34">
        <f t="array" ref="J112">INDEX('W23. TPES'!$F$13:$R$82,MATCH($A112&amp;$B112,'W23. TPES'!$A$13:$A$82&amp;'W23. TPES'!$C$13:$C$82,0),MATCH(J$70,'W23. TPES'!$F$12:$R$12,0))</f>
        <v>107962.80080122122</v>
      </c>
    </row>
    <row r="113" spans="1:10" x14ac:dyDescent="0.3">
      <c r="A113" s="3" t="s">
        <v>381</v>
      </c>
      <c r="B113" s="3" t="s">
        <v>254</v>
      </c>
      <c r="C113" s="34">
        <f t="array" ref="C113">INDEX('W23. TPES'!$F$13:$R$82,MATCH($A113&amp;$B113,'W23. TPES'!$A$13:$A$82&amp;'W23. TPES'!$C$13:$C$82,0),MATCH(C$70,'W23. TPES'!$F$12:$R$12,0))</f>
        <v>163853.62994548801</v>
      </c>
      <c r="D113" s="34" t="str">
        <f t="array" ref="D113">INDEX('W23. TPES'!$F$13:$R$82,MATCH($A113&amp;$B113,'W23. TPES'!$A$13:$A$82&amp;'W23. TPES'!$C$13:$C$82,0),MATCH(D$70,'W23. TPES'!$F$12:$R$12,0))</f>
        <v/>
      </c>
      <c r="E113" s="34" t="str">
        <f t="array" ref="E113">INDEX('W23. TPES'!$F$13:$R$82,MATCH($A113&amp;$B113,'W23. TPES'!$A$13:$A$82&amp;'W23. TPES'!$C$13:$C$82,0),MATCH(E$70,'W23. TPES'!$F$12:$R$12,0))</f>
        <v/>
      </c>
      <c r="F113" s="34" t="str">
        <f t="array" ref="F113">INDEX('W23. TPES'!$F$13:$R$82,MATCH($A113&amp;$B113,'W23. TPES'!$A$13:$A$82&amp;'W23. TPES'!$C$13:$C$82,0),MATCH(F$70,'W23. TPES'!$F$12:$R$12,0))</f>
        <v/>
      </c>
      <c r="G113" s="34">
        <f t="array" ref="G113">INDEX('W23. TPES'!$F$13:$R$82,MATCH($A113&amp;$B113,'W23. TPES'!$A$13:$A$82&amp;'W23. TPES'!$C$13:$C$82,0),MATCH(G$70,'W23. TPES'!$F$12:$R$12,0))</f>
        <v>163058.50026170598</v>
      </c>
      <c r="H113" s="34">
        <f t="array" ref="H113">INDEX('W23. TPES'!$F$13:$R$82,MATCH($A113&amp;$B113,'W23. TPES'!$A$13:$A$82&amp;'W23. TPES'!$C$13:$C$82,0),MATCH(H$70,'W23. TPES'!$F$12:$R$12,0))</f>
        <v>162921.73111427567</v>
      </c>
      <c r="I113" s="34">
        <f t="array" ref="I113">INDEX('W23. TPES'!$F$13:$R$82,MATCH($A113&amp;$B113,'W23. TPES'!$A$13:$A$82&amp;'W23. TPES'!$C$13:$C$82,0),MATCH(I$70,'W23. TPES'!$F$12:$R$12,0))</f>
        <v>168456.54625766998</v>
      </c>
      <c r="J113" s="34">
        <f t="array" ref="J113">INDEX('W23. TPES'!$F$13:$R$82,MATCH($A113&amp;$B113,'W23. TPES'!$A$13:$A$82&amp;'W23. TPES'!$C$13:$C$82,0),MATCH(J$70,'W23. TPES'!$F$12:$R$12,0))</f>
        <v>163446.66790497277</v>
      </c>
    </row>
    <row r="114" spans="1:10" x14ac:dyDescent="0.3">
      <c r="A114" s="3" t="s">
        <v>381</v>
      </c>
      <c r="B114" s="3" t="s">
        <v>266</v>
      </c>
      <c r="C114" s="34">
        <f t="array" ref="C114">INDEX('W23. TPES'!$F$13:$R$82,MATCH($A114&amp;$B114,'W23. TPES'!$A$13:$A$82&amp;'W23. TPES'!$C$13:$C$82,0),MATCH(C$70,'W23. TPES'!$F$12:$R$12,0))</f>
        <v>179603.77400539213</v>
      </c>
      <c r="D114" s="34" t="str">
        <f t="array" ref="D114">INDEX('W23. TPES'!$F$13:$R$82,MATCH($A114&amp;$B114,'W23. TPES'!$A$13:$A$82&amp;'W23. TPES'!$C$13:$C$82,0),MATCH(D$70,'W23. TPES'!$F$12:$R$12,0))</f>
        <v/>
      </c>
      <c r="E114" s="34" t="str">
        <f t="array" ref="E114">INDEX('W23. TPES'!$F$13:$R$82,MATCH($A114&amp;$B114,'W23. TPES'!$A$13:$A$82&amp;'W23. TPES'!$C$13:$C$82,0),MATCH(E$70,'W23. TPES'!$F$12:$R$12,0))</f>
        <v/>
      </c>
      <c r="F114" s="34" t="str">
        <f t="array" ref="F114">INDEX('W23. TPES'!$F$13:$R$82,MATCH($A114&amp;$B114,'W23. TPES'!$A$13:$A$82&amp;'W23. TPES'!$C$13:$C$82,0),MATCH(F$70,'W23. TPES'!$F$12:$R$12,0))</f>
        <v/>
      </c>
      <c r="G114" s="34">
        <f t="array" ref="G114">INDEX('W23. TPES'!$F$13:$R$82,MATCH($A114&amp;$B114,'W23. TPES'!$A$13:$A$82&amp;'W23. TPES'!$C$13:$C$82,0),MATCH(G$70,'W23. TPES'!$F$12:$R$12,0))</f>
        <v>185822.86224654422</v>
      </c>
      <c r="H114" s="34">
        <f t="array" ref="H114">INDEX('W23. TPES'!$F$13:$R$82,MATCH($A114&amp;$B114,'W23. TPES'!$A$13:$A$82&amp;'W23. TPES'!$C$13:$C$82,0),MATCH(H$70,'W23. TPES'!$F$12:$R$12,0))</f>
        <v>197406.6923135276</v>
      </c>
      <c r="I114" s="34">
        <f t="array" ref="I114">INDEX('W23. TPES'!$F$13:$R$82,MATCH($A114&amp;$B114,'W23. TPES'!$A$13:$A$82&amp;'W23. TPES'!$C$13:$C$82,0),MATCH(I$70,'W23. TPES'!$F$12:$R$12,0))</f>
        <v>204742.68298506443</v>
      </c>
      <c r="J114" s="34">
        <f t="array" ref="J114">INDEX('W23. TPES'!$F$13:$R$82,MATCH($A114&amp;$B114,'W23. TPES'!$A$13:$A$82&amp;'W23. TPES'!$C$13:$C$82,0),MATCH(J$70,'W23. TPES'!$F$12:$R$12,0))</f>
        <v>207960.44191028658</v>
      </c>
    </row>
    <row r="115" spans="1:10" x14ac:dyDescent="0.3">
      <c r="A115" s="3" t="s">
        <v>381</v>
      </c>
      <c r="B115" s="3" t="s">
        <v>255</v>
      </c>
      <c r="C115" s="34">
        <f t="array" ref="C115">INDEX('W23. TPES'!$F$13:$R$82,MATCH($A115&amp;$B115,'W23. TPES'!$A$13:$A$82&amp;'W23. TPES'!$C$13:$C$82,0),MATCH(C$70,'W23. TPES'!$F$12:$R$12,0))</f>
        <v>121441.43859937201</v>
      </c>
      <c r="D115" s="34" t="str">
        <f t="array" ref="D115">INDEX('W23. TPES'!$F$13:$R$82,MATCH($A115&amp;$B115,'W23. TPES'!$A$13:$A$82&amp;'W23. TPES'!$C$13:$C$82,0),MATCH(D$70,'W23. TPES'!$F$12:$R$12,0))</f>
        <v/>
      </c>
      <c r="E115" s="34" t="str">
        <f t="array" ref="E115">INDEX('W23. TPES'!$F$13:$R$82,MATCH($A115&amp;$B115,'W23. TPES'!$A$13:$A$82&amp;'W23. TPES'!$C$13:$C$82,0),MATCH(E$70,'W23. TPES'!$F$12:$R$12,0))</f>
        <v/>
      </c>
      <c r="F115" s="34" t="str">
        <f t="array" ref="F115">INDEX('W23. TPES'!$F$13:$R$82,MATCH($A115&amp;$B115,'W23. TPES'!$A$13:$A$82&amp;'W23. TPES'!$C$13:$C$82,0),MATCH(F$70,'W23. TPES'!$F$12:$R$12,0))</f>
        <v/>
      </c>
      <c r="G115" s="34">
        <f t="array" ref="G115">INDEX('W23. TPES'!$F$13:$R$82,MATCH($A115&amp;$B115,'W23. TPES'!$A$13:$A$82&amp;'W23. TPES'!$C$13:$C$82,0),MATCH(G$70,'W23. TPES'!$F$12:$R$12,0))</f>
        <v>134061.2469511767</v>
      </c>
      <c r="H115" s="34">
        <f t="array" ref="H115">INDEX('W23. TPES'!$F$13:$R$82,MATCH($A115&amp;$B115,'W23. TPES'!$A$13:$A$82&amp;'W23. TPES'!$C$13:$C$82,0),MATCH(H$70,'W23. TPES'!$F$12:$R$12,0))</f>
        <v>157419.5286941051</v>
      </c>
      <c r="I115" s="34">
        <f t="array" ref="I115">INDEX('W23. TPES'!$F$13:$R$82,MATCH($A115&amp;$B115,'W23. TPES'!$A$13:$A$82&amp;'W23. TPES'!$C$13:$C$82,0),MATCH(I$70,'W23. TPES'!$F$12:$R$12,0))</f>
        <v>173948.88848311218</v>
      </c>
      <c r="J115" s="34">
        <f t="array" ref="J115">INDEX('W23. TPES'!$F$13:$R$82,MATCH($A115&amp;$B115,'W23. TPES'!$A$13:$A$82&amp;'W23. TPES'!$C$13:$C$82,0),MATCH(J$70,'W23. TPES'!$F$12:$R$12,0))</f>
        <v>183911.28735033987</v>
      </c>
    </row>
    <row r="116" spans="1:10" x14ac:dyDescent="0.3">
      <c r="A116" s="3" t="s">
        <v>381</v>
      </c>
      <c r="B116" s="3" t="s">
        <v>257</v>
      </c>
      <c r="C116" s="34">
        <f t="array" ref="C116">INDEX('W23. TPES'!$F$13:$R$82,MATCH($A116&amp;$B116,'W23. TPES'!$A$13:$A$82&amp;'W23. TPES'!$C$13:$C$82,0),MATCH(C$70,'W23. TPES'!$F$12:$R$12,0))</f>
        <v>27689.539085172</v>
      </c>
      <c r="D116" s="34" t="str">
        <f t="array" ref="D116">INDEX('W23. TPES'!$F$13:$R$82,MATCH($A116&amp;$B116,'W23. TPES'!$A$13:$A$82&amp;'W23. TPES'!$C$13:$C$82,0),MATCH(D$70,'W23. TPES'!$F$12:$R$12,0))</f>
        <v/>
      </c>
      <c r="E116" s="34" t="str">
        <f t="array" ref="E116">INDEX('W23. TPES'!$F$13:$R$82,MATCH($A116&amp;$B116,'W23. TPES'!$A$13:$A$82&amp;'W23. TPES'!$C$13:$C$82,0),MATCH(E$70,'W23. TPES'!$F$12:$R$12,0))</f>
        <v/>
      </c>
      <c r="F116" s="34" t="str">
        <f t="array" ref="F116">INDEX('W23. TPES'!$F$13:$R$82,MATCH($A116&amp;$B116,'W23. TPES'!$A$13:$A$82&amp;'W23. TPES'!$C$13:$C$82,0),MATCH(F$70,'W23. TPES'!$F$12:$R$12,0))</f>
        <v/>
      </c>
      <c r="G116" s="34">
        <f t="array" ref="G116">INDEX('W23. TPES'!$F$13:$R$82,MATCH($A116&amp;$B116,'W23. TPES'!$A$13:$A$82&amp;'W23. TPES'!$C$13:$C$82,0),MATCH(G$70,'W23. TPES'!$F$12:$R$12,0))</f>
        <v>31982.42759801928</v>
      </c>
      <c r="H116" s="34">
        <f t="array" ref="H116">INDEX('W23. TPES'!$F$13:$R$82,MATCH($A116&amp;$B116,'W23. TPES'!$A$13:$A$82&amp;'W23. TPES'!$C$13:$C$82,0),MATCH(H$70,'W23. TPES'!$F$12:$R$12,0))</f>
        <v>40109.492771140474</v>
      </c>
      <c r="I116" s="34">
        <f t="array" ref="I116">INDEX('W23. TPES'!$F$13:$R$82,MATCH($A116&amp;$B116,'W23. TPES'!$A$13:$A$82&amp;'W23. TPES'!$C$13:$C$82,0),MATCH(I$70,'W23. TPES'!$F$12:$R$12,0))</f>
        <v>46981.144447294035</v>
      </c>
      <c r="J116" s="34">
        <f t="array" ref="J116">INDEX('W23. TPES'!$F$13:$R$82,MATCH($A116&amp;$B116,'W23. TPES'!$A$13:$A$82&amp;'W23. TPES'!$C$13:$C$82,0),MATCH(J$70,'W23. TPES'!$F$12:$R$12,0))</f>
        <v>53282.656124829373</v>
      </c>
    </row>
    <row r="117" spans="1:10" x14ac:dyDescent="0.3">
      <c r="A117" s="3" t="s">
        <v>381</v>
      </c>
      <c r="B117" s="3" t="s">
        <v>256</v>
      </c>
      <c r="C117" s="34">
        <f t="array" ref="C117">INDEX('W23. TPES'!$F$13:$R$82,MATCH($A117&amp;$B117,'W23. TPES'!$A$13:$A$82&amp;'W23. TPES'!$C$13:$C$82,0),MATCH(C$70,'W23. TPES'!$F$12:$R$12,0))</f>
        <v>14023.472570784001</v>
      </c>
      <c r="D117" s="34" t="str">
        <f t="array" ref="D117">INDEX('W23. TPES'!$F$13:$R$82,MATCH($A117&amp;$B117,'W23. TPES'!$A$13:$A$82&amp;'W23. TPES'!$C$13:$C$82,0),MATCH(D$70,'W23. TPES'!$F$12:$R$12,0))</f>
        <v/>
      </c>
      <c r="E117" s="34" t="str">
        <f t="array" ref="E117">INDEX('W23. TPES'!$F$13:$R$82,MATCH($A117&amp;$B117,'W23. TPES'!$A$13:$A$82&amp;'W23. TPES'!$C$13:$C$82,0),MATCH(E$70,'W23. TPES'!$F$12:$R$12,0))</f>
        <v/>
      </c>
      <c r="F117" s="34" t="str">
        <f t="array" ref="F117">INDEX('W23. TPES'!$F$13:$R$82,MATCH($A117&amp;$B117,'W23. TPES'!$A$13:$A$82&amp;'W23. TPES'!$C$13:$C$82,0),MATCH(F$70,'W23. TPES'!$F$12:$R$12,0))</f>
        <v/>
      </c>
      <c r="G117" s="34">
        <f t="array" ref="G117">INDEX('W23. TPES'!$F$13:$R$82,MATCH($A117&amp;$B117,'W23. TPES'!$A$13:$A$82&amp;'W23. TPES'!$C$13:$C$82,0),MATCH(G$70,'W23. TPES'!$F$12:$R$12,0))</f>
        <v>16074.749520297477</v>
      </c>
      <c r="H117" s="34">
        <f t="array" ref="H117">INDEX('W23. TPES'!$F$13:$R$82,MATCH($A117&amp;$B117,'W23. TPES'!$A$13:$A$82&amp;'W23. TPES'!$C$13:$C$82,0),MATCH(H$70,'W23. TPES'!$F$12:$R$12,0))</f>
        <v>19521.346344109013</v>
      </c>
      <c r="I117" s="34">
        <f t="array" ref="I117">INDEX('W23. TPES'!$F$13:$R$82,MATCH($A117&amp;$B117,'W23. TPES'!$A$13:$A$82&amp;'W23. TPES'!$C$13:$C$82,0),MATCH(I$70,'W23. TPES'!$F$12:$R$12,0))</f>
        <v>22542.7240900408</v>
      </c>
      <c r="J117" s="34">
        <f t="array" ref="J117">INDEX('W23. TPES'!$F$13:$R$82,MATCH($A117&amp;$B117,'W23. TPES'!$A$13:$A$82&amp;'W23. TPES'!$C$13:$C$82,0),MATCH(J$70,'W23. TPES'!$F$12:$R$12,0))</f>
        <v>25336.098934741171</v>
      </c>
    </row>
    <row r="118" spans="1:10" x14ac:dyDescent="0.3">
      <c r="A118" s="3" t="s">
        <v>381</v>
      </c>
      <c r="B118" s="3" t="s">
        <v>253</v>
      </c>
      <c r="C118" s="34">
        <f t="array" ref="C118">INDEX('W23. TPES'!$F$13:$R$82,MATCH($A118&amp;$B118,'W23. TPES'!$A$13:$A$82&amp;'W23. TPES'!$C$13:$C$82,0),MATCH(C$70,'W23. TPES'!$F$12:$R$12,0))</f>
        <v>54727.207129212009</v>
      </c>
      <c r="D118" s="34" t="str">
        <f t="array" ref="D118">INDEX('W23. TPES'!$F$13:$R$82,MATCH($A118&amp;$B118,'W23. TPES'!$A$13:$A$82&amp;'W23. TPES'!$C$13:$C$82,0),MATCH(D$70,'W23. TPES'!$F$12:$R$12,0))</f>
        <v/>
      </c>
      <c r="E118" s="34" t="str">
        <f t="array" ref="E118">INDEX('W23. TPES'!$F$13:$R$82,MATCH($A118&amp;$B118,'W23. TPES'!$A$13:$A$82&amp;'W23. TPES'!$C$13:$C$82,0),MATCH(E$70,'W23. TPES'!$F$12:$R$12,0))</f>
        <v/>
      </c>
      <c r="F118" s="34" t="str">
        <f t="array" ref="F118">INDEX('W23. TPES'!$F$13:$R$82,MATCH($A118&amp;$B118,'W23. TPES'!$A$13:$A$82&amp;'W23. TPES'!$C$13:$C$82,0),MATCH(F$70,'W23. TPES'!$F$12:$R$12,0))</f>
        <v/>
      </c>
      <c r="G118" s="34">
        <f t="array" ref="G118">INDEX('W23. TPES'!$F$13:$R$82,MATCH($A118&amp;$B118,'W23. TPES'!$A$13:$A$82&amp;'W23. TPES'!$C$13:$C$82,0),MATCH(G$70,'W23. TPES'!$F$12:$R$12,0))</f>
        <v>63329.516406807663</v>
      </c>
      <c r="H118" s="34">
        <f t="array" ref="H118">INDEX('W23. TPES'!$F$13:$R$82,MATCH($A118&amp;$B118,'W23. TPES'!$A$13:$A$82&amp;'W23. TPES'!$C$13:$C$82,0),MATCH(H$70,'W23. TPES'!$F$12:$R$12,0))</f>
        <v>74552.475154914529</v>
      </c>
      <c r="I118" s="34">
        <f t="array" ref="I118">INDEX('W23. TPES'!$F$13:$R$82,MATCH($A118&amp;$B118,'W23. TPES'!$A$13:$A$82&amp;'W23. TPES'!$C$13:$C$82,0),MATCH(I$70,'W23. TPES'!$F$12:$R$12,0))</f>
        <v>84595.559668756963</v>
      </c>
      <c r="J118" s="34">
        <f t="array" ref="J118">INDEX('W23. TPES'!$F$13:$R$82,MATCH($A118&amp;$B118,'W23. TPES'!$A$13:$A$82&amp;'W23. TPES'!$C$13:$C$82,0),MATCH(J$70,'W23. TPES'!$F$12:$R$12,0))</f>
        <v>92911.455462889993</v>
      </c>
    </row>
    <row r="119" spans="1:10" x14ac:dyDescent="0.3">
      <c r="A119" s="3" t="s">
        <v>381</v>
      </c>
      <c r="B119" s="3" t="s">
        <v>461</v>
      </c>
      <c r="C119" s="34">
        <f t="array" ref="C119">INDEX('W23. TPES'!$F$13:$R$82,MATCH($A119&amp;$B119,'W23. TPES'!$A$13:$A$82&amp;'W23. TPES'!$C$13:$C$82,0),MATCH(C$70,'W23. TPES'!$F$12:$R$12,0))</f>
        <v>7768.6318090440009</v>
      </c>
      <c r="D119" s="34" t="str">
        <f t="array" ref="D119">INDEX('W23. TPES'!$F$13:$R$82,MATCH($A119&amp;$B119,'W23. TPES'!$A$13:$A$82&amp;'W23. TPES'!$C$13:$C$82,0),MATCH(D$70,'W23. TPES'!$F$12:$R$12,0))</f>
        <v/>
      </c>
      <c r="E119" s="34" t="str">
        <f t="array" ref="E119">INDEX('W23. TPES'!$F$13:$R$82,MATCH($A119&amp;$B119,'W23. TPES'!$A$13:$A$82&amp;'W23. TPES'!$C$13:$C$82,0),MATCH(E$70,'W23. TPES'!$F$12:$R$12,0))</f>
        <v/>
      </c>
      <c r="F119" s="34" t="str">
        <f t="array" ref="F119">INDEX('W23. TPES'!$F$13:$R$82,MATCH($A119&amp;$B119,'W23. TPES'!$A$13:$A$82&amp;'W23. TPES'!$C$13:$C$82,0),MATCH(F$70,'W23. TPES'!$F$12:$R$12,0))</f>
        <v/>
      </c>
      <c r="G119" s="34">
        <f t="array" ref="G119">INDEX('W23. TPES'!$F$13:$R$82,MATCH($A119&amp;$B119,'W23. TPES'!$A$13:$A$82&amp;'W23. TPES'!$C$13:$C$82,0),MATCH(G$70,'W23. TPES'!$F$12:$R$12,0))</f>
        <v>15167.484074857288</v>
      </c>
      <c r="H119" s="34">
        <f t="array" ref="H119">INDEX('W23. TPES'!$F$13:$R$82,MATCH($A119&amp;$B119,'W23. TPES'!$A$13:$A$82&amp;'W23. TPES'!$C$13:$C$82,0),MATCH(H$70,'W23. TPES'!$F$12:$R$12,0))</f>
        <v>28996.761728250171</v>
      </c>
      <c r="I119" s="34">
        <f t="array" ref="I119">INDEX('W23. TPES'!$F$13:$R$82,MATCH($A119&amp;$B119,'W23. TPES'!$A$13:$A$82&amp;'W23. TPES'!$C$13:$C$82,0),MATCH(I$70,'W23. TPES'!$F$12:$R$12,0))</f>
        <v>47899.020655953034</v>
      </c>
      <c r="J119" s="34">
        <f t="array" ref="J119">INDEX('W23. TPES'!$F$13:$R$82,MATCH($A119&amp;$B119,'W23. TPES'!$A$13:$A$82&amp;'W23. TPES'!$C$13:$C$82,0),MATCH(J$70,'W23. TPES'!$F$12:$R$12,0))</f>
        <v>69303.266971006233</v>
      </c>
    </row>
    <row r="120" spans="1:10" x14ac:dyDescent="0.3">
      <c r="A120" s="3" t="s">
        <v>382</v>
      </c>
      <c r="B120" s="3" t="s">
        <v>254</v>
      </c>
      <c r="C120" s="34">
        <f t="array" ref="C120">INDEX('W23. TPES'!$F$13:$R$82,MATCH($A120&amp;$B120,'W23. TPES'!$A$13:$A$82&amp;'W23. TPES'!$C$13:$C$82,0),MATCH(C$70,'W23. TPES'!$F$12:$R$12,0))</f>
        <v>163853.62994548801</v>
      </c>
      <c r="D120" s="34" t="str">
        <f t="array" ref="D120">INDEX('W23. TPES'!$F$13:$R$82,MATCH($A120&amp;$B120,'W23. TPES'!$A$13:$A$82&amp;'W23. TPES'!$C$13:$C$82,0),MATCH(D$70,'W23. TPES'!$F$12:$R$12,0))</f>
        <v/>
      </c>
      <c r="E120" s="34" t="str">
        <f t="array" ref="E120">INDEX('W23. TPES'!$F$13:$R$82,MATCH($A120&amp;$B120,'W23. TPES'!$A$13:$A$82&amp;'W23. TPES'!$C$13:$C$82,0),MATCH(E$70,'W23. TPES'!$F$12:$R$12,0))</f>
        <v/>
      </c>
      <c r="F120" s="34" t="str">
        <f t="array" ref="F120">INDEX('W23. TPES'!$F$13:$R$82,MATCH($A120&amp;$B120,'W23. TPES'!$A$13:$A$82&amp;'W23. TPES'!$C$13:$C$82,0),MATCH(F$70,'W23. TPES'!$F$12:$R$12,0))</f>
        <v/>
      </c>
      <c r="G120" s="34">
        <f t="array" ref="G120">INDEX('W23. TPES'!$F$13:$R$82,MATCH($A120&amp;$B120,'W23. TPES'!$A$13:$A$82&amp;'W23. TPES'!$C$13:$C$82,0),MATCH(G$70,'W23. TPES'!$F$12:$R$12,0))</f>
        <v>141485.18798279564</v>
      </c>
      <c r="H120" s="34">
        <f t="array" ref="H120">INDEX('W23. TPES'!$F$13:$R$82,MATCH($A120&amp;$B120,'W23. TPES'!$A$13:$A$82&amp;'W23. TPES'!$C$13:$C$82,0),MATCH(H$70,'W23. TPES'!$F$12:$R$12,0))</f>
        <v>95650.103712068187</v>
      </c>
      <c r="I120" s="34">
        <f t="array" ref="I120">INDEX('W23. TPES'!$F$13:$R$82,MATCH($A120&amp;$B120,'W23. TPES'!$A$13:$A$82&amp;'W23. TPES'!$C$13:$C$82,0),MATCH(I$70,'W23. TPES'!$F$12:$R$12,0))</f>
        <v>65415.479524564296</v>
      </c>
      <c r="J120" s="34">
        <f t="array" ref="J120">INDEX('W23. TPES'!$F$13:$R$82,MATCH($A120&amp;$B120,'W23. TPES'!$A$13:$A$82&amp;'W23. TPES'!$C$13:$C$82,0),MATCH(J$70,'W23. TPES'!$F$12:$R$12,0))</f>
        <v>53245.511661229037</v>
      </c>
    </row>
    <row r="121" spans="1:10" x14ac:dyDescent="0.3">
      <c r="A121" s="3" t="s">
        <v>382</v>
      </c>
      <c r="B121" s="3" t="s">
        <v>266</v>
      </c>
      <c r="C121" s="34">
        <f t="array" ref="C121">INDEX('W23. TPES'!$F$13:$R$82,MATCH($A121&amp;$B121,'W23. TPES'!$A$13:$A$82&amp;'W23. TPES'!$C$13:$C$82,0),MATCH(C$70,'W23. TPES'!$F$12:$R$12,0))</f>
        <v>179603.77400539213</v>
      </c>
      <c r="D121" s="34" t="str">
        <f t="array" ref="D121">INDEX('W23. TPES'!$F$13:$R$82,MATCH($A121&amp;$B121,'W23. TPES'!$A$13:$A$82&amp;'W23. TPES'!$C$13:$C$82,0),MATCH(D$70,'W23. TPES'!$F$12:$R$12,0))</f>
        <v/>
      </c>
      <c r="E121" s="34" t="str">
        <f t="array" ref="E121">INDEX('W23. TPES'!$F$13:$R$82,MATCH($A121&amp;$B121,'W23. TPES'!$A$13:$A$82&amp;'W23. TPES'!$C$13:$C$82,0),MATCH(E$70,'W23. TPES'!$F$12:$R$12,0))</f>
        <v/>
      </c>
      <c r="F121" s="34" t="str">
        <f t="array" ref="F121">INDEX('W23. TPES'!$F$13:$R$82,MATCH($A121&amp;$B121,'W23. TPES'!$A$13:$A$82&amp;'W23. TPES'!$C$13:$C$82,0),MATCH(F$70,'W23. TPES'!$F$12:$R$12,0))</f>
        <v/>
      </c>
      <c r="G121" s="34">
        <f t="array" ref="G121">INDEX('W23. TPES'!$F$13:$R$82,MATCH($A121&amp;$B121,'W23. TPES'!$A$13:$A$82&amp;'W23. TPES'!$C$13:$C$82,0),MATCH(G$70,'W23. TPES'!$F$12:$R$12,0))</f>
        <v>173200.28108051373</v>
      </c>
      <c r="H121" s="34">
        <f t="array" ref="H121">INDEX('W23. TPES'!$F$13:$R$82,MATCH($A121&amp;$B121,'W23. TPES'!$A$13:$A$82&amp;'W23. TPES'!$C$13:$C$82,0),MATCH(H$70,'W23. TPES'!$F$12:$R$12,0))</f>
        <v>159317.83188446047</v>
      </c>
      <c r="I121" s="34">
        <f t="array" ref="I121">INDEX('W23. TPES'!$F$13:$R$82,MATCH($A121&amp;$B121,'W23. TPES'!$A$13:$A$82&amp;'W23. TPES'!$C$13:$C$82,0),MATCH(I$70,'W23. TPES'!$F$12:$R$12,0))</f>
        <v>139519.10689064197</v>
      </c>
      <c r="J121" s="34">
        <f t="array" ref="J121">INDEX('W23. TPES'!$F$13:$R$82,MATCH($A121&amp;$B121,'W23. TPES'!$A$13:$A$82&amp;'W23. TPES'!$C$13:$C$82,0),MATCH(J$70,'W23. TPES'!$F$12:$R$12,0))</f>
        <v>115684.21404773994</v>
      </c>
    </row>
    <row r="122" spans="1:10" x14ac:dyDescent="0.3">
      <c r="A122" s="3" t="s">
        <v>382</v>
      </c>
      <c r="B122" s="3" t="s">
        <v>255</v>
      </c>
      <c r="C122" s="34">
        <f t="array" ref="C122">INDEX('W23. TPES'!$F$13:$R$82,MATCH($A122&amp;$B122,'W23. TPES'!$A$13:$A$82&amp;'W23. TPES'!$C$13:$C$82,0),MATCH(C$70,'W23. TPES'!$F$12:$R$12,0))</f>
        <v>121441.43859937201</v>
      </c>
      <c r="D122" s="34" t="str">
        <f t="array" ref="D122">INDEX('W23. TPES'!$F$13:$R$82,MATCH($A122&amp;$B122,'W23. TPES'!$A$13:$A$82&amp;'W23. TPES'!$C$13:$C$82,0),MATCH(D$70,'W23. TPES'!$F$12:$R$12,0))</f>
        <v/>
      </c>
      <c r="E122" s="34" t="str">
        <f t="array" ref="E122">INDEX('W23. TPES'!$F$13:$R$82,MATCH($A122&amp;$B122,'W23. TPES'!$A$13:$A$82&amp;'W23. TPES'!$C$13:$C$82,0),MATCH(E$70,'W23. TPES'!$F$12:$R$12,0))</f>
        <v/>
      </c>
      <c r="F122" s="34" t="str">
        <f t="array" ref="F122">INDEX('W23. TPES'!$F$13:$R$82,MATCH($A122&amp;$B122,'W23. TPES'!$A$13:$A$82&amp;'W23. TPES'!$C$13:$C$82,0),MATCH(F$70,'W23. TPES'!$F$12:$R$12,0))</f>
        <v/>
      </c>
      <c r="G122" s="34">
        <f t="array" ref="G122">INDEX('W23. TPES'!$F$13:$R$82,MATCH($A122&amp;$B122,'W23. TPES'!$A$13:$A$82&amp;'W23. TPES'!$C$13:$C$82,0),MATCH(G$70,'W23. TPES'!$F$12:$R$12,0))</f>
        <v>130428.26178044887</v>
      </c>
      <c r="H122" s="34">
        <f t="array" ref="H122">INDEX('W23. TPES'!$F$13:$R$82,MATCH($A122&amp;$B122,'W23. TPES'!$A$13:$A$82&amp;'W23. TPES'!$C$13:$C$82,0),MATCH(H$70,'W23. TPES'!$F$12:$R$12,0))</f>
        <v>132421.50137990084</v>
      </c>
      <c r="I122" s="34">
        <f t="array" ref="I122">INDEX('W23. TPES'!$F$13:$R$82,MATCH($A122&amp;$B122,'W23. TPES'!$A$13:$A$82&amp;'W23. TPES'!$C$13:$C$82,0),MATCH(I$70,'W23. TPES'!$F$12:$R$12,0))</f>
        <v>119025.19212680159</v>
      </c>
      <c r="J122" s="34">
        <f t="array" ref="J122">INDEX('W23. TPES'!$F$13:$R$82,MATCH($A122&amp;$B122,'W23. TPES'!$A$13:$A$82&amp;'W23. TPES'!$C$13:$C$82,0),MATCH(J$70,'W23. TPES'!$F$12:$R$12,0))</f>
        <v>100303.98266473763</v>
      </c>
    </row>
    <row r="123" spans="1:10" x14ac:dyDescent="0.3">
      <c r="A123" s="3" t="s">
        <v>382</v>
      </c>
      <c r="B123" s="3" t="s">
        <v>257</v>
      </c>
      <c r="C123" s="34">
        <f t="array" ref="C123">INDEX('W23. TPES'!$F$13:$R$82,MATCH($A123&amp;$B123,'W23. TPES'!$A$13:$A$82&amp;'W23. TPES'!$C$13:$C$82,0),MATCH(C$70,'W23. TPES'!$F$12:$R$12,0))</f>
        <v>27689.539085172</v>
      </c>
      <c r="D123" s="34" t="str">
        <f t="array" ref="D123">INDEX('W23. TPES'!$F$13:$R$82,MATCH($A123&amp;$B123,'W23. TPES'!$A$13:$A$82&amp;'W23. TPES'!$C$13:$C$82,0),MATCH(D$70,'W23. TPES'!$F$12:$R$12,0))</f>
        <v/>
      </c>
      <c r="E123" s="34" t="str">
        <f t="array" ref="E123">INDEX('W23. TPES'!$F$13:$R$82,MATCH($A123&amp;$B123,'W23. TPES'!$A$13:$A$82&amp;'W23. TPES'!$C$13:$C$82,0),MATCH(E$70,'W23. TPES'!$F$12:$R$12,0))</f>
        <v/>
      </c>
      <c r="F123" s="34" t="str">
        <f t="array" ref="F123">INDEX('W23. TPES'!$F$13:$R$82,MATCH($A123&amp;$B123,'W23. TPES'!$A$13:$A$82&amp;'W23. TPES'!$C$13:$C$82,0),MATCH(F$70,'W23. TPES'!$F$12:$R$12,0))</f>
        <v/>
      </c>
      <c r="G123" s="34">
        <f t="array" ref="G123">INDEX('W23. TPES'!$F$13:$R$82,MATCH($A123&amp;$B123,'W23. TPES'!$A$13:$A$82&amp;'W23. TPES'!$C$13:$C$82,0),MATCH(G$70,'W23. TPES'!$F$12:$R$12,0))</f>
        <v>33611.489844121767</v>
      </c>
      <c r="H123" s="34">
        <f t="array" ref="H123">INDEX('W23. TPES'!$F$13:$R$82,MATCH($A123&amp;$B123,'W23. TPES'!$A$13:$A$82&amp;'W23. TPES'!$C$13:$C$82,0),MATCH(H$70,'W23. TPES'!$F$12:$R$12,0))</f>
        <v>49502.93176789557</v>
      </c>
      <c r="I123" s="34">
        <f t="array" ref="I123">INDEX('W23. TPES'!$F$13:$R$82,MATCH($A123&amp;$B123,'W23. TPES'!$A$13:$A$82&amp;'W23. TPES'!$C$13:$C$82,0),MATCH(I$70,'W23. TPES'!$F$12:$R$12,0))</f>
        <v>64864.445191910199</v>
      </c>
      <c r="J123" s="34">
        <f t="array" ref="J123">INDEX('W23. TPES'!$F$13:$R$82,MATCH($A123&amp;$B123,'W23. TPES'!$A$13:$A$82&amp;'W23. TPES'!$C$13:$C$82,0),MATCH(J$70,'W23. TPES'!$F$12:$R$12,0))</f>
        <v>74891.155226192335</v>
      </c>
    </row>
    <row r="124" spans="1:10" x14ac:dyDescent="0.3">
      <c r="A124" s="3" t="s">
        <v>382</v>
      </c>
      <c r="B124" s="3" t="s">
        <v>256</v>
      </c>
      <c r="C124" s="34">
        <f t="array" ref="C124">INDEX('W23. TPES'!$F$13:$R$82,MATCH($A124&amp;$B124,'W23. TPES'!$A$13:$A$82&amp;'W23. TPES'!$C$13:$C$82,0),MATCH(C$70,'W23. TPES'!$F$12:$R$12,0))</f>
        <v>14023.472570784001</v>
      </c>
      <c r="D124" s="34" t="str">
        <f t="array" ref="D124">INDEX('W23. TPES'!$F$13:$R$82,MATCH($A124&amp;$B124,'W23. TPES'!$A$13:$A$82&amp;'W23. TPES'!$C$13:$C$82,0),MATCH(D$70,'W23. TPES'!$F$12:$R$12,0))</f>
        <v/>
      </c>
      <c r="E124" s="34" t="str">
        <f t="array" ref="E124">INDEX('W23. TPES'!$F$13:$R$82,MATCH($A124&amp;$B124,'W23. TPES'!$A$13:$A$82&amp;'W23. TPES'!$C$13:$C$82,0),MATCH(E$70,'W23. TPES'!$F$12:$R$12,0))</f>
        <v/>
      </c>
      <c r="F124" s="34" t="str">
        <f t="array" ref="F124">INDEX('W23. TPES'!$F$13:$R$82,MATCH($A124&amp;$B124,'W23. TPES'!$A$13:$A$82&amp;'W23. TPES'!$C$13:$C$82,0),MATCH(F$70,'W23. TPES'!$F$12:$R$12,0))</f>
        <v/>
      </c>
      <c r="G124" s="34">
        <f t="array" ref="G124">INDEX('W23. TPES'!$F$13:$R$82,MATCH($A124&amp;$B124,'W23. TPES'!$A$13:$A$82&amp;'W23. TPES'!$C$13:$C$82,0),MATCH(G$70,'W23. TPES'!$F$12:$R$12,0))</f>
        <v>16503.233490507846</v>
      </c>
      <c r="H124" s="34">
        <f t="array" ref="H124">INDEX('W23. TPES'!$F$13:$R$82,MATCH($A124&amp;$B124,'W23. TPES'!$A$13:$A$82&amp;'W23. TPES'!$C$13:$C$82,0),MATCH(H$70,'W23. TPES'!$F$12:$R$12,0))</f>
        <v>20491.966300420339</v>
      </c>
      <c r="I124" s="34">
        <f t="array" ref="I124">INDEX('W23. TPES'!$F$13:$R$82,MATCH($A124&amp;$B124,'W23. TPES'!$A$13:$A$82&amp;'W23. TPES'!$C$13:$C$82,0),MATCH(I$70,'W23. TPES'!$F$12:$R$12,0))</f>
        <v>23829.259476808154</v>
      </c>
      <c r="J124" s="34">
        <f t="array" ref="J124">INDEX('W23. TPES'!$F$13:$R$82,MATCH($A124&amp;$B124,'W23. TPES'!$A$13:$A$82&amp;'W23. TPES'!$C$13:$C$82,0),MATCH(J$70,'W23. TPES'!$F$12:$R$12,0))</f>
        <v>27432.314585484259</v>
      </c>
    </row>
    <row r="125" spans="1:10" x14ac:dyDescent="0.3">
      <c r="A125" s="3" t="s">
        <v>382</v>
      </c>
      <c r="B125" s="3" t="s">
        <v>253</v>
      </c>
      <c r="C125" s="34">
        <f t="array" ref="C125">INDEX('W23. TPES'!$F$13:$R$82,MATCH($A125&amp;$B125,'W23. TPES'!$A$13:$A$82&amp;'W23. TPES'!$C$13:$C$82,0),MATCH(C$70,'W23. TPES'!$F$12:$R$12,0))</f>
        <v>54727.207129212009</v>
      </c>
      <c r="D125" s="34" t="str">
        <f t="array" ref="D125">INDEX('W23. TPES'!$F$13:$R$82,MATCH($A125&amp;$B125,'W23. TPES'!$A$13:$A$82&amp;'W23. TPES'!$C$13:$C$82,0),MATCH(D$70,'W23. TPES'!$F$12:$R$12,0))</f>
        <v/>
      </c>
      <c r="E125" s="34" t="str">
        <f t="array" ref="E125">INDEX('W23. TPES'!$F$13:$R$82,MATCH($A125&amp;$B125,'W23. TPES'!$A$13:$A$82&amp;'W23. TPES'!$C$13:$C$82,0),MATCH(E$70,'W23. TPES'!$F$12:$R$12,0))</f>
        <v/>
      </c>
      <c r="F125" s="34" t="str">
        <f t="array" ref="F125">INDEX('W23. TPES'!$F$13:$R$82,MATCH($A125&amp;$B125,'W23. TPES'!$A$13:$A$82&amp;'W23. TPES'!$C$13:$C$82,0),MATCH(F$70,'W23. TPES'!$F$12:$R$12,0))</f>
        <v/>
      </c>
      <c r="G125" s="34">
        <f t="array" ref="G125">INDEX('W23. TPES'!$F$13:$R$82,MATCH($A125&amp;$B125,'W23. TPES'!$A$13:$A$82&amp;'W23. TPES'!$C$13:$C$82,0),MATCH(G$70,'W23. TPES'!$F$12:$R$12,0))</f>
        <v>67832.13178709698</v>
      </c>
      <c r="H125" s="34">
        <f t="array" ref="H125">INDEX('W23. TPES'!$F$13:$R$82,MATCH($A125&amp;$B125,'W23. TPES'!$A$13:$A$82&amp;'W23. TPES'!$C$13:$C$82,0),MATCH(H$70,'W23. TPES'!$F$12:$R$12,0))</f>
        <v>90180.233103137376</v>
      </c>
      <c r="I125" s="34">
        <f t="array" ref="I125">INDEX('W23. TPES'!$F$13:$R$82,MATCH($A125&amp;$B125,'W23. TPES'!$A$13:$A$82&amp;'W23. TPES'!$C$13:$C$82,0),MATCH(I$70,'W23. TPES'!$F$12:$R$12,0))</f>
        <v>117284.31604837345</v>
      </c>
      <c r="J125" s="34">
        <f t="array" ref="J125">INDEX('W23. TPES'!$F$13:$R$82,MATCH($A125&amp;$B125,'W23. TPES'!$A$13:$A$82&amp;'W23. TPES'!$C$13:$C$82,0),MATCH(J$70,'W23. TPES'!$F$12:$R$12,0))</f>
        <v>137357.80571970274</v>
      </c>
    </row>
    <row r="126" spans="1:10" x14ac:dyDescent="0.3">
      <c r="A126" s="3" t="s">
        <v>382</v>
      </c>
      <c r="B126" s="3" t="s">
        <v>461</v>
      </c>
      <c r="C126" s="34">
        <f t="array" ref="C126">INDEX('W23. TPES'!$F$13:$R$82,MATCH($A126&amp;$B126,'W23. TPES'!$A$13:$A$82&amp;'W23. TPES'!$C$13:$C$82,0),MATCH(C$70,'W23. TPES'!$F$12:$R$12,0))</f>
        <v>7768.6318090440009</v>
      </c>
      <c r="D126" s="34" t="str">
        <f t="array" ref="D126">INDEX('W23. TPES'!$F$13:$R$82,MATCH($A126&amp;$B126,'W23. TPES'!$A$13:$A$82&amp;'W23. TPES'!$C$13:$C$82,0),MATCH(D$70,'W23. TPES'!$F$12:$R$12,0))</f>
        <v/>
      </c>
      <c r="E126" s="34" t="str">
        <f t="array" ref="E126">INDEX('W23. TPES'!$F$13:$R$82,MATCH($A126&amp;$B126,'W23. TPES'!$A$13:$A$82&amp;'W23. TPES'!$C$13:$C$82,0),MATCH(E$70,'W23. TPES'!$F$12:$R$12,0))</f>
        <v/>
      </c>
      <c r="F126" s="34" t="str">
        <f t="array" ref="F126">INDEX('W23. TPES'!$F$13:$R$82,MATCH($A126&amp;$B126,'W23. TPES'!$A$13:$A$82&amp;'W23. TPES'!$C$13:$C$82,0),MATCH(F$70,'W23. TPES'!$F$12:$R$12,0))</f>
        <v/>
      </c>
      <c r="G126" s="34">
        <f t="array" ref="G126">INDEX('W23. TPES'!$F$13:$R$82,MATCH($A126&amp;$B126,'W23. TPES'!$A$13:$A$82&amp;'W23. TPES'!$C$13:$C$82,0),MATCH(G$70,'W23. TPES'!$F$12:$R$12,0))</f>
        <v>18710.403249704697</v>
      </c>
      <c r="H126" s="34">
        <f t="array" ref="H126">INDEX('W23. TPES'!$F$13:$R$82,MATCH($A126&amp;$B126,'W23. TPES'!$A$13:$A$82&amp;'W23. TPES'!$C$13:$C$82,0),MATCH(H$70,'W23. TPES'!$F$12:$R$12,0))</f>
        <v>44730.7564804207</v>
      </c>
      <c r="I126" s="34">
        <f t="array" ref="I126">INDEX('W23. TPES'!$F$13:$R$82,MATCH($A126&amp;$B126,'W23. TPES'!$A$13:$A$82&amp;'W23. TPES'!$C$13:$C$82,0),MATCH(I$70,'W23. TPES'!$F$12:$R$12,0))</f>
        <v>81212.237360962084</v>
      </c>
      <c r="J126" s="34">
        <f t="array" ref="J126">INDEX('W23. TPES'!$F$13:$R$82,MATCH($A126&amp;$B126,'W23. TPES'!$A$13:$A$82&amp;'W23. TPES'!$C$13:$C$82,0),MATCH(J$70,'W23. TPES'!$F$12:$R$12,0))</f>
        <v>124158.01690898238</v>
      </c>
    </row>
    <row r="127" spans="1:10" x14ac:dyDescent="0.3">
      <c r="A127" s="3" t="s">
        <v>383</v>
      </c>
      <c r="B127" s="3" t="s">
        <v>254</v>
      </c>
      <c r="C127" s="34">
        <f t="array" ref="C127">INDEX('W23. TPES'!$F$13:$R$82,MATCH($A127&amp;$B127,'W23. TPES'!$A$13:$A$82&amp;'W23. TPES'!$C$13:$C$82,0),MATCH(C$70,'W23. TPES'!$F$12:$R$12,0))</f>
        <v>163853.62994548801</v>
      </c>
      <c r="D127" s="34" t="str">
        <f t="array" ref="D127">INDEX('W23. TPES'!$F$13:$R$82,MATCH($A127&amp;$B127,'W23. TPES'!$A$13:$A$82&amp;'W23. TPES'!$C$13:$C$82,0),MATCH(D$70,'W23. TPES'!$F$12:$R$12,0))</f>
        <v/>
      </c>
      <c r="E127" s="34" t="str">
        <f t="array" ref="E127">INDEX('W23. TPES'!$F$13:$R$82,MATCH($A127&amp;$B127,'W23. TPES'!$A$13:$A$82&amp;'W23. TPES'!$C$13:$C$82,0),MATCH(E$70,'W23. TPES'!$F$12:$R$12,0))</f>
        <v/>
      </c>
      <c r="F127" s="34" t="str">
        <f t="array" ref="F127">INDEX('W23. TPES'!$F$13:$R$82,MATCH($A127&amp;$B127,'W23. TPES'!$A$13:$A$82&amp;'W23. TPES'!$C$13:$C$82,0),MATCH(F$70,'W23. TPES'!$F$12:$R$12,0))</f>
        <v/>
      </c>
      <c r="G127" s="34">
        <f t="array" ref="G127">INDEX('W23. TPES'!$F$13:$R$82,MATCH($A127&amp;$B127,'W23. TPES'!$A$13:$A$82&amp;'W23. TPES'!$C$13:$C$82,0),MATCH(G$70,'W23. TPES'!$F$12:$R$12,0))</f>
        <v>129347.78387878045</v>
      </c>
      <c r="H127" s="34">
        <f t="array" ref="H127">INDEX('W23. TPES'!$F$13:$R$82,MATCH($A127&amp;$B127,'W23. TPES'!$A$13:$A$82&amp;'W23. TPES'!$C$13:$C$82,0),MATCH(H$70,'W23. TPES'!$F$12:$R$12,0))</f>
        <v>74047.871659653523</v>
      </c>
      <c r="I127" s="34">
        <f t="array" ref="I127">INDEX('W23. TPES'!$F$13:$R$82,MATCH($A127&amp;$B127,'W23. TPES'!$A$13:$A$82&amp;'W23. TPES'!$C$13:$C$82,0),MATCH(I$70,'W23. TPES'!$F$12:$R$12,0))</f>
        <v>51673.549600324222</v>
      </c>
      <c r="J127" s="34">
        <f t="array" ref="J127">INDEX('W23. TPES'!$F$13:$R$82,MATCH($A127&amp;$B127,'W23. TPES'!$A$13:$A$82&amp;'W23. TPES'!$C$13:$C$82,0),MATCH(J$70,'W23. TPES'!$F$12:$R$12,0))</f>
        <v>42880.627736086106</v>
      </c>
    </row>
    <row r="128" spans="1:10" x14ac:dyDescent="0.3">
      <c r="A128" s="3" t="s">
        <v>383</v>
      </c>
      <c r="B128" s="3" t="s">
        <v>266</v>
      </c>
      <c r="C128" s="34">
        <f t="array" ref="C128">INDEX('W23. TPES'!$F$13:$R$82,MATCH($A128&amp;$B128,'W23. TPES'!$A$13:$A$82&amp;'W23. TPES'!$C$13:$C$82,0),MATCH(C$70,'W23. TPES'!$F$12:$R$12,0))</f>
        <v>179603.77400539213</v>
      </c>
      <c r="D128" s="34" t="str">
        <f t="array" ref="D128">INDEX('W23. TPES'!$F$13:$R$82,MATCH($A128&amp;$B128,'W23. TPES'!$A$13:$A$82&amp;'W23. TPES'!$C$13:$C$82,0),MATCH(D$70,'W23. TPES'!$F$12:$R$12,0))</f>
        <v/>
      </c>
      <c r="E128" s="34" t="str">
        <f t="array" ref="E128">INDEX('W23. TPES'!$F$13:$R$82,MATCH($A128&amp;$B128,'W23. TPES'!$A$13:$A$82&amp;'W23. TPES'!$C$13:$C$82,0),MATCH(E$70,'W23. TPES'!$F$12:$R$12,0))</f>
        <v/>
      </c>
      <c r="F128" s="34" t="str">
        <f t="array" ref="F128">INDEX('W23. TPES'!$F$13:$R$82,MATCH($A128&amp;$B128,'W23. TPES'!$A$13:$A$82&amp;'W23. TPES'!$C$13:$C$82,0),MATCH(F$70,'W23. TPES'!$F$12:$R$12,0))</f>
        <v/>
      </c>
      <c r="G128" s="34">
        <f t="array" ref="G128">INDEX('W23. TPES'!$F$13:$R$82,MATCH($A128&amp;$B128,'W23. TPES'!$A$13:$A$82&amp;'W23. TPES'!$C$13:$C$82,0),MATCH(G$70,'W23. TPES'!$F$12:$R$12,0))</f>
        <v>167877.1821745481</v>
      </c>
      <c r="H128" s="34">
        <f t="array" ref="H128">INDEX('W23. TPES'!$F$13:$R$82,MATCH($A128&amp;$B128,'W23. TPES'!$A$13:$A$82&amp;'W23. TPES'!$C$13:$C$82,0),MATCH(H$70,'W23. TPES'!$F$12:$R$12,0))</f>
        <v>141923.54122999078</v>
      </c>
      <c r="I128" s="34">
        <f t="array" ref="I128">INDEX('W23. TPES'!$F$13:$R$82,MATCH($A128&amp;$B128,'W23. TPES'!$A$13:$A$82&amp;'W23. TPES'!$C$13:$C$82,0),MATCH(I$70,'W23. TPES'!$F$12:$R$12,0))</f>
        <v>109319.17110454802</v>
      </c>
      <c r="J128" s="34">
        <f t="array" ref="J128">INDEX('W23. TPES'!$F$13:$R$82,MATCH($A128&amp;$B128,'W23. TPES'!$A$13:$A$82&amp;'W23. TPES'!$C$13:$C$82,0),MATCH(J$70,'W23. TPES'!$F$12:$R$12,0))</f>
        <v>81562.191605361179</v>
      </c>
    </row>
    <row r="129" spans="1:10" x14ac:dyDescent="0.3">
      <c r="A129" s="3" t="s">
        <v>383</v>
      </c>
      <c r="B129" s="3" t="s">
        <v>255</v>
      </c>
      <c r="C129" s="34">
        <f t="array" ref="C129">INDEX('W23. TPES'!$F$13:$R$82,MATCH($A129&amp;$B129,'W23. TPES'!$A$13:$A$82&amp;'W23. TPES'!$C$13:$C$82,0),MATCH(C$70,'W23. TPES'!$F$12:$R$12,0))</f>
        <v>121441.43859937201</v>
      </c>
      <c r="D129" s="34" t="str">
        <f t="array" ref="D129">INDEX('W23. TPES'!$F$13:$R$82,MATCH($A129&amp;$B129,'W23. TPES'!$A$13:$A$82&amp;'W23. TPES'!$C$13:$C$82,0),MATCH(D$70,'W23. TPES'!$F$12:$R$12,0))</f>
        <v/>
      </c>
      <c r="E129" s="34" t="str">
        <f t="array" ref="E129">INDEX('W23. TPES'!$F$13:$R$82,MATCH($A129&amp;$B129,'W23. TPES'!$A$13:$A$82&amp;'W23. TPES'!$C$13:$C$82,0),MATCH(E$70,'W23. TPES'!$F$12:$R$12,0))</f>
        <v/>
      </c>
      <c r="F129" s="34" t="str">
        <f t="array" ref="F129">INDEX('W23. TPES'!$F$13:$R$82,MATCH($A129&amp;$B129,'W23. TPES'!$A$13:$A$82&amp;'W23. TPES'!$C$13:$C$82,0),MATCH(F$70,'W23. TPES'!$F$12:$R$12,0))</f>
        <v/>
      </c>
      <c r="G129" s="34">
        <f t="array" ref="G129">INDEX('W23. TPES'!$F$13:$R$82,MATCH($A129&amp;$B129,'W23. TPES'!$A$13:$A$82&amp;'W23. TPES'!$C$13:$C$82,0),MATCH(G$70,'W23. TPES'!$F$12:$R$12,0))</f>
        <v>128465.26025391271</v>
      </c>
      <c r="H129" s="34">
        <f t="array" ref="H129">INDEX('W23. TPES'!$F$13:$R$82,MATCH($A129&amp;$B129,'W23. TPES'!$A$13:$A$82&amp;'W23. TPES'!$C$13:$C$82,0),MATCH(H$70,'W23. TPES'!$F$12:$R$12,0))</f>
        <v>128627.8786968661</v>
      </c>
      <c r="I129" s="34">
        <f t="array" ref="I129">INDEX('W23. TPES'!$F$13:$R$82,MATCH($A129&amp;$B129,'W23. TPES'!$A$13:$A$82&amp;'W23. TPES'!$C$13:$C$82,0),MATCH(I$70,'W23. TPES'!$F$12:$R$12,0))</f>
        <v>100352.11282422053</v>
      </c>
      <c r="J129" s="34">
        <f t="array" ref="J129">INDEX('W23. TPES'!$F$13:$R$82,MATCH($A129&amp;$B129,'W23. TPES'!$A$13:$A$82&amp;'W23. TPES'!$C$13:$C$82,0),MATCH(J$70,'W23. TPES'!$F$12:$R$12,0))</f>
        <v>67299.638095995033</v>
      </c>
    </row>
    <row r="130" spans="1:10" x14ac:dyDescent="0.3">
      <c r="A130" s="3" t="s">
        <v>383</v>
      </c>
      <c r="B130" s="3" t="s">
        <v>257</v>
      </c>
      <c r="C130" s="34">
        <f t="array" ref="C130">INDEX('W23. TPES'!$F$13:$R$82,MATCH($A130&amp;$B130,'W23. TPES'!$A$13:$A$82&amp;'W23. TPES'!$C$13:$C$82,0),MATCH(C$70,'W23. TPES'!$F$12:$R$12,0))</f>
        <v>27689.539085172</v>
      </c>
      <c r="D130" s="34" t="str">
        <f t="array" ref="D130">INDEX('W23. TPES'!$F$13:$R$82,MATCH($A130&amp;$B130,'W23. TPES'!$A$13:$A$82&amp;'W23. TPES'!$C$13:$C$82,0),MATCH(D$70,'W23. TPES'!$F$12:$R$12,0))</f>
        <v/>
      </c>
      <c r="E130" s="34" t="str">
        <f t="array" ref="E130">INDEX('W23. TPES'!$F$13:$R$82,MATCH($A130&amp;$B130,'W23. TPES'!$A$13:$A$82&amp;'W23. TPES'!$C$13:$C$82,0),MATCH(E$70,'W23. TPES'!$F$12:$R$12,0))</f>
        <v/>
      </c>
      <c r="F130" s="34" t="str">
        <f t="array" ref="F130">INDEX('W23. TPES'!$F$13:$R$82,MATCH($A130&amp;$B130,'W23. TPES'!$A$13:$A$82&amp;'W23. TPES'!$C$13:$C$82,0),MATCH(F$70,'W23. TPES'!$F$12:$R$12,0))</f>
        <v/>
      </c>
      <c r="G130" s="34">
        <f t="array" ref="G130">INDEX('W23. TPES'!$F$13:$R$82,MATCH($A130&amp;$B130,'W23. TPES'!$A$13:$A$82&amp;'W23. TPES'!$C$13:$C$82,0),MATCH(G$70,'W23. TPES'!$F$12:$R$12,0))</f>
        <v>33894.826663311454</v>
      </c>
      <c r="H130" s="34">
        <f t="array" ref="H130">INDEX('W23. TPES'!$F$13:$R$82,MATCH($A130&amp;$B130,'W23. TPES'!$A$13:$A$82&amp;'W23. TPES'!$C$13:$C$82,0),MATCH(H$70,'W23. TPES'!$F$12:$R$12,0))</f>
        <v>49870.737326783659</v>
      </c>
      <c r="I130" s="34">
        <f t="array" ref="I130">INDEX('W23. TPES'!$F$13:$R$82,MATCH($A130&amp;$B130,'W23. TPES'!$A$13:$A$82&amp;'W23. TPES'!$C$13:$C$82,0),MATCH(I$70,'W23. TPES'!$F$12:$R$12,0))</f>
        <v>65406.038350813542</v>
      </c>
      <c r="J130" s="34">
        <f t="array" ref="J130">INDEX('W23. TPES'!$F$13:$R$82,MATCH($A130&amp;$B130,'W23. TPES'!$A$13:$A$82&amp;'W23. TPES'!$C$13:$C$82,0),MATCH(J$70,'W23. TPES'!$F$12:$R$12,0))</f>
        <v>76388.700952805651</v>
      </c>
    </row>
    <row r="131" spans="1:10" x14ac:dyDescent="0.3">
      <c r="A131" s="3" t="s">
        <v>383</v>
      </c>
      <c r="B131" s="3" t="s">
        <v>256</v>
      </c>
      <c r="C131" s="34">
        <f t="array" ref="C131">INDEX('W23. TPES'!$F$13:$R$82,MATCH($A131&amp;$B131,'W23. TPES'!$A$13:$A$82&amp;'W23. TPES'!$C$13:$C$82,0),MATCH(C$70,'W23. TPES'!$F$12:$R$12,0))</f>
        <v>14023.472570784001</v>
      </c>
      <c r="D131" s="34" t="str">
        <f t="array" ref="D131">INDEX('W23. TPES'!$F$13:$R$82,MATCH($A131&amp;$B131,'W23. TPES'!$A$13:$A$82&amp;'W23. TPES'!$C$13:$C$82,0),MATCH(D$70,'W23. TPES'!$F$12:$R$12,0))</f>
        <v/>
      </c>
      <c r="E131" s="34" t="str">
        <f t="array" ref="E131">INDEX('W23. TPES'!$F$13:$R$82,MATCH($A131&amp;$B131,'W23. TPES'!$A$13:$A$82&amp;'W23. TPES'!$C$13:$C$82,0),MATCH(E$70,'W23. TPES'!$F$12:$R$12,0))</f>
        <v/>
      </c>
      <c r="F131" s="34" t="str">
        <f t="array" ref="F131">INDEX('W23. TPES'!$F$13:$R$82,MATCH($A131&amp;$B131,'W23. TPES'!$A$13:$A$82&amp;'W23. TPES'!$C$13:$C$82,0),MATCH(F$70,'W23. TPES'!$F$12:$R$12,0))</f>
        <v/>
      </c>
      <c r="G131" s="34">
        <f t="array" ref="G131">INDEX('W23. TPES'!$F$13:$R$82,MATCH($A131&amp;$B131,'W23. TPES'!$A$13:$A$82&amp;'W23. TPES'!$C$13:$C$82,0),MATCH(G$70,'W23. TPES'!$F$12:$R$12,0))</f>
        <v>16506.680458921099</v>
      </c>
      <c r="H131" s="34">
        <f t="array" ref="H131">INDEX('W23. TPES'!$F$13:$R$82,MATCH($A131&amp;$B131,'W23. TPES'!$A$13:$A$82&amp;'W23. TPES'!$C$13:$C$82,0),MATCH(H$70,'W23. TPES'!$F$12:$R$12,0))</f>
        <v>20572.070793485382</v>
      </c>
      <c r="I131" s="34">
        <f t="array" ref="I131">INDEX('W23. TPES'!$F$13:$R$82,MATCH($A131&amp;$B131,'W23. TPES'!$A$13:$A$82&amp;'W23. TPES'!$C$13:$C$82,0),MATCH(I$70,'W23. TPES'!$F$12:$R$12,0))</f>
        <v>24291.142890585066</v>
      </c>
      <c r="J131" s="34">
        <f t="array" ref="J131">INDEX('W23. TPES'!$F$13:$R$82,MATCH($A131&amp;$B131,'W23. TPES'!$A$13:$A$82&amp;'W23. TPES'!$C$13:$C$82,0),MATCH(J$70,'W23. TPES'!$F$12:$R$12,0))</f>
        <v>28676.454025313975</v>
      </c>
    </row>
    <row r="132" spans="1:10" x14ac:dyDescent="0.3">
      <c r="A132" s="3" t="s">
        <v>383</v>
      </c>
      <c r="B132" s="3" t="s">
        <v>253</v>
      </c>
      <c r="C132" s="34">
        <f t="array" ref="C132">INDEX('W23. TPES'!$F$13:$R$82,MATCH($A132&amp;$B132,'W23. TPES'!$A$13:$A$82&amp;'W23. TPES'!$C$13:$C$82,0),MATCH(C$70,'W23. TPES'!$F$12:$R$12,0))</f>
        <v>54727.207129212009</v>
      </c>
      <c r="D132" s="34" t="str">
        <f t="array" ref="D132">INDEX('W23. TPES'!$F$13:$R$82,MATCH($A132&amp;$B132,'W23. TPES'!$A$13:$A$82&amp;'W23. TPES'!$C$13:$C$82,0),MATCH(D$70,'W23. TPES'!$F$12:$R$12,0))</f>
        <v/>
      </c>
      <c r="E132" s="34" t="str">
        <f t="array" ref="E132">INDEX('W23. TPES'!$F$13:$R$82,MATCH($A132&amp;$B132,'W23. TPES'!$A$13:$A$82&amp;'W23. TPES'!$C$13:$C$82,0),MATCH(E$70,'W23. TPES'!$F$12:$R$12,0))</f>
        <v/>
      </c>
      <c r="F132" s="34" t="str">
        <f t="array" ref="F132">INDEX('W23. TPES'!$F$13:$R$82,MATCH($A132&amp;$B132,'W23. TPES'!$A$13:$A$82&amp;'W23. TPES'!$C$13:$C$82,0),MATCH(F$70,'W23. TPES'!$F$12:$R$12,0))</f>
        <v/>
      </c>
      <c r="G132" s="34">
        <f t="array" ref="G132">INDEX('W23. TPES'!$F$13:$R$82,MATCH($A132&amp;$B132,'W23. TPES'!$A$13:$A$82&amp;'W23. TPES'!$C$13:$C$82,0),MATCH(G$70,'W23. TPES'!$F$12:$R$12,0))</f>
        <v>69810.634367848281</v>
      </c>
      <c r="H132" s="34">
        <f t="array" ref="H132">INDEX('W23. TPES'!$F$13:$R$82,MATCH($A132&amp;$B132,'W23. TPES'!$A$13:$A$82&amp;'W23. TPES'!$C$13:$C$82,0),MATCH(H$70,'W23. TPES'!$F$12:$R$12,0))</f>
        <v>93078.876024711935</v>
      </c>
      <c r="I132" s="34">
        <f t="array" ref="I132">INDEX('W23. TPES'!$F$13:$R$82,MATCH($A132&amp;$B132,'W23. TPES'!$A$13:$A$82&amp;'W23. TPES'!$C$13:$C$82,0),MATCH(I$70,'W23. TPES'!$F$12:$R$12,0))</f>
        <v>121153.95449008107</v>
      </c>
      <c r="J132" s="34">
        <f t="array" ref="J132">INDEX('W23. TPES'!$F$13:$R$82,MATCH($A132&amp;$B132,'W23. TPES'!$A$13:$A$82&amp;'W23. TPES'!$C$13:$C$82,0),MATCH(J$70,'W23. TPES'!$F$12:$R$12,0))</f>
        <v>140815.41789151038</v>
      </c>
    </row>
    <row r="133" spans="1:10" x14ac:dyDescent="0.3">
      <c r="A133" s="3" t="s">
        <v>383</v>
      </c>
      <c r="B133" s="3" t="s">
        <v>461</v>
      </c>
      <c r="C133" s="34">
        <f t="array" ref="C133">INDEX('W23. TPES'!$F$13:$R$82,MATCH($A133&amp;$B133,'W23. TPES'!$A$13:$A$82&amp;'W23. TPES'!$C$13:$C$82,0),MATCH(C$70,'W23. TPES'!$F$12:$R$12,0))</f>
        <v>7768.6318090440009</v>
      </c>
      <c r="D133" s="34" t="str">
        <f t="array" ref="D133">INDEX('W23. TPES'!$F$13:$R$82,MATCH($A133&amp;$B133,'W23. TPES'!$A$13:$A$82&amp;'W23. TPES'!$C$13:$C$82,0),MATCH(D$70,'W23. TPES'!$F$12:$R$12,0))</f>
        <v/>
      </c>
      <c r="E133" s="34" t="str">
        <f t="array" ref="E133">INDEX('W23. TPES'!$F$13:$R$82,MATCH($A133&amp;$B133,'W23. TPES'!$A$13:$A$82&amp;'W23. TPES'!$C$13:$C$82,0),MATCH(E$70,'W23. TPES'!$F$12:$R$12,0))</f>
        <v/>
      </c>
      <c r="F133" s="34" t="str">
        <f t="array" ref="F133">INDEX('W23. TPES'!$F$13:$R$82,MATCH($A133&amp;$B133,'W23. TPES'!$A$13:$A$82&amp;'W23. TPES'!$C$13:$C$82,0),MATCH(F$70,'W23. TPES'!$F$12:$R$12,0))</f>
        <v/>
      </c>
      <c r="G133" s="34">
        <f t="array" ref="G133">INDEX('W23. TPES'!$F$13:$R$82,MATCH($A133&amp;$B133,'W23. TPES'!$A$13:$A$82&amp;'W23. TPES'!$C$13:$C$82,0),MATCH(G$70,'W23. TPES'!$F$12:$R$12,0))</f>
        <v>19302.190241231612</v>
      </c>
      <c r="H133" s="34">
        <f t="array" ref="H133">INDEX('W23. TPES'!$F$13:$R$82,MATCH($A133&amp;$B133,'W23. TPES'!$A$13:$A$82&amp;'W23. TPES'!$C$13:$C$82,0),MATCH(H$70,'W23. TPES'!$F$12:$R$12,0))</f>
        <v>46882.008978181555</v>
      </c>
      <c r="I133" s="34">
        <f t="array" ref="I133">INDEX('W23. TPES'!$F$13:$R$82,MATCH($A133&amp;$B133,'W23. TPES'!$A$13:$A$82&amp;'W23. TPES'!$C$13:$C$82,0),MATCH(I$70,'W23. TPES'!$F$12:$R$12,0))</f>
        <v>92854.305207450074</v>
      </c>
      <c r="J133" s="34">
        <f t="array" ref="J133">INDEX('W23. TPES'!$F$13:$R$82,MATCH($A133&amp;$B133,'W23. TPES'!$A$13:$A$82&amp;'W23. TPES'!$C$13:$C$82,0),MATCH(J$70,'W23. TPES'!$F$12:$R$12,0))</f>
        <v>143495.20570147157</v>
      </c>
    </row>
    <row r="134" spans="1:10" x14ac:dyDescent="0.3">
      <c r="A134" s="3" t="s">
        <v>384</v>
      </c>
      <c r="B134" s="3" t="s">
        <v>254</v>
      </c>
      <c r="C134" s="34" t="str">
        <f t="array" ref="C134">INDEX('W23. TPES'!$F$13:$R$82,MATCH($A134&amp;$B134,'W23. TPES'!$A$13:$A$82&amp;'W23. TPES'!$C$13:$C$82,0),MATCH(C$70,'W23. TPES'!$F$12:$R$12,0))</f>
        <v/>
      </c>
      <c r="D134" s="34">
        <f t="array" ref="D134">INDEX('W23. TPES'!$F$13:$R$82,MATCH($A134&amp;$B134,'W23. TPES'!$A$13:$A$82&amp;'W23. TPES'!$C$13:$C$82,0),MATCH(D$70,'W23. TPES'!$F$12:$R$12,0))</f>
        <v>160886.54239427974</v>
      </c>
      <c r="E134" s="34" t="str">
        <f t="array" ref="E134">INDEX('W23. TPES'!$F$13:$R$82,MATCH($A134&amp;$B134,'W23. TPES'!$A$13:$A$82&amp;'W23. TPES'!$C$13:$C$82,0),MATCH(E$70,'W23. TPES'!$F$12:$R$12,0))</f>
        <v/>
      </c>
      <c r="F134" s="34" t="str">
        <f t="array" ref="F134">INDEX('W23. TPES'!$F$13:$R$82,MATCH($A134&amp;$B134,'W23. TPES'!$A$13:$A$82&amp;'W23. TPES'!$C$13:$C$82,0),MATCH(F$70,'W23. TPES'!$F$12:$R$12,0))</f>
        <v/>
      </c>
      <c r="G134" s="34">
        <f t="array" ref="G134">INDEX('W23. TPES'!$F$13:$R$82,MATCH($A134&amp;$B134,'W23. TPES'!$A$13:$A$82&amp;'W23. TPES'!$C$13:$C$82,0),MATCH(G$70,'W23. TPES'!$F$12:$R$12,0))</f>
        <v>157387.33929015748</v>
      </c>
      <c r="H134" s="34">
        <f t="array" ref="H134">INDEX('W23. TPES'!$F$13:$R$82,MATCH($A134&amp;$B134,'W23. TPES'!$A$13:$A$82&amp;'W23. TPES'!$C$13:$C$82,0),MATCH(H$70,'W23. TPES'!$F$12:$R$12,0))</f>
        <v>154400.34866233999</v>
      </c>
      <c r="I134" s="34">
        <f t="array" ref="I134">INDEX('W23. TPES'!$F$13:$R$82,MATCH($A134&amp;$B134,'W23. TPES'!$A$13:$A$82&amp;'W23. TPES'!$C$13:$C$82,0),MATCH(I$70,'W23. TPES'!$F$12:$R$12,0))</f>
        <v>129852.28687079737</v>
      </c>
      <c r="J134" s="34">
        <f t="array" ref="J134">INDEX('W23. TPES'!$F$13:$R$82,MATCH($A134&amp;$B134,'W23. TPES'!$A$13:$A$82&amp;'W23. TPES'!$C$13:$C$82,0),MATCH(J$70,'W23. TPES'!$F$12:$R$12,0))</f>
        <v>99745.344523724532</v>
      </c>
    </row>
    <row r="135" spans="1:10" x14ac:dyDescent="0.3">
      <c r="A135" s="3" t="s">
        <v>384</v>
      </c>
      <c r="B135" s="3" t="s">
        <v>266</v>
      </c>
      <c r="C135" s="34" t="str">
        <f t="array" ref="C135">INDEX('W23. TPES'!$F$13:$R$82,MATCH($A135&amp;$B135,'W23. TPES'!$A$13:$A$82&amp;'W23. TPES'!$C$13:$C$82,0),MATCH(C$70,'W23. TPES'!$F$12:$R$12,0))</f>
        <v/>
      </c>
      <c r="D135" s="34">
        <f t="array" ref="D135">INDEX('W23. TPES'!$F$13:$R$82,MATCH($A135&amp;$B135,'W23. TPES'!$A$13:$A$82&amp;'W23. TPES'!$C$13:$C$82,0),MATCH(D$70,'W23. TPES'!$F$12:$R$12,0))</f>
        <v>182293.51959687329</v>
      </c>
      <c r="E135" s="34" t="str">
        <f t="array" ref="E135">INDEX('W23. TPES'!$F$13:$R$82,MATCH($A135&amp;$B135,'W23. TPES'!$A$13:$A$82&amp;'W23. TPES'!$C$13:$C$82,0),MATCH(E$70,'W23. TPES'!$F$12:$R$12,0))</f>
        <v/>
      </c>
      <c r="F135" s="34" t="str">
        <f t="array" ref="F135">INDEX('W23. TPES'!$F$13:$R$82,MATCH($A135&amp;$B135,'W23. TPES'!$A$13:$A$82&amp;'W23. TPES'!$C$13:$C$82,0),MATCH(F$70,'W23. TPES'!$F$12:$R$12,0))</f>
        <v/>
      </c>
      <c r="G135" s="34">
        <f t="array" ref="G135">INDEX('W23. TPES'!$F$13:$R$82,MATCH($A135&amp;$B135,'W23. TPES'!$A$13:$A$82&amp;'W23. TPES'!$C$13:$C$82,0),MATCH(G$70,'W23. TPES'!$F$12:$R$12,0))</f>
        <v>195695.78966569784</v>
      </c>
      <c r="H135" s="34">
        <f t="array" ref="H135">INDEX('W23. TPES'!$F$13:$R$82,MATCH($A135&amp;$B135,'W23. TPES'!$A$13:$A$82&amp;'W23. TPES'!$C$13:$C$82,0),MATCH(H$70,'W23. TPES'!$F$12:$R$12,0))</f>
        <v>196169.07002700958</v>
      </c>
      <c r="I135" s="34">
        <f t="array" ref="I135">INDEX('W23. TPES'!$F$13:$R$82,MATCH($A135&amp;$B135,'W23. TPES'!$A$13:$A$82&amp;'W23. TPES'!$C$13:$C$82,0),MATCH(I$70,'W23. TPES'!$F$12:$R$12,0))</f>
        <v>179641.12383165094</v>
      </c>
      <c r="J135" s="34">
        <f t="array" ref="J135">INDEX('W23. TPES'!$F$13:$R$82,MATCH($A135&amp;$B135,'W23. TPES'!$A$13:$A$82&amp;'W23. TPES'!$C$13:$C$82,0),MATCH(J$70,'W23. TPES'!$F$12:$R$12,0))</f>
        <v>159914.01279986702</v>
      </c>
    </row>
    <row r="136" spans="1:10" x14ac:dyDescent="0.3">
      <c r="A136" s="3" t="s">
        <v>384</v>
      </c>
      <c r="B136" s="3" t="s">
        <v>255</v>
      </c>
      <c r="C136" s="34" t="str">
        <f t="array" ref="C136">INDEX('W23. TPES'!$F$13:$R$82,MATCH($A136&amp;$B136,'W23. TPES'!$A$13:$A$82&amp;'W23. TPES'!$C$13:$C$82,0),MATCH(C$70,'W23. TPES'!$F$12:$R$12,0))</f>
        <v/>
      </c>
      <c r="D136" s="34">
        <f t="array" ref="D136">INDEX('W23. TPES'!$F$13:$R$82,MATCH($A136&amp;$B136,'W23. TPES'!$A$13:$A$82&amp;'W23. TPES'!$C$13:$C$82,0),MATCH(D$70,'W23. TPES'!$F$12:$R$12,0))</f>
        <v>123750.28805907608</v>
      </c>
      <c r="E136" s="34" t="str">
        <f t="array" ref="E136">INDEX('W23. TPES'!$F$13:$R$82,MATCH($A136&amp;$B136,'W23. TPES'!$A$13:$A$82&amp;'W23. TPES'!$C$13:$C$82,0),MATCH(E$70,'W23. TPES'!$F$12:$R$12,0))</f>
        <v/>
      </c>
      <c r="F136" s="34" t="str">
        <f t="array" ref="F136">INDEX('W23. TPES'!$F$13:$R$82,MATCH($A136&amp;$B136,'W23. TPES'!$A$13:$A$82&amp;'W23. TPES'!$C$13:$C$82,0),MATCH(F$70,'W23. TPES'!$F$12:$R$12,0))</f>
        <v/>
      </c>
      <c r="G136" s="34">
        <f t="array" ref="G136">INDEX('W23. TPES'!$F$13:$R$82,MATCH($A136&amp;$B136,'W23. TPES'!$A$13:$A$82&amp;'W23. TPES'!$C$13:$C$82,0),MATCH(G$70,'W23. TPES'!$F$12:$R$12,0))</f>
        <v>136793.67482536391</v>
      </c>
      <c r="H136" s="34">
        <f t="array" ref="H136">INDEX('W23. TPES'!$F$13:$R$82,MATCH($A136&amp;$B136,'W23. TPES'!$A$13:$A$82&amp;'W23. TPES'!$C$13:$C$82,0),MATCH(H$70,'W23. TPES'!$F$12:$R$12,0))</f>
        <v>158260.05276285612</v>
      </c>
      <c r="I136" s="34">
        <f t="array" ref="I136">INDEX('W23. TPES'!$F$13:$R$82,MATCH($A136&amp;$B136,'W23. TPES'!$A$13:$A$82&amp;'W23. TPES'!$C$13:$C$82,0),MATCH(I$70,'W23. TPES'!$F$12:$R$12,0))</f>
        <v>150751.92480446058</v>
      </c>
      <c r="J136" s="34">
        <f t="array" ref="J136">INDEX('W23. TPES'!$F$13:$R$82,MATCH($A136&amp;$B136,'W23. TPES'!$A$13:$A$82&amp;'W23. TPES'!$C$13:$C$82,0),MATCH(J$70,'W23. TPES'!$F$12:$R$12,0))</f>
        <v>115038.96303997653</v>
      </c>
    </row>
    <row r="137" spans="1:10" x14ac:dyDescent="0.3">
      <c r="A137" s="3" t="s">
        <v>384</v>
      </c>
      <c r="B137" s="3" t="s">
        <v>257</v>
      </c>
      <c r="C137" s="34" t="str">
        <f t="array" ref="C137">INDEX('W23. TPES'!$F$13:$R$82,MATCH($A137&amp;$B137,'W23. TPES'!$A$13:$A$82&amp;'W23. TPES'!$C$13:$C$82,0),MATCH(C$70,'W23. TPES'!$F$12:$R$12,0))</f>
        <v/>
      </c>
      <c r="D137" s="34">
        <f t="array" ref="D137">INDEX('W23. TPES'!$F$13:$R$82,MATCH($A137&amp;$B137,'W23. TPES'!$A$13:$A$82&amp;'W23. TPES'!$C$13:$C$82,0),MATCH(D$70,'W23. TPES'!$F$12:$R$12,0))</f>
        <v>28087.886945472645</v>
      </c>
      <c r="E137" s="34" t="str">
        <f t="array" ref="E137">INDEX('W23. TPES'!$F$13:$R$82,MATCH($A137&amp;$B137,'W23. TPES'!$A$13:$A$82&amp;'W23. TPES'!$C$13:$C$82,0),MATCH(E$70,'W23. TPES'!$F$12:$R$12,0))</f>
        <v/>
      </c>
      <c r="F137" s="34" t="str">
        <f t="array" ref="F137">INDEX('W23. TPES'!$F$13:$R$82,MATCH($A137&amp;$B137,'W23. TPES'!$A$13:$A$82&amp;'W23. TPES'!$C$13:$C$82,0),MATCH(F$70,'W23. TPES'!$F$12:$R$12,0))</f>
        <v/>
      </c>
      <c r="G137" s="34">
        <f t="array" ref="G137">INDEX('W23. TPES'!$F$13:$R$82,MATCH($A137&amp;$B137,'W23. TPES'!$A$13:$A$82&amp;'W23. TPES'!$C$13:$C$82,0),MATCH(G$70,'W23. TPES'!$F$12:$R$12,0))</f>
        <v>31664.77068274844</v>
      </c>
      <c r="H137" s="34">
        <f t="array" ref="H137">INDEX('W23. TPES'!$F$13:$R$82,MATCH($A137&amp;$B137,'W23. TPES'!$A$13:$A$82&amp;'W23. TPES'!$C$13:$C$82,0),MATCH(H$70,'W23. TPES'!$F$12:$R$12,0))</f>
        <v>44003.397985382275</v>
      </c>
      <c r="I137" s="34">
        <f t="array" ref="I137">INDEX('W23. TPES'!$F$13:$R$82,MATCH($A137&amp;$B137,'W23. TPES'!$A$13:$A$82&amp;'W23. TPES'!$C$13:$C$82,0),MATCH(I$70,'W23. TPES'!$F$12:$R$12,0))</f>
        <v>63852.353804245045</v>
      </c>
      <c r="J137" s="34">
        <f t="array" ref="J137">INDEX('W23. TPES'!$F$13:$R$82,MATCH($A137&amp;$B137,'W23. TPES'!$A$13:$A$82&amp;'W23. TPES'!$C$13:$C$82,0),MATCH(J$70,'W23. TPES'!$F$12:$R$12,0))</f>
        <v>80228.152111748466</v>
      </c>
    </row>
    <row r="138" spans="1:10" x14ac:dyDescent="0.3">
      <c r="A138" s="3" t="s">
        <v>384</v>
      </c>
      <c r="B138" s="3" t="s">
        <v>256</v>
      </c>
      <c r="C138" s="34" t="str">
        <f t="array" ref="C138">INDEX('W23. TPES'!$F$13:$R$82,MATCH($A138&amp;$B138,'W23. TPES'!$A$13:$A$82&amp;'W23. TPES'!$C$13:$C$82,0),MATCH(C$70,'W23. TPES'!$F$12:$R$12,0))</f>
        <v/>
      </c>
      <c r="D138" s="34">
        <f t="array" ref="D138">INDEX('W23. TPES'!$F$13:$R$82,MATCH($A138&amp;$B138,'W23. TPES'!$A$13:$A$82&amp;'W23. TPES'!$C$13:$C$82,0),MATCH(D$70,'W23. TPES'!$F$12:$R$12,0))</f>
        <v>14027.62020848708</v>
      </c>
      <c r="E138" s="34" t="str">
        <f t="array" ref="E138">INDEX('W23. TPES'!$F$13:$R$82,MATCH($A138&amp;$B138,'W23. TPES'!$A$13:$A$82&amp;'W23. TPES'!$C$13:$C$82,0),MATCH(E$70,'W23. TPES'!$F$12:$R$12,0))</f>
        <v/>
      </c>
      <c r="F138" s="34" t="str">
        <f t="array" ref="F138">INDEX('W23. TPES'!$F$13:$R$82,MATCH($A138&amp;$B138,'W23. TPES'!$A$13:$A$82&amp;'W23. TPES'!$C$13:$C$82,0),MATCH(F$70,'W23. TPES'!$F$12:$R$12,0))</f>
        <v/>
      </c>
      <c r="G138" s="34">
        <f t="array" ref="G138">INDEX('W23. TPES'!$F$13:$R$82,MATCH($A138&amp;$B138,'W23. TPES'!$A$13:$A$82&amp;'W23. TPES'!$C$13:$C$82,0),MATCH(G$70,'W23. TPES'!$F$12:$R$12,0))</f>
        <v>14198.569143761546</v>
      </c>
      <c r="H138" s="34">
        <f t="array" ref="H138">INDEX('W23. TPES'!$F$13:$R$82,MATCH($A138&amp;$B138,'W23. TPES'!$A$13:$A$82&amp;'W23. TPES'!$C$13:$C$82,0),MATCH(H$70,'W23. TPES'!$F$12:$R$12,0))</f>
        <v>15654.168805931049</v>
      </c>
      <c r="I138" s="34">
        <f t="array" ref="I138">INDEX('W23. TPES'!$F$13:$R$82,MATCH($A138&amp;$B138,'W23. TPES'!$A$13:$A$82&amp;'W23. TPES'!$C$13:$C$82,0),MATCH(I$70,'W23. TPES'!$F$12:$R$12,0))</f>
        <v>17545.812110545612</v>
      </c>
      <c r="J138" s="34">
        <f t="array" ref="J138">INDEX('W23. TPES'!$F$13:$R$82,MATCH($A138&amp;$B138,'W23. TPES'!$A$13:$A$82&amp;'W23. TPES'!$C$13:$C$82,0),MATCH(J$70,'W23. TPES'!$F$12:$R$12,0))</f>
        <v>19356.530813995825</v>
      </c>
    </row>
    <row r="139" spans="1:10" x14ac:dyDescent="0.3">
      <c r="A139" s="3" t="s">
        <v>384</v>
      </c>
      <c r="B139" s="3" t="s">
        <v>253</v>
      </c>
      <c r="C139" s="34" t="str">
        <f t="array" ref="C139">INDEX('W23. TPES'!$F$13:$R$82,MATCH($A139&amp;$B139,'W23. TPES'!$A$13:$A$82&amp;'W23. TPES'!$C$13:$C$82,0),MATCH(C$70,'W23. TPES'!$F$12:$R$12,0))</f>
        <v/>
      </c>
      <c r="D139" s="34">
        <f t="array" ref="D139">INDEX('W23. TPES'!$F$13:$R$82,MATCH($A139&amp;$B139,'W23. TPES'!$A$13:$A$82&amp;'W23. TPES'!$C$13:$C$82,0),MATCH(D$70,'W23. TPES'!$F$12:$R$12,0))</f>
        <v>56137.072244626928</v>
      </c>
      <c r="E139" s="34" t="str">
        <f t="array" ref="E139">INDEX('W23. TPES'!$F$13:$R$82,MATCH($A139&amp;$B139,'W23. TPES'!$A$13:$A$82&amp;'W23. TPES'!$C$13:$C$82,0),MATCH(E$70,'W23. TPES'!$F$12:$R$12,0))</f>
        <v/>
      </c>
      <c r="F139" s="34" t="str">
        <f t="array" ref="F139">INDEX('W23. TPES'!$F$13:$R$82,MATCH($A139&amp;$B139,'W23. TPES'!$A$13:$A$82&amp;'W23. TPES'!$C$13:$C$82,0),MATCH(F$70,'W23. TPES'!$F$12:$R$12,0))</f>
        <v/>
      </c>
      <c r="G139" s="34">
        <f t="array" ref="G139">INDEX('W23. TPES'!$F$13:$R$82,MATCH($A139&amp;$B139,'W23. TPES'!$A$13:$A$82&amp;'W23. TPES'!$C$13:$C$82,0),MATCH(G$70,'W23. TPES'!$F$12:$R$12,0))</f>
        <v>60388.496843326022</v>
      </c>
      <c r="H139" s="34">
        <f t="array" ref="H139">INDEX('W23. TPES'!$F$13:$R$82,MATCH($A139&amp;$B139,'W23. TPES'!$A$13:$A$82&amp;'W23. TPES'!$C$13:$C$82,0),MATCH(H$70,'W23. TPES'!$F$12:$R$12,0))</f>
        <v>63444.173372819598</v>
      </c>
      <c r="I139" s="34">
        <f t="array" ref="I139">INDEX('W23. TPES'!$F$13:$R$82,MATCH($A139&amp;$B139,'W23. TPES'!$A$13:$A$82&amp;'W23. TPES'!$C$13:$C$82,0),MATCH(I$70,'W23. TPES'!$F$12:$R$12,0))</f>
        <v>83521.748857927058</v>
      </c>
      <c r="J139" s="34">
        <f t="array" ref="J139">INDEX('W23. TPES'!$F$13:$R$82,MATCH($A139&amp;$B139,'W23. TPES'!$A$13:$A$82&amp;'W23. TPES'!$C$13:$C$82,0),MATCH(J$70,'W23. TPES'!$F$12:$R$12,0))</f>
        <v>109694.67755455713</v>
      </c>
    </row>
    <row r="140" spans="1:10" x14ac:dyDescent="0.3">
      <c r="A140" s="3" t="s">
        <v>384</v>
      </c>
      <c r="B140" s="3" t="s">
        <v>461</v>
      </c>
      <c r="C140" s="34" t="str">
        <f t="array" ref="C140">INDEX('W23. TPES'!$F$13:$R$82,MATCH($A140&amp;$B140,'W23. TPES'!$A$13:$A$82&amp;'W23. TPES'!$C$13:$C$82,0),MATCH(C$70,'W23. TPES'!$F$12:$R$12,0))</f>
        <v/>
      </c>
      <c r="D140" s="34">
        <f t="array" ref="D140">INDEX('W23. TPES'!$F$13:$R$82,MATCH($A140&amp;$B140,'W23. TPES'!$A$13:$A$82&amp;'W23. TPES'!$C$13:$C$82,0),MATCH(D$70,'W23. TPES'!$F$12:$R$12,0))</f>
        <v>8154.2561046968985</v>
      </c>
      <c r="E140" s="34" t="str">
        <f t="array" ref="E140">INDEX('W23. TPES'!$F$13:$R$82,MATCH($A140&amp;$B140,'W23. TPES'!$A$13:$A$82&amp;'W23. TPES'!$C$13:$C$82,0),MATCH(E$70,'W23. TPES'!$F$12:$R$12,0))</f>
        <v/>
      </c>
      <c r="F140" s="34" t="str">
        <f t="array" ref="F140">INDEX('W23. TPES'!$F$13:$R$82,MATCH($A140&amp;$B140,'W23. TPES'!$A$13:$A$82&amp;'W23. TPES'!$C$13:$C$82,0),MATCH(F$70,'W23. TPES'!$F$12:$R$12,0))</f>
        <v/>
      </c>
      <c r="G140" s="34">
        <f t="array" ref="G140">INDEX('W23. TPES'!$F$13:$R$82,MATCH($A140&amp;$B140,'W23. TPES'!$A$13:$A$82&amp;'W23. TPES'!$C$13:$C$82,0),MATCH(G$70,'W23. TPES'!$F$12:$R$12,0))</f>
        <v>15329.738965674655</v>
      </c>
      <c r="H140" s="34">
        <f t="array" ref="H140">INDEX('W23. TPES'!$F$13:$R$82,MATCH($A140&amp;$B140,'W23. TPES'!$A$13:$A$82&amp;'W23. TPES'!$C$13:$C$82,0),MATCH(H$70,'W23. TPES'!$F$12:$R$12,0))</f>
        <v>48673.086758714984</v>
      </c>
      <c r="I140" s="34">
        <f t="array" ref="I140">INDEX('W23. TPES'!$F$13:$R$82,MATCH($A140&amp;$B140,'W23. TPES'!$A$13:$A$82&amp;'W23. TPES'!$C$13:$C$82,0),MATCH(I$70,'W23. TPES'!$F$12:$R$12,0))</f>
        <v>124709.21993075828</v>
      </c>
      <c r="J140" s="34">
        <f t="array" ref="J140">INDEX('W23. TPES'!$F$13:$R$82,MATCH($A140&amp;$B140,'W23. TPES'!$A$13:$A$82&amp;'W23. TPES'!$C$13:$C$82,0),MATCH(J$70,'W23. TPES'!$F$12:$R$12,0))</f>
        <v>244350.80908648201</v>
      </c>
    </row>
  </sheetData>
  <mergeCells count="2">
    <mergeCell ref="D14:M14"/>
    <mergeCell ref="N14:W14"/>
  </mergeCells>
  <conditionalFormatting sqref="A1:XFD6 D7:XFD7 A8:XFD10 A23:XFD1048576 A11:A22 C12:XFD13 C15:XFD22 C14:D14 N14 X14:XFD14 C11:J11 L11:T11 V11:XFD11">
    <cfRule type="expression" dxfId="182" priority="4">
      <formula>_xlfn.ISFORMULA(A1)</formula>
    </cfRule>
  </conditionalFormatting>
  <conditionalFormatting sqref="A7:C7">
    <cfRule type="expression" dxfId="181" priority="3">
      <formula>_xlfn.ISFORMULA(A7)</formula>
    </cfRule>
  </conditionalFormatting>
  <conditionalFormatting sqref="K11">
    <cfRule type="expression" dxfId="180" priority="2">
      <formula>_xlfn.ISFORMULA(K11)</formula>
    </cfRule>
  </conditionalFormatting>
  <conditionalFormatting sqref="U11">
    <cfRule type="expression" dxfId="179" priority="1">
      <formula>_xlfn.ISFORMULA(U11)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FC96-8836-444E-A8BF-CBF8550E9391}">
  <sheetPr>
    <tabColor theme="4" tint="0.499984740745262"/>
    <pageSetUpPr autoPageBreaks="0"/>
  </sheetPr>
  <dimension ref="A1:AV157"/>
  <sheetViews>
    <sheetView zoomScale="55" zoomScaleNormal="55" workbookViewId="0">
      <selection activeCell="C15" sqref="C15"/>
    </sheetView>
  </sheetViews>
  <sheetFormatPr defaultColWidth="8.5546875" defaultRowHeight="14.4" x14ac:dyDescent="0.3"/>
  <cols>
    <col min="1" max="48" width="15.77734375" style="3" customWidth="1"/>
    <col min="49" max="16384" width="8.5546875" style="3"/>
  </cols>
  <sheetData>
    <row r="1" spans="1:23" s="19" customFormat="1" ht="49.5" customHeight="1" x14ac:dyDescent="0.3">
      <c r="A1" s="19" t="s">
        <v>463</v>
      </c>
    </row>
    <row r="2" spans="1:23" s="20" customFormat="1" x14ac:dyDescent="0.3">
      <c r="A2" s="20" t="s">
        <v>5</v>
      </c>
      <c r="B2" s="20" t="s">
        <v>464</v>
      </c>
    </row>
    <row r="3" spans="1:23" s="20" customFormat="1" x14ac:dyDescent="0.3">
      <c r="A3" s="20" t="s">
        <v>6</v>
      </c>
      <c r="B3" s="20" t="s">
        <v>465</v>
      </c>
    </row>
    <row r="4" spans="1:23" s="20" customFormat="1" x14ac:dyDescent="0.3">
      <c r="A4" s="20" t="s">
        <v>4</v>
      </c>
      <c r="B4" s="20" t="s">
        <v>459</v>
      </c>
      <c r="O4" s="21"/>
      <c r="P4" s="22"/>
    </row>
    <row r="5" spans="1:23" s="20" customFormat="1" x14ac:dyDescent="0.3">
      <c r="A5" s="20" t="s">
        <v>351</v>
      </c>
      <c r="B5" s="23">
        <f>1/3.6</f>
        <v>0.27777777777777779</v>
      </c>
      <c r="C5" s="20" t="s">
        <v>466</v>
      </c>
      <c r="O5" s="21"/>
      <c r="P5" s="22"/>
    </row>
    <row r="6" spans="1:23" s="20" customFormat="1" x14ac:dyDescent="0.3">
      <c r="A6" s="20" t="s">
        <v>355</v>
      </c>
      <c r="B6" s="23" t="s">
        <v>428</v>
      </c>
      <c r="O6" s="21"/>
      <c r="P6" s="22"/>
    </row>
    <row r="7" spans="1:23" s="20" customFormat="1" x14ac:dyDescent="0.3">
      <c r="A7" s="20" t="s">
        <v>997</v>
      </c>
      <c r="B7" s="23">
        <f>'O6. Total ren capacity'!$B$8</f>
        <v>1.2807159232705041</v>
      </c>
      <c r="C7" s="20" t="s">
        <v>998</v>
      </c>
      <c r="O7" s="21"/>
      <c r="P7" s="22"/>
    </row>
    <row r="8" spans="1:23" ht="15" thickBot="1" x14ac:dyDescent="0.35"/>
    <row r="9" spans="1:23" s="25" customFormat="1" ht="15" thickBot="1" x14ac:dyDescent="0.35">
      <c r="A9" s="24" t="s">
        <v>358</v>
      </c>
    </row>
    <row r="10" spans="1:23" x14ac:dyDescent="0.3">
      <c r="E10" s="26"/>
      <c r="F10" s="27"/>
      <c r="G10" s="27"/>
      <c r="H10" s="27"/>
      <c r="I10" s="27"/>
      <c r="J10" s="27"/>
    </row>
    <row r="11" spans="1:23" x14ac:dyDescent="0.3">
      <c r="A11" s="3" t="s">
        <v>8</v>
      </c>
      <c r="C11" s="48" t="s">
        <v>368</v>
      </c>
      <c r="D11" s="35" t="s">
        <v>368</v>
      </c>
      <c r="E11" s="3" t="s">
        <v>370</v>
      </c>
      <c r="F11" s="48" t="s">
        <v>372</v>
      </c>
      <c r="G11" s="3" t="s">
        <v>15</v>
      </c>
      <c r="H11" s="3" t="s">
        <v>26</v>
      </c>
      <c r="I11" s="3" t="s">
        <v>1026</v>
      </c>
      <c r="J11" s="3" t="s">
        <v>47</v>
      </c>
      <c r="K11" s="3" t="s">
        <v>49</v>
      </c>
      <c r="L11" s="3" t="s">
        <v>17</v>
      </c>
      <c r="M11" s="48" t="s">
        <v>32</v>
      </c>
      <c r="N11" s="3" t="s">
        <v>368</v>
      </c>
      <c r="O11" s="3" t="s">
        <v>370</v>
      </c>
      <c r="P11" s="48" t="s">
        <v>372</v>
      </c>
      <c r="Q11" s="3" t="s">
        <v>15</v>
      </c>
      <c r="R11" s="3" t="s">
        <v>26</v>
      </c>
      <c r="S11" s="3" t="s">
        <v>1026</v>
      </c>
      <c r="T11" s="3" t="s">
        <v>47</v>
      </c>
      <c r="U11" s="3" t="s">
        <v>49</v>
      </c>
      <c r="V11" s="3" t="s">
        <v>17</v>
      </c>
      <c r="W11" s="3" t="s">
        <v>32</v>
      </c>
    </row>
    <row r="12" spans="1:23" x14ac:dyDescent="0.3">
      <c r="A12" s="3" t="s">
        <v>86</v>
      </c>
      <c r="C12" s="48" t="str">
        <f>INDEX('R1. Scenario specifications'!$C$11:$C$60,MATCH(C$11,'R1. Scenario specifications'!$A$11:$A$60,0))</f>
        <v>Current Policies Scenario, World Energy Outlook 2018</v>
      </c>
      <c r="D12" s="35" t="str">
        <f>INDEX('R1. Scenario specifications'!$C$11:$C$60,MATCH(D$11,'R1. Scenario specifications'!$A$11:$A$60,0))</f>
        <v>Current Policies Scenario, World Energy Outlook 2018</v>
      </c>
      <c r="E12" s="3" t="str">
        <f>INDEX('R1. Scenario specifications'!$C$11:$C$60,MATCH(E$11,'R1. Scenario specifications'!$A$11:$A$60,0))</f>
        <v>New Policies Scenario, World Energy Outlook 2018</v>
      </c>
      <c r="F12" s="48" t="str">
        <f>INDEX('R1. Scenario specifications'!$C$11:$C$60,MATCH(F$11,'R1. Scenario specifications'!$A$11:$A$60,0))</f>
        <v>Sustainable Development Scenario, World Energy Outlook 2018</v>
      </c>
      <c r="G12" s="3" t="str">
        <f>INDEX('R1. Scenario specifications'!$C$11:$C$60,MATCH(G$11,'R1. Scenario specifications'!$A$11:$A$60,0))</f>
        <v>Current 2DS, 2020 start, 'Expect the Unexpected'</v>
      </c>
      <c r="H12" s="3" t="str">
        <f>INDEX('R1. Scenario specifications'!$C$11:$C$60,MATCH(H$11,'R1. Scenario specifications'!$A$11:$A$60,0))</f>
        <v>Current 2DS, 2030 start, 'Expect the Unexpected'</v>
      </c>
      <c r="I12" s="3" t="str">
        <f>INDEX('R1. Scenario specifications'!$C$11:$C$60,MATCH(I$11,'R1. Scenario specifications'!$A$11:$A$60,0))</f>
        <v>Current 2DS, 2020 start, 'Expect the unexpceted' but with expensive renewables (cheap CCS)</v>
      </c>
      <c r="J12" s="3" t="str">
        <f>INDEX('R1. Scenario specifications'!$C$11:$C$60,MATCH(J$11,'R1. Scenario specifications'!$A$11:$A$60,0))</f>
        <v>Current 2DS, 2020 start, 'Expect the Unexpected' but with cheap EVs</v>
      </c>
      <c r="K12" s="3" t="str">
        <f>INDEX('R1. Scenario specifications'!$C$11:$C$60,MATCH(K$11,'R1. Scenario specifications'!$A$11:$A$60,0))</f>
        <v>Current 2DS, 2020 start, 'Expect the Unexpected' but with cheap energy efficiency</v>
      </c>
      <c r="L12" s="3" t="str">
        <f>INDEX('R1. Scenario specifications'!$C$11:$C$60,MATCH(L$11,'R1. Scenario specifications'!$A$11:$A$60,0))</f>
        <v>Current 2DS, 2020 start, 'Expect the Unexpected' but with most conservative biomass CCS / NET technology cost assumptions</v>
      </c>
      <c r="M12" s="48" t="str">
        <f>INDEX('R1. Scenario specifications'!$C$11:$C$60,MATCH(M$11,'R1. Scenario specifications'!$A$11:$A$60,0))</f>
        <v>Current 1.75DS, 2020 start, 'Expect the Unexpected'</v>
      </c>
      <c r="N12" s="3" t="str">
        <f>INDEX('R1. Scenario specifications'!$C$11:$C$60,MATCH(N$11,'R1. Scenario specifications'!$A$11:$A$60,0))</f>
        <v>Current Policies Scenario, World Energy Outlook 2018</v>
      </c>
      <c r="O12" s="3" t="str">
        <f>INDEX('R1. Scenario specifications'!$C$11:$C$60,MATCH(O$11,'R1. Scenario specifications'!$A$11:$A$60,0))</f>
        <v>New Policies Scenario, World Energy Outlook 2018</v>
      </c>
      <c r="P12" s="48" t="str">
        <f>INDEX('R1. Scenario specifications'!$C$11:$C$60,MATCH(P$11,'R1. Scenario specifications'!$A$11:$A$60,0))</f>
        <v>Sustainable Development Scenario, World Energy Outlook 2018</v>
      </c>
      <c r="Q12" s="3" t="str">
        <f>INDEX('R1. Scenario specifications'!$C$11:$C$60,MATCH(Q$11,'R1. Scenario specifications'!$A$11:$A$60,0))</f>
        <v>Current 2DS, 2020 start, 'Expect the Unexpected'</v>
      </c>
      <c r="R12" s="3" t="str">
        <f>INDEX('R1. Scenario specifications'!$C$11:$C$60,MATCH(R$11,'R1. Scenario specifications'!$A$11:$A$60,0))</f>
        <v>Current 2DS, 2030 start, 'Expect the Unexpected'</v>
      </c>
      <c r="S12" s="3" t="str">
        <f>INDEX('R1. Scenario specifications'!$C$11:$C$60,MATCH(S$11,'R1. Scenario specifications'!$A$11:$A$60,0))</f>
        <v>Current 2DS, 2020 start, 'Expect the unexpceted' but with expensive renewables (cheap CCS)</v>
      </c>
      <c r="T12" s="3" t="str">
        <f>INDEX('R1. Scenario specifications'!$C$11:$C$60,MATCH(T$11,'R1. Scenario specifications'!$A$11:$A$60,0))</f>
        <v>Current 2DS, 2020 start, 'Expect the Unexpected' but with cheap EVs</v>
      </c>
      <c r="U12" s="3" t="str">
        <f>INDEX('R1. Scenario specifications'!$C$11:$C$60,MATCH(U$11,'R1. Scenario specifications'!$A$11:$A$60,0))</f>
        <v>Current 2DS, 2020 start, 'Expect the Unexpected' but with cheap energy efficiency</v>
      </c>
      <c r="V12" s="3" t="str">
        <f>INDEX('R1. Scenario specifications'!$C$11:$C$60,MATCH(V$11,'R1. Scenario specifications'!$A$11:$A$60,0))</f>
        <v>Current 2DS, 2020 start, 'Expect the Unexpected' but with most conservative biomass CCS / NET technology cost assumptions</v>
      </c>
      <c r="W12" s="3" t="str">
        <f>INDEX('R1. Scenario specifications'!$C$11:$C$60,MATCH(W$11,'R1. Scenario specifications'!$A$11:$A$60,0))</f>
        <v>Current 1.75DS, 2020 start, 'Expect the Unexpected'</v>
      </c>
    </row>
    <row r="13" spans="1:23" x14ac:dyDescent="0.3">
      <c r="A13" s="3" t="s">
        <v>192</v>
      </c>
      <c r="C13" s="48">
        <v>2017</v>
      </c>
      <c r="D13" s="35">
        <v>2030</v>
      </c>
      <c r="E13" s="3">
        <v>2030</v>
      </c>
      <c r="F13" s="48">
        <v>2030</v>
      </c>
      <c r="G13" s="3">
        <v>2030</v>
      </c>
      <c r="H13" s="3">
        <v>2030</v>
      </c>
      <c r="I13" s="3">
        <v>2030</v>
      </c>
      <c r="J13" s="3">
        <v>2030</v>
      </c>
      <c r="K13" s="3">
        <v>2030</v>
      </c>
      <c r="L13" s="3">
        <v>2030</v>
      </c>
      <c r="M13" s="48">
        <v>2030</v>
      </c>
      <c r="N13" s="3">
        <v>2050</v>
      </c>
      <c r="O13" s="3">
        <v>2050</v>
      </c>
      <c r="P13" s="48">
        <v>2050</v>
      </c>
      <c r="Q13" s="3">
        <v>2050</v>
      </c>
      <c r="R13" s="3">
        <v>2050</v>
      </c>
      <c r="S13" s="3">
        <v>2050</v>
      </c>
      <c r="T13" s="3">
        <v>2050</v>
      </c>
      <c r="U13" s="3">
        <v>2050</v>
      </c>
      <c r="V13" s="3">
        <v>2050</v>
      </c>
      <c r="W13" s="3">
        <v>2050</v>
      </c>
    </row>
    <row r="14" spans="1:23" x14ac:dyDescent="0.3">
      <c r="C14" s="48">
        <v>2017</v>
      </c>
      <c r="D14" s="45">
        <v>2030</v>
      </c>
      <c r="E14" s="46"/>
      <c r="F14" s="46"/>
      <c r="G14" s="46"/>
      <c r="H14" s="46"/>
      <c r="I14" s="46"/>
      <c r="J14" s="46"/>
      <c r="K14" s="46"/>
      <c r="L14" s="46"/>
      <c r="M14" s="49"/>
      <c r="N14" s="46">
        <v>2050</v>
      </c>
      <c r="O14" s="46"/>
      <c r="P14" s="46"/>
      <c r="Q14" s="46"/>
      <c r="R14" s="46"/>
      <c r="S14" s="46"/>
      <c r="T14" s="46"/>
      <c r="U14" s="46"/>
      <c r="V14" s="46"/>
      <c r="W14" s="46"/>
    </row>
    <row r="15" spans="1:23" x14ac:dyDescent="0.3">
      <c r="A15" s="3" t="s">
        <v>252</v>
      </c>
      <c r="B15" s="3" t="s">
        <v>996</v>
      </c>
      <c r="C15" s="48" t="s">
        <v>369</v>
      </c>
      <c r="D15" s="35" t="s">
        <v>369</v>
      </c>
      <c r="E15" s="3" t="s">
        <v>371</v>
      </c>
      <c r="F15" s="48" t="s">
        <v>373</v>
      </c>
      <c r="G15" s="3" t="s">
        <v>361</v>
      </c>
      <c r="H15" s="3" t="s">
        <v>362</v>
      </c>
      <c r="I15" s="3" t="s">
        <v>365</v>
      </c>
      <c r="J15" s="3" t="s">
        <v>366</v>
      </c>
      <c r="K15" s="3" t="s">
        <v>367</v>
      </c>
      <c r="L15" s="3" t="s">
        <v>364</v>
      </c>
      <c r="M15" s="48" t="s">
        <v>363</v>
      </c>
      <c r="N15" s="3" t="s">
        <v>369</v>
      </c>
      <c r="O15" s="3" t="s">
        <v>371</v>
      </c>
      <c r="P15" s="48" t="s">
        <v>373</v>
      </c>
      <c r="Q15" s="3" t="s">
        <v>361</v>
      </c>
      <c r="R15" s="3" t="s">
        <v>362</v>
      </c>
      <c r="S15" s="3" t="s">
        <v>365</v>
      </c>
      <c r="T15" s="3" t="s">
        <v>366</v>
      </c>
      <c r="U15" s="3" t="s">
        <v>367</v>
      </c>
      <c r="V15" s="3" t="s">
        <v>364</v>
      </c>
      <c r="W15" s="3" t="s">
        <v>363</v>
      </c>
    </row>
    <row r="16" spans="1:23" x14ac:dyDescent="0.3">
      <c r="A16" s="3" t="s">
        <v>253</v>
      </c>
      <c r="B16" s="3" t="s">
        <v>394</v>
      </c>
      <c r="C16" s="48">
        <f t="array" ref="C16">INDEX($C$77:$J$157,MATCH(C$11&amp;$A16,$A$77:$A$157&amp;$B$77:$B$157,0),MATCH(C$13,$C$76:$J$76,0))</f>
        <v>623</v>
      </c>
      <c r="D16" s="35">
        <f t="array" ref="D16">INDEX($C$77:$J$157,MATCH(D$11&amp;$A16,$A$77:$A$157&amp;$B$77:$B$157,0),MATCH(D$13,$C$76:$J$76,0))</f>
        <v>992</v>
      </c>
      <c r="E16" s="3">
        <f t="array" ref="E16">INDEX($C$77:$J$157,MATCH(E$11&amp;$A16,$A$77:$A$157&amp;$B$77:$B$157,0),MATCH(E$13,$C$76:$J$76,0))</f>
        <v>1057</v>
      </c>
      <c r="F16" s="48">
        <f t="array" ref="F16">INDEX($C$77:$J$157,MATCH(F$11&amp;$A16,$A$77:$A$157&amp;$B$77:$B$157,0),MATCH(F$13,$C$76:$J$76,0))</f>
        <v>1325</v>
      </c>
      <c r="G16" s="31">
        <f t="array" ref="G16">SUM(IF(($B$60:$B$72=$A16)*($C$59:$AV$59=G$11)*($C$58:$AV$58=G$13),$C$60:$AV$72))*$B$5*IF($B16="Renewables",$B$7,1)</f>
        <v>4382.8286947136685</v>
      </c>
      <c r="H16" s="31">
        <f t="shared" ref="H16:H24" si="0">$E16</f>
        <v>1057</v>
      </c>
      <c r="I16" s="31">
        <f t="array" ref="I16">SUM(IF(($B$60:$B$72=$A16)*($C$59:$AV$59=I$11)*($C$58:$AV$58=I$13),$C$60:$AV$72))*$B$5*IF($B16="Renewables",$B$7,1)</f>
        <v>4753.4924863056958</v>
      </c>
      <c r="J16" s="31">
        <f t="array" ref="J16">SUM(IF(($B$60:$B$72=$A16)*($C$59:$AV$59=J$11)*($C$58:$AV$58=J$13),$C$60:$AV$72))*$B$5*IF($B16="Renewables",$B$7,1)</f>
        <v>4343.7960108249872</v>
      </c>
      <c r="K16" s="31">
        <f t="array" ref="K16">SUM(IF(($B$60:$B$72=$A16)*($C$59:$AV$59=K$11)*($C$58:$AV$58=K$13),$C$60:$AV$72))*$B$5*IF($B16="Renewables",$B$7,1)</f>
        <v>4117.3711991580094</v>
      </c>
      <c r="L16" s="31">
        <f t="array" ref="L16">SUM(IF(($B$60:$B$72=$A16)*($C$59:$AV$59=L$11)*($C$58:$AV$58=L$13),$C$60:$AV$72))*$B$5*IF($B16="Renewables",$B$7,1)</f>
        <v>4316.8945905831933</v>
      </c>
      <c r="M16" s="771">
        <f t="array" ref="M16">SUM(IF(($B$60:$B$72=$A16)*($C$59:$AV$59=M$11)*($C$58:$AV$58=M$13),$C$60:$AV$72))*$B$5*IF($B16="Renewables",$B$7,1)</f>
        <v>4622.869131151816</v>
      </c>
      <c r="N16" s="3">
        <f t="array" ref="N16">INDEX($C$77:$J$157,MATCH(N$11&amp;$A16,$A$77:$A$157&amp;$B$77:$B$157,0),MATCH(N$13,$C$76:$J$76,0))</f>
        <v>1466</v>
      </c>
      <c r="O16" s="3">
        <f t="array" ref="O16">INDEX($C$77:$J$157,MATCH(O$11&amp;$A16,$A$77:$A$157&amp;$B$77:$B$157,0),MATCH(O$13,$C$76:$J$76,0))</f>
        <v>1805</v>
      </c>
      <c r="P16" s="48">
        <f t="array" ref="P16">INDEX($C$77:$J$157,MATCH(P$11&amp;$A16,$A$77:$A$157&amp;$B$77:$B$157,0),MATCH(P$13,$C$76:$J$76,0))</f>
        <v>2612</v>
      </c>
      <c r="Q16" s="34">
        <f t="array" ref="Q16">SUM(IF(($B$60:$B$72=$A16)*($C$59:$AV$59=Q$11)*($C$58:$AV$58=Q$13),$C$60:$AV$72))*$B$5</f>
        <v>5629.4191641042944</v>
      </c>
      <c r="R16" s="34">
        <f t="array" ref="R16">SUM(IF(($B$60:$B$72=$A16)*($C$59:$AV$59=R$11)*($C$58:$AV$58=R$13),$C$60:$AV$72))*$B$5</f>
        <v>4848.3903503232632</v>
      </c>
      <c r="S16" s="34">
        <f t="array" ref="S16">SUM(IF(($B$60:$B$72=$A16)*($C$59:$AV$59=S$11)*($C$58:$AV$58=S$13),$C$60:$AV$72))*$B$5</f>
        <v>6982.1119582752672</v>
      </c>
      <c r="T16" s="34">
        <f t="array" ref="T16">SUM(IF(($B$60:$B$72=$A16)*($C$59:$AV$59=T$11)*($C$58:$AV$58=T$13),$C$60:$AV$72))*$B$5</f>
        <v>5741.9987286927762</v>
      </c>
      <c r="U16" s="34">
        <f t="array" ref="U16">SUM(IF(($B$60:$B$72=$A16)*($C$59:$AV$59=U$11)*($C$58:$AV$58=U$13),$C$60:$AV$72))*$B$5</f>
        <v>5150.6359915458743</v>
      </c>
      <c r="V16" s="34">
        <f t="array" ref="V16">SUM(IF(($B$60:$B$72=$A16)*($C$59:$AV$59=V$11)*($C$58:$AV$58=V$13),$C$60:$AV$72))*$B$5</f>
        <v>5448.4177713885074</v>
      </c>
      <c r="W16" s="34">
        <f t="array" ref="W16">SUM(IF(($B$60:$B$72=$A16)*($C$59:$AV$59=W$11)*($C$58:$AV$58=W$13),$C$60:$AV$72))*$B$5</f>
        <v>6243.4372504108514</v>
      </c>
    </row>
    <row r="17" spans="1:23" x14ac:dyDescent="0.3">
      <c r="A17" s="3" t="s">
        <v>254</v>
      </c>
      <c r="C17" s="48">
        <f t="array" ref="C17">INDEX($C$77:$J$157,MATCH(C$11&amp;$A17,$A$77:$A$157&amp;$B$77:$B$157,0),MATCH(C$13,$C$76:$J$76,0))</f>
        <v>9858</v>
      </c>
      <c r="D17" s="35">
        <f t="array" ref="D17">INDEX($C$77:$J$157,MATCH(D$11&amp;$A17,$A$77:$A$157&amp;$B$77:$B$157,0),MATCH(D$13,$C$76:$J$76,0))</f>
        <v>11722</v>
      </c>
      <c r="E17" s="3">
        <f t="array" ref="E17">INDEX($C$77:$J$157,MATCH(E$11&amp;$A17,$A$77:$A$157&amp;$B$77:$B$157,0),MATCH(E$13,$C$76:$J$76,0))</f>
        <v>10016</v>
      </c>
      <c r="F17" s="48">
        <f t="array" ref="F17">INDEX($C$77:$J$157,MATCH(F$11&amp;$A17,$A$77:$A$157&amp;$B$77:$B$157,0),MATCH(F$13,$C$76:$J$76,0))</f>
        <v>4847</v>
      </c>
      <c r="G17" s="31">
        <f t="array" ref="G17">SUM(IF(($B$60:$B$72=$A17)*($C$59:$AV$59=G$11)*($C$58:$AV$58=G$13),$C$60:$AV$72))*$B$5*IF($B17="Renewables",$B$7,1)</f>
        <v>5794.5317730929382</v>
      </c>
      <c r="H17" s="31">
        <f t="shared" si="0"/>
        <v>10016</v>
      </c>
      <c r="I17" s="31">
        <f t="array" ref="I17">SUM(IF(($B$60:$B$72=$A17)*($C$59:$AV$59=I$11)*($C$58:$AV$58=I$13),$C$60:$AV$72))*$B$5*IF($B17="Renewables",$B$7,1)</f>
        <v>5499.7330052506632</v>
      </c>
      <c r="J17" s="31">
        <f t="array" ref="J17">SUM(IF(($B$60:$B$72=$A17)*($C$59:$AV$59=J$11)*($C$58:$AV$58=J$13),$C$60:$AV$72))*$B$5*IF($B17="Renewables",$B$7,1)</f>
        <v>6289.5504039266834</v>
      </c>
      <c r="K17" s="31">
        <f t="array" ref="K17">SUM(IF(($B$60:$B$72=$A17)*($C$59:$AV$59=K$11)*($C$58:$AV$58=K$13),$C$60:$AV$72))*$B$5*IF($B17="Renewables",$B$7,1)</f>
        <v>6155.9709079965887</v>
      </c>
      <c r="L17" s="31">
        <f t="array" ref="L17">SUM(IF(($B$60:$B$72=$A17)*($C$59:$AV$59=L$11)*($C$58:$AV$58=L$13),$C$60:$AV$72))*$B$5*IF($B17="Renewables",$B$7,1)</f>
        <v>5787.6671391885675</v>
      </c>
      <c r="M17" s="771">
        <f t="array" ref="M17">SUM(IF(($B$60:$B$72=$A17)*($C$59:$AV$59=M$11)*($C$58:$AV$58=M$13),$C$60:$AV$72))*$B$5*IF($B17="Renewables",$B$7,1)</f>
        <v>4349.8952355737138</v>
      </c>
      <c r="N17" s="3">
        <f t="array" ref="N17">INDEX($C$77:$J$157,MATCH(N$11&amp;$A17,$A$77:$A$157&amp;$B$77:$B$157,0),MATCH(N$13,$C$76:$J$76,0))</f>
        <v>16062</v>
      </c>
      <c r="O17" s="3">
        <f t="array" ref="O17">INDEX($C$77:$J$157,MATCH(O$11&amp;$A17,$A$77:$A$157&amp;$B$77:$B$157,0),MATCH(O$13,$C$76:$J$76,0))</f>
        <v>10661</v>
      </c>
      <c r="P17" s="48">
        <f t="array" ref="P17">INDEX($C$77:$J$157,MATCH(P$11&amp;$A17,$A$77:$A$157&amp;$B$77:$B$157,0),MATCH(P$13,$C$76:$J$76,0))</f>
        <v>0</v>
      </c>
      <c r="Q17" s="34">
        <f t="array" ref="Q17">SUM(IF(($B$60:$B$72=$A17)*($C$59:$AV$59=Q$11)*($C$58:$AV$58=Q$13),$C$60:$AV$72))*$B$5</f>
        <v>0</v>
      </c>
      <c r="R17" s="34">
        <f t="array" ref="R17">SUM(IF(($B$60:$B$72=$A17)*($C$59:$AV$59=R$11)*($C$58:$AV$58=R$13),$C$60:$AV$72))*$B$5</f>
        <v>129.27227442012807</v>
      </c>
      <c r="S17" s="34">
        <f t="array" ref="S17">SUM(IF(($B$60:$B$72=$A17)*($C$59:$AV$59=S$11)*($C$58:$AV$58=S$13),$C$60:$AV$72))*$B$5</f>
        <v>0</v>
      </c>
      <c r="T17" s="34">
        <f t="array" ref="T17">SUM(IF(($B$60:$B$72=$A17)*($C$59:$AV$59=T$11)*($C$58:$AV$58=T$13),$C$60:$AV$72))*$B$5</f>
        <v>0</v>
      </c>
      <c r="U17" s="34">
        <f t="array" ref="U17">SUM(IF(($B$60:$B$72=$A17)*($C$59:$AV$59=U$11)*($C$58:$AV$58=U$13),$C$60:$AV$72))*$B$5</f>
        <v>0</v>
      </c>
      <c r="V17" s="34">
        <f t="array" ref="V17">SUM(IF(($B$60:$B$72=$A17)*($C$59:$AV$59=V$11)*($C$58:$AV$58=V$13),$C$60:$AV$72))*$B$5</f>
        <v>0</v>
      </c>
      <c r="W17" s="34">
        <f t="array" ref="W17">SUM(IF(($B$60:$B$72=$A17)*($C$59:$AV$59=W$11)*($C$58:$AV$58=W$13),$C$60:$AV$72))*$B$5</f>
        <v>0</v>
      </c>
    </row>
    <row r="18" spans="1:23" x14ac:dyDescent="0.3">
      <c r="A18" s="3" t="s">
        <v>255</v>
      </c>
      <c r="C18" s="48">
        <f t="array" ref="C18">INDEX($C$77:$J$157,MATCH(C$11&amp;$A18,$A$77:$A$157&amp;$B$77:$B$157,0),MATCH(C$13,$C$76:$J$76,0))</f>
        <v>5855</v>
      </c>
      <c r="D18" s="35">
        <f t="array" ref="D18">INDEX($C$77:$J$157,MATCH(D$11&amp;$A18,$A$77:$A$157&amp;$B$77:$B$157,0),MATCH(D$13,$C$76:$J$76,0))</f>
        <v>8172</v>
      </c>
      <c r="E18" s="3">
        <f t="array" ref="E18">INDEX($C$77:$J$157,MATCH(E$11&amp;$A18,$A$77:$A$157&amp;$B$77:$B$157,0),MATCH(E$13,$C$76:$J$76,0))</f>
        <v>7517</v>
      </c>
      <c r="F18" s="48">
        <f t="array" ref="F18">INDEX($C$77:$J$157,MATCH(F$11&amp;$A18,$A$77:$A$157&amp;$B$77:$B$157,0),MATCH(F$13,$C$76:$J$76,0))</f>
        <v>6830</v>
      </c>
      <c r="G18" s="31">
        <f t="array" ref="G18">SUM(IF(($B$60:$B$72=$A18)*($C$59:$AV$59=G$11)*($C$58:$AV$58=G$13),$C$60:$AV$72))*$B$5*IF($B18="Renewables",$B$7,1)</f>
        <v>5303.8698291835735</v>
      </c>
      <c r="H18" s="31">
        <f t="shared" si="0"/>
        <v>7517</v>
      </c>
      <c r="I18" s="31">
        <f t="array" ref="I18">SUM(IF(($B$60:$B$72=$A18)*($C$59:$AV$59=I$11)*($C$58:$AV$58=I$13),$C$60:$AV$72))*$B$5*IF($B18="Renewables",$B$7,1)</f>
        <v>6042.0400705054608</v>
      </c>
      <c r="J18" s="31">
        <f t="array" ref="J18">SUM(IF(($B$60:$B$72=$A18)*($C$59:$AV$59=J$11)*($C$58:$AV$58=J$13),$C$60:$AV$72))*$B$5*IF($B18="Renewables",$B$7,1)</f>
        <v>5602.7807951597142</v>
      </c>
      <c r="K18" s="31">
        <f t="array" ref="K18">SUM(IF(($B$60:$B$72=$A18)*($C$59:$AV$59=K$11)*($C$58:$AV$58=K$13),$C$60:$AV$72))*$B$5*IF($B18="Renewables",$B$7,1)</f>
        <v>5304.9015242284459</v>
      </c>
      <c r="L18" s="31">
        <f t="array" ref="L18">SUM(IF(($B$60:$B$72=$A18)*($C$59:$AV$59=L$11)*($C$58:$AV$58=L$13),$C$60:$AV$72))*$B$5*IF($B18="Renewables",$B$7,1)</f>
        <v>5307.4710950545832</v>
      </c>
      <c r="M18" s="771">
        <f t="array" ref="M18">SUM(IF(($B$60:$B$72=$A18)*($C$59:$AV$59=M$11)*($C$58:$AV$58=M$13),$C$60:$AV$72))*$B$5*IF($B18="Renewables",$B$7,1)</f>
        <v>5443.0236187672826</v>
      </c>
      <c r="N18" s="3">
        <f t="array" ref="N18">INDEX($C$77:$J$157,MATCH(N$11&amp;$A18,$A$77:$A$157&amp;$B$77:$B$157,0),MATCH(N$13,$C$76:$J$76,0))</f>
        <v>12361</v>
      </c>
      <c r="O18" s="3">
        <f t="array" ref="O18">INDEX($C$77:$J$157,MATCH(O$11&amp;$A18,$A$77:$A$157&amp;$B$77:$B$157,0),MATCH(O$13,$C$76:$J$76,0))</f>
        <v>10683</v>
      </c>
      <c r="P18" s="48">
        <f t="array" ref="P18">INDEX($C$77:$J$157,MATCH(P$11&amp;$A18,$A$77:$A$157&amp;$B$77:$B$157,0),MATCH(P$13,$C$76:$J$76,0))</f>
        <v>3564</v>
      </c>
      <c r="Q18" s="34">
        <f t="array" ref="Q18">SUM(IF(($B$60:$B$72=$A18)*($C$59:$AV$59=Q$11)*($C$58:$AV$58=Q$13),$C$60:$AV$72))*$B$5</f>
        <v>2804.5467845209596</v>
      </c>
      <c r="R18" s="34">
        <f t="array" ref="R18">SUM(IF(($B$60:$B$72=$A18)*($C$59:$AV$59=R$11)*($C$58:$AV$58=R$13),$C$60:$AV$72))*$B$5</f>
        <v>2833.5591707888498</v>
      </c>
      <c r="S18" s="34">
        <f t="array" ref="S18">SUM(IF(($B$60:$B$72=$A18)*($C$59:$AV$59=S$11)*($C$58:$AV$58=S$13),$C$60:$AV$72))*$B$5</f>
        <v>6370.8584979467987</v>
      </c>
      <c r="T18" s="34">
        <f t="array" ref="T18">SUM(IF(($B$60:$B$72=$A18)*($C$59:$AV$59=T$11)*($C$58:$AV$58=T$13),$C$60:$AV$72))*$B$5</f>
        <v>3097.9255236178383</v>
      </c>
      <c r="U18" s="34">
        <f t="array" ref="U18">SUM(IF(($B$60:$B$72=$A18)*($C$59:$AV$59=U$11)*($C$58:$AV$58=U$13),$C$60:$AV$72))*$B$5</f>
        <v>1959.8738520915201</v>
      </c>
      <c r="V18" s="34">
        <f t="array" ref="V18">SUM(IF(($B$60:$B$72=$A18)*($C$59:$AV$59=V$11)*($C$58:$AV$58=V$13),$C$60:$AV$72))*$B$5</f>
        <v>2821.1776491748296</v>
      </c>
      <c r="W18" s="34">
        <f t="array" ref="W18">SUM(IF(($B$60:$B$72=$A18)*($C$59:$AV$59=W$11)*($C$58:$AV$58=W$13),$C$60:$AV$72))*$B$5</f>
        <v>3158.9132776107717</v>
      </c>
    </row>
    <row r="19" spans="1:23" x14ac:dyDescent="0.3">
      <c r="A19" s="3" t="s">
        <v>258</v>
      </c>
      <c r="B19" s="3" t="s">
        <v>394</v>
      </c>
      <c r="C19" s="48">
        <f t="array" ref="C19">INDEX($C$77:$J$157,MATCH(C$11&amp;$A19,$A$77:$A$157&amp;$B$77:$B$157,0),MATCH(C$13,$C$76:$J$76,0))</f>
        <v>88</v>
      </c>
      <c r="D19" s="35">
        <f t="array" ref="D19">INDEX($C$77:$J$157,MATCH(D$11&amp;$A19,$A$77:$A$157&amp;$B$77:$B$157,0),MATCH(D$13,$C$76:$J$76,0))</f>
        <v>178</v>
      </c>
      <c r="E19" s="3">
        <f t="array" ref="E19">INDEX($C$77:$J$157,MATCH(E$11&amp;$A19,$A$77:$A$157&amp;$B$77:$B$157,0),MATCH(E$13,$C$76:$J$76,0))</f>
        <v>202</v>
      </c>
      <c r="F19" s="48">
        <f t="array" ref="F19">INDEX($C$77:$J$157,MATCH(F$11&amp;$A19,$A$77:$A$157&amp;$B$77:$B$157,0),MATCH(F$13,$C$76:$J$76,0))</f>
        <v>297</v>
      </c>
      <c r="G19" s="31">
        <f t="array" ref="G19">SUM(IF(($B$60:$B$72=$A19)*($C$59:$AV$59=G$11)*($C$58:$AV$58=G$13),$C$60:$AV$72))*$B$5*IF($B19="Renewables",$B$7,1)</f>
        <v>1480.2458607084268</v>
      </c>
      <c r="H19" s="31">
        <f t="shared" si="0"/>
        <v>202</v>
      </c>
      <c r="I19" s="31">
        <f t="array" ref="I19">SUM(IF(($B$60:$B$72=$A19)*($C$59:$AV$59=I$11)*($C$58:$AV$58=I$13),$C$60:$AV$72))*$B$5*IF($B19="Renewables",$B$7,1)</f>
        <v>1480.2458607084268</v>
      </c>
      <c r="J19" s="31">
        <f t="array" ref="J19">SUM(IF(($B$60:$B$72=$A19)*($C$59:$AV$59=J$11)*($C$58:$AV$58=J$13),$C$60:$AV$72))*$B$5*IF($B19="Renewables",$B$7,1)</f>
        <v>1480.2458607084268</v>
      </c>
      <c r="K19" s="31">
        <f t="array" ref="K19">SUM(IF(($B$60:$B$72=$A19)*($C$59:$AV$59=K$11)*($C$58:$AV$58=K$13),$C$60:$AV$72))*$B$5*IF($B19="Renewables",$B$7,1)</f>
        <v>1480.2458607084268</v>
      </c>
      <c r="L19" s="31">
        <f t="array" ref="L19">SUM(IF(($B$60:$B$72=$A19)*($C$59:$AV$59=L$11)*($C$58:$AV$58=L$13),$C$60:$AV$72))*$B$5*IF($B19="Renewables",$B$7,1)</f>
        <v>1480.2458607084268</v>
      </c>
      <c r="M19" s="771">
        <f t="array" ref="M19">SUM(IF(($B$60:$B$72=$A19)*($C$59:$AV$59=M$11)*($C$58:$AV$58=M$13),$C$60:$AV$72))*$B$5*IF($B19="Renewables",$B$7,1)</f>
        <v>1480.2458607084268</v>
      </c>
      <c r="N19" s="3">
        <f t="array" ref="N19">INDEX($C$77:$J$157,MATCH(N$11&amp;$A19,$A$77:$A$157&amp;$B$77:$B$157,0),MATCH(N$13,$C$76:$J$76,0))</f>
        <v>440</v>
      </c>
      <c r="O19" s="3">
        <f t="array" ref="O19">INDEX($C$77:$J$157,MATCH(O$11&amp;$A19,$A$77:$A$157&amp;$B$77:$B$157,0),MATCH(O$13,$C$76:$J$76,0))</f>
        <v>609</v>
      </c>
      <c r="P19" s="48">
        <f t="array" ref="P19">INDEX($C$77:$J$157,MATCH(P$11&amp;$A19,$A$77:$A$157&amp;$B$77:$B$157,0),MATCH(P$13,$C$76:$J$76,0))</f>
        <v>983</v>
      </c>
      <c r="Q19" s="34">
        <f t="array" ref="Q19">SUM(IF(($B$60:$B$72=$A19)*($C$59:$AV$59=Q$11)*($C$58:$AV$58=Q$13),$C$60:$AV$72))*$B$5</f>
        <v>2192.7821805312128</v>
      </c>
      <c r="R19" s="34">
        <f t="array" ref="R19">SUM(IF(($B$60:$B$72=$A19)*($C$59:$AV$59=R$11)*($C$58:$AV$58=R$13),$C$60:$AV$72))*$B$5</f>
        <v>2294.1498014930685</v>
      </c>
      <c r="S19" s="34">
        <f t="array" ref="S19">SUM(IF(($B$60:$B$72=$A19)*($C$59:$AV$59=S$11)*($C$58:$AV$58=S$13),$C$60:$AV$72))*$B$5</f>
        <v>2488.8358508933097</v>
      </c>
      <c r="T19" s="34">
        <f t="array" ref="T19">SUM(IF(($B$60:$B$72=$A19)*($C$59:$AV$59=T$11)*($C$58:$AV$58=T$13),$C$60:$AV$72))*$B$5</f>
        <v>2202.7070069786018</v>
      </c>
      <c r="U19" s="34">
        <f t="array" ref="U19">SUM(IF(($B$60:$B$72=$A19)*($C$59:$AV$59=U$11)*($C$58:$AV$58=U$13),$C$60:$AV$72))*$B$5</f>
        <v>1959.5098972259273</v>
      </c>
      <c r="V19" s="34">
        <f t="array" ref="V19">SUM(IF(($B$60:$B$72=$A19)*($C$59:$AV$59=V$11)*($C$58:$AV$58=V$13),$C$60:$AV$72))*$B$5</f>
        <v>2192.7939902265753</v>
      </c>
      <c r="W19" s="34">
        <f t="array" ref="W19">SUM(IF(($B$60:$B$72=$A19)*($C$59:$AV$59=W$11)*($C$58:$AV$58=W$13),$C$60:$AV$72))*$B$5</f>
        <v>2234.0826532108108</v>
      </c>
    </row>
    <row r="20" spans="1:23" x14ac:dyDescent="0.3">
      <c r="A20" s="3" t="s">
        <v>256</v>
      </c>
      <c r="B20" s="3" t="s">
        <v>394</v>
      </c>
      <c r="C20" s="48">
        <f t="array" ref="C20">INDEX($C$77:$J$157,MATCH(C$11&amp;$A20,$A$77:$A$157&amp;$B$77:$B$157,0),MATCH(C$13,$C$76:$J$76,0))</f>
        <v>4109</v>
      </c>
      <c r="D20" s="35">
        <f t="array" ref="D20">INDEX($C$77:$J$157,MATCH(D$11&amp;$A20,$A$77:$A$157&amp;$B$77:$B$157,0),MATCH(D$13,$C$76:$J$76,0))</f>
        <v>5223</v>
      </c>
      <c r="E20" s="3">
        <f t="array" ref="E20">INDEX($C$77:$J$157,MATCH(E$11&amp;$A20,$A$77:$A$157&amp;$B$77:$B$157,0),MATCH(E$13,$C$76:$J$76,0))</f>
        <v>5330</v>
      </c>
      <c r="F20" s="48">
        <f t="array" ref="F20">INDEX($C$77:$J$157,MATCH(F$11&amp;$A20,$A$77:$A$157&amp;$B$77:$B$157,0),MATCH(F$13,$C$76:$J$76,0))</f>
        <v>5722</v>
      </c>
      <c r="G20" s="31">
        <f t="array" ref="G20">SUM(IF(($B$60:$B$72=$A20)*($C$59:$AV$59=G$11)*($C$58:$AV$58=G$13),$C$60:$AV$72))*$B$5*IF($B20="Renewables",$B$7,1)</f>
        <v>6174.1799419340232</v>
      </c>
      <c r="H20" s="31">
        <f t="shared" si="0"/>
        <v>5330</v>
      </c>
      <c r="I20" s="31">
        <f t="array" ref="I20">SUM(IF(($B$60:$B$72=$A20)*($C$59:$AV$59=I$11)*($C$58:$AV$58=I$13),$C$60:$AV$72))*$B$5*IF($B20="Renewables",$B$7,1)</f>
        <v>6266.2622201751183</v>
      </c>
      <c r="J20" s="31">
        <f t="array" ref="J20">SUM(IF(($B$60:$B$72=$A20)*($C$59:$AV$59=J$11)*($C$58:$AV$58=J$13),$C$60:$AV$72))*$B$5*IF($B20="Renewables",$B$7,1)</f>
        <v>6174.1799419340232</v>
      </c>
      <c r="K20" s="31">
        <f t="array" ref="K20">SUM(IF(($B$60:$B$72=$A20)*($C$59:$AV$59=K$11)*($C$58:$AV$58=K$13),$C$60:$AV$72))*$B$5*IF($B20="Renewables",$B$7,1)</f>
        <v>6146.3409595634012</v>
      </c>
      <c r="L20" s="31">
        <f t="array" ref="L20">SUM(IF(($B$60:$B$72=$A20)*($C$59:$AV$59=L$11)*($C$58:$AV$58=L$13),$C$60:$AV$72))*$B$5*IF($B20="Renewables",$B$7,1)</f>
        <v>6174.1799419340214</v>
      </c>
      <c r="M20" s="771">
        <f t="array" ref="M20">SUM(IF(($B$60:$B$72=$A20)*($C$59:$AV$59=M$11)*($C$58:$AV$58=M$13),$C$60:$AV$72))*$B$5*IF($B20="Renewables",$B$7,1)</f>
        <v>6310.7176682649597</v>
      </c>
      <c r="N20" s="3">
        <f t="array" ref="N20">INDEX($C$77:$J$157,MATCH(N$11&amp;$A20,$A$77:$A$157&amp;$B$77:$B$157,0),MATCH(N$13,$C$76:$J$76,0))</f>
        <v>6709</v>
      </c>
      <c r="O20" s="3">
        <f t="array" ref="O20">INDEX($C$77:$J$157,MATCH(O$11&amp;$A20,$A$77:$A$157&amp;$B$77:$B$157,0),MATCH(O$13,$C$76:$J$76,0))</f>
        <v>6989</v>
      </c>
      <c r="P20" s="48">
        <f t="array" ref="P20">INDEX($C$77:$J$157,MATCH(P$11&amp;$A20,$A$77:$A$157&amp;$B$77:$B$157,0),MATCH(P$13,$C$76:$J$76,0))</f>
        <v>8228</v>
      </c>
      <c r="Q20" s="34">
        <f t="array" ref="Q20">SUM(IF(($B$60:$B$72=$A20)*($C$59:$AV$59=Q$11)*($C$58:$AV$58=Q$13),$C$60:$AV$72))*$B$5</f>
        <v>6608.3912113761608</v>
      </c>
      <c r="R20" s="34">
        <f t="array" ref="R20">SUM(IF(($B$60:$B$72=$A20)*($C$59:$AV$59=R$11)*($C$58:$AV$58=R$13),$C$60:$AV$72))*$B$5</f>
        <v>6813.7069196221773</v>
      </c>
      <c r="S20" s="34">
        <f t="array" ref="S20">SUM(IF(($B$60:$B$72=$A20)*($C$59:$AV$59=S$11)*($C$58:$AV$58=S$13),$C$60:$AV$72))*$B$5</f>
        <v>7179.5379155938081</v>
      </c>
      <c r="T20" s="34">
        <f t="array" ref="T20">SUM(IF(($B$60:$B$72=$A20)*($C$59:$AV$59=T$11)*($C$58:$AV$58=T$13),$C$60:$AV$72))*$B$5</f>
        <v>6695.3498885616727</v>
      </c>
      <c r="U20" s="34">
        <f t="array" ref="U20">SUM(IF(($B$60:$B$72=$A20)*($C$59:$AV$59=U$11)*($C$58:$AV$58=U$13),$C$60:$AV$72))*$B$5</f>
        <v>6233.0601343241897</v>
      </c>
      <c r="V20" s="34">
        <f t="array" ref="V20">SUM(IF(($B$60:$B$72=$A20)*($C$59:$AV$59=V$11)*($C$58:$AV$58=V$13),$C$60:$AV$72))*$B$5</f>
        <v>6602.2275263740776</v>
      </c>
      <c r="W20" s="34">
        <f t="array" ref="W20">SUM(IF(($B$60:$B$72=$A20)*($C$59:$AV$59=W$11)*($C$58:$AV$58=W$13),$C$60:$AV$72))*$B$5</f>
        <v>7065.5212690260423</v>
      </c>
    </row>
    <row r="21" spans="1:23" x14ac:dyDescent="0.3">
      <c r="A21" s="3" t="s">
        <v>257</v>
      </c>
      <c r="C21" s="48">
        <f t="array" ref="C21">INDEX($C$77:$J$157,MATCH(C$11&amp;$A21,$A$77:$A$157&amp;$B$77:$B$157,0),MATCH(C$13,$C$76:$J$76,0))</f>
        <v>2637</v>
      </c>
      <c r="D21" s="35">
        <f t="array" ref="D21">INDEX($C$77:$J$157,MATCH(D$11&amp;$A21,$A$77:$A$157&amp;$B$77:$B$157,0),MATCH(D$13,$C$76:$J$76,0))</f>
        <v>3239</v>
      </c>
      <c r="E21" s="3">
        <f t="array" ref="E21">INDEX($C$77:$J$157,MATCH(E$11&amp;$A21,$A$77:$A$157&amp;$B$77:$B$157,0),MATCH(E$13,$C$76:$J$76,0))</f>
        <v>3253</v>
      </c>
      <c r="F21" s="48">
        <f t="array" ref="F21">INDEX($C$77:$J$157,MATCH(F$11&amp;$A21,$A$77:$A$157&amp;$B$77:$B$157,0),MATCH(F$13,$C$76:$J$76,0))</f>
        <v>3888</v>
      </c>
      <c r="G21" s="31">
        <f t="array" ref="G21">SUM(IF(($B$60:$B$72=$A21)*($C$59:$AV$59=G$11)*($C$58:$AV$58=G$13),$C$60:$AV$72))*$B$5*IF($B21="Renewables",$B$7,1)</f>
        <v>4031.7132928196124</v>
      </c>
      <c r="H21" s="31">
        <f t="shared" si="0"/>
        <v>3253</v>
      </c>
      <c r="I21" s="31">
        <f t="array" ref="I21">SUM(IF(($B$60:$B$72=$A21)*($C$59:$AV$59=I$11)*($C$58:$AV$58=I$13),$C$60:$AV$72))*$B$5*IF($B21="Renewables",$B$7,1)</f>
        <v>4031.7132928196124</v>
      </c>
      <c r="J21" s="31">
        <f t="array" ref="J21">SUM(IF(($B$60:$B$72=$A21)*($C$59:$AV$59=J$11)*($C$58:$AV$58=J$13),$C$60:$AV$72))*$B$5*IF($B21="Renewables",$B$7,1)</f>
        <v>4031.7132928196124</v>
      </c>
      <c r="K21" s="31">
        <f t="array" ref="K21">SUM(IF(($B$60:$B$72=$A21)*($C$59:$AV$59=K$11)*($C$58:$AV$58=K$13),$C$60:$AV$72))*$B$5*IF($B21="Renewables",$B$7,1)</f>
        <v>4031.7132928196124</v>
      </c>
      <c r="L21" s="31">
        <f t="array" ref="L21">SUM(IF(($B$60:$B$72=$A21)*($C$59:$AV$59=L$11)*($C$58:$AV$58=L$13),$C$60:$AV$72))*$B$5*IF($B21="Renewables",$B$7,1)</f>
        <v>4031.7132928196124</v>
      </c>
      <c r="M21" s="771">
        <f t="array" ref="M21">SUM(IF(($B$60:$B$72=$A21)*($C$59:$AV$59=M$11)*($C$58:$AV$58=M$13),$C$60:$AV$72))*$B$5*IF($B21="Renewables",$B$7,1)</f>
        <v>4031.7132928196129</v>
      </c>
      <c r="N21" s="3">
        <f t="array" ref="N21">INDEX($C$77:$J$157,MATCH(N$11&amp;$A21,$A$77:$A$157&amp;$B$77:$B$157,0),MATCH(N$13,$C$76:$J$76,0))</f>
        <v>4124</v>
      </c>
      <c r="O21" s="3">
        <f t="array" ref="O21">INDEX($C$77:$J$157,MATCH(O$11&amp;$A21,$A$77:$A$157&amp;$B$77:$B$157,0),MATCH(O$13,$C$76:$J$76,0))</f>
        <v>4138</v>
      </c>
      <c r="P21" s="48">
        <f t="array" ref="P21">INDEX($C$77:$J$157,MATCH(P$11&amp;$A21,$A$77:$A$157&amp;$B$77:$B$157,0),MATCH(P$13,$C$76:$J$76,0))</f>
        <v>5812</v>
      </c>
      <c r="Q21" s="34">
        <f t="array" ref="Q21">SUM(IF(($B$60:$B$72=$A21)*($C$59:$AV$59=Q$11)*($C$58:$AV$58=Q$13),$C$60:$AV$72))*$B$5</f>
        <v>6416.6828154598315</v>
      </c>
      <c r="R21" s="34">
        <f t="array" ref="R21">SUM(IF(($B$60:$B$72=$A21)*($C$59:$AV$59=R$11)*($C$58:$AV$58=R$13),$C$60:$AV$72))*$B$5</f>
        <v>6603.1711650657489</v>
      </c>
      <c r="S21" s="34">
        <f t="array" ref="S21">SUM(IF(($B$60:$B$72=$A21)*($C$59:$AV$59=S$11)*($C$58:$AV$58=S$13),$C$60:$AV$72))*$B$5</f>
        <v>6923.7069017423919</v>
      </c>
      <c r="T21" s="34">
        <f t="array" ref="T21">SUM(IF(($B$60:$B$72=$A21)*($C$59:$AV$59=T$11)*($C$58:$AV$58=T$13),$C$60:$AV$72))*$B$5</f>
        <v>6382.2758280120734</v>
      </c>
      <c r="U21" s="34">
        <f t="array" ref="U21">SUM(IF(($B$60:$B$72=$A21)*($C$59:$AV$59=U$11)*($C$58:$AV$58=U$13),$C$60:$AV$72))*$B$5</f>
        <v>5876.5912582619703</v>
      </c>
      <c r="V21" s="34">
        <f t="array" ref="V21">SUM(IF(($B$60:$B$72=$A21)*($C$59:$AV$59=V$11)*($C$58:$AV$58=V$13),$C$60:$AV$72))*$B$5</f>
        <v>6461.5194145823507</v>
      </c>
      <c r="W21" s="34">
        <f t="array" ref="W21">SUM(IF(($B$60:$B$72=$A21)*($C$59:$AV$59=W$11)*($C$58:$AV$58=W$13),$C$60:$AV$72))*$B$5</f>
        <v>6820.2766997676517</v>
      </c>
    </row>
    <row r="22" spans="1:23" x14ac:dyDescent="0.3">
      <c r="A22" s="3" t="s">
        <v>266</v>
      </c>
      <c r="C22" s="48">
        <f t="array" ref="C22">INDEX($C$77:$J$157,MATCH(C$11&amp;$A22,$A$77:$A$157&amp;$B$77:$B$157,0),MATCH(C$13,$C$76:$J$76,0))</f>
        <v>940</v>
      </c>
      <c r="D22" s="35">
        <f t="array" ref="D22">INDEX($C$77:$J$157,MATCH(D$11&amp;$A22,$A$77:$A$157&amp;$B$77:$B$157,0),MATCH(D$13,$C$76:$J$76,0))</f>
        <v>697</v>
      </c>
      <c r="E22" s="3">
        <f t="array" ref="E22">INDEX($C$77:$J$157,MATCH(E$11&amp;$A22,$A$77:$A$157&amp;$B$77:$B$157,0),MATCH(E$13,$C$76:$J$76,0))</f>
        <v>676</v>
      </c>
      <c r="F22" s="48">
        <f t="array" ref="F22">INDEX($C$77:$J$157,MATCH(F$11&amp;$A22,$A$77:$A$157&amp;$B$77:$B$157,0),MATCH(F$13,$C$76:$J$76,0))</f>
        <v>413</v>
      </c>
      <c r="G22" s="31">
        <f t="array" ref="G22">SUM(IF(($B$60:$B$72=$A22)*($C$59:$AV$59=G$11)*($C$58:$AV$58=G$13),$C$60:$AV$72))*$B$5*IF($B22="Renewables",$B$7,1)</f>
        <v>417.72843198921868</v>
      </c>
      <c r="H22" s="31">
        <f t="shared" si="0"/>
        <v>676</v>
      </c>
      <c r="I22" s="31">
        <f t="array" ref="I22">SUM(IF(($B$60:$B$72=$A22)*($C$59:$AV$59=I$11)*($C$58:$AV$58=I$13),$C$60:$AV$72))*$B$5*IF($B22="Renewables",$B$7,1)</f>
        <v>417.72843198921868</v>
      </c>
      <c r="J22" s="31">
        <f t="array" ref="J22">SUM(IF(($B$60:$B$72=$A22)*($C$59:$AV$59=J$11)*($C$58:$AV$58=J$13),$C$60:$AV$72))*$B$5*IF($B22="Renewables",$B$7,1)</f>
        <v>417.7284319892189</v>
      </c>
      <c r="K22" s="31">
        <f t="array" ref="K22">SUM(IF(($B$60:$B$72=$A22)*($C$59:$AV$59=K$11)*($C$58:$AV$58=K$13),$C$60:$AV$72))*$B$5*IF($B22="Renewables",$B$7,1)</f>
        <v>417.7284319892189</v>
      </c>
      <c r="L22" s="31">
        <f t="array" ref="L22">SUM(IF(($B$60:$B$72=$A22)*($C$59:$AV$59=L$11)*($C$58:$AV$58=L$13),$C$60:$AV$72))*$B$5*IF($B22="Renewables",$B$7,1)</f>
        <v>417.72843198921856</v>
      </c>
      <c r="M22" s="771">
        <f t="array" ref="M22">SUM(IF(($B$60:$B$72=$A22)*($C$59:$AV$59=M$11)*($C$58:$AV$58=M$13),$C$60:$AV$72))*$B$5*IF($B22="Renewables",$B$7,1)</f>
        <v>417.72843198921885</v>
      </c>
      <c r="N22" s="3">
        <f t="array" ref="N22">INDEX($C$77:$J$157,MATCH(N$11&amp;$A22,$A$77:$A$157&amp;$B$77:$B$157,0),MATCH(N$13,$C$76:$J$76,0))</f>
        <v>546</v>
      </c>
      <c r="O22" s="3">
        <f t="array" ref="O22">INDEX($C$77:$J$157,MATCH(O$11&amp;$A22,$A$77:$A$157&amp;$B$77:$B$157,0),MATCH(O$13,$C$76:$J$76,0))</f>
        <v>387</v>
      </c>
      <c r="P22" s="48">
        <f t="array" ref="P22">INDEX($C$77:$J$157,MATCH(P$11&amp;$A22,$A$77:$A$157&amp;$B$77:$B$157,0),MATCH(P$13,$C$76:$J$76,0))</f>
        <v>43</v>
      </c>
      <c r="Q22" s="34">
        <f t="array" ref="Q22">SUM(IF(($B$60:$B$72=$A22)*($C$59:$AV$59=Q$11)*($C$58:$AV$58=Q$13),$C$60:$AV$72))*$B$5</f>
        <v>0</v>
      </c>
      <c r="R22" s="34">
        <f t="array" ref="R22">SUM(IF(($B$60:$B$72=$A22)*($C$59:$AV$59=R$11)*($C$58:$AV$58=R$13),$C$60:$AV$72))*$B$5</f>
        <v>0</v>
      </c>
      <c r="S22" s="34">
        <f t="array" ref="S22">SUM(IF(($B$60:$B$72=$A22)*($C$59:$AV$59=S$11)*($C$58:$AV$58=S$13),$C$60:$AV$72))*$B$5</f>
        <v>0</v>
      </c>
      <c r="T22" s="34">
        <f t="array" ref="T22">SUM(IF(($B$60:$B$72=$A22)*($C$59:$AV$59=T$11)*($C$58:$AV$58=T$13),$C$60:$AV$72))*$B$5</f>
        <v>0</v>
      </c>
      <c r="U22" s="34">
        <f t="array" ref="U22">SUM(IF(($B$60:$B$72=$A22)*($C$59:$AV$59=U$11)*($C$58:$AV$58=U$13),$C$60:$AV$72))*$B$5</f>
        <v>0</v>
      </c>
      <c r="V22" s="34">
        <f t="array" ref="V22">SUM(IF(($B$60:$B$72=$A22)*($C$59:$AV$59=V$11)*($C$58:$AV$58=V$13),$C$60:$AV$72))*$B$5</f>
        <v>0</v>
      </c>
      <c r="W22" s="34">
        <f t="array" ref="W22">SUM(IF(($B$60:$B$72=$A22)*($C$59:$AV$59=W$11)*($C$58:$AV$58=W$13),$C$60:$AV$72))*$B$5</f>
        <v>0</v>
      </c>
    </row>
    <row r="23" spans="1:23" x14ac:dyDescent="0.3">
      <c r="A23" s="3" t="s">
        <v>259</v>
      </c>
      <c r="B23" s="3" t="s">
        <v>394</v>
      </c>
      <c r="C23" s="48">
        <f t="array" ref="C23">INDEX($C$77:$J$157,MATCH(C$11&amp;$A23,$A$77:$A$157&amp;$B$77:$B$157,0),MATCH(C$13,$C$76:$J$76,0))</f>
        <v>446</v>
      </c>
      <c r="D23" s="35">
        <f t="array" ref="D23">INDEX($C$77:$J$157,MATCH(D$11&amp;$A23,$A$77:$A$157&amp;$B$77:$B$157,0),MATCH(D$13,$C$76:$J$76,0))</f>
        <v>1834</v>
      </c>
      <c r="E23" s="3">
        <f t="array" ref="E23">INDEX($C$77:$J$157,MATCH(E$11&amp;$A23,$A$77:$A$157&amp;$B$77:$B$157,0),MATCH(E$13,$C$76:$J$76,0))</f>
        <v>2272</v>
      </c>
      <c r="F23" s="48">
        <f t="array" ref="F23">INDEX($C$77:$J$157,MATCH(F$11&amp;$A23,$A$77:$A$157&amp;$B$77:$B$157,0),MATCH(F$13,$C$76:$J$76,0))</f>
        <v>3452</v>
      </c>
      <c r="G23" s="31">
        <f t="array" ref="G23">SUM(IF(($B$60:$B$72=$A23)*($C$59:$AV$59=G$11)*($C$58:$AV$58=G$13),$C$60:$AV$72))*$B$5*IF($B23="Renewables",$B$7,1)</f>
        <v>1523.2508845272368</v>
      </c>
      <c r="H23" s="31">
        <f t="shared" si="0"/>
        <v>2272</v>
      </c>
      <c r="I23" s="31">
        <f t="array" ref="I23">SUM(IF(($B$60:$B$72=$A23)*($C$59:$AV$59=I$11)*($C$58:$AV$58=I$13),$C$60:$AV$72))*$B$5*IF($B23="Renewables",$B$7,1)</f>
        <v>363.93421789418306</v>
      </c>
      <c r="J23" s="31">
        <f t="array" ref="J23">SUM(IF(($B$60:$B$72=$A23)*($C$59:$AV$59=J$11)*($C$58:$AV$58=J$13),$C$60:$AV$72))*$B$5*IF($B23="Renewables",$B$7,1)</f>
        <v>1165.2348832306941</v>
      </c>
      <c r="K23" s="31">
        <f t="array" ref="K23">SUM(IF(($B$60:$B$72=$A23)*($C$59:$AV$59=K$11)*($C$58:$AV$58=K$13),$C$60:$AV$72))*$B$5*IF($B23="Renewables",$B$7,1)</f>
        <v>1101.1360511560151</v>
      </c>
      <c r="L23" s="31">
        <f t="array" ref="L23">SUM(IF(($B$60:$B$72=$A23)*($C$59:$AV$59=L$11)*($C$58:$AV$58=L$13),$C$60:$AV$72))*$B$5*IF($B23="Renewables",$B$7,1)</f>
        <v>1530.36045860029</v>
      </c>
      <c r="M23" s="771">
        <f t="array" ref="M23">SUM(IF(($B$60:$B$72=$A23)*($C$59:$AV$59=M$11)*($C$58:$AV$58=M$13),$C$60:$AV$72))*$B$5*IF($B23="Renewables",$B$7,1)</f>
        <v>1520.238249841344</v>
      </c>
      <c r="N23" s="3">
        <f t="array" ref="N23">INDEX($C$77:$J$157,MATCH(N$11&amp;$A23,$A$77:$A$157&amp;$B$77:$B$157,0),MATCH(N$13,$C$76:$J$76,0))</f>
        <v>4483</v>
      </c>
      <c r="O23" s="3">
        <f t="array" ref="O23">INDEX($C$77:$J$157,MATCH(O$11&amp;$A23,$A$77:$A$157&amp;$B$77:$B$157,0),MATCH(O$13,$C$76:$J$76,0))</f>
        <v>6037</v>
      </c>
      <c r="P23" s="48">
        <f t="array" ref="P23">INDEX($C$77:$J$157,MATCH(P$11&amp;$A23,$A$77:$A$157&amp;$B$77:$B$157,0),MATCH(P$13,$C$76:$J$76,0))</f>
        <v>11256</v>
      </c>
      <c r="Q23" s="34">
        <f t="array" ref="Q23">SUM(IF(($B$60:$B$72=$A23)*($C$59:$AV$59=Q$11)*($C$58:$AV$58=Q$13),$C$60:$AV$72))*$B$5</f>
        <v>7046.1805214422711</v>
      </c>
      <c r="R23" s="34">
        <f t="array" ref="R23">SUM(IF(($B$60:$B$72=$A23)*($C$59:$AV$59=R$11)*($C$58:$AV$58=R$13),$C$60:$AV$72))*$B$5</f>
        <v>7010.6744599166796</v>
      </c>
      <c r="S23" s="34">
        <f t="array" ref="S23">SUM(IF(($B$60:$B$72=$A23)*($C$59:$AV$59=S$11)*($C$58:$AV$58=S$13),$C$60:$AV$72))*$B$5</f>
        <v>283.85858765268864</v>
      </c>
      <c r="T23" s="34">
        <f t="array" ref="T23">SUM(IF(($B$60:$B$72=$A23)*($C$59:$AV$59=T$11)*($C$58:$AV$58=T$13),$C$60:$AV$72))*$B$5</f>
        <v>7071.8135597677574</v>
      </c>
      <c r="U23" s="34">
        <f t="array" ref="U23">SUM(IF(($B$60:$B$72=$A23)*($C$59:$AV$59=U$11)*($C$58:$AV$58=U$13),$C$60:$AV$72))*$B$5</f>
        <v>6501.2852165240938</v>
      </c>
      <c r="V23" s="34">
        <f t="array" ref="V23">SUM(IF(($B$60:$B$72=$A23)*($C$59:$AV$59=V$11)*($C$58:$AV$58=V$13),$C$60:$AV$72))*$B$5</f>
        <v>7081.2902781000666</v>
      </c>
      <c r="W23" s="34">
        <f t="array" ref="W23">SUM(IF(($B$60:$B$72=$A23)*($C$59:$AV$59=W$11)*($C$58:$AV$58=W$13),$C$60:$AV$72))*$B$5</f>
        <v>7111.1514983188617</v>
      </c>
    </row>
    <row r="24" spans="1:23" x14ac:dyDescent="0.3">
      <c r="A24" s="3" t="s">
        <v>260</v>
      </c>
      <c r="B24" s="3" t="s">
        <v>394</v>
      </c>
      <c r="C24" s="48">
        <f t="array" ref="C24">INDEX($C$77:$J$157,MATCH(C$11&amp;$A24,$A$77:$A$157&amp;$B$77:$B$157,0),MATCH(C$13,$C$76:$J$76,0))</f>
        <v>1085</v>
      </c>
      <c r="D24" s="35">
        <f t="array" ref="D24">INDEX($C$77:$J$157,MATCH(D$11&amp;$A24,$A$77:$A$157&amp;$B$77:$B$157,0),MATCH(D$13,$C$76:$J$76,0))</f>
        <v>2668</v>
      </c>
      <c r="E24" s="3">
        <f t="array" ref="E24">INDEX($C$77:$J$157,MATCH(E$11&amp;$A24,$A$77:$A$157&amp;$B$77:$B$157,0),MATCH(E$13,$C$76:$J$76,0))</f>
        <v>3157</v>
      </c>
      <c r="F24" s="48">
        <f t="array" ref="F24">INDEX($C$77:$J$157,MATCH(F$11&amp;$A24,$A$77:$A$157&amp;$B$77:$B$157,0),MATCH(F$13,$C$76:$J$76,0))</f>
        <v>4355</v>
      </c>
      <c r="G24" s="31">
        <f t="array" ref="G24">SUM(IF(($B$60:$B$72=$A24)*($C$59:$AV$59=G$11)*($C$58:$AV$58=G$13),$C$60:$AV$72))*$B$5*IF($B24="Renewables",$B$7,1)</f>
        <v>4157.7388141510246</v>
      </c>
      <c r="H24" s="31">
        <f t="shared" si="0"/>
        <v>3157</v>
      </c>
      <c r="I24" s="31">
        <f t="array" ref="I24">SUM(IF(($B$60:$B$72=$A24)*($C$59:$AV$59=I$11)*($C$58:$AV$58=I$13),$C$60:$AV$72))*$B$5*IF($B24="Renewables",$B$7,1)</f>
        <v>3651.6029833456469</v>
      </c>
      <c r="J24" s="31">
        <f t="array" ref="J24">SUM(IF(($B$60:$B$72=$A24)*($C$59:$AV$59=J$11)*($C$58:$AV$58=J$13),$C$60:$AV$72))*$B$5*IF($B24="Renewables",$B$7,1)</f>
        <v>3830.4248218408261</v>
      </c>
      <c r="K24" s="31">
        <f t="array" ref="K24">SUM(IF(($B$60:$B$72=$A24)*($C$59:$AV$59=K$11)*($C$58:$AV$58=K$13),$C$60:$AV$72))*$B$5*IF($B24="Renewables",$B$7,1)</f>
        <v>3870.3173764115504</v>
      </c>
      <c r="L24" s="31">
        <f t="array" ref="L24">SUM(IF(($B$60:$B$72=$A24)*($C$59:$AV$59=L$11)*($C$58:$AV$58=L$13),$C$60:$AV$72))*$B$5*IF($B24="Renewables",$B$7,1)</f>
        <v>4199.7095842467188</v>
      </c>
      <c r="M24" s="771">
        <f t="array" ref="M24">SUM(IF(($B$60:$B$72=$A24)*($C$59:$AV$59=M$11)*($C$58:$AV$58=M$13),$C$60:$AV$72))*$B$5*IF($B24="Renewables",$B$7,1)</f>
        <v>4351.167275071547</v>
      </c>
      <c r="N24" s="3">
        <f t="array" ref="N24">INDEX($C$77:$J$157,MATCH(N$11&amp;$A24,$A$77:$A$157&amp;$B$77:$B$157,0),MATCH(N$13,$C$76:$J$76,0))</f>
        <v>4679</v>
      </c>
      <c r="O24" s="3">
        <f t="array" ref="O24">INDEX($C$77:$J$157,MATCH(O$11&amp;$A24,$A$77:$A$157&amp;$B$77:$B$157,0),MATCH(O$13,$C$76:$J$76,0))</f>
        <v>6150</v>
      </c>
      <c r="P24" s="48">
        <f t="array" ref="P24">INDEX($C$77:$J$157,MATCH(P$11&amp;$A24,$A$77:$A$157&amp;$B$77:$B$157,0),MATCH(P$13,$C$76:$J$76,0))</f>
        <v>10964</v>
      </c>
      <c r="Q24" s="34">
        <f t="array" ref="Q24">SUM(IF(($B$60:$B$72=$A24)*($C$59:$AV$59=Q$11)*($C$58:$AV$58=Q$13),$C$60:$AV$72))*$B$5</f>
        <v>9741.7036818356974</v>
      </c>
      <c r="R24" s="34">
        <f t="array" ref="R24">SUM(IF(($B$60:$B$72=$A24)*($C$59:$AV$59=R$11)*($C$58:$AV$58=R$13),$C$60:$AV$72))*$B$5</f>
        <v>9717.069174105709</v>
      </c>
      <c r="S24" s="34">
        <f t="array" ref="S24">SUM(IF(($B$60:$B$72=$A24)*($C$59:$AV$59=S$11)*($C$58:$AV$58=S$13),$C$60:$AV$72))*$B$5</f>
        <v>8375.40946921451</v>
      </c>
      <c r="T24" s="34">
        <f t="array" ref="T24">SUM(IF(($B$60:$B$72=$A24)*($C$59:$AV$59=T$11)*($C$58:$AV$58=T$13),$C$60:$AV$72))*$B$5</f>
        <v>9915.9051234817107</v>
      </c>
      <c r="U24" s="34">
        <f t="array" ref="U24">SUM(IF(($B$60:$B$72=$A24)*($C$59:$AV$59=U$11)*($C$58:$AV$58=U$13),$C$60:$AV$72))*$B$5</f>
        <v>8721.8546609107252</v>
      </c>
      <c r="V24" s="34">
        <f t="array" ref="V24">SUM(IF(($B$60:$B$72=$A24)*($C$59:$AV$59=V$11)*($C$58:$AV$58=V$13),$C$60:$AV$72))*$B$5</f>
        <v>9773.982600590105</v>
      </c>
      <c r="W24" s="34">
        <f t="array" ref="W24">SUM(IF(($B$60:$B$72=$A24)*($C$59:$AV$59=W$11)*($C$58:$AV$58=W$13),$C$60:$AV$72))*$B$5</f>
        <v>9969.4182565074534</v>
      </c>
    </row>
    <row r="25" spans="1:23" x14ac:dyDescent="0.3"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</row>
    <row r="26" spans="1:23" x14ac:dyDescent="0.3"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</row>
    <row r="27" spans="1:23" x14ac:dyDescent="0.3"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</row>
    <row r="28" spans="1:23" x14ac:dyDescent="0.3"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</row>
    <row r="29" spans="1:23" x14ac:dyDescent="0.3"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</row>
    <row r="30" spans="1:23" x14ac:dyDescent="0.3"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</row>
    <row r="31" spans="1:23" x14ac:dyDescent="0.3"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</row>
    <row r="32" spans="1:23" x14ac:dyDescent="0.3"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</row>
    <row r="33" spans="4:22" x14ac:dyDescent="0.3"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</row>
    <row r="34" spans="4:22" x14ac:dyDescent="0.3"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</row>
    <row r="35" spans="4:22" x14ac:dyDescent="0.3"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</row>
    <row r="36" spans="4:22" x14ac:dyDescent="0.3"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</row>
    <row r="37" spans="4:22" x14ac:dyDescent="0.3"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</row>
    <row r="38" spans="4:22" x14ac:dyDescent="0.3"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</row>
    <row r="39" spans="4:22" x14ac:dyDescent="0.3"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</row>
    <row r="40" spans="4:22" x14ac:dyDescent="0.3"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</row>
    <row r="41" spans="4:22" x14ac:dyDescent="0.3"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</row>
    <row r="42" spans="4:22" x14ac:dyDescent="0.3"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</row>
    <row r="43" spans="4:22" x14ac:dyDescent="0.3"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</row>
    <row r="44" spans="4:22" x14ac:dyDescent="0.3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</row>
    <row r="45" spans="4:22" x14ac:dyDescent="0.3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</row>
    <row r="46" spans="4:22" x14ac:dyDescent="0.3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</row>
    <row r="47" spans="4:22" x14ac:dyDescent="0.3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</row>
    <row r="48" spans="4:22" x14ac:dyDescent="0.3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</row>
    <row r="49" spans="1:48" x14ac:dyDescent="0.3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</row>
    <row r="50" spans="1:48" x14ac:dyDescent="0.3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</row>
    <row r="51" spans="1:48" x14ac:dyDescent="0.3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</row>
    <row r="52" spans="1:48" x14ac:dyDescent="0.3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</row>
    <row r="53" spans="1:48" ht="15" thickBot="1" x14ac:dyDescent="0.35"/>
    <row r="54" spans="1:48" s="25" customFormat="1" ht="15" thickBot="1" x14ac:dyDescent="0.35">
      <c r="A54" s="24" t="s">
        <v>374</v>
      </c>
    </row>
    <row r="55" spans="1:48" x14ac:dyDescent="0.3">
      <c r="A55" s="4"/>
    </row>
    <row r="58" spans="1:48" x14ac:dyDescent="0.3">
      <c r="C58" s="3">
        <v>2012</v>
      </c>
      <c r="D58" s="3">
        <v>2020</v>
      </c>
      <c r="E58" s="3">
        <v>2020</v>
      </c>
      <c r="F58" s="3">
        <v>2020</v>
      </c>
      <c r="G58" s="3">
        <v>2020</v>
      </c>
      <c r="H58" s="3">
        <v>2020</v>
      </c>
      <c r="I58" s="3">
        <v>2020</v>
      </c>
      <c r="J58" s="3">
        <v>2020</v>
      </c>
      <c r="K58" s="3">
        <v>2020</v>
      </c>
      <c r="L58" s="3">
        <v>2020</v>
      </c>
      <c r="M58" s="3">
        <v>2030</v>
      </c>
      <c r="N58" s="3">
        <v>2030</v>
      </c>
      <c r="O58" s="3">
        <v>2030</v>
      </c>
      <c r="P58" s="3">
        <v>2030</v>
      </c>
      <c r="Q58" s="3">
        <v>2030</v>
      </c>
      <c r="R58" s="3">
        <v>2030</v>
      </c>
      <c r="S58" s="3">
        <v>2030</v>
      </c>
      <c r="T58" s="3">
        <v>2030</v>
      </c>
      <c r="U58" s="3">
        <v>2030</v>
      </c>
      <c r="V58" s="3">
        <v>2040</v>
      </c>
      <c r="W58" s="3">
        <v>2040</v>
      </c>
      <c r="X58" s="3">
        <v>2040</v>
      </c>
      <c r="Y58" s="3">
        <v>2040</v>
      </c>
      <c r="Z58" s="3">
        <v>2040</v>
      </c>
      <c r="AA58" s="3">
        <v>2040</v>
      </c>
      <c r="AB58" s="3">
        <v>2040</v>
      </c>
      <c r="AC58" s="3">
        <v>2040</v>
      </c>
      <c r="AD58" s="3">
        <v>2040</v>
      </c>
      <c r="AE58" s="3">
        <v>2050</v>
      </c>
      <c r="AF58" s="3">
        <v>2050</v>
      </c>
      <c r="AG58" s="3">
        <v>2050</v>
      </c>
      <c r="AH58" s="3">
        <v>2050</v>
      </c>
      <c r="AI58" s="3">
        <v>2050</v>
      </c>
      <c r="AJ58" s="3">
        <v>2050</v>
      </c>
      <c r="AK58" s="3">
        <v>2050</v>
      </c>
      <c r="AL58" s="3">
        <v>2050</v>
      </c>
      <c r="AM58" s="3">
        <v>2050</v>
      </c>
      <c r="AN58" s="3">
        <v>2060</v>
      </c>
      <c r="AO58" s="3">
        <v>2060</v>
      </c>
      <c r="AP58" s="3">
        <v>2060</v>
      </c>
      <c r="AQ58" s="3">
        <v>2060</v>
      </c>
      <c r="AR58" s="3">
        <v>2060</v>
      </c>
      <c r="AS58" s="3">
        <v>2060</v>
      </c>
      <c r="AT58" s="3">
        <v>2060</v>
      </c>
      <c r="AU58" s="3">
        <v>2060</v>
      </c>
      <c r="AV58" s="3">
        <v>2060</v>
      </c>
    </row>
    <row r="59" spans="1:48" x14ac:dyDescent="0.3">
      <c r="A59" s="3" t="s">
        <v>59</v>
      </c>
      <c r="B59" s="3" t="s">
        <v>252</v>
      </c>
      <c r="C59" s="3" t="str">
        <f>E$11</f>
        <v>NPS WEO 18</v>
      </c>
      <c r="D59" s="3" t="str">
        <f t="shared" ref="D59:L59" si="1">E$11</f>
        <v>NPS WEO 18</v>
      </c>
      <c r="E59" s="3" t="str">
        <f t="shared" si="1"/>
        <v>SDS WEO 18</v>
      </c>
      <c r="F59" s="3" t="str">
        <f t="shared" si="1"/>
        <v>Vivid_1</v>
      </c>
      <c r="G59" s="3" t="str">
        <f t="shared" si="1"/>
        <v>Vivid_2</v>
      </c>
      <c r="H59" s="3" t="str">
        <f t="shared" si="1"/>
        <v>Vivid_5v2</v>
      </c>
      <c r="I59" s="3" t="str">
        <f t="shared" si="1"/>
        <v>Vivid_7</v>
      </c>
      <c r="J59" s="3" t="str">
        <f t="shared" si="1"/>
        <v>Vivid_9</v>
      </c>
      <c r="K59" s="3" t="str">
        <f t="shared" si="1"/>
        <v>Vivid_11</v>
      </c>
      <c r="L59" s="3" t="str">
        <f t="shared" si="1"/>
        <v>Vivid_25</v>
      </c>
      <c r="M59" s="3" t="str">
        <f t="shared" ref="M59:U59" si="2">E$11</f>
        <v>NPS WEO 18</v>
      </c>
      <c r="N59" s="3" t="str">
        <f t="shared" si="2"/>
        <v>SDS WEO 18</v>
      </c>
      <c r="O59" s="3" t="str">
        <f t="shared" si="2"/>
        <v>Vivid_1</v>
      </c>
      <c r="P59" s="3" t="str">
        <f t="shared" si="2"/>
        <v>Vivid_2</v>
      </c>
      <c r="Q59" s="3" t="str">
        <f t="shared" si="2"/>
        <v>Vivid_5v2</v>
      </c>
      <c r="R59" s="3" t="str">
        <f t="shared" si="2"/>
        <v>Vivid_7</v>
      </c>
      <c r="S59" s="3" t="str">
        <f t="shared" si="2"/>
        <v>Vivid_9</v>
      </c>
      <c r="T59" s="3" t="str">
        <f t="shared" si="2"/>
        <v>Vivid_11</v>
      </c>
      <c r="U59" s="3" t="str">
        <f t="shared" si="2"/>
        <v>Vivid_25</v>
      </c>
      <c r="V59" s="3" t="str">
        <f t="shared" ref="V59:AD59" si="3">E$11</f>
        <v>NPS WEO 18</v>
      </c>
      <c r="W59" s="3" t="str">
        <f t="shared" si="3"/>
        <v>SDS WEO 18</v>
      </c>
      <c r="X59" s="3" t="str">
        <f t="shared" si="3"/>
        <v>Vivid_1</v>
      </c>
      <c r="Y59" s="3" t="str">
        <f t="shared" si="3"/>
        <v>Vivid_2</v>
      </c>
      <c r="Z59" s="3" t="str">
        <f t="shared" si="3"/>
        <v>Vivid_5v2</v>
      </c>
      <c r="AA59" s="3" t="str">
        <f t="shared" si="3"/>
        <v>Vivid_7</v>
      </c>
      <c r="AB59" s="3" t="str">
        <f t="shared" si="3"/>
        <v>Vivid_9</v>
      </c>
      <c r="AC59" s="3" t="str">
        <f t="shared" si="3"/>
        <v>Vivid_11</v>
      </c>
      <c r="AD59" s="3" t="str">
        <f t="shared" si="3"/>
        <v>Vivid_25</v>
      </c>
      <c r="AE59" s="3" t="str">
        <f t="shared" ref="AE59:AM59" si="4">E$11</f>
        <v>NPS WEO 18</v>
      </c>
      <c r="AF59" s="3" t="str">
        <f t="shared" si="4"/>
        <v>SDS WEO 18</v>
      </c>
      <c r="AG59" s="3" t="str">
        <f t="shared" si="4"/>
        <v>Vivid_1</v>
      </c>
      <c r="AH59" s="3" t="str">
        <f t="shared" si="4"/>
        <v>Vivid_2</v>
      </c>
      <c r="AI59" s="3" t="str">
        <f t="shared" si="4"/>
        <v>Vivid_5v2</v>
      </c>
      <c r="AJ59" s="3" t="str">
        <f t="shared" si="4"/>
        <v>Vivid_7</v>
      </c>
      <c r="AK59" s="3" t="str">
        <f t="shared" si="4"/>
        <v>Vivid_9</v>
      </c>
      <c r="AL59" s="3" t="str">
        <f t="shared" si="4"/>
        <v>Vivid_11</v>
      </c>
      <c r="AM59" s="3" t="str">
        <f t="shared" si="4"/>
        <v>Vivid_25</v>
      </c>
      <c r="AN59" s="3" t="str">
        <f t="shared" ref="AN59:AV59" si="5">E$11</f>
        <v>NPS WEO 18</v>
      </c>
      <c r="AO59" s="3" t="str">
        <f t="shared" si="5"/>
        <v>SDS WEO 18</v>
      </c>
      <c r="AP59" s="3" t="str">
        <f t="shared" si="5"/>
        <v>Vivid_1</v>
      </c>
      <c r="AQ59" s="3" t="str">
        <f t="shared" si="5"/>
        <v>Vivid_2</v>
      </c>
      <c r="AR59" s="3" t="str">
        <f t="shared" si="5"/>
        <v>Vivid_5v2</v>
      </c>
      <c r="AS59" s="3" t="str">
        <f t="shared" si="5"/>
        <v>Vivid_7</v>
      </c>
      <c r="AT59" s="3" t="str">
        <f t="shared" si="5"/>
        <v>Vivid_9</v>
      </c>
      <c r="AU59" s="3" t="str">
        <f t="shared" si="5"/>
        <v>Vivid_11</v>
      </c>
      <c r="AV59" s="3" t="str">
        <f t="shared" si="5"/>
        <v>Vivid_25</v>
      </c>
    </row>
    <row r="60" spans="1:48" x14ac:dyDescent="0.3">
      <c r="A60" s="3" t="s">
        <v>63</v>
      </c>
      <c r="B60" s="3" t="s">
        <v>253</v>
      </c>
      <c r="C60" s="34">
        <f t="array" ref="C60">SUM(IF(('W9. Power Total Gen'!$B$55:$B$561=C$59)*('W9. Power Total Gen'!$C$55:$C$561=$A60)*('W9. Power Total Gen'!$D$54:$N$54=C$58),'W9. Power Total Gen'!$D$55:$N$561))</f>
        <v>0</v>
      </c>
      <c r="D60" s="34">
        <f t="array" ref="D60">SUM(IF(('W9. Power Total Gen'!$B$55:$B$561=D$59)*('W9. Power Total Gen'!$C$55:$C$561=$A60)*('W9. Power Total Gen'!$D$54:$N$54=D$58),'W9. Power Total Gen'!$D$55:$N$561))</f>
        <v>0</v>
      </c>
      <c r="E60" s="34">
        <f t="array" ref="E60">SUM(IF(('W9. Power Total Gen'!$B$55:$B$561=E$59)*('W9. Power Total Gen'!$C$55:$C$561=$A60)*('W9. Power Total Gen'!$D$54:$N$54=E$58),'W9. Power Total Gen'!$D$55:$N$561))</f>
        <v>0</v>
      </c>
      <c r="F60" s="34">
        <f t="array" ref="F60">SUM(IF(('W9. Power Total Gen'!$B$55:$B$561=F$59)*('W9. Power Total Gen'!$C$55:$C$561=$A60)*('W9. Power Total Gen'!$D$54:$N$54=F$58),'W9. Power Total Gen'!$D$55:$N$561))</f>
        <v>2791.4850951746125</v>
      </c>
      <c r="G60" s="34">
        <f t="array" ref="G60">SUM(IF(('W9. Power Total Gen'!$B$55:$B$561=G$59)*('W9. Power Total Gen'!$C$55:$C$561=$A60)*('W9. Power Total Gen'!$D$54:$N$54=G$58),'W9. Power Total Gen'!$D$55:$N$561))</f>
        <v>2791.4850951746125</v>
      </c>
      <c r="H60" s="34">
        <f t="array" ref="H60">SUM(IF(('W9. Power Total Gen'!$B$55:$B$561=H$59)*('W9. Power Total Gen'!$C$55:$C$561=$A60)*('W9. Power Total Gen'!$D$54:$N$54=H$58),'W9. Power Total Gen'!$D$55:$N$561))</f>
        <v>2791.4850951746125</v>
      </c>
      <c r="I60" s="34">
        <f t="array" ref="I60">SUM(IF(('W9. Power Total Gen'!$B$55:$B$561=I$59)*('W9. Power Total Gen'!$C$55:$C$561=$A60)*('W9. Power Total Gen'!$D$54:$N$54=I$58),'W9. Power Total Gen'!$D$55:$N$561))</f>
        <v>2791.4850951746125</v>
      </c>
      <c r="J60" s="34">
        <f t="array" ref="J60">SUM(IF(('W9. Power Total Gen'!$B$55:$B$561=J$59)*('W9. Power Total Gen'!$C$55:$C$561=$A60)*('W9. Power Total Gen'!$D$54:$N$54=J$58),'W9. Power Total Gen'!$D$55:$N$561))</f>
        <v>2791.4850951746125</v>
      </c>
      <c r="K60" s="34">
        <f t="array" ref="K60">SUM(IF(('W9. Power Total Gen'!$B$55:$B$561=K$59)*('W9. Power Total Gen'!$C$55:$C$561=$A60)*('W9. Power Total Gen'!$D$54:$N$54=K$58),'W9. Power Total Gen'!$D$55:$N$561))</f>
        <v>2791.4850951746125</v>
      </c>
      <c r="L60" s="34">
        <f t="array" ref="L60">SUM(IF(('W9. Power Total Gen'!$B$55:$B$561=L$59)*('W9. Power Total Gen'!$C$55:$C$561=$A60)*('W9. Power Total Gen'!$D$54:$N$54=L$58),'W9. Power Total Gen'!$D$55:$N$561))</f>
        <v>2791.4850951746125</v>
      </c>
      <c r="M60" s="34">
        <f t="array" ref="M60">SUM(IF(('W9. Power Total Gen'!$B$55:$B$561=M$59)*('W9. Power Total Gen'!$C$55:$C$561=$A60)*('W9. Power Total Gen'!$D$54:$N$54=M$58),'W9. Power Total Gen'!$D$55:$N$561))</f>
        <v>0</v>
      </c>
      <c r="N60" s="34">
        <f t="array" ref="N60">SUM(IF(('W9. Power Total Gen'!$B$55:$B$561=N$59)*('W9. Power Total Gen'!$C$55:$C$561=$A60)*('W9. Power Total Gen'!$D$54:$N$54=N$58),'W9. Power Total Gen'!$D$55:$N$561))</f>
        <v>0</v>
      </c>
      <c r="O60" s="34">
        <f t="array" ref="O60">SUM(IF(('W9. Power Total Gen'!$B$55:$B$561=O$59)*('W9. Power Total Gen'!$C$55:$C$561=$A60)*('W9. Power Total Gen'!$D$54:$N$54=O$58),'W9. Power Total Gen'!$D$55:$N$561))</f>
        <v>12174.222869820878</v>
      </c>
      <c r="P60" s="34">
        <f t="array" ref="P60">SUM(IF(('W9. Power Total Gen'!$B$55:$B$561=P$59)*('W9. Power Total Gen'!$C$55:$C$561=$A60)*('W9. Power Total Gen'!$D$54:$N$54=P$58),'W9. Power Total Gen'!$D$55:$N$561))</f>
        <v>10791.541692619947</v>
      </c>
      <c r="Q60" s="34">
        <f t="array" ref="Q60">SUM(IF(('W9. Power Total Gen'!$B$55:$B$561=Q$59)*('W9. Power Total Gen'!$C$55:$C$561=$A60)*('W9. Power Total Gen'!$D$54:$N$54=Q$58),'W9. Power Total Gen'!$D$55:$N$561))</f>
        <v>13190.534369301979</v>
      </c>
      <c r="R60" s="34">
        <f t="array" ref="R60">SUM(IF(('W9. Power Total Gen'!$B$55:$B$561=R$59)*('W9. Power Total Gen'!$C$55:$C$561=$A60)*('W9. Power Total Gen'!$D$54:$N$54=R$58),'W9. Power Total Gen'!$D$55:$N$561))</f>
        <v>12120.273839922602</v>
      </c>
      <c r="S60" s="34">
        <f t="array" ref="S60">SUM(IF(('W9. Power Total Gen'!$B$55:$B$561=S$59)*('W9. Power Total Gen'!$C$55:$C$561=$A60)*('W9. Power Total Gen'!$D$54:$N$54=S$58),'W9. Power Total Gen'!$D$55:$N$561))</f>
        <v>11536.563738882451</v>
      </c>
      <c r="T60" s="34">
        <f t="array" ref="T60">SUM(IF(('W9. Power Total Gen'!$B$55:$B$561=T$59)*('W9. Power Total Gen'!$C$55:$C$561=$A60)*('W9. Power Total Gen'!$D$54:$N$54=T$58),'W9. Power Total Gen'!$D$55:$N$561))</f>
        <v>12007.243807728046</v>
      </c>
      <c r="U60" s="34">
        <f t="array" ref="U60">SUM(IF(('W9. Power Total Gen'!$B$55:$B$561=U$59)*('W9. Power Total Gen'!$C$55:$C$561=$A60)*('W9. Power Total Gen'!$D$54:$N$54=U$58),'W9. Power Total Gen'!$D$55:$N$561))</f>
        <v>12635.036182064405</v>
      </c>
      <c r="V60" s="34">
        <f t="array" ref="V60">SUM(IF(('W9. Power Total Gen'!$B$55:$B$561=V$59)*('W9. Power Total Gen'!$C$55:$C$561=$A60)*('W9. Power Total Gen'!$D$54:$N$54=V$58),'W9. Power Total Gen'!$D$55:$N$561))</f>
        <v>0</v>
      </c>
      <c r="W60" s="34">
        <f t="array" ref="W60">SUM(IF(('W9. Power Total Gen'!$B$55:$B$561=W$59)*('W9. Power Total Gen'!$C$55:$C$561=$A60)*('W9. Power Total Gen'!$D$54:$N$54=W$58),'W9. Power Total Gen'!$D$55:$N$561))</f>
        <v>0</v>
      </c>
      <c r="X60" s="34">
        <f t="array" ref="X60">SUM(IF(('W9. Power Total Gen'!$B$55:$B$561=X$59)*('W9. Power Total Gen'!$C$55:$C$561=$A60)*('W9. Power Total Gen'!$D$54:$N$54=X$58),'W9. Power Total Gen'!$D$55:$N$561))</f>
        <v>14338.797257821856</v>
      </c>
      <c r="Y60" s="34">
        <f t="array" ref="Y60">SUM(IF(('W9. Power Total Gen'!$B$55:$B$561=Y$59)*('W9. Power Total Gen'!$C$55:$C$561=$A60)*('W9. Power Total Gen'!$D$54:$N$54=Y$58),'W9. Power Total Gen'!$D$55:$N$561))</f>
        <v>15440.70490179696</v>
      </c>
      <c r="Z60" s="34">
        <f t="array" ref="Z60">SUM(IF(('W9. Power Total Gen'!$B$55:$B$561=Z$59)*('W9. Power Total Gen'!$C$55:$C$561=$A60)*('W9. Power Total Gen'!$D$54:$N$54=Z$58),'W9. Power Total Gen'!$D$55:$N$561))</f>
        <v>17295.892182142674</v>
      </c>
      <c r="AA60" s="34">
        <f t="array" ref="AA60">SUM(IF(('W9. Power Total Gen'!$B$55:$B$561=AA$59)*('W9. Power Total Gen'!$C$55:$C$561=$A60)*('W9. Power Total Gen'!$D$54:$N$54=AA$58),'W9. Power Total Gen'!$D$55:$N$561))</f>
        <v>14063.542130964799</v>
      </c>
      <c r="AB60" s="34">
        <f t="array" ref="AB60">SUM(IF(('W9. Power Total Gen'!$B$55:$B$561=AB$59)*('W9. Power Total Gen'!$C$55:$C$561=$A60)*('W9. Power Total Gen'!$D$54:$N$54=AB$58),'W9. Power Total Gen'!$D$55:$N$561))</f>
        <v>13246.205297337812</v>
      </c>
      <c r="AC60" s="34">
        <f t="array" ref="AC60">SUM(IF(('W9. Power Total Gen'!$B$55:$B$561=AC$59)*('W9. Power Total Gen'!$C$55:$C$561=$A60)*('W9. Power Total Gen'!$D$54:$N$54=AC$58),'W9. Power Total Gen'!$D$55:$N$561))</f>
        <v>14114.463019013154</v>
      </c>
      <c r="AD60" s="34">
        <f t="array" ref="AD60">SUM(IF(('W9. Power Total Gen'!$B$55:$B$561=AD$59)*('W9. Power Total Gen'!$C$55:$C$561=$A60)*('W9. Power Total Gen'!$D$54:$N$54=AD$58),'W9. Power Total Gen'!$D$55:$N$561))</f>
        <v>13786.244838932049</v>
      </c>
      <c r="AE60" s="34">
        <f t="array" ref="AE60">SUM(IF(('W9. Power Total Gen'!$B$55:$B$561=AE$59)*('W9. Power Total Gen'!$C$55:$C$561=$A60)*('W9. Power Total Gen'!$D$54:$N$54=AE$58),'W9. Power Total Gen'!$D$55:$N$561))</f>
        <v>0</v>
      </c>
      <c r="AF60" s="34">
        <f t="array" ref="AF60">SUM(IF(('W9. Power Total Gen'!$B$55:$B$561=AF$59)*('W9. Power Total Gen'!$C$55:$C$561=$A60)*('W9. Power Total Gen'!$D$54:$N$54=AF$58),'W9. Power Total Gen'!$D$55:$N$561))</f>
        <v>0</v>
      </c>
      <c r="AG60" s="34">
        <f t="array" ref="AG60">SUM(IF(('W9. Power Total Gen'!$B$55:$B$561=AG$59)*('W9. Power Total Gen'!$C$55:$C$561=$A60)*('W9. Power Total Gen'!$D$54:$N$54=AG$58),'W9. Power Total Gen'!$D$55:$N$561))</f>
        <v>15723.464364919433</v>
      </c>
      <c r="AH60" s="34">
        <f t="array" ref="AH60">SUM(IF(('W9. Power Total Gen'!$B$55:$B$561=AH$59)*('W9. Power Total Gen'!$C$55:$C$561=$A60)*('W9. Power Total Gen'!$D$54:$N$54=AH$58),'W9. Power Total Gen'!$D$55:$N$561))</f>
        <v>15284.36733404034</v>
      </c>
      <c r="AI60" s="34">
        <f t="array" ref="AI60">SUM(IF(('W9. Power Total Gen'!$B$55:$B$561=AI$59)*('W9. Power Total Gen'!$C$55:$C$561=$A60)*('W9. Power Total Gen'!$D$54:$N$54=AI$58),'W9. Power Total Gen'!$D$55:$N$561))</f>
        <v>17927.928136277074</v>
      </c>
      <c r="AJ60" s="34">
        <f t="array" ref="AJ60">SUM(IF(('W9. Power Total Gen'!$B$55:$B$561=AJ$59)*('W9. Power Total Gen'!$C$55:$C$561=$A60)*('W9. Power Total Gen'!$D$54:$N$54=AJ$58),'W9. Power Total Gen'!$D$55:$N$561))</f>
        <v>16371.30685516757</v>
      </c>
      <c r="AK60" s="34">
        <f t="array" ref="AK60">SUM(IF(('W9. Power Total Gen'!$B$55:$B$561=AK$59)*('W9. Power Total Gen'!$C$55:$C$561=$A60)*('W9. Power Total Gen'!$D$54:$N$54=AK$58),'W9. Power Total Gen'!$D$55:$N$561))</f>
        <v>16208.323566727075</v>
      </c>
      <c r="AL60" s="34">
        <f t="array" ref="AL60">SUM(IF(('W9. Power Total Gen'!$B$55:$B$561=AL$59)*('W9. Power Total Gen'!$C$55:$C$561=$A60)*('W9. Power Total Gen'!$D$54:$N$54=AL$58),'W9. Power Total Gen'!$D$55:$N$561))</f>
        <v>15402.067868900389</v>
      </c>
      <c r="AM60" s="34">
        <f t="array" ref="AM60">SUM(IF(('W9. Power Total Gen'!$B$55:$B$561=AM$59)*('W9. Power Total Gen'!$C$55:$C$561=$A60)*('W9. Power Total Gen'!$D$54:$N$54=AM$58),'W9. Power Total Gen'!$D$55:$N$561))</f>
        <v>10322.183073730919</v>
      </c>
      <c r="AN60" s="34">
        <f t="array" ref="AN60">SUM(IF(('W9. Power Total Gen'!$B$55:$B$561=AN$59)*('W9. Power Total Gen'!$C$55:$C$561=$A60)*('W9. Power Total Gen'!$D$54:$N$54=AN$58),'W9. Power Total Gen'!$D$55:$N$561))</f>
        <v>0</v>
      </c>
      <c r="AO60" s="34">
        <f t="array" ref="AO60">SUM(IF(('W9. Power Total Gen'!$B$55:$B$561=AO$59)*('W9. Power Total Gen'!$C$55:$C$561=$A60)*('W9. Power Total Gen'!$D$54:$N$54=AO$58),'W9. Power Total Gen'!$D$55:$N$561))</f>
        <v>0</v>
      </c>
      <c r="AP60" s="34">
        <f t="array" ref="AP60">SUM(IF(('W9. Power Total Gen'!$B$55:$B$561=AP$59)*('W9. Power Total Gen'!$C$55:$C$561=$A60)*('W9. Power Total Gen'!$D$54:$N$54=AP$58),'W9. Power Total Gen'!$D$55:$N$561))</f>
        <v>7241.3199855508128</v>
      </c>
      <c r="AQ60" s="34">
        <f t="array" ref="AQ60">SUM(IF(('W9. Power Total Gen'!$B$55:$B$561=AQ$59)*('W9. Power Total Gen'!$C$55:$C$561=$A60)*('W9. Power Total Gen'!$D$54:$N$54=AQ$58),'W9. Power Total Gen'!$D$55:$N$561))</f>
        <v>8515.686821200803</v>
      </c>
      <c r="AR60" s="34">
        <f t="array" ref="AR60">SUM(IF(('W9. Power Total Gen'!$B$55:$B$561=AR$59)*('W9. Power Total Gen'!$C$55:$C$561=$A60)*('W9. Power Total Gen'!$D$54:$N$54=AR$58),'W9. Power Total Gen'!$D$55:$N$561))</f>
        <v>8094.3537055327242</v>
      </c>
      <c r="AS60" s="34">
        <f t="array" ref="AS60">SUM(IF(('W9. Power Total Gen'!$B$55:$B$561=AS$59)*('W9. Power Total Gen'!$C$55:$C$561=$A60)*('W9. Power Total Gen'!$D$54:$N$54=AS$58),'W9. Power Total Gen'!$D$55:$N$561))</f>
        <v>7979.7490467068747</v>
      </c>
      <c r="AT60" s="34">
        <f t="array" ref="AT60">SUM(IF(('W9. Power Total Gen'!$B$55:$B$561=AT$59)*('W9. Power Total Gen'!$C$55:$C$561=$A60)*('W9. Power Total Gen'!$D$54:$N$54=AT$58),'W9. Power Total Gen'!$D$55:$N$561))</f>
        <v>8943.8826667020458</v>
      </c>
      <c r="AU60" s="34">
        <f t="array" ref="AU60">SUM(IF(('W9. Power Total Gen'!$B$55:$B$561=AU$59)*('W9. Power Total Gen'!$C$55:$C$561=$A60)*('W9. Power Total Gen'!$D$54:$N$54=AU$58),'W9. Power Total Gen'!$D$55:$N$561))</f>
        <v>7327.3704376612641</v>
      </c>
      <c r="AV60" s="34">
        <f t="array" ref="AV60">SUM(IF(('W9. Power Total Gen'!$B$55:$B$561=AV$59)*('W9. Power Total Gen'!$C$55:$C$561=$A60)*('W9. Power Total Gen'!$D$54:$N$54=AV$58),'W9. Power Total Gen'!$D$55:$N$561))</f>
        <v>603.14926593768212</v>
      </c>
    </row>
    <row r="61" spans="1:48" x14ac:dyDescent="0.3">
      <c r="A61" s="3" t="s">
        <v>64</v>
      </c>
      <c r="B61" s="3" t="s">
        <v>254</v>
      </c>
      <c r="C61" s="34">
        <f t="array" ref="C61">SUM(IF(('W9. Power Total Gen'!$B$55:$B$561=C$59)*('W9. Power Total Gen'!$C$55:$C$561=$A61)*('W9. Power Total Gen'!$D$54:$N$54=C$58),'W9. Power Total Gen'!$D$55:$N$561))</f>
        <v>0</v>
      </c>
      <c r="D61" s="34">
        <f t="array" ref="D61">SUM(IF(('W9. Power Total Gen'!$B$55:$B$561=D$59)*('W9. Power Total Gen'!$C$55:$C$561=$A61)*('W9. Power Total Gen'!$D$54:$N$54=D$58),'W9. Power Total Gen'!$D$55:$N$561))</f>
        <v>0</v>
      </c>
      <c r="E61" s="34">
        <f t="array" ref="E61">SUM(IF(('W9. Power Total Gen'!$B$55:$B$561=E$59)*('W9. Power Total Gen'!$C$55:$C$561=$A61)*('W9. Power Total Gen'!$D$54:$N$54=E$58),'W9. Power Total Gen'!$D$55:$N$561))</f>
        <v>0</v>
      </c>
      <c r="F61" s="34">
        <f t="array" ref="F61">SUM(IF(('W9. Power Total Gen'!$B$55:$B$561=F$59)*('W9. Power Total Gen'!$C$55:$C$561=$A61)*('W9. Power Total Gen'!$D$54:$N$54=F$58),'W9. Power Total Gen'!$D$55:$N$561))</f>
        <v>32172.508335863538</v>
      </c>
      <c r="G61" s="34">
        <f t="array" ref="G61">SUM(IF(('W9. Power Total Gen'!$B$55:$B$561=G$59)*('W9. Power Total Gen'!$C$55:$C$561=$A61)*('W9. Power Total Gen'!$D$54:$N$54=G$58),'W9. Power Total Gen'!$D$55:$N$561))</f>
        <v>32172.508335863538</v>
      </c>
      <c r="H61" s="34">
        <f t="array" ref="H61">SUM(IF(('W9. Power Total Gen'!$B$55:$B$561=H$59)*('W9. Power Total Gen'!$C$55:$C$561=$A61)*('W9. Power Total Gen'!$D$54:$N$54=H$58),'W9. Power Total Gen'!$D$55:$N$561))</f>
        <v>32172.508335863538</v>
      </c>
      <c r="I61" s="34">
        <f t="array" ref="I61">SUM(IF(('W9. Power Total Gen'!$B$55:$B$561=I$59)*('W9. Power Total Gen'!$C$55:$C$561=$A61)*('W9. Power Total Gen'!$D$54:$N$54=I$58),'W9. Power Total Gen'!$D$55:$N$561))</f>
        <v>32172.508335863538</v>
      </c>
      <c r="J61" s="34">
        <f t="array" ref="J61">SUM(IF(('W9. Power Total Gen'!$B$55:$B$561=J$59)*('W9. Power Total Gen'!$C$55:$C$561=$A61)*('W9. Power Total Gen'!$D$54:$N$54=J$58),'W9. Power Total Gen'!$D$55:$N$561))</f>
        <v>32172.508335863538</v>
      </c>
      <c r="K61" s="34">
        <f t="array" ref="K61">SUM(IF(('W9. Power Total Gen'!$B$55:$B$561=K$59)*('W9. Power Total Gen'!$C$55:$C$561=$A61)*('W9. Power Total Gen'!$D$54:$N$54=K$58),'W9. Power Total Gen'!$D$55:$N$561))</f>
        <v>32172.508335863538</v>
      </c>
      <c r="L61" s="34">
        <f t="array" ref="L61">SUM(IF(('W9. Power Total Gen'!$B$55:$B$561=L$59)*('W9. Power Total Gen'!$C$55:$C$561=$A61)*('W9. Power Total Gen'!$D$54:$N$54=L$58),'W9. Power Total Gen'!$D$55:$N$561))</f>
        <v>32172.508335863538</v>
      </c>
      <c r="M61" s="34">
        <f t="array" ref="M61">SUM(IF(('W9. Power Total Gen'!$B$55:$B$561=M$59)*('W9. Power Total Gen'!$C$55:$C$561=$A61)*('W9. Power Total Gen'!$D$54:$N$54=M$58),'W9. Power Total Gen'!$D$55:$N$561))</f>
        <v>0</v>
      </c>
      <c r="N61" s="34">
        <f t="array" ref="N61">SUM(IF(('W9. Power Total Gen'!$B$55:$B$561=N$59)*('W9. Power Total Gen'!$C$55:$C$561=$A61)*('W9. Power Total Gen'!$D$54:$N$54=N$58),'W9. Power Total Gen'!$D$55:$N$561))</f>
        <v>0</v>
      </c>
      <c r="O61" s="34">
        <f t="array" ref="O61">SUM(IF(('W9. Power Total Gen'!$B$55:$B$561=O$59)*('W9. Power Total Gen'!$C$55:$C$561=$A61)*('W9. Power Total Gen'!$D$54:$N$54=O$58),'W9. Power Total Gen'!$D$55:$N$561))</f>
        <v>20860.314383134577</v>
      </c>
      <c r="P61" s="34">
        <f t="array" ref="P61">SUM(IF(('W9. Power Total Gen'!$B$55:$B$561=P$59)*('W9. Power Total Gen'!$C$55:$C$561=$A61)*('W9. Power Total Gen'!$D$54:$N$54=P$58),'W9. Power Total Gen'!$D$55:$N$561))</f>
        <v>29995.093630544216</v>
      </c>
      <c r="Q61" s="34">
        <f t="array" ref="Q61">SUM(IF(('W9. Power Total Gen'!$B$55:$B$561=Q$59)*('W9. Power Total Gen'!$C$55:$C$561=$A61)*('W9. Power Total Gen'!$D$54:$N$54=Q$58),'W9. Power Total Gen'!$D$55:$N$561))</f>
        <v>19799.038818902387</v>
      </c>
      <c r="R61" s="34">
        <f t="array" ref="R61">SUM(IF(('W9. Power Total Gen'!$B$55:$B$561=R$59)*('W9. Power Total Gen'!$C$55:$C$561=$A61)*('W9. Power Total Gen'!$D$54:$N$54=R$58),'W9. Power Total Gen'!$D$55:$N$561))</f>
        <v>22642.381454136059</v>
      </c>
      <c r="S61" s="34">
        <f t="array" ref="S61">SUM(IF(('W9. Power Total Gen'!$B$55:$B$561=S$59)*('W9. Power Total Gen'!$C$55:$C$561=$A61)*('W9. Power Total Gen'!$D$54:$N$54=S$58),'W9. Power Total Gen'!$D$55:$N$561))</f>
        <v>22161.495268787719</v>
      </c>
      <c r="T61" s="34">
        <f t="array" ref="T61">SUM(IF(('W9. Power Total Gen'!$B$55:$B$561=T$59)*('W9. Power Total Gen'!$C$55:$C$561=$A61)*('W9. Power Total Gen'!$D$54:$N$54=T$58),'W9. Power Total Gen'!$D$55:$N$561))</f>
        <v>20835.601701078842</v>
      </c>
      <c r="U61" s="34">
        <f t="array" ref="U61">SUM(IF(('W9. Power Total Gen'!$B$55:$B$561=U$59)*('W9. Power Total Gen'!$C$55:$C$561=$A61)*('W9. Power Total Gen'!$D$54:$N$54=U$58),'W9. Power Total Gen'!$D$55:$N$561))</f>
        <v>15659.62284806537</v>
      </c>
      <c r="V61" s="34">
        <f t="array" ref="V61">SUM(IF(('W9. Power Total Gen'!$B$55:$B$561=V$59)*('W9. Power Total Gen'!$C$55:$C$561=$A61)*('W9. Power Total Gen'!$D$54:$N$54=V$58),'W9. Power Total Gen'!$D$55:$N$561))</f>
        <v>0</v>
      </c>
      <c r="W61" s="34">
        <f t="array" ref="W61">SUM(IF(('W9. Power Total Gen'!$B$55:$B$561=W$59)*('W9. Power Total Gen'!$C$55:$C$561=$A61)*('W9. Power Total Gen'!$D$54:$N$54=W$58),'W9. Power Total Gen'!$D$55:$N$561))</f>
        <v>0</v>
      </c>
      <c r="X61" s="34">
        <f t="array" ref="X61">SUM(IF(('W9. Power Total Gen'!$B$55:$B$561=X$59)*('W9. Power Total Gen'!$C$55:$C$561=$A61)*('W9. Power Total Gen'!$D$54:$N$54=X$58),'W9. Power Total Gen'!$D$55:$N$561))</f>
        <v>5816.1116212190855</v>
      </c>
      <c r="Y61" s="34">
        <f t="array" ref="Y61">SUM(IF(('W9. Power Total Gen'!$B$55:$B$561=Y$59)*('W9. Power Total Gen'!$C$55:$C$561=$A61)*('W9. Power Total Gen'!$D$54:$N$54=Y$58),'W9. Power Total Gen'!$D$55:$N$561))</f>
        <v>8390.8155515261678</v>
      </c>
      <c r="Z61" s="34">
        <f t="array" ref="Z61">SUM(IF(('W9. Power Total Gen'!$B$55:$B$561=Z$59)*('W9. Power Total Gen'!$C$55:$C$561=$A61)*('W9. Power Total Gen'!$D$54:$N$54=Z$58),'W9. Power Total Gen'!$D$55:$N$561))</f>
        <v>5288.8585963169144</v>
      </c>
      <c r="AA61" s="34">
        <f t="array" ref="AA61">SUM(IF(('W9. Power Total Gen'!$B$55:$B$561=AA$59)*('W9. Power Total Gen'!$C$55:$C$561=$A61)*('W9. Power Total Gen'!$D$54:$N$54=AA$58),'W9. Power Total Gen'!$D$55:$N$561))</f>
        <v>8632.3472808219412</v>
      </c>
      <c r="AB61" s="34">
        <f t="array" ref="AB61">SUM(IF(('W9. Power Total Gen'!$B$55:$B$561=AB$59)*('W9. Power Total Gen'!$C$55:$C$561=$A61)*('W9. Power Total Gen'!$D$54:$N$54=AB$58),'W9. Power Total Gen'!$D$55:$N$561))</f>
        <v>7380.9361119633686</v>
      </c>
      <c r="AC61" s="34">
        <f t="array" ref="AC61">SUM(IF(('W9. Power Total Gen'!$B$55:$B$561=AC$59)*('W9. Power Total Gen'!$C$55:$C$561=$A61)*('W9. Power Total Gen'!$D$54:$N$54=AC$58),'W9. Power Total Gen'!$D$55:$N$561))</f>
        <v>5723.4671743102072</v>
      </c>
      <c r="AD61" s="34">
        <f t="array" ref="AD61">SUM(IF(('W9. Power Total Gen'!$B$55:$B$561=AD$59)*('W9. Power Total Gen'!$C$55:$C$561=$A61)*('W9. Power Total Gen'!$D$54:$N$54=AD$58),'W9. Power Total Gen'!$D$55:$N$561))</f>
        <v>925.63163732412727</v>
      </c>
      <c r="AE61" s="34">
        <f t="array" ref="AE61">SUM(IF(('W9. Power Total Gen'!$B$55:$B$561=AE$59)*('W9. Power Total Gen'!$C$55:$C$561=$A61)*('W9. Power Total Gen'!$D$54:$N$54=AE$58),'W9. Power Total Gen'!$D$55:$N$561))</f>
        <v>0</v>
      </c>
      <c r="AF61" s="34">
        <f t="array" ref="AF61">SUM(IF(('W9. Power Total Gen'!$B$55:$B$561=AF$59)*('W9. Power Total Gen'!$C$55:$C$561=$A61)*('W9. Power Total Gen'!$D$54:$N$54=AF$58),'W9. Power Total Gen'!$D$55:$N$561))</f>
        <v>0</v>
      </c>
      <c r="AG61" s="34">
        <f t="array" ref="AG61">SUM(IF(('W9. Power Total Gen'!$B$55:$B$561=AG$59)*('W9. Power Total Gen'!$C$55:$C$561=$A61)*('W9. Power Total Gen'!$D$54:$N$54=AG$58),'W9. Power Total Gen'!$D$55:$N$561))</f>
        <v>0</v>
      </c>
      <c r="AH61" s="34">
        <f t="array" ref="AH61">SUM(IF(('W9. Power Total Gen'!$B$55:$B$561=AH$59)*('W9. Power Total Gen'!$C$55:$C$561=$A61)*('W9. Power Total Gen'!$D$54:$N$54=AH$58),'W9. Power Total Gen'!$D$55:$N$561))</f>
        <v>465.380187912461</v>
      </c>
      <c r="AI61" s="34">
        <f t="array" ref="AI61">SUM(IF(('W9. Power Total Gen'!$B$55:$B$561=AI$59)*('W9. Power Total Gen'!$C$55:$C$561=$A61)*('W9. Power Total Gen'!$D$54:$N$54=AI$58),'W9. Power Total Gen'!$D$55:$N$561))</f>
        <v>0</v>
      </c>
      <c r="AJ61" s="34">
        <f t="array" ref="AJ61">SUM(IF(('W9. Power Total Gen'!$B$55:$B$561=AJ$59)*('W9. Power Total Gen'!$C$55:$C$561=$A61)*('W9. Power Total Gen'!$D$54:$N$54=AJ$58),'W9. Power Total Gen'!$D$55:$N$561))</f>
        <v>0</v>
      </c>
      <c r="AK61" s="34">
        <f t="array" ref="AK61">SUM(IF(('W9. Power Total Gen'!$B$55:$B$561=AK$59)*('W9. Power Total Gen'!$C$55:$C$561=$A61)*('W9. Power Total Gen'!$D$54:$N$54=AK$58),'W9. Power Total Gen'!$D$55:$N$561))</f>
        <v>0</v>
      </c>
      <c r="AL61" s="34">
        <f t="array" ref="AL61">SUM(IF(('W9. Power Total Gen'!$B$55:$B$561=AL$59)*('W9. Power Total Gen'!$C$55:$C$561=$A61)*('W9. Power Total Gen'!$D$54:$N$54=AL$58),'W9. Power Total Gen'!$D$55:$N$561))</f>
        <v>0</v>
      </c>
      <c r="AM61" s="34">
        <f t="array" ref="AM61">SUM(IF(('W9. Power Total Gen'!$B$55:$B$561=AM$59)*('W9. Power Total Gen'!$C$55:$C$561=$A61)*('W9. Power Total Gen'!$D$54:$N$54=AM$58),'W9. Power Total Gen'!$D$55:$N$561))</f>
        <v>0</v>
      </c>
      <c r="AN61" s="34">
        <f t="array" ref="AN61">SUM(IF(('W9. Power Total Gen'!$B$55:$B$561=AN$59)*('W9. Power Total Gen'!$C$55:$C$561=$A61)*('W9. Power Total Gen'!$D$54:$N$54=AN$58),'W9. Power Total Gen'!$D$55:$N$561))</f>
        <v>0</v>
      </c>
      <c r="AO61" s="34">
        <f t="array" ref="AO61">SUM(IF(('W9. Power Total Gen'!$B$55:$B$561=AO$59)*('W9. Power Total Gen'!$C$55:$C$561=$A61)*('W9. Power Total Gen'!$D$54:$N$54=AO$58),'W9. Power Total Gen'!$D$55:$N$561))</f>
        <v>0</v>
      </c>
      <c r="AP61" s="34">
        <f t="array" ref="AP61">SUM(IF(('W9. Power Total Gen'!$B$55:$B$561=AP$59)*('W9. Power Total Gen'!$C$55:$C$561=$A61)*('W9. Power Total Gen'!$D$54:$N$54=AP$58),'W9. Power Total Gen'!$D$55:$N$561))</f>
        <v>0</v>
      </c>
      <c r="AQ61" s="34">
        <f t="array" ref="AQ61">SUM(IF(('W9. Power Total Gen'!$B$55:$B$561=AQ$59)*('W9. Power Total Gen'!$C$55:$C$561=$A61)*('W9. Power Total Gen'!$D$54:$N$54=AQ$58),'W9. Power Total Gen'!$D$55:$N$561))</f>
        <v>0</v>
      </c>
      <c r="AR61" s="34">
        <f t="array" ref="AR61">SUM(IF(('W9. Power Total Gen'!$B$55:$B$561=AR$59)*('W9. Power Total Gen'!$C$55:$C$561=$A61)*('W9. Power Total Gen'!$D$54:$N$54=AR$58),'W9. Power Total Gen'!$D$55:$N$561))</f>
        <v>0</v>
      </c>
      <c r="AS61" s="34">
        <f t="array" ref="AS61">SUM(IF(('W9. Power Total Gen'!$B$55:$B$561=AS$59)*('W9. Power Total Gen'!$C$55:$C$561=$A61)*('W9. Power Total Gen'!$D$54:$N$54=AS$58),'W9. Power Total Gen'!$D$55:$N$561))</f>
        <v>0</v>
      </c>
      <c r="AT61" s="34">
        <f t="array" ref="AT61">SUM(IF(('W9. Power Total Gen'!$B$55:$B$561=AT$59)*('W9. Power Total Gen'!$C$55:$C$561=$A61)*('W9. Power Total Gen'!$D$54:$N$54=AT$58),'W9. Power Total Gen'!$D$55:$N$561))</f>
        <v>0</v>
      </c>
      <c r="AU61" s="34">
        <f t="array" ref="AU61">SUM(IF(('W9. Power Total Gen'!$B$55:$B$561=AU$59)*('W9. Power Total Gen'!$C$55:$C$561=$A61)*('W9. Power Total Gen'!$D$54:$N$54=AU$58),'W9. Power Total Gen'!$D$55:$N$561))</f>
        <v>0</v>
      </c>
      <c r="AV61" s="34">
        <f t="array" ref="AV61">SUM(IF(('W9. Power Total Gen'!$B$55:$B$561=AV$59)*('W9. Power Total Gen'!$C$55:$C$561=$A61)*('W9. Power Total Gen'!$D$54:$N$54=AV$58),'W9. Power Total Gen'!$D$55:$N$561))</f>
        <v>0</v>
      </c>
    </row>
    <row r="62" spans="1:48" x14ac:dyDescent="0.3">
      <c r="A62" s="3" t="s">
        <v>65</v>
      </c>
      <c r="B62" s="3" t="s">
        <v>255</v>
      </c>
      <c r="C62" s="34">
        <f t="array" ref="C62">SUM(IF(('W9. Power Total Gen'!$B$55:$B$561=C$59)*('W9. Power Total Gen'!$C$55:$C$561=$A62)*('W9. Power Total Gen'!$D$54:$N$54=C$58),'W9. Power Total Gen'!$D$55:$N$561))</f>
        <v>0</v>
      </c>
      <c r="D62" s="34">
        <f t="array" ref="D62">SUM(IF(('W9. Power Total Gen'!$B$55:$B$561=D$59)*('W9. Power Total Gen'!$C$55:$C$561=$A62)*('W9. Power Total Gen'!$D$54:$N$54=D$58),'W9. Power Total Gen'!$D$55:$N$561))</f>
        <v>0</v>
      </c>
      <c r="E62" s="34">
        <f t="array" ref="E62">SUM(IF(('W9. Power Total Gen'!$B$55:$B$561=E$59)*('W9. Power Total Gen'!$C$55:$C$561=$A62)*('W9. Power Total Gen'!$D$54:$N$54=E$58),'W9. Power Total Gen'!$D$55:$N$561))</f>
        <v>0</v>
      </c>
      <c r="F62" s="34">
        <f t="array" ref="F62">SUM(IF(('W9. Power Total Gen'!$B$55:$B$561=F$59)*('W9. Power Total Gen'!$C$55:$C$561=$A62)*('W9. Power Total Gen'!$D$54:$N$54=F$58),'W9. Power Total Gen'!$D$55:$N$561))</f>
        <v>23692.881756781935</v>
      </c>
      <c r="G62" s="34">
        <f t="array" ref="G62">SUM(IF(('W9. Power Total Gen'!$B$55:$B$561=G$59)*('W9. Power Total Gen'!$C$55:$C$561=$A62)*('W9. Power Total Gen'!$D$54:$N$54=G$58),'W9. Power Total Gen'!$D$55:$N$561))</f>
        <v>23692.881756781935</v>
      </c>
      <c r="H62" s="34">
        <f t="array" ref="H62">SUM(IF(('W9. Power Total Gen'!$B$55:$B$561=H$59)*('W9. Power Total Gen'!$C$55:$C$561=$A62)*('W9. Power Total Gen'!$D$54:$N$54=H$58),'W9. Power Total Gen'!$D$55:$N$561))</f>
        <v>23692.881756781935</v>
      </c>
      <c r="I62" s="34">
        <f t="array" ref="I62">SUM(IF(('W9. Power Total Gen'!$B$55:$B$561=I$59)*('W9. Power Total Gen'!$C$55:$C$561=$A62)*('W9. Power Total Gen'!$D$54:$N$54=I$58),'W9. Power Total Gen'!$D$55:$N$561))</f>
        <v>23692.881756781935</v>
      </c>
      <c r="J62" s="34">
        <f t="array" ref="J62">SUM(IF(('W9. Power Total Gen'!$B$55:$B$561=J$59)*('W9. Power Total Gen'!$C$55:$C$561=$A62)*('W9. Power Total Gen'!$D$54:$N$54=J$58),'W9. Power Total Gen'!$D$55:$N$561))</f>
        <v>23692.881756781935</v>
      </c>
      <c r="K62" s="34">
        <f t="array" ref="K62">SUM(IF(('W9. Power Total Gen'!$B$55:$B$561=K$59)*('W9. Power Total Gen'!$C$55:$C$561=$A62)*('W9. Power Total Gen'!$D$54:$N$54=K$58),'W9. Power Total Gen'!$D$55:$N$561))</f>
        <v>23692.881756781935</v>
      </c>
      <c r="L62" s="34">
        <f t="array" ref="L62">SUM(IF(('W9. Power Total Gen'!$B$55:$B$561=L$59)*('W9. Power Total Gen'!$C$55:$C$561=$A62)*('W9. Power Total Gen'!$D$54:$N$54=L$58),'W9. Power Total Gen'!$D$55:$N$561))</f>
        <v>23692.881756781935</v>
      </c>
      <c r="M62" s="34">
        <f t="array" ref="M62">SUM(IF(('W9. Power Total Gen'!$B$55:$B$561=M$59)*('W9. Power Total Gen'!$C$55:$C$561=$A62)*('W9. Power Total Gen'!$D$54:$N$54=M$58),'W9. Power Total Gen'!$D$55:$N$561))</f>
        <v>0</v>
      </c>
      <c r="N62" s="34">
        <f t="array" ref="N62">SUM(IF(('W9. Power Total Gen'!$B$55:$B$561=N$59)*('W9. Power Total Gen'!$C$55:$C$561=$A62)*('W9. Power Total Gen'!$D$54:$N$54=N$58),'W9. Power Total Gen'!$D$55:$N$561))</f>
        <v>0</v>
      </c>
      <c r="O62" s="34">
        <f t="array" ref="O62">SUM(IF(('W9. Power Total Gen'!$B$55:$B$561=O$59)*('W9. Power Total Gen'!$C$55:$C$561=$A62)*('W9. Power Total Gen'!$D$54:$N$54=O$58),'W9. Power Total Gen'!$D$55:$N$561))</f>
        <v>19093.931385060863</v>
      </c>
      <c r="P62" s="34">
        <f t="array" ref="P62">SUM(IF(('W9. Power Total Gen'!$B$55:$B$561=P$59)*('W9. Power Total Gen'!$C$55:$C$561=$A62)*('W9. Power Total Gen'!$D$54:$N$54=P$58),'W9. Power Total Gen'!$D$55:$N$561))</f>
        <v>18923.773890589895</v>
      </c>
      <c r="Q62" s="34">
        <f t="array" ref="Q62">SUM(IF(('W9. Power Total Gen'!$B$55:$B$561=Q$59)*('W9. Power Total Gen'!$C$55:$C$561=$A62)*('W9. Power Total Gen'!$D$54:$N$54=Q$58),'W9. Power Total Gen'!$D$55:$N$561))</f>
        <v>21539.304253819657</v>
      </c>
      <c r="R62" s="34">
        <f t="array" ref="R62">SUM(IF(('W9. Power Total Gen'!$B$55:$B$561=R$59)*('W9. Power Total Gen'!$C$55:$C$561=$A62)*('W9. Power Total Gen'!$D$54:$N$54=R$58),'W9. Power Total Gen'!$D$55:$N$561))</f>
        <v>20170.010862574971</v>
      </c>
      <c r="S62" s="34">
        <f t="array" ref="S62">SUM(IF(('W9. Power Total Gen'!$B$55:$B$561=S$59)*('W9. Power Total Gen'!$C$55:$C$561=$A62)*('W9. Power Total Gen'!$D$54:$N$54=S$58),'W9. Power Total Gen'!$D$55:$N$561))</f>
        <v>19097.645487222406</v>
      </c>
      <c r="T62" s="34">
        <f t="array" ref="T62">SUM(IF(('W9. Power Total Gen'!$B$55:$B$561=T$59)*('W9. Power Total Gen'!$C$55:$C$561=$A62)*('W9. Power Total Gen'!$D$54:$N$54=T$58),'W9. Power Total Gen'!$D$55:$N$561))</f>
        <v>19106.895942196497</v>
      </c>
      <c r="U62" s="34">
        <f t="array" ref="U62">SUM(IF(('W9. Power Total Gen'!$B$55:$B$561=U$59)*('W9. Power Total Gen'!$C$55:$C$561=$A62)*('W9. Power Total Gen'!$D$54:$N$54=U$58),'W9. Power Total Gen'!$D$55:$N$561))</f>
        <v>19566.491189455017</v>
      </c>
      <c r="V62" s="34">
        <f t="array" ref="V62">SUM(IF(('W9. Power Total Gen'!$B$55:$B$561=V$59)*('W9. Power Total Gen'!$C$55:$C$561=$A62)*('W9. Power Total Gen'!$D$54:$N$54=V$58),'W9. Power Total Gen'!$D$55:$N$561))</f>
        <v>0</v>
      </c>
      <c r="W62" s="34">
        <f t="array" ref="W62">SUM(IF(('W9. Power Total Gen'!$B$55:$B$561=W$59)*('W9. Power Total Gen'!$C$55:$C$561=$A62)*('W9. Power Total Gen'!$D$54:$N$54=W$58),'W9. Power Total Gen'!$D$55:$N$561))</f>
        <v>0</v>
      </c>
      <c r="X62" s="34">
        <f t="array" ref="X62">SUM(IF(('W9. Power Total Gen'!$B$55:$B$561=X$59)*('W9. Power Total Gen'!$C$55:$C$561=$A62)*('W9. Power Total Gen'!$D$54:$N$54=X$58),'W9. Power Total Gen'!$D$55:$N$561))</f>
        <v>17330.291474644364</v>
      </c>
      <c r="Y62" s="34">
        <f t="array" ref="Y62">SUM(IF(('W9. Power Total Gen'!$B$55:$B$561=Y$59)*('W9. Power Total Gen'!$C$55:$C$561=$A62)*('W9. Power Total Gen'!$D$54:$N$54=Y$58),'W9. Power Total Gen'!$D$55:$N$561))</f>
        <v>18754.712740386818</v>
      </c>
      <c r="Z62" s="34">
        <f t="array" ref="Z62">SUM(IF(('W9. Power Total Gen'!$B$55:$B$561=Z$59)*('W9. Power Total Gen'!$C$55:$C$561=$A62)*('W9. Power Total Gen'!$D$54:$N$54=Z$58),'W9. Power Total Gen'!$D$55:$N$561))</f>
        <v>23185.530281869091</v>
      </c>
      <c r="AA62" s="34">
        <f t="array" ref="AA62">SUM(IF(('W9. Power Total Gen'!$B$55:$B$561=AA$59)*('W9. Power Total Gen'!$C$55:$C$561=$A62)*('W9. Power Total Gen'!$D$54:$N$54=AA$58),'W9. Power Total Gen'!$D$55:$N$561))</f>
        <v>17890.345575460313</v>
      </c>
      <c r="AB62" s="34">
        <f t="array" ref="AB62">SUM(IF(('W9. Power Total Gen'!$B$55:$B$561=AB$59)*('W9. Power Total Gen'!$C$55:$C$561=$A62)*('W9. Power Total Gen'!$D$54:$N$54=AB$58),'W9. Power Total Gen'!$D$55:$N$561))</f>
        <v>18002.03689031578</v>
      </c>
      <c r="AC62" s="34">
        <f t="array" ref="AC62">SUM(IF(('W9. Power Total Gen'!$B$55:$B$561=AC$59)*('W9. Power Total Gen'!$C$55:$C$561=$A62)*('W9. Power Total Gen'!$D$54:$N$54=AC$58),'W9. Power Total Gen'!$D$55:$N$561))</f>
        <v>17348.608841017907</v>
      </c>
      <c r="AD62" s="34">
        <f t="array" ref="AD62">SUM(IF(('W9. Power Total Gen'!$B$55:$B$561=AD$59)*('W9. Power Total Gen'!$C$55:$C$561=$A62)*('W9. Power Total Gen'!$D$54:$N$54=AD$58),'W9. Power Total Gen'!$D$55:$N$561))</f>
        <v>14879.412620601992</v>
      </c>
      <c r="AE62" s="34">
        <f t="array" ref="AE62">SUM(IF(('W9. Power Total Gen'!$B$55:$B$561=AE$59)*('W9. Power Total Gen'!$C$55:$C$561=$A62)*('W9. Power Total Gen'!$D$54:$N$54=AE$58),'W9. Power Total Gen'!$D$55:$N$561))</f>
        <v>0</v>
      </c>
      <c r="AF62" s="34">
        <f t="array" ref="AF62">SUM(IF(('W9. Power Total Gen'!$B$55:$B$561=AF$59)*('W9. Power Total Gen'!$C$55:$C$561=$A62)*('W9. Power Total Gen'!$D$54:$N$54=AF$58),'W9. Power Total Gen'!$D$55:$N$561))</f>
        <v>0</v>
      </c>
      <c r="AG62" s="34">
        <f t="array" ref="AG62">SUM(IF(('W9. Power Total Gen'!$B$55:$B$561=AG$59)*('W9. Power Total Gen'!$C$55:$C$561=$A62)*('W9. Power Total Gen'!$D$54:$N$54=AG$58),'W9. Power Total Gen'!$D$55:$N$561))</f>
        <v>10074.464974840312</v>
      </c>
      <c r="AH62" s="34">
        <f t="array" ref="AH62">SUM(IF(('W9. Power Total Gen'!$B$55:$B$561=AH$59)*('W9. Power Total Gen'!$C$55:$C$561=$A62)*('W9. Power Total Gen'!$D$54:$N$54=AH$58),'W9. Power Total Gen'!$D$55:$N$561))</f>
        <v>10129.993726845913</v>
      </c>
      <c r="AI62" s="34">
        <f t="array" ref="AI62">SUM(IF(('W9. Power Total Gen'!$B$55:$B$561=AI$59)*('W9. Power Total Gen'!$C$55:$C$561=$A62)*('W9. Power Total Gen'!$D$54:$N$54=AI$58),'W9. Power Total Gen'!$D$55:$N$561))</f>
        <v>21941.850592608476</v>
      </c>
      <c r="AJ62" s="34">
        <f t="array" ref="AJ62">SUM(IF(('W9. Power Total Gen'!$B$55:$B$561=AJ$59)*('W9. Power Total Gen'!$C$55:$C$561=$A62)*('W9. Power Total Gen'!$D$54:$N$54=AJ$58),'W9. Power Total Gen'!$D$55:$N$561))</f>
        <v>11135.810998890307</v>
      </c>
      <c r="AK62" s="34">
        <f t="array" ref="AK62">SUM(IF(('W9. Power Total Gen'!$B$55:$B$561=AK$59)*('W9. Power Total Gen'!$C$55:$C$561=$A62)*('W9. Power Total Gen'!$D$54:$N$54=AK$58),'W9. Power Total Gen'!$D$55:$N$561))</f>
        <v>7053.6909684762304</v>
      </c>
      <c r="AL62" s="34">
        <f t="array" ref="AL62">SUM(IF(('W9. Power Total Gen'!$B$55:$B$561=AL$59)*('W9. Power Total Gen'!$C$55:$C$561=$A62)*('W9. Power Total Gen'!$D$54:$N$54=AL$58),'W9. Power Total Gen'!$D$55:$N$561))</f>
        <v>10142.097061667251</v>
      </c>
      <c r="AM62" s="34">
        <f t="array" ref="AM62">SUM(IF(('W9. Power Total Gen'!$B$55:$B$561=AM$59)*('W9. Power Total Gen'!$C$55:$C$561=$A62)*('W9. Power Total Gen'!$D$54:$N$54=AM$58),'W9. Power Total Gen'!$D$55:$N$561))</f>
        <v>9398.7650948800183</v>
      </c>
      <c r="AN62" s="34">
        <f t="array" ref="AN62">SUM(IF(('W9. Power Total Gen'!$B$55:$B$561=AN$59)*('W9. Power Total Gen'!$C$55:$C$561=$A62)*('W9. Power Total Gen'!$D$54:$N$54=AN$58),'W9. Power Total Gen'!$D$55:$N$561))</f>
        <v>0</v>
      </c>
      <c r="AO62" s="34">
        <f t="array" ref="AO62">SUM(IF(('W9. Power Total Gen'!$B$55:$B$561=AO$59)*('W9. Power Total Gen'!$C$55:$C$561=$A62)*('W9. Power Total Gen'!$D$54:$N$54=AO$58),'W9. Power Total Gen'!$D$55:$N$561))</f>
        <v>0</v>
      </c>
      <c r="AP62" s="34">
        <f t="array" ref="AP62">SUM(IF(('W9. Power Total Gen'!$B$55:$B$561=AP$59)*('W9. Power Total Gen'!$C$55:$C$561=$A62)*('W9. Power Total Gen'!$D$54:$N$54=AP$58),'W9. Power Total Gen'!$D$55:$N$561))</f>
        <v>6570.7708290619821</v>
      </c>
      <c r="AQ62" s="34">
        <f t="array" ref="AQ62">SUM(IF(('W9. Power Total Gen'!$B$55:$B$561=AQ$59)*('W9. Power Total Gen'!$C$55:$C$561=$A62)*('W9. Power Total Gen'!$D$54:$N$54=AQ$58),'W9. Power Total Gen'!$D$55:$N$561))</f>
        <v>6743.7785244863408</v>
      </c>
      <c r="AR62" s="34">
        <f t="array" ref="AR62">SUM(IF(('W9. Power Total Gen'!$B$55:$B$561=AR$59)*('W9. Power Total Gen'!$C$55:$C$561=$A62)*('W9. Power Total Gen'!$D$54:$N$54=AR$58),'W9. Power Total Gen'!$D$55:$N$561))</f>
        <v>16003.048221433612</v>
      </c>
      <c r="AS62" s="34">
        <f t="array" ref="AS62">SUM(IF(('W9. Power Total Gen'!$B$55:$B$561=AS$59)*('W9. Power Total Gen'!$C$55:$C$561=$A62)*('W9. Power Total Gen'!$D$54:$N$54=AS$58),'W9. Power Total Gen'!$D$55:$N$561))</f>
        <v>7449.7153521470882</v>
      </c>
      <c r="AT62" s="34">
        <f t="array" ref="AT62">SUM(IF(('W9. Power Total Gen'!$B$55:$B$561=AT$59)*('W9. Power Total Gen'!$C$55:$C$561=$A62)*('W9. Power Total Gen'!$D$54:$N$54=AT$58),'W9. Power Total Gen'!$D$55:$N$561))</f>
        <v>3632.0072650295638</v>
      </c>
      <c r="AU62" s="34">
        <f t="array" ref="AU62">SUM(IF(('W9. Power Total Gen'!$B$55:$B$561=AU$59)*('W9. Power Total Gen'!$C$55:$C$561=$A62)*('W9. Power Total Gen'!$D$54:$N$54=AU$58),'W9. Power Total Gen'!$D$55:$N$561))</f>
        <v>6607.7550978502286</v>
      </c>
      <c r="AV62" s="34">
        <f t="array" ref="AV62">SUM(IF(('W9. Power Total Gen'!$B$55:$B$561=AV$59)*('W9. Power Total Gen'!$C$55:$C$561=$A62)*('W9. Power Total Gen'!$D$54:$N$54=AV$58),'W9. Power Total Gen'!$D$55:$N$561))</f>
        <v>2552.1344399133091</v>
      </c>
    </row>
    <row r="63" spans="1:48" x14ac:dyDescent="0.3">
      <c r="A63" s="3" t="s">
        <v>66</v>
      </c>
      <c r="B63" s="3" t="s">
        <v>258</v>
      </c>
      <c r="C63" s="34">
        <f t="array" ref="C63">SUM(IF(('W9. Power Total Gen'!$B$55:$B$561=C$59)*('W9. Power Total Gen'!$C$55:$C$561=$A63)*('W9. Power Total Gen'!$D$54:$N$54=C$58),'W9. Power Total Gen'!$D$55:$N$561))</f>
        <v>0</v>
      </c>
      <c r="D63" s="34">
        <f t="array" ref="D63">SUM(IF(('W9. Power Total Gen'!$B$55:$B$561=D$59)*('W9. Power Total Gen'!$C$55:$C$561=$A63)*('W9. Power Total Gen'!$D$54:$N$54=D$58),'W9. Power Total Gen'!$D$55:$N$561))</f>
        <v>0</v>
      </c>
      <c r="E63" s="34">
        <f t="array" ref="E63">SUM(IF(('W9. Power Total Gen'!$B$55:$B$561=E$59)*('W9. Power Total Gen'!$C$55:$C$561=$A63)*('W9. Power Total Gen'!$D$54:$N$54=E$58),'W9. Power Total Gen'!$D$55:$N$561))</f>
        <v>0</v>
      </c>
      <c r="F63" s="34">
        <f t="array" ref="F63">SUM(IF(('W9. Power Total Gen'!$B$55:$B$561=F$59)*('W9. Power Total Gen'!$C$55:$C$561=$A63)*('W9. Power Total Gen'!$D$54:$N$54=F$58),'W9. Power Total Gen'!$D$55:$N$561))</f>
        <v>2690.096097794773</v>
      </c>
      <c r="G63" s="34">
        <f t="array" ref="G63">SUM(IF(('W9. Power Total Gen'!$B$55:$B$561=G$59)*('W9. Power Total Gen'!$C$55:$C$561=$A63)*('W9. Power Total Gen'!$D$54:$N$54=G$58),'W9. Power Total Gen'!$D$55:$N$561))</f>
        <v>2690.096097794773</v>
      </c>
      <c r="H63" s="34">
        <f t="array" ref="H63">SUM(IF(('W9. Power Total Gen'!$B$55:$B$561=H$59)*('W9. Power Total Gen'!$C$55:$C$561=$A63)*('W9. Power Total Gen'!$D$54:$N$54=H$58),'W9. Power Total Gen'!$D$55:$N$561))</f>
        <v>2690.096097794773</v>
      </c>
      <c r="I63" s="34">
        <f t="array" ref="I63">SUM(IF(('W9. Power Total Gen'!$B$55:$B$561=I$59)*('W9. Power Total Gen'!$C$55:$C$561=$A63)*('W9. Power Total Gen'!$D$54:$N$54=I$58),'W9. Power Total Gen'!$D$55:$N$561))</f>
        <v>2690.096097794773</v>
      </c>
      <c r="J63" s="34">
        <f t="array" ref="J63">SUM(IF(('W9. Power Total Gen'!$B$55:$B$561=J$59)*('W9. Power Total Gen'!$C$55:$C$561=$A63)*('W9. Power Total Gen'!$D$54:$N$54=J$58),'W9. Power Total Gen'!$D$55:$N$561))</f>
        <v>2690.096097794773</v>
      </c>
      <c r="K63" s="34">
        <f t="array" ref="K63">SUM(IF(('W9. Power Total Gen'!$B$55:$B$561=K$59)*('W9. Power Total Gen'!$C$55:$C$561=$A63)*('W9. Power Total Gen'!$D$54:$N$54=K$58),'W9. Power Total Gen'!$D$55:$N$561))</f>
        <v>2690.096097794773</v>
      </c>
      <c r="L63" s="34">
        <f t="array" ref="L63">SUM(IF(('W9. Power Total Gen'!$B$55:$B$561=L$59)*('W9. Power Total Gen'!$C$55:$C$561=$A63)*('W9. Power Total Gen'!$D$54:$N$54=L$58),'W9. Power Total Gen'!$D$55:$N$561))</f>
        <v>2690.096097794773</v>
      </c>
      <c r="M63" s="34">
        <f t="array" ref="M63">SUM(IF(('W9. Power Total Gen'!$B$55:$B$561=M$59)*('W9. Power Total Gen'!$C$55:$C$561=$A63)*('W9. Power Total Gen'!$D$54:$N$54=M$58),'W9. Power Total Gen'!$D$55:$N$561))</f>
        <v>0</v>
      </c>
      <c r="N63" s="34">
        <f t="array" ref="N63">SUM(IF(('W9. Power Total Gen'!$B$55:$B$561=N$59)*('W9. Power Total Gen'!$C$55:$C$561=$A63)*('W9. Power Total Gen'!$D$54:$N$54=N$58),'W9. Power Total Gen'!$D$55:$N$561))</f>
        <v>0</v>
      </c>
      <c r="O63" s="34">
        <f t="array" ref="O63">SUM(IF(('W9. Power Total Gen'!$B$55:$B$561=O$59)*('W9. Power Total Gen'!$C$55:$C$561=$A63)*('W9. Power Total Gen'!$D$54:$N$54=O$58),'W9. Power Total Gen'!$D$55:$N$561))</f>
        <v>4159.862749522521</v>
      </c>
      <c r="P63" s="34">
        <f t="array" ref="P63">SUM(IF(('W9. Power Total Gen'!$B$55:$B$561=P$59)*('W9. Power Total Gen'!$C$55:$C$561=$A63)*('W9. Power Total Gen'!$D$54:$N$54=P$58),'W9. Power Total Gen'!$D$55:$N$561))</f>
        <v>4149.3454146666118</v>
      </c>
      <c r="Q63" s="34">
        <f t="array" ref="Q63">SUM(IF(('W9. Power Total Gen'!$B$55:$B$561=Q$59)*('W9. Power Total Gen'!$C$55:$C$561=$A63)*('W9. Power Total Gen'!$D$54:$N$54=Q$58),'W9. Power Total Gen'!$D$55:$N$561))</f>
        <v>4159.862749522521</v>
      </c>
      <c r="R63" s="34">
        <f t="array" ref="R63">SUM(IF(('W9. Power Total Gen'!$B$55:$B$561=R$59)*('W9. Power Total Gen'!$C$55:$C$561=$A63)*('W9. Power Total Gen'!$D$54:$N$54=R$58),'W9. Power Total Gen'!$D$55:$N$561))</f>
        <v>4159.862749522521</v>
      </c>
      <c r="S63" s="34">
        <f t="array" ref="S63">SUM(IF(('W9. Power Total Gen'!$B$55:$B$561=S$59)*('W9. Power Total Gen'!$C$55:$C$561=$A63)*('W9. Power Total Gen'!$D$54:$N$54=S$58),'W9. Power Total Gen'!$D$55:$N$561))</f>
        <v>4159.862749522521</v>
      </c>
      <c r="T63" s="34">
        <f t="array" ref="T63">SUM(IF(('W9. Power Total Gen'!$B$55:$B$561=T$59)*('W9. Power Total Gen'!$C$55:$C$561=$A63)*('W9. Power Total Gen'!$D$54:$N$54=T$58),'W9. Power Total Gen'!$D$55:$N$561))</f>
        <v>4159.862749522521</v>
      </c>
      <c r="U63" s="34">
        <f t="array" ref="U63">SUM(IF(('W9. Power Total Gen'!$B$55:$B$561=U$59)*('W9. Power Total Gen'!$C$55:$C$561=$A63)*('W9. Power Total Gen'!$D$54:$N$54=U$58),'W9. Power Total Gen'!$D$55:$N$561))</f>
        <v>4159.862749522521</v>
      </c>
      <c r="V63" s="34">
        <f t="array" ref="V63">SUM(IF(('W9. Power Total Gen'!$B$55:$B$561=V$59)*('W9. Power Total Gen'!$C$55:$C$561=$A63)*('W9. Power Total Gen'!$D$54:$N$54=V$58),'W9. Power Total Gen'!$D$55:$N$561))</f>
        <v>0</v>
      </c>
      <c r="W63" s="34">
        <f t="array" ref="W63">SUM(IF(('W9. Power Total Gen'!$B$55:$B$561=W$59)*('W9. Power Total Gen'!$C$55:$C$561=$A63)*('W9. Power Total Gen'!$D$54:$N$54=W$58),'W9. Power Total Gen'!$D$55:$N$561))</f>
        <v>0</v>
      </c>
      <c r="X63" s="34">
        <f t="array" ref="X63">SUM(IF(('W9. Power Total Gen'!$B$55:$B$561=X$59)*('W9. Power Total Gen'!$C$55:$C$561=$A63)*('W9. Power Total Gen'!$D$54:$N$54=X$58),'W9. Power Total Gen'!$D$55:$N$561))</f>
        <v>5663.1266090847057</v>
      </c>
      <c r="Y63" s="34">
        <f t="array" ref="Y63">SUM(IF(('W9. Power Total Gen'!$B$55:$B$561=Y$59)*('W9. Power Total Gen'!$C$55:$C$561=$A63)*('W9. Power Total Gen'!$D$54:$N$54=Y$58),'W9. Power Total Gen'!$D$55:$N$561))</f>
        <v>5663.1303097949549</v>
      </c>
      <c r="Z63" s="34">
        <f t="array" ref="Z63">SUM(IF(('W9. Power Total Gen'!$B$55:$B$561=Z$59)*('W9. Power Total Gen'!$C$55:$C$561=$A63)*('W9. Power Total Gen'!$D$54:$N$54=Z$58),'W9. Power Total Gen'!$D$55:$N$561))</f>
        <v>5654.267878807741</v>
      </c>
      <c r="AA63" s="34">
        <f t="array" ref="AA63">SUM(IF(('W9. Power Total Gen'!$B$55:$B$561=AA$59)*('W9. Power Total Gen'!$C$55:$C$561=$A63)*('W9. Power Total Gen'!$D$54:$N$54=AA$58),'W9. Power Total Gen'!$D$55:$N$561))</f>
        <v>5652.6092742287965</v>
      </c>
      <c r="AB63" s="34">
        <f t="array" ref="AB63">SUM(IF(('W9. Power Total Gen'!$B$55:$B$561=AB$59)*('W9. Power Total Gen'!$C$55:$C$561=$A63)*('W9. Power Total Gen'!$D$54:$N$54=AB$58),'W9. Power Total Gen'!$D$55:$N$561))</f>
        <v>5629.6294012502694</v>
      </c>
      <c r="AC63" s="34">
        <f t="array" ref="AC63">SUM(IF(('W9. Power Total Gen'!$B$55:$B$561=AC$59)*('W9. Power Total Gen'!$C$55:$C$561=$A63)*('W9. Power Total Gen'!$D$54:$N$54=AC$58),'W9. Power Total Gen'!$D$55:$N$561))</f>
        <v>5663.1266090847057</v>
      </c>
      <c r="AD63" s="34">
        <f t="array" ref="AD63">SUM(IF(('W9. Power Total Gen'!$B$55:$B$561=AD$59)*('W9. Power Total Gen'!$C$55:$C$561=$A63)*('W9. Power Total Gen'!$D$54:$N$54=AD$58),'W9. Power Total Gen'!$D$55:$N$561))</f>
        <v>5581.5276217636256</v>
      </c>
      <c r="AE63" s="34">
        <f t="array" ref="AE63">SUM(IF(('W9. Power Total Gen'!$B$55:$B$561=AE$59)*('W9. Power Total Gen'!$C$55:$C$561=$A63)*('W9. Power Total Gen'!$D$54:$N$54=AE$58),'W9. Power Total Gen'!$D$55:$N$561))</f>
        <v>0</v>
      </c>
      <c r="AF63" s="34">
        <f t="array" ref="AF63">SUM(IF(('W9. Power Total Gen'!$B$55:$B$561=AF$59)*('W9. Power Total Gen'!$C$55:$C$561=$A63)*('W9. Power Total Gen'!$D$54:$N$54=AF$58),'W9. Power Total Gen'!$D$55:$N$561))</f>
        <v>0</v>
      </c>
      <c r="AG63" s="34">
        <f t="array" ref="AG63">SUM(IF(('W9. Power Total Gen'!$B$55:$B$561=AG$59)*('W9. Power Total Gen'!$C$55:$C$561=$A63)*('W9. Power Total Gen'!$D$54:$N$54=AG$58),'W9. Power Total Gen'!$D$55:$N$561))</f>
        <v>7894.0158499123654</v>
      </c>
      <c r="AH63" s="34">
        <f t="array" ref="AH63">SUM(IF(('W9. Power Total Gen'!$B$55:$B$561=AH$59)*('W9. Power Total Gen'!$C$55:$C$561=$A63)*('W9. Power Total Gen'!$D$54:$N$54=AH$58),'W9. Power Total Gen'!$D$55:$N$561))</f>
        <v>8258.9392853750469</v>
      </c>
      <c r="AI63" s="34">
        <f t="array" ref="AI63">SUM(IF(('W9. Power Total Gen'!$B$55:$B$561=AI$59)*('W9. Power Total Gen'!$C$55:$C$561=$A63)*('W9. Power Total Gen'!$D$54:$N$54=AI$58),'W9. Power Total Gen'!$D$55:$N$561))</f>
        <v>8959.8090632159146</v>
      </c>
      <c r="AJ63" s="34">
        <f t="array" ref="AJ63">SUM(IF(('W9. Power Total Gen'!$B$55:$B$561=AJ$59)*('W9. Power Total Gen'!$C$55:$C$561=$A63)*('W9. Power Total Gen'!$D$54:$N$54=AJ$58),'W9. Power Total Gen'!$D$55:$N$561))</f>
        <v>7929.745225122967</v>
      </c>
      <c r="AK63" s="34">
        <f t="array" ref="AK63">SUM(IF(('W9. Power Total Gen'!$B$55:$B$561=AK$59)*('W9. Power Total Gen'!$C$55:$C$561=$A63)*('W9. Power Total Gen'!$D$54:$N$54=AK$58),'W9. Power Total Gen'!$D$55:$N$561))</f>
        <v>7054.2356300133379</v>
      </c>
      <c r="AL63" s="34">
        <f t="array" ref="AL63">SUM(IF(('W9. Power Total Gen'!$B$55:$B$561=AL$59)*('W9. Power Total Gen'!$C$55:$C$561=$A63)*('W9. Power Total Gen'!$D$54:$N$54=AL$58),'W9. Power Total Gen'!$D$55:$N$561))</f>
        <v>7894.0583648156698</v>
      </c>
      <c r="AM63" s="34">
        <f t="array" ref="AM63">SUM(IF(('W9. Power Total Gen'!$B$55:$B$561=AM$59)*('W9. Power Total Gen'!$C$55:$C$561=$A63)*('W9. Power Total Gen'!$D$54:$N$54=AM$58),'W9. Power Total Gen'!$D$55:$N$561))</f>
        <v>8042.6975515589183</v>
      </c>
      <c r="AN63" s="34">
        <f t="array" ref="AN63">SUM(IF(('W9. Power Total Gen'!$B$55:$B$561=AN$59)*('W9. Power Total Gen'!$C$55:$C$561=$A63)*('W9. Power Total Gen'!$D$54:$N$54=AN$58),'W9. Power Total Gen'!$D$55:$N$561))</f>
        <v>0</v>
      </c>
      <c r="AO63" s="34">
        <f t="array" ref="AO63">SUM(IF(('W9. Power Total Gen'!$B$55:$B$561=AO$59)*('W9. Power Total Gen'!$C$55:$C$561=$A63)*('W9. Power Total Gen'!$D$54:$N$54=AO$58),'W9. Power Total Gen'!$D$55:$N$561))</f>
        <v>0</v>
      </c>
      <c r="AP63" s="34">
        <f t="array" ref="AP63">SUM(IF(('W9. Power Total Gen'!$B$55:$B$561=AP$59)*('W9. Power Total Gen'!$C$55:$C$561=$A63)*('W9. Power Total Gen'!$D$54:$N$54=AP$58),'W9. Power Total Gen'!$D$55:$N$561))</f>
        <v>11744.242064701035</v>
      </c>
      <c r="AQ63" s="34">
        <f t="array" ref="AQ63">SUM(IF(('W9. Power Total Gen'!$B$55:$B$561=AQ$59)*('W9. Power Total Gen'!$C$55:$C$561=$A63)*('W9. Power Total Gen'!$D$54:$N$54=AQ$58),'W9. Power Total Gen'!$D$55:$N$561))</f>
        <v>13678.159618389587</v>
      </c>
      <c r="AR63" s="34">
        <f t="array" ref="AR63">SUM(IF(('W9. Power Total Gen'!$B$55:$B$561=AR$59)*('W9. Power Total Gen'!$C$55:$C$561=$A63)*('W9. Power Total Gen'!$D$54:$N$54=AR$58),'W9. Power Total Gen'!$D$55:$N$561))</f>
        <v>18022.053169960069</v>
      </c>
      <c r="AS63" s="34">
        <f t="array" ref="AS63">SUM(IF(('W9. Power Total Gen'!$B$55:$B$561=AS$59)*('W9. Power Total Gen'!$C$55:$C$561=$A63)*('W9. Power Total Gen'!$D$54:$N$54=AS$58),'W9. Power Total Gen'!$D$55:$N$561))</f>
        <v>12270.993980791671</v>
      </c>
      <c r="AT63" s="34">
        <f t="array" ref="AT63">SUM(IF(('W9. Power Total Gen'!$B$55:$B$561=AT$59)*('W9. Power Total Gen'!$C$55:$C$561=$A63)*('W9. Power Total Gen'!$D$54:$N$54=AT$58),'W9. Power Total Gen'!$D$55:$N$561))</f>
        <v>6965.7323179122595</v>
      </c>
      <c r="AU63" s="34">
        <f t="array" ref="AU63">SUM(IF(('W9. Power Total Gen'!$B$55:$B$561=AU$59)*('W9. Power Total Gen'!$C$55:$C$561=$A63)*('W9. Power Total Gen'!$D$54:$N$54=AU$58),'W9. Power Total Gen'!$D$55:$N$561))</f>
        <v>11659.728086608227</v>
      </c>
      <c r="AV63" s="34">
        <f t="array" ref="AV63">SUM(IF(('W9. Power Total Gen'!$B$55:$B$561=AV$59)*('W9. Power Total Gen'!$C$55:$C$561=$A63)*('W9. Power Total Gen'!$D$54:$N$54=AV$58),'W9. Power Total Gen'!$D$55:$N$561))</f>
        <v>13070.833413699023</v>
      </c>
    </row>
    <row r="64" spans="1:48" x14ac:dyDescent="0.3">
      <c r="A64" s="3" t="s">
        <v>67</v>
      </c>
      <c r="B64" s="3" t="s">
        <v>256</v>
      </c>
      <c r="C64" s="34">
        <f t="array" ref="C64">SUM(IF(('W9. Power Total Gen'!$B$55:$B$561=C$59)*('W9. Power Total Gen'!$C$55:$C$561=$A64)*('W9. Power Total Gen'!$D$54:$N$54=C$58),'W9. Power Total Gen'!$D$55:$N$561))</f>
        <v>0</v>
      </c>
      <c r="D64" s="34">
        <f t="array" ref="D64">SUM(IF(('W9. Power Total Gen'!$B$55:$B$561=D$59)*('W9. Power Total Gen'!$C$55:$C$561=$A64)*('W9. Power Total Gen'!$D$54:$N$54=D$58),'W9. Power Total Gen'!$D$55:$N$561))</f>
        <v>0</v>
      </c>
      <c r="E64" s="34">
        <f t="array" ref="E64">SUM(IF(('W9. Power Total Gen'!$B$55:$B$561=E$59)*('W9. Power Total Gen'!$C$55:$C$561=$A64)*('W9. Power Total Gen'!$D$54:$N$54=E$58),'W9. Power Total Gen'!$D$55:$N$561))</f>
        <v>0</v>
      </c>
      <c r="F64" s="34">
        <f t="array" ref="F64">SUM(IF(('W9. Power Total Gen'!$B$55:$B$561=F$59)*('W9. Power Total Gen'!$C$55:$C$561=$A64)*('W9. Power Total Gen'!$D$54:$N$54=F$58),'W9. Power Total Gen'!$D$55:$N$561))</f>
        <v>14634.999767850808</v>
      </c>
      <c r="G64" s="34">
        <f t="array" ref="G64">SUM(IF(('W9. Power Total Gen'!$B$55:$B$561=G$59)*('W9. Power Total Gen'!$C$55:$C$561=$A64)*('W9. Power Total Gen'!$D$54:$N$54=G$58),'W9. Power Total Gen'!$D$55:$N$561))</f>
        <v>14634.999767850808</v>
      </c>
      <c r="H64" s="34">
        <f t="array" ref="H64">SUM(IF(('W9. Power Total Gen'!$B$55:$B$561=H$59)*('W9. Power Total Gen'!$C$55:$C$561=$A64)*('W9. Power Total Gen'!$D$54:$N$54=H$58),'W9. Power Total Gen'!$D$55:$N$561))</f>
        <v>14634.999767850808</v>
      </c>
      <c r="I64" s="34">
        <f t="array" ref="I64">SUM(IF(('W9. Power Total Gen'!$B$55:$B$561=I$59)*('W9. Power Total Gen'!$C$55:$C$561=$A64)*('W9. Power Total Gen'!$D$54:$N$54=I$58),'W9. Power Total Gen'!$D$55:$N$561))</f>
        <v>14634.999767850808</v>
      </c>
      <c r="J64" s="34">
        <f t="array" ref="J64">SUM(IF(('W9. Power Total Gen'!$B$55:$B$561=J$59)*('W9. Power Total Gen'!$C$55:$C$561=$A64)*('W9. Power Total Gen'!$D$54:$N$54=J$58),'W9. Power Total Gen'!$D$55:$N$561))</f>
        <v>14634.999767850808</v>
      </c>
      <c r="K64" s="34">
        <f t="array" ref="K64">SUM(IF(('W9. Power Total Gen'!$B$55:$B$561=K$59)*('W9. Power Total Gen'!$C$55:$C$561=$A64)*('W9. Power Total Gen'!$D$54:$N$54=K$58),'W9. Power Total Gen'!$D$55:$N$561))</f>
        <v>14634.999767850808</v>
      </c>
      <c r="L64" s="34">
        <f t="array" ref="L64">SUM(IF(('W9. Power Total Gen'!$B$55:$B$561=L$59)*('W9. Power Total Gen'!$C$55:$C$561=$A64)*('W9. Power Total Gen'!$D$54:$N$54=L$58),'W9. Power Total Gen'!$D$55:$N$561))</f>
        <v>14634.999767850808</v>
      </c>
      <c r="M64" s="34">
        <f t="array" ref="M64">SUM(IF(('W9. Power Total Gen'!$B$55:$B$561=M$59)*('W9. Power Total Gen'!$C$55:$C$561=$A64)*('W9. Power Total Gen'!$D$54:$N$54=M$58),'W9. Power Total Gen'!$D$55:$N$561))</f>
        <v>0</v>
      </c>
      <c r="N64" s="34">
        <f t="array" ref="N64">SUM(IF(('W9. Power Total Gen'!$B$55:$B$561=N$59)*('W9. Power Total Gen'!$C$55:$C$561=$A64)*('W9. Power Total Gen'!$D$54:$N$54=N$58),'W9. Power Total Gen'!$D$55:$N$561))</f>
        <v>0</v>
      </c>
      <c r="O64" s="34">
        <f t="array" ref="O64">SUM(IF(('W9. Power Total Gen'!$B$55:$B$561=O$59)*('W9. Power Total Gen'!$C$55:$C$561=$A64)*('W9. Power Total Gen'!$D$54:$N$54=O$58),'W9. Power Total Gen'!$D$55:$N$561))</f>
        <v>17355.17407654487</v>
      </c>
      <c r="P64" s="34">
        <f t="array" ref="P64">SUM(IF(('W9. Power Total Gen'!$B$55:$B$561=P$59)*('W9. Power Total Gen'!$C$55:$C$561=$A64)*('W9. Power Total Gen'!$D$54:$N$54=P$58),'W9. Power Total Gen'!$D$55:$N$561))</f>
        <v>17168.548108229523</v>
      </c>
      <c r="Q64" s="34">
        <f t="array" ref="Q64">SUM(IF(('W9. Power Total Gen'!$B$55:$B$561=Q$59)*('W9. Power Total Gen'!$C$55:$C$561=$A64)*('W9. Power Total Gen'!$D$54:$N$54=Q$58),'W9. Power Total Gen'!$D$55:$N$561))</f>
        <v>17614.010712870448</v>
      </c>
      <c r="R64" s="34">
        <f t="array" ref="R64">SUM(IF(('W9. Power Total Gen'!$B$55:$B$561=R$59)*('W9. Power Total Gen'!$C$55:$C$561=$A64)*('W9. Power Total Gen'!$D$54:$N$54=R$58),'W9. Power Total Gen'!$D$55:$N$561))</f>
        <v>17355.17407654487</v>
      </c>
      <c r="S64" s="34">
        <f t="array" ref="S64">SUM(IF(('W9. Power Total Gen'!$B$55:$B$561=S$59)*('W9. Power Total Gen'!$C$55:$C$561=$A64)*('W9. Power Total Gen'!$D$54:$N$54=S$58),'W9. Power Total Gen'!$D$55:$N$561))</f>
        <v>17276.92070691524</v>
      </c>
      <c r="T64" s="34">
        <f t="array" ref="T64">SUM(IF(('W9. Power Total Gen'!$B$55:$B$561=T$59)*('W9. Power Total Gen'!$C$55:$C$561=$A64)*('W9. Power Total Gen'!$D$54:$N$54=T$58),'W9. Power Total Gen'!$D$55:$N$561))</f>
        <v>17355.174076544867</v>
      </c>
      <c r="U64" s="34">
        <f t="array" ref="U64">SUM(IF(('W9. Power Total Gen'!$B$55:$B$561=U$59)*('W9. Power Total Gen'!$C$55:$C$561=$A64)*('W9. Power Total Gen'!$D$54:$N$54=U$58),'W9. Power Total Gen'!$D$55:$N$561))</f>
        <v>17738.971768023683</v>
      </c>
      <c r="V64" s="34">
        <f t="array" ref="V64">SUM(IF(('W9. Power Total Gen'!$B$55:$B$561=V$59)*('W9. Power Total Gen'!$C$55:$C$561=$A64)*('W9. Power Total Gen'!$D$54:$N$54=V$58),'W9. Power Total Gen'!$D$55:$N$561))</f>
        <v>0</v>
      </c>
      <c r="W64" s="34">
        <f t="array" ref="W64">SUM(IF(('W9. Power Total Gen'!$B$55:$B$561=W$59)*('W9. Power Total Gen'!$C$55:$C$561=$A64)*('W9. Power Total Gen'!$D$54:$N$54=W$58),'W9. Power Total Gen'!$D$55:$N$561))</f>
        <v>0</v>
      </c>
      <c r="X64" s="34">
        <f t="array" ref="X64">SUM(IF(('W9. Power Total Gen'!$B$55:$B$561=X$59)*('W9. Power Total Gen'!$C$55:$C$561=$A64)*('W9. Power Total Gen'!$D$54:$N$54=X$58),'W9. Power Total Gen'!$D$55:$N$561))</f>
        <v>20324.658801137899</v>
      </c>
      <c r="Y64" s="34">
        <f t="array" ref="Y64">SUM(IF(('W9. Power Total Gen'!$B$55:$B$561=Y$59)*('W9. Power Total Gen'!$C$55:$C$561=$A64)*('W9. Power Total Gen'!$D$54:$N$54=Y$58),'W9. Power Total Gen'!$D$55:$N$561))</f>
        <v>19644.239865638818</v>
      </c>
      <c r="Z64" s="34">
        <f t="array" ref="Z64">SUM(IF(('W9. Power Total Gen'!$B$55:$B$561=Z$59)*('W9. Power Total Gen'!$C$55:$C$561=$A64)*('W9. Power Total Gen'!$D$54:$N$54=Z$58),'W9. Power Total Gen'!$D$55:$N$561))</f>
        <v>21643.423197472261</v>
      </c>
      <c r="AA64" s="34">
        <f t="array" ref="AA64">SUM(IF(('W9. Power Total Gen'!$B$55:$B$561=AA$59)*('W9. Power Total Gen'!$C$55:$C$561=$A64)*('W9. Power Total Gen'!$D$54:$N$54=AA$58),'W9. Power Total Gen'!$D$55:$N$561))</f>
        <v>20046.684364696448</v>
      </c>
      <c r="AB64" s="34">
        <f t="array" ref="AB64">SUM(IF(('W9. Power Total Gen'!$B$55:$B$561=AB$59)*('W9. Power Total Gen'!$C$55:$C$561=$A64)*('W9. Power Total Gen'!$D$54:$N$54=AB$58),'W9. Power Total Gen'!$D$55:$N$561))</f>
        <v>19671.539599042953</v>
      </c>
      <c r="AC64" s="34">
        <f t="array" ref="AC64">SUM(IF(('W9. Power Total Gen'!$B$55:$B$561=AC$59)*('W9. Power Total Gen'!$C$55:$C$561=$A64)*('W9. Power Total Gen'!$D$54:$N$54=AC$58),'W9. Power Total Gen'!$D$55:$N$561))</f>
        <v>20416.308960018265</v>
      </c>
      <c r="AD64" s="34">
        <f t="array" ref="AD64">SUM(IF(('W9. Power Total Gen'!$B$55:$B$561=AD$59)*('W9. Power Total Gen'!$C$55:$C$561=$A64)*('W9. Power Total Gen'!$D$54:$N$54=AD$58),'W9. Power Total Gen'!$D$55:$N$561))</f>
        <v>21820.733278054784</v>
      </c>
      <c r="AE64" s="34">
        <f t="array" ref="AE64">SUM(IF(('W9. Power Total Gen'!$B$55:$B$561=AE$59)*('W9. Power Total Gen'!$C$55:$C$561=$A64)*('W9. Power Total Gen'!$D$54:$N$54=AE$58),'W9. Power Total Gen'!$D$55:$N$561))</f>
        <v>0</v>
      </c>
      <c r="AF64" s="34">
        <f t="array" ref="AF64">SUM(IF(('W9. Power Total Gen'!$B$55:$B$561=AF$59)*('W9. Power Total Gen'!$C$55:$C$561=$A64)*('W9. Power Total Gen'!$D$54:$N$54=AF$58),'W9. Power Total Gen'!$D$55:$N$561))</f>
        <v>0</v>
      </c>
      <c r="AG64" s="34">
        <f t="array" ref="AG64">SUM(IF(('W9. Power Total Gen'!$B$55:$B$561=AG$59)*('W9. Power Total Gen'!$C$55:$C$561=$A64)*('W9. Power Total Gen'!$D$54:$N$54=AG$58),'W9. Power Total Gen'!$D$55:$N$561))</f>
        <v>23790.208360954177</v>
      </c>
      <c r="AH64" s="34">
        <f t="array" ref="AH64">SUM(IF(('W9. Power Total Gen'!$B$55:$B$561=AH$59)*('W9. Power Total Gen'!$C$55:$C$561=$A64)*('W9. Power Total Gen'!$D$54:$N$54=AH$58),'W9. Power Total Gen'!$D$55:$N$561))</f>
        <v>24529.344910639837</v>
      </c>
      <c r="AI64" s="34">
        <f t="array" ref="AI64">SUM(IF(('W9. Power Total Gen'!$B$55:$B$561=AI$59)*('W9. Power Total Gen'!$C$55:$C$561=$A64)*('W9. Power Total Gen'!$D$54:$N$54=AI$58),'W9. Power Total Gen'!$D$55:$N$561))</f>
        <v>25846.336496137708</v>
      </c>
      <c r="AJ64" s="34">
        <f t="array" ref="AJ64">SUM(IF(('W9. Power Total Gen'!$B$55:$B$561=AJ$59)*('W9. Power Total Gen'!$C$55:$C$561=$A64)*('W9. Power Total Gen'!$D$54:$N$54=AJ$58),'W9. Power Total Gen'!$D$55:$N$561))</f>
        <v>24103.25959882202</v>
      </c>
      <c r="AK64" s="34">
        <f t="array" ref="AK64">SUM(IF(('W9. Power Total Gen'!$B$55:$B$561=AK$59)*('W9. Power Total Gen'!$C$55:$C$561=$A64)*('W9. Power Total Gen'!$D$54:$N$54=AK$58),'W9. Power Total Gen'!$D$55:$N$561))</f>
        <v>22439.01648356708</v>
      </c>
      <c r="AL64" s="34">
        <f t="array" ref="AL64">SUM(IF(('W9. Power Total Gen'!$B$55:$B$561=AL$59)*('W9. Power Total Gen'!$C$55:$C$561=$A64)*('W9. Power Total Gen'!$D$54:$N$54=AL$58),'W9. Power Total Gen'!$D$55:$N$561))</f>
        <v>23768.019094946678</v>
      </c>
      <c r="AM64" s="34">
        <f t="array" ref="AM64">SUM(IF(('W9. Power Total Gen'!$B$55:$B$561=AM$59)*('W9. Power Total Gen'!$C$55:$C$561=$A64)*('W9. Power Total Gen'!$D$54:$N$54=AM$58),'W9. Power Total Gen'!$D$55:$N$561))</f>
        <v>25435.87656849375</v>
      </c>
      <c r="AN64" s="34">
        <f t="array" ref="AN64">SUM(IF(('W9. Power Total Gen'!$B$55:$B$561=AN$59)*('W9. Power Total Gen'!$C$55:$C$561=$A64)*('W9. Power Total Gen'!$D$54:$N$54=AN$58),'W9. Power Total Gen'!$D$55:$N$561))</f>
        <v>0</v>
      </c>
      <c r="AO64" s="34">
        <f t="array" ref="AO64">SUM(IF(('W9. Power Total Gen'!$B$55:$B$561=AO$59)*('W9. Power Total Gen'!$C$55:$C$561=$A64)*('W9. Power Total Gen'!$D$54:$N$54=AO$58),'W9. Power Total Gen'!$D$55:$N$561))</f>
        <v>0</v>
      </c>
      <c r="AP64" s="34">
        <f t="array" ref="AP64">SUM(IF(('W9. Power Total Gen'!$B$55:$B$561=AP$59)*('W9. Power Total Gen'!$C$55:$C$561=$A64)*('W9. Power Total Gen'!$D$54:$N$54=AP$58),'W9. Power Total Gen'!$D$55:$N$561))</f>
        <v>25650.488693715743</v>
      </c>
      <c r="AQ64" s="34">
        <f t="array" ref="AQ64">SUM(IF(('W9. Power Total Gen'!$B$55:$B$561=AQ$59)*('W9. Power Total Gen'!$C$55:$C$561=$A64)*('W9. Power Total Gen'!$D$54:$N$54=AQ$58),'W9. Power Total Gen'!$D$55:$N$561))</f>
        <v>26240.228346390999</v>
      </c>
      <c r="AR64" s="34">
        <f t="array" ref="AR64">SUM(IF(('W9. Power Total Gen'!$B$55:$B$561=AR$59)*('W9. Power Total Gen'!$C$55:$C$561=$A64)*('W9. Power Total Gen'!$D$54:$N$54=AR$58),'W9. Power Total Gen'!$D$55:$N$561))</f>
        <v>28359.045854255695</v>
      </c>
      <c r="AS64" s="34">
        <f t="array" ref="AS64">SUM(IF(('W9. Power Total Gen'!$B$55:$B$561=AS$59)*('W9. Power Total Gen'!$C$55:$C$561=$A64)*('W9. Power Total Gen'!$D$54:$N$54=AS$58),'W9. Power Total Gen'!$D$55:$N$561))</f>
        <v>25847.759061109988</v>
      </c>
      <c r="AT64" s="34">
        <f t="array" ref="AT64">SUM(IF(('W9. Power Total Gen'!$B$55:$B$561=AT$59)*('W9. Power Total Gen'!$C$55:$C$561=$A64)*('W9. Power Total Gen'!$D$54:$N$54=AT$58),'W9. Power Total Gen'!$D$55:$N$561))</f>
        <v>24003.879262199902</v>
      </c>
      <c r="AU64" s="34">
        <f t="array" ref="AU64">SUM(IF(('W9. Power Total Gen'!$B$55:$B$561=AU$59)*('W9. Power Total Gen'!$C$55:$C$561=$A64)*('W9. Power Total Gen'!$D$54:$N$54=AU$58),'W9. Power Total Gen'!$D$55:$N$561))</f>
        <v>25621.951765147616</v>
      </c>
      <c r="AV64" s="34">
        <f t="array" ref="AV64">SUM(IF(('W9. Power Total Gen'!$B$55:$B$561=AV$59)*('W9. Power Total Gen'!$C$55:$C$561=$A64)*('W9. Power Total Gen'!$D$54:$N$54=AV$58),'W9. Power Total Gen'!$D$55:$N$561))</f>
        <v>26852.371666234787</v>
      </c>
    </row>
    <row r="65" spans="1:48" x14ac:dyDescent="0.3">
      <c r="A65" s="3" t="s">
        <v>68</v>
      </c>
      <c r="B65" s="3" t="s">
        <v>257</v>
      </c>
      <c r="C65" s="34">
        <f t="array" ref="C65">SUM(IF(('W9. Power Total Gen'!$B$55:$B$561=C$59)*('W9. Power Total Gen'!$C$55:$C$561=$A65)*('W9. Power Total Gen'!$D$54:$N$54=C$58),'W9. Power Total Gen'!$D$55:$N$561))</f>
        <v>0</v>
      </c>
      <c r="D65" s="34">
        <f t="array" ref="D65">SUM(IF(('W9. Power Total Gen'!$B$55:$B$561=D$59)*('W9. Power Total Gen'!$C$55:$C$561=$A65)*('W9. Power Total Gen'!$D$54:$N$54=D$58),'W9. Power Total Gen'!$D$55:$N$561))</f>
        <v>0</v>
      </c>
      <c r="E65" s="34">
        <f t="array" ref="E65">SUM(IF(('W9. Power Total Gen'!$B$55:$B$561=E$59)*('W9. Power Total Gen'!$C$55:$C$561=$A65)*('W9. Power Total Gen'!$D$54:$N$54=E$58),'W9. Power Total Gen'!$D$55:$N$561))</f>
        <v>0</v>
      </c>
      <c r="F65" s="34">
        <f t="array" ref="F65">SUM(IF(('W9. Power Total Gen'!$B$55:$B$561=F$59)*('W9. Power Total Gen'!$C$55:$C$561=$A65)*('W9. Power Total Gen'!$D$54:$N$54=F$58),'W9. Power Total Gen'!$D$55:$N$561))</f>
        <v>13753.197500000002</v>
      </c>
      <c r="G65" s="34">
        <f t="array" ref="G65">SUM(IF(('W9. Power Total Gen'!$B$55:$B$561=G$59)*('W9. Power Total Gen'!$C$55:$C$561=$A65)*('W9. Power Total Gen'!$D$54:$N$54=G$58),'W9. Power Total Gen'!$D$55:$N$561))</f>
        <v>13753.197500000002</v>
      </c>
      <c r="H65" s="34">
        <f t="array" ref="H65">SUM(IF(('W9. Power Total Gen'!$B$55:$B$561=H$59)*('W9. Power Total Gen'!$C$55:$C$561=$A65)*('W9. Power Total Gen'!$D$54:$N$54=H$58),'W9. Power Total Gen'!$D$55:$N$561))</f>
        <v>13753.197500000002</v>
      </c>
      <c r="I65" s="34">
        <f t="array" ref="I65">SUM(IF(('W9. Power Total Gen'!$B$55:$B$561=I$59)*('W9. Power Total Gen'!$C$55:$C$561=$A65)*('W9. Power Total Gen'!$D$54:$N$54=I$58),'W9. Power Total Gen'!$D$55:$N$561))</f>
        <v>13753.197500000002</v>
      </c>
      <c r="J65" s="34">
        <f t="array" ref="J65">SUM(IF(('W9. Power Total Gen'!$B$55:$B$561=J$59)*('W9. Power Total Gen'!$C$55:$C$561=$A65)*('W9. Power Total Gen'!$D$54:$N$54=J$58),'W9. Power Total Gen'!$D$55:$N$561))</f>
        <v>13753.197500000002</v>
      </c>
      <c r="K65" s="34">
        <f t="array" ref="K65">SUM(IF(('W9. Power Total Gen'!$B$55:$B$561=K$59)*('W9. Power Total Gen'!$C$55:$C$561=$A65)*('W9. Power Total Gen'!$D$54:$N$54=K$58),'W9. Power Total Gen'!$D$55:$N$561))</f>
        <v>13753.197500000002</v>
      </c>
      <c r="L65" s="34">
        <f t="array" ref="L65">SUM(IF(('W9. Power Total Gen'!$B$55:$B$561=L$59)*('W9. Power Total Gen'!$C$55:$C$561=$A65)*('W9. Power Total Gen'!$D$54:$N$54=L$58),'W9. Power Total Gen'!$D$55:$N$561))</f>
        <v>13753.197500000002</v>
      </c>
      <c r="M65" s="34">
        <f t="array" ref="M65">SUM(IF(('W9. Power Total Gen'!$B$55:$B$561=M$59)*('W9. Power Total Gen'!$C$55:$C$561=$A65)*('W9. Power Total Gen'!$D$54:$N$54=M$58),'W9. Power Total Gen'!$D$55:$N$561))</f>
        <v>0</v>
      </c>
      <c r="N65" s="34">
        <f t="array" ref="N65">SUM(IF(('W9. Power Total Gen'!$B$55:$B$561=N$59)*('W9. Power Total Gen'!$C$55:$C$561=$A65)*('W9. Power Total Gen'!$D$54:$N$54=N$58),'W9. Power Total Gen'!$D$55:$N$561))</f>
        <v>0</v>
      </c>
      <c r="O65" s="34">
        <f t="array" ref="O65">SUM(IF(('W9. Power Total Gen'!$B$55:$B$561=O$59)*('W9. Power Total Gen'!$C$55:$C$561=$A65)*('W9. Power Total Gen'!$D$54:$N$54=O$58),'W9. Power Total Gen'!$D$55:$N$561))</f>
        <v>14514.167854150604</v>
      </c>
      <c r="P65" s="34">
        <f t="array" ref="P65">SUM(IF(('W9. Power Total Gen'!$B$55:$B$561=P$59)*('W9. Power Total Gen'!$C$55:$C$561=$A65)*('W9. Power Total Gen'!$D$54:$N$54=P$58),'W9. Power Total Gen'!$D$55:$N$561))</f>
        <v>14514.167854150606</v>
      </c>
      <c r="Q65" s="34">
        <f t="array" ref="Q65">SUM(IF(('W9. Power Total Gen'!$B$55:$B$561=Q$59)*('W9. Power Total Gen'!$C$55:$C$561=$A65)*('W9. Power Total Gen'!$D$54:$N$54=Q$58),'W9. Power Total Gen'!$D$55:$N$561))</f>
        <v>14514.167854150604</v>
      </c>
      <c r="R65" s="34">
        <f t="array" ref="R65">SUM(IF(('W9. Power Total Gen'!$B$55:$B$561=R$59)*('W9. Power Total Gen'!$C$55:$C$561=$A65)*('W9. Power Total Gen'!$D$54:$N$54=R$58),'W9. Power Total Gen'!$D$55:$N$561))</f>
        <v>14514.167854150604</v>
      </c>
      <c r="S65" s="34">
        <f t="array" ref="S65">SUM(IF(('W9. Power Total Gen'!$B$55:$B$561=S$59)*('W9. Power Total Gen'!$C$55:$C$561=$A65)*('W9. Power Total Gen'!$D$54:$N$54=S$58),'W9. Power Total Gen'!$D$55:$N$561))</f>
        <v>14514.167854150604</v>
      </c>
      <c r="T65" s="34">
        <f t="array" ref="T65">SUM(IF(('W9. Power Total Gen'!$B$55:$B$561=T$59)*('W9. Power Total Gen'!$C$55:$C$561=$A65)*('W9. Power Total Gen'!$D$54:$N$54=T$58),'W9. Power Total Gen'!$D$55:$N$561))</f>
        <v>14514.167854150604</v>
      </c>
      <c r="U65" s="34">
        <f t="array" ref="U65">SUM(IF(('W9. Power Total Gen'!$B$55:$B$561=U$59)*('W9. Power Total Gen'!$C$55:$C$561=$A65)*('W9. Power Total Gen'!$D$54:$N$54=U$58),'W9. Power Total Gen'!$D$55:$N$561))</f>
        <v>14514.167854150606</v>
      </c>
      <c r="V65" s="34">
        <f t="array" ref="V65">SUM(IF(('W9. Power Total Gen'!$B$55:$B$561=V$59)*('W9. Power Total Gen'!$C$55:$C$561=$A65)*('W9. Power Total Gen'!$D$54:$N$54=V$58),'W9. Power Total Gen'!$D$55:$N$561))</f>
        <v>0</v>
      </c>
      <c r="W65" s="34">
        <f t="array" ref="W65">SUM(IF(('W9. Power Total Gen'!$B$55:$B$561=W$59)*('W9. Power Total Gen'!$C$55:$C$561=$A65)*('W9. Power Total Gen'!$D$54:$N$54=W$58),'W9. Power Total Gen'!$D$55:$N$561))</f>
        <v>0</v>
      </c>
      <c r="X65" s="34">
        <f t="array" ref="X65">SUM(IF(('W9. Power Total Gen'!$B$55:$B$561=X$59)*('W9. Power Total Gen'!$C$55:$C$561=$A65)*('W9. Power Total Gen'!$D$54:$N$54=X$58),'W9. Power Total Gen'!$D$55:$N$561))</f>
        <v>16581.749972730344</v>
      </c>
      <c r="Y65" s="34">
        <f t="array" ref="Y65">SUM(IF(('W9. Power Total Gen'!$B$55:$B$561=Y$59)*('W9. Power Total Gen'!$C$55:$C$561=$A65)*('W9. Power Total Gen'!$D$54:$N$54=Y$58),'W9. Power Total Gen'!$D$55:$N$561))</f>
        <v>15191.631806438927</v>
      </c>
      <c r="Z65" s="34">
        <f t="array" ref="Z65">SUM(IF(('W9. Power Total Gen'!$B$55:$B$561=Z$59)*('W9. Power Total Gen'!$C$55:$C$561=$A65)*('W9. Power Total Gen'!$D$54:$N$54=Z$58),'W9. Power Total Gen'!$D$55:$N$561))</f>
        <v>17702.865000000005</v>
      </c>
      <c r="AA65" s="34">
        <f t="array" ref="AA65">SUM(IF(('W9. Power Total Gen'!$B$55:$B$561=AA$59)*('W9. Power Total Gen'!$C$55:$C$561=$A65)*('W9. Power Total Gen'!$D$54:$N$54=AA$58),'W9. Power Total Gen'!$D$55:$N$561))</f>
        <v>16455.882818093436</v>
      </c>
      <c r="AB65" s="34">
        <f t="array" ref="AB65">SUM(IF(('W9. Power Total Gen'!$B$55:$B$561=AB$59)*('W9. Power Total Gen'!$C$55:$C$561=$A65)*('W9. Power Total Gen'!$D$54:$N$54=AB$58),'W9. Power Total Gen'!$D$55:$N$561))</f>
        <v>16446.599972730342</v>
      </c>
      <c r="AC65" s="34">
        <f t="array" ref="AC65">SUM(IF(('W9. Power Total Gen'!$B$55:$B$561=AC$59)*('W9. Power Total Gen'!$C$55:$C$561=$A65)*('W9. Power Total Gen'!$D$54:$N$54=AC$58),'W9. Power Total Gen'!$D$55:$N$561))</f>
        <v>16687.999972730344</v>
      </c>
      <c r="AD65" s="34">
        <f t="array" ref="AD65">SUM(IF(('W9. Power Total Gen'!$B$55:$B$561=AD$59)*('W9. Power Total Gen'!$C$55:$C$561=$A65)*('W9. Power Total Gen'!$D$54:$N$54=AD$58),'W9. Power Total Gen'!$D$55:$N$561))</f>
        <v>17132.08644893012</v>
      </c>
      <c r="AE65" s="34">
        <f t="array" ref="AE65">SUM(IF(('W9. Power Total Gen'!$B$55:$B$561=AE$59)*('W9. Power Total Gen'!$C$55:$C$561=$A65)*('W9. Power Total Gen'!$D$54:$N$54=AE$58),'W9. Power Total Gen'!$D$55:$N$561))</f>
        <v>0</v>
      </c>
      <c r="AF65" s="34">
        <f t="array" ref="AF65">SUM(IF(('W9. Power Total Gen'!$B$55:$B$561=AF$59)*('W9. Power Total Gen'!$C$55:$C$561=$A65)*('W9. Power Total Gen'!$D$54:$N$54=AF$58),'W9. Power Total Gen'!$D$55:$N$561))</f>
        <v>0</v>
      </c>
      <c r="AG65" s="34">
        <f t="array" ref="AG65">SUM(IF(('W9. Power Total Gen'!$B$55:$B$561=AG$59)*('W9. Power Total Gen'!$C$55:$C$561=$A65)*('W9. Power Total Gen'!$D$54:$N$54=AG$58),'W9. Power Total Gen'!$D$55:$N$561))</f>
        <v>23100.058135655392</v>
      </c>
      <c r="AH65" s="34">
        <f t="array" ref="AH65">SUM(IF(('W9. Power Total Gen'!$B$55:$B$561=AH$59)*('W9. Power Total Gen'!$C$55:$C$561=$A65)*('W9. Power Total Gen'!$D$54:$N$54=AH$58),'W9. Power Total Gen'!$D$55:$N$561))</f>
        <v>23771.416194236695</v>
      </c>
      <c r="AI65" s="34">
        <f t="array" ref="AI65">SUM(IF(('W9. Power Total Gen'!$B$55:$B$561=AI$59)*('W9. Power Total Gen'!$C$55:$C$561=$A65)*('W9. Power Total Gen'!$D$54:$N$54=AI$58),'W9. Power Total Gen'!$D$55:$N$561))</f>
        <v>24925.344846272608</v>
      </c>
      <c r="AJ65" s="34">
        <f t="array" ref="AJ65">SUM(IF(('W9. Power Total Gen'!$B$55:$B$561=AJ$59)*('W9. Power Total Gen'!$C$55:$C$561=$A65)*('W9. Power Total Gen'!$D$54:$N$54=AJ$58),'W9. Power Total Gen'!$D$55:$N$561))</f>
        <v>22976.192980843462</v>
      </c>
      <c r="AK65" s="34">
        <f t="array" ref="AK65">SUM(IF(('W9. Power Total Gen'!$B$55:$B$561=AK$59)*('W9. Power Total Gen'!$C$55:$C$561=$A65)*('W9. Power Total Gen'!$D$54:$N$54=AK$58),'W9. Power Total Gen'!$D$55:$N$561))</f>
        <v>21155.728529743094</v>
      </c>
      <c r="AL65" s="34">
        <f t="array" ref="AL65">SUM(IF(('W9. Power Total Gen'!$B$55:$B$561=AL$59)*('W9. Power Total Gen'!$C$55:$C$561=$A65)*('W9. Power Total Gen'!$D$54:$N$54=AL$58),'W9. Power Total Gen'!$D$55:$N$561))</f>
        <v>23261.469892496461</v>
      </c>
      <c r="AM65" s="34">
        <f t="array" ref="AM65">SUM(IF(('W9. Power Total Gen'!$B$55:$B$561=AM$59)*('W9. Power Total Gen'!$C$55:$C$561=$A65)*('W9. Power Total Gen'!$D$54:$N$54=AM$58),'W9. Power Total Gen'!$D$55:$N$561))</f>
        <v>24552.996119163545</v>
      </c>
      <c r="AN65" s="34">
        <f t="array" ref="AN65">SUM(IF(('W9. Power Total Gen'!$B$55:$B$561=AN$59)*('W9. Power Total Gen'!$C$55:$C$561=$A65)*('W9. Power Total Gen'!$D$54:$N$54=AN$58),'W9. Power Total Gen'!$D$55:$N$561))</f>
        <v>0</v>
      </c>
      <c r="AO65" s="34">
        <f t="array" ref="AO65">SUM(IF(('W9. Power Total Gen'!$B$55:$B$561=AO$59)*('W9. Power Total Gen'!$C$55:$C$561=$A65)*('W9. Power Total Gen'!$D$54:$N$54=AO$58),'W9. Power Total Gen'!$D$55:$N$561))</f>
        <v>0</v>
      </c>
      <c r="AP65" s="34">
        <f t="array" ref="AP65">SUM(IF(('W9. Power Total Gen'!$B$55:$B$561=AP$59)*('W9. Power Total Gen'!$C$55:$C$561=$A65)*('W9. Power Total Gen'!$D$54:$N$54=AP$58),'W9. Power Total Gen'!$D$55:$N$561))</f>
        <v>29261.482250082478</v>
      </c>
      <c r="AQ65" s="34">
        <f t="array" ref="AQ65">SUM(IF(('W9. Power Total Gen'!$B$55:$B$561=AQ$59)*('W9. Power Total Gen'!$C$55:$C$561=$A65)*('W9. Power Total Gen'!$D$54:$N$54=AQ$58),'W9. Power Total Gen'!$D$55:$N$561))</f>
        <v>29226.529402157888</v>
      </c>
      <c r="AR65" s="34">
        <f t="array" ref="AR65">SUM(IF(('W9. Power Total Gen'!$B$55:$B$561=AR$59)*('W9. Power Total Gen'!$C$55:$C$561=$A65)*('W9. Power Total Gen'!$D$54:$N$54=AR$58),'W9. Power Total Gen'!$D$55:$N$561))</f>
        <v>29320.904494184932</v>
      </c>
      <c r="AS65" s="34">
        <f t="array" ref="AS65">SUM(IF(('W9. Power Total Gen'!$B$55:$B$561=AS$59)*('W9. Power Total Gen'!$C$55:$C$561=$A65)*('W9. Power Total Gen'!$D$54:$N$54=AS$58),'W9. Power Total Gen'!$D$55:$N$561))</f>
        <v>28732.6686599479</v>
      </c>
      <c r="AT65" s="34">
        <f t="array" ref="AT65">SUM(IF(('W9. Power Total Gen'!$B$55:$B$561=AT$59)*('W9. Power Total Gen'!$C$55:$C$561=$A65)*('W9. Power Total Gen'!$D$54:$N$54=AT$58),'W9. Power Total Gen'!$D$55:$N$561))</f>
        <v>26463.937607664178</v>
      </c>
      <c r="AU65" s="34">
        <f t="array" ref="AU65">SUM(IF(('W9. Power Total Gen'!$B$55:$B$561=AU$59)*('W9. Power Total Gen'!$C$55:$C$561=$A65)*('W9. Power Total Gen'!$D$54:$N$54=AU$58),'W9. Power Total Gen'!$D$55:$N$561))</f>
        <v>29244.228200795176</v>
      </c>
      <c r="AV65" s="34">
        <f t="array" ref="AV65">SUM(IF(('W9. Power Total Gen'!$B$55:$B$561=AV$59)*('W9. Power Total Gen'!$C$55:$C$561=$A65)*('W9. Power Total Gen'!$D$54:$N$54=AV$58),'W9. Power Total Gen'!$D$55:$N$561))</f>
        <v>29337.793560134873</v>
      </c>
    </row>
    <row r="66" spans="1:48" x14ac:dyDescent="0.3">
      <c r="A66" s="3" t="s">
        <v>69</v>
      </c>
      <c r="B66" s="3" t="s">
        <v>266</v>
      </c>
      <c r="C66" s="34">
        <f t="array" ref="C66">SUM(IF(('W9. Power Total Gen'!$B$55:$B$561=C$59)*('W9. Power Total Gen'!$C$55:$C$561=$A66)*('W9. Power Total Gen'!$D$54:$N$54=C$58),'W9. Power Total Gen'!$D$55:$N$561))</f>
        <v>0</v>
      </c>
      <c r="D66" s="34">
        <f t="array" ref="D66">SUM(IF(('W9. Power Total Gen'!$B$55:$B$561=D$59)*('W9. Power Total Gen'!$C$55:$C$561=$A66)*('W9. Power Total Gen'!$D$54:$N$54=D$58),'W9. Power Total Gen'!$D$55:$N$561))</f>
        <v>0</v>
      </c>
      <c r="E66" s="34">
        <f t="array" ref="E66">SUM(IF(('W9. Power Total Gen'!$B$55:$B$561=E$59)*('W9. Power Total Gen'!$C$55:$C$561=$A66)*('W9. Power Total Gen'!$D$54:$N$54=E$58),'W9. Power Total Gen'!$D$55:$N$561))</f>
        <v>0</v>
      </c>
      <c r="F66" s="34">
        <f t="array" ref="F66">SUM(IF(('W9. Power Total Gen'!$B$55:$B$561=F$59)*('W9. Power Total Gen'!$C$55:$C$561=$A66)*('W9. Power Total Gen'!$D$54:$N$54=F$58),'W9. Power Total Gen'!$D$55:$N$561))</f>
        <v>2308.8771400062938</v>
      </c>
      <c r="G66" s="34">
        <f t="array" ref="G66">SUM(IF(('W9. Power Total Gen'!$B$55:$B$561=G$59)*('W9. Power Total Gen'!$C$55:$C$561=$A66)*('W9. Power Total Gen'!$D$54:$N$54=G$58),'W9. Power Total Gen'!$D$55:$N$561))</f>
        <v>2308.8771400062938</v>
      </c>
      <c r="H66" s="34">
        <f t="array" ref="H66">SUM(IF(('W9. Power Total Gen'!$B$55:$B$561=H$59)*('W9. Power Total Gen'!$C$55:$C$561=$A66)*('W9. Power Total Gen'!$D$54:$N$54=H$58),'W9. Power Total Gen'!$D$55:$N$561))</f>
        <v>2308.8771400062938</v>
      </c>
      <c r="I66" s="34">
        <f t="array" ref="I66">SUM(IF(('W9. Power Total Gen'!$B$55:$B$561=I$59)*('W9. Power Total Gen'!$C$55:$C$561=$A66)*('W9. Power Total Gen'!$D$54:$N$54=I$58),'W9. Power Total Gen'!$D$55:$N$561))</f>
        <v>2308.8771400062938</v>
      </c>
      <c r="J66" s="34">
        <f t="array" ref="J66">SUM(IF(('W9. Power Total Gen'!$B$55:$B$561=J$59)*('W9. Power Total Gen'!$C$55:$C$561=$A66)*('W9. Power Total Gen'!$D$54:$N$54=J$58),'W9. Power Total Gen'!$D$55:$N$561))</f>
        <v>2308.8771400062938</v>
      </c>
      <c r="K66" s="34">
        <f t="array" ref="K66">SUM(IF(('W9. Power Total Gen'!$B$55:$B$561=K$59)*('W9. Power Total Gen'!$C$55:$C$561=$A66)*('W9. Power Total Gen'!$D$54:$N$54=K$58),'W9. Power Total Gen'!$D$55:$N$561))</f>
        <v>2308.8771400062938</v>
      </c>
      <c r="L66" s="34">
        <f t="array" ref="L66">SUM(IF(('W9. Power Total Gen'!$B$55:$B$561=L$59)*('W9. Power Total Gen'!$C$55:$C$561=$A66)*('W9. Power Total Gen'!$D$54:$N$54=L$58),'W9. Power Total Gen'!$D$55:$N$561))</f>
        <v>2308.8771400062938</v>
      </c>
      <c r="M66" s="34">
        <f t="array" ref="M66">SUM(IF(('W9. Power Total Gen'!$B$55:$B$561=M$59)*('W9. Power Total Gen'!$C$55:$C$561=$A66)*('W9. Power Total Gen'!$D$54:$N$54=M$58),'W9. Power Total Gen'!$D$55:$N$561))</f>
        <v>0</v>
      </c>
      <c r="N66" s="34">
        <f t="array" ref="N66">SUM(IF(('W9. Power Total Gen'!$B$55:$B$561=N$59)*('W9. Power Total Gen'!$C$55:$C$561=$A66)*('W9. Power Total Gen'!$D$54:$N$54=N$58),'W9. Power Total Gen'!$D$55:$N$561))</f>
        <v>0</v>
      </c>
      <c r="O66" s="34">
        <f t="array" ref="O66">SUM(IF(('W9. Power Total Gen'!$B$55:$B$561=O$59)*('W9. Power Total Gen'!$C$55:$C$561=$A66)*('W9. Power Total Gen'!$D$54:$N$54=O$58),'W9. Power Total Gen'!$D$55:$N$561))</f>
        <v>1503.8223551611873</v>
      </c>
      <c r="P66" s="34">
        <f t="array" ref="P66">SUM(IF(('W9. Power Total Gen'!$B$55:$B$561=P$59)*('W9. Power Total Gen'!$C$55:$C$561=$A66)*('W9. Power Total Gen'!$D$54:$N$54=P$58),'W9. Power Total Gen'!$D$55:$N$561))</f>
        <v>1516.5761695611868</v>
      </c>
      <c r="Q66" s="34">
        <f t="array" ref="Q66">SUM(IF(('W9. Power Total Gen'!$B$55:$B$561=Q$59)*('W9. Power Total Gen'!$C$55:$C$561=$A66)*('W9. Power Total Gen'!$D$54:$N$54=Q$58),'W9. Power Total Gen'!$D$55:$N$561))</f>
        <v>1503.8223551611873</v>
      </c>
      <c r="R66" s="34">
        <f t="array" ref="R66">SUM(IF(('W9. Power Total Gen'!$B$55:$B$561=R$59)*('W9. Power Total Gen'!$C$55:$C$561=$A66)*('W9. Power Total Gen'!$D$54:$N$54=R$58),'W9. Power Total Gen'!$D$55:$N$561))</f>
        <v>1503.8223551611879</v>
      </c>
      <c r="S66" s="34">
        <f t="array" ref="S66">SUM(IF(('W9. Power Total Gen'!$B$55:$B$561=S$59)*('W9. Power Total Gen'!$C$55:$C$561=$A66)*('W9. Power Total Gen'!$D$54:$N$54=S$58),'W9. Power Total Gen'!$D$55:$N$561))</f>
        <v>1503.8223551611879</v>
      </c>
      <c r="T66" s="34">
        <f t="array" ref="T66">SUM(IF(('W9. Power Total Gen'!$B$55:$B$561=T$59)*('W9. Power Total Gen'!$C$55:$C$561=$A66)*('W9. Power Total Gen'!$D$54:$N$54=T$58),'W9. Power Total Gen'!$D$55:$N$561))</f>
        <v>1503.8223551611868</v>
      </c>
      <c r="U66" s="34">
        <f t="array" ref="U66">SUM(IF(('W9. Power Total Gen'!$B$55:$B$561=U$59)*('W9. Power Total Gen'!$C$55:$C$561=$A66)*('W9. Power Total Gen'!$D$54:$N$54=U$58),'W9. Power Total Gen'!$D$55:$N$561))</f>
        <v>1503.8223551611877</v>
      </c>
      <c r="V66" s="34">
        <f t="array" ref="V66">SUM(IF(('W9. Power Total Gen'!$B$55:$B$561=V$59)*('W9. Power Total Gen'!$C$55:$C$561=$A66)*('W9. Power Total Gen'!$D$54:$N$54=V$58),'W9. Power Total Gen'!$D$55:$N$561))</f>
        <v>0</v>
      </c>
      <c r="W66" s="34">
        <f t="array" ref="W66">SUM(IF(('W9. Power Total Gen'!$B$55:$B$561=W$59)*('W9. Power Total Gen'!$C$55:$C$561=$A66)*('W9. Power Total Gen'!$D$54:$N$54=W$58),'W9. Power Total Gen'!$D$55:$N$561))</f>
        <v>0</v>
      </c>
      <c r="X66" s="34">
        <f t="array" ref="X66">SUM(IF(('W9. Power Total Gen'!$B$55:$B$561=X$59)*('W9. Power Total Gen'!$C$55:$C$561=$A66)*('W9. Power Total Gen'!$D$54:$N$54=X$58),'W9. Power Total Gen'!$D$55:$N$561))</f>
        <v>735.7921415590896</v>
      </c>
      <c r="Y66" s="34">
        <f t="array" ref="Y66">SUM(IF(('W9. Power Total Gen'!$B$55:$B$561=Y$59)*('W9. Power Total Gen'!$C$55:$C$561=$A66)*('W9. Power Total Gen'!$D$54:$N$54=Y$58),'W9. Power Total Gen'!$D$55:$N$561))</f>
        <v>735.79214155908926</v>
      </c>
      <c r="Z66" s="34">
        <f t="array" ref="Z66">SUM(IF(('W9. Power Total Gen'!$B$55:$B$561=Z$59)*('W9. Power Total Gen'!$C$55:$C$561=$A66)*('W9. Power Total Gen'!$D$54:$N$54=Z$58),'W9. Power Total Gen'!$D$55:$N$561))</f>
        <v>735.79214155908949</v>
      </c>
      <c r="AA66" s="34">
        <f t="array" ref="AA66">SUM(IF(('W9. Power Total Gen'!$B$55:$B$561=AA$59)*('W9. Power Total Gen'!$C$55:$C$561=$A66)*('W9. Power Total Gen'!$D$54:$N$54=AA$58),'W9. Power Total Gen'!$D$55:$N$561))</f>
        <v>735.79214155908926</v>
      </c>
      <c r="AB66" s="34">
        <f t="array" ref="AB66">SUM(IF(('W9. Power Total Gen'!$B$55:$B$561=AB$59)*('W9. Power Total Gen'!$C$55:$C$561=$A66)*('W9. Power Total Gen'!$D$54:$N$54=AB$58),'W9. Power Total Gen'!$D$55:$N$561))</f>
        <v>735.79214155908926</v>
      </c>
      <c r="AC66" s="34">
        <f t="array" ref="AC66">SUM(IF(('W9. Power Total Gen'!$B$55:$B$561=AC$59)*('W9. Power Total Gen'!$C$55:$C$561=$A66)*('W9. Power Total Gen'!$D$54:$N$54=AC$58),'W9. Power Total Gen'!$D$55:$N$561))</f>
        <v>735.79214155908949</v>
      </c>
      <c r="AD66" s="34">
        <f t="array" ref="AD66">SUM(IF(('W9. Power Total Gen'!$B$55:$B$561=AD$59)*('W9. Power Total Gen'!$C$55:$C$561=$A66)*('W9. Power Total Gen'!$D$54:$N$54=AD$58),'W9. Power Total Gen'!$D$55:$N$561))</f>
        <v>734.1545938257558</v>
      </c>
      <c r="AE66" s="34">
        <f t="array" ref="AE66">SUM(IF(('W9. Power Total Gen'!$B$55:$B$561=AE$59)*('W9. Power Total Gen'!$C$55:$C$561=$A66)*('W9. Power Total Gen'!$D$54:$N$54=AE$58),'W9. Power Total Gen'!$D$55:$N$561))</f>
        <v>0</v>
      </c>
      <c r="AF66" s="34">
        <f t="array" ref="AF66">SUM(IF(('W9. Power Total Gen'!$B$55:$B$561=AF$59)*('W9. Power Total Gen'!$C$55:$C$561=$A66)*('W9. Power Total Gen'!$D$54:$N$54=AF$58),'W9. Power Total Gen'!$D$55:$N$561))</f>
        <v>0</v>
      </c>
      <c r="AG66" s="34">
        <f t="array" ref="AG66">SUM(IF(('W9. Power Total Gen'!$B$55:$B$561=AG$59)*('W9. Power Total Gen'!$C$55:$C$561=$A66)*('W9. Power Total Gen'!$D$54:$N$54=AG$58),'W9. Power Total Gen'!$D$55:$N$561))</f>
        <v>0</v>
      </c>
      <c r="AH66" s="34">
        <f t="array" ref="AH66">SUM(IF(('W9. Power Total Gen'!$B$55:$B$561=AH$59)*('W9. Power Total Gen'!$C$55:$C$561=$A66)*('W9. Power Total Gen'!$D$54:$N$54=AH$58),'W9. Power Total Gen'!$D$55:$N$561))</f>
        <v>0</v>
      </c>
      <c r="AI66" s="34">
        <f t="array" ref="AI66">SUM(IF(('W9. Power Total Gen'!$B$55:$B$561=AI$59)*('W9. Power Total Gen'!$C$55:$C$561=$A66)*('W9. Power Total Gen'!$D$54:$N$54=AI$58),'W9. Power Total Gen'!$D$55:$N$561))</f>
        <v>0</v>
      </c>
      <c r="AJ66" s="34">
        <f t="array" ref="AJ66">SUM(IF(('W9. Power Total Gen'!$B$55:$B$561=AJ$59)*('W9. Power Total Gen'!$C$55:$C$561=$A66)*('W9. Power Total Gen'!$D$54:$N$54=AJ$58),'W9. Power Total Gen'!$D$55:$N$561))</f>
        <v>0</v>
      </c>
      <c r="AK66" s="34">
        <f t="array" ref="AK66">SUM(IF(('W9. Power Total Gen'!$B$55:$B$561=AK$59)*('W9. Power Total Gen'!$C$55:$C$561=$A66)*('W9. Power Total Gen'!$D$54:$N$54=AK$58),'W9. Power Total Gen'!$D$55:$N$561))</f>
        <v>0</v>
      </c>
      <c r="AL66" s="34">
        <f t="array" ref="AL66">SUM(IF(('W9. Power Total Gen'!$B$55:$B$561=AL$59)*('W9. Power Total Gen'!$C$55:$C$561=$A66)*('W9. Power Total Gen'!$D$54:$N$54=AL$58),'W9. Power Total Gen'!$D$55:$N$561))</f>
        <v>0</v>
      </c>
      <c r="AM66" s="34">
        <f t="array" ref="AM66">SUM(IF(('W9. Power Total Gen'!$B$55:$B$561=AM$59)*('W9. Power Total Gen'!$C$55:$C$561=$A66)*('W9. Power Total Gen'!$D$54:$N$54=AM$58),'W9. Power Total Gen'!$D$55:$N$561))</f>
        <v>0</v>
      </c>
      <c r="AN66" s="34">
        <f t="array" ref="AN66">SUM(IF(('W9. Power Total Gen'!$B$55:$B$561=AN$59)*('W9. Power Total Gen'!$C$55:$C$561=$A66)*('W9. Power Total Gen'!$D$54:$N$54=AN$58),'W9. Power Total Gen'!$D$55:$N$561))</f>
        <v>0</v>
      </c>
      <c r="AO66" s="34">
        <f t="array" ref="AO66">SUM(IF(('W9. Power Total Gen'!$B$55:$B$561=AO$59)*('W9. Power Total Gen'!$C$55:$C$561=$A66)*('W9. Power Total Gen'!$D$54:$N$54=AO$58),'W9. Power Total Gen'!$D$55:$N$561))</f>
        <v>0</v>
      </c>
      <c r="AP66" s="34">
        <f t="array" ref="AP66">SUM(IF(('W9. Power Total Gen'!$B$55:$B$561=AP$59)*('W9. Power Total Gen'!$C$55:$C$561=$A66)*('W9. Power Total Gen'!$D$54:$N$54=AP$58),'W9. Power Total Gen'!$D$55:$N$561))</f>
        <v>0</v>
      </c>
      <c r="AQ66" s="34">
        <f t="array" ref="AQ66">SUM(IF(('W9. Power Total Gen'!$B$55:$B$561=AQ$59)*('W9. Power Total Gen'!$C$55:$C$561=$A66)*('W9. Power Total Gen'!$D$54:$N$54=AQ$58),'W9. Power Total Gen'!$D$55:$N$561))</f>
        <v>0</v>
      </c>
      <c r="AR66" s="34">
        <f t="array" ref="AR66">SUM(IF(('W9. Power Total Gen'!$B$55:$B$561=AR$59)*('W9. Power Total Gen'!$C$55:$C$561=$A66)*('W9. Power Total Gen'!$D$54:$N$54=AR$58),'W9. Power Total Gen'!$D$55:$N$561))</f>
        <v>0</v>
      </c>
      <c r="AS66" s="34">
        <f t="array" ref="AS66">SUM(IF(('W9. Power Total Gen'!$B$55:$B$561=AS$59)*('W9. Power Total Gen'!$C$55:$C$561=$A66)*('W9. Power Total Gen'!$D$54:$N$54=AS$58),'W9. Power Total Gen'!$D$55:$N$561))</f>
        <v>0</v>
      </c>
      <c r="AT66" s="34">
        <f t="array" ref="AT66">SUM(IF(('W9. Power Total Gen'!$B$55:$B$561=AT$59)*('W9. Power Total Gen'!$C$55:$C$561=$A66)*('W9. Power Total Gen'!$D$54:$N$54=AT$58),'W9. Power Total Gen'!$D$55:$N$561))</f>
        <v>0</v>
      </c>
      <c r="AU66" s="34">
        <f t="array" ref="AU66">SUM(IF(('W9. Power Total Gen'!$B$55:$B$561=AU$59)*('W9. Power Total Gen'!$C$55:$C$561=$A66)*('W9. Power Total Gen'!$D$54:$N$54=AU$58),'W9. Power Total Gen'!$D$55:$N$561))</f>
        <v>0</v>
      </c>
      <c r="AV66" s="34">
        <f t="array" ref="AV66">SUM(IF(('W9. Power Total Gen'!$B$55:$B$561=AV$59)*('W9. Power Total Gen'!$C$55:$C$561=$A66)*('W9. Power Total Gen'!$D$54:$N$54=AV$58),'W9. Power Total Gen'!$D$55:$N$561))</f>
        <v>0</v>
      </c>
    </row>
    <row r="67" spans="1:48" x14ac:dyDescent="0.3">
      <c r="A67" s="3" t="s">
        <v>70</v>
      </c>
      <c r="B67" s="3" t="s">
        <v>259</v>
      </c>
      <c r="C67" s="34">
        <f t="array" ref="C67">SUM(IF(('W9. Power Total Gen'!$B$55:$B$561=C$59)*('W9. Power Total Gen'!$C$55:$C$561=$A67)*('W9. Power Total Gen'!$D$54:$N$54=C$58),'W9. Power Total Gen'!$D$55:$N$561))</f>
        <v>0</v>
      </c>
      <c r="D67" s="34">
        <f t="array" ref="D67">SUM(IF(('W9. Power Total Gen'!$B$55:$B$561=D$59)*('W9. Power Total Gen'!$C$55:$C$561=$A67)*('W9. Power Total Gen'!$D$54:$N$54=D$58),'W9. Power Total Gen'!$D$55:$N$561))</f>
        <v>0</v>
      </c>
      <c r="E67" s="34">
        <f t="array" ref="E67">SUM(IF(('W9. Power Total Gen'!$B$55:$B$561=E$59)*('W9. Power Total Gen'!$C$55:$C$561=$A67)*('W9. Power Total Gen'!$D$54:$N$54=E$58),'W9. Power Total Gen'!$D$55:$N$561))</f>
        <v>0</v>
      </c>
      <c r="F67" s="34">
        <f t="array" ref="F67">SUM(IF(('W9. Power Total Gen'!$B$55:$B$561=F$59)*('W9. Power Total Gen'!$C$55:$C$561=$A67)*('W9. Power Total Gen'!$D$54:$N$54=F$58),'W9. Power Total Gen'!$D$55:$N$561))</f>
        <v>917.48161125092997</v>
      </c>
      <c r="G67" s="34">
        <f t="array" ref="G67">SUM(IF(('W9. Power Total Gen'!$B$55:$B$561=G$59)*('W9. Power Total Gen'!$C$55:$C$561=$A67)*('W9. Power Total Gen'!$D$54:$N$54=G$58),'W9. Power Total Gen'!$D$55:$N$561))</f>
        <v>917.48161125092997</v>
      </c>
      <c r="H67" s="34">
        <f t="array" ref="H67">SUM(IF(('W9. Power Total Gen'!$B$55:$B$561=H$59)*('W9. Power Total Gen'!$C$55:$C$561=$A67)*('W9. Power Total Gen'!$D$54:$N$54=H$58),'W9. Power Total Gen'!$D$55:$N$561))</f>
        <v>917.48161125092997</v>
      </c>
      <c r="I67" s="34">
        <f t="array" ref="I67">SUM(IF(('W9. Power Total Gen'!$B$55:$B$561=I$59)*('W9. Power Total Gen'!$C$55:$C$561=$A67)*('W9. Power Total Gen'!$D$54:$N$54=I$58),'W9. Power Total Gen'!$D$55:$N$561))</f>
        <v>917.48161125092997</v>
      </c>
      <c r="J67" s="34">
        <f t="array" ref="J67">SUM(IF(('W9. Power Total Gen'!$B$55:$B$561=J$59)*('W9. Power Total Gen'!$C$55:$C$561=$A67)*('W9. Power Total Gen'!$D$54:$N$54=J$58),'W9. Power Total Gen'!$D$55:$N$561))</f>
        <v>917.48161125092997</v>
      </c>
      <c r="K67" s="34">
        <f t="array" ref="K67">SUM(IF(('W9. Power Total Gen'!$B$55:$B$561=K$59)*('W9. Power Total Gen'!$C$55:$C$561=$A67)*('W9. Power Total Gen'!$D$54:$N$54=K$58),'W9. Power Total Gen'!$D$55:$N$561))</f>
        <v>917.48161125092997</v>
      </c>
      <c r="L67" s="34">
        <f t="array" ref="L67">SUM(IF(('W9. Power Total Gen'!$B$55:$B$561=L$59)*('W9. Power Total Gen'!$C$55:$C$561=$A67)*('W9. Power Total Gen'!$D$54:$N$54=L$58),'W9. Power Total Gen'!$D$55:$N$561))</f>
        <v>917.48161125092997</v>
      </c>
      <c r="M67" s="34">
        <f t="array" ref="M67">SUM(IF(('W9. Power Total Gen'!$B$55:$B$561=M$59)*('W9. Power Total Gen'!$C$55:$C$561=$A67)*('W9. Power Total Gen'!$D$54:$N$54=M$58),'W9. Power Total Gen'!$D$55:$N$561))</f>
        <v>0</v>
      </c>
      <c r="N67" s="34">
        <f t="array" ref="N67">SUM(IF(('W9. Power Total Gen'!$B$55:$B$561=N$59)*('W9. Power Total Gen'!$C$55:$C$561=$A67)*('W9. Power Total Gen'!$D$54:$N$54=N$58),'W9. Power Total Gen'!$D$55:$N$561))</f>
        <v>0</v>
      </c>
      <c r="O67" s="34">
        <f t="array" ref="O67">SUM(IF(('W9. Power Total Gen'!$B$55:$B$561=O$59)*('W9. Power Total Gen'!$C$55:$C$561=$A67)*('W9. Power Total Gen'!$D$54:$N$54=O$58),'W9. Power Total Gen'!$D$55:$N$561))</f>
        <v>4281.3973409693535</v>
      </c>
      <c r="P67" s="34">
        <f t="array" ref="P67">SUM(IF(('W9. Power Total Gen'!$B$55:$B$561=P$59)*('W9. Power Total Gen'!$C$55:$C$561=$A67)*('W9. Power Total Gen'!$D$54:$N$54=P$58),'W9. Power Total Gen'!$D$55:$N$561))</f>
        <v>2670.3548260954558</v>
      </c>
      <c r="Q67" s="34">
        <f t="array" ref="Q67">SUM(IF(('W9. Power Total Gen'!$B$55:$B$561=Q$59)*('W9. Power Total Gen'!$C$55:$C$561=$A67)*('W9. Power Total Gen'!$D$54:$N$54=Q$58),'W9. Power Total Gen'!$D$55:$N$561))</f>
        <v>1022.6418870500961</v>
      </c>
      <c r="R67" s="34">
        <f t="array" ref="R67">SUM(IF(('W9. Power Total Gen'!$B$55:$B$561=R$59)*('W9. Power Total Gen'!$C$55:$C$561=$A67)*('W9. Power Total Gen'!$D$54:$N$54=R$58),'W9. Power Total Gen'!$D$55:$N$561))</f>
        <v>3275.0402080180756</v>
      </c>
      <c r="S67" s="34">
        <f t="array" ref="S67">SUM(IF(('W9. Power Total Gen'!$B$55:$B$561=S$59)*('W9. Power Total Gen'!$C$55:$C$561=$A67)*('W9. Power Total Gen'!$D$54:$N$54=S$58),'W9. Power Total Gen'!$D$55:$N$561))</f>
        <v>3094.8630186226524</v>
      </c>
      <c r="T67" s="34">
        <f t="array" ref="T67">SUM(IF(('W9. Power Total Gen'!$B$55:$B$561=T$59)*('W9. Power Total Gen'!$C$55:$C$561=$A67)*('W9. Power Total Gen'!$D$54:$N$54=T$58),'W9. Power Total Gen'!$D$55:$N$561))</f>
        <v>4301.3818404184058</v>
      </c>
      <c r="U67" s="34">
        <f t="array" ref="U67">SUM(IF(('W9. Power Total Gen'!$B$55:$B$561=U$59)*('W9. Power Total Gen'!$C$55:$C$561=$A67)*('W9. Power Total Gen'!$D$54:$N$54=U$58),'W9. Power Total Gen'!$D$55:$N$561))</f>
        <v>4272.9290423621815</v>
      </c>
      <c r="V67" s="34">
        <f t="array" ref="V67">SUM(IF(('W9. Power Total Gen'!$B$55:$B$561=V$59)*('W9. Power Total Gen'!$C$55:$C$561=$A67)*('W9. Power Total Gen'!$D$54:$N$54=V$58),'W9. Power Total Gen'!$D$55:$N$561))</f>
        <v>0</v>
      </c>
      <c r="W67" s="34">
        <f t="array" ref="W67">SUM(IF(('W9. Power Total Gen'!$B$55:$B$561=W$59)*('W9. Power Total Gen'!$C$55:$C$561=$A67)*('W9. Power Total Gen'!$D$54:$N$54=W$58),'W9. Power Total Gen'!$D$55:$N$561))</f>
        <v>0</v>
      </c>
      <c r="X67" s="34">
        <f t="array" ref="X67">SUM(IF(('W9. Power Total Gen'!$B$55:$B$561=X$59)*('W9. Power Total Gen'!$C$55:$C$561=$A67)*('W9. Power Total Gen'!$D$54:$N$54=X$58),'W9. Power Total Gen'!$D$55:$N$561))</f>
        <v>14413.333051530297</v>
      </c>
      <c r="Y67" s="34">
        <f t="array" ref="Y67">SUM(IF(('W9. Power Total Gen'!$B$55:$B$561=Y$59)*('W9. Power Total Gen'!$C$55:$C$561=$A67)*('W9. Power Total Gen'!$D$54:$N$54=Y$58),'W9. Power Total Gen'!$D$55:$N$561))</f>
        <v>11031.398228755243</v>
      </c>
      <c r="Z67" s="34">
        <f t="array" ref="Z67">SUM(IF(('W9. Power Total Gen'!$B$55:$B$561=Z$59)*('W9. Power Total Gen'!$C$55:$C$561=$A67)*('W9. Power Total Gen'!$D$54:$N$54=Z$58),'W9. Power Total Gen'!$D$55:$N$561))</f>
        <v>1022.097682671111</v>
      </c>
      <c r="AA67" s="34">
        <f t="array" ref="AA67">SUM(IF(('W9. Power Total Gen'!$B$55:$B$561=AA$59)*('W9. Power Total Gen'!$C$55:$C$561=$A67)*('W9. Power Total Gen'!$D$54:$N$54=AA$58),'W9. Power Total Gen'!$D$55:$N$561))</f>
        <v>12768.228042351144</v>
      </c>
      <c r="AB67" s="34">
        <f t="array" ref="AB67">SUM(IF(('W9. Power Total Gen'!$B$55:$B$561=AB$59)*('W9. Power Total Gen'!$C$55:$C$561=$A67)*('W9. Power Total Gen'!$D$54:$N$54=AB$58),'W9. Power Total Gen'!$D$55:$N$561))</f>
        <v>10961.885069439539</v>
      </c>
      <c r="AC67" s="34">
        <f t="array" ref="AC67">SUM(IF(('W9. Power Total Gen'!$B$55:$B$561=AC$59)*('W9. Power Total Gen'!$C$55:$C$561=$A67)*('W9. Power Total Gen'!$D$54:$N$54=AC$58),'W9. Power Total Gen'!$D$55:$N$561))</f>
        <v>14453.305435552735</v>
      </c>
      <c r="AD67" s="34">
        <f t="array" ref="AD67">SUM(IF(('W9. Power Total Gen'!$B$55:$B$561=AD$59)*('W9. Power Total Gen'!$C$55:$C$561=$A67)*('W9. Power Total Gen'!$D$54:$N$54=AD$58),'W9. Power Total Gen'!$D$55:$N$561))</f>
        <v>15825.196110255392</v>
      </c>
      <c r="AE67" s="34">
        <f t="array" ref="AE67">SUM(IF(('W9. Power Total Gen'!$B$55:$B$561=AE$59)*('W9. Power Total Gen'!$C$55:$C$561=$A67)*('W9. Power Total Gen'!$D$54:$N$54=AE$58),'W9. Power Total Gen'!$D$55:$N$561))</f>
        <v>0</v>
      </c>
      <c r="AF67" s="34">
        <f t="array" ref="AF67">SUM(IF(('W9. Power Total Gen'!$B$55:$B$561=AF$59)*('W9. Power Total Gen'!$C$55:$C$561=$A67)*('W9. Power Total Gen'!$D$54:$N$54=AF$58),'W9. Power Total Gen'!$D$55:$N$561))</f>
        <v>0</v>
      </c>
      <c r="AG67" s="34">
        <f t="array" ref="AG67">SUM(IF(('W9. Power Total Gen'!$B$55:$B$561=AG$59)*('W9. Power Total Gen'!$C$55:$C$561=$A67)*('W9. Power Total Gen'!$D$54:$N$54=AG$58),'W9. Power Total Gen'!$D$55:$N$561))</f>
        <v>25366.249877192175</v>
      </c>
      <c r="AH67" s="34">
        <f t="array" ref="AH67">SUM(IF(('W9. Power Total Gen'!$B$55:$B$561=AH$59)*('W9. Power Total Gen'!$C$55:$C$561=$A67)*('W9. Power Total Gen'!$D$54:$N$54=AH$58),'W9. Power Total Gen'!$D$55:$N$561))</f>
        <v>25238.428055700046</v>
      </c>
      <c r="AI67" s="34">
        <f t="array" ref="AI67">SUM(IF(('W9. Power Total Gen'!$B$55:$B$561=AI$59)*('W9. Power Total Gen'!$C$55:$C$561=$A67)*('W9. Power Total Gen'!$D$54:$N$54=AI$58),'W9. Power Total Gen'!$D$55:$N$561))</f>
        <v>1021.890915549679</v>
      </c>
      <c r="AJ67" s="34">
        <f t="array" ref="AJ67">SUM(IF(('W9. Power Total Gen'!$B$55:$B$561=AJ$59)*('W9. Power Total Gen'!$C$55:$C$561=$A67)*('W9. Power Total Gen'!$D$54:$N$54=AJ$58),'W9. Power Total Gen'!$D$55:$N$561))</f>
        <v>25458.528815163925</v>
      </c>
      <c r="AK67" s="34">
        <f t="array" ref="AK67">SUM(IF(('W9. Power Total Gen'!$B$55:$B$561=AK$59)*('W9. Power Total Gen'!$C$55:$C$561=$A67)*('W9. Power Total Gen'!$D$54:$N$54=AK$58),'W9. Power Total Gen'!$D$55:$N$561))</f>
        <v>23404.626779486738</v>
      </c>
      <c r="AL67" s="34">
        <f t="array" ref="AL67">SUM(IF(('W9. Power Total Gen'!$B$55:$B$561=AL$59)*('W9. Power Total Gen'!$C$55:$C$561=$A67)*('W9. Power Total Gen'!$D$54:$N$54=AL$58),'W9. Power Total Gen'!$D$55:$N$561))</f>
        <v>25492.645001160239</v>
      </c>
      <c r="AM67" s="34">
        <f t="array" ref="AM67">SUM(IF(('W9. Power Total Gen'!$B$55:$B$561=AM$59)*('W9. Power Total Gen'!$C$55:$C$561=$A67)*('W9. Power Total Gen'!$D$54:$N$54=AM$58),'W9. Power Total Gen'!$D$55:$N$561))</f>
        <v>25600.1453939479</v>
      </c>
      <c r="AN67" s="34">
        <f t="array" ref="AN67">SUM(IF(('W9. Power Total Gen'!$B$55:$B$561=AN$59)*('W9. Power Total Gen'!$C$55:$C$561=$A67)*('W9. Power Total Gen'!$D$54:$N$54=AN$58),'W9. Power Total Gen'!$D$55:$N$561))</f>
        <v>0</v>
      </c>
      <c r="AO67" s="34">
        <f t="array" ref="AO67">SUM(IF(('W9. Power Total Gen'!$B$55:$B$561=AO$59)*('W9. Power Total Gen'!$C$55:$C$561=$A67)*('W9. Power Total Gen'!$D$54:$N$54=AO$58),'W9. Power Total Gen'!$D$55:$N$561))</f>
        <v>0</v>
      </c>
      <c r="AP67" s="34">
        <f t="array" ref="AP67">SUM(IF(('W9. Power Total Gen'!$B$55:$B$561=AP$59)*('W9. Power Total Gen'!$C$55:$C$561=$A67)*('W9. Power Total Gen'!$D$54:$N$54=AP$58),'W9. Power Total Gen'!$D$55:$N$561))</f>
        <v>32545.145563928483</v>
      </c>
      <c r="AQ67" s="34">
        <f t="array" ref="AQ67">SUM(IF(('W9. Power Total Gen'!$B$55:$B$561=AQ$59)*('W9. Power Total Gen'!$C$55:$C$561=$A67)*('W9. Power Total Gen'!$D$54:$N$54=AQ$58),'W9. Power Total Gen'!$D$55:$N$561))</f>
        <v>34159.125342258048</v>
      </c>
      <c r="AR67" s="34">
        <f t="array" ref="AR67">SUM(IF(('W9. Power Total Gen'!$B$55:$B$561=AR$59)*('W9. Power Total Gen'!$C$55:$C$561=$A67)*('W9. Power Total Gen'!$D$54:$N$54=AR$58),'W9. Power Total Gen'!$D$55:$N$561))</f>
        <v>1036.0482048381359</v>
      </c>
      <c r="AS67" s="34">
        <f t="array" ref="AS67">SUM(IF(('W9. Power Total Gen'!$B$55:$B$561=AS$59)*('W9. Power Total Gen'!$C$55:$C$561=$A67)*('W9. Power Total Gen'!$D$54:$N$54=AS$58),'W9. Power Total Gen'!$D$55:$N$561))</f>
        <v>32721.373940909154</v>
      </c>
      <c r="AT67" s="34">
        <f t="array" ref="AT67">SUM(IF(('W9. Power Total Gen'!$B$55:$B$561=AT$59)*('W9. Power Total Gen'!$C$55:$C$561=$A67)*('W9. Power Total Gen'!$D$54:$N$54=AT$58),'W9. Power Total Gen'!$D$55:$N$561))</f>
        <v>30391.556831709222</v>
      </c>
      <c r="AU67" s="34">
        <f t="array" ref="AU67">SUM(IF(('W9. Power Total Gen'!$B$55:$B$561=AU$59)*('W9. Power Total Gen'!$C$55:$C$561=$A67)*('W9. Power Total Gen'!$D$54:$N$54=AU$58),'W9. Power Total Gen'!$D$55:$N$561))</f>
        <v>32695.201151518897</v>
      </c>
      <c r="AV67" s="34">
        <f t="array" ref="AV67">SUM(IF(('W9. Power Total Gen'!$B$55:$B$561=AV$59)*('W9. Power Total Gen'!$C$55:$C$561=$A67)*('W9. Power Total Gen'!$D$54:$N$54=AV$58),'W9. Power Total Gen'!$D$55:$N$561))</f>
        <v>34398.423682521425</v>
      </c>
    </row>
    <row r="68" spans="1:48" x14ac:dyDescent="0.3">
      <c r="A68" s="3" t="s">
        <v>71</v>
      </c>
      <c r="B68" s="3" t="s">
        <v>259</v>
      </c>
      <c r="C68" s="34">
        <f t="array" ref="C68">SUM(IF(('W9. Power Total Gen'!$B$55:$B$561=C$59)*('W9. Power Total Gen'!$C$55:$C$561=$A68)*('W9. Power Total Gen'!$D$54:$N$54=C$58),'W9. Power Total Gen'!$D$55:$N$561))</f>
        <v>0</v>
      </c>
      <c r="D68" s="34">
        <f t="array" ref="D68">SUM(IF(('W9. Power Total Gen'!$B$55:$B$561=D$59)*('W9. Power Total Gen'!$C$55:$C$561=$A68)*('W9. Power Total Gen'!$D$54:$N$54=D$58),'W9. Power Total Gen'!$D$55:$N$561))</f>
        <v>0</v>
      </c>
      <c r="E68" s="34">
        <f t="array" ref="E68">SUM(IF(('W9. Power Total Gen'!$B$55:$B$561=E$59)*('W9. Power Total Gen'!$C$55:$C$561=$A68)*('W9. Power Total Gen'!$D$54:$N$54=E$58),'W9. Power Total Gen'!$D$55:$N$561))</f>
        <v>0</v>
      </c>
      <c r="F68" s="34">
        <f t="array" ref="F68">SUM(IF(('W9. Power Total Gen'!$B$55:$B$561=F$59)*('W9. Power Total Gen'!$C$55:$C$561=$A68)*('W9. Power Total Gen'!$D$54:$N$54=F$58),'W9. Power Total Gen'!$D$55:$N$561))</f>
        <v>0.52638824399517514</v>
      </c>
      <c r="G68" s="34">
        <f t="array" ref="G68">SUM(IF(('W9. Power Total Gen'!$B$55:$B$561=G$59)*('W9. Power Total Gen'!$C$55:$C$561=$A68)*('W9. Power Total Gen'!$D$54:$N$54=G$58),'W9. Power Total Gen'!$D$55:$N$561))</f>
        <v>0.52638824399517514</v>
      </c>
      <c r="H68" s="34">
        <f t="array" ref="H68">SUM(IF(('W9. Power Total Gen'!$B$55:$B$561=H$59)*('W9. Power Total Gen'!$C$55:$C$561=$A68)*('W9. Power Total Gen'!$D$54:$N$54=H$58),'W9. Power Total Gen'!$D$55:$N$561))</f>
        <v>0.52638824399517514</v>
      </c>
      <c r="I68" s="34">
        <f t="array" ref="I68">SUM(IF(('W9. Power Total Gen'!$B$55:$B$561=I$59)*('W9. Power Total Gen'!$C$55:$C$561=$A68)*('W9. Power Total Gen'!$D$54:$N$54=I$58),'W9. Power Total Gen'!$D$55:$N$561))</f>
        <v>0.52638824399517514</v>
      </c>
      <c r="J68" s="34">
        <f t="array" ref="J68">SUM(IF(('W9. Power Total Gen'!$B$55:$B$561=J$59)*('W9. Power Total Gen'!$C$55:$C$561=$A68)*('W9. Power Total Gen'!$D$54:$N$54=J$58),'W9. Power Total Gen'!$D$55:$N$561))</f>
        <v>0.52638824399517514</v>
      </c>
      <c r="K68" s="34">
        <f t="array" ref="K68">SUM(IF(('W9. Power Total Gen'!$B$55:$B$561=K$59)*('W9. Power Total Gen'!$C$55:$C$561=$A68)*('W9. Power Total Gen'!$D$54:$N$54=K$58),'W9. Power Total Gen'!$D$55:$N$561))</f>
        <v>0.52638824399517514</v>
      </c>
      <c r="L68" s="34">
        <f t="array" ref="L68">SUM(IF(('W9. Power Total Gen'!$B$55:$B$561=L$59)*('W9. Power Total Gen'!$C$55:$C$561=$A68)*('W9. Power Total Gen'!$D$54:$N$54=L$58),'W9. Power Total Gen'!$D$55:$N$561))</f>
        <v>0.52638824399517514</v>
      </c>
      <c r="M68" s="34">
        <f t="array" ref="M68">SUM(IF(('W9. Power Total Gen'!$B$55:$B$561=M$59)*('W9. Power Total Gen'!$C$55:$C$561=$A68)*('W9. Power Total Gen'!$D$54:$N$54=M$58),'W9. Power Total Gen'!$D$55:$N$561))</f>
        <v>0</v>
      </c>
      <c r="N68" s="34">
        <f t="array" ref="N68">SUM(IF(('W9. Power Total Gen'!$B$55:$B$561=N$59)*('W9. Power Total Gen'!$C$55:$C$561=$A68)*('W9. Power Total Gen'!$D$54:$N$54=N$58),'W9. Power Total Gen'!$D$55:$N$561))</f>
        <v>0</v>
      </c>
      <c r="O68" s="34">
        <f t="array" ref="O68">SUM(IF(('W9. Power Total Gen'!$B$55:$B$561=O$59)*('W9. Power Total Gen'!$C$55:$C$561=$A68)*('W9. Power Total Gen'!$D$54:$N$54=O$58),'W9. Power Total Gen'!$D$55:$N$561))</f>
        <v>0.35092549599678308</v>
      </c>
      <c r="P68" s="34">
        <f t="array" ref="P68">SUM(IF(('W9. Power Total Gen'!$B$55:$B$561=P$59)*('W9. Power Total Gen'!$C$55:$C$561=$A68)*('W9. Power Total Gen'!$D$54:$N$54=P$58),'W9. Power Total Gen'!$D$55:$N$561))</f>
        <v>0.35092549599678308</v>
      </c>
      <c r="Q68" s="34">
        <f t="array" ref="Q68">SUM(IF(('W9. Power Total Gen'!$B$55:$B$561=Q$59)*('W9. Power Total Gen'!$C$55:$C$561=$A68)*('W9. Power Total Gen'!$D$54:$N$54=Q$58),'W9. Power Total Gen'!$D$55:$N$561))</f>
        <v>0.35092549599678308</v>
      </c>
      <c r="R68" s="34">
        <f t="array" ref="R68">SUM(IF(('W9. Power Total Gen'!$B$55:$B$561=R$59)*('W9. Power Total Gen'!$C$55:$C$561=$A68)*('W9. Power Total Gen'!$D$54:$N$54=R$58),'W9. Power Total Gen'!$D$55:$N$561))</f>
        <v>0.35092549599678308</v>
      </c>
      <c r="S68" s="34">
        <f t="array" ref="S68">SUM(IF(('W9. Power Total Gen'!$B$55:$B$561=S$59)*('W9. Power Total Gen'!$C$55:$C$561=$A68)*('W9. Power Total Gen'!$D$54:$N$54=S$58),'W9. Power Total Gen'!$D$55:$N$561))</f>
        <v>0.35092549599678308</v>
      </c>
      <c r="T68" s="34">
        <f t="array" ref="T68">SUM(IF(('W9. Power Total Gen'!$B$55:$B$561=T$59)*('W9. Power Total Gen'!$C$55:$C$561=$A68)*('W9. Power Total Gen'!$D$54:$N$54=T$58),'W9. Power Total Gen'!$D$55:$N$561))</f>
        <v>0.35092549599678308</v>
      </c>
      <c r="U68" s="34">
        <f t="array" ref="U68">SUM(IF(('W9. Power Total Gen'!$B$55:$B$561=U$59)*('W9. Power Total Gen'!$C$55:$C$561=$A68)*('W9. Power Total Gen'!$D$54:$N$54=U$58),'W9. Power Total Gen'!$D$55:$N$561))</f>
        <v>0.35092549599678308</v>
      </c>
      <c r="V68" s="34">
        <f t="array" ref="V68">SUM(IF(('W9. Power Total Gen'!$B$55:$B$561=V$59)*('W9. Power Total Gen'!$C$55:$C$561=$A68)*('W9. Power Total Gen'!$D$54:$N$54=V$58),'W9. Power Total Gen'!$D$55:$N$561))</f>
        <v>0</v>
      </c>
      <c r="W68" s="34">
        <f t="array" ref="W68">SUM(IF(('W9. Power Total Gen'!$B$55:$B$561=W$59)*('W9. Power Total Gen'!$C$55:$C$561=$A68)*('W9. Power Total Gen'!$D$54:$N$54=W$58),'W9. Power Total Gen'!$D$55:$N$561))</f>
        <v>0</v>
      </c>
      <c r="X68" s="34">
        <f t="array" ref="X68">SUM(IF(('W9. Power Total Gen'!$B$55:$B$561=X$59)*('W9. Power Total Gen'!$C$55:$C$561=$A68)*('W9. Power Total Gen'!$D$54:$N$54=X$58),'W9. Power Total Gen'!$D$55:$N$561))</f>
        <v>0.17546274799839173</v>
      </c>
      <c r="Y68" s="34">
        <f t="array" ref="Y68">SUM(IF(('W9. Power Total Gen'!$B$55:$B$561=Y$59)*('W9. Power Total Gen'!$C$55:$C$561=$A68)*('W9. Power Total Gen'!$D$54:$N$54=Y$58),'W9. Power Total Gen'!$D$55:$N$561))</f>
        <v>0.17546274799839173</v>
      </c>
      <c r="Z68" s="34">
        <f t="array" ref="Z68">SUM(IF(('W9. Power Total Gen'!$B$55:$B$561=Z$59)*('W9. Power Total Gen'!$C$55:$C$561=$A68)*('W9. Power Total Gen'!$D$54:$N$54=Z$58),'W9. Power Total Gen'!$D$55:$N$561))</f>
        <v>0.17546274799839209</v>
      </c>
      <c r="AA68" s="34">
        <f t="array" ref="AA68">SUM(IF(('W9. Power Total Gen'!$B$55:$B$561=AA$59)*('W9. Power Total Gen'!$C$55:$C$561=$A68)*('W9. Power Total Gen'!$D$54:$N$54=AA$58),'W9. Power Total Gen'!$D$55:$N$561))</f>
        <v>0.17546274799839173</v>
      </c>
      <c r="AB68" s="34">
        <f t="array" ref="AB68">SUM(IF(('W9. Power Total Gen'!$B$55:$B$561=AB$59)*('W9. Power Total Gen'!$C$55:$C$561=$A68)*('W9. Power Total Gen'!$D$54:$N$54=AB$58),'W9. Power Total Gen'!$D$55:$N$561))</f>
        <v>0.17546274799839173</v>
      </c>
      <c r="AC68" s="34">
        <f t="array" ref="AC68">SUM(IF(('W9. Power Total Gen'!$B$55:$B$561=AC$59)*('W9. Power Total Gen'!$C$55:$C$561=$A68)*('W9. Power Total Gen'!$D$54:$N$54=AC$58),'W9. Power Total Gen'!$D$55:$N$561))</f>
        <v>0.17546274799839173</v>
      </c>
      <c r="AD68" s="34">
        <f t="array" ref="AD68">SUM(IF(('W9. Power Total Gen'!$B$55:$B$561=AD$59)*('W9. Power Total Gen'!$C$55:$C$561=$A68)*('W9. Power Total Gen'!$D$54:$N$54=AD$58),'W9. Power Total Gen'!$D$55:$N$561))</f>
        <v>0.17546274799839173</v>
      </c>
      <c r="AE68" s="34">
        <f t="array" ref="AE68">SUM(IF(('W9. Power Total Gen'!$B$55:$B$561=AE$59)*('W9. Power Total Gen'!$C$55:$C$561=$A68)*('W9. Power Total Gen'!$D$54:$N$54=AE$58),'W9. Power Total Gen'!$D$55:$N$561))</f>
        <v>0</v>
      </c>
      <c r="AF68" s="34">
        <f t="array" ref="AF68">SUM(IF(('W9. Power Total Gen'!$B$55:$B$561=AF$59)*('W9. Power Total Gen'!$C$55:$C$561=$A68)*('W9. Power Total Gen'!$D$54:$N$54=AF$58),'W9. Power Total Gen'!$D$55:$N$561))</f>
        <v>0</v>
      </c>
      <c r="AG68" s="34">
        <f t="array" ref="AG68">SUM(IF(('W9. Power Total Gen'!$B$55:$B$561=AG$59)*('W9. Power Total Gen'!$C$55:$C$561=$A68)*('W9. Power Total Gen'!$D$54:$N$54=AG$58),'W9. Power Total Gen'!$D$55:$N$561))</f>
        <v>0</v>
      </c>
      <c r="AH68" s="34">
        <f t="array" ref="AH68">SUM(IF(('W9. Power Total Gen'!$B$55:$B$561=AH$59)*('W9. Power Total Gen'!$C$55:$C$561=$A68)*('W9. Power Total Gen'!$D$54:$N$54=AH$58),'W9. Power Total Gen'!$D$55:$N$561))</f>
        <v>0</v>
      </c>
      <c r="AI68" s="34">
        <f t="array" ref="AI68">SUM(IF(('W9. Power Total Gen'!$B$55:$B$561=AI$59)*('W9. Power Total Gen'!$C$55:$C$561=$A68)*('W9. Power Total Gen'!$D$54:$N$54=AI$58),'W9. Power Total Gen'!$D$55:$N$561))</f>
        <v>0</v>
      </c>
      <c r="AJ68" s="34">
        <f t="array" ref="AJ68">SUM(IF(('W9. Power Total Gen'!$B$55:$B$561=AJ$59)*('W9. Power Total Gen'!$C$55:$C$561=$A68)*('W9. Power Total Gen'!$D$54:$N$54=AJ$58),'W9. Power Total Gen'!$D$55:$N$561))</f>
        <v>0</v>
      </c>
      <c r="AK68" s="34">
        <f t="array" ref="AK68">SUM(IF(('W9. Power Total Gen'!$B$55:$B$561=AK$59)*('W9. Power Total Gen'!$C$55:$C$561=$A68)*('W9. Power Total Gen'!$D$54:$N$54=AK$58),'W9. Power Total Gen'!$D$55:$N$561))</f>
        <v>0</v>
      </c>
      <c r="AL68" s="34">
        <f t="array" ref="AL68">SUM(IF(('W9. Power Total Gen'!$B$55:$B$561=AL$59)*('W9. Power Total Gen'!$C$55:$C$561=$A68)*('W9. Power Total Gen'!$D$54:$N$54=AL$58),'W9. Power Total Gen'!$D$55:$N$561))</f>
        <v>0</v>
      </c>
      <c r="AM68" s="34">
        <f t="array" ref="AM68">SUM(IF(('W9. Power Total Gen'!$B$55:$B$561=AM$59)*('W9. Power Total Gen'!$C$55:$C$561=$A68)*('W9. Power Total Gen'!$D$54:$N$54=AM$58),'W9. Power Total Gen'!$D$55:$N$561))</f>
        <v>0</v>
      </c>
      <c r="AN68" s="34">
        <f t="array" ref="AN68">SUM(IF(('W9. Power Total Gen'!$B$55:$B$561=AN$59)*('W9. Power Total Gen'!$C$55:$C$561=$A68)*('W9. Power Total Gen'!$D$54:$N$54=AN$58),'W9. Power Total Gen'!$D$55:$N$561))</f>
        <v>0</v>
      </c>
      <c r="AO68" s="34">
        <f t="array" ref="AO68">SUM(IF(('W9. Power Total Gen'!$B$55:$B$561=AO$59)*('W9. Power Total Gen'!$C$55:$C$561=$A68)*('W9. Power Total Gen'!$D$54:$N$54=AO$58),'W9. Power Total Gen'!$D$55:$N$561))</f>
        <v>0</v>
      </c>
      <c r="AP68" s="34">
        <f t="array" ref="AP68">SUM(IF(('W9. Power Total Gen'!$B$55:$B$561=AP$59)*('W9. Power Total Gen'!$C$55:$C$561=$A68)*('W9. Power Total Gen'!$D$54:$N$54=AP$58),'W9. Power Total Gen'!$D$55:$N$561))</f>
        <v>0</v>
      </c>
      <c r="AQ68" s="34">
        <f t="array" ref="AQ68">SUM(IF(('W9. Power Total Gen'!$B$55:$B$561=AQ$59)*('W9. Power Total Gen'!$C$55:$C$561=$A68)*('W9. Power Total Gen'!$D$54:$N$54=AQ$58),'W9. Power Total Gen'!$D$55:$N$561))</f>
        <v>0</v>
      </c>
      <c r="AR68" s="34">
        <f t="array" ref="AR68">SUM(IF(('W9. Power Total Gen'!$B$55:$B$561=AR$59)*('W9. Power Total Gen'!$C$55:$C$561=$A68)*('W9. Power Total Gen'!$D$54:$N$54=AR$58),'W9. Power Total Gen'!$D$55:$N$561))</f>
        <v>0</v>
      </c>
      <c r="AS68" s="34">
        <f t="array" ref="AS68">SUM(IF(('W9. Power Total Gen'!$B$55:$B$561=AS$59)*('W9. Power Total Gen'!$C$55:$C$561=$A68)*('W9. Power Total Gen'!$D$54:$N$54=AS$58),'W9. Power Total Gen'!$D$55:$N$561))</f>
        <v>0</v>
      </c>
      <c r="AT68" s="34">
        <f t="array" ref="AT68">SUM(IF(('W9. Power Total Gen'!$B$55:$B$561=AT$59)*('W9. Power Total Gen'!$C$55:$C$561=$A68)*('W9. Power Total Gen'!$D$54:$N$54=AT$58),'W9. Power Total Gen'!$D$55:$N$561))</f>
        <v>0</v>
      </c>
      <c r="AU68" s="34">
        <f t="array" ref="AU68">SUM(IF(('W9. Power Total Gen'!$B$55:$B$561=AU$59)*('W9. Power Total Gen'!$C$55:$C$561=$A68)*('W9. Power Total Gen'!$D$54:$N$54=AU$58),'W9. Power Total Gen'!$D$55:$N$561))</f>
        <v>0</v>
      </c>
      <c r="AV68" s="34">
        <f t="array" ref="AV68">SUM(IF(('W9. Power Total Gen'!$B$55:$B$561=AV$59)*('W9. Power Total Gen'!$C$55:$C$561=$A68)*('W9. Power Total Gen'!$D$54:$N$54=AV$58),'W9. Power Total Gen'!$D$55:$N$561))</f>
        <v>0</v>
      </c>
    </row>
    <row r="69" spans="1:48" x14ac:dyDescent="0.3">
      <c r="A69" s="3" t="s">
        <v>75</v>
      </c>
      <c r="B69" s="3" t="s">
        <v>258</v>
      </c>
      <c r="C69" s="34">
        <f t="array" ref="C69">SUM(IF(('W9. Power Total Gen'!$B$55:$B$561=C$59)*('W9. Power Total Gen'!$C$55:$C$561=$A69)*('W9. Power Total Gen'!$D$54:$N$54=C$58),'W9. Power Total Gen'!$D$55:$N$561))</f>
        <v>0</v>
      </c>
      <c r="D69" s="34">
        <f t="array" ref="D69">SUM(IF(('W9. Power Total Gen'!$B$55:$B$561=D$59)*('W9. Power Total Gen'!$C$55:$C$561=$A69)*('W9. Power Total Gen'!$D$54:$N$54=D$58),'W9. Power Total Gen'!$D$55:$N$561))</f>
        <v>0</v>
      </c>
      <c r="E69" s="34">
        <f t="array" ref="E69">SUM(IF(('W9. Power Total Gen'!$B$55:$B$561=E$59)*('W9. Power Total Gen'!$C$55:$C$561=$A69)*('W9. Power Total Gen'!$D$54:$N$54=E$58),'W9. Power Total Gen'!$D$55:$N$561))</f>
        <v>0</v>
      </c>
      <c r="F69" s="34">
        <f t="array" ref="F69">SUM(IF(('W9. Power Total Gen'!$B$55:$B$561=F$59)*('W9. Power Total Gen'!$C$55:$C$561=$A69)*('W9. Power Total Gen'!$D$54:$N$54=F$58),'W9. Power Total Gen'!$D$55:$N$561))</f>
        <v>1.5022495547807513</v>
      </c>
      <c r="G69" s="34">
        <f t="array" ref="G69">SUM(IF(('W9. Power Total Gen'!$B$55:$B$561=G$59)*('W9. Power Total Gen'!$C$55:$C$561=$A69)*('W9. Power Total Gen'!$D$54:$N$54=G$58),'W9. Power Total Gen'!$D$55:$N$561))</f>
        <v>1.5022495547807513</v>
      </c>
      <c r="H69" s="34">
        <f t="array" ref="H69">SUM(IF(('W9. Power Total Gen'!$B$55:$B$561=H$59)*('W9. Power Total Gen'!$C$55:$C$561=$A69)*('W9. Power Total Gen'!$D$54:$N$54=H$58),'W9. Power Total Gen'!$D$55:$N$561))</f>
        <v>1.5022495547807513</v>
      </c>
      <c r="I69" s="34">
        <f t="array" ref="I69">SUM(IF(('W9. Power Total Gen'!$B$55:$B$561=I$59)*('W9. Power Total Gen'!$C$55:$C$561=$A69)*('W9. Power Total Gen'!$D$54:$N$54=I$58),'W9. Power Total Gen'!$D$55:$N$561))</f>
        <v>1.5022495547807513</v>
      </c>
      <c r="J69" s="34">
        <f t="array" ref="J69">SUM(IF(('W9. Power Total Gen'!$B$55:$B$561=J$59)*('W9. Power Total Gen'!$C$55:$C$561=$A69)*('W9. Power Total Gen'!$D$54:$N$54=J$58),'W9. Power Total Gen'!$D$55:$N$561))</f>
        <v>1.5022495547807513</v>
      </c>
      <c r="K69" s="34">
        <f t="array" ref="K69">SUM(IF(('W9. Power Total Gen'!$B$55:$B$561=K$59)*('W9. Power Total Gen'!$C$55:$C$561=$A69)*('W9. Power Total Gen'!$D$54:$N$54=K$58),'W9. Power Total Gen'!$D$55:$N$561))</f>
        <v>1.5022495547807513</v>
      </c>
      <c r="L69" s="34">
        <f t="array" ref="L69">SUM(IF(('W9. Power Total Gen'!$B$55:$B$561=L$59)*('W9. Power Total Gen'!$C$55:$C$561=$A69)*('W9. Power Total Gen'!$D$54:$N$54=L$58),'W9. Power Total Gen'!$D$55:$N$561))</f>
        <v>1.5022495547807513</v>
      </c>
      <c r="M69" s="34">
        <f t="array" ref="M69">SUM(IF(('W9. Power Total Gen'!$B$55:$B$561=M$59)*('W9. Power Total Gen'!$C$55:$C$561=$A69)*('W9. Power Total Gen'!$D$54:$N$54=M$58),'W9. Power Total Gen'!$D$55:$N$561))</f>
        <v>0</v>
      </c>
      <c r="N69" s="34">
        <f t="array" ref="N69">SUM(IF(('W9. Power Total Gen'!$B$55:$B$561=N$59)*('W9. Power Total Gen'!$C$55:$C$561=$A69)*('W9. Power Total Gen'!$D$54:$N$54=N$58),'W9. Power Total Gen'!$D$55:$N$561))</f>
        <v>0</v>
      </c>
      <c r="O69" s="34">
        <f t="array" ref="O69">SUM(IF(('W9. Power Total Gen'!$B$55:$B$561=O$59)*('W9. Power Total Gen'!$C$55:$C$561=$A69)*('W9. Power Total Gen'!$D$54:$N$54=O$58),'W9. Power Total Gen'!$D$55:$N$561))</f>
        <v>1.0014997031871673</v>
      </c>
      <c r="P69" s="34">
        <f t="array" ref="P69">SUM(IF(('W9. Power Total Gen'!$B$55:$B$561=P$59)*('W9. Power Total Gen'!$C$55:$C$561=$A69)*('W9. Power Total Gen'!$D$54:$N$54=P$58),'W9. Power Total Gen'!$D$55:$N$561))</f>
        <v>1.0014997031871682</v>
      </c>
      <c r="Q69" s="34">
        <f t="array" ref="Q69">SUM(IF(('W9. Power Total Gen'!$B$55:$B$561=Q$59)*('W9. Power Total Gen'!$C$55:$C$561=$A69)*('W9. Power Total Gen'!$D$54:$N$54=Q$58),'W9. Power Total Gen'!$D$55:$N$561))</f>
        <v>1.0014997031871682</v>
      </c>
      <c r="R69" s="34">
        <f t="array" ref="R69">SUM(IF(('W9. Power Total Gen'!$B$55:$B$561=R$59)*('W9. Power Total Gen'!$C$55:$C$561=$A69)*('W9. Power Total Gen'!$D$54:$N$54=R$58),'W9. Power Total Gen'!$D$55:$N$561))</f>
        <v>1.0014997031871682</v>
      </c>
      <c r="S69" s="34">
        <f t="array" ref="S69">SUM(IF(('W9. Power Total Gen'!$B$55:$B$561=S$59)*('W9. Power Total Gen'!$C$55:$C$561=$A69)*('W9. Power Total Gen'!$D$54:$N$54=S$58),'W9. Power Total Gen'!$D$55:$N$561))</f>
        <v>1.0014997031871682</v>
      </c>
      <c r="T69" s="34">
        <f t="array" ref="T69">SUM(IF(('W9. Power Total Gen'!$B$55:$B$561=T$59)*('W9. Power Total Gen'!$C$55:$C$561=$A69)*('W9. Power Total Gen'!$D$54:$N$54=T$58),'W9. Power Total Gen'!$D$55:$N$561))</f>
        <v>1.0014997031871682</v>
      </c>
      <c r="U69" s="34">
        <f t="array" ref="U69">SUM(IF(('W9. Power Total Gen'!$B$55:$B$561=U$59)*('W9. Power Total Gen'!$C$55:$C$561=$A69)*('W9. Power Total Gen'!$D$54:$N$54=U$58),'W9. Power Total Gen'!$D$55:$N$561))</f>
        <v>1.0014997031871682</v>
      </c>
      <c r="V69" s="34">
        <f t="array" ref="V69">SUM(IF(('W9. Power Total Gen'!$B$55:$B$561=V$59)*('W9. Power Total Gen'!$C$55:$C$561=$A69)*('W9. Power Total Gen'!$D$54:$N$54=V$58),'W9. Power Total Gen'!$D$55:$N$561))</f>
        <v>0</v>
      </c>
      <c r="W69" s="34">
        <f t="array" ref="W69">SUM(IF(('W9. Power Total Gen'!$B$55:$B$561=W$59)*('W9. Power Total Gen'!$C$55:$C$561=$A69)*('W9. Power Total Gen'!$D$54:$N$54=W$58),'W9. Power Total Gen'!$D$55:$N$561))</f>
        <v>0</v>
      </c>
      <c r="X69" s="34">
        <f t="array" ref="X69">SUM(IF(('W9. Power Total Gen'!$B$55:$B$561=X$59)*('W9. Power Total Gen'!$C$55:$C$561=$A69)*('W9. Power Total Gen'!$D$54:$N$54=X$58),'W9. Power Total Gen'!$D$55:$N$561))</f>
        <v>0.50074985159358421</v>
      </c>
      <c r="Y69" s="34">
        <f t="array" ref="Y69">SUM(IF(('W9. Power Total Gen'!$B$55:$B$561=Y$59)*('W9. Power Total Gen'!$C$55:$C$561=$A69)*('W9. Power Total Gen'!$D$54:$N$54=Y$58),'W9. Power Total Gen'!$D$55:$N$561))</f>
        <v>0.50074985159358421</v>
      </c>
      <c r="Z69" s="34">
        <f t="array" ref="Z69">SUM(IF(('W9. Power Total Gen'!$B$55:$B$561=Z$59)*('W9. Power Total Gen'!$C$55:$C$561=$A69)*('W9. Power Total Gen'!$D$54:$N$54=Z$58),'W9. Power Total Gen'!$D$55:$N$561))</f>
        <v>0.50074985159358421</v>
      </c>
      <c r="AA69" s="34">
        <f t="array" ref="AA69">SUM(IF(('W9. Power Total Gen'!$B$55:$B$561=AA$59)*('W9. Power Total Gen'!$C$55:$C$561=$A69)*('W9. Power Total Gen'!$D$54:$N$54=AA$58),'W9. Power Total Gen'!$D$55:$N$561))</f>
        <v>0.50074985159358421</v>
      </c>
      <c r="AB69" s="34">
        <f t="array" ref="AB69">SUM(IF(('W9. Power Total Gen'!$B$55:$B$561=AB$59)*('W9. Power Total Gen'!$C$55:$C$561=$A69)*('W9. Power Total Gen'!$D$54:$N$54=AB$58),'W9. Power Total Gen'!$D$55:$N$561))</f>
        <v>0.50074985159358409</v>
      </c>
      <c r="AC69" s="34">
        <f t="array" ref="AC69">SUM(IF(('W9. Power Total Gen'!$B$55:$B$561=AC$59)*('W9. Power Total Gen'!$C$55:$C$561=$A69)*('W9. Power Total Gen'!$D$54:$N$54=AC$58),'W9. Power Total Gen'!$D$55:$N$561))</f>
        <v>0.50074985159358421</v>
      </c>
      <c r="AD69" s="34">
        <f t="array" ref="AD69">SUM(IF(('W9. Power Total Gen'!$B$55:$B$561=AD$59)*('W9. Power Total Gen'!$C$55:$C$561=$A69)*('W9. Power Total Gen'!$D$54:$N$54=AD$58),'W9. Power Total Gen'!$D$55:$N$561))</f>
        <v>0.50074985159358421</v>
      </c>
      <c r="AE69" s="34">
        <f t="array" ref="AE69">SUM(IF(('W9. Power Total Gen'!$B$55:$B$561=AE$59)*('W9. Power Total Gen'!$C$55:$C$561=$A69)*('W9. Power Total Gen'!$D$54:$N$54=AE$58),'W9. Power Total Gen'!$D$55:$N$561))</f>
        <v>0</v>
      </c>
      <c r="AF69" s="34">
        <f t="array" ref="AF69">SUM(IF(('W9. Power Total Gen'!$B$55:$B$561=AF$59)*('W9. Power Total Gen'!$C$55:$C$561=$A69)*('W9. Power Total Gen'!$D$54:$N$54=AF$58),'W9. Power Total Gen'!$D$55:$N$561))</f>
        <v>0</v>
      </c>
      <c r="AG69" s="34">
        <f t="array" ref="AG69">SUM(IF(('W9. Power Total Gen'!$B$55:$B$561=AG$59)*('W9. Power Total Gen'!$C$55:$C$561=$A69)*('W9. Power Total Gen'!$D$54:$N$54=AG$58),'W9. Power Total Gen'!$D$55:$N$561))</f>
        <v>0</v>
      </c>
      <c r="AH69" s="34">
        <f t="array" ref="AH69">SUM(IF(('W9. Power Total Gen'!$B$55:$B$561=AH$59)*('W9. Power Total Gen'!$C$55:$C$561=$A69)*('W9. Power Total Gen'!$D$54:$N$54=AH$58),'W9. Power Total Gen'!$D$55:$N$561))</f>
        <v>0</v>
      </c>
      <c r="AI69" s="34">
        <f t="array" ref="AI69">SUM(IF(('W9. Power Total Gen'!$B$55:$B$561=AI$59)*('W9. Power Total Gen'!$C$55:$C$561=$A69)*('W9. Power Total Gen'!$D$54:$N$54=AI$58),'W9. Power Total Gen'!$D$55:$N$561))</f>
        <v>0</v>
      </c>
      <c r="AJ69" s="34">
        <f t="array" ref="AJ69">SUM(IF(('W9. Power Total Gen'!$B$55:$B$561=AJ$59)*('W9. Power Total Gen'!$C$55:$C$561=$A69)*('W9. Power Total Gen'!$D$54:$N$54=AJ$58),'W9. Power Total Gen'!$D$55:$N$561))</f>
        <v>0</v>
      </c>
      <c r="AK69" s="34">
        <f t="array" ref="AK69">SUM(IF(('W9. Power Total Gen'!$B$55:$B$561=AK$59)*('W9. Power Total Gen'!$C$55:$C$561=$A69)*('W9. Power Total Gen'!$D$54:$N$54=AK$58),'W9. Power Total Gen'!$D$55:$N$561))</f>
        <v>0</v>
      </c>
      <c r="AL69" s="34">
        <f t="array" ref="AL69">SUM(IF(('W9. Power Total Gen'!$B$55:$B$561=AL$59)*('W9. Power Total Gen'!$C$55:$C$561=$A69)*('W9. Power Total Gen'!$D$54:$N$54=AL$58),'W9. Power Total Gen'!$D$55:$N$561))</f>
        <v>0</v>
      </c>
      <c r="AM69" s="34">
        <f t="array" ref="AM69">SUM(IF(('W9. Power Total Gen'!$B$55:$B$561=AM$59)*('W9. Power Total Gen'!$C$55:$C$561=$A69)*('W9. Power Total Gen'!$D$54:$N$54=AM$58),'W9. Power Total Gen'!$D$55:$N$561))</f>
        <v>0</v>
      </c>
      <c r="AN69" s="34">
        <f t="array" ref="AN69">SUM(IF(('W9. Power Total Gen'!$B$55:$B$561=AN$59)*('W9. Power Total Gen'!$C$55:$C$561=$A69)*('W9. Power Total Gen'!$D$54:$N$54=AN$58),'W9. Power Total Gen'!$D$55:$N$561))</f>
        <v>0</v>
      </c>
      <c r="AO69" s="34">
        <f t="array" ref="AO69">SUM(IF(('W9. Power Total Gen'!$B$55:$B$561=AO$59)*('W9. Power Total Gen'!$C$55:$C$561=$A69)*('W9. Power Total Gen'!$D$54:$N$54=AO$58),'W9. Power Total Gen'!$D$55:$N$561))</f>
        <v>0</v>
      </c>
      <c r="AP69" s="34">
        <f t="array" ref="AP69">SUM(IF(('W9. Power Total Gen'!$B$55:$B$561=AP$59)*('W9. Power Total Gen'!$C$55:$C$561=$A69)*('W9. Power Total Gen'!$D$54:$N$54=AP$58),'W9. Power Total Gen'!$D$55:$N$561))</f>
        <v>0</v>
      </c>
      <c r="AQ69" s="34">
        <f t="array" ref="AQ69">SUM(IF(('W9. Power Total Gen'!$B$55:$B$561=AQ$59)*('W9. Power Total Gen'!$C$55:$C$561=$A69)*('W9. Power Total Gen'!$D$54:$N$54=AQ$58),'W9. Power Total Gen'!$D$55:$N$561))</f>
        <v>0</v>
      </c>
      <c r="AR69" s="34">
        <f t="array" ref="AR69">SUM(IF(('W9. Power Total Gen'!$B$55:$B$561=AR$59)*('W9. Power Total Gen'!$C$55:$C$561=$A69)*('W9. Power Total Gen'!$D$54:$N$54=AR$58),'W9. Power Total Gen'!$D$55:$N$561))</f>
        <v>0</v>
      </c>
      <c r="AS69" s="34">
        <f t="array" ref="AS69">SUM(IF(('W9. Power Total Gen'!$B$55:$B$561=AS$59)*('W9. Power Total Gen'!$C$55:$C$561=$A69)*('W9. Power Total Gen'!$D$54:$N$54=AS$58),'W9. Power Total Gen'!$D$55:$N$561))</f>
        <v>0</v>
      </c>
      <c r="AT69" s="34">
        <f t="array" ref="AT69">SUM(IF(('W9. Power Total Gen'!$B$55:$B$561=AT$59)*('W9. Power Total Gen'!$C$55:$C$561=$A69)*('W9. Power Total Gen'!$D$54:$N$54=AT$58),'W9. Power Total Gen'!$D$55:$N$561))</f>
        <v>0</v>
      </c>
      <c r="AU69" s="34">
        <f t="array" ref="AU69">SUM(IF(('W9. Power Total Gen'!$B$55:$B$561=AU$59)*('W9. Power Total Gen'!$C$55:$C$561=$A69)*('W9. Power Total Gen'!$D$54:$N$54=AU$58),'W9. Power Total Gen'!$D$55:$N$561))</f>
        <v>0</v>
      </c>
      <c r="AV69" s="34">
        <f t="array" ref="AV69">SUM(IF(('W9. Power Total Gen'!$B$55:$B$561=AV$59)*('W9. Power Total Gen'!$C$55:$C$561=$A69)*('W9. Power Total Gen'!$D$54:$N$54=AV$58),'W9. Power Total Gen'!$D$55:$N$561))</f>
        <v>0</v>
      </c>
    </row>
    <row r="70" spans="1:48" x14ac:dyDescent="0.3">
      <c r="A70" s="3" t="s">
        <v>72</v>
      </c>
      <c r="B70" s="3" t="s">
        <v>260</v>
      </c>
      <c r="C70" s="34">
        <f t="array" ref="C70">SUM(IF(('W9. Power Total Gen'!$B$55:$B$561=C$59)*('W9. Power Total Gen'!$C$55:$C$561=$A70)*('W9. Power Total Gen'!$D$54:$N$54=C$58),'W9. Power Total Gen'!$D$55:$N$561))</f>
        <v>0</v>
      </c>
      <c r="D70" s="34">
        <f t="array" ref="D70">SUM(IF(('W9. Power Total Gen'!$B$55:$B$561=D$59)*('W9. Power Total Gen'!$C$55:$C$561=$A70)*('W9. Power Total Gen'!$D$54:$N$54=D$58),'W9. Power Total Gen'!$D$55:$N$561))</f>
        <v>0</v>
      </c>
      <c r="E70" s="34">
        <f t="array" ref="E70">SUM(IF(('W9. Power Total Gen'!$B$55:$B$561=E$59)*('W9. Power Total Gen'!$C$55:$C$561=$A70)*('W9. Power Total Gen'!$D$54:$N$54=E$58),'W9. Power Total Gen'!$D$55:$N$561))</f>
        <v>0</v>
      </c>
      <c r="F70" s="34">
        <f t="array" ref="F70">SUM(IF(('W9. Power Total Gen'!$B$55:$B$561=F$59)*('W9. Power Total Gen'!$C$55:$C$561=$A70)*('W9. Power Total Gen'!$D$54:$N$54=F$58),'W9. Power Total Gen'!$D$55:$N$561))</f>
        <v>2685.5545190640855</v>
      </c>
      <c r="G70" s="34">
        <f t="array" ref="G70">SUM(IF(('W9. Power Total Gen'!$B$55:$B$561=G$59)*('W9. Power Total Gen'!$C$55:$C$561=$A70)*('W9. Power Total Gen'!$D$54:$N$54=G$58),'W9. Power Total Gen'!$D$55:$N$561))</f>
        <v>2685.5545190640855</v>
      </c>
      <c r="H70" s="34">
        <f t="array" ref="H70">SUM(IF(('W9. Power Total Gen'!$B$55:$B$561=H$59)*('W9. Power Total Gen'!$C$55:$C$561=$A70)*('W9. Power Total Gen'!$D$54:$N$54=H$58),'W9. Power Total Gen'!$D$55:$N$561))</f>
        <v>2685.5545190640855</v>
      </c>
      <c r="I70" s="34">
        <f t="array" ref="I70">SUM(IF(('W9. Power Total Gen'!$B$55:$B$561=I$59)*('W9. Power Total Gen'!$C$55:$C$561=$A70)*('W9. Power Total Gen'!$D$54:$N$54=I$58),'W9. Power Total Gen'!$D$55:$N$561))</f>
        <v>2685.5545190640855</v>
      </c>
      <c r="J70" s="34">
        <f t="array" ref="J70">SUM(IF(('W9. Power Total Gen'!$B$55:$B$561=J$59)*('W9. Power Total Gen'!$C$55:$C$561=$A70)*('W9. Power Total Gen'!$D$54:$N$54=J$58),'W9. Power Total Gen'!$D$55:$N$561))</f>
        <v>2685.5545190640855</v>
      </c>
      <c r="K70" s="34">
        <f t="array" ref="K70">SUM(IF(('W9. Power Total Gen'!$B$55:$B$561=K$59)*('W9. Power Total Gen'!$C$55:$C$561=$A70)*('W9. Power Total Gen'!$D$54:$N$54=K$58),'W9. Power Total Gen'!$D$55:$N$561))</f>
        <v>2685.5545190640855</v>
      </c>
      <c r="L70" s="34">
        <f t="array" ref="L70">SUM(IF(('W9. Power Total Gen'!$B$55:$B$561=L$59)*('W9. Power Total Gen'!$C$55:$C$561=$A70)*('W9. Power Total Gen'!$D$54:$N$54=L$58),'W9. Power Total Gen'!$D$55:$N$561))</f>
        <v>2685.5545190640855</v>
      </c>
      <c r="M70" s="34">
        <f t="array" ref="M70">SUM(IF(('W9. Power Total Gen'!$B$55:$B$561=M$59)*('W9. Power Total Gen'!$C$55:$C$561=$A70)*('W9. Power Total Gen'!$D$54:$N$54=M$58),'W9. Power Total Gen'!$D$55:$N$561))</f>
        <v>0</v>
      </c>
      <c r="N70" s="34">
        <f t="array" ref="N70">SUM(IF(('W9. Power Total Gen'!$B$55:$B$561=N$59)*('W9. Power Total Gen'!$C$55:$C$561=$A70)*('W9. Power Total Gen'!$D$54:$N$54=N$58),'W9. Power Total Gen'!$D$55:$N$561))</f>
        <v>0</v>
      </c>
      <c r="O70" s="34">
        <f t="array" ref="O70">SUM(IF(('W9. Power Total Gen'!$B$55:$B$561=O$59)*('W9. Power Total Gen'!$C$55:$C$561=$A70)*('W9. Power Total Gen'!$D$54:$N$54=O$58),'W9. Power Total Gen'!$D$55:$N$561))</f>
        <v>11687.103641782611</v>
      </c>
      <c r="P70" s="34">
        <f t="array" ref="P70">SUM(IF(('W9. Power Total Gen'!$B$55:$B$561=P$59)*('W9. Power Total Gen'!$C$55:$C$561=$A70)*('W9. Power Total Gen'!$D$54:$N$54=P$58),'W9. Power Total Gen'!$D$55:$N$561))</f>
        <v>10882.32058635127</v>
      </c>
      <c r="Q70" s="34">
        <f t="array" ref="Q70">SUM(IF(('W9. Power Total Gen'!$B$55:$B$561=Q$59)*('W9. Power Total Gen'!$C$55:$C$561=$A70)*('W9. Power Total Gen'!$D$54:$N$54=Q$58),'W9. Power Total Gen'!$D$55:$N$561))</f>
        <v>10264.392361480594</v>
      </c>
      <c r="R70" s="34">
        <f t="array" ref="R70">SUM(IF(('W9. Power Total Gen'!$B$55:$B$561=R$59)*('W9. Power Total Gen'!$C$55:$C$561=$A70)*('W9. Power Total Gen'!$D$54:$N$54=R$58),'W9. Power Total Gen'!$D$55:$N$561))</f>
        <v>10767.047639583727</v>
      </c>
      <c r="S70" s="34">
        <f t="array" ref="S70">SUM(IF(('W9. Power Total Gen'!$B$55:$B$561=S$59)*('W9. Power Total Gen'!$C$55:$C$561=$A70)*('W9. Power Total Gen'!$D$54:$N$54=S$58),'W9. Power Total Gen'!$D$55:$N$561))</f>
        <v>10879.182730469352</v>
      </c>
      <c r="T70" s="34">
        <f t="array" ref="T70">SUM(IF(('W9. Power Total Gen'!$B$55:$B$561=T$59)*('W9. Power Total Gen'!$C$55:$C$561=$A70)*('W9. Power Total Gen'!$D$54:$N$54=T$58),'W9. Power Total Gen'!$D$55:$N$561))</f>
        <v>11805.080446473738</v>
      </c>
      <c r="U70" s="34">
        <f t="array" ref="U70">SUM(IF(('W9. Power Total Gen'!$B$55:$B$561=U$59)*('W9. Power Total Gen'!$C$55:$C$561=$A70)*('W9. Power Total Gen'!$D$54:$N$54=U$58),'W9. Power Total Gen'!$D$55:$N$561))</f>
        <v>12230.817081009372</v>
      </c>
      <c r="V70" s="34">
        <f t="array" ref="V70">SUM(IF(('W9. Power Total Gen'!$B$55:$B$561=V$59)*('W9. Power Total Gen'!$C$55:$C$561=$A70)*('W9. Power Total Gen'!$D$54:$N$54=V$58),'W9. Power Total Gen'!$D$55:$N$561))</f>
        <v>0</v>
      </c>
      <c r="W70" s="34">
        <f t="array" ref="W70">SUM(IF(('W9. Power Total Gen'!$B$55:$B$561=W$59)*('W9. Power Total Gen'!$C$55:$C$561=$A70)*('W9. Power Total Gen'!$D$54:$N$54=W$58),'W9. Power Total Gen'!$D$55:$N$561))</f>
        <v>0</v>
      </c>
      <c r="X70" s="34">
        <f t="array" ref="X70">SUM(IF(('W9. Power Total Gen'!$B$55:$B$561=X$59)*('W9. Power Total Gen'!$C$55:$C$561=$A70)*('W9. Power Total Gen'!$D$54:$N$54=X$58),'W9. Power Total Gen'!$D$55:$N$561))</f>
        <v>27133.166085332879</v>
      </c>
      <c r="Y70" s="34">
        <f t="array" ref="Y70">SUM(IF(('W9. Power Total Gen'!$B$55:$B$561=Y$59)*('W9. Power Total Gen'!$C$55:$C$561=$A70)*('W9. Power Total Gen'!$D$54:$N$54=Y$58),'W9. Power Total Gen'!$D$55:$N$561))</f>
        <v>27461.490665347628</v>
      </c>
      <c r="Z70" s="34">
        <f t="array" ref="Z70">SUM(IF(('W9. Power Total Gen'!$B$55:$B$561=Z$59)*('W9. Power Total Gen'!$C$55:$C$561=$A70)*('W9. Power Total Gen'!$D$54:$N$54=Z$58),'W9. Power Total Gen'!$D$55:$N$561))</f>
        <v>22938.430575891591</v>
      </c>
      <c r="AA70" s="34">
        <f t="array" ref="AA70">SUM(IF(('W9. Power Total Gen'!$B$55:$B$561=AA$59)*('W9. Power Total Gen'!$C$55:$C$561=$A70)*('W9. Power Total Gen'!$D$54:$N$54=AA$58),'W9. Power Total Gen'!$D$55:$N$561))</f>
        <v>27455.005721666996</v>
      </c>
      <c r="AB70" s="34">
        <f t="array" ref="AB70">SUM(IF(('W9. Power Total Gen'!$B$55:$B$561=AB$59)*('W9. Power Total Gen'!$C$55:$C$561=$A70)*('W9. Power Total Gen'!$D$54:$N$54=AB$58),'W9. Power Total Gen'!$D$55:$N$561))</f>
        <v>26191.515174759763</v>
      </c>
      <c r="AC70" s="34">
        <f t="array" ref="AC70">SUM(IF(('W9. Power Total Gen'!$B$55:$B$561=AC$59)*('W9. Power Total Gen'!$C$55:$C$561=$A70)*('W9. Power Total Gen'!$D$54:$N$54=AC$58),'W9. Power Total Gen'!$D$55:$N$561))</f>
        <v>27324.825223641485</v>
      </c>
      <c r="AD70" s="34">
        <f t="array" ref="AD70">SUM(IF(('W9. Power Total Gen'!$B$55:$B$561=AD$59)*('W9. Power Total Gen'!$C$55:$C$561=$A70)*('W9. Power Total Gen'!$D$54:$N$54=AD$58),'W9. Power Total Gen'!$D$55:$N$561))</f>
        <v>27450.538961751263</v>
      </c>
      <c r="AE70" s="34">
        <f t="array" ref="AE70">SUM(IF(('W9. Power Total Gen'!$B$55:$B$561=AE$59)*('W9. Power Total Gen'!$C$55:$C$561=$A70)*('W9. Power Total Gen'!$D$54:$N$54=AE$58),'W9. Power Total Gen'!$D$55:$N$561))</f>
        <v>0</v>
      </c>
      <c r="AF70" s="34">
        <f t="array" ref="AF70">SUM(IF(('W9. Power Total Gen'!$B$55:$B$561=AF$59)*('W9. Power Total Gen'!$C$55:$C$561=$A70)*('W9. Power Total Gen'!$D$54:$N$54=AF$58),'W9. Power Total Gen'!$D$55:$N$561))</f>
        <v>0</v>
      </c>
      <c r="AG70" s="34">
        <f t="array" ref="AG70">SUM(IF(('W9. Power Total Gen'!$B$55:$B$561=AG$59)*('W9. Power Total Gen'!$C$55:$C$561=$A70)*('W9. Power Total Gen'!$D$54:$N$54=AG$58),'W9. Power Total Gen'!$D$55:$N$561))</f>
        <v>35070.13325460851</v>
      </c>
      <c r="AH70" s="34">
        <f t="array" ref="AH70">SUM(IF(('W9. Power Total Gen'!$B$55:$B$561=AH$59)*('W9. Power Total Gen'!$C$55:$C$561=$A70)*('W9. Power Total Gen'!$D$54:$N$54=AH$58),'W9. Power Total Gen'!$D$55:$N$561))</f>
        <v>34981.449026780552</v>
      </c>
      <c r="AI70" s="34">
        <f t="array" ref="AI70">SUM(IF(('W9. Power Total Gen'!$B$55:$B$561=AI$59)*('W9. Power Total Gen'!$C$55:$C$561=$A70)*('W9. Power Total Gen'!$D$54:$N$54=AI$58),'W9. Power Total Gen'!$D$55:$N$561))</f>
        <v>30151.474089172232</v>
      </c>
      <c r="AJ70" s="34">
        <f t="array" ref="AJ70">SUM(IF(('W9. Power Total Gen'!$B$55:$B$561=AJ$59)*('W9. Power Total Gen'!$C$55:$C$561=$A70)*('W9. Power Total Gen'!$D$54:$N$54=AJ$58),'W9. Power Total Gen'!$D$55:$N$561))</f>
        <v>35697.258444534156</v>
      </c>
      <c r="AK70" s="34">
        <f t="array" ref="AK70">SUM(IF(('W9. Power Total Gen'!$B$55:$B$561=AK$59)*('W9. Power Total Gen'!$C$55:$C$561=$A70)*('W9. Power Total Gen'!$D$54:$N$54=AK$58),'W9. Power Total Gen'!$D$55:$N$561))</f>
        <v>31398.676779278612</v>
      </c>
      <c r="AL70" s="34">
        <f t="array" ref="AL70">SUM(IF(('W9. Power Total Gen'!$B$55:$B$561=AL$59)*('W9. Power Total Gen'!$C$55:$C$561=$A70)*('W9. Power Total Gen'!$D$54:$N$54=AL$58),'W9. Power Total Gen'!$D$55:$N$561))</f>
        <v>35186.337362124374</v>
      </c>
      <c r="AM70" s="34">
        <f t="array" ref="AM70">SUM(IF(('W9. Power Total Gen'!$B$55:$B$561=AM$59)*('W9. Power Total Gen'!$C$55:$C$561=$A70)*('W9. Power Total Gen'!$D$54:$N$54=AM$58),'W9. Power Total Gen'!$D$55:$N$561))</f>
        <v>35889.905723426833</v>
      </c>
      <c r="AN70" s="34">
        <f t="array" ref="AN70">SUM(IF(('W9. Power Total Gen'!$B$55:$B$561=AN$59)*('W9. Power Total Gen'!$C$55:$C$561=$A70)*('W9. Power Total Gen'!$D$54:$N$54=AN$58),'W9. Power Total Gen'!$D$55:$N$561))</f>
        <v>0</v>
      </c>
      <c r="AO70" s="34">
        <f t="array" ref="AO70">SUM(IF(('W9. Power Total Gen'!$B$55:$B$561=AO$59)*('W9. Power Total Gen'!$C$55:$C$561=$A70)*('W9. Power Total Gen'!$D$54:$N$54=AO$58),'W9. Power Total Gen'!$D$55:$N$561))</f>
        <v>0</v>
      </c>
      <c r="AP70" s="34">
        <f t="array" ref="AP70">SUM(IF(('W9. Power Total Gen'!$B$55:$B$561=AP$59)*('W9. Power Total Gen'!$C$55:$C$561=$A70)*('W9. Power Total Gen'!$D$54:$N$54=AP$58),'W9. Power Total Gen'!$D$55:$N$561))</f>
        <v>47531.225316239877</v>
      </c>
      <c r="AQ70" s="34">
        <f t="array" ref="AQ70">SUM(IF(('W9. Power Total Gen'!$B$55:$B$561=AQ$59)*('W9. Power Total Gen'!$C$55:$C$561=$A70)*('W9. Power Total Gen'!$D$54:$N$54=AQ$58),'W9. Power Total Gen'!$D$55:$N$561))</f>
        <v>48538.665888058436</v>
      </c>
      <c r="AR70" s="34">
        <f t="array" ref="AR70">SUM(IF(('W9. Power Total Gen'!$B$55:$B$561=AR$59)*('W9. Power Total Gen'!$C$55:$C$561=$A70)*('W9. Power Total Gen'!$D$54:$N$54=AR$58),'W9. Power Total Gen'!$D$55:$N$561))</f>
        <v>40597.429837710886</v>
      </c>
      <c r="AS70" s="34">
        <f t="array" ref="AS70">SUM(IF(('W9. Power Total Gen'!$B$55:$B$561=AS$59)*('W9. Power Total Gen'!$C$55:$C$561=$A70)*('W9. Power Total Gen'!$D$54:$N$54=AS$58),'W9. Power Total Gen'!$D$55:$N$561))</f>
        <v>48436.209470350965</v>
      </c>
      <c r="AT70" s="34">
        <f t="array" ref="AT70">SUM(IF(('W9. Power Total Gen'!$B$55:$B$561=AT$59)*('W9. Power Total Gen'!$C$55:$C$561=$A70)*('W9. Power Total Gen'!$D$54:$N$54=AT$58),'W9. Power Total Gen'!$D$55:$N$561))</f>
        <v>41358.618626744363</v>
      </c>
      <c r="AU70" s="34">
        <f t="array" ref="AU70">SUM(IF(('W9. Power Total Gen'!$B$55:$B$561=AU$59)*('W9. Power Total Gen'!$C$55:$C$561=$A70)*('W9. Power Total Gen'!$D$54:$N$54=AU$58),'W9. Power Total Gen'!$D$55:$N$561))</f>
        <v>47526.721491369659</v>
      </c>
      <c r="AV70" s="34">
        <f t="array" ref="AV70">SUM(IF(('W9. Power Total Gen'!$B$55:$B$561=AV$59)*('W9. Power Total Gen'!$C$55:$C$561=$A70)*('W9. Power Total Gen'!$D$54:$N$54=AV$58),'W9. Power Total Gen'!$D$55:$N$561))</f>
        <v>51297.188060637847</v>
      </c>
    </row>
    <row r="71" spans="1:48" x14ac:dyDescent="0.3">
      <c r="A71" s="3" t="s">
        <v>73</v>
      </c>
      <c r="B71" s="3" t="s">
        <v>253</v>
      </c>
      <c r="C71" s="34">
        <f t="array" ref="C71">SUM(IF(('W9. Power Total Gen'!$B$55:$B$561=C$59)*('W9. Power Total Gen'!$C$55:$C$561=$A71)*('W9. Power Total Gen'!$D$54:$N$54=C$58),'W9. Power Total Gen'!$D$55:$N$561))</f>
        <v>0</v>
      </c>
      <c r="D71" s="34">
        <f t="array" ref="D71">SUM(IF(('W9. Power Total Gen'!$B$55:$B$561=D$59)*('W9. Power Total Gen'!$C$55:$C$561=$A71)*('W9. Power Total Gen'!$D$54:$N$54=D$58),'W9. Power Total Gen'!$D$55:$N$561))</f>
        <v>0</v>
      </c>
      <c r="E71" s="34">
        <f t="array" ref="E71">SUM(IF(('W9. Power Total Gen'!$B$55:$B$561=E$59)*('W9. Power Total Gen'!$C$55:$C$561=$A71)*('W9. Power Total Gen'!$D$54:$N$54=E$58),'W9. Power Total Gen'!$D$55:$N$561))</f>
        <v>0</v>
      </c>
      <c r="F71" s="34">
        <f t="array" ref="F71">SUM(IF(('W9. Power Total Gen'!$B$55:$B$561=F$59)*('W9. Power Total Gen'!$C$55:$C$561=$A71)*('W9. Power Total Gen'!$D$54:$N$54=F$58),'W9. Power Total Gen'!$D$55:$N$561))</f>
        <v>0</v>
      </c>
      <c r="G71" s="34">
        <f t="array" ref="G71">SUM(IF(('W9. Power Total Gen'!$B$55:$B$561=G$59)*('W9. Power Total Gen'!$C$55:$C$561=$A71)*('W9. Power Total Gen'!$D$54:$N$54=G$58),'W9. Power Total Gen'!$D$55:$N$561))</f>
        <v>0</v>
      </c>
      <c r="H71" s="34">
        <f t="array" ref="H71">SUM(IF(('W9. Power Total Gen'!$B$55:$B$561=H$59)*('W9. Power Total Gen'!$C$55:$C$561=$A71)*('W9. Power Total Gen'!$D$54:$N$54=H$58),'W9. Power Total Gen'!$D$55:$N$561))</f>
        <v>0</v>
      </c>
      <c r="I71" s="34">
        <f t="array" ref="I71">SUM(IF(('W9. Power Total Gen'!$B$55:$B$561=I$59)*('W9. Power Total Gen'!$C$55:$C$561=$A71)*('W9. Power Total Gen'!$D$54:$N$54=I$58),'W9. Power Total Gen'!$D$55:$N$561))</f>
        <v>0</v>
      </c>
      <c r="J71" s="34">
        <f t="array" ref="J71">SUM(IF(('W9. Power Total Gen'!$B$55:$B$561=J$59)*('W9. Power Total Gen'!$C$55:$C$561=$A71)*('W9. Power Total Gen'!$D$54:$N$54=J$58),'W9. Power Total Gen'!$D$55:$N$561))</f>
        <v>0</v>
      </c>
      <c r="K71" s="34">
        <f t="array" ref="K71">SUM(IF(('W9. Power Total Gen'!$B$55:$B$561=K$59)*('W9. Power Total Gen'!$C$55:$C$561=$A71)*('W9. Power Total Gen'!$D$54:$N$54=K$58),'W9. Power Total Gen'!$D$55:$N$561))</f>
        <v>0</v>
      </c>
      <c r="L71" s="34">
        <f t="array" ref="L71">SUM(IF(('W9. Power Total Gen'!$B$55:$B$561=L$59)*('W9. Power Total Gen'!$C$55:$C$561=$A71)*('W9. Power Total Gen'!$D$54:$N$54=L$58),'W9. Power Total Gen'!$D$55:$N$561))</f>
        <v>0</v>
      </c>
      <c r="M71" s="34">
        <f t="array" ref="M71">SUM(IF(('W9. Power Total Gen'!$B$55:$B$561=M$59)*('W9. Power Total Gen'!$C$55:$C$561=$A71)*('W9. Power Total Gen'!$D$54:$N$54=M$58),'W9. Power Total Gen'!$D$55:$N$561))</f>
        <v>0</v>
      </c>
      <c r="N71" s="34">
        <f t="array" ref="N71">SUM(IF(('W9. Power Total Gen'!$B$55:$B$561=N$59)*('W9. Power Total Gen'!$C$55:$C$561=$A71)*('W9. Power Total Gen'!$D$54:$N$54=N$58),'W9. Power Total Gen'!$D$55:$N$561))</f>
        <v>0</v>
      </c>
      <c r="O71" s="34">
        <f t="array" ref="O71">SUM(IF(('W9. Power Total Gen'!$B$55:$B$561=O$59)*('W9. Power Total Gen'!$C$55:$C$561=$A71)*('W9. Power Total Gen'!$D$54:$N$54=O$58),'W9. Power Total Gen'!$D$55:$N$561))</f>
        <v>145.59217603035023</v>
      </c>
      <c r="P71" s="34">
        <f t="array" ref="P71">SUM(IF(('W9. Power Total Gen'!$B$55:$B$561=P$59)*('W9. Power Total Gen'!$C$55:$C$561=$A71)*('W9. Power Total Gen'!$D$54:$N$54=P$58),'W9. Power Total Gen'!$D$55:$N$561))</f>
        <v>0</v>
      </c>
      <c r="Q71" s="34">
        <f t="array" ref="Q71">SUM(IF(('W9. Power Total Gen'!$B$55:$B$561=Q$59)*('W9. Power Total Gen'!$C$55:$C$561=$A71)*('W9. Power Total Gen'!$D$54:$N$54=Q$58),'W9. Power Total Gen'!$D$55:$N$561))</f>
        <v>171.18983492352436</v>
      </c>
      <c r="R71" s="34">
        <f t="array" ref="R71">SUM(IF(('W9. Power Total Gen'!$B$55:$B$561=R$59)*('W9. Power Total Gen'!$C$55:$C$561=$A71)*('W9. Power Total Gen'!$D$54:$N$54=R$58),'W9. Power Total Gen'!$D$55:$N$561))</f>
        <v>89.823149452514158</v>
      </c>
      <c r="S71" s="34">
        <f t="array" ref="S71">SUM(IF(('W9. Power Total Gen'!$B$55:$B$561=S$59)*('W9. Power Total Gen'!$C$55:$C$561=$A71)*('W9. Power Total Gen'!$D$54:$N$54=S$58),'W9. Power Total Gen'!$D$55:$N$561))</f>
        <v>37.06945146410132</v>
      </c>
      <c r="T71" s="34">
        <f t="array" ref="T71">SUM(IF(('W9. Power Total Gen'!$B$55:$B$561=T$59)*('W9. Power Total Gen'!$C$55:$C$561=$A71)*('W9. Power Total Gen'!$D$54:$N$54=T$58),'W9. Power Total Gen'!$D$55:$N$561))</f>
        <v>127.23523147499051</v>
      </c>
      <c r="U71" s="34">
        <f t="array" ref="U71">SUM(IF(('W9. Power Total Gen'!$B$55:$B$561=U$59)*('W9. Power Total Gen'!$C$55:$C$561=$A71)*('W9. Power Total Gen'!$D$54:$N$54=U$58),'W9. Power Total Gen'!$D$55:$N$561))</f>
        <v>359.51520107745858</v>
      </c>
      <c r="V71" s="34">
        <f t="array" ref="V71">SUM(IF(('W9. Power Total Gen'!$B$55:$B$561=V$59)*('W9. Power Total Gen'!$C$55:$C$561=$A71)*('W9. Power Total Gen'!$D$54:$N$54=V$58),'W9. Power Total Gen'!$D$55:$N$561))</f>
        <v>0</v>
      </c>
      <c r="W71" s="34">
        <f t="array" ref="W71">SUM(IF(('W9. Power Total Gen'!$B$55:$B$561=W$59)*('W9. Power Total Gen'!$C$55:$C$561=$A71)*('W9. Power Total Gen'!$D$54:$N$54=W$58),'W9. Power Total Gen'!$D$55:$N$561))</f>
        <v>0</v>
      </c>
      <c r="X71" s="34">
        <f t="array" ref="X71">SUM(IF(('W9. Power Total Gen'!$B$55:$B$561=X$59)*('W9. Power Total Gen'!$C$55:$C$561=$A71)*('W9. Power Total Gen'!$D$54:$N$54=X$58),'W9. Power Total Gen'!$D$55:$N$561))</f>
        <v>964.37596068172218</v>
      </c>
      <c r="Y71" s="34">
        <f t="array" ref="Y71">SUM(IF(('W9. Power Total Gen'!$B$55:$B$561=Y$59)*('W9. Power Total Gen'!$C$55:$C$561=$A71)*('W9. Power Total Gen'!$D$54:$N$54=Y$58),'W9. Power Total Gen'!$D$55:$N$561))</f>
        <v>270.00985899650868</v>
      </c>
      <c r="Z71" s="34">
        <f t="array" ref="Z71">SUM(IF(('W9. Power Total Gen'!$B$55:$B$561=Z$59)*('W9. Power Total Gen'!$C$55:$C$561=$A71)*('W9. Power Total Gen'!$D$54:$N$54=Z$58),'W9. Power Total Gen'!$D$55:$N$561))</f>
        <v>1391.8203316130805</v>
      </c>
      <c r="AA71" s="34">
        <f t="array" ref="AA71">SUM(IF(('W9. Power Total Gen'!$B$55:$B$561=AA$59)*('W9. Power Total Gen'!$C$55:$C$561=$A71)*('W9. Power Total Gen'!$D$54:$N$54=AA$58),'W9. Power Total Gen'!$D$55:$N$561))</f>
        <v>667.91105749066026</v>
      </c>
      <c r="AB71" s="34">
        <f t="array" ref="AB71">SUM(IF(('W9. Power Total Gen'!$B$55:$B$561=AB$59)*('W9. Power Total Gen'!$C$55:$C$561=$A71)*('W9. Power Total Gen'!$D$54:$N$54=AB$58),'W9. Power Total Gen'!$D$55:$N$561))</f>
        <v>350.20419644073468</v>
      </c>
      <c r="AC71" s="34">
        <f t="array" ref="AC71">SUM(IF(('W9. Power Total Gen'!$B$55:$B$561=AC$59)*('W9. Power Total Gen'!$C$55:$C$561=$A71)*('W9. Power Total Gen'!$D$54:$N$54=AC$58),'W9. Power Total Gen'!$D$55:$N$561))</f>
        <v>840.67892214988944</v>
      </c>
      <c r="AD71" s="34">
        <f t="array" ref="AD71">SUM(IF(('W9. Power Total Gen'!$B$55:$B$561=AD$59)*('W9. Power Total Gen'!$C$55:$C$561=$A71)*('W9. Power Total Gen'!$D$54:$N$54=AD$58),'W9. Power Total Gen'!$D$55:$N$561))</f>
        <v>2453.7763208585197</v>
      </c>
      <c r="AE71" s="34">
        <f t="array" ref="AE71">SUM(IF(('W9. Power Total Gen'!$B$55:$B$561=AE$59)*('W9. Power Total Gen'!$C$55:$C$561=$A71)*('W9. Power Total Gen'!$D$54:$N$54=AE$58),'W9. Power Total Gen'!$D$55:$N$561))</f>
        <v>0</v>
      </c>
      <c r="AF71" s="34">
        <f t="array" ref="AF71">SUM(IF(('W9. Power Total Gen'!$B$55:$B$561=AF$59)*('W9. Power Total Gen'!$C$55:$C$561=$A71)*('W9. Power Total Gen'!$D$54:$N$54=AF$58),'W9. Power Total Gen'!$D$55:$N$561))</f>
        <v>0</v>
      </c>
      <c r="AG71" s="34">
        <f t="array" ref="AG71">SUM(IF(('W9. Power Total Gen'!$B$55:$B$561=AG$59)*('W9. Power Total Gen'!$C$55:$C$561=$A71)*('W9. Power Total Gen'!$D$54:$N$54=AG$58),'W9. Power Total Gen'!$D$55:$N$561))</f>
        <v>4542.4446258560292</v>
      </c>
      <c r="AH71" s="34">
        <f t="array" ref="AH71">SUM(IF(('W9. Power Total Gen'!$B$55:$B$561=AH$59)*('W9. Power Total Gen'!$C$55:$C$561=$A71)*('W9. Power Total Gen'!$D$54:$N$54=AH$58),'W9. Power Total Gen'!$D$55:$N$561))</f>
        <v>2169.837927123408</v>
      </c>
      <c r="AI71" s="34">
        <f t="array" ref="AI71">SUM(IF(('W9. Power Total Gen'!$B$55:$B$561=AI$59)*('W9. Power Total Gen'!$C$55:$C$561=$A71)*('W9. Power Total Gen'!$D$54:$N$54=AI$58),'W9. Power Total Gen'!$D$55:$N$561))</f>
        <v>7207.6749135138871</v>
      </c>
      <c r="AJ71" s="34">
        <f t="array" ref="AJ71">SUM(IF(('W9. Power Total Gen'!$B$55:$B$561=AJ$59)*('W9. Power Total Gen'!$C$55:$C$561=$A71)*('W9. Power Total Gen'!$D$54:$N$54=AJ$58),'W9. Power Total Gen'!$D$55:$N$561))</f>
        <v>4299.8885681264246</v>
      </c>
      <c r="AK71" s="34">
        <f t="array" ref="AK71">SUM(IF(('W9. Power Total Gen'!$B$55:$B$561=AK$59)*('W9. Power Total Gen'!$C$55:$C$561=$A71)*('W9. Power Total Gen'!$D$54:$N$54=AK$58),'W9. Power Total Gen'!$D$55:$N$561))</f>
        <v>2333.9660028380708</v>
      </c>
      <c r="AL71" s="34">
        <f t="array" ref="AL71">SUM(IF(('W9. Power Total Gen'!$B$55:$B$561=AL$59)*('W9. Power Total Gen'!$C$55:$C$561=$A71)*('W9. Power Total Gen'!$D$54:$N$54=AL$58),'W9. Power Total Gen'!$D$55:$N$561))</f>
        <v>4212.2361080982364</v>
      </c>
      <c r="AM71" s="34">
        <f t="array" ref="AM71">SUM(IF(('W9. Power Total Gen'!$B$55:$B$561=AM$59)*('W9. Power Total Gen'!$C$55:$C$561=$A71)*('W9. Power Total Gen'!$D$54:$N$54=AM$58),'W9. Power Total Gen'!$D$55:$N$561))</f>
        <v>12154.191027748144</v>
      </c>
      <c r="AN71" s="34">
        <f t="array" ref="AN71">SUM(IF(('W9. Power Total Gen'!$B$55:$B$561=AN$59)*('W9. Power Total Gen'!$C$55:$C$561=$A71)*('W9. Power Total Gen'!$D$54:$N$54=AN$58),'W9. Power Total Gen'!$D$55:$N$561))</f>
        <v>0</v>
      </c>
      <c r="AO71" s="34">
        <f t="array" ref="AO71">SUM(IF(('W9. Power Total Gen'!$B$55:$B$561=AO$59)*('W9. Power Total Gen'!$C$55:$C$561=$A71)*('W9. Power Total Gen'!$D$54:$N$54=AO$58),'W9. Power Total Gen'!$D$55:$N$561))</f>
        <v>0</v>
      </c>
      <c r="AP71" s="34">
        <f t="array" ref="AP71">SUM(IF(('W9. Power Total Gen'!$B$55:$B$561=AP$59)*('W9. Power Total Gen'!$C$55:$C$561=$A71)*('W9. Power Total Gen'!$D$54:$N$54=AP$58),'W9. Power Total Gen'!$D$55:$N$561))</f>
        <v>18965.473592652841</v>
      </c>
      <c r="AQ71" s="34">
        <f t="array" ref="AQ71">SUM(IF(('W9. Power Total Gen'!$B$55:$B$561=AQ$59)*('W9. Power Total Gen'!$C$55:$C$561=$A71)*('W9. Power Total Gen'!$D$54:$N$54=AQ$58),'W9. Power Total Gen'!$D$55:$N$561))</f>
        <v>12938.404540249272</v>
      </c>
      <c r="AR71" s="34">
        <f t="array" ref="AR71">SUM(IF(('W9. Power Total Gen'!$B$55:$B$561=AR$59)*('W9. Power Total Gen'!$C$55:$C$561=$A71)*('W9. Power Total Gen'!$D$54:$N$54=AR$58),'W9. Power Total Gen'!$D$55:$N$561))</f>
        <v>28335.543249814844</v>
      </c>
      <c r="AS71" s="34">
        <f t="array" ref="AS71">SUM(IF(('W9. Power Total Gen'!$B$55:$B$561=AS$59)*('W9. Power Total Gen'!$C$55:$C$561=$A71)*('W9. Power Total Gen'!$D$54:$N$54=AS$58),'W9. Power Total Gen'!$D$55:$N$561))</f>
        <v>18485.133868595116</v>
      </c>
      <c r="AT71" s="34">
        <f t="array" ref="AT71">SUM(IF(('W9. Power Total Gen'!$B$55:$B$561=AT$59)*('W9. Power Total Gen'!$C$55:$C$561=$A71)*('W9. Power Total Gen'!$D$54:$N$54=AT$58),'W9. Power Total Gen'!$D$55:$N$561))</f>
        <v>10067.083351020527</v>
      </c>
      <c r="AU71" s="34">
        <f t="array" ref="AU71">SUM(IF(('W9. Power Total Gen'!$B$55:$B$561=AU$59)*('W9. Power Total Gen'!$C$55:$C$561=$A71)*('W9. Power Total Gen'!$D$54:$N$54=AU$58),'W9. Power Total Gen'!$D$55:$N$561))</f>
        <v>18878.016812722497</v>
      </c>
      <c r="AV71" s="34">
        <f t="array" ref="AV71">SUM(IF(('W9. Power Total Gen'!$B$55:$B$561=AV$59)*('W9. Power Total Gen'!$C$55:$C$561=$A71)*('W9. Power Total Gen'!$D$54:$N$54=AV$58),'W9. Power Total Gen'!$D$55:$N$561))</f>
        <v>38293.787282623925</v>
      </c>
    </row>
    <row r="72" spans="1:48" x14ac:dyDescent="0.3">
      <c r="A72" s="3" t="s">
        <v>74</v>
      </c>
      <c r="B72" s="3" t="s">
        <v>255</v>
      </c>
      <c r="C72" s="34">
        <f t="array" ref="C72">SUM(IF(('W9. Power Total Gen'!$B$55:$B$561=C$59)*('W9. Power Total Gen'!$C$55:$C$561=$A72)*('W9. Power Total Gen'!$D$54:$N$54=C$58),'W9. Power Total Gen'!$D$55:$N$561))</f>
        <v>0</v>
      </c>
      <c r="D72" s="34">
        <f t="array" ref="D72">SUM(IF(('W9. Power Total Gen'!$B$55:$B$561=D$59)*('W9. Power Total Gen'!$C$55:$C$561=$A72)*('W9. Power Total Gen'!$D$54:$N$54=D$58),'W9. Power Total Gen'!$D$55:$N$561))</f>
        <v>0</v>
      </c>
      <c r="E72" s="34">
        <f t="array" ref="E72">SUM(IF(('W9. Power Total Gen'!$B$55:$B$561=E$59)*('W9. Power Total Gen'!$C$55:$C$561=$A72)*('W9. Power Total Gen'!$D$54:$N$54=E$58),'W9. Power Total Gen'!$D$55:$N$561))</f>
        <v>0</v>
      </c>
      <c r="F72" s="34">
        <f t="array" ref="F72">SUM(IF(('W9. Power Total Gen'!$B$55:$B$561=F$59)*('W9. Power Total Gen'!$C$55:$C$561=$A72)*('W9. Power Total Gen'!$D$54:$N$54=F$58),'W9. Power Total Gen'!$D$55:$N$561))</f>
        <v>0</v>
      </c>
      <c r="G72" s="34">
        <f t="array" ref="G72">SUM(IF(('W9. Power Total Gen'!$B$55:$B$561=G$59)*('W9. Power Total Gen'!$C$55:$C$561=$A72)*('W9. Power Total Gen'!$D$54:$N$54=G$58),'W9. Power Total Gen'!$D$55:$N$561))</f>
        <v>0</v>
      </c>
      <c r="H72" s="34">
        <f t="array" ref="H72">SUM(IF(('W9. Power Total Gen'!$B$55:$B$561=H$59)*('W9. Power Total Gen'!$C$55:$C$561=$A72)*('W9. Power Total Gen'!$D$54:$N$54=H$58),'W9. Power Total Gen'!$D$55:$N$561))</f>
        <v>0</v>
      </c>
      <c r="I72" s="34">
        <f t="array" ref="I72">SUM(IF(('W9. Power Total Gen'!$B$55:$B$561=I$59)*('W9. Power Total Gen'!$C$55:$C$561=$A72)*('W9. Power Total Gen'!$D$54:$N$54=I$58),'W9. Power Total Gen'!$D$55:$N$561))</f>
        <v>0</v>
      </c>
      <c r="J72" s="34">
        <f t="array" ref="J72">SUM(IF(('W9. Power Total Gen'!$B$55:$B$561=J$59)*('W9. Power Total Gen'!$C$55:$C$561=$A72)*('W9. Power Total Gen'!$D$54:$N$54=J$58),'W9. Power Total Gen'!$D$55:$N$561))</f>
        <v>0</v>
      </c>
      <c r="K72" s="34">
        <f t="array" ref="K72">SUM(IF(('W9. Power Total Gen'!$B$55:$B$561=K$59)*('W9. Power Total Gen'!$C$55:$C$561=$A72)*('W9. Power Total Gen'!$D$54:$N$54=K$58),'W9. Power Total Gen'!$D$55:$N$561))</f>
        <v>0</v>
      </c>
      <c r="L72" s="34">
        <f t="array" ref="L72">SUM(IF(('W9. Power Total Gen'!$B$55:$B$561=L$59)*('W9. Power Total Gen'!$C$55:$C$561=$A72)*('W9. Power Total Gen'!$D$54:$N$54=L$58),'W9. Power Total Gen'!$D$55:$N$561))</f>
        <v>0</v>
      </c>
      <c r="M72" s="34">
        <f t="array" ref="M72">SUM(IF(('W9. Power Total Gen'!$B$55:$B$561=M$59)*('W9. Power Total Gen'!$C$55:$C$561=$A72)*('W9. Power Total Gen'!$D$54:$N$54=M$58),'W9. Power Total Gen'!$D$55:$N$561))</f>
        <v>0</v>
      </c>
      <c r="N72" s="34">
        <f t="array" ref="N72">SUM(IF(('W9. Power Total Gen'!$B$55:$B$561=N$59)*('W9. Power Total Gen'!$C$55:$C$561=$A72)*('W9. Power Total Gen'!$D$54:$N$54=N$58),'W9. Power Total Gen'!$D$55:$N$561))</f>
        <v>0</v>
      </c>
      <c r="O72" s="34">
        <f t="array" ref="O72">SUM(IF(('W9. Power Total Gen'!$B$55:$B$561=O$59)*('W9. Power Total Gen'!$C$55:$C$561=$A72)*('W9. Power Total Gen'!$D$54:$N$54=O$58),'W9. Power Total Gen'!$D$55:$N$561))</f>
        <v>0</v>
      </c>
      <c r="P72" s="34">
        <f t="array" ref="P72">SUM(IF(('W9. Power Total Gen'!$B$55:$B$561=P$59)*('W9. Power Total Gen'!$C$55:$C$561=$A72)*('W9. Power Total Gen'!$D$54:$N$54=P$58),'W9. Power Total Gen'!$D$55:$N$561))</f>
        <v>0</v>
      </c>
      <c r="Q72" s="34">
        <f t="array" ref="Q72">SUM(IF(('W9. Power Total Gen'!$B$55:$B$561=Q$59)*('W9. Power Total Gen'!$C$55:$C$561=$A72)*('W9. Power Total Gen'!$D$54:$N$54=Q$58),'W9. Power Total Gen'!$D$55:$N$561))</f>
        <v>212.03999999999991</v>
      </c>
      <c r="R72" s="34">
        <f t="array" ref="R72">SUM(IF(('W9. Power Total Gen'!$B$55:$B$561=R$59)*('W9. Power Total Gen'!$C$55:$C$561=$A72)*('W9. Power Total Gen'!$D$54:$N$54=R$58),'W9. Power Total Gen'!$D$55:$N$561))</f>
        <v>0</v>
      </c>
      <c r="S72" s="34">
        <f t="array" ref="S72">SUM(IF(('W9. Power Total Gen'!$B$55:$B$561=S$59)*('W9. Power Total Gen'!$C$55:$C$561=$A72)*('W9. Power Total Gen'!$D$54:$N$54=S$58),'W9. Power Total Gen'!$D$55:$N$561))</f>
        <v>0</v>
      </c>
      <c r="T72" s="34">
        <f t="array" ref="T72">SUM(IF(('W9. Power Total Gen'!$B$55:$B$561=T$59)*('W9. Power Total Gen'!$C$55:$C$561=$A72)*('W9. Power Total Gen'!$D$54:$N$54=T$58),'W9. Power Total Gen'!$D$55:$N$561))</f>
        <v>0</v>
      </c>
      <c r="U72" s="34">
        <f t="array" ref="U72">SUM(IF(('W9. Power Total Gen'!$B$55:$B$561=U$59)*('W9. Power Total Gen'!$C$55:$C$561=$A72)*('W9. Power Total Gen'!$D$54:$N$54=U$58),'W9. Power Total Gen'!$D$55:$N$561))</f>
        <v>28.393838107200004</v>
      </c>
      <c r="V72" s="34">
        <f t="array" ref="V72">SUM(IF(('W9. Power Total Gen'!$B$55:$B$561=V$59)*('W9. Power Total Gen'!$C$55:$C$561=$A72)*('W9. Power Total Gen'!$D$54:$N$54=V$58),'W9. Power Total Gen'!$D$55:$N$561))</f>
        <v>0</v>
      </c>
      <c r="W72" s="34">
        <f t="array" ref="W72">SUM(IF(('W9. Power Total Gen'!$B$55:$B$561=W$59)*('W9. Power Total Gen'!$C$55:$C$561=$A72)*('W9. Power Total Gen'!$D$54:$N$54=W$58),'W9. Power Total Gen'!$D$55:$N$561))</f>
        <v>0</v>
      </c>
      <c r="X72" s="34">
        <f t="array" ref="X72">SUM(IF(('W9. Power Total Gen'!$B$55:$B$561=X$59)*('W9. Power Total Gen'!$C$55:$C$561=$A72)*('W9. Power Total Gen'!$D$54:$N$54=X$58),'W9. Power Total Gen'!$D$55:$N$561))</f>
        <v>0</v>
      </c>
      <c r="Y72" s="34">
        <f t="array" ref="Y72">SUM(IF(('W9. Power Total Gen'!$B$55:$B$561=Y$59)*('W9. Power Total Gen'!$C$55:$C$561=$A72)*('W9. Power Total Gen'!$D$54:$N$54=Y$58),'W9. Power Total Gen'!$D$55:$N$561))</f>
        <v>2.9697125574700269</v>
      </c>
      <c r="Z72" s="34">
        <f t="array" ref="Z72">SUM(IF(('W9. Power Total Gen'!$B$55:$B$561=Z$59)*('W9. Power Total Gen'!$C$55:$C$561=$A72)*('W9. Power Total Gen'!$D$54:$N$54=Z$58),'W9. Power Total Gen'!$D$55:$N$561))</f>
        <v>429.66000000000065</v>
      </c>
      <c r="AA72" s="34">
        <f t="array" ref="AA72">SUM(IF(('W9. Power Total Gen'!$B$55:$B$561=AA$59)*('W9. Power Total Gen'!$C$55:$C$561=$A72)*('W9. Power Total Gen'!$D$54:$N$54=AA$58),'W9. Power Total Gen'!$D$55:$N$561))</f>
        <v>0</v>
      </c>
      <c r="AB72" s="34">
        <f t="array" ref="AB72">SUM(IF(('W9. Power Total Gen'!$B$55:$B$561=AB$59)*('W9. Power Total Gen'!$C$55:$C$561=$A72)*('W9. Power Total Gen'!$D$54:$N$54=AB$58),'W9. Power Total Gen'!$D$55:$N$561))</f>
        <v>0</v>
      </c>
      <c r="AC72" s="34">
        <f t="array" ref="AC72">SUM(IF(('W9. Power Total Gen'!$B$55:$B$561=AC$59)*('W9. Power Total Gen'!$C$55:$C$561=$A72)*('W9. Power Total Gen'!$D$54:$N$54=AC$58),'W9. Power Total Gen'!$D$55:$N$561))</f>
        <v>0</v>
      </c>
      <c r="AD72" s="34">
        <f t="array" ref="AD72">SUM(IF(('W9. Power Total Gen'!$B$55:$B$561=AD$59)*('W9. Power Total Gen'!$C$55:$C$561=$A72)*('W9. Power Total Gen'!$D$54:$N$54=AD$58),'W9. Power Total Gen'!$D$55:$N$561))</f>
        <v>71.308772808417331</v>
      </c>
      <c r="AE72" s="34">
        <f t="array" ref="AE72">SUM(IF(('W9. Power Total Gen'!$B$55:$B$561=AE$59)*('W9. Power Total Gen'!$C$55:$C$561=$A72)*('W9. Power Total Gen'!$D$54:$N$54=AE$58),'W9. Power Total Gen'!$D$55:$N$561))</f>
        <v>0</v>
      </c>
      <c r="AF72" s="34">
        <f t="array" ref="AF72">SUM(IF(('W9. Power Total Gen'!$B$55:$B$561=AF$59)*('W9. Power Total Gen'!$C$55:$C$561=$A72)*('W9. Power Total Gen'!$D$54:$N$54=AF$58),'W9. Power Total Gen'!$D$55:$N$561))</f>
        <v>0</v>
      </c>
      <c r="AG72" s="34">
        <f t="array" ref="AG72">SUM(IF(('W9. Power Total Gen'!$B$55:$B$561=AG$59)*('W9. Power Total Gen'!$C$55:$C$561=$A72)*('W9. Power Total Gen'!$D$54:$N$54=AG$58),'W9. Power Total Gen'!$D$55:$N$561))</f>
        <v>21.903449435142061</v>
      </c>
      <c r="AH72" s="34">
        <f t="array" ref="AH72">SUM(IF(('W9. Power Total Gen'!$B$55:$B$561=AH$59)*('W9. Power Total Gen'!$C$55:$C$561=$A72)*('W9. Power Total Gen'!$D$54:$N$54=AH$58),'W9. Power Total Gen'!$D$55:$N$561))</f>
        <v>70.819287993947157</v>
      </c>
      <c r="AI72" s="34">
        <f t="array" ref="AI72">SUM(IF(('W9. Power Total Gen'!$B$55:$B$561=AI$59)*('W9. Power Total Gen'!$C$55:$C$561=$A72)*('W9. Power Total Gen'!$D$54:$N$54=AI$58),'W9. Power Total Gen'!$D$55:$N$561))</f>
        <v>993.23999999999933</v>
      </c>
      <c r="AJ72" s="34">
        <f t="array" ref="AJ72">SUM(IF(('W9. Power Total Gen'!$B$55:$B$561=AJ$59)*('W9. Power Total Gen'!$C$55:$C$561=$A72)*('W9. Power Total Gen'!$D$54:$N$54=AJ$58),'W9. Power Total Gen'!$D$55:$N$561))</f>
        <v>16.72088613390903</v>
      </c>
      <c r="AK72" s="34">
        <f t="array" ref="AK72">SUM(IF(('W9. Power Total Gen'!$B$55:$B$561=AK$59)*('W9. Power Total Gen'!$C$55:$C$561=$A72)*('W9. Power Total Gen'!$D$54:$N$54=AK$58),'W9. Power Total Gen'!$D$55:$N$561))</f>
        <v>1.854899053241323</v>
      </c>
      <c r="AL72" s="34">
        <f t="array" ref="AL72">SUM(IF(('W9. Power Total Gen'!$B$55:$B$561=AL$59)*('W9. Power Total Gen'!$C$55:$C$561=$A72)*('W9. Power Total Gen'!$D$54:$N$54=AL$58),'W9. Power Total Gen'!$D$55:$N$561))</f>
        <v>14.142475362135142</v>
      </c>
      <c r="AM72" s="34">
        <f t="array" ref="AM72">SUM(IF(('W9. Power Total Gen'!$B$55:$B$561=AM$59)*('W9. Power Total Gen'!$C$55:$C$561=$A72)*('W9. Power Total Gen'!$D$54:$N$54=AM$58),'W9. Power Total Gen'!$D$55:$N$561))</f>
        <v>1973.32270451876</v>
      </c>
      <c r="AN72" s="34">
        <f t="array" ref="AN72">SUM(IF(('W9. Power Total Gen'!$B$55:$B$561=AN$59)*('W9. Power Total Gen'!$C$55:$C$561=$A72)*('W9. Power Total Gen'!$D$54:$N$54=AN$58),'W9. Power Total Gen'!$D$55:$N$561))</f>
        <v>0</v>
      </c>
      <c r="AO72" s="34">
        <f t="array" ref="AO72">SUM(IF(('W9. Power Total Gen'!$B$55:$B$561=AO$59)*('W9. Power Total Gen'!$C$55:$C$561=$A72)*('W9. Power Total Gen'!$D$54:$N$54=AO$58),'W9. Power Total Gen'!$D$55:$N$561))</f>
        <v>0</v>
      </c>
      <c r="AP72" s="34">
        <f t="array" ref="AP72">SUM(IF(('W9. Power Total Gen'!$B$55:$B$561=AP$59)*('W9. Power Total Gen'!$C$55:$C$561=$A72)*('W9. Power Total Gen'!$D$54:$N$54=AP$58),'W9. Power Total Gen'!$D$55:$N$561))</f>
        <v>44.828853610253312</v>
      </c>
      <c r="AQ72" s="34">
        <f t="array" ref="AQ72">SUM(IF(('W9. Power Total Gen'!$B$55:$B$561=AQ$59)*('W9. Power Total Gen'!$C$55:$C$561=$A72)*('W9. Power Total Gen'!$D$54:$N$54=AQ$58),'W9. Power Total Gen'!$D$55:$N$561))</f>
        <v>1218.9636603452548</v>
      </c>
      <c r="AR72" s="34">
        <f t="array" ref="AR72">SUM(IF(('W9. Power Total Gen'!$B$55:$B$561=AR$59)*('W9. Power Total Gen'!$C$55:$C$561=$A72)*('W9. Power Total Gen'!$D$54:$N$54=AR$58),'W9. Power Total Gen'!$D$55:$N$561))</f>
        <v>1624.1866629603564</v>
      </c>
      <c r="AS72" s="34">
        <f t="array" ref="AS72">SUM(IF(('W9. Power Total Gen'!$B$55:$B$561=AS$59)*('W9. Power Total Gen'!$C$55:$C$561=$A72)*('W9. Power Total Gen'!$D$54:$N$54=AS$58),'W9. Power Total Gen'!$D$55:$N$561))</f>
        <v>80.932140591600657</v>
      </c>
      <c r="AT72" s="34">
        <f t="array" ref="AT72">SUM(IF(('W9. Power Total Gen'!$B$55:$B$561=AT$59)*('W9. Power Total Gen'!$C$55:$C$561=$A72)*('W9. Power Total Gen'!$D$54:$N$54=AT$58),'W9. Power Total Gen'!$D$55:$N$561))</f>
        <v>19.672892506318512</v>
      </c>
      <c r="AU72" s="34">
        <f t="array" ref="AU72">SUM(IF(('W9. Power Total Gen'!$B$55:$B$561=AU$59)*('W9. Power Total Gen'!$C$55:$C$561=$A72)*('W9. Power Total Gen'!$D$54:$N$54=AU$58),'W9. Power Total Gen'!$D$55:$N$561))</f>
        <v>24.786969076874811</v>
      </c>
      <c r="AV72" s="34">
        <f t="array" ref="AV72">SUM(IF(('W9. Power Total Gen'!$B$55:$B$561=AV$59)*('W9. Power Total Gen'!$C$55:$C$561=$A72)*('W9. Power Total Gen'!$D$54:$N$54=AV$58),'W9. Power Total Gen'!$D$55:$N$561))</f>
        <v>4268.7763935010698</v>
      </c>
    </row>
    <row r="73" spans="1:48" ht="15" thickBot="1" x14ac:dyDescent="0.35"/>
    <row r="74" spans="1:48" s="25" customFormat="1" ht="15" thickBot="1" x14ac:dyDescent="0.35">
      <c r="A74" s="24" t="s">
        <v>377</v>
      </c>
    </row>
    <row r="76" spans="1:48" x14ac:dyDescent="0.3">
      <c r="A76" s="3" t="s">
        <v>8</v>
      </c>
      <c r="B76" s="3" t="s">
        <v>252</v>
      </c>
      <c r="C76" s="3">
        <v>2014</v>
      </c>
      <c r="D76" s="3">
        <v>2015</v>
      </c>
      <c r="E76" s="3">
        <v>2016</v>
      </c>
      <c r="F76" s="3">
        <v>2017</v>
      </c>
      <c r="G76" s="3">
        <v>2020</v>
      </c>
      <c r="H76" s="3">
        <v>2030</v>
      </c>
      <c r="I76" s="3">
        <v>2040</v>
      </c>
      <c r="J76" s="3">
        <v>2050</v>
      </c>
    </row>
    <row r="77" spans="1:48" x14ac:dyDescent="0.3">
      <c r="A77" s="3" t="s">
        <v>368</v>
      </c>
      <c r="B77" s="3" t="s">
        <v>254</v>
      </c>
      <c r="C77" s="34" t="str">
        <f t="array" ref="C77">INDEX('W24. Total generation'!$E$10:$Q$90,MATCH($A77&amp;$B77,'W24. Total generation'!$A$10:$A$90&amp;'W24. Total generation'!$C$10:$C$90,0),MATCH(C$76,'W24. Total generation'!$E$9:$Q$9,0))</f>
        <v/>
      </c>
      <c r="D77" s="34" t="str">
        <f t="array" ref="D77">INDEX('W24. Total generation'!$E$10:$Q$90,MATCH($A77&amp;$B77,'W24. Total generation'!$A$10:$A$90&amp;'W24. Total generation'!$C$10:$C$90,0),MATCH(D$76,'W24. Total generation'!$E$9:$Q$9,0))</f>
        <v/>
      </c>
      <c r="E77" s="34">
        <f t="array" ref="E77">INDEX('W24. Total generation'!$E$10:$Q$90,MATCH($A77&amp;$B77,'W24. Total generation'!$A$10:$A$90&amp;'W24. Total generation'!$C$10:$C$90,0),MATCH(E$76,'W24. Total generation'!$E$9:$Q$9,0))</f>
        <v>9575</v>
      </c>
      <c r="F77" s="34">
        <f t="array" ref="F77">INDEX('W24. Total generation'!$E$10:$Q$90,MATCH($A77&amp;$B77,'W24. Total generation'!$A$10:$A$90&amp;'W24. Total generation'!$C$10:$C$90,0),MATCH(F$76,'W24. Total generation'!$E$9:$Q$9,0))</f>
        <v>9858</v>
      </c>
      <c r="G77" s="34">
        <f t="array" ref="G77">INDEX('W24. Total generation'!$E$10:$Q$90,MATCH($A77&amp;$B77,'W24. Total generation'!$A$10:$A$90&amp;'W24. Total generation'!$C$10:$C$90,0),MATCH(G$76,'W24. Total generation'!$E$9:$Q$9,0))</f>
        <v>10171.5</v>
      </c>
      <c r="H77" s="34">
        <f t="array" ref="H77">INDEX('W24. Total generation'!$E$10:$Q$90,MATCH($A77&amp;$B77,'W24. Total generation'!$A$10:$A$90&amp;'W24. Total generation'!$C$10:$C$90,0),MATCH(H$76,'W24. Total generation'!$E$9:$Q$9,0))</f>
        <v>11722</v>
      </c>
      <c r="I77" s="34">
        <f t="array" ref="I77">INDEX('W24. Total generation'!$E$10:$Q$90,MATCH($A77&amp;$B77,'W24. Total generation'!$A$10:$A$90&amp;'W24. Total generation'!$C$10:$C$90,0),MATCH(I$76,'W24. Total generation'!$E$9:$Q$9,0))</f>
        <v>13910</v>
      </c>
      <c r="J77" s="34">
        <f t="array" ref="J77">INDEX('W24. Total generation'!$E$10:$Q$90,MATCH($A77&amp;$B77,'W24. Total generation'!$A$10:$A$90&amp;'W24. Total generation'!$C$10:$C$90,0),MATCH(J$76,'W24. Total generation'!$E$9:$Q$9,0))</f>
        <v>16062</v>
      </c>
    </row>
    <row r="78" spans="1:48" x14ac:dyDescent="0.3">
      <c r="A78" s="3" t="s">
        <v>368</v>
      </c>
      <c r="B78" s="3" t="s">
        <v>266</v>
      </c>
      <c r="C78" s="34" t="str">
        <f t="array" ref="C78">INDEX('W24. Total generation'!$E$10:$Q$90,MATCH($A78&amp;$B78,'W24. Total generation'!$A$10:$A$90&amp;'W24. Total generation'!$C$10:$C$90,0),MATCH(C$76,'W24. Total generation'!$E$9:$Q$9,0))</f>
        <v/>
      </c>
      <c r="D78" s="34" t="str">
        <f t="array" ref="D78">INDEX('W24. Total generation'!$E$10:$Q$90,MATCH($A78&amp;$B78,'W24. Total generation'!$A$10:$A$90&amp;'W24. Total generation'!$C$10:$C$90,0),MATCH(D$76,'W24. Total generation'!$E$9:$Q$9,0))</f>
        <v/>
      </c>
      <c r="E78" s="34">
        <f t="array" ref="E78">INDEX('W24. Total generation'!$E$10:$Q$90,MATCH($A78&amp;$B78,'W24. Total generation'!$A$10:$A$90&amp;'W24. Total generation'!$C$10:$C$90,0),MATCH(E$76,'W24. Total generation'!$E$9:$Q$9,0))</f>
        <v>926</v>
      </c>
      <c r="F78" s="34">
        <f t="array" ref="F78">INDEX('W24. Total generation'!$E$10:$Q$90,MATCH($A78&amp;$B78,'W24. Total generation'!$A$10:$A$90&amp;'W24. Total generation'!$C$10:$C$90,0),MATCH(F$76,'W24. Total generation'!$E$9:$Q$9,0))</f>
        <v>940</v>
      </c>
      <c r="G78" s="34">
        <f t="array" ref="G78">INDEX('W24. Total generation'!$E$10:$Q$90,MATCH($A78&amp;$B78,'W24. Total generation'!$A$10:$A$90&amp;'W24. Total generation'!$C$10:$C$90,0),MATCH(G$76,'W24. Total generation'!$E$9:$Q$9,0))</f>
        <v>879.625</v>
      </c>
      <c r="H78" s="34">
        <f t="array" ref="H78">INDEX('W24. Total generation'!$E$10:$Q$90,MATCH($A78&amp;$B78,'W24. Total generation'!$A$10:$A$90&amp;'W24. Total generation'!$C$10:$C$90,0),MATCH(H$76,'W24. Total generation'!$E$9:$Q$9,0))</f>
        <v>697</v>
      </c>
      <c r="I78" s="34">
        <f t="array" ref="I78">INDEX('W24. Total generation'!$E$10:$Q$90,MATCH($A78&amp;$B78,'W24. Total generation'!$A$10:$A$90&amp;'W24. Total generation'!$C$10:$C$90,0),MATCH(I$76,'W24. Total generation'!$E$9:$Q$9,0))</f>
        <v>610</v>
      </c>
      <c r="J78" s="34">
        <f t="array" ref="J78">INDEX('W24. Total generation'!$E$10:$Q$90,MATCH($A78&amp;$B78,'W24. Total generation'!$A$10:$A$90&amp;'W24. Total generation'!$C$10:$C$90,0),MATCH(J$76,'W24. Total generation'!$E$9:$Q$9,0))</f>
        <v>546</v>
      </c>
    </row>
    <row r="79" spans="1:48" x14ac:dyDescent="0.3">
      <c r="A79" s="3" t="s">
        <v>368</v>
      </c>
      <c r="B79" s="3" t="s">
        <v>255</v>
      </c>
      <c r="C79" s="34" t="str">
        <f t="array" ref="C79">INDEX('W24. Total generation'!$E$10:$Q$90,MATCH($A79&amp;$B79,'W24. Total generation'!$A$10:$A$90&amp;'W24. Total generation'!$C$10:$C$90,0),MATCH(C$76,'W24. Total generation'!$E$9:$Q$9,0))</f>
        <v/>
      </c>
      <c r="D79" s="34" t="str">
        <f t="array" ref="D79">INDEX('W24. Total generation'!$E$10:$Q$90,MATCH($A79&amp;$B79,'W24. Total generation'!$A$10:$A$90&amp;'W24. Total generation'!$C$10:$C$90,0),MATCH(D$76,'W24. Total generation'!$E$9:$Q$9,0))</f>
        <v/>
      </c>
      <c r="E79" s="34">
        <f t="array" ref="E79">INDEX('W24. Total generation'!$E$10:$Q$90,MATCH($A79&amp;$B79,'W24. Total generation'!$A$10:$A$90&amp;'W24. Total generation'!$C$10:$C$90,0),MATCH(E$76,'W24. Total generation'!$E$9:$Q$9,0))</f>
        <v>5781</v>
      </c>
      <c r="F79" s="34">
        <f t="array" ref="F79">INDEX('W24. Total generation'!$E$10:$Q$90,MATCH($A79&amp;$B79,'W24. Total generation'!$A$10:$A$90&amp;'W24. Total generation'!$C$10:$C$90,0),MATCH(F$76,'W24. Total generation'!$E$9:$Q$9,0))</f>
        <v>5855</v>
      </c>
      <c r="G79" s="34">
        <f t="array" ref="G79">INDEX('W24. Total generation'!$E$10:$Q$90,MATCH($A79&amp;$B79,'W24. Total generation'!$A$10:$A$90&amp;'W24. Total generation'!$C$10:$C$90,0),MATCH(G$76,'W24. Total generation'!$E$9:$Q$9,0))</f>
        <v>6311.375</v>
      </c>
      <c r="H79" s="34">
        <f t="array" ref="H79">INDEX('W24. Total generation'!$E$10:$Q$90,MATCH($A79&amp;$B79,'W24. Total generation'!$A$10:$A$90&amp;'W24. Total generation'!$C$10:$C$90,0),MATCH(H$76,'W24. Total generation'!$E$9:$Q$9,0))</f>
        <v>8172</v>
      </c>
      <c r="I79" s="34">
        <f t="array" ref="I79">INDEX('W24. Total generation'!$E$10:$Q$90,MATCH($A79&amp;$B79,'W24. Total generation'!$A$10:$A$90&amp;'W24. Total generation'!$C$10:$C$90,0),MATCH(I$76,'W24. Total generation'!$E$9:$Q$9,0))</f>
        <v>10295</v>
      </c>
      <c r="J79" s="34">
        <f t="array" ref="J79">INDEX('W24. Total generation'!$E$10:$Q$90,MATCH($A79&amp;$B79,'W24. Total generation'!$A$10:$A$90&amp;'W24. Total generation'!$C$10:$C$90,0),MATCH(J$76,'W24. Total generation'!$E$9:$Q$9,0))</f>
        <v>12361</v>
      </c>
    </row>
    <row r="80" spans="1:48" x14ac:dyDescent="0.3">
      <c r="A80" s="3" t="s">
        <v>368</v>
      </c>
      <c r="B80" s="3" t="s">
        <v>257</v>
      </c>
      <c r="C80" s="34" t="str">
        <f t="array" ref="C80">INDEX('W24. Total generation'!$E$10:$Q$90,MATCH($A80&amp;$B80,'W24. Total generation'!$A$10:$A$90&amp;'W24. Total generation'!$C$10:$C$90,0),MATCH(C$76,'W24. Total generation'!$E$9:$Q$9,0))</f>
        <v/>
      </c>
      <c r="D80" s="34" t="str">
        <f t="array" ref="D80">INDEX('W24. Total generation'!$E$10:$Q$90,MATCH($A80&amp;$B80,'W24. Total generation'!$A$10:$A$90&amp;'W24. Total generation'!$C$10:$C$90,0),MATCH(D$76,'W24. Total generation'!$E$9:$Q$9,0))</f>
        <v/>
      </c>
      <c r="E80" s="34">
        <f t="array" ref="E80">INDEX('W24. Total generation'!$E$10:$Q$90,MATCH($A80&amp;$B80,'W24. Total generation'!$A$10:$A$90&amp;'W24. Total generation'!$C$10:$C$90,0),MATCH(E$76,'W24. Total generation'!$E$9:$Q$9,0))</f>
        <v>2605</v>
      </c>
      <c r="F80" s="34">
        <f t="array" ref="F80">INDEX('W24. Total generation'!$E$10:$Q$90,MATCH($A80&amp;$B80,'W24. Total generation'!$A$10:$A$90&amp;'W24. Total generation'!$C$10:$C$90,0),MATCH(F$76,'W24. Total generation'!$E$9:$Q$9,0))</f>
        <v>2637</v>
      </c>
      <c r="G80" s="34">
        <f t="array" ref="G80">INDEX('W24. Total generation'!$E$10:$Q$90,MATCH($A80&amp;$B80,'W24. Total generation'!$A$10:$A$90&amp;'W24. Total generation'!$C$10:$C$90,0),MATCH(G$76,'W24. Total generation'!$E$9:$Q$9,0))</f>
        <v>2802.75</v>
      </c>
      <c r="H80" s="34">
        <f t="array" ref="H80">INDEX('W24. Total generation'!$E$10:$Q$90,MATCH($A80&amp;$B80,'W24. Total generation'!$A$10:$A$90&amp;'W24. Total generation'!$C$10:$C$90,0),MATCH(H$76,'W24. Total generation'!$E$9:$Q$9,0))</f>
        <v>3239</v>
      </c>
      <c r="I80" s="34">
        <f t="array" ref="I80">INDEX('W24. Total generation'!$E$10:$Q$90,MATCH($A80&amp;$B80,'W24. Total generation'!$A$10:$A$90&amp;'W24. Total generation'!$C$10:$C$90,0),MATCH(I$76,'W24. Total generation'!$E$9:$Q$9,0))</f>
        <v>3648</v>
      </c>
      <c r="J80" s="34">
        <f t="array" ref="J80">INDEX('W24. Total generation'!$E$10:$Q$90,MATCH($A80&amp;$B80,'W24. Total generation'!$A$10:$A$90&amp;'W24. Total generation'!$C$10:$C$90,0),MATCH(J$76,'W24. Total generation'!$E$9:$Q$9,0))</f>
        <v>4124</v>
      </c>
    </row>
    <row r="81" spans="1:10" x14ac:dyDescent="0.3">
      <c r="A81" s="3" t="s">
        <v>368</v>
      </c>
      <c r="B81" s="3" t="s">
        <v>256</v>
      </c>
      <c r="C81" s="34" t="str">
        <f t="array" ref="C81">INDEX('W24. Total generation'!$E$10:$Q$90,MATCH($A81&amp;$B81,'W24. Total generation'!$A$10:$A$90&amp;'W24. Total generation'!$C$10:$C$90,0),MATCH(C$76,'W24. Total generation'!$E$9:$Q$9,0))</f>
        <v/>
      </c>
      <c r="D81" s="34" t="str">
        <f t="array" ref="D81">INDEX('W24. Total generation'!$E$10:$Q$90,MATCH($A81&amp;$B81,'W24. Total generation'!$A$10:$A$90&amp;'W24. Total generation'!$C$10:$C$90,0),MATCH(D$76,'W24. Total generation'!$E$9:$Q$9,0))</f>
        <v/>
      </c>
      <c r="E81" s="34">
        <f t="array" ref="E81">INDEX('W24. Total generation'!$E$10:$Q$90,MATCH($A81&amp;$B81,'W24. Total generation'!$A$10:$A$90&amp;'W24. Total generation'!$C$10:$C$90,0),MATCH(E$76,'W24. Total generation'!$E$9:$Q$9,0))</f>
        <v>4049</v>
      </c>
      <c r="F81" s="34">
        <f t="array" ref="F81">INDEX('W24. Total generation'!$E$10:$Q$90,MATCH($A81&amp;$B81,'W24. Total generation'!$A$10:$A$90&amp;'W24. Total generation'!$C$10:$C$90,0),MATCH(F$76,'W24. Total generation'!$E$9:$Q$9,0))</f>
        <v>4109</v>
      </c>
      <c r="G81" s="34">
        <f t="array" ref="G81">INDEX('W24. Total generation'!$E$10:$Q$90,MATCH($A81&amp;$B81,'W24. Total generation'!$A$10:$A$90&amp;'W24. Total generation'!$C$10:$C$90,0),MATCH(G$76,'W24. Total generation'!$E$9:$Q$9,0))</f>
        <v>4368.5</v>
      </c>
      <c r="H81" s="34">
        <f t="array" ref="H81">INDEX('W24. Total generation'!$E$10:$Q$90,MATCH($A81&amp;$B81,'W24. Total generation'!$A$10:$A$90&amp;'W24. Total generation'!$C$10:$C$90,0),MATCH(H$76,'W24. Total generation'!$E$9:$Q$9,0))</f>
        <v>5223</v>
      </c>
      <c r="I81" s="34">
        <f t="array" ref="I81">INDEX('W24. Total generation'!$E$10:$Q$90,MATCH($A81&amp;$B81,'W24. Total generation'!$A$10:$A$90&amp;'W24. Total generation'!$C$10:$C$90,0),MATCH(I$76,'W24. Total generation'!$E$9:$Q$9,0))</f>
        <v>5973</v>
      </c>
      <c r="J81" s="34">
        <f t="array" ref="J81">INDEX('W24. Total generation'!$E$10:$Q$90,MATCH($A81&amp;$B81,'W24. Total generation'!$A$10:$A$90&amp;'W24. Total generation'!$C$10:$C$90,0),MATCH(J$76,'W24. Total generation'!$E$9:$Q$9,0))</f>
        <v>6709</v>
      </c>
    </row>
    <row r="82" spans="1:10" x14ac:dyDescent="0.3">
      <c r="A82" s="3" t="s">
        <v>368</v>
      </c>
      <c r="B82" s="3" t="s">
        <v>253</v>
      </c>
      <c r="C82" s="34" t="str">
        <f t="array" ref="C82">INDEX('W24. Total generation'!$E$10:$Q$90,MATCH($A82&amp;$B82,'W24. Total generation'!$A$10:$A$90&amp;'W24. Total generation'!$C$10:$C$90,0),MATCH(C$76,'W24. Total generation'!$E$9:$Q$9,0))</f>
        <v/>
      </c>
      <c r="D82" s="34" t="str">
        <f t="array" ref="D82">INDEX('W24. Total generation'!$E$10:$Q$90,MATCH($A82&amp;$B82,'W24. Total generation'!$A$10:$A$90&amp;'W24. Total generation'!$C$10:$C$90,0),MATCH(D$76,'W24. Total generation'!$E$9:$Q$9,0))</f>
        <v/>
      </c>
      <c r="E82" s="34">
        <f t="array" ref="E82">INDEX('W24. Total generation'!$E$10:$Q$90,MATCH($A82&amp;$B82,'W24. Total generation'!$A$10:$A$90&amp;'W24. Total generation'!$C$10:$C$90,0),MATCH(E$76,'W24. Total generation'!$E$9:$Q$9,0))</f>
        <v>569</v>
      </c>
      <c r="F82" s="34">
        <f t="array" ref="F82">INDEX('W24. Total generation'!$E$10:$Q$90,MATCH($A82&amp;$B82,'W24. Total generation'!$A$10:$A$90&amp;'W24. Total generation'!$C$10:$C$90,0),MATCH(F$76,'W24. Total generation'!$E$9:$Q$9,0))</f>
        <v>623</v>
      </c>
      <c r="G82" s="34">
        <f t="array" ref="G82">INDEX('W24. Total generation'!$E$10:$Q$90,MATCH($A82&amp;$B82,'W24. Total generation'!$A$10:$A$90&amp;'W24. Total generation'!$C$10:$C$90,0),MATCH(G$76,'W24. Total generation'!$E$9:$Q$9,0))</f>
        <v>716.75</v>
      </c>
      <c r="H82" s="34">
        <f t="array" ref="H82">INDEX('W24. Total generation'!$E$10:$Q$90,MATCH($A82&amp;$B82,'W24. Total generation'!$A$10:$A$90&amp;'W24. Total generation'!$C$10:$C$90,0),MATCH(H$76,'W24. Total generation'!$E$9:$Q$9,0))</f>
        <v>992</v>
      </c>
      <c r="I82" s="34">
        <f t="array" ref="I82">INDEX('W24. Total generation'!$E$10:$Q$90,MATCH($A82&amp;$B82,'W24. Total generation'!$A$10:$A$90&amp;'W24. Total generation'!$C$10:$C$90,0),MATCH(I$76,'W24. Total generation'!$E$9:$Q$9,0))</f>
        <v>1228</v>
      </c>
      <c r="J82" s="34">
        <f t="array" ref="J82">INDEX('W24. Total generation'!$E$10:$Q$90,MATCH($A82&amp;$B82,'W24. Total generation'!$A$10:$A$90&amp;'W24. Total generation'!$C$10:$C$90,0),MATCH(J$76,'W24. Total generation'!$E$9:$Q$9,0))</f>
        <v>1466</v>
      </c>
    </row>
    <row r="83" spans="1:10" x14ac:dyDescent="0.3">
      <c r="A83" s="3" t="s">
        <v>368</v>
      </c>
      <c r="B83" s="3" t="s">
        <v>260</v>
      </c>
      <c r="C83" s="34" t="str">
        <f t="array" ref="C83">INDEX('W24. Total generation'!$E$10:$Q$90,MATCH($A83&amp;$B83,'W24. Total generation'!$A$10:$A$90&amp;'W24. Total generation'!$C$10:$C$90,0),MATCH(C$76,'W24. Total generation'!$E$9:$Q$9,0))</f>
        <v/>
      </c>
      <c r="D83" s="34" t="str">
        <f t="array" ref="D83">INDEX('W24. Total generation'!$E$10:$Q$90,MATCH($A83&amp;$B83,'W24. Total generation'!$A$10:$A$90&amp;'W24. Total generation'!$C$10:$C$90,0),MATCH(D$76,'W24. Total generation'!$E$9:$Q$9,0))</f>
        <v/>
      </c>
      <c r="E83" s="34">
        <f t="array" ref="E83">INDEX('W24. Total generation'!$E$10:$Q$90,MATCH($A83&amp;$B83,'W24. Total generation'!$A$10:$A$90&amp;'W24. Total generation'!$C$10:$C$90,0),MATCH(E$76,'W24. Total generation'!$E$9:$Q$9,0))</f>
        <v>957</v>
      </c>
      <c r="F83" s="34">
        <f t="array" ref="F83">INDEX('W24. Total generation'!$E$10:$Q$90,MATCH($A83&amp;$B83,'W24. Total generation'!$A$10:$A$90&amp;'W24. Total generation'!$C$10:$C$90,0),MATCH(F$76,'W24. Total generation'!$E$9:$Q$9,0))</f>
        <v>1085</v>
      </c>
      <c r="G83" s="34">
        <f t="array" ref="G83">INDEX('W24. Total generation'!$E$10:$Q$90,MATCH($A83&amp;$B83,'W24. Total generation'!$A$10:$A$90&amp;'W24. Total generation'!$C$10:$C$90,0),MATCH(G$76,'W24. Total generation'!$E$9:$Q$9,0))</f>
        <v>1484.75</v>
      </c>
      <c r="H83" s="34">
        <f t="array" ref="H83">INDEX('W24. Total generation'!$E$10:$Q$90,MATCH($A83&amp;$B83,'W24. Total generation'!$A$10:$A$90&amp;'W24. Total generation'!$C$10:$C$90,0),MATCH(H$76,'W24. Total generation'!$E$9:$Q$9,0))</f>
        <v>2668</v>
      </c>
      <c r="I83" s="34">
        <f t="array" ref="I83">INDEX('W24. Total generation'!$E$10:$Q$90,MATCH($A83&amp;$B83,'W24. Total generation'!$A$10:$A$90&amp;'W24. Total generation'!$C$10:$C$90,0),MATCH(I$76,'W24. Total generation'!$E$9:$Q$9,0))</f>
        <v>3679</v>
      </c>
      <c r="J83" s="34">
        <f t="array" ref="J83">INDEX('W24. Total generation'!$E$10:$Q$90,MATCH($A83&amp;$B83,'W24. Total generation'!$A$10:$A$90&amp;'W24. Total generation'!$C$10:$C$90,0),MATCH(J$76,'W24. Total generation'!$E$9:$Q$9,0))</f>
        <v>4679</v>
      </c>
    </row>
    <row r="84" spans="1:10" x14ac:dyDescent="0.3">
      <c r="A84" s="3" t="s">
        <v>368</v>
      </c>
      <c r="B84" s="3" t="s">
        <v>258</v>
      </c>
      <c r="C84" s="34" t="str">
        <f t="array" ref="C84">INDEX('W24. Total generation'!$E$10:$Q$90,MATCH($A84&amp;$B84,'W24. Total generation'!$A$10:$A$90&amp;'W24. Total generation'!$C$10:$C$90,0),MATCH(C$76,'W24. Total generation'!$E$9:$Q$9,0))</f>
        <v/>
      </c>
      <c r="D84" s="34" t="str">
        <f t="array" ref="D84">INDEX('W24. Total generation'!$E$10:$Q$90,MATCH($A84&amp;$B84,'W24. Total generation'!$A$10:$A$90&amp;'W24. Total generation'!$C$10:$C$90,0),MATCH(D$76,'W24. Total generation'!$E$9:$Q$9,0))</f>
        <v/>
      </c>
      <c r="E84" s="34">
        <f t="array" ref="E84">INDEX('W24. Total generation'!$E$10:$Q$90,MATCH($A84&amp;$B84,'W24. Total generation'!$A$10:$A$90&amp;'W24. Total generation'!$C$10:$C$90,0),MATCH(E$76,'W24. Total generation'!$E$9:$Q$9,0))</f>
        <v>83</v>
      </c>
      <c r="F84" s="34">
        <f t="array" ref="F84">INDEX('W24. Total generation'!$E$10:$Q$90,MATCH($A84&amp;$B84,'W24. Total generation'!$A$10:$A$90&amp;'W24. Total generation'!$C$10:$C$90,0),MATCH(F$76,'W24. Total generation'!$E$9:$Q$9,0))</f>
        <v>88</v>
      </c>
      <c r="G84" s="34">
        <f t="array" ref="G84">INDEX('W24. Total generation'!$E$10:$Q$90,MATCH($A84&amp;$B84,'W24. Total generation'!$A$10:$A$90&amp;'W24. Total generation'!$C$10:$C$90,0),MATCH(G$76,'W24. Total generation'!$E$9:$Q$9,0))</f>
        <v>102.625</v>
      </c>
      <c r="H84" s="34">
        <f t="array" ref="H84">INDEX('W24. Total generation'!$E$10:$Q$90,MATCH($A84&amp;$B84,'W24. Total generation'!$A$10:$A$90&amp;'W24. Total generation'!$C$10:$C$90,0),MATCH(H$76,'W24. Total generation'!$E$9:$Q$9,0))</f>
        <v>178</v>
      </c>
      <c r="I84" s="34">
        <f t="array" ref="I84">INDEX('W24. Total generation'!$E$10:$Q$90,MATCH($A84&amp;$B84,'W24. Total generation'!$A$10:$A$90&amp;'W24. Total generation'!$C$10:$C$90,0),MATCH(I$76,'W24. Total generation'!$E$9:$Q$9,0))</f>
        <v>306</v>
      </c>
      <c r="J84" s="34">
        <f t="array" ref="J84">INDEX('W24. Total generation'!$E$10:$Q$90,MATCH($A84&amp;$B84,'W24. Total generation'!$A$10:$A$90&amp;'W24. Total generation'!$C$10:$C$90,0),MATCH(J$76,'W24. Total generation'!$E$9:$Q$9,0))</f>
        <v>440</v>
      </c>
    </row>
    <row r="85" spans="1:10" x14ac:dyDescent="0.3">
      <c r="A85" s="3" t="s">
        <v>368</v>
      </c>
      <c r="B85" s="3" t="s">
        <v>259</v>
      </c>
      <c r="C85" s="34" t="str">
        <f t="array" ref="C85">INDEX('W24. Total generation'!$E$10:$Q$90,MATCH($A85&amp;$B85,'W24. Total generation'!$A$10:$A$90&amp;'W24. Total generation'!$C$10:$C$90,0),MATCH(C$76,'W24. Total generation'!$E$9:$Q$9,0))</f>
        <v/>
      </c>
      <c r="D85" s="34" t="str">
        <f t="array" ref="D85">INDEX('W24. Total generation'!$E$10:$Q$90,MATCH($A85&amp;$B85,'W24. Total generation'!$A$10:$A$90&amp;'W24. Total generation'!$C$10:$C$90,0),MATCH(D$76,'W24. Total generation'!$E$9:$Q$9,0))</f>
        <v/>
      </c>
      <c r="E85" s="34">
        <f t="array" ref="E85">INDEX('W24. Total generation'!$E$10:$Q$90,MATCH($A85&amp;$B85,'W24. Total generation'!$A$10:$A$90&amp;'W24. Total generation'!$C$10:$C$90,0),MATCH(E$76,'W24. Total generation'!$E$9:$Q$9,0))</f>
        <v>338</v>
      </c>
      <c r="F85" s="34">
        <f t="array" ref="F85">INDEX('W24. Total generation'!$E$10:$Q$90,MATCH($A85&amp;$B85,'W24. Total generation'!$A$10:$A$90&amp;'W24. Total generation'!$C$10:$C$90,0),MATCH(F$76,'W24. Total generation'!$E$9:$Q$9,0))</f>
        <v>446</v>
      </c>
      <c r="G85" s="34">
        <f t="array" ref="G85">INDEX('W24. Total generation'!$E$10:$Q$90,MATCH($A85&amp;$B85,'W24. Total generation'!$A$10:$A$90&amp;'W24. Total generation'!$C$10:$C$90,0),MATCH(G$76,'W24. Total generation'!$E$9:$Q$9,0))</f>
        <v>790.25</v>
      </c>
      <c r="H85" s="34">
        <f t="array" ref="H85">INDEX('W24. Total generation'!$E$10:$Q$90,MATCH($A85&amp;$B85,'W24. Total generation'!$A$10:$A$90&amp;'W24. Total generation'!$C$10:$C$90,0),MATCH(H$76,'W24. Total generation'!$E$9:$Q$9,0))</f>
        <v>1834</v>
      </c>
      <c r="I85" s="34">
        <f t="array" ref="I85">INDEX('W24. Total generation'!$E$10:$Q$90,MATCH($A85&amp;$B85,'W24. Total generation'!$A$10:$A$90&amp;'W24. Total generation'!$C$10:$C$90,0),MATCH(I$76,'W24. Total generation'!$E$9:$Q$9,0))</f>
        <v>3075</v>
      </c>
      <c r="J85" s="34">
        <f t="array" ref="J85">INDEX('W24. Total generation'!$E$10:$Q$90,MATCH($A85&amp;$B85,'W24. Total generation'!$A$10:$A$90&amp;'W24. Total generation'!$C$10:$C$90,0),MATCH(J$76,'W24. Total generation'!$E$9:$Q$9,0))</f>
        <v>4483</v>
      </c>
    </row>
    <row r="86" spans="1:10" x14ac:dyDescent="0.3">
      <c r="A86" s="3" t="s">
        <v>370</v>
      </c>
      <c r="B86" s="3" t="s">
        <v>254</v>
      </c>
      <c r="C86" s="34" t="str">
        <f t="array" ref="C86">INDEX('W24. Total generation'!$E$10:$Q$90,MATCH($A86&amp;$B86,'W24. Total generation'!$A$10:$A$90&amp;'W24. Total generation'!$C$10:$C$90,0),MATCH(C$76,'W24. Total generation'!$E$9:$Q$9,0))</f>
        <v/>
      </c>
      <c r="D86" s="34" t="str">
        <f t="array" ref="D86">INDEX('W24. Total generation'!$E$10:$Q$90,MATCH($A86&amp;$B86,'W24. Total generation'!$A$10:$A$90&amp;'W24. Total generation'!$C$10:$C$90,0),MATCH(D$76,'W24. Total generation'!$E$9:$Q$9,0))</f>
        <v/>
      </c>
      <c r="E86" s="34">
        <f t="array" ref="E86">INDEX('W24. Total generation'!$E$10:$Q$90,MATCH($A86&amp;$B86,'W24. Total generation'!$A$10:$A$90&amp;'W24. Total generation'!$C$10:$C$90,0),MATCH(E$76,'W24. Total generation'!$E$9:$Q$9,0))</f>
        <v>9575</v>
      </c>
      <c r="F86" s="34">
        <f t="array" ref="F86">INDEX('W24. Total generation'!$E$10:$Q$90,MATCH($A86&amp;$B86,'W24. Total generation'!$A$10:$A$90&amp;'W24. Total generation'!$C$10:$C$90,0),MATCH(F$76,'W24. Total generation'!$E$9:$Q$9,0))</f>
        <v>9858</v>
      </c>
      <c r="G86" s="34">
        <f t="array" ref="G86">INDEX('W24. Total generation'!$E$10:$Q$90,MATCH($A86&amp;$B86,'W24. Total generation'!$A$10:$A$90&amp;'W24. Total generation'!$C$10:$C$90,0),MATCH(G$76,'W24. Total generation'!$E$9:$Q$9,0))</f>
        <v>9872.25</v>
      </c>
      <c r="H86" s="34">
        <f t="array" ref="H86">INDEX('W24. Total generation'!$E$10:$Q$90,MATCH($A86&amp;$B86,'W24. Total generation'!$A$10:$A$90&amp;'W24. Total generation'!$C$10:$C$90,0),MATCH(H$76,'W24. Total generation'!$E$9:$Q$9,0))</f>
        <v>10016</v>
      </c>
      <c r="I86" s="34">
        <f t="array" ref="I86">INDEX('W24. Total generation'!$E$10:$Q$90,MATCH($A86&amp;$B86,'W24. Total generation'!$A$10:$A$90&amp;'W24. Total generation'!$C$10:$C$90,0),MATCH(I$76,'W24. Total generation'!$E$9:$Q$9,0))</f>
        <v>10335</v>
      </c>
      <c r="J86" s="34">
        <f t="array" ref="J86">INDEX('W24. Total generation'!$E$10:$Q$90,MATCH($A86&amp;$B86,'W24. Total generation'!$A$10:$A$90&amp;'W24. Total generation'!$C$10:$C$90,0),MATCH(J$76,'W24. Total generation'!$E$9:$Q$9,0))</f>
        <v>10661</v>
      </c>
    </row>
    <row r="87" spans="1:10" x14ac:dyDescent="0.3">
      <c r="A87" s="3" t="s">
        <v>370</v>
      </c>
      <c r="B87" s="3" t="s">
        <v>266</v>
      </c>
      <c r="C87" s="34" t="str">
        <f t="array" ref="C87">INDEX('W24. Total generation'!$E$10:$Q$90,MATCH($A87&amp;$B87,'W24. Total generation'!$A$10:$A$90&amp;'W24. Total generation'!$C$10:$C$90,0),MATCH(C$76,'W24. Total generation'!$E$9:$Q$9,0))</f>
        <v/>
      </c>
      <c r="D87" s="34" t="str">
        <f t="array" ref="D87">INDEX('W24. Total generation'!$E$10:$Q$90,MATCH($A87&amp;$B87,'W24. Total generation'!$A$10:$A$90&amp;'W24. Total generation'!$C$10:$C$90,0),MATCH(D$76,'W24. Total generation'!$E$9:$Q$9,0))</f>
        <v/>
      </c>
      <c r="E87" s="34">
        <f t="array" ref="E87">INDEX('W24. Total generation'!$E$10:$Q$90,MATCH($A87&amp;$B87,'W24. Total generation'!$A$10:$A$90&amp;'W24. Total generation'!$C$10:$C$90,0),MATCH(E$76,'W24. Total generation'!$E$9:$Q$9,0))</f>
        <v>926</v>
      </c>
      <c r="F87" s="34">
        <f t="array" ref="F87">INDEX('W24. Total generation'!$E$10:$Q$90,MATCH($A87&amp;$B87,'W24. Total generation'!$A$10:$A$90&amp;'W24. Total generation'!$C$10:$C$90,0),MATCH(F$76,'W24. Total generation'!$E$9:$Q$9,0))</f>
        <v>940</v>
      </c>
      <c r="G87" s="34">
        <f t="array" ref="G87">INDEX('W24. Total generation'!$E$10:$Q$90,MATCH($A87&amp;$B87,'W24. Total generation'!$A$10:$A$90&amp;'W24. Total generation'!$C$10:$C$90,0),MATCH(G$76,'W24. Total generation'!$E$9:$Q$9,0))</f>
        <v>873.625</v>
      </c>
      <c r="H87" s="34">
        <f t="array" ref="H87">INDEX('W24. Total generation'!$E$10:$Q$90,MATCH($A87&amp;$B87,'W24. Total generation'!$A$10:$A$90&amp;'W24. Total generation'!$C$10:$C$90,0),MATCH(H$76,'W24. Total generation'!$E$9:$Q$9,0))</f>
        <v>676</v>
      </c>
      <c r="I87" s="34">
        <f t="array" ref="I87">INDEX('W24. Total generation'!$E$10:$Q$90,MATCH($A87&amp;$B87,'W24. Total generation'!$A$10:$A$90&amp;'W24. Total generation'!$C$10:$C$90,0),MATCH(I$76,'W24. Total generation'!$E$9:$Q$9,0))</f>
        <v>527</v>
      </c>
      <c r="J87" s="34">
        <f t="array" ref="J87">INDEX('W24. Total generation'!$E$10:$Q$90,MATCH($A87&amp;$B87,'W24. Total generation'!$A$10:$A$90&amp;'W24. Total generation'!$C$10:$C$90,0),MATCH(J$76,'W24. Total generation'!$E$9:$Q$9,0))</f>
        <v>387</v>
      </c>
    </row>
    <row r="88" spans="1:10" x14ac:dyDescent="0.3">
      <c r="A88" s="3" t="s">
        <v>370</v>
      </c>
      <c r="B88" s="3" t="s">
        <v>255</v>
      </c>
      <c r="C88" s="34" t="str">
        <f t="array" ref="C88">INDEX('W24. Total generation'!$E$10:$Q$90,MATCH($A88&amp;$B88,'W24. Total generation'!$A$10:$A$90&amp;'W24. Total generation'!$C$10:$C$90,0),MATCH(C$76,'W24. Total generation'!$E$9:$Q$9,0))</f>
        <v/>
      </c>
      <c r="D88" s="34" t="str">
        <f t="array" ref="D88">INDEX('W24. Total generation'!$E$10:$Q$90,MATCH($A88&amp;$B88,'W24. Total generation'!$A$10:$A$90&amp;'W24. Total generation'!$C$10:$C$90,0),MATCH(D$76,'W24. Total generation'!$E$9:$Q$9,0))</f>
        <v/>
      </c>
      <c r="E88" s="34">
        <f t="array" ref="E88">INDEX('W24. Total generation'!$E$10:$Q$90,MATCH($A88&amp;$B88,'W24. Total generation'!$A$10:$A$90&amp;'W24. Total generation'!$C$10:$C$90,0),MATCH(E$76,'W24. Total generation'!$E$9:$Q$9,0))</f>
        <v>5781</v>
      </c>
      <c r="F88" s="34">
        <f t="array" ref="F88">INDEX('W24. Total generation'!$E$10:$Q$90,MATCH($A88&amp;$B88,'W24. Total generation'!$A$10:$A$90&amp;'W24. Total generation'!$C$10:$C$90,0),MATCH(F$76,'W24. Total generation'!$E$9:$Q$9,0))</f>
        <v>5855</v>
      </c>
      <c r="G88" s="34">
        <f t="array" ref="G88">INDEX('W24. Total generation'!$E$10:$Q$90,MATCH($A88&amp;$B88,'W24. Total generation'!$A$10:$A$90&amp;'W24. Total generation'!$C$10:$C$90,0),MATCH(G$76,'W24. Total generation'!$E$9:$Q$9,0))</f>
        <v>6220.25</v>
      </c>
      <c r="H88" s="34">
        <f t="array" ref="H88">INDEX('W24. Total generation'!$E$10:$Q$90,MATCH($A88&amp;$B88,'W24. Total generation'!$A$10:$A$90&amp;'W24. Total generation'!$C$10:$C$90,0),MATCH(H$76,'W24. Total generation'!$E$9:$Q$9,0))</f>
        <v>7517</v>
      </c>
      <c r="I88" s="34">
        <f t="array" ref="I88">INDEX('W24. Total generation'!$E$10:$Q$90,MATCH($A88&amp;$B88,'W24. Total generation'!$A$10:$A$90&amp;'W24. Total generation'!$C$10:$C$90,0),MATCH(I$76,'W24. Total generation'!$E$9:$Q$9,0))</f>
        <v>9071</v>
      </c>
      <c r="J88" s="34">
        <f t="array" ref="J88">INDEX('W24. Total generation'!$E$10:$Q$90,MATCH($A88&amp;$B88,'W24. Total generation'!$A$10:$A$90&amp;'W24. Total generation'!$C$10:$C$90,0),MATCH(J$76,'W24. Total generation'!$E$9:$Q$9,0))</f>
        <v>10683</v>
      </c>
    </row>
    <row r="89" spans="1:10" x14ac:dyDescent="0.3">
      <c r="A89" s="3" t="s">
        <v>370</v>
      </c>
      <c r="B89" s="3" t="s">
        <v>257</v>
      </c>
      <c r="C89" s="34" t="str">
        <f t="array" ref="C89">INDEX('W24. Total generation'!$E$10:$Q$90,MATCH($A89&amp;$B89,'W24. Total generation'!$A$10:$A$90&amp;'W24. Total generation'!$C$10:$C$90,0),MATCH(C$76,'W24. Total generation'!$E$9:$Q$9,0))</f>
        <v/>
      </c>
      <c r="D89" s="34" t="str">
        <f t="array" ref="D89">INDEX('W24. Total generation'!$E$10:$Q$90,MATCH($A89&amp;$B89,'W24. Total generation'!$A$10:$A$90&amp;'W24. Total generation'!$C$10:$C$90,0),MATCH(D$76,'W24. Total generation'!$E$9:$Q$9,0))</f>
        <v/>
      </c>
      <c r="E89" s="34">
        <f t="array" ref="E89">INDEX('W24. Total generation'!$E$10:$Q$90,MATCH($A89&amp;$B89,'W24. Total generation'!$A$10:$A$90&amp;'W24. Total generation'!$C$10:$C$90,0),MATCH(E$76,'W24. Total generation'!$E$9:$Q$9,0))</f>
        <v>2605</v>
      </c>
      <c r="F89" s="34">
        <f t="array" ref="F89">INDEX('W24. Total generation'!$E$10:$Q$90,MATCH($A89&amp;$B89,'W24. Total generation'!$A$10:$A$90&amp;'W24. Total generation'!$C$10:$C$90,0),MATCH(F$76,'W24. Total generation'!$E$9:$Q$9,0))</f>
        <v>2637</v>
      </c>
      <c r="G89" s="34">
        <f t="array" ref="G89">INDEX('W24. Total generation'!$E$10:$Q$90,MATCH($A89&amp;$B89,'W24. Total generation'!$A$10:$A$90&amp;'W24. Total generation'!$C$10:$C$90,0),MATCH(G$76,'W24. Total generation'!$E$9:$Q$9,0))</f>
        <v>2806.5</v>
      </c>
      <c r="H89" s="34">
        <f t="array" ref="H89">INDEX('W24. Total generation'!$E$10:$Q$90,MATCH($A89&amp;$B89,'W24. Total generation'!$A$10:$A$90&amp;'W24. Total generation'!$C$10:$C$90,0),MATCH(H$76,'W24. Total generation'!$E$9:$Q$9,0))</f>
        <v>3253</v>
      </c>
      <c r="I89" s="34">
        <f t="array" ref="I89">INDEX('W24. Total generation'!$E$10:$Q$90,MATCH($A89&amp;$B89,'W24. Total generation'!$A$10:$A$90&amp;'W24. Total generation'!$C$10:$C$90,0),MATCH(I$76,'W24. Total generation'!$E$9:$Q$9,0))</f>
        <v>3726</v>
      </c>
      <c r="J89" s="34">
        <f t="array" ref="J89">INDEX('W24. Total generation'!$E$10:$Q$90,MATCH($A89&amp;$B89,'W24. Total generation'!$A$10:$A$90&amp;'W24. Total generation'!$C$10:$C$90,0),MATCH(J$76,'W24. Total generation'!$E$9:$Q$9,0))</f>
        <v>4138</v>
      </c>
    </row>
    <row r="90" spans="1:10" x14ac:dyDescent="0.3">
      <c r="A90" s="3" t="s">
        <v>370</v>
      </c>
      <c r="B90" s="3" t="s">
        <v>256</v>
      </c>
      <c r="C90" s="34" t="str">
        <f t="array" ref="C90">INDEX('W24. Total generation'!$E$10:$Q$90,MATCH($A90&amp;$B90,'W24. Total generation'!$A$10:$A$90&amp;'W24. Total generation'!$C$10:$C$90,0),MATCH(C$76,'W24. Total generation'!$E$9:$Q$9,0))</f>
        <v/>
      </c>
      <c r="D90" s="34" t="str">
        <f t="array" ref="D90">INDEX('W24. Total generation'!$E$10:$Q$90,MATCH($A90&amp;$B90,'W24. Total generation'!$A$10:$A$90&amp;'W24. Total generation'!$C$10:$C$90,0),MATCH(D$76,'W24. Total generation'!$E$9:$Q$9,0))</f>
        <v/>
      </c>
      <c r="E90" s="34">
        <f t="array" ref="E90">INDEX('W24. Total generation'!$E$10:$Q$90,MATCH($A90&amp;$B90,'W24. Total generation'!$A$10:$A$90&amp;'W24. Total generation'!$C$10:$C$90,0),MATCH(E$76,'W24. Total generation'!$E$9:$Q$9,0))</f>
        <v>4049</v>
      </c>
      <c r="F90" s="34">
        <f t="array" ref="F90">INDEX('W24. Total generation'!$E$10:$Q$90,MATCH($A90&amp;$B90,'W24. Total generation'!$A$10:$A$90&amp;'W24. Total generation'!$C$10:$C$90,0),MATCH(F$76,'W24. Total generation'!$E$9:$Q$9,0))</f>
        <v>4109</v>
      </c>
      <c r="G90" s="34">
        <f t="array" ref="G90">INDEX('W24. Total generation'!$E$10:$Q$90,MATCH($A90&amp;$B90,'W24. Total generation'!$A$10:$A$90&amp;'W24. Total generation'!$C$10:$C$90,0),MATCH(G$76,'W24. Total generation'!$E$9:$Q$9,0))</f>
        <v>4376</v>
      </c>
      <c r="H90" s="34">
        <f t="array" ref="H90">INDEX('W24. Total generation'!$E$10:$Q$90,MATCH($A90&amp;$B90,'W24. Total generation'!$A$10:$A$90&amp;'W24. Total generation'!$C$10:$C$90,0),MATCH(H$76,'W24. Total generation'!$E$9:$Q$9,0))</f>
        <v>5330</v>
      </c>
      <c r="I90" s="34">
        <f t="array" ref="I90">INDEX('W24. Total generation'!$E$10:$Q$90,MATCH($A90&amp;$B90,'W24. Total generation'!$A$10:$A$90&amp;'W24. Total generation'!$C$10:$C$90,0),MATCH(I$76,'W24. Total generation'!$E$9:$Q$9,0))</f>
        <v>6179</v>
      </c>
      <c r="J90" s="34">
        <f t="array" ref="J90">INDEX('W24. Total generation'!$E$10:$Q$90,MATCH($A90&amp;$B90,'W24. Total generation'!$A$10:$A$90&amp;'W24. Total generation'!$C$10:$C$90,0),MATCH(J$76,'W24. Total generation'!$E$9:$Q$9,0))</f>
        <v>6989</v>
      </c>
    </row>
    <row r="91" spans="1:10" x14ac:dyDescent="0.3">
      <c r="A91" s="3" t="s">
        <v>370</v>
      </c>
      <c r="B91" s="3" t="s">
        <v>253</v>
      </c>
      <c r="C91" s="34" t="str">
        <f t="array" ref="C91">INDEX('W24. Total generation'!$E$10:$Q$90,MATCH($A91&amp;$B91,'W24. Total generation'!$A$10:$A$90&amp;'W24. Total generation'!$C$10:$C$90,0),MATCH(C$76,'W24. Total generation'!$E$9:$Q$9,0))</f>
        <v/>
      </c>
      <c r="D91" s="34" t="str">
        <f t="array" ref="D91">INDEX('W24. Total generation'!$E$10:$Q$90,MATCH($A91&amp;$B91,'W24. Total generation'!$A$10:$A$90&amp;'W24. Total generation'!$C$10:$C$90,0),MATCH(D$76,'W24. Total generation'!$E$9:$Q$9,0))</f>
        <v/>
      </c>
      <c r="E91" s="34">
        <f t="array" ref="E91">INDEX('W24. Total generation'!$E$10:$Q$90,MATCH($A91&amp;$B91,'W24. Total generation'!$A$10:$A$90&amp;'W24. Total generation'!$C$10:$C$90,0),MATCH(E$76,'W24. Total generation'!$E$9:$Q$9,0))</f>
        <v>569</v>
      </c>
      <c r="F91" s="34">
        <f t="array" ref="F91">INDEX('W24. Total generation'!$E$10:$Q$90,MATCH($A91&amp;$B91,'W24. Total generation'!$A$10:$A$90&amp;'W24. Total generation'!$C$10:$C$90,0),MATCH(F$76,'W24. Total generation'!$E$9:$Q$9,0))</f>
        <v>623</v>
      </c>
      <c r="G91" s="34">
        <f t="array" ref="G91">INDEX('W24. Total generation'!$E$10:$Q$90,MATCH($A91&amp;$B91,'W24. Total generation'!$A$10:$A$90&amp;'W24. Total generation'!$C$10:$C$90,0),MATCH(G$76,'W24. Total generation'!$E$9:$Q$9,0))</f>
        <v>723.125</v>
      </c>
      <c r="H91" s="34">
        <f t="array" ref="H91">INDEX('W24. Total generation'!$E$10:$Q$90,MATCH($A91&amp;$B91,'W24. Total generation'!$A$10:$A$90&amp;'W24. Total generation'!$C$10:$C$90,0),MATCH(H$76,'W24. Total generation'!$E$9:$Q$9,0))</f>
        <v>1057</v>
      </c>
      <c r="I91" s="34">
        <f t="array" ref="I91">INDEX('W24. Total generation'!$E$10:$Q$90,MATCH($A91&amp;$B91,'W24. Total generation'!$A$10:$A$90&amp;'W24. Total generation'!$C$10:$C$90,0),MATCH(I$76,'W24. Total generation'!$E$9:$Q$9,0))</f>
        <v>1427</v>
      </c>
      <c r="J91" s="34">
        <f t="array" ref="J91">INDEX('W24. Total generation'!$E$10:$Q$90,MATCH($A91&amp;$B91,'W24. Total generation'!$A$10:$A$90&amp;'W24. Total generation'!$C$10:$C$90,0),MATCH(J$76,'W24. Total generation'!$E$9:$Q$9,0))</f>
        <v>1805</v>
      </c>
    </row>
    <row r="92" spans="1:10" x14ac:dyDescent="0.3">
      <c r="A92" s="3" t="s">
        <v>370</v>
      </c>
      <c r="B92" s="3" t="s">
        <v>260</v>
      </c>
      <c r="C92" s="34" t="str">
        <f t="array" ref="C92">INDEX('W24. Total generation'!$E$10:$Q$90,MATCH($A92&amp;$B92,'W24. Total generation'!$A$10:$A$90&amp;'W24. Total generation'!$C$10:$C$90,0),MATCH(C$76,'W24. Total generation'!$E$9:$Q$9,0))</f>
        <v/>
      </c>
      <c r="D92" s="34" t="str">
        <f t="array" ref="D92">INDEX('W24. Total generation'!$E$10:$Q$90,MATCH($A92&amp;$B92,'W24. Total generation'!$A$10:$A$90&amp;'W24. Total generation'!$C$10:$C$90,0),MATCH(D$76,'W24. Total generation'!$E$9:$Q$9,0))</f>
        <v/>
      </c>
      <c r="E92" s="34">
        <f t="array" ref="E92">INDEX('W24. Total generation'!$E$10:$Q$90,MATCH($A92&amp;$B92,'W24. Total generation'!$A$10:$A$90&amp;'W24. Total generation'!$C$10:$C$90,0),MATCH(E$76,'W24. Total generation'!$E$9:$Q$9,0))</f>
        <v>957</v>
      </c>
      <c r="F92" s="34">
        <f t="array" ref="F92">INDEX('W24. Total generation'!$E$10:$Q$90,MATCH($A92&amp;$B92,'W24. Total generation'!$A$10:$A$90&amp;'W24. Total generation'!$C$10:$C$90,0),MATCH(F$76,'W24. Total generation'!$E$9:$Q$9,0))</f>
        <v>1085</v>
      </c>
      <c r="G92" s="34">
        <f t="array" ref="G92">INDEX('W24. Total generation'!$E$10:$Q$90,MATCH($A92&amp;$B92,'W24. Total generation'!$A$10:$A$90&amp;'W24. Total generation'!$C$10:$C$90,0),MATCH(G$76,'W24. Total generation'!$E$9:$Q$9,0))</f>
        <v>1542.125</v>
      </c>
      <c r="H92" s="34">
        <f t="array" ref="H92">INDEX('W24. Total generation'!$E$10:$Q$90,MATCH($A92&amp;$B92,'W24. Total generation'!$A$10:$A$90&amp;'W24. Total generation'!$C$10:$C$90,0),MATCH(H$76,'W24. Total generation'!$E$9:$Q$9,0))</f>
        <v>3157</v>
      </c>
      <c r="I92" s="34">
        <f t="array" ref="I92">INDEX('W24. Total generation'!$E$10:$Q$90,MATCH($A92&amp;$B92,'W24. Total generation'!$A$10:$A$90&amp;'W24. Total generation'!$C$10:$C$90,0),MATCH(I$76,'W24. Total generation'!$E$9:$Q$9,0))</f>
        <v>4690</v>
      </c>
      <c r="J92" s="34">
        <f t="array" ref="J92">INDEX('W24. Total generation'!$E$10:$Q$90,MATCH($A92&amp;$B92,'W24. Total generation'!$A$10:$A$90&amp;'W24. Total generation'!$C$10:$C$90,0),MATCH(J$76,'W24. Total generation'!$E$9:$Q$9,0))</f>
        <v>6150</v>
      </c>
    </row>
    <row r="93" spans="1:10" x14ac:dyDescent="0.3">
      <c r="A93" s="3" t="s">
        <v>370</v>
      </c>
      <c r="B93" s="3" t="s">
        <v>258</v>
      </c>
      <c r="C93" s="34" t="str">
        <f t="array" ref="C93">INDEX('W24. Total generation'!$E$10:$Q$90,MATCH($A93&amp;$B93,'W24. Total generation'!$A$10:$A$90&amp;'W24. Total generation'!$C$10:$C$90,0),MATCH(C$76,'W24. Total generation'!$E$9:$Q$9,0))</f>
        <v/>
      </c>
      <c r="D93" s="34" t="str">
        <f t="array" ref="D93">INDEX('W24. Total generation'!$E$10:$Q$90,MATCH($A93&amp;$B93,'W24. Total generation'!$A$10:$A$90&amp;'W24. Total generation'!$C$10:$C$90,0),MATCH(D$76,'W24. Total generation'!$E$9:$Q$9,0))</f>
        <v/>
      </c>
      <c r="E93" s="34">
        <f t="array" ref="E93">INDEX('W24. Total generation'!$E$10:$Q$90,MATCH($A93&amp;$B93,'W24. Total generation'!$A$10:$A$90&amp;'W24. Total generation'!$C$10:$C$90,0),MATCH(E$76,'W24. Total generation'!$E$9:$Q$9,0))</f>
        <v>83</v>
      </c>
      <c r="F93" s="34">
        <f t="array" ref="F93">INDEX('W24. Total generation'!$E$10:$Q$90,MATCH($A93&amp;$B93,'W24. Total generation'!$A$10:$A$90&amp;'W24. Total generation'!$C$10:$C$90,0),MATCH(F$76,'W24. Total generation'!$E$9:$Q$9,0))</f>
        <v>88</v>
      </c>
      <c r="G93" s="34">
        <f t="array" ref="G93">INDEX('W24. Total generation'!$E$10:$Q$90,MATCH($A93&amp;$B93,'W24. Total generation'!$A$10:$A$90&amp;'W24. Total generation'!$C$10:$C$90,0),MATCH(G$76,'W24. Total generation'!$E$9:$Q$9,0))</f>
        <v>104.5</v>
      </c>
      <c r="H93" s="34">
        <f t="array" ref="H93">INDEX('W24. Total generation'!$E$10:$Q$90,MATCH($A93&amp;$B93,'W24. Total generation'!$A$10:$A$90&amp;'W24. Total generation'!$C$10:$C$90,0),MATCH(H$76,'W24. Total generation'!$E$9:$Q$9,0))</f>
        <v>202</v>
      </c>
      <c r="I93" s="34">
        <f t="array" ref="I93">INDEX('W24. Total generation'!$E$10:$Q$90,MATCH($A93&amp;$B93,'W24. Total generation'!$A$10:$A$90&amp;'W24. Total generation'!$C$10:$C$90,0),MATCH(I$76,'W24. Total generation'!$E$9:$Q$9,0))</f>
        <v>395</v>
      </c>
      <c r="J93" s="34">
        <f t="array" ref="J93">INDEX('W24. Total generation'!$E$10:$Q$90,MATCH($A93&amp;$B93,'W24. Total generation'!$A$10:$A$90&amp;'W24. Total generation'!$C$10:$C$90,0),MATCH(J$76,'W24. Total generation'!$E$9:$Q$9,0))</f>
        <v>609</v>
      </c>
    </row>
    <row r="94" spans="1:10" x14ac:dyDescent="0.3">
      <c r="A94" s="3" t="s">
        <v>370</v>
      </c>
      <c r="B94" s="3" t="s">
        <v>259</v>
      </c>
      <c r="C94" s="34" t="str">
        <f t="array" ref="C94">INDEX('W24. Total generation'!$E$10:$Q$90,MATCH($A94&amp;$B94,'W24. Total generation'!$A$10:$A$90&amp;'W24. Total generation'!$C$10:$C$90,0),MATCH(C$76,'W24. Total generation'!$E$9:$Q$9,0))</f>
        <v/>
      </c>
      <c r="D94" s="34" t="str">
        <f t="array" ref="D94">INDEX('W24. Total generation'!$E$10:$Q$90,MATCH($A94&amp;$B94,'W24. Total generation'!$A$10:$A$90&amp;'W24. Total generation'!$C$10:$C$90,0),MATCH(D$76,'W24. Total generation'!$E$9:$Q$9,0))</f>
        <v/>
      </c>
      <c r="E94" s="34">
        <f t="array" ref="E94">INDEX('W24. Total generation'!$E$10:$Q$90,MATCH($A94&amp;$B94,'W24. Total generation'!$A$10:$A$90&amp;'W24. Total generation'!$C$10:$C$90,0),MATCH(E$76,'W24. Total generation'!$E$9:$Q$9,0))</f>
        <v>338</v>
      </c>
      <c r="F94" s="34">
        <f t="array" ref="F94">INDEX('W24. Total generation'!$E$10:$Q$90,MATCH($A94&amp;$B94,'W24. Total generation'!$A$10:$A$90&amp;'W24. Total generation'!$C$10:$C$90,0),MATCH(F$76,'W24. Total generation'!$E$9:$Q$9,0))</f>
        <v>446</v>
      </c>
      <c r="G94" s="34">
        <f t="array" ref="G94">INDEX('W24. Total generation'!$E$10:$Q$90,MATCH($A94&amp;$B94,'W24. Total generation'!$A$10:$A$90&amp;'W24. Total generation'!$C$10:$C$90,0),MATCH(G$76,'W24. Total generation'!$E$9:$Q$9,0))</f>
        <v>840.125</v>
      </c>
      <c r="H94" s="34">
        <f t="array" ref="H94">INDEX('W24. Total generation'!$E$10:$Q$90,MATCH($A94&amp;$B94,'W24. Total generation'!$A$10:$A$90&amp;'W24. Total generation'!$C$10:$C$90,0),MATCH(H$76,'W24. Total generation'!$E$9:$Q$9,0))</f>
        <v>2272</v>
      </c>
      <c r="I94" s="34">
        <f t="array" ref="I94">INDEX('W24. Total generation'!$E$10:$Q$90,MATCH($A94&amp;$B94,'W24. Total generation'!$A$10:$A$90&amp;'W24. Total generation'!$C$10:$C$90,0),MATCH(I$76,'W24. Total generation'!$E$9:$Q$9,0))</f>
        <v>4061</v>
      </c>
      <c r="J94" s="34">
        <f t="array" ref="J94">INDEX('W24. Total generation'!$E$10:$Q$90,MATCH($A94&amp;$B94,'W24. Total generation'!$A$10:$A$90&amp;'W24. Total generation'!$C$10:$C$90,0),MATCH(J$76,'W24. Total generation'!$E$9:$Q$9,0))</f>
        <v>6037</v>
      </c>
    </row>
    <row r="95" spans="1:10" x14ac:dyDescent="0.3">
      <c r="A95" s="3" t="s">
        <v>372</v>
      </c>
      <c r="B95" s="3" t="s">
        <v>254</v>
      </c>
      <c r="C95" s="34" t="str">
        <f t="array" ref="C95">INDEX('W24. Total generation'!$E$10:$Q$90,MATCH($A95&amp;$B95,'W24. Total generation'!$A$10:$A$90&amp;'W24. Total generation'!$C$10:$C$90,0),MATCH(C$76,'W24. Total generation'!$E$9:$Q$9,0))</f>
        <v/>
      </c>
      <c r="D95" s="34" t="str">
        <f t="array" ref="D95">INDEX('W24. Total generation'!$E$10:$Q$90,MATCH($A95&amp;$B95,'W24. Total generation'!$A$10:$A$90&amp;'W24. Total generation'!$C$10:$C$90,0),MATCH(D$76,'W24. Total generation'!$E$9:$Q$9,0))</f>
        <v/>
      </c>
      <c r="E95" s="34">
        <f t="array" ref="E95">INDEX('W24. Total generation'!$E$10:$Q$90,MATCH($A95&amp;$B95,'W24. Total generation'!$A$10:$A$90&amp;'W24. Total generation'!$C$10:$C$90,0),MATCH(E$76,'W24. Total generation'!$E$9:$Q$9,0))</f>
        <v>9575</v>
      </c>
      <c r="F95" s="34">
        <f t="array" ref="F95">INDEX('W24. Total generation'!$E$10:$Q$90,MATCH($A95&amp;$B95,'W24. Total generation'!$A$10:$A$90&amp;'W24. Total generation'!$C$10:$C$90,0),MATCH(F$76,'W24. Total generation'!$E$9:$Q$9,0))</f>
        <v>9858</v>
      </c>
      <c r="G95" s="34">
        <f t="array" ref="G95">INDEX('W24. Total generation'!$E$10:$Q$90,MATCH($A95&amp;$B95,'W24. Total generation'!$A$10:$A$90&amp;'W24. Total generation'!$C$10:$C$90,0),MATCH(G$76,'W24. Total generation'!$E$9:$Q$9,0))</f>
        <v>8858.625</v>
      </c>
      <c r="H95" s="34">
        <f t="array" ref="H95">INDEX('W24. Total generation'!$E$10:$Q$90,MATCH($A95&amp;$B95,'W24. Total generation'!$A$10:$A$90&amp;'W24. Total generation'!$C$10:$C$90,0),MATCH(H$76,'W24. Total generation'!$E$9:$Q$9,0))</f>
        <v>4847</v>
      </c>
      <c r="I95" s="34">
        <f t="array" ref="I95">INDEX('W24. Total generation'!$E$10:$Q$90,MATCH($A95&amp;$B95,'W24. Total generation'!$A$10:$A$90&amp;'W24. Total generation'!$C$10:$C$90,0),MATCH(I$76,'W24. Total generation'!$E$9:$Q$9,0))</f>
        <v>1982</v>
      </c>
      <c r="J95" s="34">
        <f t="array" ref="J95">INDEX('W24. Total generation'!$E$10:$Q$90,MATCH($A95&amp;$B95,'W24. Total generation'!$A$10:$A$90&amp;'W24. Total generation'!$C$10:$C$90,0),MATCH(J$76,'W24. Total generation'!$E$9:$Q$9,0))</f>
        <v>0</v>
      </c>
    </row>
    <row r="96" spans="1:10" x14ac:dyDescent="0.3">
      <c r="A96" s="3" t="s">
        <v>372</v>
      </c>
      <c r="B96" s="3" t="s">
        <v>266</v>
      </c>
      <c r="C96" s="34" t="str">
        <f t="array" ref="C96">INDEX('W24. Total generation'!$E$10:$Q$90,MATCH($A96&amp;$B96,'W24. Total generation'!$A$10:$A$90&amp;'W24. Total generation'!$C$10:$C$90,0),MATCH(C$76,'W24. Total generation'!$E$9:$Q$9,0))</f>
        <v/>
      </c>
      <c r="D96" s="34" t="str">
        <f t="array" ref="D96">INDEX('W24. Total generation'!$E$10:$Q$90,MATCH($A96&amp;$B96,'W24. Total generation'!$A$10:$A$90&amp;'W24. Total generation'!$C$10:$C$90,0),MATCH(D$76,'W24. Total generation'!$E$9:$Q$9,0))</f>
        <v/>
      </c>
      <c r="E96" s="34">
        <f t="array" ref="E96">INDEX('W24. Total generation'!$E$10:$Q$90,MATCH($A96&amp;$B96,'W24. Total generation'!$A$10:$A$90&amp;'W24. Total generation'!$C$10:$C$90,0),MATCH(E$76,'W24. Total generation'!$E$9:$Q$9,0))</f>
        <v>926</v>
      </c>
      <c r="F96" s="34">
        <f t="array" ref="F96">INDEX('W24. Total generation'!$E$10:$Q$90,MATCH($A96&amp;$B96,'W24. Total generation'!$A$10:$A$90&amp;'W24. Total generation'!$C$10:$C$90,0),MATCH(F$76,'W24. Total generation'!$E$9:$Q$9,0))</f>
        <v>940</v>
      </c>
      <c r="G96" s="34">
        <f t="array" ref="G96">INDEX('W24. Total generation'!$E$10:$Q$90,MATCH($A96&amp;$B96,'W24. Total generation'!$A$10:$A$90&amp;'W24. Total generation'!$C$10:$C$90,0),MATCH(G$76,'W24. Total generation'!$E$9:$Q$9,0))</f>
        <v>814.375</v>
      </c>
      <c r="H96" s="34">
        <f t="array" ref="H96">INDEX('W24. Total generation'!$E$10:$Q$90,MATCH($A96&amp;$B96,'W24. Total generation'!$A$10:$A$90&amp;'W24. Total generation'!$C$10:$C$90,0),MATCH(H$76,'W24. Total generation'!$E$9:$Q$9,0))</f>
        <v>413</v>
      </c>
      <c r="I96" s="34">
        <f t="array" ref="I96">INDEX('W24. Total generation'!$E$10:$Q$90,MATCH($A96&amp;$B96,'W24. Total generation'!$A$10:$A$90&amp;'W24. Total generation'!$C$10:$C$90,0),MATCH(I$76,'W24. Total generation'!$E$9:$Q$9,0))</f>
        <v>197</v>
      </c>
      <c r="J96" s="34">
        <f t="array" ref="J96">INDEX('W24. Total generation'!$E$10:$Q$90,MATCH($A96&amp;$B96,'W24. Total generation'!$A$10:$A$90&amp;'W24. Total generation'!$C$10:$C$90,0),MATCH(J$76,'W24. Total generation'!$E$9:$Q$9,0))</f>
        <v>43</v>
      </c>
    </row>
    <row r="97" spans="1:10" x14ac:dyDescent="0.3">
      <c r="A97" s="3" t="s">
        <v>372</v>
      </c>
      <c r="B97" s="3" t="s">
        <v>255</v>
      </c>
      <c r="C97" s="34" t="str">
        <f t="array" ref="C97">INDEX('W24. Total generation'!$E$10:$Q$90,MATCH($A97&amp;$B97,'W24. Total generation'!$A$10:$A$90&amp;'W24. Total generation'!$C$10:$C$90,0),MATCH(C$76,'W24. Total generation'!$E$9:$Q$9,0))</f>
        <v/>
      </c>
      <c r="D97" s="34" t="str">
        <f t="array" ref="D97">INDEX('W24. Total generation'!$E$10:$Q$90,MATCH($A97&amp;$B97,'W24. Total generation'!$A$10:$A$90&amp;'W24. Total generation'!$C$10:$C$90,0),MATCH(D$76,'W24. Total generation'!$E$9:$Q$9,0))</f>
        <v/>
      </c>
      <c r="E97" s="34">
        <f t="array" ref="E97">INDEX('W24. Total generation'!$E$10:$Q$90,MATCH($A97&amp;$B97,'W24. Total generation'!$A$10:$A$90&amp;'W24. Total generation'!$C$10:$C$90,0),MATCH(E$76,'W24. Total generation'!$E$9:$Q$9,0))</f>
        <v>5781</v>
      </c>
      <c r="F97" s="34">
        <f t="array" ref="F97">INDEX('W24. Total generation'!$E$10:$Q$90,MATCH($A97&amp;$B97,'W24. Total generation'!$A$10:$A$90&amp;'W24. Total generation'!$C$10:$C$90,0),MATCH(F$76,'W24. Total generation'!$E$9:$Q$9,0))</f>
        <v>5855</v>
      </c>
      <c r="G97" s="34">
        <f t="array" ref="G97">INDEX('W24. Total generation'!$E$10:$Q$90,MATCH($A97&amp;$B97,'W24. Total generation'!$A$10:$A$90&amp;'W24. Total generation'!$C$10:$C$90,0),MATCH(G$76,'W24. Total generation'!$E$9:$Q$9,0))</f>
        <v>6213.125</v>
      </c>
      <c r="H97" s="34">
        <f t="array" ref="H97">INDEX('W24. Total generation'!$E$10:$Q$90,MATCH($A97&amp;$B97,'W24. Total generation'!$A$10:$A$90&amp;'W24. Total generation'!$C$10:$C$90,0),MATCH(H$76,'W24. Total generation'!$E$9:$Q$9,0))</f>
        <v>6830</v>
      </c>
      <c r="I97" s="34">
        <f t="array" ref="I97">INDEX('W24. Total generation'!$E$10:$Q$90,MATCH($A97&amp;$B97,'W24. Total generation'!$A$10:$A$90&amp;'W24. Total generation'!$C$10:$C$90,0),MATCH(I$76,'W24. Total generation'!$E$9:$Q$9,0))</f>
        <v>5358</v>
      </c>
      <c r="J97" s="34">
        <f t="array" ref="J97">INDEX('W24. Total generation'!$E$10:$Q$90,MATCH($A97&amp;$B97,'W24. Total generation'!$A$10:$A$90&amp;'W24. Total generation'!$C$10:$C$90,0),MATCH(J$76,'W24. Total generation'!$E$9:$Q$9,0))</f>
        <v>3564</v>
      </c>
    </row>
    <row r="98" spans="1:10" x14ac:dyDescent="0.3">
      <c r="A98" s="3" t="s">
        <v>372</v>
      </c>
      <c r="B98" s="3" t="s">
        <v>257</v>
      </c>
      <c r="C98" s="34" t="str">
        <f t="array" ref="C98">INDEX('W24. Total generation'!$E$10:$Q$90,MATCH($A98&amp;$B98,'W24. Total generation'!$A$10:$A$90&amp;'W24. Total generation'!$C$10:$C$90,0),MATCH(C$76,'W24. Total generation'!$E$9:$Q$9,0))</f>
        <v/>
      </c>
      <c r="D98" s="34" t="str">
        <f t="array" ref="D98">INDEX('W24. Total generation'!$E$10:$Q$90,MATCH($A98&amp;$B98,'W24. Total generation'!$A$10:$A$90&amp;'W24. Total generation'!$C$10:$C$90,0),MATCH(D$76,'W24. Total generation'!$E$9:$Q$9,0))</f>
        <v/>
      </c>
      <c r="E98" s="34">
        <f t="array" ref="E98">INDEX('W24. Total generation'!$E$10:$Q$90,MATCH($A98&amp;$B98,'W24. Total generation'!$A$10:$A$90&amp;'W24. Total generation'!$C$10:$C$90,0),MATCH(E$76,'W24. Total generation'!$E$9:$Q$9,0))</f>
        <v>2605</v>
      </c>
      <c r="F98" s="34">
        <f t="array" ref="F98">INDEX('W24. Total generation'!$E$10:$Q$90,MATCH($A98&amp;$B98,'W24. Total generation'!$A$10:$A$90&amp;'W24. Total generation'!$C$10:$C$90,0),MATCH(F$76,'W24. Total generation'!$E$9:$Q$9,0))</f>
        <v>2637</v>
      </c>
      <c r="G98" s="34">
        <f t="array" ref="G98">INDEX('W24. Total generation'!$E$10:$Q$90,MATCH($A98&amp;$B98,'W24. Total generation'!$A$10:$A$90&amp;'W24. Total generation'!$C$10:$C$90,0),MATCH(G$76,'W24. Total generation'!$E$9:$Q$9,0))</f>
        <v>2886.75</v>
      </c>
      <c r="H98" s="34">
        <f t="array" ref="H98">INDEX('W24. Total generation'!$E$10:$Q$90,MATCH($A98&amp;$B98,'W24. Total generation'!$A$10:$A$90&amp;'W24. Total generation'!$C$10:$C$90,0),MATCH(H$76,'W24. Total generation'!$E$9:$Q$9,0))</f>
        <v>3888</v>
      </c>
      <c r="I98" s="34">
        <f t="array" ref="I98">INDEX('W24. Total generation'!$E$10:$Q$90,MATCH($A98&amp;$B98,'W24. Total generation'!$A$10:$A$90&amp;'W24. Total generation'!$C$10:$C$90,0),MATCH(I$76,'W24. Total generation'!$E$9:$Q$9,0))</f>
        <v>4960</v>
      </c>
      <c r="J98" s="34">
        <f t="array" ref="J98">INDEX('W24. Total generation'!$E$10:$Q$90,MATCH($A98&amp;$B98,'W24. Total generation'!$A$10:$A$90&amp;'W24. Total generation'!$C$10:$C$90,0),MATCH(J$76,'W24. Total generation'!$E$9:$Q$9,0))</f>
        <v>5812</v>
      </c>
    </row>
    <row r="99" spans="1:10" x14ac:dyDescent="0.3">
      <c r="A99" s="3" t="s">
        <v>372</v>
      </c>
      <c r="B99" s="3" t="s">
        <v>256</v>
      </c>
      <c r="C99" s="34" t="str">
        <f t="array" ref="C99">INDEX('W24. Total generation'!$E$10:$Q$90,MATCH($A99&amp;$B99,'W24. Total generation'!$A$10:$A$90&amp;'W24. Total generation'!$C$10:$C$90,0),MATCH(C$76,'W24. Total generation'!$E$9:$Q$9,0))</f>
        <v/>
      </c>
      <c r="D99" s="34" t="str">
        <f t="array" ref="D99">INDEX('W24. Total generation'!$E$10:$Q$90,MATCH($A99&amp;$B99,'W24. Total generation'!$A$10:$A$90&amp;'W24. Total generation'!$C$10:$C$90,0),MATCH(D$76,'W24. Total generation'!$E$9:$Q$9,0))</f>
        <v/>
      </c>
      <c r="E99" s="34">
        <f t="array" ref="E99">INDEX('W24. Total generation'!$E$10:$Q$90,MATCH($A99&amp;$B99,'W24. Total generation'!$A$10:$A$90&amp;'W24. Total generation'!$C$10:$C$90,0),MATCH(E$76,'W24. Total generation'!$E$9:$Q$9,0))</f>
        <v>4049</v>
      </c>
      <c r="F99" s="34">
        <f t="array" ref="F99">INDEX('W24. Total generation'!$E$10:$Q$90,MATCH($A99&amp;$B99,'W24. Total generation'!$A$10:$A$90&amp;'W24. Total generation'!$C$10:$C$90,0),MATCH(F$76,'W24. Total generation'!$E$9:$Q$9,0))</f>
        <v>4109</v>
      </c>
      <c r="G99" s="34">
        <f t="array" ref="G99">INDEX('W24. Total generation'!$E$10:$Q$90,MATCH($A99&amp;$B99,'W24. Total generation'!$A$10:$A$90&amp;'W24. Total generation'!$C$10:$C$90,0),MATCH(G$76,'W24. Total generation'!$E$9:$Q$9,0))</f>
        <v>4447.625</v>
      </c>
      <c r="H99" s="34">
        <f t="array" ref="H99">INDEX('W24. Total generation'!$E$10:$Q$90,MATCH($A99&amp;$B99,'W24. Total generation'!$A$10:$A$90&amp;'W24. Total generation'!$C$10:$C$90,0),MATCH(H$76,'W24. Total generation'!$E$9:$Q$9,0))</f>
        <v>5722</v>
      </c>
      <c r="I99" s="34">
        <f t="array" ref="I99">INDEX('W24. Total generation'!$E$10:$Q$90,MATCH($A99&amp;$B99,'W24. Total generation'!$A$10:$A$90&amp;'W24. Total generation'!$C$10:$C$90,0),MATCH(I$76,'W24. Total generation'!$E$9:$Q$9,0))</f>
        <v>6990</v>
      </c>
      <c r="J99" s="34">
        <f t="array" ref="J99">INDEX('W24. Total generation'!$E$10:$Q$90,MATCH($A99&amp;$B99,'W24. Total generation'!$A$10:$A$90&amp;'W24. Total generation'!$C$10:$C$90,0),MATCH(J$76,'W24. Total generation'!$E$9:$Q$9,0))</f>
        <v>8228</v>
      </c>
    </row>
    <row r="100" spans="1:10" x14ac:dyDescent="0.3">
      <c r="A100" s="3" t="s">
        <v>372</v>
      </c>
      <c r="B100" s="3" t="s">
        <v>253</v>
      </c>
      <c r="C100" s="34" t="str">
        <f t="array" ref="C100">INDEX('W24. Total generation'!$E$10:$Q$90,MATCH($A100&amp;$B100,'W24. Total generation'!$A$10:$A$90&amp;'W24. Total generation'!$C$10:$C$90,0),MATCH(C$76,'W24. Total generation'!$E$9:$Q$9,0))</f>
        <v/>
      </c>
      <c r="D100" s="34" t="str">
        <f t="array" ref="D100">INDEX('W24. Total generation'!$E$10:$Q$90,MATCH($A100&amp;$B100,'W24. Total generation'!$A$10:$A$90&amp;'W24. Total generation'!$C$10:$C$90,0),MATCH(D$76,'W24. Total generation'!$E$9:$Q$9,0))</f>
        <v/>
      </c>
      <c r="E100" s="34">
        <f t="array" ref="E100">INDEX('W24. Total generation'!$E$10:$Q$90,MATCH($A100&amp;$B100,'W24. Total generation'!$A$10:$A$90&amp;'W24. Total generation'!$C$10:$C$90,0),MATCH(E$76,'W24. Total generation'!$E$9:$Q$9,0))</f>
        <v>569</v>
      </c>
      <c r="F100" s="34">
        <f t="array" ref="F100">INDEX('W24. Total generation'!$E$10:$Q$90,MATCH($A100&amp;$B100,'W24. Total generation'!$A$10:$A$90&amp;'W24. Total generation'!$C$10:$C$90,0),MATCH(F$76,'W24. Total generation'!$E$9:$Q$9,0))</f>
        <v>623</v>
      </c>
      <c r="G100" s="34">
        <f t="array" ref="G100">INDEX('W24. Total generation'!$E$10:$Q$90,MATCH($A100&amp;$B100,'W24. Total generation'!$A$10:$A$90&amp;'W24. Total generation'!$C$10:$C$90,0),MATCH(G$76,'W24. Total generation'!$E$9:$Q$9,0))</f>
        <v>779</v>
      </c>
      <c r="H100" s="34">
        <f t="array" ref="H100">INDEX('W24. Total generation'!$E$10:$Q$90,MATCH($A100&amp;$B100,'W24. Total generation'!$A$10:$A$90&amp;'W24. Total generation'!$C$10:$C$90,0),MATCH(H$76,'W24. Total generation'!$E$9:$Q$9,0))</f>
        <v>1325</v>
      </c>
      <c r="I100" s="34">
        <f t="array" ref="I100">INDEX('W24. Total generation'!$E$10:$Q$90,MATCH($A100&amp;$B100,'W24. Total generation'!$A$10:$A$90&amp;'W24. Total generation'!$C$10:$C$90,0),MATCH(I$76,'W24. Total generation'!$E$9:$Q$9,0))</f>
        <v>1968</v>
      </c>
      <c r="J100" s="34">
        <f t="array" ref="J100">INDEX('W24. Total generation'!$E$10:$Q$90,MATCH($A100&amp;$B100,'W24. Total generation'!$A$10:$A$90&amp;'W24. Total generation'!$C$10:$C$90,0),MATCH(J$76,'W24. Total generation'!$E$9:$Q$9,0))</f>
        <v>2612</v>
      </c>
    </row>
    <row r="101" spans="1:10" x14ac:dyDescent="0.3">
      <c r="A101" s="3" t="s">
        <v>372</v>
      </c>
      <c r="B101" s="3" t="s">
        <v>260</v>
      </c>
      <c r="C101" s="34" t="str">
        <f t="array" ref="C101">INDEX('W24. Total generation'!$E$10:$Q$90,MATCH($A101&amp;$B101,'W24. Total generation'!$A$10:$A$90&amp;'W24. Total generation'!$C$10:$C$90,0),MATCH(C$76,'W24. Total generation'!$E$9:$Q$9,0))</f>
        <v/>
      </c>
      <c r="D101" s="34" t="str">
        <f t="array" ref="D101">INDEX('W24. Total generation'!$E$10:$Q$90,MATCH($A101&amp;$B101,'W24. Total generation'!$A$10:$A$90&amp;'W24. Total generation'!$C$10:$C$90,0),MATCH(D$76,'W24. Total generation'!$E$9:$Q$9,0))</f>
        <v/>
      </c>
      <c r="E101" s="34">
        <f t="array" ref="E101">INDEX('W24. Total generation'!$E$10:$Q$90,MATCH($A101&amp;$B101,'W24. Total generation'!$A$10:$A$90&amp;'W24. Total generation'!$C$10:$C$90,0),MATCH(E$76,'W24. Total generation'!$E$9:$Q$9,0))</f>
        <v>957</v>
      </c>
      <c r="F101" s="34">
        <f t="array" ref="F101">INDEX('W24. Total generation'!$E$10:$Q$90,MATCH($A101&amp;$B101,'W24. Total generation'!$A$10:$A$90&amp;'W24. Total generation'!$C$10:$C$90,0),MATCH(F$76,'W24. Total generation'!$E$9:$Q$9,0))</f>
        <v>1085</v>
      </c>
      <c r="G101" s="34">
        <f t="array" ref="G101">INDEX('W24. Total generation'!$E$10:$Q$90,MATCH($A101&amp;$B101,'W24. Total generation'!$A$10:$A$90&amp;'W24. Total generation'!$C$10:$C$90,0),MATCH(G$76,'W24. Total generation'!$E$9:$Q$9,0))</f>
        <v>1693.25</v>
      </c>
      <c r="H101" s="34">
        <f t="array" ref="H101">INDEX('W24. Total generation'!$E$10:$Q$90,MATCH($A101&amp;$B101,'W24. Total generation'!$A$10:$A$90&amp;'W24. Total generation'!$C$10:$C$90,0),MATCH(H$76,'W24. Total generation'!$E$9:$Q$9,0))</f>
        <v>4355</v>
      </c>
      <c r="I101" s="34">
        <f t="array" ref="I101">INDEX('W24. Total generation'!$E$10:$Q$90,MATCH($A101&amp;$B101,'W24. Total generation'!$A$10:$A$90&amp;'W24. Total generation'!$C$10:$C$90,0),MATCH(I$76,'W24. Total generation'!$E$9:$Q$9,0))</f>
        <v>7730</v>
      </c>
      <c r="J101" s="34">
        <f t="array" ref="J101">INDEX('W24. Total generation'!$E$10:$Q$90,MATCH($A101&amp;$B101,'W24. Total generation'!$A$10:$A$90&amp;'W24. Total generation'!$C$10:$C$90,0),MATCH(J$76,'W24. Total generation'!$E$9:$Q$9,0))</f>
        <v>10964</v>
      </c>
    </row>
    <row r="102" spans="1:10" x14ac:dyDescent="0.3">
      <c r="A102" s="3" t="s">
        <v>372</v>
      </c>
      <c r="B102" s="3" t="s">
        <v>258</v>
      </c>
      <c r="C102" s="34" t="str">
        <f t="array" ref="C102">INDEX('W24. Total generation'!$E$10:$Q$90,MATCH($A102&amp;$B102,'W24. Total generation'!$A$10:$A$90&amp;'W24. Total generation'!$C$10:$C$90,0),MATCH(C$76,'W24. Total generation'!$E$9:$Q$9,0))</f>
        <v/>
      </c>
      <c r="D102" s="34" t="str">
        <f t="array" ref="D102">INDEX('W24. Total generation'!$E$10:$Q$90,MATCH($A102&amp;$B102,'W24. Total generation'!$A$10:$A$90&amp;'W24. Total generation'!$C$10:$C$90,0),MATCH(D$76,'W24. Total generation'!$E$9:$Q$9,0))</f>
        <v/>
      </c>
      <c r="E102" s="34">
        <f t="array" ref="E102">INDEX('W24. Total generation'!$E$10:$Q$90,MATCH($A102&amp;$B102,'W24. Total generation'!$A$10:$A$90&amp;'W24. Total generation'!$C$10:$C$90,0),MATCH(E$76,'W24. Total generation'!$E$9:$Q$9,0))</f>
        <v>83</v>
      </c>
      <c r="F102" s="34">
        <f t="array" ref="F102">INDEX('W24. Total generation'!$E$10:$Q$90,MATCH($A102&amp;$B102,'W24. Total generation'!$A$10:$A$90&amp;'W24. Total generation'!$C$10:$C$90,0),MATCH(F$76,'W24. Total generation'!$E$9:$Q$9,0))</f>
        <v>88</v>
      </c>
      <c r="G102" s="34">
        <f t="array" ref="G102">INDEX('W24. Total generation'!$E$10:$Q$90,MATCH($A102&amp;$B102,'W24. Total generation'!$A$10:$A$90&amp;'W24. Total generation'!$C$10:$C$90,0),MATCH(G$76,'W24. Total generation'!$E$9:$Q$9,0))</f>
        <v>117.25</v>
      </c>
      <c r="H102" s="34">
        <f t="array" ref="H102">INDEX('W24. Total generation'!$E$10:$Q$90,MATCH($A102&amp;$B102,'W24. Total generation'!$A$10:$A$90&amp;'W24. Total generation'!$C$10:$C$90,0),MATCH(H$76,'W24. Total generation'!$E$9:$Q$9,0))</f>
        <v>297</v>
      </c>
      <c r="I102" s="34">
        <f t="array" ref="I102">INDEX('W24. Total generation'!$E$10:$Q$90,MATCH($A102&amp;$B102,'W24. Total generation'!$A$10:$A$90&amp;'W24. Total generation'!$C$10:$C$90,0),MATCH(I$76,'W24. Total generation'!$E$9:$Q$9,0))</f>
        <v>633</v>
      </c>
      <c r="J102" s="34">
        <f t="array" ref="J102">INDEX('W24. Total generation'!$E$10:$Q$90,MATCH($A102&amp;$B102,'W24. Total generation'!$A$10:$A$90&amp;'W24. Total generation'!$C$10:$C$90,0),MATCH(J$76,'W24. Total generation'!$E$9:$Q$9,0))</f>
        <v>983</v>
      </c>
    </row>
    <row r="103" spans="1:10" x14ac:dyDescent="0.3">
      <c r="A103" s="3" t="s">
        <v>372</v>
      </c>
      <c r="B103" s="3" t="s">
        <v>259</v>
      </c>
      <c r="C103" s="34" t="str">
        <f t="array" ref="C103">INDEX('W24. Total generation'!$E$10:$Q$90,MATCH($A103&amp;$B103,'W24. Total generation'!$A$10:$A$90&amp;'W24. Total generation'!$C$10:$C$90,0),MATCH(C$76,'W24. Total generation'!$E$9:$Q$9,0))</f>
        <v/>
      </c>
      <c r="D103" s="34" t="str">
        <f t="array" ref="D103">INDEX('W24. Total generation'!$E$10:$Q$90,MATCH($A103&amp;$B103,'W24. Total generation'!$A$10:$A$90&amp;'W24. Total generation'!$C$10:$C$90,0),MATCH(D$76,'W24. Total generation'!$E$9:$Q$9,0))</f>
        <v/>
      </c>
      <c r="E103" s="34">
        <f t="array" ref="E103">INDEX('W24. Total generation'!$E$10:$Q$90,MATCH($A103&amp;$B103,'W24. Total generation'!$A$10:$A$90&amp;'W24. Total generation'!$C$10:$C$90,0),MATCH(E$76,'W24. Total generation'!$E$9:$Q$9,0))</f>
        <v>338</v>
      </c>
      <c r="F103" s="34">
        <f t="array" ref="F103">INDEX('W24. Total generation'!$E$10:$Q$90,MATCH($A103&amp;$B103,'W24. Total generation'!$A$10:$A$90&amp;'W24. Total generation'!$C$10:$C$90,0),MATCH(F$76,'W24. Total generation'!$E$9:$Q$9,0))</f>
        <v>446</v>
      </c>
      <c r="G103" s="34">
        <f t="array" ref="G103">INDEX('W24. Total generation'!$E$10:$Q$90,MATCH($A103&amp;$B103,'W24. Total generation'!$A$10:$A$90&amp;'W24. Total generation'!$C$10:$C$90,0),MATCH(G$76,'W24. Total generation'!$E$9:$Q$9,0))</f>
        <v>1026.5</v>
      </c>
      <c r="H103" s="34">
        <f t="array" ref="H103">INDEX('W24. Total generation'!$E$10:$Q$90,MATCH($A103&amp;$B103,'W24. Total generation'!$A$10:$A$90&amp;'W24. Total generation'!$C$10:$C$90,0),MATCH(H$76,'W24. Total generation'!$E$9:$Q$9,0))</f>
        <v>3452</v>
      </c>
      <c r="I103" s="34">
        <f t="array" ref="I103">INDEX('W24. Total generation'!$E$10:$Q$90,MATCH($A103&amp;$B103,'W24. Total generation'!$A$10:$A$90&amp;'W24. Total generation'!$C$10:$C$90,0),MATCH(I$76,'W24. Total generation'!$E$9:$Q$9,0))</f>
        <v>7264</v>
      </c>
      <c r="J103" s="34">
        <f t="array" ref="J103">INDEX('W24. Total generation'!$E$10:$Q$90,MATCH($A103&amp;$B103,'W24. Total generation'!$A$10:$A$90&amp;'W24. Total generation'!$C$10:$C$90,0),MATCH(J$76,'W24. Total generation'!$E$9:$Q$9,0))</f>
        <v>11256</v>
      </c>
    </row>
    <row r="104" spans="1:10" x14ac:dyDescent="0.3">
      <c r="A104" s="3" t="s">
        <v>378</v>
      </c>
      <c r="B104" s="3" t="s">
        <v>254</v>
      </c>
      <c r="C104" s="34">
        <f t="array" ref="C104">INDEX('W24. Total generation'!$E$10:$Q$90,MATCH($A104&amp;$B104,'W24. Total generation'!$A$10:$A$90&amp;'W24. Total generation'!$C$10:$C$90,0),MATCH(C$76,'W24. Total generation'!$E$9:$Q$9,0))</f>
        <v>9707.2849999999999</v>
      </c>
      <c r="D104" s="34" t="str">
        <f t="array" ref="D104">INDEX('W24. Total generation'!$E$10:$Q$90,MATCH($A104&amp;$B104,'W24. Total generation'!$A$10:$A$90&amp;'W24. Total generation'!$C$10:$C$90,0),MATCH(D$76,'W24. Total generation'!$E$9:$Q$9,0))</f>
        <v/>
      </c>
      <c r="E104" s="34" t="str">
        <f t="array" ref="E104">INDEX('W24. Total generation'!$E$10:$Q$90,MATCH($A104&amp;$B104,'W24. Total generation'!$A$10:$A$90&amp;'W24. Total generation'!$C$10:$C$90,0),MATCH(E$76,'W24. Total generation'!$E$9:$Q$9,0))</f>
        <v/>
      </c>
      <c r="F104" s="34" t="str">
        <f t="array" ref="F104">INDEX('W24. Total generation'!$E$10:$Q$90,MATCH($A104&amp;$B104,'W24. Total generation'!$A$10:$A$90&amp;'W24. Total generation'!$C$10:$C$90,0),MATCH(F$76,'W24. Total generation'!$E$9:$Q$9,0))</f>
        <v/>
      </c>
      <c r="G104" s="34">
        <f t="array" ref="G104">INDEX('W24. Total generation'!$E$10:$Q$90,MATCH($A104&amp;$B104,'W24. Total generation'!$A$10:$A$90&amp;'W24. Total generation'!$C$10:$C$90,0),MATCH(G$76,'W24. Total generation'!$E$9:$Q$9,0))</f>
        <v>10275.141299999999</v>
      </c>
      <c r="H104" s="34">
        <f t="array" ref="H104">INDEX('W24. Total generation'!$E$10:$Q$90,MATCH($A104&amp;$B104,'W24. Total generation'!$A$10:$A$90&amp;'W24. Total generation'!$C$10:$C$90,0),MATCH(H$76,'W24. Total generation'!$E$9:$Q$9,0))</f>
        <v>12770.278</v>
      </c>
      <c r="I104" s="34">
        <f t="array" ref="I104">INDEX('W24. Total generation'!$E$10:$Q$90,MATCH($A104&amp;$B104,'W24. Total generation'!$A$10:$A$90&amp;'W24. Total generation'!$C$10:$C$90,0),MATCH(I$76,'W24. Total generation'!$E$9:$Q$9,0))</f>
        <v>15304.7114</v>
      </c>
      <c r="J104" s="34">
        <f t="array" ref="J104">INDEX('W24. Total generation'!$E$10:$Q$90,MATCH($A104&amp;$B104,'W24. Total generation'!$A$10:$A$90&amp;'W24. Total generation'!$C$10:$C$90,0),MATCH(J$76,'W24. Total generation'!$E$9:$Q$9,0))</f>
        <v>17839.144800000002</v>
      </c>
    </row>
    <row r="105" spans="1:10" x14ac:dyDescent="0.3">
      <c r="A105" s="3" t="s">
        <v>378</v>
      </c>
      <c r="B105" s="3" t="s">
        <v>266</v>
      </c>
      <c r="C105" s="34">
        <f t="array" ref="C105">INDEX('W24. Total generation'!$E$10:$Q$90,MATCH($A105&amp;$B105,'W24. Total generation'!$A$10:$A$90&amp;'W24. Total generation'!$C$10:$C$90,0),MATCH(C$76,'W24. Total generation'!$E$9:$Q$9,0))</f>
        <v>1034.6668999999999</v>
      </c>
      <c r="D105" s="34" t="str">
        <f t="array" ref="D105">INDEX('W24. Total generation'!$E$10:$Q$90,MATCH($A105&amp;$B105,'W24. Total generation'!$A$10:$A$90&amp;'W24. Total generation'!$C$10:$C$90,0),MATCH(D$76,'W24. Total generation'!$E$9:$Q$9,0))</f>
        <v/>
      </c>
      <c r="E105" s="34" t="str">
        <f t="array" ref="E105">INDEX('W24. Total generation'!$E$10:$Q$90,MATCH($A105&amp;$B105,'W24. Total generation'!$A$10:$A$90&amp;'W24. Total generation'!$C$10:$C$90,0),MATCH(E$76,'W24. Total generation'!$E$9:$Q$9,0))</f>
        <v/>
      </c>
      <c r="F105" s="34" t="str">
        <f t="array" ref="F105">INDEX('W24. Total generation'!$E$10:$Q$90,MATCH($A105&amp;$B105,'W24. Total generation'!$A$10:$A$90&amp;'W24. Total generation'!$C$10:$C$90,0),MATCH(F$76,'W24. Total generation'!$E$9:$Q$9,0))</f>
        <v/>
      </c>
      <c r="G105" s="34">
        <f t="array" ref="G105">INDEX('W24. Total generation'!$E$10:$Q$90,MATCH($A105&amp;$B105,'W24. Total generation'!$A$10:$A$90&amp;'W24. Total generation'!$C$10:$C$90,0),MATCH(G$76,'W24. Total generation'!$E$9:$Q$9,0))</f>
        <v>834.5729</v>
      </c>
      <c r="H105" s="34">
        <f t="array" ref="H105">INDEX('W24. Total generation'!$E$10:$Q$90,MATCH($A105&amp;$B105,'W24. Total generation'!$A$10:$A$90&amp;'W24. Total generation'!$C$10:$C$90,0),MATCH(H$76,'W24. Total generation'!$E$9:$Q$9,0))</f>
        <v>660.95690000000002</v>
      </c>
      <c r="I105" s="34">
        <f t="array" ref="I105">INDEX('W24. Total generation'!$E$10:$Q$90,MATCH($A105&amp;$B105,'W24. Total generation'!$A$10:$A$90&amp;'W24. Total generation'!$C$10:$C$90,0),MATCH(I$76,'W24. Total generation'!$E$9:$Q$9,0))</f>
        <v>580.31730000000005</v>
      </c>
      <c r="J105" s="34">
        <f t="array" ref="J105">INDEX('W24. Total generation'!$E$10:$Q$90,MATCH($A105&amp;$B105,'W24. Total generation'!$A$10:$A$90&amp;'W24. Total generation'!$C$10:$C$90,0),MATCH(J$76,'W24. Total generation'!$E$9:$Q$9,0))</f>
        <v>499.67770000000007</v>
      </c>
    </row>
    <row r="106" spans="1:10" x14ac:dyDescent="0.3">
      <c r="A106" s="3" t="s">
        <v>378</v>
      </c>
      <c r="B106" s="3" t="s">
        <v>255</v>
      </c>
      <c r="C106" s="34">
        <f t="array" ref="C106">INDEX('W24. Total generation'!$E$10:$Q$90,MATCH($A106&amp;$B106,'W24. Total generation'!$A$10:$A$90&amp;'W24. Total generation'!$C$10:$C$90,0),MATCH(C$76,'W24. Total generation'!$E$9:$Q$9,0))</f>
        <v>5148.4318999999996</v>
      </c>
      <c r="D106" s="34" t="str">
        <f t="array" ref="D106">INDEX('W24. Total generation'!$E$10:$Q$90,MATCH($A106&amp;$B106,'W24. Total generation'!$A$10:$A$90&amp;'W24. Total generation'!$C$10:$C$90,0),MATCH(D$76,'W24. Total generation'!$E$9:$Q$9,0))</f>
        <v/>
      </c>
      <c r="E106" s="34" t="str">
        <f t="array" ref="E106">INDEX('W24. Total generation'!$E$10:$Q$90,MATCH($A106&amp;$B106,'W24. Total generation'!$A$10:$A$90&amp;'W24. Total generation'!$C$10:$C$90,0),MATCH(E$76,'W24. Total generation'!$E$9:$Q$9,0))</f>
        <v/>
      </c>
      <c r="F106" s="34" t="str">
        <f t="array" ref="F106">INDEX('W24. Total generation'!$E$10:$Q$90,MATCH($A106&amp;$B106,'W24. Total generation'!$A$10:$A$90&amp;'W24. Total generation'!$C$10:$C$90,0),MATCH(F$76,'W24. Total generation'!$E$9:$Q$9,0))</f>
        <v/>
      </c>
      <c r="G106" s="34">
        <f t="array" ref="G106">INDEX('W24. Total generation'!$E$10:$Q$90,MATCH($A106&amp;$B106,'W24. Total generation'!$A$10:$A$90&amp;'W24. Total generation'!$C$10:$C$90,0),MATCH(G$76,'W24. Total generation'!$E$9:$Q$9,0))</f>
        <v>6013.5405000000001</v>
      </c>
      <c r="H106" s="34">
        <f t="array" ref="H106">INDEX('W24. Total generation'!$E$10:$Q$90,MATCH($A106&amp;$B106,'W24. Total generation'!$A$10:$A$90&amp;'W24. Total generation'!$C$10:$C$90,0),MATCH(H$76,'W24. Total generation'!$E$9:$Q$9,0))</f>
        <v>8092.7253000000001</v>
      </c>
      <c r="I106" s="34">
        <f t="array" ref="I106">INDEX('W24. Total generation'!$E$10:$Q$90,MATCH($A106&amp;$B106,'W24. Total generation'!$A$10:$A$90&amp;'W24. Total generation'!$C$10:$C$90,0),MATCH(I$76,'W24. Total generation'!$E$9:$Q$9,0))</f>
        <v>10361.229300000001</v>
      </c>
      <c r="J106" s="34">
        <f t="array" ref="J106">INDEX('W24. Total generation'!$E$10:$Q$90,MATCH($A106&amp;$B106,'W24. Total generation'!$A$10:$A$90&amp;'W24. Total generation'!$C$10:$C$90,0),MATCH(J$76,'W24. Total generation'!$E$9:$Q$9,0))</f>
        <v>12629.733300000002</v>
      </c>
    </row>
    <row r="107" spans="1:10" x14ac:dyDescent="0.3">
      <c r="A107" s="3" t="s">
        <v>378</v>
      </c>
      <c r="B107" s="3" t="s">
        <v>257</v>
      </c>
      <c r="C107" s="34">
        <f t="array" ref="C107">INDEX('W24. Total generation'!$E$10:$Q$90,MATCH($A107&amp;$B107,'W24. Total generation'!$A$10:$A$90&amp;'W24. Total generation'!$C$10:$C$90,0),MATCH(C$76,'W24. Total generation'!$E$9:$Q$9,0))</f>
        <v>2535.326</v>
      </c>
      <c r="D107" s="34" t="str">
        <f t="array" ref="D107">INDEX('W24. Total generation'!$E$10:$Q$90,MATCH($A107&amp;$B107,'W24. Total generation'!$A$10:$A$90&amp;'W24. Total generation'!$C$10:$C$90,0),MATCH(D$76,'W24. Total generation'!$E$9:$Q$9,0))</f>
        <v/>
      </c>
      <c r="E107" s="34" t="str">
        <f t="array" ref="E107">INDEX('W24. Total generation'!$E$10:$Q$90,MATCH($A107&amp;$B107,'W24. Total generation'!$A$10:$A$90&amp;'W24. Total generation'!$C$10:$C$90,0),MATCH(E$76,'W24. Total generation'!$E$9:$Q$9,0))</f>
        <v/>
      </c>
      <c r="F107" s="34" t="str">
        <f t="array" ref="F107">INDEX('W24. Total generation'!$E$10:$Q$90,MATCH($A107&amp;$B107,'W24. Total generation'!$A$10:$A$90&amp;'W24. Total generation'!$C$10:$C$90,0),MATCH(F$76,'W24. Total generation'!$E$9:$Q$9,0))</f>
        <v/>
      </c>
      <c r="G107" s="34">
        <f t="array" ref="G107">INDEX('W24. Total generation'!$E$10:$Q$90,MATCH($A107&amp;$B107,'W24. Total generation'!$A$10:$A$90&amp;'W24. Total generation'!$C$10:$C$90,0),MATCH(G$76,'W24. Total generation'!$E$9:$Q$9,0))</f>
        <v>3040.9061000000002</v>
      </c>
      <c r="H107" s="34">
        <f t="array" ref="H107">INDEX('W24. Total generation'!$E$10:$Q$90,MATCH($A107&amp;$B107,'W24. Total generation'!$A$10:$A$90&amp;'W24. Total generation'!$C$10:$C$90,0),MATCH(H$76,'W24. Total generation'!$E$9:$Q$9,0))</f>
        <v>3590.3856000000001</v>
      </c>
      <c r="I107" s="34">
        <f t="array" ref="I107">INDEX('W24. Total generation'!$E$10:$Q$90,MATCH($A107&amp;$B107,'W24. Total generation'!$A$10:$A$90&amp;'W24. Total generation'!$C$10:$C$90,0),MATCH(I$76,'W24. Total generation'!$E$9:$Q$9,0))</f>
        <v>3960.4515999999999</v>
      </c>
      <c r="J107" s="34">
        <f t="array" ref="J107">INDEX('W24. Total generation'!$E$10:$Q$90,MATCH($A107&amp;$B107,'W24. Total generation'!$A$10:$A$90&amp;'W24. Total generation'!$C$10:$C$90,0),MATCH(J$76,'W24. Total generation'!$E$9:$Q$9,0))</f>
        <v>4330.5175999999992</v>
      </c>
    </row>
    <row r="108" spans="1:10" x14ac:dyDescent="0.3">
      <c r="A108" s="3" t="s">
        <v>378</v>
      </c>
      <c r="B108" s="3" t="s">
        <v>256</v>
      </c>
      <c r="C108" s="34">
        <f t="array" ref="C108">INDEX('W24. Total generation'!$E$10:$Q$90,MATCH($A108&amp;$B108,'W24. Total generation'!$A$10:$A$90&amp;'W24. Total generation'!$C$10:$C$90,0),MATCH(C$76,'W24. Total generation'!$E$9:$Q$9,0))</f>
        <v>3893.634</v>
      </c>
      <c r="D108" s="34" t="str">
        <f t="array" ref="D108">INDEX('W24. Total generation'!$E$10:$Q$90,MATCH($A108&amp;$B108,'W24. Total generation'!$A$10:$A$90&amp;'W24. Total generation'!$C$10:$C$90,0),MATCH(D$76,'W24. Total generation'!$E$9:$Q$9,0))</f>
        <v/>
      </c>
      <c r="E108" s="34" t="str">
        <f t="array" ref="E108">INDEX('W24. Total generation'!$E$10:$Q$90,MATCH($A108&amp;$B108,'W24. Total generation'!$A$10:$A$90&amp;'W24. Total generation'!$C$10:$C$90,0),MATCH(E$76,'W24. Total generation'!$E$9:$Q$9,0))</f>
        <v/>
      </c>
      <c r="F108" s="34" t="str">
        <f t="array" ref="F108">INDEX('W24. Total generation'!$E$10:$Q$90,MATCH($A108&amp;$B108,'W24. Total generation'!$A$10:$A$90&amp;'W24. Total generation'!$C$10:$C$90,0),MATCH(F$76,'W24. Total generation'!$E$9:$Q$9,0))</f>
        <v/>
      </c>
      <c r="G108" s="34">
        <f t="array" ref="G108">INDEX('W24. Total generation'!$E$10:$Q$90,MATCH($A108&amp;$B108,'W24. Total generation'!$A$10:$A$90&amp;'W24. Total generation'!$C$10:$C$90,0),MATCH(G$76,'W24. Total generation'!$E$9:$Q$9,0))</f>
        <v>4362.9211999999998</v>
      </c>
      <c r="H108" s="34">
        <f t="array" ref="H108">INDEX('W24. Total generation'!$E$10:$Q$90,MATCH($A108&amp;$B108,'W24. Total generation'!$A$10:$A$90&amp;'W24. Total generation'!$C$10:$C$90,0),MATCH(H$76,'W24. Total generation'!$E$9:$Q$9,0))</f>
        <v>5231.6869999999999</v>
      </c>
      <c r="I108" s="34">
        <f t="array" ref="I108">INDEX('W24. Total generation'!$E$10:$Q$90,MATCH($A108&amp;$B108,'W24. Total generation'!$A$10:$A$90&amp;'W24. Total generation'!$C$10:$C$90,0),MATCH(I$76,'W24. Total generation'!$E$9:$Q$9,0))</f>
        <v>5984.2550000000001</v>
      </c>
      <c r="J108" s="34">
        <f t="array" ref="J108">INDEX('W24. Total generation'!$E$10:$Q$90,MATCH($A108&amp;$B108,'W24. Total generation'!$A$10:$A$90&amp;'W24. Total generation'!$C$10:$C$90,0),MATCH(J$76,'W24. Total generation'!$E$9:$Q$9,0))</f>
        <v>6736.8230000000003</v>
      </c>
    </row>
    <row r="109" spans="1:10" x14ac:dyDescent="0.3">
      <c r="A109" s="3" t="s">
        <v>378</v>
      </c>
      <c r="B109" s="3" t="s">
        <v>253</v>
      </c>
      <c r="C109" s="34">
        <f t="array" ref="C109">INDEX('W24. Total generation'!$E$10:$Q$90,MATCH($A109&amp;$B109,'W24. Total generation'!$A$10:$A$90&amp;'W24. Total generation'!$C$10:$C$90,0),MATCH(C$76,'W24. Total generation'!$E$9:$Q$9,0))</f>
        <v>494.91829999999999</v>
      </c>
      <c r="D109" s="34" t="str">
        <f t="array" ref="D109">INDEX('W24. Total generation'!$E$10:$Q$90,MATCH($A109&amp;$B109,'W24. Total generation'!$A$10:$A$90&amp;'W24. Total generation'!$C$10:$C$90,0),MATCH(D$76,'W24. Total generation'!$E$9:$Q$9,0))</f>
        <v/>
      </c>
      <c r="E109" s="34" t="str">
        <f t="array" ref="E109">INDEX('W24. Total generation'!$E$10:$Q$90,MATCH($A109&amp;$B109,'W24. Total generation'!$A$10:$A$90&amp;'W24. Total generation'!$C$10:$C$90,0),MATCH(E$76,'W24. Total generation'!$E$9:$Q$9,0))</f>
        <v/>
      </c>
      <c r="F109" s="34" t="str">
        <f t="array" ref="F109">INDEX('W24. Total generation'!$E$10:$Q$90,MATCH($A109&amp;$B109,'W24. Total generation'!$A$10:$A$90&amp;'W24. Total generation'!$C$10:$C$90,0),MATCH(F$76,'W24. Total generation'!$E$9:$Q$9,0))</f>
        <v/>
      </c>
      <c r="G109" s="34">
        <f t="array" ref="G109">INDEX('W24. Total generation'!$E$10:$Q$90,MATCH($A109&amp;$B109,'W24. Total generation'!$A$10:$A$90&amp;'W24. Total generation'!$C$10:$C$90,0),MATCH(G$76,'W24. Total generation'!$E$9:$Q$9,0))</f>
        <v>634.90020000000004</v>
      </c>
      <c r="H109" s="34">
        <f t="array" ref="H109">INDEX('W24. Total generation'!$E$10:$Q$90,MATCH($A109&amp;$B109,'W24. Total generation'!$A$10:$A$90&amp;'W24. Total generation'!$C$10:$C$90,0),MATCH(H$76,'W24. Total generation'!$E$9:$Q$9,0))</f>
        <v>877.76850000000002</v>
      </c>
      <c r="I109" s="34">
        <f t="array" ref="I109">INDEX('W24. Total generation'!$E$10:$Q$90,MATCH($A109&amp;$B109,'W24. Total generation'!$A$10:$A$90&amp;'W24. Total generation'!$C$10:$C$90,0),MATCH(I$76,'W24. Total generation'!$E$9:$Q$9,0))</f>
        <v>1150.6222</v>
      </c>
      <c r="J109" s="34">
        <f t="array" ref="J109">INDEX('W24. Total generation'!$E$10:$Q$90,MATCH($A109&amp;$B109,'W24. Total generation'!$A$10:$A$90&amp;'W24. Total generation'!$C$10:$C$90,0),MATCH(J$76,'W24. Total generation'!$E$9:$Q$9,0))</f>
        <v>1423.4758999999999</v>
      </c>
    </row>
    <row r="110" spans="1:10" x14ac:dyDescent="0.3">
      <c r="A110" s="3" t="s">
        <v>378</v>
      </c>
      <c r="B110" s="3" t="s">
        <v>260</v>
      </c>
      <c r="C110" s="34">
        <f t="array" ref="C110">INDEX('W24. Total generation'!$E$10:$Q$90,MATCH($A110&amp;$B110,'W24. Total generation'!$A$10:$A$90&amp;'W24. Total generation'!$C$10:$C$90,0),MATCH(C$76,'W24. Total generation'!$E$9:$Q$9,0))</f>
        <v>717.29300000000001</v>
      </c>
      <c r="D110" s="34" t="str">
        <f t="array" ref="D110">INDEX('W24. Total generation'!$E$10:$Q$90,MATCH($A110&amp;$B110,'W24. Total generation'!$A$10:$A$90&amp;'W24. Total generation'!$C$10:$C$90,0),MATCH(D$76,'W24. Total generation'!$E$9:$Q$9,0))</f>
        <v/>
      </c>
      <c r="E110" s="34" t="str">
        <f t="array" ref="E110">INDEX('W24. Total generation'!$E$10:$Q$90,MATCH($A110&amp;$B110,'W24. Total generation'!$A$10:$A$90&amp;'W24. Total generation'!$C$10:$C$90,0),MATCH(E$76,'W24. Total generation'!$E$9:$Q$9,0))</f>
        <v/>
      </c>
      <c r="F110" s="34" t="str">
        <f t="array" ref="F110">INDEX('W24. Total generation'!$E$10:$Q$90,MATCH($A110&amp;$B110,'W24. Total generation'!$A$10:$A$90&amp;'W24. Total generation'!$C$10:$C$90,0),MATCH(F$76,'W24. Total generation'!$E$9:$Q$9,0))</f>
        <v/>
      </c>
      <c r="G110" s="34">
        <f t="array" ref="G110">INDEX('W24. Total generation'!$E$10:$Q$90,MATCH($A110&amp;$B110,'W24. Total generation'!$A$10:$A$90&amp;'W24. Total generation'!$C$10:$C$90,0),MATCH(G$76,'W24. Total generation'!$E$9:$Q$9,0))</f>
        <v>1411.1179</v>
      </c>
      <c r="H110" s="34">
        <f t="array" ref="H110">INDEX('W24. Total generation'!$E$10:$Q$90,MATCH($A110&amp;$B110,'W24. Total generation'!$A$10:$A$90&amp;'W24. Total generation'!$C$10:$C$90,0),MATCH(H$76,'W24. Total generation'!$E$9:$Q$9,0))</f>
        <v>2275.7745</v>
      </c>
      <c r="I110" s="34">
        <f t="array" ref="I110">INDEX('W24. Total generation'!$E$10:$Q$90,MATCH($A110&amp;$B110,'W24. Total generation'!$A$10:$A$90&amp;'W24. Total generation'!$C$10:$C$90,0),MATCH(I$76,'W24. Total generation'!$E$9:$Q$9,0))</f>
        <v>3132.2350000000001</v>
      </c>
      <c r="J110" s="34">
        <f t="array" ref="J110">INDEX('W24. Total generation'!$E$10:$Q$90,MATCH($A110&amp;$B110,'W24. Total generation'!$A$10:$A$90&amp;'W24. Total generation'!$C$10:$C$90,0),MATCH(J$76,'W24. Total generation'!$E$9:$Q$9,0))</f>
        <v>3988.6955000000003</v>
      </c>
    </row>
    <row r="111" spans="1:10" x14ac:dyDescent="0.3">
      <c r="A111" s="3" t="s">
        <v>378</v>
      </c>
      <c r="B111" s="3" t="s">
        <v>258</v>
      </c>
      <c r="C111" s="34">
        <f t="array" ref="C111">INDEX('W24. Total generation'!$E$10:$Q$90,MATCH($A111&amp;$B111,'W24. Total generation'!$A$10:$A$90&amp;'W24. Total generation'!$C$10:$C$90,0),MATCH(C$76,'W24. Total generation'!$E$9:$Q$9,0))</f>
        <v>78.375999999999991</v>
      </c>
      <c r="D111" s="34" t="str">
        <f t="array" ref="D111">INDEX('W24. Total generation'!$E$10:$Q$90,MATCH($A111&amp;$B111,'W24. Total generation'!$A$10:$A$90&amp;'W24. Total generation'!$C$10:$C$90,0),MATCH(D$76,'W24. Total generation'!$E$9:$Q$9,0))</f>
        <v/>
      </c>
      <c r="E111" s="34" t="str">
        <f t="array" ref="E111">INDEX('W24. Total generation'!$E$10:$Q$90,MATCH($A111&amp;$B111,'W24. Total generation'!$A$10:$A$90&amp;'W24. Total generation'!$C$10:$C$90,0),MATCH(E$76,'W24. Total generation'!$E$9:$Q$9,0))</f>
        <v/>
      </c>
      <c r="F111" s="34" t="str">
        <f t="array" ref="F111">INDEX('W24. Total generation'!$E$10:$Q$90,MATCH($A111&amp;$B111,'W24. Total generation'!$A$10:$A$90&amp;'W24. Total generation'!$C$10:$C$90,0),MATCH(F$76,'W24. Total generation'!$E$9:$Q$9,0))</f>
        <v/>
      </c>
      <c r="G111" s="34">
        <f t="array" ref="G111">INDEX('W24. Total generation'!$E$10:$Q$90,MATCH($A111&amp;$B111,'W24. Total generation'!$A$10:$A$90&amp;'W24. Total generation'!$C$10:$C$90,0),MATCH(G$76,'W24. Total generation'!$E$9:$Q$9,0))</f>
        <v>110.48820000000001</v>
      </c>
      <c r="H111" s="34">
        <f t="array" ref="H111">INDEX('W24. Total generation'!$E$10:$Q$90,MATCH($A111&amp;$B111,'W24. Total generation'!$A$10:$A$90&amp;'W24. Total generation'!$C$10:$C$90,0),MATCH(H$76,'W24. Total generation'!$E$9:$Q$9,0))</f>
        <v>193.35759999999999</v>
      </c>
      <c r="I111" s="34">
        <f t="array" ref="I111">INDEX('W24. Total generation'!$E$10:$Q$90,MATCH($A111&amp;$B111,'W24. Total generation'!$A$10:$A$90&amp;'W24. Total generation'!$C$10:$C$90,0),MATCH(I$76,'W24. Total generation'!$E$9:$Q$9,0))</f>
        <v>328.5616</v>
      </c>
      <c r="J111" s="34">
        <f t="array" ref="J111">INDEX('W24. Total generation'!$E$10:$Q$90,MATCH($A111&amp;$B111,'W24. Total generation'!$A$10:$A$90&amp;'W24. Total generation'!$C$10:$C$90,0),MATCH(J$76,'W24. Total generation'!$E$9:$Q$9,0))</f>
        <v>463.76560000000001</v>
      </c>
    </row>
    <row r="112" spans="1:10" x14ac:dyDescent="0.3">
      <c r="A112" s="3" t="s">
        <v>378</v>
      </c>
      <c r="B112" s="3" t="s">
        <v>259</v>
      </c>
      <c r="C112" s="34">
        <f t="array" ref="C112">INDEX('W24. Total generation'!$E$10:$Q$90,MATCH($A112&amp;$B112,'W24. Total generation'!$A$10:$A$90&amp;'W24. Total generation'!$C$10:$C$90,0),MATCH(C$76,'W24. Total generation'!$E$9:$Q$9,0))</f>
        <v>198.62899999999999</v>
      </c>
      <c r="D112" s="34" t="str">
        <f t="array" ref="D112">INDEX('W24. Total generation'!$E$10:$Q$90,MATCH($A112&amp;$B112,'W24. Total generation'!$A$10:$A$90&amp;'W24. Total generation'!$C$10:$C$90,0),MATCH(D$76,'W24. Total generation'!$E$9:$Q$9,0))</f>
        <v/>
      </c>
      <c r="E112" s="34" t="str">
        <f t="array" ref="E112">INDEX('W24. Total generation'!$E$10:$Q$90,MATCH($A112&amp;$B112,'W24. Total generation'!$A$10:$A$90&amp;'W24. Total generation'!$C$10:$C$90,0),MATCH(E$76,'W24. Total generation'!$E$9:$Q$9,0))</f>
        <v/>
      </c>
      <c r="F112" s="34" t="str">
        <f t="array" ref="F112">INDEX('W24. Total generation'!$E$10:$Q$90,MATCH($A112&amp;$B112,'W24. Total generation'!$A$10:$A$90&amp;'W24. Total generation'!$C$10:$C$90,0),MATCH(F$76,'W24. Total generation'!$E$9:$Q$9,0))</f>
        <v/>
      </c>
      <c r="G112" s="34">
        <f t="array" ref="G112">INDEX('W24. Total generation'!$E$10:$Q$90,MATCH($A112&amp;$B112,'W24. Total generation'!$A$10:$A$90&amp;'W24. Total generation'!$C$10:$C$90,0),MATCH(G$76,'W24. Total generation'!$E$9:$Q$9,0))</f>
        <v>559.58219999999994</v>
      </c>
      <c r="H112" s="34">
        <f t="array" ref="H112">INDEX('W24. Total generation'!$E$10:$Q$90,MATCH($A112&amp;$B112,'W24. Total generation'!$A$10:$A$90&amp;'W24. Total generation'!$C$10:$C$90,0),MATCH(H$76,'W24. Total generation'!$E$9:$Q$9,0))</f>
        <v>1073.4965</v>
      </c>
      <c r="I112" s="34">
        <f t="array" ref="I112">INDEX('W24. Total generation'!$E$10:$Q$90,MATCH($A112&amp;$B112,'W24. Total generation'!$A$10:$A$90&amp;'W24. Total generation'!$C$10:$C$90,0),MATCH(I$76,'W24. Total generation'!$E$9:$Q$9,0))</f>
        <v>1708.8807000000002</v>
      </c>
      <c r="J112" s="34">
        <f t="array" ref="J112">INDEX('W24. Total generation'!$E$10:$Q$90,MATCH($A112&amp;$B112,'W24. Total generation'!$A$10:$A$90&amp;'W24. Total generation'!$C$10:$C$90,0),MATCH(J$76,'W24. Total generation'!$E$9:$Q$9,0))</f>
        <v>2344.2649000000001</v>
      </c>
    </row>
    <row r="113" spans="1:10" x14ac:dyDescent="0.3">
      <c r="A113" s="3" t="s">
        <v>379</v>
      </c>
      <c r="B113" s="3" t="s">
        <v>254</v>
      </c>
      <c r="C113" s="34">
        <f t="array" ref="C113">INDEX('W24. Total generation'!$E$10:$Q$90,MATCH($A113&amp;$B113,'W24. Total generation'!$A$10:$A$90&amp;'W24. Total generation'!$C$10:$C$90,0),MATCH(C$76,'W24. Total generation'!$E$9:$Q$9,0))</f>
        <v>9707.2849999999999</v>
      </c>
      <c r="D113" s="34" t="str">
        <f t="array" ref="D113">INDEX('W24. Total generation'!$E$10:$Q$90,MATCH($A113&amp;$B113,'W24. Total generation'!$A$10:$A$90&amp;'W24. Total generation'!$C$10:$C$90,0),MATCH(D$76,'W24. Total generation'!$E$9:$Q$9,0))</f>
        <v/>
      </c>
      <c r="E113" s="34" t="str">
        <f t="array" ref="E113">INDEX('W24. Total generation'!$E$10:$Q$90,MATCH($A113&amp;$B113,'W24. Total generation'!$A$10:$A$90&amp;'W24. Total generation'!$C$10:$C$90,0),MATCH(E$76,'W24. Total generation'!$E$9:$Q$9,0))</f>
        <v/>
      </c>
      <c r="F113" s="34" t="str">
        <f t="array" ref="F113">INDEX('W24. Total generation'!$E$10:$Q$90,MATCH($A113&amp;$B113,'W24. Total generation'!$A$10:$A$90&amp;'W24. Total generation'!$C$10:$C$90,0),MATCH(F$76,'W24. Total generation'!$E$9:$Q$9,0))</f>
        <v/>
      </c>
      <c r="G113" s="34">
        <f t="array" ref="G113">INDEX('W24. Total generation'!$E$10:$Q$90,MATCH($A113&amp;$B113,'W24. Total generation'!$A$10:$A$90&amp;'W24. Total generation'!$C$10:$C$90,0),MATCH(G$76,'W24. Total generation'!$E$9:$Q$9,0))</f>
        <v>9741.0679999999993</v>
      </c>
      <c r="H113" s="34">
        <f t="array" ref="H113">INDEX('W24. Total generation'!$E$10:$Q$90,MATCH($A113&amp;$B113,'W24. Total generation'!$A$10:$A$90&amp;'W24. Total generation'!$C$10:$C$90,0),MATCH(H$76,'W24. Total generation'!$E$9:$Q$9,0))</f>
        <v>10245.120999999999</v>
      </c>
      <c r="I113" s="34">
        <f t="array" ref="I113">INDEX('W24. Total generation'!$E$10:$Q$90,MATCH($A113&amp;$B113,'W24. Total generation'!$A$10:$A$90&amp;'W24. Total generation'!$C$10:$C$90,0),MATCH(I$76,'W24. Total generation'!$E$9:$Q$9,0))</f>
        <v>10786.3097</v>
      </c>
      <c r="J113" s="34">
        <f t="array" ref="J113">INDEX('W24. Total generation'!$E$10:$Q$90,MATCH($A113&amp;$B113,'W24. Total generation'!$A$10:$A$90&amp;'W24. Total generation'!$C$10:$C$90,0),MATCH(J$76,'W24. Total generation'!$E$9:$Q$9,0))</f>
        <v>11263.992299999998</v>
      </c>
    </row>
    <row r="114" spans="1:10" x14ac:dyDescent="0.3">
      <c r="A114" s="3" t="s">
        <v>379</v>
      </c>
      <c r="B114" s="3" t="s">
        <v>266</v>
      </c>
      <c r="C114" s="34">
        <f t="array" ref="C114">INDEX('W24. Total generation'!$E$10:$Q$90,MATCH($A114&amp;$B114,'W24. Total generation'!$A$10:$A$90&amp;'W24. Total generation'!$C$10:$C$90,0),MATCH(C$76,'W24. Total generation'!$E$9:$Q$9,0))</f>
        <v>1034.6668999999999</v>
      </c>
      <c r="D114" s="34" t="str">
        <f t="array" ref="D114">INDEX('W24. Total generation'!$E$10:$Q$90,MATCH($A114&amp;$B114,'W24. Total generation'!$A$10:$A$90&amp;'W24. Total generation'!$C$10:$C$90,0),MATCH(D$76,'W24. Total generation'!$E$9:$Q$9,0))</f>
        <v/>
      </c>
      <c r="E114" s="34" t="str">
        <f t="array" ref="E114">INDEX('W24. Total generation'!$E$10:$Q$90,MATCH($A114&amp;$B114,'W24. Total generation'!$A$10:$A$90&amp;'W24. Total generation'!$C$10:$C$90,0),MATCH(E$76,'W24. Total generation'!$E$9:$Q$9,0))</f>
        <v/>
      </c>
      <c r="F114" s="34" t="str">
        <f t="array" ref="F114">INDEX('W24. Total generation'!$E$10:$Q$90,MATCH($A114&amp;$B114,'W24. Total generation'!$A$10:$A$90&amp;'W24. Total generation'!$C$10:$C$90,0),MATCH(F$76,'W24. Total generation'!$E$9:$Q$9,0))</f>
        <v/>
      </c>
      <c r="G114" s="34">
        <f t="array" ref="G114">INDEX('W24. Total generation'!$E$10:$Q$90,MATCH($A114&amp;$B114,'W24. Total generation'!$A$10:$A$90&amp;'W24. Total generation'!$C$10:$C$90,0),MATCH(G$76,'W24. Total generation'!$E$9:$Q$9,0))</f>
        <v>822.38409999999999</v>
      </c>
      <c r="H114" s="34">
        <f t="array" ref="H114">INDEX('W24. Total generation'!$E$10:$Q$90,MATCH($A114&amp;$B114,'W24. Total generation'!$A$10:$A$90&amp;'W24. Total generation'!$C$10:$C$90,0),MATCH(H$76,'W24. Total generation'!$E$9:$Q$9,0))</f>
        <v>633.18830000000003</v>
      </c>
      <c r="I114" s="34">
        <f t="array" ref="I114">INDEX('W24. Total generation'!$E$10:$Q$90,MATCH($A114&amp;$B114,'W24. Total generation'!$A$10:$A$90&amp;'W24. Total generation'!$C$10:$C$90,0),MATCH(I$76,'W24. Total generation'!$E$9:$Q$9,0))</f>
        <v>546.54660000000001</v>
      </c>
      <c r="J114" s="34">
        <f t="array" ref="J114">INDEX('W24. Total generation'!$E$10:$Q$90,MATCH($A114&amp;$B114,'W24. Total generation'!$A$10:$A$90&amp;'W24. Total generation'!$C$10:$C$90,0),MATCH(J$76,'W24. Total generation'!$E$9:$Q$9,0))</f>
        <v>470.10840000000098</v>
      </c>
    </row>
    <row r="115" spans="1:10" x14ac:dyDescent="0.3">
      <c r="A115" s="3" t="s">
        <v>379</v>
      </c>
      <c r="B115" s="3" t="s">
        <v>255</v>
      </c>
      <c r="C115" s="34">
        <f t="array" ref="C115">INDEX('W24. Total generation'!$E$10:$Q$90,MATCH($A115&amp;$B115,'W24. Total generation'!$A$10:$A$90&amp;'W24. Total generation'!$C$10:$C$90,0),MATCH(C$76,'W24. Total generation'!$E$9:$Q$9,0))</f>
        <v>5148.4318999999996</v>
      </c>
      <c r="D115" s="34" t="str">
        <f t="array" ref="D115">INDEX('W24. Total generation'!$E$10:$Q$90,MATCH($A115&amp;$B115,'W24. Total generation'!$A$10:$A$90&amp;'W24. Total generation'!$C$10:$C$90,0),MATCH(D$76,'W24. Total generation'!$E$9:$Q$9,0))</f>
        <v/>
      </c>
      <c r="E115" s="34" t="str">
        <f t="array" ref="E115">INDEX('W24. Total generation'!$E$10:$Q$90,MATCH($A115&amp;$B115,'W24. Total generation'!$A$10:$A$90&amp;'W24. Total generation'!$C$10:$C$90,0),MATCH(E$76,'W24. Total generation'!$E$9:$Q$9,0))</f>
        <v/>
      </c>
      <c r="F115" s="34" t="str">
        <f t="array" ref="F115">INDEX('W24. Total generation'!$E$10:$Q$90,MATCH($A115&amp;$B115,'W24. Total generation'!$A$10:$A$90&amp;'W24. Total generation'!$C$10:$C$90,0),MATCH(F$76,'W24. Total generation'!$E$9:$Q$9,0))</f>
        <v/>
      </c>
      <c r="G115" s="34">
        <f t="array" ref="G115">INDEX('W24. Total generation'!$E$10:$Q$90,MATCH($A115&amp;$B115,'W24. Total generation'!$A$10:$A$90&amp;'W24. Total generation'!$C$10:$C$90,0),MATCH(G$76,'W24. Total generation'!$E$9:$Q$9,0))</f>
        <v>5803.5228999999999</v>
      </c>
      <c r="H115" s="34">
        <f t="array" ref="H115">INDEX('W24. Total generation'!$E$10:$Q$90,MATCH($A115&amp;$B115,'W24. Total generation'!$A$10:$A$90&amp;'W24. Total generation'!$C$10:$C$90,0),MATCH(H$76,'W24. Total generation'!$E$9:$Q$9,0))</f>
        <v>7304.6608999999999</v>
      </c>
      <c r="I115" s="34">
        <f t="array" ref="I115">INDEX('W24. Total generation'!$E$10:$Q$90,MATCH($A115&amp;$B115,'W24. Total generation'!$A$10:$A$90&amp;'W24. Total generation'!$C$10:$C$90,0),MATCH(I$76,'W24. Total generation'!$E$9:$Q$9,0))</f>
        <v>8908.9364999999998</v>
      </c>
      <c r="J115" s="34">
        <f t="array" ref="J115">INDEX('W24. Total generation'!$E$10:$Q$90,MATCH($A115&amp;$B115,'W24. Total generation'!$A$10:$A$90&amp;'W24. Total generation'!$C$10:$C$90,0),MATCH(J$76,'W24. Total generation'!$E$9:$Q$9,0))</f>
        <v>10416.624499999976</v>
      </c>
    </row>
    <row r="116" spans="1:10" x14ac:dyDescent="0.3">
      <c r="A116" s="3" t="s">
        <v>379</v>
      </c>
      <c r="B116" s="3" t="s">
        <v>257</v>
      </c>
      <c r="C116" s="34">
        <f t="array" ref="C116">INDEX('W24. Total generation'!$E$10:$Q$90,MATCH($A116&amp;$B116,'W24. Total generation'!$A$10:$A$90&amp;'W24. Total generation'!$C$10:$C$90,0),MATCH(C$76,'W24. Total generation'!$E$9:$Q$9,0))</f>
        <v>2535.326</v>
      </c>
      <c r="D116" s="34" t="str">
        <f t="array" ref="D116">INDEX('W24. Total generation'!$E$10:$Q$90,MATCH($A116&amp;$B116,'W24. Total generation'!$A$10:$A$90&amp;'W24. Total generation'!$C$10:$C$90,0),MATCH(D$76,'W24. Total generation'!$E$9:$Q$9,0))</f>
        <v/>
      </c>
      <c r="E116" s="34" t="str">
        <f t="array" ref="E116">INDEX('W24. Total generation'!$E$10:$Q$90,MATCH($A116&amp;$B116,'W24. Total generation'!$A$10:$A$90&amp;'W24. Total generation'!$C$10:$C$90,0),MATCH(E$76,'W24. Total generation'!$E$9:$Q$9,0))</f>
        <v/>
      </c>
      <c r="F116" s="34" t="str">
        <f t="array" ref="F116">INDEX('W24. Total generation'!$E$10:$Q$90,MATCH($A116&amp;$B116,'W24. Total generation'!$A$10:$A$90&amp;'W24. Total generation'!$C$10:$C$90,0),MATCH(F$76,'W24. Total generation'!$E$9:$Q$9,0))</f>
        <v/>
      </c>
      <c r="G116" s="34">
        <f t="array" ref="G116">INDEX('W24. Total generation'!$E$10:$Q$90,MATCH($A116&amp;$B116,'W24. Total generation'!$A$10:$A$90&amp;'W24. Total generation'!$C$10:$C$90,0),MATCH(G$76,'W24. Total generation'!$E$9:$Q$9,0))</f>
        <v>3052.7642999999998</v>
      </c>
      <c r="H116" s="34">
        <f t="array" ref="H116">INDEX('W24. Total generation'!$E$10:$Q$90,MATCH($A116&amp;$B116,'W24. Total generation'!$A$10:$A$90&amp;'W24. Total generation'!$C$10:$C$90,0),MATCH(H$76,'W24. Total generation'!$E$9:$Q$9,0))</f>
        <v>3847.0486999999998</v>
      </c>
      <c r="I116" s="34">
        <f t="array" ref="I116">INDEX('W24. Total generation'!$E$10:$Q$90,MATCH($A116&amp;$B116,'W24. Total generation'!$A$10:$A$90&amp;'W24. Total generation'!$C$10:$C$90,0),MATCH(I$76,'W24. Total generation'!$E$9:$Q$9,0))</f>
        <v>4532.2318999999998</v>
      </c>
      <c r="J116" s="34">
        <f t="array" ref="J116">INDEX('W24. Total generation'!$E$10:$Q$90,MATCH($A116&amp;$B116,'W24. Total generation'!$A$10:$A$90&amp;'W24. Total generation'!$C$10:$C$90,0),MATCH(J$76,'W24. Total generation'!$E$9:$Q$9,0))</f>
        <v>5185.9302999999927</v>
      </c>
    </row>
    <row r="117" spans="1:10" x14ac:dyDescent="0.3">
      <c r="A117" s="3" t="s">
        <v>379</v>
      </c>
      <c r="B117" s="3" t="s">
        <v>256</v>
      </c>
      <c r="C117" s="34">
        <f t="array" ref="C117">INDEX('W24. Total generation'!$E$10:$Q$90,MATCH($A117&amp;$B117,'W24. Total generation'!$A$10:$A$90&amp;'W24. Total generation'!$C$10:$C$90,0),MATCH(C$76,'W24. Total generation'!$E$9:$Q$9,0))</f>
        <v>3893.634</v>
      </c>
      <c r="D117" s="34" t="str">
        <f t="array" ref="D117">INDEX('W24. Total generation'!$E$10:$Q$90,MATCH($A117&amp;$B117,'W24. Total generation'!$A$10:$A$90&amp;'W24. Total generation'!$C$10:$C$90,0),MATCH(D$76,'W24. Total generation'!$E$9:$Q$9,0))</f>
        <v/>
      </c>
      <c r="E117" s="34" t="str">
        <f t="array" ref="E117">INDEX('W24. Total generation'!$E$10:$Q$90,MATCH($A117&amp;$B117,'W24. Total generation'!$A$10:$A$90&amp;'W24. Total generation'!$C$10:$C$90,0),MATCH(E$76,'W24. Total generation'!$E$9:$Q$9,0))</f>
        <v/>
      </c>
      <c r="F117" s="34" t="str">
        <f t="array" ref="F117">INDEX('W24. Total generation'!$E$10:$Q$90,MATCH($A117&amp;$B117,'W24. Total generation'!$A$10:$A$90&amp;'W24. Total generation'!$C$10:$C$90,0),MATCH(F$76,'W24. Total generation'!$E$9:$Q$9,0))</f>
        <v/>
      </c>
      <c r="G117" s="34">
        <f t="array" ref="G117">INDEX('W24. Total generation'!$E$10:$Q$90,MATCH($A117&amp;$B117,'W24. Total generation'!$A$10:$A$90&amp;'W24. Total generation'!$C$10:$C$90,0),MATCH(G$76,'W24. Total generation'!$E$9:$Q$9,0))</f>
        <v>4386.5087000000003</v>
      </c>
      <c r="H117" s="34">
        <f t="array" ref="H117">INDEX('W24. Total generation'!$E$10:$Q$90,MATCH($A117&amp;$B117,'W24. Total generation'!$A$10:$A$90&amp;'W24. Total generation'!$C$10:$C$90,0),MATCH(H$76,'W24. Total generation'!$E$9:$Q$9,0))</f>
        <v>5381.9884000000002</v>
      </c>
      <c r="I117" s="34">
        <f t="array" ref="I117">INDEX('W24. Total generation'!$E$10:$Q$90,MATCH($A117&amp;$B117,'W24. Total generation'!$A$10:$A$90&amp;'W24. Total generation'!$C$10:$C$90,0),MATCH(I$76,'W24. Total generation'!$E$9:$Q$9,0))</f>
        <v>6230.0949000000001</v>
      </c>
      <c r="J117" s="34">
        <f t="array" ref="J117">INDEX('W24. Total generation'!$E$10:$Q$90,MATCH($A117&amp;$B117,'W24. Total generation'!$A$10:$A$90&amp;'W24. Total generation'!$C$10:$C$90,0),MATCH(J$76,'W24. Total generation'!$E$9:$Q$9,0))</f>
        <v>7022.1575000000303</v>
      </c>
    </row>
    <row r="118" spans="1:10" x14ac:dyDescent="0.3">
      <c r="A118" s="3" t="s">
        <v>379</v>
      </c>
      <c r="B118" s="3" t="s">
        <v>253</v>
      </c>
      <c r="C118" s="34">
        <f t="array" ref="C118">INDEX('W24. Total generation'!$E$10:$Q$90,MATCH($A118&amp;$B118,'W24. Total generation'!$A$10:$A$90&amp;'W24. Total generation'!$C$10:$C$90,0),MATCH(C$76,'W24. Total generation'!$E$9:$Q$9,0))</f>
        <v>494.91829999999999</v>
      </c>
      <c r="D118" s="34" t="str">
        <f t="array" ref="D118">INDEX('W24. Total generation'!$E$10:$Q$90,MATCH($A118&amp;$B118,'W24. Total generation'!$A$10:$A$90&amp;'W24. Total generation'!$C$10:$C$90,0),MATCH(D$76,'W24. Total generation'!$E$9:$Q$9,0))</f>
        <v/>
      </c>
      <c r="E118" s="34" t="str">
        <f t="array" ref="E118">INDEX('W24. Total generation'!$E$10:$Q$90,MATCH($A118&amp;$B118,'W24. Total generation'!$A$10:$A$90&amp;'W24. Total generation'!$C$10:$C$90,0),MATCH(E$76,'W24. Total generation'!$E$9:$Q$9,0))</f>
        <v/>
      </c>
      <c r="F118" s="34" t="str">
        <f t="array" ref="F118">INDEX('W24. Total generation'!$E$10:$Q$90,MATCH($A118&amp;$B118,'W24. Total generation'!$A$10:$A$90&amp;'W24. Total generation'!$C$10:$C$90,0),MATCH(F$76,'W24. Total generation'!$E$9:$Q$9,0))</f>
        <v/>
      </c>
      <c r="G118" s="34">
        <f t="array" ref="G118">INDEX('W24. Total generation'!$E$10:$Q$90,MATCH($A118&amp;$B118,'W24. Total generation'!$A$10:$A$90&amp;'W24. Total generation'!$C$10:$C$90,0),MATCH(G$76,'W24. Total generation'!$E$9:$Q$9,0))</f>
        <v>641.53030000000001</v>
      </c>
      <c r="H118" s="34">
        <f t="array" ref="H118">INDEX('W24. Total generation'!$E$10:$Q$90,MATCH($A118&amp;$B118,'W24. Total generation'!$A$10:$A$90&amp;'W24. Total generation'!$C$10:$C$90,0),MATCH(H$76,'W24. Total generation'!$E$9:$Q$9,0))</f>
        <v>954.2373</v>
      </c>
      <c r="I118" s="34">
        <f t="array" ref="I118">INDEX('W24. Total generation'!$E$10:$Q$90,MATCH($A118&amp;$B118,'W24. Total generation'!$A$10:$A$90&amp;'W24. Total generation'!$C$10:$C$90,0),MATCH(I$76,'W24. Total generation'!$E$9:$Q$9,0))</f>
        <v>1353.3226999999999</v>
      </c>
      <c r="J118" s="34">
        <f t="array" ref="J118">INDEX('W24. Total generation'!$E$10:$Q$90,MATCH($A118&amp;$B118,'W24. Total generation'!$A$10:$A$90&amp;'W24. Total generation'!$C$10:$C$90,0),MATCH(J$76,'W24. Total generation'!$E$9:$Q$9,0))</f>
        <v>1765.036500000002</v>
      </c>
    </row>
    <row r="119" spans="1:10" x14ac:dyDescent="0.3">
      <c r="A119" s="3" t="s">
        <v>379</v>
      </c>
      <c r="B119" s="3" t="s">
        <v>260</v>
      </c>
      <c r="C119" s="34">
        <f t="array" ref="C119">INDEX('W24. Total generation'!$E$10:$Q$90,MATCH($A119&amp;$B119,'W24. Total generation'!$A$10:$A$90&amp;'W24. Total generation'!$C$10:$C$90,0),MATCH(C$76,'W24. Total generation'!$E$9:$Q$9,0))</f>
        <v>717.29300000000001</v>
      </c>
      <c r="D119" s="34" t="str">
        <f t="array" ref="D119">INDEX('W24. Total generation'!$E$10:$Q$90,MATCH($A119&amp;$B119,'W24. Total generation'!$A$10:$A$90&amp;'W24. Total generation'!$C$10:$C$90,0),MATCH(D$76,'W24. Total generation'!$E$9:$Q$9,0))</f>
        <v/>
      </c>
      <c r="E119" s="34" t="str">
        <f t="array" ref="E119">INDEX('W24. Total generation'!$E$10:$Q$90,MATCH($A119&amp;$B119,'W24. Total generation'!$A$10:$A$90&amp;'W24. Total generation'!$C$10:$C$90,0),MATCH(E$76,'W24. Total generation'!$E$9:$Q$9,0))</f>
        <v/>
      </c>
      <c r="F119" s="34" t="str">
        <f t="array" ref="F119">INDEX('W24. Total generation'!$E$10:$Q$90,MATCH($A119&amp;$B119,'W24. Total generation'!$A$10:$A$90&amp;'W24. Total generation'!$C$10:$C$90,0),MATCH(F$76,'W24. Total generation'!$E$9:$Q$9,0))</f>
        <v/>
      </c>
      <c r="G119" s="34">
        <f t="array" ref="G119">INDEX('W24. Total generation'!$E$10:$Q$90,MATCH($A119&amp;$B119,'W24. Total generation'!$A$10:$A$90&amp;'W24. Total generation'!$C$10:$C$90,0),MATCH(G$76,'W24. Total generation'!$E$9:$Q$9,0))</f>
        <v>1508.0912000000001</v>
      </c>
      <c r="H119" s="34">
        <f t="array" ref="H119">INDEX('W24. Total generation'!$E$10:$Q$90,MATCH($A119&amp;$B119,'W24. Total generation'!$A$10:$A$90&amp;'W24. Total generation'!$C$10:$C$90,0),MATCH(H$76,'W24. Total generation'!$E$9:$Q$9,0))</f>
        <v>2705.7595000000001</v>
      </c>
      <c r="I119" s="34">
        <f t="array" ref="I119">INDEX('W24. Total generation'!$E$10:$Q$90,MATCH($A119&amp;$B119,'W24. Total generation'!$A$10:$A$90&amp;'W24. Total generation'!$C$10:$C$90,0),MATCH(I$76,'W24. Total generation'!$E$9:$Q$9,0))</f>
        <v>3881.3845000000001</v>
      </c>
      <c r="J119" s="34">
        <f t="array" ref="J119">INDEX('W24. Total generation'!$E$10:$Q$90,MATCH($A119&amp;$B119,'W24. Total generation'!$A$10:$A$90&amp;'W24. Total generation'!$C$10:$C$90,0),MATCH(J$76,'W24. Total generation'!$E$9:$Q$9,0))</f>
        <v>5051.8227000000188</v>
      </c>
    </row>
    <row r="120" spans="1:10" x14ac:dyDescent="0.3">
      <c r="A120" s="3" t="s">
        <v>379</v>
      </c>
      <c r="B120" s="3" t="s">
        <v>258</v>
      </c>
      <c r="C120" s="34">
        <f t="array" ref="C120">INDEX('W24. Total generation'!$E$10:$Q$90,MATCH($A120&amp;$B120,'W24. Total generation'!$A$10:$A$90&amp;'W24. Total generation'!$C$10:$C$90,0),MATCH(C$76,'W24. Total generation'!$E$9:$Q$9,0))</f>
        <v>78.375999999999991</v>
      </c>
      <c r="D120" s="34" t="str">
        <f t="array" ref="D120">INDEX('W24. Total generation'!$E$10:$Q$90,MATCH($A120&amp;$B120,'W24. Total generation'!$A$10:$A$90&amp;'W24. Total generation'!$C$10:$C$90,0),MATCH(D$76,'W24. Total generation'!$E$9:$Q$9,0))</f>
        <v/>
      </c>
      <c r="E120" s="34" t="str">
        <f t="array" ref="E120">INDEX('W24. Total generation'!$E$10:$Q$90,MATCH($A120&amp;$B120,'W24. Total generation'!$A$10:$A$90&amp;'W24. Total generation'!$C$10:$C$90,0),MATCH(E$76,'W24. Total generation'!$E$9:$Q$9,0))</f>
        <v/>
      </c>
      <c r="F120" s="34" t="str">
        <f t="array" ref="F120">INDEX('W24. Total generation'!$E$10:$Q$90,MATCH($A120&amp;$B120,'W24. Total generation'!$A$10:$A$90&amp;'W24. Total generation'!$C$10:$C$90,0),MATCH(F$76,'W24. Total generation'!$E$9:$Q$9,0))</f>
        <v/>
      </c>
      <c r="G120" s="34">
        <f t="array" ref="G120">INDEX('W24. Total generation'!$E$10:$Q$90,MATCH($A120&amp;$B120,'W24. Total generation'!$A$10:$A$90&amp;'W24. Total generation'!$C$10:$C$90,0),MATCH(G$76,'W24. Total generation'!$E$9:$Q$9,0))</f>
        <v>113.9473</v>
      </c>
      <c r="H120" s="34">
        <f t="array" ref="H120">INDEX('W24. Total generation'!$E$10:$Q$90,MATCH($A120&amp;$B120,'W24. Total generation'!$A$10:$A$90&amp;'W24. Total generation'!$C$10:$C$90,0),MATCH(H$76,'W24. Total generation'!$E$9:$Q$9,0))</f>
        <v>221.61869999999999</v>
      </c>
      <c r="I120" s="34">
        <f t="array" ref="I120">INDEX('W24. Total generation'!$E$10:$Q$90,MATCH($A120&amp;$B120,'W24. Total generation'!$A$10:$A$90&amp;'W24. Total generation'!$C$10:$C$90,0),MATCH(I$76,'W24. Total generation'!$E$9:$Q$9,0))</f>
        <v>414.6875</v>
      </c>
      <c r="J120" s="34">
        <f t="array" ref="J120">INDEX('W24. Total generation'!$E$10:$Q$90,MATCH($A120&amp;$B120,'W24. Total generation'!$A$10:$A$90&amp;'W24. Total generation'!$C$10:$C$90,0),MATCH(J$76,'W24. Total generation'!$E$9:$Q$9,0))</f>
        <v>619.02329999999529</v>
      </c>
    </row>
    <row r="121" spans="1:10" x14ac:dyDescent="0.3">
      <c r="A121" s="3" t="s">
        <v>379</v>
      </c>
      <c r="B121" s="3" t="s">
        <v>259</v>
      </c>
      <c r="C121" s="34">
        <f t="array" ref="C121">INDEX('W24. Total generation'!$E$10:$Q$90,MATCH($A121&amp;$B121,'W24. Total generation'!$A$10:$A$90&amp;'W24. Total generation'!$C$10:$C$90,0),MATCH(C$76,'W24. Total generation'!$E$9:$Q$9,0))</f>
        <v>198.62899999999999</v>
      </c>
      <c r="D121" s="34" t="str">
        <f t="array" ref="D121">INDEX('W24. Total generation'!$E$10:$Q$90,MATCH($A121&amp;$B121,'W24. Total generation'!$A$10:$A$90&amp;'W24. Total generation'!$C$10:$C$90,0),MATCH(D$76,'W24. Total generation'!$E$9:$Q$9,0))</f>
        <v/>
      </c>
      <c r="E121" s="34" t="str">
        <f t="array" ref="E121">INDEX('W24. Total generation'!$E$10:$Q$90,MATCH($A121&amp;$B121,'W24. Total generation'!$A$10:$A$90&amp;'W24. Total generation'!$C$10:$C$90,0),MATCH(E$76,'W24. Total generation'!$E$9:$Q$9,0))</f>
        <v/>
      </c>
      <c r="F121" s="34" t="str">
        <f t="array" ref="F121">INDEX('W24. Total generation'!$E$10:$Q$90,MATCH($A121&amp;$B121,'W24. Total generation'!$A$10:$A$90&amp;'W24. Total generation'!$C$10:$C$90,0),MATCH(F$76,'W24. Total generation'!$E$9:$Q$9,0))</f>
        <v/>
      </c>
      <c r="G121" s="34">
        <f t="array" ref="G121">INDEX('W24. Total generation'!$E$10:$Q$90,MATCH($A121&amp;$B121,'W24. Total generation'!$A$10:$A$90&amp;'W24. Total generation'!$C$10:$C$90,0),MATCH(G$76,'W24. Total generation'!$E$9:$Q$9,0))</f>
        <v>628.65660000000003</v>
      </c>
      <c r="H121" s="34">
        <f t="array" ref="H121">INDEX('W24. Total generation'!$E$10:$Q$90,MATCH($A121&amp;$B121,'W24. Total generation'!$A$10:$A$90&amp;'W24. Total generation'!$C$10:$C$90,0),MATCH(H$76,'W24. Total generation'!$E$9:$Q$9,0))</f>
        <v>1438.1190999999999</v>
      </c>
      <c r="I121" s="34">
        <f t="array" ref="I121">INDEX('W24. Total generation'!$E$10:$Q$90,MATCH($A121&amp;$B121,'W24. Total generation'!$A$10:$A$90&amp;'W24. Total generation'!$C$10:$C$90,0),MATCH(I$76,'W24. Total generation'!$E$9:$Q$9,0))</f>
        <v>2391.7460999999998</v>
      </c>
      <c r="J121" s="34">
        <f t="array" ref="J121">INDEX('W24. Total generation'!$E$10:$Q$90,MATCH($A121&amp;$B121,'W24. Total generation'!$A$10:$A$90&amp;'W24. Total generation'!$C$10:$C$90,0),MATCH(J$76,'W24. Total generation'!$E$9:$Q$9,0))</f>
        <v>3363.7953000000125</v>
      </c>
    </row>
    <row r="122" spans="1:10" x14ac:dyDescent="0.3">
      <c r="A122" s="3" t="s">
        <v>380</v>
      </c>
      <c r="B122" s="3" t="s">
        <v>254</v>
      </c>
      <c r="C122" s="34">
        <f t="array" ref="C122">INDEX('W24. Total generation'!$E$10:$Q$90,MATCH($A122&amp;$B122,'W24. Total generation'!$A$10:$A$90&amp;'W24. Total generation'!$C$10:$C$90,0),MATCH(C$76,'W24. Total generation'!$E$9:$Q$9,0))</f>
        <v>9707.2849999999999</v>
      </c>
      <c r="D122" s="34" t="str">
        <f t="array" ref="D122">INDEX('W24. Total generation'!$E$10:$Q$90,MATCH($A122&amp;$B122,'W24. Total generation'!$A$10:$A$90&amp;'W24. Total generation'!$C$10:$C$90,0),MATCH(D$76,'W24. Total generation'!$E$9:$Q$9,0))</f>
        <v/>
      </c>
      <c r="E122" s="34" t="str">
        <f t="array" ref="E122">INDEX('W24. Total generation'!$E$10:$Q$90,MATCH($A122&amp;$B122,'W24. Total generation'!$A$10:$A$90&amp;'W24. Total generation'!$C$10:$C$90,0),MATCH(E$76,'W24. Total generation'!$E$9:$Q$9,0))</f>
        <v/>
      </c>
      <c r="F122" s="34" t="str">
        <f t="array" ref="F122">INDEX('W24. Total generation'!$E$10:$Q$90,MATCH($A122&amp;$B122,'W24. Total generation'!$A$10:$A$90&amp;'W24. Total generation'!$C$10:$C$90,0),MATCH(F$76,'W24. Total generation'!$E$9:$Q$9,0))</f>
        <v/>
      </c>
      <c r="G122" s="34">
        <f t="array" ref="G122">INDEX('W24. Total generation'!$E$10:$Q$90,MATCH($A122&amp;$B122,'W24. Total generation'!$A$10:$A$90&amp;'W24. Total generation'!$C$10:$C$90,0),MATCH(G$76,'W24. Total generation'!$E$9:$Q$9,0))</f>
        <v>8702.1226999999999</v>
      </c>
      <c r="H122" s="34">
        <f t="array" ref="H122">INDEX('W24. Total generation'!$E$10:$Q$90,MATCH($A122&amp;$B122,'W24. Total generation'!$A$10:$A$90&amp;'W24. Total generation'!$C$10:$C$90,0),MATCH(H$76,'W24. Total generation'!$E$9:$Q$9,0))</f>
        <v>4966.2015000000001</v>
      </c>
      <c r="I122" s="34">
        <f t="array" ref="I122">INDEX('W24. Total generation'!$E$10:$Q$90,MATCH($A122&amp;$B122,'W24. Total generation'!$A$10:$A$90&amp;'W24. Total generation'!$C$10:$C$90,0),MATCH(I$76,'W24. Total generation'!$E$9:$Q$9,0))</f>
        <v>2518.2707999999998</v>
      </c>
      <c r="J122" s="34">
        <f t="array" ref="J122">INDEX('W24. Total generation'!$E$10:$Q$90,MATCH($A122&amp;$B122,'W24. Total generation'!$A$10:$A$90&amp;'W24. Total generation'!$C$10:$C$90,0),MATCH(J$76,'W24. Total generation'!$E$9:$Q$9,0))</f>
        <v>70.340099999999438</v>
      </c>
    </row>
    <row r="123" spans="1:10" x14ac:dyDescent="0.3">
      <c r="A123" s="3" t="s">
        <v>380</v>
      </c>
      <c r="B123" s="3" t="s">
        <v>266</v>
      </c>
      <c r="C123" s="34">
        <f t="array" ref="C123">INDEX('W24. Total generation'!$E$10:$Q$90,MATCH($A123&amp;$B123,'W24. Total generation'!$A$10:$A$90&amp;'W24. Total generation'!$C$10:$C$90,0),MATCH(C$76,'W24. Total generation'!$E$9:$Q$9,0))</f>
        <v>1034.6668999999999</v>
      </c>
      <c r="D123" s="34" t="str">
        <f t="array" ref="D123">INDEX('W24. Total generation'!$E$10:$Q$90,MATCH($A123&amp;$B123,'W24. Total generation'!$A$10:$A$90&amp;'W24. Total generation'!$C$10:$C$90,0),MATCH(D$76,'W24. Total generation'!$E$9:$Q$9,0))</f>
        <v/>
      </c>
      <c r="E123" s="34" t="str">
        <f t="array" ref="E123">INDEX('W24. Total generation'!$E$10:$Q$90,MATCH($A123&amp;$B123,'W24. Total generation'!$A$10:$A$90&amp;'W24. Total generation'!$C$10:$C$90,0),MATCH(E$76,'W24. Total generation'!$E$9:$Q$9,0))</f>
        <v/>
      </c>
      <c r="F123" s="34" t="str">
        <f t="array" ref="F123">INDEX('W24. Total generation'!$E$10:$Q$90,MATCH($A123&amp;$B123,'W24. Total generation'!$A$10:$A$90&amp;'W24. Total generation'!$C$10:$C$90,0),MATCH(F$76,'W24. Total generation'!$E$9:$Q$9,0))</f>
        <v/>
      </c>
      <c r="G123" s="34">
        <f t="array" ref="G123">INDEX('W24. Total generation'!$E$10:$Q$90,MATCH($A123&amp;$B123,'W24. Total generation'!$A$10:$A$90&amp;'W24. Total generation'!$C$10:$C$90,0),MATCH(G$76,'W24. Total generation'!$E$9:$Q$9,0))</f>
        <v>783.20429999999999</v>
      </c>
      <c r="H123" s="34">
        <f t="array" ref="H123">INDEX('W24. Total generation'!$E$10:$Q$90,MATCH($A123&amp;$B123,'W24. Total generation'!$A$10:$A$90&amp;'W24. Total generation'!$C$10:$C$90,0),MATCH(H$76,'W24. Total generation'!$E$9:$Q$9,0))</f>
        <v>395.57049999999998</v>
      </c>
      <c r="I123" s="34">
        <f t="array" ref="I123">INDEX('W24. Total generation'!$E$10:$Q$90,MATCH($A123&amp;$B123,'W24. Total generation'!$A$10:$A$90&amp;'W24. Total generation'!$C$10:$C$90,0),MATCH(I$76,'W24. Total generation'!$E$9:$Q$9,0))</f>
        <v>200.33</v>
      </c>
      <c r="J123" s="34">
        <f t="array" ref="J123">INDEX('W24. Total generation'!$E$10:$Q$90,MATCH($A123&amp;$B123,'W24. Total generation'!$A$10:$A$90&amp;'W24. Total generation'!$C$10:$C$90,0),MATCH(J$76,'W24. Total generation'!$E$9:$Q$9,0))</f>
        <v>5.0895000000000437</v>
      </c>
    </row>
    <row r="124" spans="1:10" x14ac:dyDescent="0.3">
      <c r="A124" s="3" t="s">
        <v>380</v>
      </c>
      <c r="B124" s="3" t="s">
        <v>255</v>
      </c>
      <c r="C124" s="34">
        <f t="array" ref="C124">INDEX('W24. Total generation'!$E$10:$Q$90,MATCH($A124&amp;$B124,'W24. Total generation'!$A$10:$A$90&amp;'W24. Total generation'!$C$10:$C$90,0),MATCH(C$76,'W24. Total generation'!$E$9:$Q$9,0))</f>
        <v>5148.4318999999996</v>
      </c>
      <c r="D124" s="34" t="str">
        <f t="array" ref="D124">INDEX('W24. Total generation'!$E$10:$Q$90,MATCH($A124&amp;$B124,'W24. Total generation'!$A$10:$A$90&amp;'W24. Total generation'!$C$10:$C$90,0),MATCH(D$76,'W24. Total generation'!$E$9:$Q$9,0))</f>
        <v/>
      </c>
      <c r="E124" s="34" t="str">
        <f t="array" ref="E124">INDEX('W24. Total generation'!$E$10:$Q$90,MATCH($A124&amp;$B124,'W24. Total generation'!$A$10:$A$90&amp;'W24. Total generation'!$C$10:$C$90,0),MATCH(E$76,'W24. Total generation'!$E$9:$Q$9,0))</f>
        <v/>
      </c>
      <c r="F124" s="34" t="str">
        <f t="array" ref="F124">INDEX('W24. Total generation'!$E$10:$Q$90,MATCH($A124&amp;$B124,'W24. Total generation'!$A$10:$A$90&amp;'W24. Total generation'!$C$10:$C$90,0),MATCH(F$76,'W24. Total generation'!$E$9:$Q$9,0))</f>
        <v/>
      </c>
      <c r="G124" s="34">
        <f t="array" ref="G124">INDEX('W24. Total generation'!$E$10:$Q$90,MATCH($A124&amp;$B124,'W24. Total generation'!$A$10:$A$90&amp;'W24. Total generation'!$C$10:$C$90,0),MATCH(G$76,'W24. Total generation'!$E$9:$Q$9,0))</f>
        <v>5898.0990000000002</v>
      </c>
      <c r="H124" s="34">
        <f t="array" ref="H124">INDEX('W24. Total generation'!$E$10:$Q$90,MATCH($A124&amp;$B124,'W24. Total generation'!$A$10:$A$90&amp;'W24. Total generation'!$C$10:$C$90,0),MATCH(H$76,'W24. Total generation'!$E$9:$Q$9,0))</f>
        <v>6474.5001000000002</v>
      </c>
      <c r="I124" s="34">
        <f t="array" ref="I124">INDEX('W24. Total generation'!$E$10:$Q$90,MATCH($A124&amp;$B124,'W24. Total generation'!$A$10:$A$90&amp;'W24. Total generation'!$C$10:$C$90,0),MATCH(I$76,'W24. Total generation'!$E$9:$Q$9,0))</f>
        <v>5389.0677999999998</v>
      </c>
      <c r="J124" s="34">
        <f t="array" ref="J124">INDEX('W24. Total generation'!$E$10:$Q$90,MATCH($A124&amp;$B124,'W24. Total generation'!$A$10:$A$90&amp;'W24. Total generation'!$C$10:$C$90,0),MATCH(J$76,'W24. Total generation'!$E$9:$Q$9,0))</f>
        <v>4303.6354999999994</v>
      </c>
    </row>
    <row r="125" spans="1:10" x14ac:dyDescent="0.3">
      <c r="A125" s="3" t="s">
        <v>380</v>
      </c>
      <c r="B125" s="3" t="s">
        <v>257</v>
      </c>
      <c r="C125" s="34">
        <f t="array" ref="C125">INDEX('W24. Total generation'!$E$10:$Q$90,MATCH($A125&amp;$B125,'W24. Total generation'!$A$10:$A$90&amp;'W24. Total generation'!$C$10:$C$90,0),MATCH(C$76,'W24. Total generation'!$E$9:$Q$9,0))</f>
        <v>2535.326</v>
      </c>
      <c r="D125" s="34" t="str">
        <f t="array" ref="D125">INDEX('W24. Total generation'!$E$10:$Q$90,MATCH($A125&amp;$B125,'W24. Total generation'!$A$10:$A$90&amp;'W24. Total generation'!$C$10:$C$90,0),MATCH(D$76,'W24. Total generation'!$E$9:$Q$9,0))</f>
        <v/>
      </c>
      <c r="E125" s="34" t="str">
        <f t="array" ref="E125">INDEX('W24. Total generation'!$E$10:$Q$90,MATCH($A125&amp;$B125,'W24. Total generation'!$A$10:$A$90&amp;'W24. Total generation'!$C$10:$C$90,0),MATCH(E$76,'W24. Total generation'!$E$9:$Q$9,0))</f>
        <v/>
      </c>
      <c r="F125" s="34" t="str">
        <f t="array" ref="F125">INDEX('W24. Total generation'!$E$10:$Q$90,MATCH($A125&amp;$B125,'W24. Total generation'!$A$10:$A$90&amp;'W24. Total generation'!$C$10:$C$90,0),MATCH(F$76,'W24. Total generation'!$E$9:$Q$9,0))</f>
        <v/>
      </c>
      <c r="G125" s="34">
        <f t="array" ref="G125">INDEX('W24. Total generation'!$E$10:$Q$90,MATCH($A125&amp;$B125,'W24. Total generation'!$A$10:$A$90&amp;'W24. Total generation'!$C$10:$C$90,0),MATCH(G$76,'W24. Total generation'!$E$9:$Q$9,0))</f>
        <v>3127.7975999999999</v>
      </c>
      <c r="H125" s="34">
        <f t="array" ref="H125">INDEX('W24. Total generation'!$E$10:$Q$90,MATCH($A125&amp;$B125,'W24. Total generation'!$A$10:$A$90&amp;'W24. Total generation'!$C$10:$C$90,0),MATCH(H$76,'W24. Total generation'!$E$9:$Q$9,0))</f>
        <v>4733.6832000000004</v>
      </c>
      <c r="I125" s="34">
        <f t="array" ref="I125">INDEX('W24. Total generation'!$E$10:$Q$90,MATCH($A125&amp;$B125,'W24. Total generation'!$A$10:$A$90&amp;'W24. Total generation'!$C$10:$C$90,0),MATCH(I$76,'W24. Total generation'!$E$9:$Q$9,0))</f>
        <v>6101.2605999999996</v>
      </c>
      <c r="J125" s="34">
        <f t="array" ref="J125">INDEX('W24. Total generation'!$E$10:$Q$90,MATCH($A125&amp;$B125,'W24. Total generation'!$A$10:$A$90&amp;'W24. Total generation'!$C$10:$C$90,0),MATCH(J$76,'W24. Total generation'!$E$9:$Q$9,0))</f>
        <v>7468.8379999999988</v>
      </c>
    </row>
    <row r="126" spans="1:10" x14ac:dyDescent="0.3">
      <c r="A126" s="3" t="s">
        <v>380</v>
      </c>
      <c r="B126" s="3" t="s">
        <v>256</v>
      </c>
      <c r="C126" s="34">
        <f t="array" ref="C126">INDEX('W24. Total generation'!$E$10:$Q$90,MATCH($A126&amp;$B126,'W24. Total generation'!$A$10:$A$90&amp;'W24. Total generation'!$C$10:$C$90,0),MATCH(C$76,'W24. Total generation'!$E$9:$Q$9,0))</f>
        <v>3893.634</v>
      </c>
      <c r="D126" s="34" t="str">
        <f t="array" ref="D126">INDEX('W24. Total generation'!$E$10:$Q$90,MATCH($A126&amp;$B126,'W24. Total generation'!$A$10:$A$90&amp;'W24. Total generation'!$C$10:$C$90,0),MATCH(D$76,'W24. Total generation'!$E$9:$Q$9,0))</f>
        <v/>
      </c>
      <c r="E126" s="34" t="str">
        <f t="array" ref="E126">INDEX('W24. Total generation'!$E$10:$Q$90,MATCH($A126&amp;$B126,'W24. Total generation'!$A$10:$A$90&amp;'W24. Total generation'!$C$10:$C$90,0),MATCH(E$76,'W24. Total generation'!$E$9:$Q$9,0))</f>
        <v/>
      </c>
      <c r="F126" s="34" t="str">
        <f t="array" ref="F126">INDEX('W24. Total generation'!$E$10:$Q$90,MATCH($A126&amp;$B126,'W24. Total generation'!$A$10:$A$90&amp;'W24. Total generation'!$C$10:$C$90,0),MATCH(F$76,'W24. Total generation'!$E$9:$Q$9,0))</f>
        <v/>
      </c>
      <c r="G126" s="34">
        <f t="array" ref="G126">INDEX('W24. Total generation'!$E$10:$Q$90,MATCH($A126&amp;$B126,'W24. Total generation'!$A$10:$A$90&amp;'W24. Total generation'!$C$10:$C$90,0),MATCH(G$76,'W24. Total generation'!$E$9:$Q$9,0))</f>
        <v>4392.1990999999998</v>
      </c>
      <c r="H126" s="34">
        <f t="array" ref="H126">INDEX('W24. Total generation'!$E$10:$Q$90,MATCH($A126&amp;$B126,'W24. Total generation'!$A$10:$A$90&amp;'W24. Total generation'!$C$10:$C$90,0),MATCH(H$76,'W24. Total generation'!$E$9:$Q$9,0))</f>
        <v>5655.2263000000003</v>
      </c>
      <c r="I126" s="34">
        <f t="array" ref="I126">INDEX('W24. Total generation'!$E$10:$Q$90,MATCH($A126&amp;$B126,'W24. Total generation'!$A$10:$A$90&amp;'W24. Total generation'!$C$10:$C$90,0),MATCH(I$76,'W24. Total generation'!$E$9:$Q$9,0))</f>
        <v>6891.1526999999996</v>
      </c>
      <c r="J126" s="34">
        <f t="array" ref="J126">INDEX('W24. Total generation'!$E$10:$Q$90,MATCH($A126&amp;$B126,'W24. Total generation'!$A$10:$A$90&amp;'W24. Total generation'!$C$10:$C$90,0),MATCH(J$76,'W24. Total generation'!$E$9:$Q$9,0))</f>
        <v>8127.079099999999</v>
      </c>
    </row>
    <row r="127" spans="1:10" x14ac:dyDescent="0.3">
      <c r="A127" s="3" t="s">
        <v>380</v>
      </c>
      <c r="B127" s="3" t="s">
        <v>253</v>
      </c>
      <c r="C127" s="34">
        <f t="array" ref="C127">INDEX('W24. Total generation'!$E$10:$Q$90,MATCH($A127&amp;$B127,'W24. Total generation'!$A$10:$A$90&amp;'W24. Total generation'!$C$10:$C$90,0),MATCH(C$76,'W24. Total generation'!$E$9:$Q$9,0))</f>
        <v>494.91829999999999</v>
      </c>
      <c r="D127" s="34" t="str">
        <f t="array" ref="D127">INDEX('W24. Total generation'!$E$10:$Q$90,MATCH($A127&amp;$B127,'W24. Total generation'!$A$10:$A$90&amp;'W24. Total generation'!$C$10:$C$90,0),MATCH(D$76,'W24. Total generation'!$E$9:$Q$9,0))</f>
        <v/>
      </c>
      <c r="E127" s="34" t="str">
        <f t="array" ref="E127">INDEX('W24. Total generation'!$E$10:$Q$90,MATCH($A127&amp;$B127,'W24. Total generation'!$A$10:$A$90&amp;'W24. Total generation'!$C$10:$C$90,0),MATCH(E$76,'W24. Total generation'!$E$9:$Q$9,0))</f>
        <v/>
      </c>
      <c r="F127" s="34" t="str">
        <f t="array" ref="F127">INDEX('W24. Total generation'!$E$10:$Q$90,MATCH($A127&amp;$B127,'W24. Total generation'!$A$10:$A$90&amp;'W24. Total generation'!$C$10:$C$90,0),MATCH(F$76,'W24. Total generation'!$E$9:$Q$9,0))</f>
        <v/>
      </c>
      <c r="G127" s="34">
        <f t="array" ref="G127">INDEX('W24. Total generation'!$E$10:$Q$90,MATCH($A127&amp;$B127,'W24. Total generation'!$A$10:$A$90&amp;'W24. Total generation'!$C$10:$C$90,0),MATCH(G$76,'W24. Total generation'!$E$9:$Q$9,0))</f>
        <v>646.17960000000005</v>
      </c>
      <c r="H127" s="34">
        <f t="array" ref="H127">INDEX('W24. Total generation'!$E$10:$Q$90,MATCH($A127&amp;$B127,'W24. Total generation'!$A$10:$A$90&amp;'W24. Total generation'!$C$10:$C$90,0),MATCH(H$76,'W24. Total generation'!$E$9:$Q$9,0))</f>
        <v>1152.7361000000001</v>
      </c>
      <c r="I127" s="34">
        <f t="array" ref="I127">INDEX('W24. Total generation'!$E$10:$Q$90,MATCH($A127&amp;$B127,'W24. Total generation'!$A$10:$A$90&amp;'W24. Total generation'!$C$10:$C$90,0),MATCH(I$76,'W24. Total generation'!$E$9:$Q$9,0))</f>
        <v>1898.588</v>
      </c>
      <c r="J127" s="34">
        <f t="array" ref="J127">INDEX('W24. Total generation'!$E$10:$Q$90,MATCH($A127&amp;$B127,'W24. Total generation'!$A$10:$A$90&amp;'W24. Total generation'!$C$10:$C$90,0),MATCH(J$76,'W24. Total generation'!$E$9:$Q$9,0))</f>
        <v>2644.4398999999999</v>
      </c>
    </row>
    <row r="128" spans="1:10" x14ac:dyDescent="0.3">
      <c r="A128" s="3" t="s">
        <v>380</v>
      </c>
      <c r="B128" s="3" t="s">
        <v>260</v>
      </c>
      <c r="C128" s="34">
        <f t="array" ref="C128">INDEX('W24. Total generation'!$E$10:$Q$90,MATCH($A128&amp;$B128,'W24. Total generation'!$A$10:$A$90&amp;'W24. Total generation'!$C$10:$C$90,0),MATCH(C$76,'W24. Total generation'!$E$9:$Q$9,0))</f>
        <v>717.29300000000001</v>
      </c>
      <c r="D128" s="34" t="str">
        <f t="array" ref="D128">INDEX('W24. Total generation'!$E$10:$Q$90,MATCH($A128&amp;$B128,'W24. Total generation'!$A$10:$A$90&amp;'W24. Total generation'!$C$10:$C$90,0),MATCH(D$76,'W24. Total generation'!$E$9:$Q$9,0))</f>
        <v/>
      </c>
      <c r="E128" s="34" t="str">
        <f t="array" ref="E128">INDEX('W24. Total generation'!$E$10:$Q$90,MATCH($A128&amp;$B128,'W24. Total generation'!$A$10:$A$90&amp;'W24. Total generation'!$C$10:$C$90,0),MATCH(E$76,'W24. Total generation'!$E$9:$Q$9,0))</f>
        <v/>
      </c>
      <c r="F128" s="34" t="str">
        <f t="array" ref="F128">INDEX('W24. Total generation'!$E$10:$Q$90,MATCH($A128&amp;$B128,'W24. Total generation'!$A$10:$A$90&amp;'W24. Total generation'!$C$10:$C$90,0),MATCH(F$76,'W24. Total generation'!$E$9:$Q$9,0))</f>
        <v/>
      </c>
      <c r="G128" s="34">
        <f t="array" ref="G128">INDEX('W24. Total generation'!$E$10:$Q$90,MATCH($A128&amp;$B128,'W24. Total generation'!$A$10:$A$90&amp;'W24. Total generation'!$C$10:$C$90,0),MATCH(G$76,'W24. Total generation'!$E$9:$Q$9,0))</f>
        <v>1585.2916</v>
      </c>
      <c r="H128" s="34">
        <f t="array" ref="H128">INDEX('W24. Total generation'!$E$10:$Q$90,MATCH($A128&amp;$B128,'W24. Total generation'!$A$10:$A$90&amp;'W24. Total generation'!$C$10:$C$90,0),MATCH(H$76,'W24. Total generation'!$E$9:$Q$9,0))</f>
        <v>3846.0500999999999</v>
      </c>
      <c r="I128" s="34">
        <f t="array" ref="I128">INDEX('W24. Total generation'!$E$10:$Q$90,MATCH($A128&amp;$B128,'W24. Total generation'!$A$10:$A$90&amp;'W24. Total generation'!$C$10:$C$90,0),MATCH(I$76,'W24. Total generation'!$E$9:$Q$9,0))</f>
        <v>6126.8730999999998</v>
      </c>
      <c r="J128" s="34">
        <f t="array" ref="J128">INDEX('W24. Total generation'!$E$10:$Q$90,MATCH($A128&amp;$B128,'W24. Total generation'!$A$10:$A$90&amp;'W24. Total generation'!$C$10:$C$90,0),MATCH(J$76,'W24. Total generation'!$E$9:$Q$9,0))</f>
        <v>8407.6960999999992</v>
      </c>
    </row>
    <row r="129" spans="1:10" x14ac:dyDescent="0.3">
      <c r="A129" s="3" t="s">
        <v>380</v>
      </c>
      <c r="B129" s="3" t="s">
        <v>258</v>
      </c>
      <c r="C129" s="34">
        <f t="array" ref="C129">INDEX('W24. Total generation'!$E$10:$Q$90,MATCH($A129&amp;$B129,'W24. Total generation'!$A$10:$A$90&amp;'W24. Total generation'!$C$10:$C$90,0),MATCH(C$76,'W24. Total generation'!$E$9:$Q$9,0))</f>
        <v>78.375999999999991</v>
      </c>
      <c r="D129" s="34" t="str">
        <f t="array" ref="D129">INDEX('W24. Total generation'!$E$10:$Q$90,MATCH($A129&amp;$B129,'W24. Total generation'!$A$10:$A$90&amp;'W24. Total generation'!$C$10:$C$90,0),MATCH(D$76,'W24. Total generation'!$E$9:$Q$9,0))</f>
        <v/>
      </c>
      <c r="E129" s="34" t="str">
        <f t="array" ref="E129">INDEX('W24. Total generation'!$E$10:$Q$90,MATCH($A129&amp;$B129,'W24. Total generation'!$A$10:$A$90&amp;'W24. Total generation'!$C$10:$C$90,0),MATCH(E$76,'W24. Total generation'!$E$9:$Q$9,0))</f>
        <v/>
      </c>
      <c r="F129" s="34" t="str">
        <f t="array" ref="F129">INDEX('W24. Total generation'!$E$10:$Q$90,MATCH($A129&amp;$B129,'W24. Total generation'!$A$10:$A$90&amp;'W24. Total generation'!$C$10:$C$90,0),MATCH(F$76,'W24. Total generation'!$E$9:$Q$9,0))</f>
        <v/>
      </c>
      <c r="G129" s="34">
        <f t="array" ref="G129">INDEX('W24. Total generation'!$E$10:$Q$90,MATCH($A129&amp;$B129,'W24. Total generation'!$A$10:$A$90&amp;'W24. Total generation'!$C$10:$C$90,0),MATCH(G$76,'W24. Total generation'!$E$9:$Q$9,0))</f>
        <v>116.4648</v>
      </c>
      <c r="H129" s="34">
        <f t="array" ref="H129">INDEX('W24. Total generation'!$E$10:$Q$90,MATCH($A129&amp;$B129,'W24. Total generation'!$A$10:$A$90&amp;'W24. Total generation'!$C$10:$C$90,0),MATCH(H$76,'W24. Total generation'!$E$9:$Q$9,0))</f>
        <v>311.48589999999996</v>
      </c>
      <c r="I129" s="34">
        <f t="array" ref="I129">INDEX('W24. Total generation'!$E$10:$Q$90,MATCH($A129&amp;$B129,'W24. Total generation'!$A$10:$A$90&amp;'W24. Total generation'!$C$10:$C$90,0),MATCH(I$76,'W24. Total generation'!$E$9:$Q$9,0))</f>
        <v>639.23270000000002</v>
      </c>
      <c r="J129" s="34">
        <f t="array" ref="J129">INDEX('W24. Total generation'!$E$10:$Q$90,MATCH($A129&amp;$B129,'W24. Total generation'!$A$10:$A$90&amp;'W24. Total generation'!$C$10:$C$90,0),MATCH(J$76,'W24. Total generation'!$E$9:$Q$9,0))</f>
        <v>966.97950000000003</v>
      </c>
    </row>
    <row r="130" spans="1:10" x14ac:dyDescent="0.3">
      <c r="A130" s="3" t="s">
        <v>380</v>
      </c>
      <c r="B130" s="3" t="s">
        <v>259</v>
      </c>
      <c r="C130" s="34">
        <f t="array" ref="C130">INDEX('W24. Total generation'!$E$10:$Q$90,MATCH($A130&amp;$B130,'W24. Total generation'!$A$10:$A$90&amp;'W24. Total generation'!$C$10:$C$90,0),MATCH(C$76,'W24. Total generation'!$E$9:$Q$9,0))</f>
        <v>198.62899999999999</v>
      </c>
      <c r="D130" s="34" t="str">
        <f t="array" ref="D130">INDEX('W24. Total generation'!$E$10:$Q$90,MATCH($A130&amp;$B130,'W24. Total generation'!$A$10:$A$90&amp;'W24. Total generation'!$C$10:$C$90,0),MATCH(D$76,'W24. Total generation'!$E$9:$Q$9,0))</f>
        <v/>
      </c>
      <c r="E130" s="34" t="str">
        <f t="array" ref="E130">INDEX('W24. Total generation'!$E$10:$Q$90,MATCH($A130&amp;$B130,'W24. Total generation'!$A$10:$A$90&amp;'W24. Total generation'!$C$10:$C$90,0),MATCH(E$76,'W24. Total generation'!$E$9:$Q$9,0))</f>
        <v/>
      </c>
      <c r="F130" s="34" t="str">
        <f t="array" ref="F130">INDEX('W24. Total generation'!$E$10:$Q$90,MATCH($A130&amp;$B130,'W24. Total generation'!$A$10:$A$90&amp;'W24. Total generation'!$C$10:$C$90,0),MATCH(F$76,'W24. Total generation'!$E$9:$Q$9,0))</f>
        <v/>
      </c>
      <c r="G130" s="34">
        <f t="array" ref="G130">INDEX('W24. Total generation'!$E$10:$Q$90,MATCH($A130&amp;$B130,'W24. Total generation'!$A$10:$A$90&amp;'W24. Total generation'!$C$10:$C$90,0),MATCH(G$76,'W24. Total generation'!$E$9:$Q$9,0))</f>
        <v>676.89490000000001</v>
      </c>
      <c r="H130" s="34">
        <f t="array" ref="H130">INDEX('W24. Total generation'!$E$10:$Q$90,MATCH($A130&amp;$B130,'W24. Total generation'!$A$10:$A$90&amp;'W24. Total generation'!$C$10:$C$90,0),MATCH(H$76,'W24. Total generation'!$E$9:$Q$9,0))</f>
        <v>2119.6624000000002</v>
      </c>
      <c r="I130" s="34">
        <f t="array" ref="I130">INDEX('W24. Total generation'!$E$10:$Q$90,MATCH($A130&amp;$B130,'W24. Total generation'!$A$10:$A$90&amp;'W24. Total generation'!$C$10:$C$90,0),MATCH(I$76,'W24. Total generation'!$E$9:$Q$9,0))</f>
        <v>4327.0095000000001</v>
      </c>
      <c r="J130" s="34">
        <f t="array" ref="J130">INDEX('W24. Total generation'!$E$10:$Q$90,MATCH($A130&amp;$B130,'W24. Total generation'!$A$10:$A$90&amp;'W24. Total generation'!$C$10:$C$90,0),MATCH(J$76,'W24. Total generation'!$E$9:$Q$9,0))</f>
        <v>6534.356600000001</v>
      </c>
    </row>
    <row r="131" spans="1:10" x14ac:dyDescent="0.3">
      <c r="A131" s="3" t="s">
        <v>381</v>
      </c>
      <c r="B131" s="3" t="s">
        <v>254</v>
      </c>
      <c r="C131" s="34">
        <f t="array" ref="C131">INDEX('W24. Total generation'!$E$10:$Q$90,MATCH($A131&amp;$B131,'W24. Total generation'!$A$10:$A$90&amp;'W24. Total generation'!$C$10:$C$90,0),MATCH(C$76,'W24. Total generation'!$E$9:$Q$9,0))</f>
        <v>9697.148000000001</v>
      </c>
      <c r="D131" s="34" t="str">
        <f t="array" ref="D131">INDEX('W24. Total generation'!$E$10:$Q$90,MATCH($A131&amp;$B131,'W24. Total generation'!$A$10:$A$90&amp;'W24. Total generation'!$C$10:$C$90,0),MATCH(D$76,'W24. Total generation'!$E$9:$Q$9,0))</f>
        <v/>
      </c>
      <c r="E131" s="34" t="str">
        <f t="array" ref="E131">INDEX('W24. Total generation'!$E$10:$Q$90,MATCH($A131&amp;$B131,'W24. Total generation'!$A$10:$A$90&amp;'W24. Total generation'!$C$10:$C$90,0),MATCH(E$76,'W24. Total generation'!$E$9:$Q$9,0))</f>
        <v/>
      </c>
      <c r="F131" s="34" t="str">
        <f t="array" ref="F131">INDEX('W24. Total generation'!$E$10:$Q$90,MATCH($A131&amp;$B131,'W24. Total generation'!$A$10:$A$90&amp;'W24. Total generation'!$C$10:$C$90,0),MATCH(F$76,'W24. Total generation'!$E$9:$Q$9,0))</f>
        <v/>
      </c>
      <c r="G131" s="34" t="str">
        <f t="array" ref="G131">INDEX('W24. Total generation'!$E$10:$Q$90,MATCH($A131&amp;$B131,'W24. Total generation'!$A$10:$A$90&amp;'W24. Total generation'!$C$10:$C$90,0),MATCH(G$76,'W24. Total generation'!$E$9:$Q$9,0))</f>
        <v/>
      </c>
      <c r="H131" s="34">
        <f t="array" ref="H131">INDEX('W24. Total generation'!$E$10:$Q$90,MATCH($A131&amp;$B131,'W24. Total generation'!$A$10:$A$90&amp;'W24. Total generation'!$C$10:$C$90,0),MATCH(H$76,'W24. Total generation'!$E$9:$Q$9,0))</f>
        <v>10410.692239564596</v>
      </c>
      <c r="I131" s="34">
        <f t="array" ref="I131">INDEX('W24. Total generation'!$E$10:$Q$90,MATCH($A131&amp;$B131,'W24. Total generation'!$A$10:$A$90&amp;'W24. Total generation'!$C$10:$C$90,0),MATCH(I$76,'W24. Total generation'!$E$9:$Q$9,0))</f>
        <v>11211.168668819046</v>
      </c>
      <c r="J131" s="34">
        <f t="array" ref="J131">INDEX('W24. Total generation'!$E$10:$Q$90,MATCH($A131&amp;$B131,'W24. Total generation'!$A$10:$A$90&amp;'W24. Total generation'!$C$10:$C$90,0),MATCH(J$76,'W24. Total generation'!$E$9:$Q$9,0))</f>
        <v>11604.36995303517</v>
      </c>
    </row>
    <row r="132" spans="1:10" x14ac:dyDescent="0.3">
      <c r="A132" s="3" t="s">
        <v>381</v>
      </c>
      <c r="B132" s="3" t="s">
        <v>266</v>
      </c>
      <c r="C132" s="34">
        <f t="array" ref="C132">INDEX('W24. Total generation'!$E$10:$Q$90,MATCH($A132&amp;$B132,'W24. Total generation'!$A$10:$A$90&amp;'W24. Total generation'!$C$10:$C$90,0),MATCH(C$76,'W24. Total generation'!$E$9:$Q$9,0))</f>
        <v>1033.346</v>
      </c>
      <c r="D132" s="34" t="str">
        <f t="array" ref="D132">INDEX('W24. Total generation'!$E$10:$Q$90,MATCH($A132&amp;$B132,'W24. Total generation'!$A$10:$A$90&amp;'W24. Total generation'!$C$10:$C$90,0),MATCH(D$76,'W24. Total generation'!$E$9:$Q$9,0))</f>
        <v/>
      </c>
      <c r="E132" s="34" t="str">
        <f t="array" ref="E132">INDEX('W24. Total generation'!$E$10:$Q$90,MATCH($A132&amp;$B132,'W24. Total generation'!$A$10:$A$90&amp;'W24. Total generation'!$C$10:$C$90,0),MATCH(E$76,'W24. Total generation'!$E$9:$Q$9,0))</f>
        <v/>
      </c>
      <c r="F132" s="34" t="str">
        <f t="array" ref="F132">INDEX('W24. Total generation'!$E$10:$Q$90,MATCH($A132&amp;$B132,'W24. Total generation'!$A$10:$A$90&amp;'W24. Total generation'!$C$10:$C$90,0),MATCH(F$76,'W24. Total generation'!$E$9:$Q$9,0))</f>
        <v/>
      </c>
      <c r="G132" s="34" t="str">
        <f t="array" ref="G132">INDEX('W24. Total generation'!$E$10:$Q$90,MATCH($A132&amp;$B132,'W24. Total generation'!$A$10:$A$90&amp;'W24. Total generation'!$C$10:$C$90,0),MATCH(G$76,'W24. Total generation'!$E$9:$Q$9,0))</f>
        <v/>
      </c>
      <c r="H132" s="34">
        <f t="array" ref="H132">INDEX('W24. Total generation'!$E$10:$Q$90,MATCH($A132&amp;$B132,'W24. Total generation'!$A$10:$A$90&amp;'W24. Total generation'!$C$10:$C$90,0),MATCH(H$76,'W24. Total generation'!$E$9:$Q$9,0))</f>
        <v>636.182015274489</v>
      </c>
      <c r="I132" s="34">
        <f t="array" ref="I132">INDEX('W24. Total generation'!$E$10:$Q$90,MATCH($A132&amp;$B132,'W24. Total generation'!$A$10:$A$90&amp;'W24. Total generation'!$C$10:$C$90,0),MATCH(I$76,'W24. Total generation'!$E$9:$Q$9,0))</f>
        <v>547.13021911998442</v>
      </c>
      <c r="J132" s="34">
        <f t="array" ref="J132">INDEX('W24. Total generation'!$E$10:$Q$90,MATCH($A132&amp;$B132,'W24. Total generation'!$A$10:$A$90&amp;'W24. Total generation'!$C$10:$C$90,0),MATCH(J$76,'W24. Total generation'!$E$9:$Q$9,0))</f>
        <v>443.3984203392456</v>
      </c>
    </row>
    <row r="133" spans="1:10" x14ac:dyDescent="0.3">
      <c r="A133" s="3" t="s">
        <v>381</v>
      </c>
      <c r="B133" s="3" t="s">
        <v>255</v>
      </c>
      <c r="C133" s="34">
        <f t="array" ref="C133">INDEX('W24. Total generation'!$E$10:$Q$90,MATCH($A133&amp;$B133,'W24. Total generation'!$A$10:$A$90&amp;'W24. Total generation'!$C$10:$C$90,0),MATCH(C$76,'W24. Total generation'!$E$9:$Q$9,0))</f>
        <v>5154.8270000000002</v>
      </c>
      <c r="D133" s="34" t="str">
        <f t="array" ref="D133">INDEX('W24. Total generation'!$E$10:$Q$90,MATCH($A133&amp;$B133,'W24. Total generation'!$A$10:$A$90&amp;'W24. Total generation'!$C$10:$C$90,0),MATCH(D$76,'W24. Total generation'!$E$9:$Q$9,0))</f>
        <v/>
      </c>
      <c r="E133" s="34" t="str">
        <f t="array" ref="E133">INDEX('W24. Total generation'!$E$10:$Q$90,MATCH($A133&amp;$B133,'W24. Total generation'!$A$10:$A$90&amp;'W24. Total generation'!$C$10:$C$90,0),MATCH(E$76,'W24. Total generation'!$E$9:$Q$9,0))</f>
        <v/>
      </c>
      <c r="F133" s="34" t="str">
        <f t="array" ref="F133">INDEX('W24. Total generation'!$E$10:$Q$90,MATCH($A133&amp;$B133,'W24. Total generation'!$A$10:$A$90&amp;'W24. Total generation'!$C$10:$C$90,0),MATCH(F$76,'W24. Total generation'!$E$9:$Q$9,0))</f>
        <v/>
      </c>
      <c r="G133" s="34" t="str">
        <f t="array" ref="G133">INDEX('W24. Total generation'!$E$10:$Q$90,MATCH($A133&amp;$B133,'W24. Total generation'!$A$10:$A$90&amp;'W24. Total generation'!$C$10:$C$90,0),MATCH(G$76,'W24. Total generation'!$E$9:$Q$9,0))</f>
        <v/>
      </c>
      <c r="H133" s="34">
        <f t="array" ref="H133">INDEX('W24. Total generation'!$E$10:$Q$90,MATCH($A133&amp;$B133,'W24. Total generation'!$A$10:$A$90&amp;'W24. Total generation'!$C$10:$C$90,0),MATCH(H$76,'W24. Total generation'!$E$9:$Q$9,0))</f>
        <v>7763.9542006164847</v>
      </c>
      <c r="I133" s="34">
        <f t="array" ref="I133">INDEX('W24. Total generation'!$E$10:$Q$90,MATCH($A133&amp;$B133,'W24. Total generation'!$A$10:$A$90&amp;'W24. Total generation'!$C$10:$C$90,0),MATCH(I$76,'W24. Total generation'!$E$9:$Q$9,0))</f>
        <v>9395.0741556384983</v>
      </c>
      <c r="J133" s="34">
        <f t="array" ref="J133">INDEX('W24. Total generation'!$E$10:$Q$90,MATCH($A133&amp;$B133,'W24. Total generation'!$A$10:$A$90&amp;'W24. Total generation'!$C$10:$C$90,0),MATCH(J$76,'W24. Total generation'!$E$9:$Q$9,0))</f>
        <v>10585.977461581271</v>
      </c>
    </row>
    <row r="134" spans="1:10" x14ac:dyDescent="0.3">
      <c r="A134" s="3" t="s">
        <v>381</v>
      </c>
      <c r="B134" s="3" t="s">
        <v>257</v>
      </c>
      <c r="C134" s="34">
        <f t="array" ref="C134">INDEX('W24. Total generation'!$E$10:$Q$90,MATCH($A134&amp;$B134,'W24. Total generation'!$A$10:$A$90&amp;'W24. Total generation'!$C$10:$C$90,0),MATCH(C$76,'W24. Total generation'!$E$9:$Q$9,0))</f>
        <v>2535.326</v>
      </c>
      <c r="D134" s="34" t="str">
        <f t="array" ref="D134">INDEX('W24. Total generation'!$E$10:$Q$90,MATCH($A134&amp;$B134,'W24. Total generation'!$A$10:$A$90&amp;'W24. Total generation'!$C$10:$C$90,0),MATCH(D$76,'W24. Total generation'!$E$9:$Q$9,0))</f>
        <v/>
      </c>
      <c r="E134" s="34" t="str">
        <f t="array" ref="E134">INDEX('W24. Total generation'!$E$10:$Q$90,MATCH($A134&amp;$B134,'W24. Total generation'!$A$10:$A$90&amp;'W24. Total generation'!$C$10:$C$90,0),MATCH(E$76,'W24. Total generation'!$E$9:$Q$9,0))</f>
        <v/>
      </c>
      <c r="F134" s="34" t="str">
        <f t="array" ref="F134">INDEX('W24. Total generation'!$E$10:$Q$90,MATCH($A134&amp;$B134,'W24. Total generation'!$A$10:$A$90&amp;'W24. Total generation'!$C$10:$C$90,0),MATCH(F$76,'W24. Total generation'!$E$9:$Q$9,0))</f>
        <v/>
      </c>
      <c r="G134" s="34" t="str">
        <f t="array" ref="G134">INDEX('W24. Total generation'!$E$10:$Q$90,MATCH($A134&amp;$B134,'W24. Total generation'!$A$10:$A$90&amp;'W24. Total generation'!$C$10:$C$90,0),MATCH(G$76,'W24. Total generation'!$E$9:$Q$9,0))</f>
        <v/>
      </c>
      <c r="H134" s="34">
        <f t="array" ref="H134">INDEX('W24. Total generation'!$E$10:$Q$90,MATCH($A134&amp;$B134,'W24. Total generation'!$A$10:$A$90&amp;'W24. Total generation'!$C$10:$C$90,0),MATCH(H$76,'W24. Total generation'!$E$9:$Q$9,0))</f>
        <v>3858.309433592467</v>
      </c>
      <c r="I134" s="34">
        <f t="array" ref="I134">INDEX('W24. Total generation'!$E$10:$Q$90,MATCH($A134&amp;$B134,'W24. Total generation'!$A$10:$A$90&amp;'W24. Total generation'!$C$10:$C$90,0),MATCH(I$76,'W24. Total generation'!$E$9:$Q$9,0))</f>
        <v>4470.642667725906</v>
      </c>
      <c r="J134" s="34">
        <f t="array" ref="J134">INDEX('W24. Total generation'!$E$10:$Q$90,MATCH($A134&amp;$B134,'W24. Total generation'!$A$10:$A$90&amp;'W24. Total generation'!$C$10:$C$90,0),MATCH(J$76,'W24. Total generation'!$E$9:$Q$9,0))</f>
        <v>4951.3005497209251</v>
      </c>
    </row>
    <row r="135" spans="1:10" x14ac:dyDescent="0.3">
      <c r="A135" s="3" t="s">
        <v>381</v>
      </c>
      <c r="B135" s="3" t="s">
        <v>256</v>
      </c>
      <c r="C135" s="34">
        <f t="array" ref="C135">INDEX('W24. Total generation'!$E$10:$Q$90,MATCH($A135&amp;$B135,'W24. Total generation'!$A$10:$A$90&amp;'W24. Total generation'!$C$10:$C$90,0),MATCH(C$76,'W24. Total generation'!$E$9:$Q$9,0))</f>
        <v>3894.7080000000001</v>
      </c>
      <c r="D135" s="34" t="str">
        <f t="array" ref="D135">INDEX('W24. Total generation'!$E$10:$Q$90,MATCH($A135&amp;$B135,'W24. Total generation'!$A$10:$A$90&amp;'W24. Total generation'!$C$10:$C$90,0),MATCH(D$76,'W24. Total generation'!$E$9:$Q$9,0))</f>
        <v/>
      </c>
      <c r="E135" s="34" t="str">
        <f t="array" ref="E135">INDEX('W24. Total generation'!$E$10:$Q$90,MATCH($A135&amp;$B135,'W24. Total generation'!$A$10:$A$90&amp;'W24. Total generation'!$C$10:$C$90,0),MATCH(E$76,'W24. Total generation'!$E$9:$Q$9,0))</f>
        <v/>
      </c>
      <c r="F135" s="34" t="str">
        <f t="array" ref="F135">INDEX('W24. Total generation'!$E$10:$Q$90,MATCH($A135&amp;$B135,'W24. Total generation'!$A$10:$A$90&amp;'W24. Total generation'!$C$10:$C$90,0),MATCH(F$76,'W24. Total generation'!$E$9:$Q$9,0))</f>
        <v/>
      </c>
      <c r="G135" s="34" t="str">
        <f t="array" ref="G135">INDEX('W24. Total generation'!$E$10:$Q$90,MATCH($A135&amp;$B135,'W24. Total generation'!$A$10:$A$90&amp;'W24. Total generation'!$C$10:$C$90,0),MATCH(G$76,'W24. Total generation'!$E$9:$Q$9,0))</f>
        <v/>
      </c>
      <c r="H135" s="34">
        <f t="array" ref="H135">INDEX('W24. Total generation'!$E$10:$Q$90,MATCH($A135&amp;$B135,'W24. Total generation'!$A$10:$A$90&amp;'W24. Total generation'!$C$10:$C$90,0),MATCH(H$76,'W24. Total generation'!$E$9:$Q$9,0))</f>
        <v>5421.8413407359367</v>
      </c>
      <c r="I135" s="34">
        <f t="array" ref="I135">INDEX('W24. Total generation'!$E$10:$Q$90,MATCH($A135&amp;$B135,'W24. Total generation'!$A$10:$A$90&amp;'W24. Total generation'!$C$10:$C$90,0),MATCH(I$76,'W24. Total generation'!$E$9:$Q$9,0))</f>
        <v>6261.1145726070308</v>
      </c>
      <c r="J135" s="34">
        <f t="array" ref="J135">INDEX('W24. Total generation'!$E$10:$Q$90,MATCH($A135&amp;$B135,'W24. Total generation'!$A$10:$A$90&amp;'W24. Total generation'!$C$10:$C$90,0),MATCH(J$76,'W24. Total generation'!$E$9:$Q$9,0))</f>
        <v>7037.0596029104772</v>
      </c>
    </row>
    <row r="136" spans="1:10" x14ac:dyDescent="0.3">
      <c r="A136" s="3" t="s">
        <v>381</v>
      </c>
      <c r="B136" s="3" t="s">
        <v>253</v>
      </c>
      <c r="C136" s="34">
        <f t="array" ref="C136">INDEX('W24. Total generation'!$E$10:$Q$90,MATCH($A136&amp;$B136,'W24. Total generation'!$A$10:$A$90&amp;'W24. Total generation'!$C$10:$C$90,0),MATCH(C$76,'W24. Total generation'!$E$9:$Q$9,0))</f>
        <v>495.94800000000004</v>
      </c>
      <c r="D136" s="34" t="str">
        <f t="array" ref="D136">INDEX('W24. Total generation'!$E$10:$Q$90,MATCH($A136&amp;$B136,'W24. Total generation'!$A$10:$A$90&amp;'W24. Total generation'!$C$10:$C$90,0),MATCH(D$76,'W24. Total generation'!$E$9:$Q$9,0))</f>
        <v/>
      </c>
      <c r="E136" s="34" t="str">
        <f t="array" ref="E136">INDEX('W24. Total generation'!$E$10:$Q$90,MATCH($A136&amp;$B136,'W24. Total generation'!$A$10:$A$90&amp;'W24. Total generation'!$C$10:$C$90,0),MATCH(E$76,'W24. Total generation'!$E$9:$Q$9,0))</f>
        <v/>
      </c>
      <c r="F136" s="34" t="str">
        <f t="array" ref="F136">INDEX('W24. Total generation'!$E$10:$Q$90,MATCH($A136&amp;$B136,'W24. Total generation'!$A$10:$A$90&amp;'W24. Total generation'!$C$10:$C$90,0),MATCH(F$76,'W24. Total generation'!$E$9:$Q$9,0))</f>
        <v/>
      </c>
      <c r="G136" s="34" t="str">
        <f t="array" ref="G136">INDEX('W24. Total generation'!$E$10:$Q$90,MATCH($A136&amp;$B136,'W24. Total generation'!$A$10:$A$90&amp;'W24. Total generation'!$C$10:$C$90,0),MATCH(G$76,'W24. Total generation'!$E$9:$Q$9,0))</f>
        <v/>
      </c>
      <c r="H136" s="34">
        <f t="array" ref="H136">INDEX('W24. Total generation'!$E$10:$Q$90,MATCH($A136&amp;$B136,'W24. Total generation'!$A$10:$A$90&amp;'W24. Total generation'!$C$10:$C$90,0),MATCH(H$76,'W24. Total generation'!$E$9:$Q$9,0))</f>
        <v>1267.4188623850657</v>
      </c>
      <c r="I136" s="34">
        <f t="array" ref="I136">INDEX('W24. Total generation'!$E$10:$Q$90,MATCH($A136&amp;$B136,'W24. Total generation'!$A$10:$A$90&amp;'W24. Total generation'!$C$10:$C$90,0),MATCH(I$76,'W24. Total generation'!$E$9:$Q$9,0))</f>
        <v>1695.379158774168</v>
      </c>
      <c r="J136" s="34">
        <f t="array" ref="J136">INDEX('W24. Total generation'!$E$10:$Q$90,MATCH($A136&amp;$B136,'W24. Total generation'!$A$10:$A$90&amp;'W24. Total generation'!$C$10:$C$90,0),MATCH(J$76,'W24. Total generation'!$E$9:$Q$9,0))</f>
        <v>2210.2801247097159</v>
      </c>
    </row>
    <row r="137" spans="1:10" x14ac:dyDescent="0.3">
      <c r="A137" s="3" t="s">
        <v>381</v>
      </c>
      <c r="B137" s="3" t="s">
        <v>260</v>
      </c>
      <c r="C137" s="34">
        <f t="array" ref="C137">INDEX('W24. Total generation'!$E$10:$Q$90,MATCH($A137&amp;$B137,'W24. Total generation'!$A$10:$A$90&amp;'W24. Total generation'!$C$10:$C$90,0),MATCH(C$76,'W24. Total generation'!$E$9:$Q$9,0))</f>
        <v>717.29323599999998</v>
      </c>
      <c r="D137" s="34" t="str">
        <f t="array" ref="D137">INDEX('W24. Total generation'!$E$10:$Q$90,MATCH($A137&amp;$B137,'W24. Total generation'!$A$10:$A$90&amp;'W24. Total generation'!$C$10:$C$90,0),MATCH(D$76,'W24. Total generation'!$E$9:$Q$9,0))</f>
        <v/>
      </c>
      <c r="E137" s="34" t="str">
        <f t="array" ref="E137">INDEX('W24. Total generation'!$E$10:$Q$90,MATCH($A137&amp;$B137,'W24. Total generation'!$A$10:$A$90&amp;'W24. Total generation'!$C$10:$C$90,0),MATCH(E$76,'W24. Total generation'!$E$9:$Q$9,0))</f>
        <v/>
      </c>
      <c r="F137" s="34" t="str">
        <f t="array" ref="F137">INDEX('W24. Total generation'!$E$10:$Q$90,MATCH($A137&amp;$B137,'W24. Total generation'!$A$10:$A$90&amp;'W24. Total generation'!$C$10:$C$90,0),MATCH(F$76,'W24. Total generation'!$E$9:$Q$9,0))</f>
        <v/>
      </c>
      <c r="G137" s="34" t="str">
        <f t="array" ref="G137">INDEX('W24. Total generation'!$E$10:$Q$90,MATCH($A137&amp;$B137,'W24. Total generation'!$A$10:$A$90&amp;'W24. Total generation'!$C$10:$C$90,0),MATCH(G$76,'W24. Total generation'!$E$9:$Q$9,0))</f>
        <v/>
      </c>
      <c r="H137" s="34">
        <f t="array" ref="H137">INDEX('W24. Total generation'!$E$10:$Q$90,MATCH($A137&amp;$B137,'W24. Total generation'!$A$10:$A$90&amp;'W24. Total generation'!$C$10:$C$90,0),MATCH(H$76,'W24. Total generation'!$E$9:$Q$9,0))</f>
        <v>2872.5404676442381</v>
      </c>
      <c r="I137" s="34">
        <f t="array" ref="I137">INDEX('W24. Total generation'!$E$10:$Q$90,MATCH($A137&amp;$B137,'W24. Total generation'!$A$10:$A$90&amp;'W24. Total generation'!$C$10:$C$90,0),MATCH(I$76,'W24. Total generation'!$E$9:$Q$9,0))</f>
        <v>3996.3898111422</v>
      </c>
      <c r="J137" s="34">
        <f t="array" ref="J137">INDEX('W24. Total generation'!$E$10:$Q$90,MATCH($A137&amp;$B137,'W24. Total generation'!$A$10:$A$90&amp;'W24. Total generation'!$C$10:$C$90,0),MATCH(J$76,'W24. Total generation'!$E$9:$Q$9,0))</f>
        <v>5251.5036749386809</v>
      </c>
    </row>
    <row r="138" spans="1:10" x14ac:dyDescent="0.3">
      <c r="A138" s="3" t="s">
        <v>381</v>
      </c>
      <c r="B138" s="3" t="s">
        <v>258</v>
      </c>
      <c r="C138" s="34">
        <f t="array" ref="C138">INDEX('W24. Total generation'!$E$10:$Q$90,MATCH($A138&amp;$B138,'W24. Total generation'!$A$10:$A$90&amp;'W24. Total generation'!$C$10:$C$90,0),MATCH(C$76,'W24. Total generation'!$E$9:$Q$9,0))</f>
        <v>92.123999999999995</v>
      </c>
      <c r="D138" s="34" t="str">
        <f t="array" ref="D138">INDEX('W24. Total generation'!$E$10:$Q$90,MATCH($A138&amp;$B138,'W24. Total generation'!$A$10:$A$90&amp;'W24. Total generation'!$C$10:$C$90,0),MATCH(D$76,'W24. Total generation'!$E$9:$Q$9,0))</f>
        <v/>
      </c>
      <c r="E138" s="34" t="str">
        <f t="array" ref="E138">INDEX('W24. Total generation'!$E$10:$Q$90,MATCH($A138&amp;$B138,'W24. Total generation'!$A$10:$A$90&amp;'W24. Total generation'!$C$10:$C$90,0),MATCH(E$76,'W24. Total generation'!$E$9:$Q$9,0))</f>
        <v/>
      </c>
      <c r="F138" s="34" t="str">
        <f t="array" ref="F138">INDEX('W24. Total generation'!$E$10:$Q$90,MATCH($A138&amp;$B138,'W24. Total generation'!$A$10:$A$90&amp;'W24. Total generation'!$C$10:$C$90,0),MATCH(F$76,'W24. Total generation'!$E$9:$Q$9,0))</f>
        <v/>
      </c>
      <c r="G138" s="34" t="str">
        <f t="array" ref="G138">INDEX('W24. Total generation'!$E$10:$Q$90,MATCH($A138&amp;$B138,'W24. Total generation'!$A$10:$A$90&amp;'W24. Total generation'!$C$10:$C$90,0),MATCH(G$76,'W24. Total generation'!$E$9:$Q$9,0))</f>
        <v/>
      </c>
      <c r="H138" s="34">
        <f t="array" ref="H138">INDEX('W24. Total generation'!$E$10:$Q$90,MATCH($A138&amp;$B138,'W24. Total generation'!$A$10:$A$90&amp;'W24. Total generation'!$C$10:$C$90,0),MATCH(H$76,'W24. Total generation'!$E$9:$Q$9,0))</f>
        <v>250.12768040731913</v>
      </c>
      <c r="I138" s="34">
        <f t="array" ref="I138">INDEX('W24. Total generation'!$E$10:$Q$90,MATCH($A138&amp;$B138,'W24. Total generation'!$A$10:$A$90&amp;'W24. Total generation'!$C$10:$C$90,0),MATCH(I$76,'W24. Total generation'!$E$9:$Q$9,0))</f>
        <v>461.99060349898332</v>
      </c>
      <c r="J138" s="34">
        <f t="array" ref="J138">INDEX('W24. Total generation'!$E$10:$Q$90,MATCH($A138&amp;$B138,'W24. Total generation'!$A$10:$A$90&amp;'W24. Total generation'!$C$10:$C$90,0),MATCH(J$76,'W24. Total generation'!$E$9:$Q$9,0))</f>
        <v>717.7390505567754</v>
      </c>
    </row>
    <row r="139" spans="1:10" x14ac:dyDescent="0.3">
      <c r="A139" s="3" t="s">
        <v>381</v>
      </c>
      <c r="B139" s="3" t="s">
        <v>259</v>
      </c>
      <c r="C139" s="34">
        <f t="array" ref="C139">INDEX('W24. Total generation'!$E$10:$Q$90,MATCH($A139&amp;$B139,'W24. Total generation'!$A$10:$A$90&amp;'W24. Total generation'!$C$10:$C$90,0),MATCH(C$76,'W24. Total generation'!$E$9:$Q$9,0))</f>
        <v>198.179</v>
      </c>
      <c r="D139" s="34" t="str">
        <f t="array" ref="D139">INDEX('W24. Total generation'!$E$10:$Q$90,MATCH($A139&amp;$B139,'W24. Total generation'!$A$10:$A$90&amp;'W24. Total generation'!$C$10:$C$90,0),MATCH(D$76,'W24. Total generation'!$E$9:$Q$9,0))</f>
        <v/>
      </c>
      <c r="E139" s="34" t="str">
        <f t="array" ref="E139">INDEX('W24. Total generation'!$E$10:$Q$90,MATCH($A139&amp;$B139,'W24. Total generation'!$A$10:$A$90&amp;'W24. Total generation'!$C$10:$C$90,0),MATCH(E$76,'W24. Total generation'!$E$9:$Q$9,0))</f>
        <v/>
      </c>
      <c r="F139" s="34" t="str">
        <f t="array" ref="F139">INDEX('W24. Total generation'!$E$10:$Q$90,MATCH($A139&amp;$B139,'W24. Total generation'!$A$10:$A$90&amp;'W24. Total generation'!$C$10:$C$90,0),MATCH(F$76,'W24. Total generation'!$E$9:$Q$9,0))</f>
        <v/>
      </c>
      <c r="G139" s="34" t="str">
        <f t="array" ref="G139">INDEX('W24. Total generation'!$E$10:$Q$90,MATCH($A139&amp;$B139,'W24. Total generation'!$A$10:$A$90&amp;'W24. Total generation'!$C$10:$C$90,0),MATCH(G$76,'W24. Total generation'!$E$9:$Q$9,0))</f>
        <v/>
      </c>
      <c r="H139" s="34">
        <f t="array" ref="H139">INDEX('W24. Total generation'!$E$10:$Q$90,MATCH($A139&amp;$B139,'W24. Total generation'!$A$10:$A$90&amp;'W24. Total generation'!$C$10:$C$90,0),MATCH(H$76,'W24. Total generation'!$E$9:$Q$9,0))</f>
        <v>1517.7321799914223</v>
      </c>
      <c r="I139" s="34">
        <f t="array" ref="I139">INDEX('W24. Total generation'!$E$10:$Q$90,MATCH($A139&amp;$B139,'W24. Total generation'!$A$10:$A$90&amp;'W24. Total generation'!$C$10:$C$90,0),MATCH(I$76,'W24. Total generation'!$E$9:$Q$9,0))</f>
        <v>2730.3332451410579</v>
      </c>
      <c r="J139" s="34">
        <f t="array" ref="J139">INDEX('W24. Total generation'!$E$10:$Q$90,MATCH($A139&amp;$B139,'W24. Total generation'!$A$10:$A$90&amp;'W24. Total generation'!$C$10:$C$90,0),MATCH(J$76,'W24. Total generation'!$E$9:$Q$9,0))</f>
        <v>4142.7725709184015</v>
      </c>
    </row>
    <row r="140" spans="1:10" x14ac:dyDescent="0.3">
      <c r="A140" s="3" t="s">
        <v>382</v>
      </c>
      <c r="B140" s="3" t="s">
        <v>254</v>
      </c>
      <c r="C140" s="34">
        <f t="array" ref="C140">INDEX('W24. Total generation'!$E$10:$Q$90,MATCH($A140&amp;$B140,'W24. Total generation'!$A$10:$A$90&amp;'W24. Total generation'!$C$10:$C$90,0),MATCH(C$76,'W24. Total generation'!$E$9:$Q$9,0))</f>
        <v>9697.148000000001</v>
      </c>
      <c r="D140" s="34" t="str">
        <f t="array" ref="D140">INDEX('W24. Total generation'!$E$10:$Q$90,MATCH($A140&amp;$B140,'W24. Total generation'!$A$10:$A$90&amp;'W24. Total generation'!$C$10:$C$90,0),MATCH(D$76,'W24. Total generation'!$E$9:$Q$9,0))</f>
        <v/>
      </c>
      <c r="E140" s="34" t="str">
        <f t="array" ref="E140">INDEX('W24. Total generation'!$E$10:$Q$90,MATCH($A140&amp;$B140,'W24. Total generation'!$A$10:$A$90&amp;'W24. Total generation'!$C$10:$C$90,0),MATCH(E$76,'W24. Total generation'!$E$9:$Q$9,0))</f>
        <v/>
      </c>
      <c r="F140" s="34" t="str">
        <f t="array" ref="F140">INDEX('W24. Total generation'!$E$10:$Q$90,MATCH($A140&amp;$B140,'W24. Total generation'!$A$10:$A$90&amp;'W24. Total generation'!$C$10:$C$90,0),MATCH(F$76,'W24. Total generation'!$E$9:$Q$9,0))</f>
        <v/>
      </c>
      <c r="G140" s="34" t="str">
        <f t="array" ref="G140">INDEX('W24. Total generation'!$E$10:$Q$90,MATCH($A140&amp;$B140,'W24. Total generation'!$A$10:$A$90&amp;'W24. Total generation'!$C$10:$C$90,0),MATCH(G$76,'W24. Total generation'!$E$9:$Q$9,0))</f>
        <v/>
      </c>
      <c r="H140" s="34">
        <f t="array" ref="H140">INDEX('W24. Total generation'!$E$10:$Q$90,MATCH($A140&amp;$B140,'W24. Total generation'!$A$10:$A$90&amp;'W24. Total generation'!$C$10:$C$90,0),MATCH(H$76,'W24. Total generation'!$E$9:$Q$9,0))</f>
        <v>5079.5556056032901</v>
      </c>
      <c r="I140" s="34">
        <f t="array" ref="I140">INDEX('W24. Total generation'!$E$10:$Q$90,MATCH($A140&amp;$B140,'W24. Total generation'!$A$10:$A$90&amp;'W24. Total generation'!$C$10:$C$90,0),MATCH(I$76,'W24. Total generation'!$E$9:$Q$9,0))</f>
        <v>2752.2365395059146</v>
      </c>
      <c r="J140" s="34">
        <f t="array" ref="J140">INDEX('W24. Total generation'!$E$10:$Q$90,MATCH($A140&amp;$B140,'W24. Total generation'!$A$10:$A$90&amp;'W24. Total generation'!$C$10:$C$90,0),MATCH(J$76,'W24. Total generation'!$E$9:$Q$9,0))</f>
        <v>2307.6479374828568</v>
      </c>
    </row>
    <row r="141" spans="1:10" x14ac:dyDescent="0.3">
      <c r="A141" s="3" t="s">
        <v>382</v>
      </c>
      <c r="B141" s="3" t="s">
        <v>266</v>
      </c>
      <c r="C141" s="34">
        <f t="array" ref="C141">INDEX('W24. Total generation'!$E$10:$Q$90,MATCH($A141&amp;$B141,'W24. Total generation'!$A$10:$A$90&amp;'W24. Total generation'!$C$10:$C$90,0),MATCH(C$76,'W24. Total generation'!$E$9:$Q$9,0))</f>
        <v>1033.346</v>
      </c>
      <c r="D141" s="34" t="str">
        <f t="array" ref="D141">INDEX('W24. Total generation'!$E$10:$Q$90,MATCH($A141&amp;$B141,'W24. Total generation'!$A$10:$A$90&amp;'W24. Total generation'!$C$10:$C$90,0),MATCH(D$76,'W24. Total generation'!$E$9:$Q$9,0))</f>
        <v/>
      </c>
      <c r="E141" s="34" t="str">
        <f t="array" ref="E141">INDEX('W24. Total generation'!$E$10:$Q$90,MATCH($A141&amp;$B141,'W24. Total generation'!$A$10:$A$90&amp;'W24. Total generation'!$C$10:$C$90,0),MATCH(E$76,'W24. Total generation'!$E$9:$Q$9,0))</f>
        <v/>
      </c>
      <c r="F141" s="34" t="str">
        <f t="array" ref="F141">INDEX('W24. Total generation'!$E$10:$Q$90,MATCH($A141&amp;$B141,'W24. Total generation'!$A$10:$A$90&amp;'W24. Total generation'!$C$10:$C$90,0),MATCH(F$76,'W24. Total generation'!$E$9:$Q$9,0))</f>
        <v/>
      </c>
      <c r="G141" s="34" t="str">
        <f t="array" ref="G141">INDEX('W24. Total generation'!$E$10:$Q$90,MATCH($A141&amp;$B141,'W24. Total generation'!$A$10:$A$90&amp;'W24. Total generation'!$C$10:$C$90,0),MATCH(G$76,'W24. Total generation'!$E$9:$Q$9,0))</f>
        <v/>
      </c>
      <c r="H141" s="34">
        <f t="array" ref="H141">INDEX('W24. Total generation'!$E$10:$Q$90,MATCH($A141&amp;$B141,'W24. Total generation'!$A$10:$A$90&amp;'W24. Total generation'!$C$10:$C$90,0),MATCH(H$76,'W24. Total generation'!$E$9:$Q$9,0))</f>
        <v>394.46039382198529</v>
      </c>
      <c r="I141" s="34">
        <f t="array" ref="I141">INDEX('W24. Total generation'!$E$10:$Q$90,MATCH($A141&amp;$B141,'W24. Total generation'!$A$10:$A$90&amp;'W24. Total generation'!$C$10:$C$90,0),MATCH(I$76,'W24. Total generation'!$E$9:$Q$9,0))</f>
        <v>218.87477140453467</v>
      </c>
      <c r="J141" s="34">
        <f t="array" ref="J141">INDEX('W24. Total generation'!$E$10:$Q$90,MATCH($A141&amp;$B141,'W24. Total generation'!$A$10:$A$90&amp;'W24. Total generation'!$C$10:$C$90,0),MATCH(J$76,'W24. Total generation'!$E$9:$Q$9,0))</f>
        <v>112.89470761102676</v>
      </c>
    </row>
    <row r="142" spans="1:10" x14ac:dyDescent="0.3">
      <c r="A142" s="3" t="s">
        <v>382</v>
      </c>
      <c r="B142" s="3" t="s">
        <v>255</v>
      </c>
      <c r="C142" s="34">
        <f t="array" ref="C142">INDEX('W24. Total generation'!$E$10:$Q$90,MATCH($A142&amp;$B142,'W24. Total generation'!$A$10:$A$90&amp;'W24. Total generation'!$C$10:$C$90,0),MATCH(C$76,'W24. Total generation'!$E$9:$Q$9,0))</f>
        <v>5154.8270000000002</v>
      </c>
      <c r="D142" s="34" t="str">
        <f t="array" ref="D142">INDEX('W24. Total generation'!$E$10:$Q$90,MATCH($A142&amp;$B142,'W24. Total generation'!$A$10:$A$90&amp;'W24. Total generation'!$C$10:$C$90,0),MATCH(D$76,'W24. Total generation'!$E$9:$Q$9,0))</f>
        <v/>
      </c>
      <c r="E142" s="34" t="str">
        <f t="array" ref="E142">INDEX('W24. Total generation'!$E$10:$Q$90,MATCH($A142&amp;$B142,'W24. Total generation'!$A$10:$A$90&amp;'W24. Total generation'!$C$10:$C$90,0),MATCH(E$76,'W24. Total generation'!$E$9:$Q$9,0))</f>
        <v/>
      </c>
      <c r="F142" s="34" t="str">
        <f t="array" ref="F142">INDEX('W24. Total generation'!$E$10:$Q$90,MATCH($A142&amp;$B142,'W24. Total generation'!$A$10:$A$90&amp;'W24. Total generation'!$C$10:$C$90,0),MATCH(F$76,'W24. Total generation'!$E$9:$Q$9,0))</f>
        <v/>
      </c>
      <c r="G142" s="34" t="str">
        <f t="array" ref="G142">INDEX('W24. Total generation'!$E$10:$Q$90,MATCH($A142&amp;$B142,'W24. Total generation'!$A$10:$A$90&amp;'W24. Total generation'!$C$10:$C$90,0),MATCH(G$76,'W24. Total generation'!$E$9:$Q$9,0))</f>
        <v/>
      </c>
      <c r="H142" s="34">
        <f t="array" ref="H142">INDEX('W24. Total generation'!$E$10:$Q$90,MATCH($A142&amp;$B142,'W24. Total generation'!$A$10:$A$90&amp;'W24. Total generation'!$C$10:$C$90,0),MATCH(H$76,'W24. Total generation'!$E$9:$Q$9,0))</f>
        <v>6707.8244474219046</v>
      </c>
      <c r="I142" s="34">
        <f t="array" ref="I142">INDEX('W24. Total generation'!$E$10:$Q$90,MATCH($A142&amp;$B142,'W24. Total generation'!$A$10:$A$90&amp;'W24. Total generation'!$C$10:$C$90,0),MATCH(I$76,'W24. Total generation'!$E$9:$Q$9,0))</f>
        <v>5873.6233991654399</v>
      </c>
      <c r="J142" s="34">
        <f t="array" ref="J142">INDEX('W24. Total generation'!$E$10:$Q$90,MATCH($A142&amp;$B142,'W24. Total generation'!$A$10:$A$90&amp;'W24. Total generation'!$C$10:$C$90,0),MATCH(J$76,'W24. Total generation'!$E$9:$Q$9,0))</f>
        <v>4118.9851046513013</v>
      </c>
    </row>
    <row r="143" spans="1:10" x14ac:dyDescent="0.3">
      <c r="A143" s="3" t="s">
        <v>382</v>
      </c>
      <c r="B143" s="3" t="s">
        <v>257</v>
      </c>
      <c r="C143" s="34">
        <f t="array" ref="C143">INDEX('W24. Total generation'!$E$10:$Q$90,MATCH($A143&amp;$B143,'W24. Total generation'!$A$10:$A$90&amp;'W24. Total generation'!$C$10:$C$90,0),MATCH(C$76,'W24. Total generation'!$E$9:$Q$9,0))</f>
        <v>2535.326</v>
      </c>
      <c r="D143" s="34" t="str">
        <f t="array" ref="D143">INDEX('W24. Total generation'!$E$10:$Q$90,MATCH($A143&amp;$B143,'W24. Total generation'!$A$10:$A$90&amp;'W24. Total generation'!$C$10:$C$90,0),MATCH(D$76,'W24. Total generation'!$E$9:$Q$9,0))</f>
        <v/>
      </c>
      <c r="E143" s="34" t="str">
        <f t="array" ref="E143">INDEX('W24. Total generation'!$E$10:$Q$90,MATCH($A143&amp;$B143,'W24. Total generation'!$A$10:$A$90&amp;'W24. Total generation'!$C$10:$C$90,0),MATCH(E$76,'W24. Total generation'!$E$9:$Q$9,0))</f>
        <v/>
      </c>
      <c r="F143" s="34" t="str">
        <f t="array" ref="F143">INDEX('W24. Total generation'!$E$10:$Q$90,MATCH($A143&amp;$B143,'W24. Total generation'!$A$10:$A$90&amp;'W24. Total generation'!$C$10:$C$90,0),MATCH(F$76,'W24. Total generation'!$E$9:$Q$9,0))</f>
        <v/>
      </c>
      <c r="G143" s="34" t="str">
        <f t="array" ref="G143">INDEX('W24. Total generation'!$E$10:$Q$90,MATCH($A143&amp;$B143,'W24. Total generation'!$A$10:$A$90&amp;'W24. Total generation'!$C$10:$C$90,0),MATCH(G$76,'W24. Total generation'!$E$9:$Q$9,0))</f>
        <v/>
      </c>
      <c r="H143" s="34">
        <f t="array" ref="H143">INDEX('W24. Total generation'!$E$10:$Q$90,MATCH($A143&amp;$B143,'W24. Total generation'!$A$10:$A$90&amp;'W24. Total generation'!$C$10:$C$90,0),MATCH(H$76,'W24. Total generation'!$E$9:$Q$9,0))</f>
        <v>4719.3746746021179</v>
      </c>
      <c r="I143" s="34">
        <f t="array" ref="I143">INDEX('W24. Total generation'!$E$10:$Q$90,MATCH($A143&amp;$B143,'W24. Total generation'!$A$10:$A$90&amp;'W24. Total generation'!$C$10:$C$90,0),MATCH(I$76,'W24. Total generation'!$E$9:$Q$9,0))</f>
        <v>6109.9452374085813</v>
      </c>
      <c r="J143" s="34">
        <f t="array" ref="J143">INDEX('W24. Total generation'!$E$10:$Q$90,MATCH($A143&amp;$B143,'W24. Total generation'!$A$10:$A$90&amp;'W24. Total generation'!$C$10:$C$90,0),MATCH(J$76,'W24. Total generation'!$E$9:$Q$9,0))</f>
        <v>6932.0796668110124</v>
      </c>
    </row>
    <row r="144" spans="1:10" x14ac:dyDescent="0.3">
      <c r="A144" s="3" t="s">
        <v>382</v>
      </c>
      <c r="B144" s="3" t="s">
        <v>256</v>
      </c>
      <c r="C144" s="34">
        <f t="array" ref="C144">INDEX('W24. Total generation'!$E$10:$Q$90,MATCH($A144&amp;$B144,'W24. Total generation'!$A$10:$A$90&amp;'W24. Total generation'!$C$10:$C$90,0),MATCH(C$76,'W24. Total generation'!$E$9:$Q$9,0))</f>
        <v>3894.7080000000001</v>
      </c>
      <c r="D144" s="34" t="str">
        <f t="array" ref="D144">INDEX('W24. Total generation'!$E$10:$Q$90,MATCH($A144&amp;$B144,'W24. Total generation'!$A$10:$A$90&amp;'W24. Total generation'!$C$10:$C$90,0),MATCH(D$76,'W24. Total generation'!$E$9:$Q$9,0))</f>
        <v/>
      </c>
      <c r="E144" s="34" t="str">
        <f t="array" ref="E144">INDEX('W24. Total generation'!$E$10:$Q$90,MATCH($A144&amp;$B144,'W24. Total generation'!$A$10:$A$90&amp;'W24. Total generation'!$C$10:$C$90,0),MATCH(E$76,'W24. Total generation'!$E$9:$Q$9,0))</f>
        <v/>
      </c>
      <c r="F144" s="34" t="str">
        <f t="array" ref="F144">INDEX('W24. Total generation'!$E$10:$Q$90,MATCH($A144&amp;$B144,'W24. Total generation'!$A$10:$A$90&amp;'W24. Total generation'!$C$10:$C$90,0),MATCH(F$76,'W24. Total generation'!$E$9:$Q$9,0))</f>
        <v/>
      </c>
      <c r="G144" s="34" t="str">
        <f t="array" ref="G144">INDEX('W24. Total generation'!$E$10:$Q$90,MATCH($A144&amp;$B144,'W24. Total generation'!$A$10:$A$90&amp;'W24. Total generation'!$C$10:$C$90,0),MATCH(G$76,'W24. Total generation'!$E$9:$Q$9,0))</f>
        <v/>
      </c>
      <c r="H144" s="34">
        <f t="array" ref="H144">INDEX('W24. Total generation'!$E$10:$Q$90,MATCH($A144&amp;$B144,'W24. Total generation'!$A$10:$A$90&amp;'W24. Total generation'!$C$10:$C$90,0),MATCH(H$76,'W24. Total generation'!$E$9:$Q$9,0))</f>
        <v>5691.457396244723</v>
      </c>
      <c r="I144" s="34">
        <f t="array" ref="I144">INDEX('W24. Total generation'!$E$10:$Q$90,MATCH($A144&amp;$B144,'W24. Total generation'!$A$10:$A$90&amp;'W24. Total generation'!$C$10:$C$90,0),MATCH(I$76,'W24. Total generation'!$E$9:$Q$9,0))</f>
        <v>6618.4871405593949</v>
      </c>
      <c r="J144" s="34">
        <f t="array" ref="J144">INDEX('W24. Total generation'!$E$10:$Q$90,MATCH($A144&amp;$B144,'W24. Total generation'!$A$10:$A$90&amp;'W24. Total generation'!$C$10:$C$90,0),MATCH(J$76,'W24. Total generation'!$E$9:$Q$9,0))</f>
        <v>7619.3421636690573</v>
      </c>
    </row>
    <row r="145" spans="1:10" x14ac:dyDescent="0.3">
      <c r="A145" s="3" t="s">
        <v>382</v>
      </c>
      <c r="B145" s="3" t="s">
        <v>253</v>
      </c>
      <c r="C145" s="34">
        <f t="array" ref="C145">INDEX('W24. Total generation'!$E$10:$Q$90,MATCH($A145&amp;$B145,'W24. Total generation'!$A$10:$A$90&amp;'W24. Total generation'!$C$10:$C$90,0),MATCH(C$76,'W24. Total generation'!$E$9:$Q$9,0))</f>
        <v>495.94800000000004</v>
      </c>
      <c r="D145" s="34" t="str">
        <f t="array" ref="D145">INDEX('W24. Total generation'!$E$10:$Q$90,MATCH($A145&amp;$B145,'W24. Total generation'!$A$10:$A$90&amp;'W24. Total generation'!$C$10:$C$90,0),MATCH(D$76,'W24. Total generation'!$E$9:$Q$9,0))</f>
        <v/>
      </c>
      <c r="E145" s="34" t="str">
        <f t="array" ref="E145">INDEX('W24. Total generation'!$E$10:$Q$90,MATCH($A145&amp;$B145,'W24. Total generation'!$A$10:$A$90&amp;'W24. Total generation'!$C$10:$C$90,0),MATCH(E$76,'W24. Total generation'!$E$9:$Q$9,0))</f>
        <v/>
      </c>
      <c r="F145" s="34" t="str">
        <f t="array" ref="F145">INDEX('W24. Total generation'!$E$10:$Q$90,MATCH($A145&amp;$B145,'W24. Total generation'!$A$10:$A$90&amp;'W24. Total generation'!$C$10:$C$90,0),MATCH(F$76,'W24. Total generation'!$E$9:$Q$9,0))</f>
        <v/>
      </c>
      <c r="G145" s="34" t="str">
        <f t="array" ref="G145">INDEX('W24. Total generation'!$E$10:$Q$90,MATCH($A145&amp;$B145,'W24. Total generation'!$A$10:$A$90&amp;'W24. Total generation'!$C$10:$C$90,0),MATCH(G$76,'W24. Total generation'!$E$9:$Q$9,0))</f>
        <v/>
      </c>
      <c r="H145" s="34">
        <f t="array" ref="H145">INDEX('W24. Total generation'!$E$10:$Q$90,MATCH($A145&amp;$B145,'W24. Total generation'!$A$10:$A$90&amp;'W24. Total generation'!$C$10:$C$90,0),MATCH(H$76,'W24. Total generation'!$E$9:$Q$9,0))</f>
        <v>1855.9687503196044</v>
      </c>
      <c r="I145" s="34">
        <f t="array" ref="I145">INDEX('W24. Total generation'!$E$10:$Q$90,MATCH($A145&amp;$B145,'W24. Total generation'!$A$10:$A$90&amp;'W24. Total generation'!$C$10:$C$90,0),MATCH(I$76,'W24. Total generation'!$E$9:$Q$9,0))</f>
        <v>2756.1699538770217</v>
      </c>
      <c r="J145" s="34">
        <f t="array" ref="J145">INDEX('W24. Total generation'!$E$10:$Q$90,MATCH($A145&amp;$B145,'W24. Total generation'!$A$10:$A$90&amp;'W24. Total generation'!$C$10:$C$90,0),MATCH(J$76,'W24. Total generation'!$E$9:$Q$9,0))</f>
        <v>3365.8569637631399</v>
      </c>
    </row>
    <row r="146" spans="1:10" x14ac:dyDescent="0.3">
      <c r="A146" s="3" t="s">
        <v>382</v>
      </c>
      <c r="B146" s="3" t="s">
        <v>260</v>
      </c>
      <c r="C146" s="34">
        <f t="array" ref="C146">INDEX('W24. Total generation'!$E$10:$Q$90,MATCH($A146&amp;$B146,'W24. Total generation'!$A$10:$A$90&amp;'W24. Total generation'!$C$10:$C$90,0),MATCH(C$76,'W24. Total generation'!$E$9:$Q$9,0))</f>
        <v>717.29323599999998</v>
      </c>
      <c r="D146" s="34" t="str">
        <f t="array" ref="D146">INDEX('W24. Total generation'!$E$10:$Q$90,MATCH($A146&amp;$B146,'W24. Total generation'!$A$10:$A$90&amp;'W24. Total generation'!$C$10:$C$90,0),MATCH(D$76,'W24. Total generation'!$E$9:$Q$9,0))</f>
        <v/>
      </c>
      <c r="E146" s="34" t="str">
        <f t="array" ref="E146">INDEX('W24. Total generation'!$E$10:$Q$90,MATCH($A146&amp;$B146,'W24. Total generation'!$A$10:$A$90&amp;'W24. Total generation'!$C$10:$C$90,0),MATCH(E$76,'W24. Total generation'!$E$9:$Q$9,0))</f>
        <v/>
      </c>
      <c r="F146" s="34" t="str">
        <f t="array" ref="F146">INDEX('W24. Total generation'!$E$10:$Q$90,MATCH($A146&amp;$B146,'W24. Total generation'!$A$10:$A$90&amp;'W24. Total generation'!$C$10:$C$90,0),MATCH(F$76,'W24. Total generation'!$E$9:$Q$9,0))</f>
        <v/>
      </c>
      <c r="G146" s="34" t="str">
        <f t="array" ref="G146">INDEX('W24. Total generation'!$E$10:$Q$90,MATCH($A146&amp;$B146,'W24. Total generation'!$A$10:$A$90&amp;'W24. Total generation'!$C$10:$C$90,0),MATCH(G$76,'W24. Total generation'!$E$9:$Q$9,0))</f>
        <v/>
      </c>
      <c r="H146" s="34">
        <f t="array" ref="H146">INDEX('W24. Total generation'!$E$10:$Q$90,MATCH($A146&amp;$B146,'W24. Total generation'!$A$10:$A$90&amp;'W24. Total generation'!$C$10:$C$90,0),MATCH(H$76,'W24. Total generation'!$E$9:$Q$9,0))</f>
        <v>4314.4859481300837</v>
      </c>
      <c r="I146" s="34">
        <f t="array" ref="I146">INDEX('W24. Total generation'!$E$10:$Q$90,MATCH($A146&amp;$B146,'W24. Total generation'!$A$10:$A$90&amp;'W24. Total generation'!$C$10:$C$90,0),MATCH(I$76,'W24. Total generation'!$E$9:$Q$9,0))</f>
        <v>6482.5669238772589</v>
      </c>
      <c r="J146" s="34">
        <f t="array" ref="J146">INDEX('W24. Total generation'!$E$10:$Q$90,MATCH($A146&amp;$B146,'W24. Total generation'!$A$10:$A$90&amp;'W24. Total generation'!$C$10:$C$90,0),MATCH(J$76,'W24. Total generation'!$E$9:$Q$9,0))</f>
        <v>8178.8009866793545</v>
      </c>
    </row>
    <row r="147" spans="1:10" x14ac:dyDescent="0.3">
      <c r="A147" s="3" t="s">
        <v>382</v>
      </c>
      <c r="B147" s="3" t="s">
        <v>258</v>
      </c>
      <c r="C147" s="34">
        <f t="array" ref="C147">INDEX('W24. Total generation'!$E$10:$Q$90,MATCH($A147&amp;$B147,'W24. Total generation'!$A$10:$A$90&amp;'W24. Total generation'!$C$10:$C$90,0),MATCH(C$76,'W24. Total generation'!$E$9:$Q$9,0))</f>
        <v>92.123999999999995</v>
      </c>
      <c r="D147" s="34" t="str">
        <f t="array" ref="D147">INDEX('W24. Total generation'!$E$10:$Q$90,MATCH($A147&amp;$B147,'W24. Total generation'!$A$10:$A$90&amp;'W24. Total generation'!$C$10:$C$90,0),MATCH(D$76,'W24. Total generation'!$E$9:$Q$9,0))</f>
        <v/>
      </c>
      <c r="E147" s="34" t="str">
        <f t="array" ref="E147">INDEX('W24. Total generation'!$E$10:$Q$90,MATCH($A147&amp;$B147,'W24. Total generation'!$A$10:$A$90&amp;'W24. Total generation'!$C$10:$C$90,0),MATCH(E$76,'W24. Total generation'!$E$9:$Q$9,0))</f>
        <v/>
      </c>
      <c r="F147" s="34" t="str">
        <f t="array" ref="F147">INDEX('W24. Total generation'!$E$10:$Q$90,MATCH($A147&amp;$B147,'W24. Total generation'!$A$10:$A$90&amp;'W24. Total generation'!$C$10:$C$90,0),MATCH(F$76,'W24. Total generation'!$E$9:$Q$9,0))</f>
        <v/>
      </c>
      <c r="G147" s="34" t="str">
        <f t="array" ref="G147">INDEX('W24. Total generation'!$E$10:$Q$90,MATCH($A147&amp;$B147,'W24. Total generation'!$A$10:$A$90&amp;'W24. Total generation'!$C$10:$C$90,0),MATCH(G$76,'W24. Total generation'!$E$9:$Q$9,0))</f>
        <v/>
      </c>
      <c r="H147" s="34">
        <f t="array" ref="H147">INDEX('W24. Total generation'!$E$10:$Q$90,MATCH($A147&amp;$B147,'W24. Total generation'!$A$10:$A$90&amp;'W24. Total generation'!$C$10:$C$90,0),MATCH(H$76,'W24. Total generation'!$E$9:$Q$9,0))</f>
        <v>357.09673246840231</v>
      </c>
      <c r="I147" s="34">
        <f t="array" ref="I147">INDEX('W24. Total generation'!$E$10:$Q$90,MATCH($A147&amp;$B147,'W24. Total generation'!$A$10:$A$90&amp;'W24. Total generation'!$C$10:$C$90,0),MATCH(I$76,'W24. Total generation'!$E$9:$Q$9,0))</f>
        <v>739.56955736093005</v>
      </c>
      <c r="J147" s="34">
        <f t="array" ref="J147">INDEX('W24. Total generation'!$E$10:$Q$90,MATCH($A147&amp;$B147,'W24. Total generation'!$A$10:$A$90&amp;'W24. Total generation'!$C$10:$C$90,0),MATCH(J$76,'W24. Total generation'!$E$9:$Q$9,0))</f>
        <v>1409.2539101926004</v>
      </c>
    </row>
    <row r="148" spans="1:10" x14ac:dyDescent="0.3">
      <c r="A148" s="3" t="s">
        <v>382</v>
      </c>
      <c r="B148" s="3" t="s">
        <v>259</v>
      </c>
      <c r="C148" s="34">
        <f t="array" ref="C148">INDEX('W24. Total generation'!$E$10:$Q$90,MATCH($A148&amp;$B148,'W24. Total generation'!$A$10:$A$90&amp;'W24. Total generation'!$C$10:$C$90,0),MATCH(C$76,'W24. Total generation'!$E$9:$Q$9,0))</f>
        <v>198.179</v>
      </c>
      <c r="D148" s="34" t="str">
        <f t="array" ref="D148">INDEX('W24. Total generation'!$E$10:$Q$90,MATCH($A148&amp;$B148,'W24. Total generation'!$A$10:$A$90&amp;'W24. Total generation'!$C$10:$C$90,0),MATCH(D$76,'W24. Total generation'!$E$9:$Q$9,0))</f>
        <v/>
      </c>
      <c r="E148" s="34" t="str">
        <f t="array" ref="E148">INDEX('W24. Total generation'!$E$10:$Q$90,MATCH($A148&amp;$B148,'W24. Total generation'!$A$10:$A$90&amp;'W24. Total generation'!$C$10:$C$90,0),MATCH(E$76,'W24. Total generation'!$E$9:$Q$9,0))</f>
        <v/>
      </c>
      <c r="F148" s="34" t="str">
        <f t="array" ref="F148">INDEX('W24. Total generation'!$E$10:$Q$90,MATCH($A148&amp;$B148,'W24. Total generation'!$A$10:$A$90&amp;'W24. Total generation'!$C$10:$C$90,0),MATCH(F$76,'W24. Total generation'!$E$9:$Q$9,0))</f>
        <v/>
      </c>
      <c r="G148" s="34" t="str">
        <f t="array" ref="G148">INDEX('W24. Total generation'!$E$10:$Q$90,MATCH($A148&amp;$B148,'W24. Total generation'!$A$10:$A$90&amp;'W24. Total generation'!$C$10:$C$90,0),MATCH(G$76,'W24. Total generation'!$E$9:$Q$9,0))</f>
        <v/>
      </c>
      <c r="H148" s="34">
        <f t="array" ref="H148">INDEX('W24. Total generation'!$E$10:$Q$90,MATCH($A148&amp;$B148,'W24. Total generation'!$A$10:$A$90&amp;'W24. Total generation'!$C$10:$C$90,0),MATCH(H$76,'W24. Total generation'!$E$9:$Q$9,0))</f>
        <v>2320.4950837543201</v>
      </c>
      <c r="I148" s="34">
        <f t="array" ref="I148">INDEX('W24. Total generation'!$E$10:$Q$90,MATCH($A148&amp;$B148,'W24. Total generation'!$A$10:$A$90&amp;'W24. Total generation'!$C$10:$C$90,0),MATCH(I$76,'W24. Total generation'!$E$9:$Q$9,0))</f>
        <v>4826.2897366303541</v>
      </c>
      <c r="J148" s="34">
        <f t="array" ref="J148">INDEX('W24. Total generation'!$E$10:$Q$90,MATCH($A148&amp;$B148,'W24. Total generation'!$A$10:$A$90&amp;'W24. Total generation'!$C$10:$C$90,0),MATCH(J$76,'W24. Total generation'!$E$9:$Q$9,0))</f>
        <v>8501.0279887656616</v>
      </c>
    </row>
    <row r="149" spans="1:10" x14ac:dyDescent="0.3">
      <c r="A149" s="3" t="s">
        <v>383</v>
      </c>
      <c r="B149" s="3" t="s">
        <v>254</v>
      </c>
      <c r="C149" s="34">
        <f t="array" ref="C149">INDEX('W24. Total generation'!$E$10:$Q$90,MATCH($A149&amp;$B149,'W24. Total generation'!$A$10:$A$90&amp;'W24. Total generation'!$C$10:$C$90,0),MATCH(C$76,'W24. Total generation'!$E$9:$Q$9,0))</f>
        <v>9697.148000000001</v>
      </c>
      <c r="D149" s="34" t="str">
        <f t="array" ref="D149">INDEX('W24. Total generation'!$E$10:$Q$90,MATCH($A149&amp;$B149,'W24. Total generation'!$A$10:$A$90&amp;'W24. Total generation'!$C$10:$C$90,0),MATCH(D$76,'W24. Total generation'!$E$9:$Q$9,0))</f>
        <v/>
      </c>
      <c r="E149" s="34" t="str">
        <f t="array" ref="E149">INDEX('W24. Total generation'!$E$10:$Q$90,MATCH($A149&amp;$B149,'W24. Total generation'!$A$10:$A$90&amp;'W24. Total generation'!$C$10:$C$90,0),MATCH(E$76,'W24. Total generation'!$E$9:$Q$9,0))</f>
        <v/>
      </c>
      <c r="F149" s="34" t="str">
        <f t="array" ref="F149">INDEX('W24. Total generation'!$E$10:$Q$90,MATCH($A149&amp;$B149,'W24. Total generation'!$A$10:$A$90&amp;'W24. Total generation'!$C$10:$C$90,0),MATCH(F$76,'W24. Total generation'!$E$9:$Q$9,0))</f>
        <v/>
      </c>
      <c r="G149" s="34" t="str">
        <f t="array" ref="G149">INDEX('W24. Total generation'!$E$10:$Q$90,MATCH($A149&amp;$B149,'W24. Total generation'!$A$10:$A$90&amp;'W24. Total generation'!$C$10:$C$90,0),MATCH(G$76,'W24. Total generation'!$E$9:$Q$9,0))</f>
        <v/>
      </c>
      <c r="H149" s="34">
        <f t="array" ref="H149">INDEX('W24. Total generation'!$E$10:$Q$90,MATCH($A149&amp;$B149,'W24. Total generation'!$A$10:$A$90&amp;'W24. Total generation'!$C$10:$C$90,0),MATCH(H$76,'W24. Total generation'!$E$9:$Q$9,0))</f>
        <v>3800.9852160625819</v>
      </c>
      <c r="I149" s="34">
        <f t="array" ref="I149">INDEX('W24. Total generation'!$E$10:$Q$90,MATCH($A149&amp;$B149,'W24. Total generation'!$A$10:$A$90&amp;'W24. Total generation'!$C$10:$C$90,0),MATCH(I$76,'W24. Total generation'!$E$9:$Q$9,0))</f>
        <v>2015.1900008872935</v>
      </c>
      <c r="J149" s="34">
        <f t="array" ref="J149">INDEX('W24. Total generation'!$E$10:$Q$90,MATCH($A149&amp;$B149,'W24. Total generation'!$A$10:$A$90&amp;'W24. Total generation'!$C$10:$C$90,0),MATCH(J$76,'W24. Total generation'!$E$9:$Q$9,0))</f>
        <v>1814.4625082917883</v>
      </c>
    </row>
    <row r="150" spans="1:10" x14ac:dyDescent="0.3">
      <c r="A150" s="3" t="s">
        <v>383</v>
      </c>
      <c r="B150" s="3" t="s">
        <v>266</v>
      </c>
      <c r="C150" s="34">
        <f t="array" ref="C150">INDEX('W24. Total generation'!$E$10:$Q$90,MATCH($A150&amp;$B150,'W24. Total generation'!$A$10:$A$90&amp;'W24. Total generation'!$C$10:$C$90,0),MATCH(C$76,'W24. Total generation'!$E$9:$Q$9,0))</f>
        <v>1033.346</v>
      </c>
      <c r="D150" s="34" t="str">
        <f t="array" ref="D150">INDEX('W24. Total generation'!$E$10:$Q$90,MATCH($A150&amp;$B150,'W24. Total generation'!$A$10:$A$90&amp;'W24. Total generation'!$C$10:$C$90,0),MATCH(D$76,'W24. Total generation'!$E$9:$Q$9,0))</f>
        <v/>
      </c>
      <c r="E150" s="34" t="str">
        <f t="array" ref="E150">INDEX('W24. Total generation'!$E$10:$Q$90,MATCH($A150&amp;$B150,'W24. Total generation'!$A$10:$A$90&amp;'W24. Total generation'!$C$10:$C$90,0),MATCH(E$76,'W24. Total generation'!$E$9:$Q$9,0))</f>
        <v/>
      </c>
      <c r="F150" s="34" t="str">
        <f t="array" ref="F150">INDEX('W24. Total generation'!$E$10:$Q$90,MATCH($A150&amp;$B150,'W24. Total generation'!$A$10:$A$90&amp;'W24. Total generation'!$C$10:$C$90,0),MATCH(F$76,'W24. Total generation'!$E$9:$Q$9,0))</f>
        <v/>
      </c>
      <c r="G150" s="34" t="str">
        <f t="array" ref="G150">INDEX('W24. Total generation'!$E$10:$Q$90,MATCH($A150&amp;$B150,'W24. Total generation'!$A$10:$A$90&amp;'W24. Total generation'!$C$10:$C$90,0),MATCH(G$76,'W24. Total generation'!$E$9:$Q$9,0))</f>
        <v/>
      </c>
      <c r="H150" s="34">
        <f t="array" ref="H150">INDEX('W24. Total generation'!$E$10:$Q$90,MATCH($A150&amp;$B150,'W24. Total generation'!$A$10:$A$90&amp;'W24. Total generation'!$C$10:$C$90,0),MATCH(H$76,'W24. Total generation'!$E$9:$Q$9,0))</f>
        <v>413.52667336047296</v>
      </c>
      <c r="I150" s="34">
        <f t="array" ref="I150">INDEX('W24. Total generation'!$E$10:$Q$90,MATCH($A150&amp;$B150,'W24. Total generation'!$A$10:$A$90&amp;'W24. Total generation'!$C$10:$C$90,0),MATCH(I$76,'W24. Total generation'!$E$9:$Q$9,0))</f>
        <v>215.47025326481779</v>
      </c>
      <c r="J150" s="34">
        <f t="array" ref="J150">INDEX('W24. Total generation'!$E$10:$Q$90,MATCH($A150&amp;$B150,'W24. Total generation'!$A$10:$A$90&amp;'W24. Total generation'!$C$10:$C$90,0),MATCH(J$76,'W24. Total generation'!$E$9:$Q$9,0))</f>
        <v>90.7571719787597</v>
      </c>
    </row>
    <row r="151" spans="1:10" x14ac:dyDescent="0.3">
      <c r="A151" s="3" t="s">
        <v>383</v>
      </c>
      <c r="B151" s="3" t="s">
        <v>255</v>
      </c>
      <c r="C151" s="34">
        <f t="array" ref="C151">INDEX('W24. Total generation'!$E$10:$Q$90,MATCH($A151&amp;$B151,'W24. Total generation'!$A$10:$A$90&amp;'W24. Total generation'!$C$10:$C$90,0),MATCH(C$76,'W24. Total generation'!$E$9:$Q$9,0))</f>
        <v>5154.8270000000002</v>
      </c>
      <c r="D151" s="34" t="str">
        <f t="array" ref="D151">INDEX('W24. Total generation'!$E$10:$Q$90,MATCH($A151&amp;$B151,'W24. Total generation'!$A$10:$A$90&amp;'W24. Total generation'!$C$10:$C$90,0),MATCH(D$76,'W24. Total generation'!$E$9:$Q$9,0))</f>
        <v/>
      </c>
      <c r="E151" s="34" t="str">
        <f t="array" ref="E151">INDEX('W24. Total generation'!$E$10:$Q$90,MATCH($A151&amp;$B151,'W24. Total generation'!$A$10:$A$90&amp;'W24. Total generation'!$C$10:$C$90,0),MATCH(E$76,'W24. Total generation'!$E$9:$Q$9,0))</f>
        <v/>
      </c>
      <c r="F151" s="34" t="str">
        <f t="array" ref="F151">INDEX('W24. Total generation'!$E$10:$Q$90,MATCH($A151&amp;$B151,'W24. Total generation'!$A$10:$A$90&amp;'W24. Total generation'!$C$10:$C$90,0),MATCH(F$76,'W24. Total generation'!$E$9:$Q$9,0))</f>
        <v/>
      </c>
      <c r="G151" s="34" t="str">
        <f t="array" ref="G151">INDEX('W24. Total generation'!$E$10:$Q$90,MATCH($A151&amp;$B151,'W24. Total generation'!$A$10:$A$90&amp;'W24. Total generation'!$C$10:$C$90,0),MATCH(G$76,'W24. Total generation'!$E$9:$Q$9,0))</f>
        <v/>
      </c>
      <c r="H151" s="34">
        <f t="array" ref="H151">INDEX('W24. Total generation'!$E$10:$Q$90,MATCH($A151&amp;$B151,'W24. Total generation'!$A$10:$A$90&amp;'W24. Total generation'!$C$10:$C$90,0),MATCH(H$76,'W24. Total generation'!$E$9:$Q$9,0))</f>
        <v>7524.9477349325725</v>
      </c>
      <c r="I151" s="34">
        <f t="array" ref="I151">INDEX('W24. Total generation'!$E$10:$Q$90,MATCH($A151&amp;$B151,'W24. Total generation'!$A$10:$A$90&amp;'W24. Total generation'!$C$10:$C$90,0),MATCH(I$76,'W24. Total generation'!$E$9:$Q$9,0))</f>
        <v>5490.1401647314487</v>
      </c>
      <c r="J151" s="34">
        <f t="array" ref="J151">INDEX('W24. Total generation'!$E$10:$Q$90,MATCH($A151&amp;$B151,'W24. Total generation'!$A$10:$A$90&amp;'W24. Total generation'!$C$10:$C$90,0),MATCH(J$76,'W24. Total generation'!$E$9:$Q$9,0))</f>
        <v>2401.5030388608793</v>
      </c>
    </row>
    <row r="152" spans="1:10" x14ac:dyDescent="0.3">
      <c r="A152" s="3" t="s">
        <v>383</v>
      </c>
      <c r="B152" s="3" t="s">
        <v>257</v>
      </c>
      <c r="C152" s="34">
        <f t="array" ref="C152">INDEX('W24. Total generation'!$E$10:$Q$90,MATCH($A152&amp;$B152,'W24. Total generation'!$A$10:$A$90&amp;'W24. Total generation'!$C$10:$C$90,0),MATCH(C$76,'W24. Total generation'!$E$9:$Q$9,0))</f>
        <v>2535.326</v>
      </c>
      <c r="D152" s="34" t="str">
        <f t="array" ref="D152">INDEX('W24. Total generation'!$E$10:$Q$90,MATCH($A152&amp;$B152,'W24. Total generation'!$A$10:$A$90&amp;'W24. Total generation'!$C$10:$C$90,0),MATCH(D$76,'W24. Total generation'!$E$9:$Q$9,0))</f>
        <v/>
      </c>
      <c r="E152" s="34" t="str">
        <f t="array" ref="E152">INDEX('W24. Total generation'!$E$10:$Q$90,MATCH($A152&amp;$B152,'W24. Total generation'!$A$10:$A$90&amp;'W24. Total generation'!$C$10:$C$90,0),MATCH(E$76,'W24. Total generation'!$E$9:$Q$9,0))</f>
        <v/>
      </c>
      <c r="F152" s="34" t="str">
        <f t="array" ref="F152">INDEX('W24. Total generation'!$E$10:$Q$90,MATCH($A152&amp;$B152,'W24. Total generation'!$A$10:$A$90&amp;'W24. Total generation'!$C$10:$C$90,0),MATCH(F$76,'W24. Total generation'!$E$9:$Q$9,0))</f>
        <v/>
      </c>
      <c r="G152" s="34" t="str">
        <f t="array" ref="G152">INDEX('W24. Total generation'!$E$10:$Q$90,MATCH($A152&amp;$B152,'W24. Total generation'!$A$10:$A$90&amp;'W24. Total generation'!$C$10:$C$90,0),MATCH(G$76,'W24. Total generation'!$E$9:$Q$9,0))</f>
        <v/>
      </c>
      <c r="H152" s="34">
        <f t="array" ref="H152">INDEX('W24. Total generation'!$E$10:$Q$90,MATCH($A152&amp;$B152,'W24. Total generation'!$A$10:$A$90&amp;'W24. Total generation'!$C$10:$C$90,0),MATCH(H$76,'W24. Total generation'!$E$9:$Q$9,0))</f>
        <v>4753.0901845248936</v>
      </c>
      <c r="I152" s="34">
        <f t="array" ref="I152">INDEX('W24. Total generation'!$E$10:$Q$90,MATCH($A152&amp;$B152,'W24. Total generation'!$A$10:$A$90&amp;'W24. Total generation'!$C$10:$C$90,0),MATCH(I$76,'W24. Total generation'!$E$9:$Q$9,0))</f>
        <v>6159.5912754522024</v>
      </c>
      <c r="J152" s="34">
        <f t="array" ref="J152">INDEX('W24. Total generation'!$E$10:$Q$90,MATCH($A152&amp;$B152,'W24. Total generation'!$A$10:$A$90&amp;'W24. Total generation'!$C$10:$C$90,0),MATCH(J$76,'W24. Total generation'!$E$9:$Q$9,0))</f>
        <v>7069.3546887434977</v>
      </c>
    </row>
    <row r="153" spans="1:10" x14ac:dyDescent="0.3">
      <c r="A153" s="3" t="s">
        <v>383</v>
      </c>
      <c r="B153" s="3" t="s">
        <v>256</v>
      </c>
      <c r="C153" s="34">
        <f t="array" ref="C153">INDEX('W24. Total generation'!$E$10:$Q$90,MATCH($A153&amp;$B153,'W24. Total generation'!$A$10:$A$90&amp;'W24. Total generation'!$C$10:$C$90,0),MATCH(C$76,'W24. Total generation'!$E$9:$Q$9,0))</f>
        <v>3894.7080000000001</v>
      </c>
      <c r="D153" s="34" t="str">
        <f t="array" ref="D153">INDEX('W24. Total generation'!$E$10:$Q$90,MATCH($A153&amp;$B153,'W24. Total generation'!$A$10:$A$90&amp;'W24. Total generation'!$C$10:$C$90,0),MATCH(D$76,'W24. Total generation'!$E$9:$Q$9,0))</f>
        <v/>
      </c>
      <c r="E153" s="34" t="str">
        <f t="array" ref="E153">INDEX('W24. Total generation'!$E$10:$Q$90,MATCH($A153&amp;$B153,'W24. Total generation'!$A$10:$A$90&amp;'W24. Total generation'!$C$10:$C$90,0),MATCH(E$76,'W24. Total generation'!$E$9:$Q$9,0))</f>
        <v/>
      </c>
      <c r="F153" s="34" t="str">
        <f t="array" ref="F153">INDEX('W24. Total generation'!$E$10:$Q$90,MATCH($A153&amp;$B153,'W24. Total generation'!$A$10:$A$90&amp;'W24. Total generation'!$C$10:$C$90,0),MATCH(F$76,'W24. Total generation'!$E$9:$Q$9,0))</f>
        <v/>
      </c>
      <c r="G153" s="34" t="str">
        <f t="array" ref="G153">INDEX('W24. Total generation'!$E$10:$Q$90,MATCH($A153&amp;$B153,'W24. Total generation'!$A$10:$A$90&amp;'W24. Total generation'!$C$10:$C$90,0),MATCH(G$76,'W24. Total generation'!$E$9:$Q$9,0))</f>
        <v/>
      </c>
      <c r="H153" s="34">
        <f t="array" ref="H153">INDEX('W24. Total generation'!$E$10:$Q$90,MATCH($A153&amp;$B153,'W24. Total generation'!$A$10:$A$90&amp;'W24. Total generation'!$C$10:$C$90,0),MATCH(H$76,'W24. Total generation'!$E$9:$Q$9,0))</f>
        <v>5713.7086533450283</v>
      </c>
      <c r="I153" s="34">
        <f t="array" ref="I153">INDEX('W24. Total generation'!$E$10:$Q$90,MATCH($A153&amp;$B153,'W24. Total generation'!$A$10:$A$90&amp;'W24. Total generation'!$C$10:$C$90,0),MATCH(I$76,'W24. Total generation'!$E$9:$Q$9,0))</f>
        <v>6746.7868103090632</v>
      </c>
      <c r="J153" s="34">
        <f t="array" ref="J153">INDEX('W24. Total generation'!$E$10:$Q$90,MATCH($A153&amp;$B153,'W24. Total generation'!$A$10:$A$90&amp;'W24. Total generation'!$C$10:$C$90,0),MATCH(J$76,'W24. Total generation'!$E$9:$Q$9,0))</f>
        <v>7964.9360111745673</v>
      </c>
    </row>
    <row r="154" spans="1:10" x14ac:dyDescent="0.3">
      <c r="A154" s="3" t="s">
        <v>383</v>
      </c>
      <c r="B154" s="3" t="s">
        <v>253</v>
      </c>
      <c r="C154" s="34">
        <f t="array" ref="C154">INDEX('W24. Total generation'!$E$10:$Q$90,MATCH($A154&amp;$B154,'W24. Total generation'!$A$10:$A$90&amp;'W24. Total generation'!$C$10:$C$90,0),MATCH(C$76,'W24. Total generation'!$E$9:$Q$9,0))</f>
        <v>495.94800000000004</v>
      </c>
      <c r="D154" s="34" t="str">
        <f t="array" ref="D154">INDEX('W24. Total generation'!$E$10:$Q$90,MATCH($A154&amp;$B154,'W24. Total generation'!$A$10:$A$90&amp;'W24. Total generation'!$C$10:$C$90,0),MATCH(D$76,'W24. Total generation'!$E$9:$Q$9,0))</f>
        <v/>
      </c>
      <c r="E154" s="34" t="str">
        <f t="array" ref="E154">INDEX('W24. Total generation'!$E$10:$Q$90,MATCH($A154&amp;$B154,'W24. Total generation'!$A$10:$A$90&amp;'W24. Total generation'!$C$10:$C$90,0),MATCH(E$76,'W24. Total generation'!$E$9:$Q$9,0))</f>
        <v/>
      </c>
      <c r="F154" s="34" t="str">
        <f t="array" ref="F154">INDEX('W24. Total generation'!$E$10:$Q$90,MATCH($A154&amp;$B154,'W24. Total generation'!$A$10:$A$90&amp;'W24. Total generation'!$C$10:$C$90,0),MATCH(F$76,'W24. Total generation'!$E$9:$Q$9,0))</f>
        <v/>
      </c>
      <c r="G154" s="34" t="str">
        <f t="array" ref="G154">INDEX('W24. Total generation'!$E$10:$Q$90,MATCH($A154&amp;$B154,'W24. Total generation'!$A$10:$A$90&amp;'W24. Total generation'!$C$10:$C$90,0),MATCH(G$76,'W24. Total generation'!$E$9:$Q$9,0))</f>
        <v/>
      </c>
      <c r="H154" s="34">
        <f t="array" ref="H154">INDEX('W24. Total generation'!$E$10:$Q$90,MATCH($A154&amp;$B154,'W24. Total generation'!$A$10:$A$90&amp;'W24. Total generation'!$C$10:$C$90,0),MATCH(H$76,'W24. Total generation'!$E$9:$Q$9,0))</f>
        <v>1950.7755240963497</v>
      </c>
      <c r="I154" s="34">
        <f t="array" ref="I154">INDEX('W24. Total generation'!$E$10:$Q$90,MATCH($A154&amp;$B154,'W24. Total generation'!$A$10:$A$90&amp;'W24. Total generation'!$C$10:$C$90,0),MATCH(I$76,'W24. Total generation'!$E$9:$Q$9,0))</f>
        <v>3329.2346851010711</v>
      </c>
      <c r="J154" s="34">
        <f t="array" ref="J154">INDEX('W24. Total generation'!$E$10:$Q$90,MATCH($A154&amp;$B154,'W24. Total generation'!$A$10:$A$90&amp;'W24. Total generation'!$C$10:$C$90,0),MATCH(J$76,'W24. Total generation'!$E$9:$Q$9,0))</f>
        <v>4762.5132129858657</v>
      </c>
    </row>
    <row r="155" spans="1:10" x14ac:dyDescent="0.3">
      <c r="A155" s="3" t="s">
        <v>383</v>
      </c>
      <c r="B155" s="3" t="s">
        <v>260</v>
      </c>
      <c r="C155" s="34">
        <f t="array" ref="C155">INDEX('W24. Total generation'!$E$10:$Q$90,MATCH($A155&amp;$B155,'W24. Total generation'!$A$10:$A$90&amp;'W24. Total generation'!$C$10:$C$90,0),MATCH(C$76,'W24. Total generation'!$E$9:$Q$9,0))</f>
        <v>717.29323599999998</v>
      </c>
      <c r="D155" s="34" t="str">
        <f t="array" ref="D155">INDEX('W24. Total generation'!$E$10:$Q$90,MATCH($A155&amp;$B155,'W24. Total generation'!$A$10:$A$90&amp;'W24. Total generation'!$C$10:$C$90,0),MATCH(D$76,'W24. Total generation'!$E$9:$Q$9,0))</f>
        <v/>
      </c>
      <c r="E155" s="34" t="str">
        <f t="array" ref="E155">INDEX('W24. Total generation'!$E$10:$Q$90,MATCH($A155&amp;$B155,'W24. Total generation'!$A$10:$A$90&amp;'W24. Total generation'!$C$10:$C$90,0),MATCH(E$76,'W24. Total generation'!$E$9:$Q$9,0))</f>
        <v/>
      </c>
      <c r="F155" s="34" t="str">
        <f t="array" ref="F155">INDEX('W24. Total generation'!$E$10:$Q$90,MATCH($A155&amp;$B155,'W24. Total generation'!$A$10:$A$90&amp;'W24. Total generation'!$C$10:$C$90,0),MATCH(F$76,'W24. Total generation'!$E$9:$Q$9,0))</f>
        <v/>
      </c>
      <c r="G155" s="34" t="str">
        <f t="array" ref="G155">INDEX('W24. Total generation'!$E$10:$Q$90,MATCH($A155&amp;$B155,'W24. Total generation'!$A$10:$A$90&amp;'W24. Total generation'!$C$10:$C$90,0),MATCH(G$76,'W24. Total generation'!$E$9:$Q$9,0))</f>
        <v/>
      </c>
      <c r="H155" s="34">
        <f t="array" ref="H155">INDEX('W24. Total generation'!$E$10:$Q$90,MATCH($A155&amp;$B155,'W24. Total generation'!$A$10:$A$90&amp;'W24. Total generation'!$C$10:$C$90,0),MATCH(H$76,'W24. Total generation'!$E$9:$Q$9,0))</f>
        <v>4183.3275105533876</v>
      </c>
      <c r="I155" s="34">
        <f t="array" ref="I155">INDEX('W24. Total generation'!$E$10:$Q$90,MATCH($A155&amp;$B155,'W24. Total generation'!$A$10:$A$90&amp;'W24. Total generation'!$C$10:$C$90,0),MATCH(I$76,'W24. Total generation'!$E$9:$Q$9,0))</f>
        <v>6530.000281446597</v>
      </c>
      <c r="J155" s="34">
        <f t="array" ref="J155">INDEX('W24. Total generation'!$E$10:$Q$90,MATCH($A155&amp;$B155,'W24. Total generation'!$A$10:$A$90&amp;'W24. Total generation'!$C$10:$C$90,0),MATCH(J$76,'W24. Total generation'!$E$9:$Q$9,0))</f>
        <v>8652.4667043075733</v>
      </c>
    </row>
    <row r="156" spans="1:10" x14ac:dyDescent="0.3">
      <c r="A156" s="3" t="s">
        <v>383</v>
      </c>
      <c r="B156" s="3" t="s">
        <v>258</v>
      </c>
      <c r="C156" s="34">
        <f t="array" ref="C156">INDEX('W24. Total generation'!$E$10:$Q$90,MATCH($A156&amp;$B156,'W24. Total generation'!$A$10:$A$90&amp;'W24. Total generation'!$C$10:$C$90,0),MATCH(C$76,'W24. Total generation'!$E$9:$Q$9,0))</f>
        <v>92.123999999999995</v>
      </c>
      <c r="D156" s="34" t="str">
        <f t="array" ref="D156">INDEX('W24. Total generation'!$E$10:$Q$90,MATCH($A156&amp;$B156,'W24. Total generation'!$A$10:$A$90&amp;'W24. Total generation'!$C$10:$C$90,0),MATCH(D$76,'W24. Total generation'!$E$9:$Q$9,0))</f>
        <v/>
      </c>
      <c r="E156" s="34" t="str">
        <f t="array" ref="E156">INDEX('W24. Total generation'!$E$10:$Q$90,MATCH($A156&amp;$B156,'W24. Total generation'!$A$10:$A$90&amp;'W24. Total generation'!$C$10:$C$90,0),MATCH(E$76,'W24. Total generation'!$E$9:$Q$9,0))</f>
        <v/>
      </c>
      <c r="F156" s="34" t="str">
        <f t="array" ref="F156">INDEX('W24. Total generation'!$E$10:$Q$90,MATCH($A156&amp;$B156,'W24. Total generation'!$A$10:$A$90&amp;'W24. Total generation'!$C$10:$C$90,0),MATCH(F$76,'W24. Total generation'!$E$9:$Q$9,0))</f>
        <v/>
      </c>
      <c r="G156" s="34" t="str">
        <f t="array" ref="G156">INDEX('W24. Total generation'!$E$10:$Q$90,MATCH($A156&amp;$B156,'W24. Total generation'!$A$10:$A$90&amp;'W24. Total generation'!$C$10:$C$90,0),MATCH(G$76,'W24. Total generation'!$E$9:$Q$9,0))</f>
        <v/>
      </c>
      <c r="H156" s="34">
        <f t="array" ref="H156">INDEX('W24. Total generation'!$E$10:$Q$90,MATCH($A156&amp;$B156,'W24. Total generation'!$A$10:$A$90&amp;'W24. Total generation'!$C$10:$C$90,0),MATCH(H$76,'W24. Total generation'!$E$9:$Q$9,0))</f>
        <v>363.93353200869905</v>
      </c>
      <c r="I156" s="34">
        <f t="array" ref="I156">INDEX('W24. Total generation'!$E$10:$Q$90,MATCH($A156&amp;$B156,'W24. Total generation'!$A$10:$A$90&amp;'W24. Total generation'!$C$10:$C$90,0),MATCH(I$76,'W24. Total generation'!$E$9:$Q$9,0))</f>
        <v>775.55902034971393</v>
      </c>
      <c r="J156" s="34">
        <f t="array" ref="J156">INDEX('W24. Total generation'!$E$10:$Q$90,MATCH($A156&amp;$B156,'W24. Total generation'!$A$10:$A$90&amp;'W24. Total generation'!$C$10:$C$90,0),MATCH(J$76,'W24. Total generation'!$E$9:$Q$9,0))</f>
        <v>1572.3354880473862</v>
      </c>
    </row>
    <row r="157" spans="1:10" x14ac:dyDescent="0.3">
      <c r="A157" s="3" t="s">
        <v>383</v>
      </c>
      <c r="B157" s="3" t="s">
        <v>259</v>
      </c>
      <c r="C157" s="34">
        <f t="array" ref="C157">INDEX('W24. Total generation'!$E$10:$Q$90,MATCH($A157&amp;$B157,'W24. Total generation'!$A$10:$A$90&amp;'W24. Total generation'!$C$10:$C$90,0),MATCH(C$76,'W24. Total generation'!$E$9:$Q$9,0))</f>
        <v>198.179</v>
      </c>
      <c r="D157" s="34" t="str">
        <f t="array" ref="D157">INDEX('W24. Total generation'!$E$10:$Q$90,MATCH($A157&amp;$B157,'W24. Total generation'!$A$10:$A$90&amp;'W24. Total generation'!$C$10:$C$90,0),MATCH(D$76,'W24. Total generation'!$E$9:$Q$9,0))</f>
        <v/>
      </c>
      <c r="E157" s="34" t="str">
        <f t="array" ref="E157">INDEX('W24. Total generation'!$E$10:$Q$90,MATCH($A157&amp;$B157,'W24. Total generation'!$A$10:$A$90&amp;'W24. Total generation'!$C$10:$C$90,0),MATCH(E$76,'W24. Total generation'!$E$9:$Q$9,0))</f>
        <v/>
      </c>
      <c r="F157" s="34" t="str">
        <f t="array" ref="F157">INDEX('W24. Total generation'!$E$10:$Q$90,MATCH($A157&amp;$B157,'W24. Total generation'!$A$10:$A$90&amp;'W24. Total generation'!$C$10:$C$90,0),MATCH(F$76,'W24. Total generation'!$E$9:$Q$9,0))</f>
        <v/>
      </c>
      <c r="G157" s="34" t="str">
        <f t="array" ref="G157">INDEX('W24. Total generation'!$E$10:$Q$90,MATCH($A157&amp;$B157,'W24. Total generation'!$A$10:$A$90&amp;'W24. Total generation'!$C$10:$C$90,0),MATCH(G$76,'W24. Total generation'!$E$9:$Q$9,0))</f>
        <v/>
      </c>
      <c r="H157" s="34">
        <f t="array" ref="H157">INDEX('W24. Total generation'!$E$10:$Q$90,MATCH($A157&amp;$B157,'W24. Total generation'!$A$10:$A$90&amp;'W24. Total generation'!$C$10:$C$90,0),MATCH(H$76,'W24. Total generation'!$E$9:$Q$9,0))</f>
        <v>2254.9995036790078</v>
      </c>
      <c r="I157" s="34">
        <f t="array" ref="I157">INDEX('W24. Total generation'!$E$10:$Q$90,MATCH($A157&amp;$B157,'W24. Total generation'!$A$10:$A$90&amp;'W24. Total generation'!$C$10:$C$90,0),MATCH(I$76,'W24. Total generation'!$E$9:$Q$9,0))</f>
        <v>5753.3626224760428</v>
      </c>
      <c r="J157" s="34">
        <f t="array" ref="J157">INDEX('W24. Total generation'!$E$10:$Q$90,MATCH($A157&amp;$B157,'W24. Total generation'!$A$10:$A$90&amp;'W24. Total generation'!$C$10:$C$90,0),MATCH(J$76,'W24. Total generation'!$E$9:$Q$9,0))</f>
        <v>9992.3940444936634</v>
      </c>
    </row>
  </sheetData>
  <conditionalFormatting sqref="A1:XFD6 D7:XFD7 A8:XFD10 A25:XFD1048576 A11:A24 C12:XFD24 C11:H11 J11:R11 T11:XFD11">
    <cfRule type="expression" dxfId="178" priority="4">
      <formula>_xlfn.ISFORMULA(A1)</formula>
    </cfRule>
  </conditionalFormatting>
  <conditionalFormatting sqref="A7:C7">
    <cfRule type="expression" dxfId="177" priority="3">
      <formula>_xlfn.ISFORMULA(A7)</formula>
    </cfRule>
  </conditionalFormatting>
  <conditionalFormatting sqref="I11">
    <cfRule type="expression" dxfId="176" priority="2">
      <formula>_xlfn.ISFORMULA(I11)</formula>
    </cfRule>
  </conditionalFormatting>
  <conditionalFormatting sqref="S11">
    <cfRule type="expression" dxfId="175" priority="1">
      <formula>_xlfn.ISFORMULA(S11)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6A47B-ADD5-41E5-983B-1A709B94BB19}">
  <sheetPr>
    <tabColor theme="4" tint="0.499984740745262"/>
    <pageSetUpPr autoPageBreaks="0"/>
  </sheetPr>
  <dimension ref="A1:P71"/>
  <sheetViews>
    <sheetView zoomScale="70" zoomScaleNormal="70" workbookViewId="0">
      <selection activeCell="A18" sqref="A18"/>
    </sheetView>
  </sheetViews>
  <sheetFormatPr defaultColWidth="8.5546875" defaultRowHeight="14.4" x14ac:dyDescent="0.3"/>
  <cols>
    <col min="1" max="31" width="15.77734375" style="3" customWidth="1"/>
    <col min="32" max="16384" width="8.5546875" style="3"/>
  </cols>
  <sheetData>
    <row r="1" spans="1:16" s="19" customFormat="1" ht="49.5" customHeight="1" x14ac:dyDescent="0.3">
      <c r="A1" s="19" t="s">
        <v>471</v>
      </c>
    </row>
    <row r="2" spans="1:16" s="20" customFormat="1" x14ac:dyDescent="0.3">
      <c r="A2" s="20" t="s">
        <v>5</v>
      </c>
      <c r="B2" s="20" t="s">
        <v>472</v>
      </c>
    </row>
    <row r="3" spans="1:16" s="20" customFormat="1" x14ac:dyDescent="0.3">
      <c r="A3" s="20" t="s">
        <v>6</v>
      </c>
      <c r="B3" s="20" t="s">
        <v>425</v>
      </c>
    </row>
    <row r="4" spans="1:16" s="20" customFormat="1" x14ac:dyDescent="0.3">
      <c r="A4" s="20" t="s">
        <v>4</v>
      </c>
      <c r="B4" s="20" t="s">
        <v>426</v>
      </c>
      <c r="O4" s="21"/>
      <c r="P4" s="22"/>
    </row>
    <row r="5" spans="1:16" s="20" customFormat="1" x14ac:dyDescent="0.3">
      <c r="A5" s="20" t="s">
        <v>351</v>
      </c>
      <c r="B5" s="23">
        <f>1/10^3</f>
        <v>1E-3</v>
      </c>
      <c r="C5" s="20" t="s">
        <v>427</v>
      </c>
      <c r="O5" s="21"/>
      <c r="P5" s="22"/>
    </row>
    <row r="6" spans="1:16" s="20" customFormat="1" x14ac:dyDescent="0.3">
      <c r="A6" s="20" t="s">
        <v>355</v>
      </c>
      <c r="B6" s="23" t="s">
        <v>356</v>
      </c>
      <c r="O6" s="21"/>
      <c r="P6" s="22"/>
    </row>
    <row r="7" spans="1:16" s="20" customFormat="1" x14ac:dyDescent="0.3">
      <c r="B7" s="23" t="s">
        <v>995</v>
      </c>
      <c r="O7" s="21"/>
      <c r="P7" s="22"/>
    </row>
    <row r="8" spans="1:16" ht="15" thickBot="1" x14ac:dyDescent="0.35"/>
    <row r="9" spans="1:16" s="25" customFormat="1" ht="15" thickBot="1" x14ac:dyDescent="0.35">
      <c r="A9" s="24" t="s">
        <v>358</v>
      </c>
    </row>
    <row r="10" spans="1:16" x14ac:dyDescent="0.3">
      <c r="E10" s="26"/>
      <c r="F10" s="27"/>
      <c r="G10" s="27"/>
      <c r="H10" s="27"/>
      <c r="I10" s="27"/>
      <c r="J10" s="27"/>
    </row>
    <row r="11" spans="1:16" x14ac:dyDescent="0.3">
      <c r="A11" s="3" t="s">
        <v>8</v>
      </c>
      <c r="B11" s="3" t="s">
        <v>86</v>
      </c>
      <c r="C11" s="3" t="s">
        <v>8</v>
      </c>
      <c r="D11" s="3">
        <v>2017</v>
      </c>
      <c r="E11" s="3">
        <v>2020</v>
      </c>
      <c r="F11" s="28">
        <v>2030</v>
      </c>
      <c r="G11" s="3">
        <v>2040</v>
      </c>
      <c r="H11" s="3">
        <v>2050</v>
      </c>
    </row>
    <row r="12" spans="1:16" ht="14.4" customHeight="1" x14ac:dyDescent="0.3">
      <c r="A12" s="37" t="s">
        <v>13</v>
      </c>
      <c r="B12" s="37" t="str">
        <f>INDEX('R1. Scenario specifications'!$C$11:$C$60,MATCH($A12,'R1. Scenario specifications'!$A$11:$A$60,0))</f>
        <v>Vivid BAU - WEO Current Policies Scenario emissions pathway run through TIAM</v>
      </c>
      <c r="C12" s="37" t="s">
        <v>359</v>
      </c>
      <c r="D12" s="38">
        <f>D$22</f>
        <v>0.91800000000000004</v>
      </c>
      <c r="E12" s="38">
        <f>INDEX($B$48:$F$56,MATCH($A12,$A$48:$A$56,0),MATCH(E$11,$B$47:$F$47,0))*$B$5</f>
        <v>0.6164241875385793</v>
      </c>
      <c r="F12" s="38">
        <f t="shared" ref="F12:H20" si="0">INDEX($B$48:$F$56,MATCH($A12,$A$48:$A$56,0),MATCH(F$11,$B$47:$F$47,0))*$B$5</f>
        <v>1.8356128838353287</v>
      </c>
      <c r="G12" s="38">
        <f t="shared" si="0"/>
        <v>4.7831190894889843</v>
      </c>
      <c r="H12" s="38">
        <f t="shared" si="0"/>
        <v>6.9805766542851231</v>
      </c>
    </row>
    <row r="13" spans="1:16" x14ac:dyDescent="0.3">
      <c r="A13" s="37" t="s">
        <v>14</v>
      </c>
      <c r="B13" s="37" t="str">
        <f>INDEX('R1. Scenario specifications'!$C$11:$C$60,MATCH($A13,'R1. Scenario specifications'!$A$11:$A$60,0))</f>
        <v>Vivid Paris NDCs - WEO New Policies Scenario emissions pathway run through TIAM</v>
      </c>
      <c r="C13" s="37" t="s">
        <v>360</v>
      </c>
      <c r="D13" s="38">
        <f t="shared" ref="D13:E20" si="1">D$22</f>
        <v>0.91800000000000004</v>
      </c>
      <c r="E13" s="38">
        <f t="shared" ref="E13" si="2">INDEX($B$48:$F$56,MATCH($A13,$A$48:$A$56,0),MATCH(E$11,$B$47:$F$47,0))*$B$5</f>
        <v>0.57205517470816403</v>
      </c>
      <c r="F13" s="38">
        <f t="shared" si="0"/>
        <v>1.9591113859826905</v>
      </c>
      <c r="G13" s="38">
        <f t="shared" si="0"/>
        <v>5.1399072676862776</v>
      </c>
      <c r="H13" s="38">
        <f t="shared" si="0"/>
        <v>8.5947245752083372</v>
      </c>
    </row>
    <row r="14" spans="1:16" x14ac:dyDescent="0.3">
      <c r="A14" s="3" t="s">
        <v>15</v>
      </c>
      <c r="B14" s="3" t="str">
        <f>INDEX('R1. Scenario specifications'!$C$11:$C$60,MATCH($A14,'R1. Scenario specifications'!$A$11:$A$60,0))</f>
        <v>Current 2DS, 2020 start, 'Expect the Unexpected'</v>
      </c>
      <c r="C14" s="3" t="s">
        <v>361</v>
      </c>
      <c r="D14" s="31">
        <f t="shared" si="1"/>
        <v>0.91800000000000004</v>
      </c>
      <c r="E14" s="31">
        <f t="shared" si="1"/>
        <v>1.3518750000000002</v>
      </c>
      <c r="F14" s="31">
        <f>INDEX($B$48:$F$56,MATCH($A14,$A$48:$A$56,0),MATCH(F$11,$B$47:$F$47,0))*$B$5+(F$22-F$13)</f>
        <v>3.3390512457609249</v>
      </c>
      <c r="G14" s="34">
        <f t="shared" si="0"/>
        <v>6.5105251552327683</v>
      </c>
      <c r="H14" s="34">
        <f t="shared" si="0"/>
        <v>10.016823745113971</v>
      </c>
    </row>
    <row r="15" spans="1:16" x14ac:dyDescent="0.3">
      <c r="A15" s="3" t="s">
        <v>26</v>
      </c>
      <c r="B15" s="3" t="str">
        <f>INDEX('R1. Scenario specifications'!$C$11:$C$60,MATCH($A15,'R1. Scenario specifications'!$A$11:$A$60,0))</f>
        <v>Current 2DS, 2030 start, 'Expect the Unexpected'</v>
      </c>
      <c r="C15" s="3" t="s">
        <v>362</v>
      </c>
      <c r="D15" s="31">
        <f t="shared" si="1"/>
        <v>0.91800000000000004</v>
      </c>
      <c r="E15" s="31">
        <f t="shared" si="1"/>
        <v>1.3518750000000002</v>
      </c>
      <c r="F15" s="31">
        <f>$F$22</f>
        <v>2.8639999999999999</v>
      </c>
      <c r="G15" s="34">
        <f t="shared" si="0"/>
        <v>5.8514142829381797</v>
      </c>
      <c r="H15" s="34">
        <f t="shared" si="0"/>
        <v>9.9812489336354115</v>
      </c>
    </row>
    <row r="16" spans="1:16" x14ac:dyDescent="0.3">
      <c r="A16" s="3" t="s">
        <v>32</v>
      </c>
      <c r="B16" s="3" t="str">
        <f>INDEX('R1. Scenario specifications'!$C$11:$C$60,MATCH($A16,'R1. Scenario specifications'!$A$11:$A$60,0))</f>
        <v>Current 1.75DS, 2020 start, 'Expect the Unexpected'</v>
      </c>
      <c r="C16" s="3" t="s">
        <v>363</v>
      </c>
      <c r="D16" s="31">
        <f t="shared" si="1"/>
        <v>0.91800000000000004</v>
      </c>
      <c r="E16" s="31">
        <f t="shared" si="1"/>
        <v>1.3518750000000002</v>
      </c>
      <c r="F16" s="31">
        <f t="shared" ref="F16:F20" si="3">INDEX($B$48:$F$56,MATCH($A16,$A$48:$A$56,0),MATCH(F$11,$B$47:$F$47,0))*$B$5+(F$22-F$13)</f>
        <v>3.4299607866008417</v>
      </c>
      <c r="G16" s="34">
        <f t="shared" si="0"/>
        <v>6.909565195120897</v>
      </c>
      <c r="H16" s="34">
        <f t="shared" si="0"/>
        <v>10.19725709881895</v>
      </c>
    </row>
    <row r="17" spans="1:8" ht="14.4" customHeight="1" x14ac:dyDescent="0.3">
      <c r="A17" s="3" t="s">
        <v>37</v>
      </c>
      <c r="B17" s="3" t="str">
        <f>INDEX('R1. Scenario specifications'!$C$11:$C$60,MATCH($A17,'R1. Scenario specifications'!$A$11:$A$60,0))</f>
        <v>Current 2DS, 2020 start, 'Expect the Unexpected' but with cheap renewables</v>
      </c>
      <c r="C17" s="3" t="s">
        <v>364</v>
      </c>
      <c r="D17" s="31">
        <f t="shared" si="1"/>
        <v>0.91800000000000004</v>
      </c>
      <c r="E17" s="31">
        <f t="shared" si="1"/>
        <v>1.3518750000000002</v>
      </c>
      <c r="F17" s="31">
        <f t="shared" si="3"/>
        <v>4.1702388773597248</v>
      </c>
      <c r="G17" s="34">
        <f t="shared" si="0"/>
        <v>7.8492578247095501</v>
      </c>
      <c r="H17" s="34">
        <f t="shared" si="0"/>
        <v>11.07516413726092</v>
      </c>
    </row>
    <row r="18" spans="1:8" x14ac:dyDescent="0.3">
      <c r="A18" s="3" t="s">
        <v>1026</v>
      </c>
      <c r="B18" s="3" t="str">
        <f>INDEX('R1. Scenario specifications'!$C$11:$C$60,MATCH($A18,'R1. Scenario specifications'!$A$11:$A$60,0))</f>
        <v>Current 2DS, 2020 start, 'Expect the unexpceted' but with expensive renewables (cheap CCS)</v>
      </c>
      <c r="C18" s="3" t="s">
        <v>365</v>
      </c>
      <c r="D18" s="31">
        <f t="shared" si="1"/>
        <v>0.91800000000000004</v>
      </c>
      <c r="E18" s="31">
        <f t="shared" si="1"/>
        <v>1.3518750000000002</v>
      </c>
      <c r="F18" s="31">
        <f t="shared" si="3"/>
        <v>2.4096429776948249</v>
      </c>
      <c r="G18" s="34">
        <f t="shared" si="0"/>
        <v>3.0447895959186635</v>
      </c>
      <c r="H18" s="34">
        <f t="shared" si="0"/>
        <v>4.016706831072355</v>
      </c>
    </row>
    <row r="19" spans="1:8" x14ac:dyDescent="0.3">
      <c r="A19" s="3" t="s">
        <v>47</v>
      </c>
      <c r="B19" s="3" t="str">
        <f>INDEX('R1. Scenario specifications'!$C$11:$C$60,MATCH($A19,'R1. Scenario specifications'!$A$11:$A$60,0))</f>
        <v>Current 2DS, 2020 start, 'Expect the Unexpected' but with cheap EVs</v>
      </c>
      <c r="C19" s="3" t="s">
        <v>366</v>
      </c>
      <c r="D19" s="31">
        <f t="shared" si="1"/>
        <v>0.91800000000000004</v>
      </c>
      <c r="E19" s="31">
        <f t="shared" si="1"/>
        <v>1.3518750000000002</v>
      </c>
      <c r="F19" s="31">
        <f t="shared" si="3"/>
        <v>2.9736054105772673</v>
      </c>
      <c r="G19" s="34">
        <f t="shared" si="0"/>
        <v>6.210145817166886</v>
      </c>
      <c r="H19" s="34">
        <f t="shared" si="0"/>
        <v>10.117682433057325</v>
      </c>
    </row>
    <row r="20" spans="1:8" x14ac:dyDescent="0.3">
      <c r="A20" s="3" t="s">
        <v>49</v>
      </c>
      <c r="B20" s="3" t="str">
        <f>INDEX('R1. Scenario specifications'!$C$11:$C$60,MATCH($A20,'R1. Scenario specifications'!$A$11:$A$60,0))</f>
        <v>Current 2DS, 2020 start, 'Expect the Unexpected' but with cheap energy efficiency</v>
      </c>
      <c r="C20" s="3" t="s">
        <v>367</v>
      </c>
      <c r="D20" s="31">
        <f t="shared" si="1"/>
        <v>0.91800000000000004</v>
      </c>
      <c r="E20" s="31">
        <f t="shared" si="1"/>
        <v>1.3518750000000002</v>
      </c>
      <c r="F20" s="31">
        <f t="shared" si="3"/>
        <v>2.9548937966234536</v>
      </c>
      <c r="G20" s="34">
        <f t="shared" si="0"/>
        <v>5.6722939947975552</v>
      </c>
      <c r="H20" s="34">
        <f t="shared" si="0"/>
        <v>9.0963154069939698</v>
      </c>
    </row>
    <row r="21" spans="1:8" ht="14.4" customHeight="1" x14ac:dyDescent="0.3">
      <c r="A21" s="32" t="s">
        <v>368</v>
      </c>
      <c r="B21" s="32" t="str">
        <f>INDEX('R1. Scenario specifications'!$C$11:$C$60,MATCH($A21,'R1. Scenario specifications'!$A$11:$A$60,0))</f>
        <v>Current Policies Scenario, World Energy Outlook 2018</v>
      </c>
      <c r="C21" s="32" t="s">
        <v>369</v>
      </c>
      <c r="D21" s="33">
        <f t="shared" ref="D21:H23" si="4">INDEX($C$63:$J$71,MATCH($A21,$A$63:$A$71,0),MATCH(D$11,$C$62:$J$62,0))</f>
        <v>0.91800000000000004</v>
      </c>
      <c r="E21" s="33">
        <f t="shared" si="4"/>
        <v>1.29</v>
      </c>
      <c r="F21" s="33">
        <f t="shared" si="4"/>
        <v>2.3740000000000001</v>
      </c>
      <c r="G21" s="33">
        <f t="shared" si="4"/>
        <v>3.3319999999999999</v>
      </c>
      <c r="H21" s="33">
        <f t="shared" si="4"/>
        <v>4.3179999999999996</v>
      </c>
    </row>
    <row r="22" spans="1:8" x14ac:dyDescent="0.3">
      <c r="A22" s="3" t="s">
        <v>370</v>
      </c>
      <c r="B22" s="3" t="str">
        <f>INDEX('R1. Scenario specifications'!$C$11:$C$60,MATCH($A22,'R1. Scenario specifications'!$A$11:$A$60,0))</f>
        <v>New Policies Scenario, World Energy Outlook 2018</v>
      </c>
      <c r="C22" s="3" t="s">
        <v>371</v>
      </c>
      <c r="D22" s="34">
        <f t="shared" si="4"/>
        <v>0.91800000000000004</v>
      </c>
      <c r="E22" s="34">
        <f t="shared" si="4"/>
        <v>1.3518750000000002</v>
      </c>
      <c r="F22" s="34">
        <f t="shared" si="4"/>
        <v>2.8639999999999999</v>
      </c>
      <c r="G22" s="34">
        <f t="shared" si="4"/>
        <v>4.3150000000000004</v>
      </c>
      <c r="H22" s="34">
        <f t="shared" si="4"/>
        <v>5.7949999999999999</v>
      </c>
    </row>
    <row r="23" spans="1:8" x14ac:dyDescent="0.3">
      <c r="A23" s="3" t="s">
        <v>372</v>
      </c>
      <c r="B23" s="3" t="str">
        <f>INDEX('R1. Scenario specifications'!$C$11:$C$60,MATCH($A23,'R1. Scenario specifications'!$A$11:$A$60,0))</f>
        <v>Sustainable Development Scenario, World Energy Outlook 2018</v>
      </c>
      <c r="C23" s="3" t="s">
        <v>373</v>
      </c>
      <c r="D23" s="34">
        <f t="shared" si="4"/>
        <v>0.91800000000000004</v>
      </c>
      <c r="E23" s="34">
        <f t="shared" si="4"/>
        <v>1.5539999999999998</v>
      </c>
      <c r="F23" s="34">
        <f t="shared" si="4"/>
        <v>4.12</v>
      </c>
      <c r="G23" s="34">
        <f t="shared" si="4"/>
        <v>7.3259999999999996</v>
      </c>
      <c r="H23" s="34">
        <f t="shared" si="4"/>
        <v>10.474</v>
      </c>
    </row>
    <row r="29" spans="1:8" x14ac:dyDescent="0.3">
      <c r="F29" s="34"/>
    </row>
    <row r="40" spans="1:11" ht="15" thickBot="1" x14ac:dyDescent="0.35"/>
    <row r="41" spans="1:11" s="25" customFormat="1" ht="15" thickBot="1" x14ac:dyDescent="0.35">
      <c r="A41" s="24" t="s">
        <v>374</v>
      </c>
    </row>
    <row r="42" spans="1:11" x14ac:dyDescent="0.3">
      <c r="A42" s="4"/>
    </row>
    <row r="43" spans="1:11" x14ac:dyDescent="0.3">
      <c r="A43" s="4"/>
      <c r="B43" s="3" t="s">
        <v>70</v>
      </c>
      <c r="C43" s="3" t="s">
        <v>70</v>
      </c>
      <c r="D43" s="3" t="s">
        <v>70</v>
      </c>
      <c r="E43" s="3" t="s">
        <v>70</v>
      </c>
      <c r="F43" s="3" t="s">
        <v>70</v>
      </c>
    </row>
    <row r="44" spans="1:11" x14ac:dyDescent="0.3">
      <c r="A44" s="4"/>
      <c r="B44" s="3" t="s">
        <v>71</v>
      </c>
      <c r="C44" s="3" t="s">
        <v>71</v>
      </c>
      <c r="D44" s="3" t="s">
        <v>71</v>
      </c>
      <c r="E44" s="3" t="s">
        <v>71</v>
      </c>
      <c r="F44" s="3" t="s">
        <v>71</v>
      </c>
    </row>
    <row r="45" spans="1:11" x14ac:dyDescent="0.3">
      <c r="A45" s="4"/>
      <c r="B45" s="3" t="s">
        <v>72</v>
      </c>
      <c r="C45" s="3" t="s">
        <v>72</v>
      </c>
      <c r="D45" s="3" t="s">
        <v>72</v>
      </c>
      <c r="E45" s="3" t="s">
        <v>72</v>
      </c>
      <c r="F45" s="3" t="s">
        <v>72</v>
      </c>
    </row>
    <row r="46" spans="1:11" x14ac:dyDescent="0.3">
      <c r="B46" s="3" t="s">
        <v>429</v>
      </c>
      <c r="C46" s="3" t="s">
        <v>429</v>
      </c>
      <c r="D46" s="3" t="s">
        <v>429</v>
      </c>
      <c r="E46" s="3" t="s">
        <v>429</v>
      </c>
      <c r="F46" s="3" t="s">
        <v>429</v>
      </c>
      <c r="G46" s="41"/>
    </row>
    <row r="47" spans="1:11" x14ac:dyDescent="0.3">
      <c r="A47" s="3" t="s">
        <v>8</v>
      </c>
      <c r="B47" s="3">
        <v>2012</v>
      </c>
      <c r="C47" s="3">
        <v>2020</v>
      </c>
      <c r="D47" s="3">
        <v>2030</v>
      </c>
      <c r="E47" s="3">
        <v>2040</v>
      </c>
      <c r="F47" s="3">
        <v>2050</v>
      </c>
      <c r="G47" s="41"/>
    </row>
    <row r="48" spans="1:11" x14ac:dyDescent="0.3">
      <c r="A48" s="3" t="str">
        <f>A12</f>
        <v>Vivid_0A_BAU</v>
      </c>
      <c r="B48" s="34">
        <f t="array" ref="B48">SUM(IF((('W10. Power Total Cap'!$C$50:$C$556=B$43)+('W10. Power Total Cap'!$C$50:$C$556=B$44)+('W10. Power Total Cap'!$C$50:$C$556=B$45))*('W10. Power Total Cap'!$B$50:$B$556=$A48)*('W10. Power Total Cap'!$E$49:$O$49=B$47),'W10. Power Total Cap'!$E$50:$O$556))</f>
        <v>351.80899372483344</v>
      </c>
      <c r="C48" s="34">
        <f t="array" ref="C48">SUM(IF((('W10. Power Total Cap'!$C$50:$C$556=C$43)+('W10. Power Total Cap'!$C$50:$C$556=C$44)+('W10. Power Total Cap'!$C$50:$C$556=C$45))*('W10. Power Total Cap'!$B$50:$B$556=$A48)*('W10. Power Total Cap'!$E$49:$O$49=C$47),'W10. Power Total Cap'!$E$50:$O$556))</f>
        <v>616.4241875385793</v>
      </c>
      <c r="D48" s="34">
        <f t="array" ref="D48">SUM(IF((('W10. Power Total Cap'!$C$50:$C$556=D$43)+('W10. Power Total Cap'!$C$50:$C$556=D$44)+('W10. Power Total Cap'!$C$50:$C$556=D$45))*('W10. Power Total Cap'!$B$50:$B$556=$A48)*('W10. Power Total Cap'!$E$49:$O$49=D$47),'W10. Power Total Cap'!$E$50:$O$556))</f>
        <v>1835.6128838353286</v>
      </c>
      <c r="E48" s="34">
        <f t="array" ref="E48">SUM(IF((('W10. Power Total Cap'!$C$50:$C$556=E$43)+('W10. Power Total Cap'!$C$50:$C$556=E$44)+('W10. Power Total Cap'!$C$50:$C$556=E$45))*('W10. Power Total Cap'!$B$50:$B$556=$A48)*('W10. Power Total Cap'!$E$49:$O$49=E$47),'W10. Power Total Cap'!$E$50:$O$556))</f>
        <v>4783.1190894889842</v>
      </c>
      <c r="F48" s="34">
        <f t="array" ref="F48">SUM(IF((('W10. Power Total Cap'!$C$50:$C$556=F$43)+('W10. Power Total Cap'!$C$50:$C$556=F$44)+('W10. Power Total Cap'!$C$50:$C$556=F$45))*('W10. Power Total Cap'!$B$50:$B$556=$A48)*('W10. Power Total Cap'!$E$49:$O$49=F$47),'W10. Power Total Cap'!$E$50:$O$556))</f>
        <v>6980.5766542851234</v>
      </c>
      <c r="G48" s="42"/>
      <c r="H48" s="14"/>
      <c r="I48" s="14"/>
      <c r="J48" s="14"/>
      <c r="K48" s="14"/>
    </row>
    <row r="49" spans="1:11" x14ac:dyDescent="0.3">
      <c r="A49" s="3" t="str">
        <f t="shared" ref="A49:A56" si="5">A13</f>
        <v>Vivid_0B</v>
      </c>
      <c r="B49" s="34">
        <f t="array" ref="B49">SUM(IF((('W10. Power Total Cap'!$C$50:$C$556=B$43)+('W10. Power Total Cap'!$C$50:$C$556=B$44)+('W10. Power Total Cap'!$C$50:$C$556=B$45))*('W10. Power Total Cap'!$B$50:$B$556=$A49)*('W10. Power Total Cap'!$E$49:$O$49=B$47),'W10. Power Total Cap'!$E$50:$O$556))</f>
        <v>351.80899372483344</v>
      </c>
      <c r="C49" s="34">
        <f t="array" ref="C49">SUM(IF((('W10. Power Total Cap'!$C$50:$C$556=C$43)+('W10. Power Total Cap'!$C$50:$C$556=C$44)+('W10. Power Total Cap'!$C$50:$C$556=C$45))*('W10. Power Total Cap'!$B$50:$B$556=$A49)*('W10. Power Total Cap'!$E$49:$O$49=C$47),'W10. Power Total Cap'!$E$50:$O$556))</f>
        <v>572.05517470816403</v>
      </c>
      <c r="D49" s="34">
        <f t="array" ref="D49">SUM(IF((('W10. Power Total Cap'!$C$50:$C$556=D$43)+('W10. Power Total Cap'!$C$50:$C$556=D$44)+('W10. Power Total Cap'!$C$50:$C$556=D$45))*('W10. Power Total Cap'!$B$50:$B$556=$A49)*('W10. Power Total Cap'!$E$49:$O$49=D$47),'W10. Power Total Cap'!$E$50:$O$556))</f>
        <v>1959.1113859826905</v>
      </c>
      <c r="E49" s="34">
        <f t="array" ref="E49">SUM(IF((('W10. Power Total Cap'!$C$50:$C$556=E$43)+('W10. Power Total Cap'!$C$50:$C$556=E$44)+('W10. Power Total Cap'!$C$50:$C$556=E$45))*('W10. Power Total Cap'!$B$50:$B$556=$A49)*('W10. Power Total Cap'!$E$49:$O$49=E$47),'W10. Power Total Cap'!$E$50:$O$556))</f>
        <v>5139.9072676862779</v>
      </c>
      <c r="F49" s="34">
        <f t="array" ref="F49">SUM(IF((('W10. Power Total Cap'!$C$50:$C$556=F$43)+('W10. Power Total Cap'!$C$50:$C$556=F$44)+('W10. Power Total Cap'!$C$50:$C$556=F$45))*('W10. Power Total Cap'!$B$50:$B$556=$A49)*('W10. Power Total Cap'!$E$49:$O$49=F$47),'W10. Power Total Cap'!$E$50:$O$556))</f>
        <v>8594.7245752083363</v>
      </c>
      <c r="G49" s="42"/>
      <c r="H49" s="14"/>
      <c r="I49" s="14"/>
      <c r="J49" s="14"/>
      <c r="K49" s="14"/>
    </row>
    <row r="50" spans="1:11" x14ac:dyDescent="0.3">
      <c r="A50" s="3" t="str">
        <f t="shared" si="5"/>
        <v>Vivid_1</v>
      </c>
      <c r="B50" s="34">
        <f t="array" ref="B50">SUM(IF((('W10. Power Total Cap'!$C$50:$C$556=B$43)+('W10. Power Total Cap'!$C$50:$C$556=B$44)+('W10. Power Total Cap'!$C$50:$C$556=B$45))*('W10. Power Total Cap'!$B$50:$B$556=$A50)*('W10. Power Total Cap'!$E$49:$O$49=B$47),'W10. Power Total Cap'!$E$50:$O$556))</f>
        <v>351.80899372483344</v>
      </c>
      <c r="C50" s="34">
        <f t="array" ref="C50">SUM(IF((('W10. Power Total Cap'!$C$50:$C$556=C$43)+('W10. Power Total Cap'!$C$50:$C$556=C$44)+('W10. Power Total Cap'!$C$50:$C$556=C$45))*('W10. Power Total Cap'!$B$50:$B$556=$A50)*('W10. Power Total Cap'!$E$49:$O$49=C$47),'W10. Power Total Cap'!$E$50:$O$556))</f>
        <v>572.05517470816403</v>
      </c>
      <c r="D50" s="34">
        <f t="array" ref="D50">SUM(IF((('W10. Power Total Cap'!$C$50:$C$556=D$43)+('W10. Power Total Cap'!$C$50:$C$556=D$44)+('W10. Power Total Cap'!$C$50:$C$556=D$45))*('W10. Power Total Cap'!$B$50:$B$556=$A50)*('W10. Power Total Cap'!$E$49:$O$49=D$47),'W10. Power Total Cap'!$E$50:$O$556))</f>
        <v>2434.1626317436153</v>
      </c>
      <c r="E50" s="34">
        <f t="array" ref="E50">SUM(IF((('W10. Power Total Cap'!$C$50:$C$556=E$43)+('W10. Power Total Cap'!$C$50:$C$556=E$44)+('W10. Power Total Cap'!$C$50:$C$556=E$45))*('W10. Power Total Cap'!$B$50:$B$556=$A50)*('W10. Power Total Cap'!$E$49:$O$49=E$47),'W10. Power Total Cap'!$E$50:$O$556))</f>
        <v>6510.5251552327682</v>
      </c>
      <c r="F50" s="34">
        <f t="array" ref="F50">SUM(IF((('W10. Power Total Cap'!$C$50:$C$556=F$43)+('W10. Power Total Cap'!$C$50:$C$556=F$44)+('W10. Power Total Cap'!$C$50:$C$556=F$45))*('W10. Power Total Cap'!$B$50:$B$556=$A50)*('W10. Power Total Cap'!$E$49:$O$49=F$47),'W10. Power Total Cap'!$E$50:$O$556))</f>
        <v>10016.82374511397</v>
      </c>
      <c r="G50" s="42"/>
      <c r="H50" s="14"/>
      <c r="I50" s="14"/>
      <c r="J50" s="14"/>
      <c r="K50" s="14"/>
    </row>
    <row r="51" spans="1:11" x14ac:dyDescent="0.3">
      <c r="A51" s="3" t="str">
        <f t="shared" si="5"/>
        <v>Vivid_2</v>
      </c>
      <c r="B51" s="34">
        <f t="array" ref="B51">SUM(IF((('W10. Power Total Cap'!$C$50:$C$556=B$43)+('W10. Power Total Cap'!$C$50:$C$556=B$44)+('W10. Power Total Cap'!$C$50:$C$556=B$45))*('W10. Power Total Cap'!$B$50:$B$556=$A51)*('W10. Power Total Cap'!$E$49:$O$49=B$47),'W10. Power Total Cap'!$E$50:$O$556))</f>
        <v>351.80899372483344</v>
      </c>
      <c r="C51" s="34">
        <f t="array" ref="C51">SUM(IF((('W10. Power Total Cap'!$C$50:$C$556=C$43)+('W10. Power Total Cap'!$C$50:$C$556=C$44)+('W10. Power Total Cap'!$C$50:$C$556=C$45))*('W10. Power Total Cap'!$B$50:$B$556=$A51)*('W10. Power Total Cap'!$E$49:$O$49=C$47),'W10. Power Total Cap'!$E$50:$O$556))</f>
        <v>572.05517470816403</v>
      </c>
      <c r="D51" s="34">
        <f t="array" ref="D51">SUM(IF((('W10. Power Total Cap'!$C$50:$C$556=D$43)+('W10. Power Total Cap'!$C$50:$C$556=D$44)+('W10. Power Total Cap'!$C$50:$C$556=D$45))*('W10. Power Total Cap'!$B$50:$B$556=$A51)*('W10. Power Total Cap'!$E$49:$O$49=D$47),'W10. Power Total Cap'!$E$50:$O$556))</f>
        <v>1959.1113859826905</v>
      </c>
      <c r="E51" s="34">
        <f t="array" ref="E51">SUM(IF((('W10. Power Total Cap'!$C$50:$C$556=E$43)+('W10. Power Total Cap'!$C$50:$C$556=E$44)+('W10. Power Total Cap'!$C$50:$C$556=E$45))*('W10. Power Total Cap'!$B$50:$B$556=$A51)*('W10. Power Total Cap'!$E$49:$O$49=E$47),'W10. Power Total Cap'!$E$50:$O$556))</f>
        <v>5851.4142829381799</v>
      </c>
      <c r="F51" s="34">
        <f t="array" ref="F51">SUM(IF((('W10. Power Total Cap'!$C$50:$C$556=F$43)+('W10. Power Total Cap'!$C$50:$C$556=F$44)+('W10. Power Total Cap'!$C$50:$C$556=F$45))*('W10. Power Total Cap'!$B$50:$B$556=$A51)*('W10. Power Total Cap'!$E$49:$O$49=F$47),'W10. Power Total Cap'!$E$50:$O$556))</f>
        <v>9981.248933635412</v>
      </c>
      <c r="G51" s="42"/>
      <c r="H51" s="14"/>
      <c r="I51" s="14"/>
      <c r="J51" s="14"/>
      <c r="K51" s="14"/>
    </row>
    <row r="52" spans="1:11" x14ac:dyDescent="0.3">
      <c r="A52" s="3" t="str">
        <f t="shared" si="5"/>
        <v>Vivid_25</v>
      </c>
      <c r="B52" s="34">
        <f t="array" ref="B52">SUM(IF((('W10. Power Total Cap'!$C$50:$C$556=B$43)+('W10. Power Total Cap'!$C$50:$C$556=B$44)+('W10. Power Total Cap'!$C$50:$C$556=B$45))*('W10. Power Total Cap'!$B$50:$B$556=$A52)*('W10. Power Total Cap'!$E$49:$O$49=B$47),'W10. Power Total Cap'!$E$50:$O$556))</f>
        <v>351.80899372483344</v>
      </c>
      <c r="C52" s="34">
        <f t="array" ref="C52">SUM(IF((('W10. Power Total Cap'!$C$50:$C$556=C$43)+('W10. Power Total Cap'!$C$50:$C$556=C$44)+('W10. Power Total Cap'!$C$50:$C$556=C$45))*('W10. Power Total Cap'!$B$50:$B$556=$A52)*('W10. Power Total Cap'!$E$49:$O$49=C$47),'W10. Power Total Cap'!$E$50:$O$556))</f>
        <v>572.05517470816403</v>
      </c>
      <c r="D52" s="34">
        <f t="array" ref="D52">SUM(IF((('W10. Power Total Cap'!$C$50:$C$556=D$43)+('W10. Power Total Cap'!$C$50:$C$556=D$44)+('W10. Power Total Cap'!$C$50:$C$556=D$45))*('W10. Power Total Cap'!$B$50:$B$556=$A52)*('W10. Power Total Cap'!$E$49:$O$49=D$47),'W10. Power Total Cap'!$E$50:$O$556))</f>
        <v>2525.0721725835324</v>
      </c>
      <c r="E52" s="34">
        <f t="array" ref="E52">SUM(IF((('W10. Power Total Cap'!$C$50:$C$556=E$43)+('W10. Power Total Cap'!$C$50:$C$556=E$44)+('W10. Power Total Cap'!$C$50:$C$556=E$45))*('W10. Power Total Cap'!$B$50:$B$556=$A52)*('W10. Power Total Cap'!$E$49:$O$49=E$47),'W10. Power Total Cap'!$E$50:$O$556))</f>
        <v>6909.5651951208965</v>
      </c>
      <c r="F52" s="34">
        <f t="array" ref="F52">SUM(IF((('W10. Power Total Cap'!$C$50:$C$556=F$43)+('W10. Power Total Cap'!$C$50:$C$556=F$44)+('W10. Power Total Cap'!$C$50:$C$556=F$45))*('W10. Power Total Cap'!$B$50:$B$556=$A52)*('W10. Power Total Cap'!$E$49:$O$49=F$47),'W10. Power Total Cap'!$E$50:$O$556))</f>
        <v>10197.257098818949</v>
      </c>
      <c r="G52" s="42"/>
      <c r="H52" s="14"/>
      <c r="I52" s="14"/>
      <c r="J52" s="14"/>
      <c r="K52" s="14"/>
    </row>
    <row r="53" spans="1:11" x14ac:dyDescent="0.3">
      <c r="A53" s="3" t="str">
        <f t="shared" si="5"/>
        <v>Vivid_3</v>
      </c>
      <c r="B53" s="34">
        <f t="array" ref="B53">SUM(IF((('W10. Power Total Cap'!$C$50:$C$556=B$43)+('W10. Power Total Cap'!$C$50:$C$556=B$44)+('W10. Power Total Cap'!$C$50:$C$556=B$45))*('W10. Power Total Cap'!$B$50:$B$556=$A53)*('W10. Power Total Cap'!$E$49:$O$49=B$47),'W10. Power Total Cap'!$E$50:$O$556))</f>
        <v>351.80899372483344</v>
      </c>
      <c r="C53" s="34">
        <f t="array" ref="C53">SUM(IF((('W10. Power Total Cap'!$C$50:$C$556=C$43)+('W10. Power Total Cap'!$C$50:$C$556=C$44)+('W10. Power Total Cap'!$C$50:$C$556=C$45))*('W10. Power Total Cap'!$B$50:$B$556=$A53)*('W10. Power Total Cap'!$E$49:$O$49=C$47),'W10. Power Total Cap'!$E$50:$O$556))</f>
        <v>572.05517470816403</v>
      </c>
      <c r="D53" s="34">
        <f t="array" ref="D53">SUM(IF((('W10. Power Total Cap'!$C$50:$C$556=D$43)+('W10. Power Total Cap'!$C$50:$C$556=D$44)+('W10. Power Total Cap'!$C$50:$C$556=D$45))*('W10. Power Total Cap'!$B$50:$B$556=$A53)*('W10. Power Total Cap'!$E$49:$O$49=D$47),'W10. Power Total Cap'!$E$50:$O$556))</f>
        <v>3265.350263342415</v>
      </c>
      <c r="E53" s="34">
        <f t="array" ref="E53">SUM(IF((('W10. Power Total Cap'!$C$50:$C$556=E$43)+('W10. Power Total Cap'!$C$50:$C$556=E$44)+('W10. Power Total Cap'!$C$50:$C$556=E$45))*('W10. Power Total Cap'!$B$50:$B$556=$A53)*('W10. Power Total Cap'!$E$49:$O$49=E$47),'W10. Power Total Cap'!$E$50:$O$556))</f>
        <v>7849.2578247095498</v>
      </c>
      <c r="F53" s="34">
        <f t="array" ref="F53">SUM(IF((('W10. Power Total Cap'!$C$50:$C$556=F$43)+('W10. Power Total Cap'!$C$50:$C$556=F$44)+('W10. Power Total Cap'!$C$50:$C$556=F$45))*('W10. Power Total Cap'!$B$50:$B$556=$A53)*('W10. Power Total Cap'!$E$49:$O$49=F$47),'W10. Power Total Cap'!$E$50:$O$556))</f>
        <v>11075.164137260919</v>
      </c>
      <c r="G53" s="42"/>
      <c r="H53" s="14"/>
      <c r="I53" s="14"/>
      <c r="J53" s="14"/>
      <c r="K53" s="14"/>
    </row>
    <row r="54" spans="1:11" x14ac:dyDescent="0.3">
      <c r="A54" s="3" t="str">
        <f t="shared" si="5"/>
        <v>Vivid_5v2</v>
      </c>
      <c r="B54" s="34">
        <f t="array" ref="B54">SUM(IF((('W10. Power Total Cap'!$C$50:$C$556=B$43)+('W10. Power Total Cap'!$C$50:$C$556=B$44)+('W10. Power Total Cap'!$C$50:$C$556=B$45))*('W10. Power Total Cap'!$B$50:$B$556=$A54)*('W10. Power Total Cap'!$E$49:$O$49=B$47),'W10. Power Total Cap'!$E$50:$O$556))</f>
        <v>351.80899372483344</v>
      </c>
      <c r="C54" s="34">
        <f t="array" ref="C54">SUM(IF((('W10. Power Total Cap'!$C$50:$C$556=C$43)+('W10. Power Total Cap'!$C$50:$C$556=C$44)+('W10. Power Total Cap'!$C$50:$C$556=C$45))*('W10. Power Total Cap'!$B$50:$B$556=$A54)*('W10. Power Total Cap'!$E$49:$O$49=C$47),'W10. Power Total Cap'!$E$50:$O$556))</f>
        <v>572.05517470816403</v>
      </c>
      <c r="D54" s="34">
        <f t="array" ref="D54">SUM(IF((('W10. Power Total Cap'!$C$50:$C$556=D$43)+('W10. Power Total Cap'!$C$50:$C$556=D$44)+('W10. Power Total Cap'!$C$50:$C$556=D$45))*('W10. Power Total Cap'!$B$50:$B$556=$A54)*('W10. Power Total Cap'!$E$49:$O$49=D$47),'W10. Power Total Cap'!$E$50:$O$556))</f>
        <v>1504.7543636775156</v>
      </c>
      <c r="E54" s="34">
        <f t="array" ref="E54">SUM(IF((('W10. Power Total Cap'!$C$50:$C$556=E$43)+('W10. Power Total Cap'!$C$50:$C$556=E$44)+('W10. Power Total Cap'!$C$50:$C$556=E$45))*('W10. Power Total Cap'!$B$50:$B$556=$A54)*('W10. Power Total Cap'!$E$49:$O$49=E$47),'W10. Power Total Cap'!$E$50:$O$556))</f>
        <v>3044.7895959186635</v>
      </c>
      <c r="F54" s="34">
        <f t="array" ref="F54">SUM(IF((('W10. Power Total Cap'!$C$50:$C$556=F$43)+('W10. Power Total Cap'!$C$50:$C$556=F$44)+('W10. Power Total Cap'!$C$50:$C$556=F$45))*('W10. Power Total Cap'!$B$50:$B$556=$A54)*('W10. Power Total Cap'!$E$49:$O$49=F$47),'W10. Power Total Cap'!$E$50:$O$556))</f>
        <v>4016.7068310723553</v>
      </c>
      <c r="G54" s="42"/>
      <c r="H54" s="14"/>
      <c r="I54" s="14"/>
      <c r="J54" s="14"/>
      <c r="K54" s="14"/>
    </row>
    <row r="55" spans="1:11" x14ac:dyDescent="0.3">
      <c r="A55" s="3" t="str">
        <f t="shared" si="5"/>
        <v>Vivid_7</v>
      </c>
      <c r="B55" s="34">
        <f t="array" ref="B55">SUM(IF((('W10. Power Total Cap'!$C$50:$C$556=B$43)+('W10. Power Total Cap'!$C$50:$C$556=B$44)+('W10. Power Total Cap'!$C$50:$C$556=B$45))*('W10. Power Total Cap'!$B$50:$B$556=$A55)*('W10. Power Total Cap'!$E$49:$O$49=B$47),'W10. Power Total Cap'!$E$50:$O$556))</f>
        <v>351.80899372483344</v>
      </c>
      <c r="C55" s="34">
        <f t="array" ref="C55">SUM(IF((('W10. Power Total Cap'!$C$50:$C$556=C$43)+('W10. Power Total Cap'!$C$50:$C$556=C$44)+('W10. Power Total Cap'!$C$50:$C$556=C$45))*('W10. Power Total Cap'!$B$50:$B$556=$A55)*('W10. Power Total Cap'!$E$49:$O$49=C$47),'W10. Power Total Cap'!$E$50:$O$556))</f>
        <v>572.05517470816403</v>
      </c>
      <c r="D55" s="34">
        <f t="array" ref="D55">SUM(IF((('W10. Power Total Cap'!$C$50:$C$556=D$43)+('W10. Power Total Cap'!$C$50:$C$556=D$44)+('W10. Power Total Cap'!$C$50:$C$556=D$45))*('W10. Power Total Cap'!$B$50:$B$556=$A55)*('W10. Power Total Cap'!$E$49:$O$49=D$47),'W10. Power Total Cap'!$E$50:$O$556))</f>
        <v>2068.7167965599579</v>
      </c>
      <c r="E55" s="34">
        <f t="array" ref="E55">SUM(IF((('W10. Power Total Cap'!$C$50:$C$556=E$43)+('W10. Power Total Cap'!$C$50:$C$556=E$44)+('W10. Power Total Cap'!$C$50:$C$556=E$45))*('W10. Power Total Cap'!$B$50:$B$556=$A55)*('W10. Power Total Cap'!$E$49:$O$49=E$47),'W10. Power Total Cap'!$E$50:$O$556))</f>
        <v>6210.1458171668855</v>
      </c>
      <c r="F55" s="34">
        <f t="array" ref="F55">SUM(IF((('W10. Power Total Cap'!$C$50:$C$556=F$43)+('W10. Power Total Cap'!$C$50:$C$556=F$44)+('W10. Power Total Cap'!$C$50:$C$556=F$45))*('W10. Power Total Cap'!$B$50:$B$556=$A55)*('W10. Power Total Cap'!$E$49:$O$49=F$47),'W10. Power Total Cap'!$E$50:$O$556))</f>
        <v>10117.682433057325</v>
      </c>
      <c r="G55" s="42"/>
      <c r="H55" s="14"/>
      <c r="I55" s="14"/>
      <c r="J55" s="14"/>
      <c r="K55" s="14"/>
    </row>
    <row r="56" spans="1:11" x14ac:dyDescent="0.3">
      <c r="A56" s="3" t="str">
        <f t="shared" si="5"/>
        <v>Vivid_9</v>
      </c>
      <c r="B56" s="34">
        <f t="array" ref="B56">SUM(IF((('W10. Power Total Cap'!$C$50:$C$556=B$43)+('W10. Power Total Cap'!$C$50:$C$556=B$44)+('W10. Power Total Cap'!$C$50:$C$556=B$45))*('W10. Power Total Cap'!$B$50:$B$556=$A56)*('W10. Power Total Cap'!$E$49:$O$49=B$47),'W10. Power Total Cap'!$E$50:$O$556))</f>
        <v>351.80899372483344</v>
      </c>
      <c r="C56" s="34">
        <f t="array" ref="C56">SUM(IF((('W10. Power Total Cap'!$C$50:$C$556=C$43)+('W10. Power Total Cap'!$C$50:$C$556=C$44)+('W10. Power Total Cap'!$C$50:$C$556=C$45))*('W10. Power Total Cap'!$B$50:$B$556=$A56)*('W10. Power Total Cap'!$E$49:$O$49=C$47),'W10. Power Total Cap'!$E$50:$O$556))</f>
        <v>572.05517470816403</v>
      </c>
      <c r="D56" s="34">
        <f t="array" ref="D56">SUM(IF((('W10. Power Total Cap'!$C$50:$C$556=D$43)+('W10. Power Total Cap'!$C$50:$C$556=D$44)+('W10. Power Total Cap'!$C$50:$C$556=D$45))*('W10. Power Total Cap'!$B$50:$B$556=$A56)*('W10. Power Total Cap'!$E$49:$O$49=D$47),'W10. Power Total Cap'!$E$50:$O$556))</f>
        <v>2050.005182606144</v>
      </c>
      <c r="E56" s="34">
        <f t="array" ref="E56">SUM(IF((('W10. Power Total Cap'!$C$50:$C$556=E$43)+('W10. Power Total Cap'!$C$50:$C$556=E$44)+('W10. Power Total Cap'!$C$50:$C$556=E$45))*('W10. Power Total Cap'!$B$50:$B$556=$A56)*('W10. Power Total Cap'!$E$49:$O$49=E$47),'W10. Power Total Cap'!$E$50:$O$556))</f>
        <v>5672.2939947975556</v>
      </c>
      <c r="F56" s="34">
        <f t="array" ref="F56">SUM(IF((('W10. Power Total Cap'!$C$50:$C$556=F$43)+('W10. Power Total Cap'!$C$50:$C$556=F$44)+('W10. Power Total Cap'!$C$50:$C$556=F$45))*('W10. Power Total Cap'!$B$50:$B$556=$A56)*('W10. Power Total Cap'!$E$49:$O$49=F$47),'W10. Power Total Cap'!$E$50:$O$556))</f>
        <v>9096.3154069939701</v>
      </c>
      <c r="G56" s="42"/>
      <c r="H56" s="14"/>
      <c r="I56" s="14"/>
      <c r="J56" s="14"/>
      <c r="K56" s="14"/>
    </row>
    <row r="57" spans="1:11" ht="15" thickBot="1" x14ac:dyDescent="0.35"/>
    <row r="58" spans="1:11" s="25" customFormat="1" ht="15" thickBot="1" x14ac:dyDescent="0.35">
      <c r="A58" s="24" t="s">
        <v>377</v>
      </c>
    </row>
    <row r="60" spans="1:11" x14ac:dyDescent="0.3">
      <c r="C60" s="3" t="s">
        <v>259</v>
      </c>
      <c r="D60" s="3" t="s">
        <v>259</v>
      </c>
      <c r="E60" s="3" t="s">
        <v>259</v>
      </c>
      <c r="F60" s="3" t="s">
        <v>259</v>
      </c>
      <c r="G60" s="3" t="s">
        <v>259</v>
      </c>
      <c r="H60" s="3" t="s">
        <v>259</v>
      </c>
      <c r="I60" s="3" t="s">
        <v>259</v>
      </c>
      <c r="J60" s="3" t="s">
        <v>259</v>
      </c>
    </row>
    <row r="61" spans="1:11" x14ac:dyDescent="0.3">
      <c r="C61" s="3" t="s">
        <v>260</v>
      </c>
      <c r="D61" s="3" t="s">
        <v>260</v>
      </c>
      <c r="E61" s="3" t="s">
        <v>260</v>
      </c>
      <c r="F61" s="3" t="s">
        <v>260</v>
      </c>
      <c r="G61" s="3" t="s">
        <v>260</v>
      </c>
      <c r="H61" s="3" t="s">
        <v>260</v>
      </c>
      <c r="I61" s="3" t="s">
        <v>260</v>
      </c>
      <c r="J61" s="3" t="s">
        <v>260</v>
      </c>
    </row>
    <row r="62" spans="1:11" x14ac:dyDescent="0.3">
      <c r="A62" s="3" t="s">
        <v>8</v>
      </c>
      <c r="B62" s="3" t="s">
        <v>430</v>
      </c>
      <c r="C62" s="3">
        <v>2014</v>
      </c>
      <c r="D62" s="3">
        <v>2015</v>
      </c>
      <c r="E62" s="3">
        <v>2016</v>
      </c>
      <c r="F62" s="3">
        <v>2017</v>
      </c>
      <c r="G62" s="3">
        <v>2020</v>
      </c>
      <c r="H62" s="3">
        <v>2030</v>
      </c>
      <c r="I62" s="3">
        <v>2040</v>
      </c>
      <c r="J62" s="3">
        <v>2050</v>
      </c>
    </row>
    <row r="63" spans="1:11" x14ac:dyDescent="0.3">
      <c r="A63" s="3" t="s">
        <v>368</v>
      </c>
      <c r="B63" s="3" t="s">
        <v>431</v>
      </c>
      <c r="C63" s="34" t="str">
        <f t="array" ref="C63">IF(SUM(IF(('W21. Total generation capacity'!$A$10:$A$90=$A63)*(('W21. Total generation capacity'!$C$10:$C$90=C$60)+('W21. Total generation capacity'!$C$10:$C$90=C$61))*('W21. Total generation capacity'!$E$9:$Q$9=C$62),'W21. Total generation capacity'!$E$10:$Q$90))=0,"",SUM(IF(('W21. Total generation capacity'!$A$10:$A$90=$A63)*(('W21. Total generation capacity'!$C$10:$C$90=C$60)+('W21. Total generation capacity'!$C$10:$C$90=C$61))*('W21. Total generation capacity'!$E$9:$Q$9=C$62),'W21. Total generation capacity'!$E$10:$Q$90)))</f>
        <v/>
      </c>
      <c r="D63" s="34" t="str">
        <f t="array" ref="D63">IF(SUM(IF(('W21. Total generation capacity'!$A$10:$A$90=$A63)*(('W21. Total generation capacity'!$C$10:$C$90=D$60)+('W21. Total generation capacity'!$C$10:$C$90=D$61))*('W21. Total generation capacity'!$E$9:$Q$9=D$62),'W21. Total generation capacity'!$E$10:$Q$90))=0,"",SUM(IF(('W21. Total generation capacity'!$A$10:$A$90=$A63)*(('W21. Total generation capacity'!$C$10:$C$90=D$60)+('W21. Total generation capacity'!$C$10:$C$90=D$61))*('W21. Total generation capacity'!$E$9:$Q$9=D$62),'W21. Total generation capacity'!$E$10:$Q$90)))</f>
        <v/>
      </c>
      <c r="E63" s="34">
        <f t="array" ref="E63">IF(SUM(IF(('W21. Total generation capacity'!$A$10:$A$90=$A63)*(('W21. Total generation capacity'!$C$10:$C$90=E$60)+('W21. Total generation capacity'!$C$10:$C$90=E$61))*('W21. Total generation capacity'!$E$9:$Q$9=E$62),'W21. Total generation capacity'!$E$10:$Q$90))=0,"",SUM(IF(('W21. Total generation capacity'!$A$10:$A$90=$A63)*(('W21. Total generation capacity'!$C$10:$C$90=E$60)+('W21. Total generation capacity'!$C$10:$C$90=E$61))*('W21. Total generation capacity'!$E$9:$Q$9=E$62),'W21. Total generation capacity'!$E$10:$Q$90)))</f>
        <v>0.77200000000000002</v>
      </c>
      <c r="F63" s="34">
        <f t="array" ref="F63">IF(SUM(IF(('W21. Total generation capacity'!$A$10:$A$90=$A63)*(('W21. Total generation capacity'!$C$10:$C$90=F$60)+('W21. Total generation capacity'!$C$10:$C$90=F$61))*('W21. Total generation capacity'!$E$9:$Q$9=F$62),'W21. Total generation capacity'!$E$10:$Q$90))=0,"",SUM(IF(('W21. Total generation capacity'!$A$10:$A$90=$A63)*(('W21. Total generation capacity'!$C$10:$C$90=F$60)+('W21. Total generation capacity'!$C$10:$C$90=F$61))*('W21. Total generation capacity'!$E$9:$Q$9=F$62),'W21. Total generation capacity'!$E$10:$Q$90)))</f>
        <v>0.91800000000000004</v>
      </c>
      <c r="G63" s="34">
        <f t="array" ref="G63">IF(SUM(IF(('W21. Total generation capacity'!$A$10:$A$90=$A63)*(('W21. Total generation capacity'!$C$10:$C$90=G$60)+('W21. Total generation capacity'!$C$10:$C$90=G$61))*('W21. Total generation capacity'!$E$9:$Q$9=G$62),'W21. Total generation capacity'!$E$10:$Q$90))=0,"",SUM(IF(('W21. Total generation capacity'!$A$10:$A$90=$A63)*(('W21. Total generation capacity'!$C$10:$C$90=G$60)+('W21. Total generation capacity'!$C$10:$C$90=G$61))*('W21. Total generation capacity'!$E$9:$Q$9=G$62),'W21. Total generation capacity'!$E$10:$Q$90)))</f>
        <v>1.29</v>
      </c>
      <c r="H63" s="34">
        <f t="array" ref="H63">IF(SUM(IF(('W21. Total generation capacity'!$A$10:$A$90=$A63)*(('W21. Total generation capacity'!$C$10:$C$90=H$60)+('W21. Total generation capacity'!$C$10:$C$90=H$61))*('W21. Total generation capacity'!$E$9:$Q$9=H$62),'W21. Total generation capacity'!$E$10:$Q$90))=0,"",SUM(IF(('W21. Total generation capacity'!$A$10:$A$90=$A63)*(('W21. Total generation capacity'!$C$10:$C$90=H$60)+('W21. Total generation capacity'!$C$10:$C$90=H$61))*('W21. Total generation capacity'!$E$9:$Q$9=H$62),'W21. Total generation capacity'!$E$10:$Q$90)))</f>
        <v>2.3740000000000001</v>
      </c>
      <c r="I63" s="34">
        <f t="array" ref="I63">IF(SUM(IF(('W21. Total generation capacity'!$A$10:$A$90=$A63)*(('W21. Total generation capacity'!$C$10:$C$90=I$60)+('W21. Total generation capacity'!$C$10:$C$90=I$61))*('W21. Total generation capacity'!$E$9:$Q$9=I$62),'W21. Total generation capacity'!$E$10:$Q$90))=0,"",SUM(IF(('W21. Total generation capacity'!$A$10:$A$90=$A63)*(('W21. Total generation capacity'!$C$10:$C$90=I$60)+('W21. Total generation capacity'!$C$10:$C$90=I$61))*('W21. Total generation capacity'!$E$9:$Q$9=I$62),'W21. Total generation capacity'!$E$10:$Q$90)))</f>
        <v>3.3319999999999999</v>
      </c>
      <c r="J63" s="34">
        <f t="array" ref="J63">IF(SUM(IF(('W21. Total generation capacity'!$A$10:$A$90=$A63)*(('W21. Total generation capacity'!$C$10:$C$90=J$60)+('W21. Total generation capacity'!$C$10:$C$90=J$61))*('W21. Total generation capacity'!$E$9:$Q$9=J$62),'W21. Total generation capacity'!$E$10:$Q$90))=0,"",SUM(IF(('W21. Total generation capacity'!$A$10:$A$90=$A63)*(('W21. Total generation capacity'!$C$10:$C$90=J$60)+('W21. Total generation capacity'!$C$10:$C$90=J$61))*('W21. Total generation capacity'!$E$9:$Q$9=J$62),'W21. Total generation capacity'!$E$10:$Q$90)))</f>
        <v>4.3179999999999996</v>
      </c>
    </row>
    <row r="64" spans="1:11" x14ac:dyDescent="0.3">
      <c r="A64" s="3" t="s">
        <v>370</v>
      </c>
      <c r="B64" s="3" t="s">
        <v>431</v>
      </c>
      <c r="C64" s="34" t="str">
        <f t="array" ref="C64">IF(SUM(IF(('W21. Total generation capacity'!$A$10:$A$90=$A64)*(('W21. Total generation capacity'!$C$10:$C$90=C$60)+('W21. Total generation capacity'!$C$10:$C$90=C$61))*('W21. Total generation capacity'!$E$9:$Q$9=C$62),'W21. Total generation capacity'!$E$10:$Q$90))=0,"",SUM(IF(('W21. Total generation capacity'!$A$10:$A$90=$A64)*(('W21. Total generation capacity'!$C$10:$C$90=C$60)+('W21. Total generation capacity'!$C$10:$C$90=C$61))*('W21. Total generation capacity'!$E$9:$Q$9=C$62),'W21. Total generation capacity'!$E$10:$Q$90)))</f>
        <v/>
      </c>
      <c r="D64" s="34" t="str">
        <f t="array" ref="D64">IF(SUM(IF(('W21. Total generation capacity'!$A$10:$A$90=$A64)*(('W21. Total generation capacity'!$C$10:$C$90=D$60)+('W21. Total generation capacity'!$C$10:$C$90=D$61))*('W21. Total generation capacity'!$E$9:$Q$9=D$62),'W21. Total generation capacity'!$E$10:$Q$90))=0,"",SUM(IF(('W21. Total generation capacity'!$A$10:$A$90=$A64)*(('W21. Total generation capacity'!$C$10:$C$90=D$60)+('W21. Total generation capacity'!$C$10:$C$90=D$61))*('W21. Total generation capacity'!$E$9:$Q$9=D$62),'W21. Total generation capacity'!$E$10:$Q$90)))</f>
        <v/>
      </c>
      <c r="E64" s="34">
        <f t="array" ref="E64">IF(SUM(IF(('W21. Total generation capacity'!$A$10:$A$90=$A64)*(('W21. Total generation capacity'!$C$10:$C$90=E$60)+('W21. Total generation capacity'!$C$10:$C$90=E$61))*('W21. Total generation capacity'!$E$9:$Q$9=E$62),'W21. Total generation capacity'!$E$10:$Q$90))=0,"",SUM(IF(('W21. Total generation capacity'!$A$10:$A$90=$A64)*(('W21. Total generation capacity'!$C$10:$C$90=E$60)+('W21. Total generation capacity'!$C$10:$C$90=E$61))*('W21. Total generation capacity'!$E$9:$Q$9=E$62),'W21. Total generation capacity'!$E$10:$Q$90)))</f>
        <v>0.77200000000000002</v>
      </c>
      <c r="F64" s="34">
        <f t="array" ref="F64">IF(SUM(IF(('W21. Total generation capacity'!$A$10:$A$90=$A64)*(('W21. Total generation capacity'!$C$10:$C$90=F$60)+('W21. Total generation capacity'!$C$10:$C$90=F$61))*('W21. Total generation capacity'!$E$9:$Q$9=F$62),'W21. Total generation capacity'!$E$10:$Q$90))=0,"",SUM(IF(('W21. Total generation capacity'!$A$10:$A$90=$A64)*(('W21. Total generation capacity'!$C$10:$C$90=F$60)+('W21. Total generation capacity'!$C$10:$C$90=F$61))*('W21. Total generation capacity'!$E$9:$Q$9=F$62),'W21. Total generation capacity'!$E$10:$Q$90)))</f>
        <v>0.91800000000000004</v>
      </c>
      <c r="G64" s="34">
        <f t="array" ref="G64">IF(SUM(IF(('W21. Total generation capacity'!$A$10:$A$90=$A64)*(('W21. Total generation capacity'!$C$10:$C$90=G$60)+('W21. Total generation capacity'!$C$10:$C$90=G$61))*('W21. Total generation capacity'!$E$9:$Q$9=G$62),'W21. Total generation capacity'!$E$10:$Q$90))=0,"",SUM(IF(('W21. Total generation capacity'!$A$10:$A$90=$A64)*(('W21. Total generation capacity'!$C$10:$C$90=G$60)+('W21. Total generation capacity'!$C$10:$C$90=G$61))*('W21. Total generation capacity'!$E$9:$Q$9=G$62),'W21. Total generation capacity'!$E$10:$Q$90)))</f>
        <v>1.3518750000000002</v>
      </c>
      <c r="H64" s="34">
        <f t="array" ref="H64">IF(SUM(IF(('W21. Total generation capacity'!$A$10:$A$90=$A64)*(('W21. Total generation capacity'!$C$10:$C$90=H$60)+('W21. Total generation capacity'!$C$10:$C$90=H$61))*('W21. Total generation capacity'!$E$9:$Q$9=H$62),'W21. Total generation capacity'!$E$10:$Q$90))=0,"",SUM(IF(('W21. Total generation capacity'!$A$10:$A$90=$A64)*(('W21. Total generation capacity'!$C$10:$C$90=H$60)+('W21. Total generation capacity'!$C$10:$C$90=H$61))*('W21. Total generation capacity'!$E$9:$Q$9=H$62),'W21. Total generation capacity'!$E$10:$Q$90)))</f>
        <v>2.8639999999999999</v>
      </c>
      <c r="I64" s="34">
        <f t="array" ref="I64">IF(SUM(IF(('W21. Total generation capacity'!$A$10:$A$90=$A64)*(('W21. Total generation capacity'!$C$10:$C$90=I$60)+('W21. Total generation capacity'!$C$10:$C$90=I$61))*('W21. Total generation capacity'!$E$9:$Q$9=I$62),'W21. Total generation capacity'!$E$10:$Q$90))=0,"",SUM(IF(('W21. Total generation capacity'!$A$10:$A$90=$A64)*(('W21. Total generation capacity'!$C$10:$C$90=I$60)+('W21. Total generation capacity'!$C$10:$C$90=I$61))*('W21. Total generation capacity'!$E$9:$Q$9=I$62),'W21. Total generation capacity'!$E$10:$Q$90)))</f>
        <v>4.3150000000000004</v>
      </c>
      <c r="J64" s="34">
        <f t="array" ref="J64">IF(SUM(IF(('W21. Total generation capacity'!$A$10:$A$90=$A64)*(('W21. Total generation capacity'!$C$10:$C$90=J$60)+('W21. Total generation capacity'!$C$10:$C$90=J$61))*('W21. Total generation capacity'!$E$9:$Q$9=J$62),'W21. Total generation capacity'!$E$10:$Q$90))=0,"",SUM(IF(('W21. Total generation capacity'!$A$10:$A$90=$A64)*(('W21. Total generation capacity'!$C$10:$C$90=J$60)+('W21. Total generation capacity'!$C$10:$C$90=J$61))*('W21. Total generation capacity'!$E$9:$Q$9=J$62),'W21. Total generation capacity'!$E$10:$Q$90)))</f>
        <v>5.7949999999999999</v>
      </c>
    </row>
    <row r="65" spans="1:10" x14ac:dyDescent="0.3">
      <c r="A65" s="3" t="s">
        <v>372</v>
      </c>
      <c r="B65" s="3" t="s">
        <v>431</v>
      </c>
      <c r="C65" s="34" t="str">
        <f t="array" ref="C65">IF(SUM(IF(('W21. Total generation capacity'!$A$10:$A$90=$A65)*(('W21. Total generation capacity'!$C$10:$C$90=C$60)+('W21. Total generation capacity'!$C$10:$C$90=C$61))*('W21. Total generation capacity'!$E$9:$Q$9=C$62),'W21. Total generation capacity'!$E$10:$Q$90))=0,"",SUM(IF(('W21. Total generation capacity'!$A$10:$A$90=$A65)*(('W21. Total generation capacity'!$C$10:$C$90=C$60)+('W21. Total generation capacity'!$C$10:$C$90=C$61))*('W21. Total generation capacity'!$E$9:$Q$9=C$62),'W21. Total generation capacity'!$E$10:$Q$90)))</f>
        <v/>
      </c>
      <c r="D65" s="34" t="str">
        <f t="array" ref="D65">IF(SUM(IF(('W21. Total generation capacity'!$A$10:$A$90=$A65)*(('W21. Total generation capacity'!$C$10:$C$90=D$60)+('W21. Total generation capacity'!$C$10:$C$90=D$61))*('W21. Total generation capacity'!$E$9:$Q$9=D$62),'W21. Total generation capacity'!$E$10:$Q$90))=0,"",SUM(IF(('W21. Total generation capacity'!$A$10:$A$90=$A65)*(('W21. Total generation capacity'!$C$10:$C$90=D$60)+('W21. Total generation capacity'!$C$10:$C$90=D$61))*('W21. Total generation capacity'!$E$9:$Q$9=D$62),'W21. Total generation capacity'!$E$10:$Q$90)))</f>
        <v/>
      </c>
      <c r="E65" s="34">
        <f t="array" ref="E65">IF(SUM(IF(('W21. Total generation capacity'!$A$10:$A$90=$A65)*(('W21. Total generation capacity'!$C$10:$C$90=E$60)+('W21. Total generation capacity'!$C$10:$C$90=E$61))*('W21. Total generation capacity'!$E$9:$Q$9=E$62),'W21. Total generation capacity'!$E$10:$Q$90))=0,"",SUM(IF(('W21. Total generation capacity'!$A$10:$A$90=$A65)*(('W21. Total generation capacity'!$C$10:$C$90=E$60)+('W21. Total generation capacity'!$C$10:$C$90=E$61))*('W21. Total generation capacity'!$E$9:$Q$9=E$62),'W21. Total generation capacity'!$E$10:$Q$90)))</f>
        <v>0.77200000000000002</v>
      </c>
      <c r="F65" s="34">
        <f t="array" ref="F65">IF(SUM(IF(('W21. Total generation capacity'!$A$10:$A$90=$A65)*(('W21. Total generation capacity'!$C$10:$C$90=F$60)+('W21. Total generation capacity'!$C$10:$C$90=F$61))*('W21. Total generation capacity'!$E$9:$Q$9=F$62),'W21. Total generation capacity'!$E$10:$Q$90))=0,"",SUM(IF(('W21. Total generation capacity'!$A$10:$A$90=$A65)*(('W21. Total generation capacity'!$C$10:$C$90=F$60)+('W21. Total generation capacity'!$C$10:$C$90=F$61))*('W21. Total generation capacity'!$E$9:$Q$9=F$62),'W21. Total generation capacity'!$E$10:$Q$90)))</f>
        <v>0.91800000000000004</v>
      </c>
      <c r="G65" s="34">
        <f t="array" ref="G65">IF(SUM(IF(('W21. Total generation capacity'!$A$10:$A$90=$A65)*(('W21. Total generation capacity'!$C$10:$C$90=G$60)+('W21. Total generation capacity'!$C$10:$C$90=G$61))*('W21. Total generation capacity'!$E$9:$Q$9=G$62),'W21. Total generation capacity'!$E$10:$Q$90))=0,"",SUM(IF(('W21. Total generation capacity'!$A$10:$A$90=$A65)*(('W21. Total generation capacity'!$C$10:$C$90=G$60)+('W21. Total generation capacity'!$C$10:$C$90=G$61))*('W21. Total generation capacity'!$E$9:$Q$9=G$62),'W21. Total generation capacity'!$E$10:$Q$90)))</f>
        <v>1.5539999999999998</v>
      </c>
      <c r="H65" s="34">
        <f t="array" ref="H65">IF(SUM(IF(('W21. Total generation capacity'!$A$10:$A$90=$A65)*(('W21. Total generation capacity'!$C$10:$C$90=H$60)+('W21. Total generation capacity'!$C$10:$C$90=H$61))*('W21. Total generation capacity'!$E$9:$Q$9=H$62),'W21. Total generation capacity'!$E$10:$Q$90))=0,"",SUM(IF(('W21. Total generation capacity'!$A$10:$A$90=$A65)*(('W21. Total generation capacity'!$C$10:$C$90=H$60)+('W21. Total generation capacity'!$C$10:$C$90=H$61))*('W21. Total generation capacity'!$E$9:$Q$9=H$62),'W21. Total generation capacity'!$E$10:$Q$90)))</f>
        <v>4.12</v>
      </c>
      <c r="I65" s="34">
        <f t="array" ref="I65">IF(SUM(IF(('W21. Total generation capacity'!$A$10:$A$90=$A65)*(('W21. Total generation capacity'!$C$10:$C$90=I$60)+('W21. Total generation capacity'!$C$10:$C$90=I$61))*('W21. Total generation capacity'!$E$9:$Q$9=I$62),'W21. Total generation capacity'!$E$10:$Q$90))=0,"",SUM(IF(('W21. Total generation capacity'!$A$10:$A$90=$A65)*(('W21. Total generation capacity'!$C$10:$C$90=I$60)+('W21. Total generation capacity'!$C$10:$C$90=I$61))*('W21. Total generation capacity'!$E$9:$Q$9=I$62),'W21. Total generation capacity'!$E$10:$Q$90)))</f>
        <v>7.3259999999999996</v>
      </c>
      <c r="J65" s="34">
        <f t="array" ref="J65">IF(SUM(IF(('W21. Total generation capacity'!$A$10:$A$90=$A65)*(('W21. Total generation capacity'!$C$10:$C$90=J$60)+('W21. Total generation capacity'!$C$10:$C$90=J$61))*('W21. Total generation capacity'!$E$9:$Q$9=J$62),'W21. Total generation capacity'!$E$10:$Q$90))=0,"",SUM(IF(('W21. Total generation capacity'!$A$10:$A$90=$A65)*(('W21. Total generation capacity'!$C$10:$C$90=J$60)+('W21. Total generation capacity'!$C$10:$C$90=J$61))*('W21. Total generation capacity'!$E$9:$Q$9=J$62),'W21. Total generation capacity'!$E$10:$Q$90)))</f>
        <v>10.474</v>
      </c>
    </row>
    <row r="66" spans="1:10" x14ac:dyDescent="0.3">
      <c r="A66" s="3" t="s">
        <v>378</v>
      </c>
      <c r="B66" s="3" t="s">
        <v>431</v>
      </c>
      <c r="C66" s="34">
        <f t="array" ref="C66">IF(SUM(IF(('W21. Total generation capacity'!$A$10:$A$90=$A66)*(('W21. Total generation capacity'!$C$10:$C$90=C$60)+('W21. Total generation capacity'!$C$10:$C$90=C$61))*('W21. Total generation capacity'!$E$9:$Q$9=C$62),'W21. Total generation capacity'!$E$10:$Q$90))=0,"",SUM(IF(('W21. Total generation capacity'!$A$10:$A$90=$A66)*(('W21. Total generation capacity'!$C$10:$C$90=C$60)+('W21. Total generation capacity'!$C$10:$C$90=C$61))*('W21. Total generation capacity'!$E$9:$Q$9=C$62),'W21. Total generation capacity'!$E$10:$Q$90)))</f>
        <v>0.53127459999999993</v>
      </c>
      <c r="D66" s="34" t="str">
        <f t="array" ref="D66">IF(SUM(IF(('W21. Total generation capacity'!$A$10:$A$90=$A66)*(('W21. Total generation capacity'!$C$10:$C$90=D$60)+('W21. Total generation capacity'!$C$10:$C$90=D$61))*('W21. Total generation capacity'!$E$9:$Q$9=D$62),'W21. Total generation capacity'!$E$10:$Q$90))=0,"",SUM(IF(('W21. Total generation capacity'!$A$10:$A$90=$A66)*(('W21. Total generation capacity'!$C$10:$C$90=D$60)+('W21. Total generation capacity'!$C$10:$C$90=D$61))*('W21. Total generation capacity'!$E$9:$Q$9=D$62),'W21. Total generation capacity'!$E$10:$Q$90)))</f>
        <v/>
      </c>
      <c r="E66" s="34" t="str">
        <f t="array" ref="E66">IF(SUM(IF(('W21. Total generation capacity'!$A$10:$A$90=$A66)*(('W21. Total generation capacity'!$C$10:$C$90=E$60)+('W21. Total generation capacity'!$C$10:$C$90=E$61))*('W21. Total generation capacity'!$E$9:$Q$9=E$62),'W21. Total generation capacity'!$E$10:$Q$90))=0,"",SUM(IF(('W21. Total generation capacity'!$A$10:$A$90=$A66)*(('W21. Total generation capacity'!$C$10:$C$90=E$60)+('W21. Total generation capacity'!$C$10:$C$90=E$61))*('W21. Total generation capacity'!$E$9:$Q$9=E$62),'W21. Total generation capacity'!$E$10:$Q$90)))</f>
        <v/>
      </c>
      <c r="F66" s="34" t="str">
        <f t="array" ref="F66">IF(SUM(IF(('W21. Total generation capacity'!$A$10:$A$90=$A66)*(('W21. Total generation capacity'!$C$10:$C$90=F$60)+('W21. Total generation capacity'!$C$10:$C$90=F$61))*('W21. Total generation capacity'!$E$9:$Q$9=F$62),'W21. Total generation capacity'!$E$10:$Q$90))=0,"",SUM(IF(('W21. Total generation capacity'!$A$10:$A$90=$A66)*(('W21. Total generation capacity'!$C$10:$C$90=F$60)+('W21. Total generation capacity'!$C$10:$C$90=F$61))*('W21. Total generation capacity'!$E$9:$Q$9=F$62),'W21. Total generation capacity'!$E$10:$Q$90)))</f>
        <v/>
      </c>
      <c r="G66" s="34">
        <f t="array" ref="G66">IF(SUM(IF(('W21. Total generation capacity'!$A$10:$A$90=$A66)*(('W21. Total generation capacity'!$C$10:$C$90=G$60)+('W21. Total generation capacity'!$C$10:$C$90=G$61))*('W21. Total generation capacity'!$E$9:$Q$9=G$62),'W21. Total generation capacity'!$E$10:$Q$90))=0,"",SUM(IF(('W21. Total generation capacity'!$A$10:$A$90=$A66)*(('W21. Total generation capacity'!$C$10:$C$90=G$60)+('W21. Total generation capacity'!$C$10:$C$90=G$61))*('W21. Total generation capacity'!$E$9:$Q$9=G$62),'W21. Total generation capacity'!$E$10:$Q$90)))</f>
        <v>1.0546392999999998</v>
      </c>
      <c r="H66" s="34">
        <f t="array" ref="H66">IF(SUM(IF(('W21. Total generation capacity'!$A$10:$A$90=$A66)*(('W21. Total generation capacity'!$C$10:$C$90=H$60)+('W21. Total generation capacity'!$C$10:$C$90=H$61))*('W21. Total generation capacity'!$E$9:$Q$9=H$62),'W21. Total generation capacity'!$E$10:$Q$90))=0,"",SUM(IF(('W21. Total generation capacity'!$A$10:$A$90=$A66)*(('W21. Total generation capacity'!$C$10:$C$90=H$60)+('W21. Total generation capacity'!$C$10:$C$90=H$61))*('W21. Total generation capacity'!$E$9:$Q$9=H$62),'W21. Total generation capacity'!$E$10:$Q$90)))</f>
        <v>1.6723379</v>
      </c>
      <c r="I66" s="34">
        <f t="array" ref="I66">IF(SUM(IF(('W21. Total generation capacity'!$A$10:$A$90=$A66)*(('W21. Total generation capacity'!$C$10:$C$90=I$60)+('W21. Total generation capacity'!$C$10:$C$90=I$61))*('W21. Total generation capacity'!$E$9:$Q$9=I$62),'W21. Total generation capacity'!$E$10:$Q$90))=0,"",SUM(IF(('W21. Total generation capacity'!$A$10:$A$90=$A66)*(('W21. Total generation capacity'!$C$10:$C$90=I$60)+('W21. Total generation capacity'!$C$10:$C$90=I$61))*('W21. Total generation capacity'!$E$9:$Q$9=I$62),'W21. Total generation capacity'!$E$10:$Q$90)))</f>
        <v>2.2551321</v>
      </c>
      <c r="J66" s="34">
        <f t="array" ref="J66">IF(SUM(IF(('W21. Total generation capacity'!$A$10:$A$90=$A66)*(('W21. Total generation capacity'!$C$10:$C$90=J$60)+('W21. Total generation capacity'!$C$10:$C$90=J$61))*('W21. Total generation capacity'!$E$9:$Q$9=J$62),'W21. Total generation capacity'!$E$10:$Q$90))=0,"",SUM(IF(('W21. Total generation capacity'!$A$10:$A$90=$A66)*(('W21. Total generation capacity'!$C$10:$C$90=J$60)+('W21. Total generation capacity'!$C$10:$C$90=J$61))*('W21. Total generation capacity'!$E$9:$Q$9=J$62),'W21. Total generation capacity'!$E$10:$Q$90)))</f>
        <v>2.8379263000000003</v>
      </c>
    </row>
    <row r="67" spans="1:10" x14ac:dyDescent="0.3">
      <c r="A67" s="3" t="s">
        <v>379</v>
      </c>
      <c r="B67" s="3" t="s">
        <v>431</v>
      </c>
      <c r="C67" s="34">
        <f t="array" ref="C67">IF(SUM(IF(('W21. Total generation capacity'!$A$10:$A$90=$A67)*(('W21. Total generation capacity'!$C$10:$C$90=C$60)+('W21. Total generation capacity'!$C$10:$C$90=C$61))*('W21. Total generation capacity'!$E$9:$Q$9=C$62),'W21. Total generation capacity'!$E$10:$Q$90))=0,"",SUM(IF(('W21. Total generation capacity'!$A$10:$A$90=$A67)*(('W21. Total generation capacity'!$C$10:$C$90=C$60)+('W21. Total generation capacity'!$C$10:$C$90=C$61))*('W21. Total generation capacity'!$E$9:$Q$9=C$62),'W21. Total generation capacity'!$E$10:$Q$90)))</f>
        <v>0.53127459999999993</v>
      </c>
      <c r="D67" s="34" t="str">
        <f t="array" ref="D67">IF(SUM(IF(('W21. Total generation capacity'!$A$10:$A$90=$A67)*(('W21. Total generation capacity'!$C$10:$C$90=D$60)+('W21. Total generation capacity'!$C$10:$C$90=D$61))*('W21. Total generation capacity'!$E$9:$Q$9=D$62),'W21. Total generation capacity'!$E$10:$Q$90))=0,"",SUM(IF(('W21. Total generation capacity'!$A$10:$A$90=$A67)*(('W21. Total generation capacity'!$C$10:$C$90=D$60)+('W21. Total generation capacity'!$C$10:$C$90=D$61))*('W21. Total generation capacity'!$E$9:$Q$9=D$62),'W21. Total generation capacity'!$E$10:$Q$90)))</f>
        <v/>
      </c>
      <c r="E67" s="34" t="str">
        <f t="array" ref="E67">IF(SUM(IF(('W21. Total generation capacity'!$A$10:$A$90=$A67)*(('W21. Total generation capacity'!$C$10:$C$90=E$60)+('W21. Total generation capacity'!$C$10:$C$90=E$61))*('W21. Total generation capacity'!$E$9:$Q$9=E$62),'W21. Total generation capacity'!$E$10:$Q$90))=0,"",SUM(IF(('W21. Total generation capacity'!$A$10:$A$90=$A67)*(('W21. Total generation capacity'!$C$10:$C$90=E$60)+('W21. Total generation capacity'!$C$10:$C$90=E$61))*('W21. Total generation capacity'!$E$9:$Q$9=E$62),'W21. Total generation capacity'!$E$10:$Q$90)))</f>
        <v/>
      </c>
      <c r="F67" s="34" t="str">
        <f t="array" ref="F67">IF(SUM(IF(('W21. Total generation capacity'!$A$10:$A$90=$A67)*(('W21. Total generation capacity'!$C$10:$C$90=F$60)+('W21. Total generation capacity'!$C$10:$C$90=F$61))*('W21. Total generation capacity'!$E$9:$Q$9=F$62),'W21. Total generation capacity'!$E$10:$Q$90))=0,"",SUM(IF(('W21. Total generation capacity'!$A$10:$A$90=$A67)*(('W21. Total generation capacity'!$C$10:$C$90=F$60)+('W21. Total generation capacity'!$C$10:$C$90=F$61))*('W21. Total generation capacity'!$E$9:$Q$9=F$62),'W21. Total generation capacity'!$E$10:$Q$90)))</f>
        <v/>
      </c>
      <c r="G67" s="34">
        <f t="array" ref="G67">IF(SUM(IF(('W21. Total generation capacity'!$A$10:$A$90=$A67)*(('W21. Total generation capacity'!$C$10:$C$90=G$60)+('W21. Total generation capacity'!$C$10:$C$90=G$61))*('W21. Total generation capacity'!$E$9:$Q$9=G$62),'W21. Total generation capacity'!$E$10:$Q$90))=0,"",SUM(IF(('W21. Total generation capacity'!$A$10:$A$90=$A67)*(('W21. Total generation capacity'!$C$10:$C$90=G$60)+('W21. Total generation capacity'!$C$10:$C$90=G$61))*('W21. Total generation capacity'!$E$9:$Q$9=G$62),'W21. Total generation capacity'!$E$10:$Q$90)))</f>
        <v>1.1618933</v>
      </c>
      <c r="H67" s="34">
        <f t="array" ref="H67">IF(SUM(IF(('W21. Total generation capacity'!$A$10:$A$90=$A67)*(('W21. Total generation capacity'!$C$10:$C$90=H$60)+('W21. Total generation capacity'!$C$10:$C$90=H$61))*('W21. Total generation capacity'!$E$9:$Q$9=H$62),'W21. Total generation capacity'!$E$10:$Q$90))=0,"",SUM(IF(('W21. Total generation capacity'!$A$10:$A$90=$A67)*(('W21. Total generation capacity'!$C$10:$C$90=H$60)+('W21. Total generation capacity'!$C$10:$C$90=H$61))*('W21. Total generation capacity'!$E$9:$Q$9=H$62),'W21. Total generation capacity'!$E$10:$Q$90)))</f>
        <v>2.1025917000000001</v>
      </c>
      <c r="I67" s="34">
        <f t="array" ref="I67">IF(SUM(IF(('W21. Total generation capacity'!$A$10:$A$90=$A67)*(('W21. Total generation capacity'!$C$10:$C$90=I$60)+('W21. Total generation capacity'!$C$10:$C$90=I$61))*('W21. Total generation capacity'!$E$9:$Q$9=I$62),'W21. Total generation capacity'!$E$10:$Q$90))=0,"",SUM(IF(('W21. Total generation capacity'!$A$10:$A$90=$A67)*(('W21. Total generation capacity'!$C$10:$C$90=I$60)+('W21. Total generation capacity'!$C$10:$C$90=I$61))*('W21. Total generation capacity'!$E$9:$Q$9=I$62),'W21. Total generation capacity'!$E$10:$Q$90)))</f>
        <v>2.9846775000000001</v>
      </c>
      <c r="J67" s="34">
        <f t="array" ref="J67">IF(SUM(IF(('W21. Total generation capacity'!$A$10:$A$90=$A67)*(('W21. Total generation capacity'!$C$10:$C$90=J$60)+('W21. Total generation capacity'!$C$10:$C$90=J$61))*('W21. Total generation capacity'!$E$9:$Q$9=J$62),'W21. Total generation capacity'!$E$10:$Q$90))=0,"",SUM(IF(('W21. Total generation capacity'!$A$10:$A$90=$A67)*(('W21. Total generation capacity'!$C$10:$C$90=J$60)+('W21. Total generation capacity'!$C$10:$C$90=J$61))*('W21. Total generation capacity'!$E$9:$Q$9=J$62),'W21. Total generation capacity'!$E$10:$Q$90)))</f>
        <v>3.8427110999999878</v>
      </c>
    </row>
    <row r="68" spans="1:10" x14ac:dyDescent="0.3">
      <c r="A68" s="3" t="s">
        <v>380</v>
      </c>
      <c r="B68" s="3" t="s">
        <v>431</v>
      </c>
      <c r="C68" s="34">
        <f t="array" ref="C68">IF(SUM(IF(('W21. Total generation capacity'!$A$10:$A$90=$A68)*(('W21. Total generation capacity'!$C$10:$C$90=C$60)+('W21. Total generation capacity'!$C$10:$C$90=C$61))*('W21. Total generation capacity'!$E$9:$Q$9=C$62),'W21. Total generation capacity'!$E$10:$Q$90))=0,"",SUM(IF(('W21. Total generation capacity'!$A$10:$A$90=$A68)*(('W21. Total generation capacity'!$C$10:$C$90=C$60)+('W21. Total generation capacity'!$C$10:$C$90=C$61))*('W21. Total generation capacity'!$E$9:$Q$9=C$62),'W21. Total generation capacity'!$E$10:$Q$90)))</f>
        <v>0.53127459999999993</v>
      </c>
      <c r="D68" s="34" t="str">
        <f t="array" ref="D68">IF(SUM(IF(('W21. Total generation capacity'!$A$10:$A$90=$A68)*(('W21. Total generation capacity'!$C$10:$C$90=D$60)+('W21. Total generation capacity'!$C$10:$C$90=D$61))*('W21. Total generation capacity'!$E$9:$Q$9=D$62),'W21. Total generation capacity'!$E$10:$Q$90))=0,"",SUM(IF(('W21. Total generation capacity'!$A$10:$A$90=$A68)*(('W21. Total generation capacity'!$C$10:$C$90=D$60)+('W21. Total generation capacity'!$C$10:$C$90=D$61))*('W21. Total generation capacity'!$E$9:$Q$9=D$62),'W21. Total generation capacity'!$E$10:$Q$90)))</f>
        <v/>
      </c>
      <c r="E68" s="34" t="str">
        <f t="array" ref="E68">IF(SUM(IF(('W21. Total generation capacity'!$A$10:$A$90=$A68)*(('W21. Total generation capacity'!$C$10:$C$90=E$60)+('W21. Total generation capacity'!$C$10:$C$90=E$61))*('W21. Total generation capacity'!$E$9:$Q$9=E$62),'W21. Total generation capacity'!$E$10:$Q$90))=0,"",SUM(IF(('W21. Total generation capacity'!$A$10:$A$90=$A68)*(('W21. Total generation capacity'!$C$10:$C$90=E$60)+('W21. Total generation capacity'!$C$10:$C$90=E$61))*('W21. Total generation capacity'!$E$9:$Q$9=E$62),'W21. Total generation capacity'!$E$10:$Q$90)))</f>
        <v/>
      </c>
      <c r="F68" s="34" t="str">
        <f t="array" ref="F68">IF(SUM(IF(('W21. Total generation capacity'!$A$10:$A$90=$A68)*(('W21. Total generation capacity'!$C$10:$C$90=F$60)+('W21. Total generation capacity'!$C$10:$C$90=F$61))*('W21. Total generation capacity'!$E$9:$Q$9=F$62),'W21. Total generation capacity'!$E$10:$Q$90))=0,"",SUM(IF(('W21. Total generation capacity'!$A$10:$A$90=$A68)*(('W21. Total generation capacity'!$C$10:$C$90=F$60)+('W21. Total generation capacity'!$C$10:$C$90=F$61))*('W21. Total generation capacity'!$E$9:$Q$9=F$62),'W21. Total generation capacity'!$E$10:$Q$90)))</f>
        <v/>
      </c>
      <c r="G68" s="34">
        <f t="array" ref="G68">IF(SUM(IF(('W21. Total generation capacity'!$A$10:$A$90=$A68)*(('W21. Total generation capacity'!$C$10:$C$90=G$60)+('W21. Total generation capacity'!$C$10:$C$90=G$61))*('W21. Total generation capacity'!$E$9:$Q$9=G$62),'W21. Total generation capacity'!$E$10:$Q$90))=0,"",SUM(IF(('W21. Total generation capacity'!$A$10:$A$90=$A68)*(('W21. Total generation capacity'!$C$10:$C$90=G$60)+('W21. Total generation capacity'!$C$10:$C$90=G$61))*('W21. Total generation capacity'!$E$9:$Q$9=G$62),'W21. Total generation capacity'!$E$10:$Q$90)))</f>
        <v>1.241015</v>
      </c>
      <c r="H68" s="34">
        <f t="array" ref="H68">IF(SUM(IF(('W21. Total generation capacity'!$A$10:$A$90=$A68)*(('W21. Total generation capacity'!$C$10:$C$90=H$60)+('W21. Total generation capacity'!$C$10:$C$90=H$61))*('W21. Total generation capacity'!$E$9:$Q$9=H$62),'W21. Total generation capacity'!$E$10:$Q$90))=0,"",SUM(IF(('W21. Total generation capacity'!$A$10:$A$90=$A68)*(('W21. Total generation capacity'!$C$10:$C$90=H$60)+('W21. Total generation capacity'!$C$10:$C$90=H$61))*('W21. Total generation capacity'!$E$9:$Q$9=H$62),'W21. Total generation capacity'!$E$10:$Q$90)))</f>
        <v>2.9510588000000002</v>
      </c>
      <c r="I68" s="34">
        <f t="array" ref="I68">IF(SUM(IF(('W21. Total generation capacity'!$A$10:$A$90=$A68)*(('W21. Total generation capacity'!$C$10:$C$90=I$60)+('W21. Total generation capacity'!$C$10:$C$90=I$61))*('W21. Total generation capacity'!$E$9:$Q$9=I$62),'W21. Total generation capacity'!$E$10:$Q$90))=0,"",SUM(IF(('W21. Total generation capacity'!$A$10:$A$90=$A68)*(('W21. Total generation capacity'!$C$10:$C$90=I$60)+('W21. Total generation capacity'!$C$10:$C$90=I$61))*('W21. Total generation capacity'!$E$9:$Q$9=I$62),'W21. Total generation capacity'!$E$10:$Q$90)))</f>
        <v>4.756032900000001</v>
      </c>
      <c r="J68" s="34">
        <f t="array" ref="J68">IF(SUM(IF(('W21. Total generation capacity'!$A$10:$A$90=$A68)*(('W21. Total generation capacity'!$C$10:$C$90=J$60)+('W21. Total generation capacity'!$C$10:$C$90=J$61))*('W21. Total generation capacity'!$E$9:$Q$9=J$62),'W21. Total generation capacity'!$E$10:$Q$90))=0,"",SUM(IF(('W21. Total generation capacity'!$A$10:$A$90=$A68)*(('W21. Total generation capacity'!$C$10:$C$90=J$60)+('W21. Total generation capacity'!$C$10:$C$90=J$61))*('W21. Total generation capacity'!$E$9:$Q$9=J$62),'W21. Total generation capacity'!$E$10:$Q$90)))</f>
        <v>6.561007</v>
      </c>
    </row>
    <row r="69" spans="1:10" x14ac:dyDescent="0.3">
      <c r="A69" s="3" t="s">
        <v>381</v>
      </c>
      <c r="B69" s="3" t="s">
        <v>431</v>
      </c>
      <c r="C69" s="34">
        <f t="array" ref="C69">IF(SUM(IF(('W21. Total generation capacity'!$A$10:$A$90=$A69)*(('W21. Total generation capacity'!$C$10:$C$90=C$60)+('W21. Total generation capacity'!$C$10:$C$90=C$61))*('W21. Total generation capacity'!$E$9:$Q$9=C$62),'W21. Total generation capacity'!$E$10:$Q$90))=0,"",SUM(IF(('W21. Total generation capacity'!$A$10:$A$90=$A69)*(('W21. Total generation capacity'!$C$10:$C$90=C$60)+('W21. Total generation capacity'!$C$10:$C$90=C$61))*('W21. Total generation capacity'!$E$9:$Q$9=C$62),'W21. Total generation capacity'!$E$10:$Q$90)))</f>
        <v>0.53499716743515391</v>
      </c>
      <c r="D69" s="34" t="str">
        <f t="array" ref="D69">IF(SUM(IF(('W21. Total generation capacity'!$A$10:$A$90=$A69)*(('W21. Total generation capacity'!$C$10:$C$90=D$60)+('W21. Total generation capacity'!$C$10:$C$90=D$61))*('W21. Total generation capacity'!$E$9:$Q$9=D$62),'W21. Total generation capacity'!$E$10:$Q$90))=0,"",SUM(IF(('W21. Total generation capacity'!$A$10:$A$90=$A69)*(('W21. Total generation capacity'!$C$10:$C$90=D$60)+('W21. Total generation capacity'!$C$10:$C$90=D$61))*('W21. Total generation capacity'!$E$9:$Q$9=D$62),'W21. Total generation capacity'!$E$10:$Q$90)))</f>
        <v/>
      </c>
      <c r="E69" s="34" t="str">
        <f t="array" ref="E69">IF(SUM(IF(('W21. Total generation capacity'!$A$10:$A$90=$A69)*(('W21. Total generation capacity'!$C$10:$C$90=E$60)+('W21. Total generation capacity'!$C$10:$C$90=E$61))*('W21. Total generation capacity'!$E$9:$Q$9=E$62),'W21. Total generation capacity'!$E$10:$Q$90))=0,"",SUM(IF(('W21. Total generation capacity'!$A$10:$A$90=$A69)*(('W21. Total generation capacity'!$C$10:$C$90=E$60)+('W21. Total generation capacity'!$C$10:$C$90=E$61))*('W21. Total generation capacity'!$E$9:$Q$9=E$62),'W21. Total generation capacity'!$E$10:$Q$90)))</f>
        <v/>
      </c>
      <c r="F69" s="34" t="str">
        <f t="array" ref="F69">IF(SUM(IF(('W21. Total generation capacity'!$A$10:$A$90=$A69)*(('W21. Total generation capacity'!$C$10:$C$90=F$60)+('W21. Total generation capacity'!$C$10:$C$90=F$61))*('W21. Total generation capacity'!$E$9:$Q$9=F$62),'W21. Total generation capacity'!$E$10:$Q$90))=0,"",SUM(IF(('W21. Total generation capacity'!$A$10:$A$90=$A69)*(('W21. Total generation capacity'!$C$10:$C$90=F$60)+('W21. Total generation capacity'!$C$10:$C$90=F$61))*('W21. Total generation capacity'!$E$9:$Q$9=F$62),'W21. Total generation capacity'!$E$10:$Q$90)))</f>
        <v/>
      </c>
      <c r="G69" s="34">
        <f t="array" ref="G69">IF(SUM(IF(('W21. Total generation capacity'!$A$10:$A$90=$A69)*(('W21. Total generation capacity'!$C$10:$C$90=G$60)+('W21. Total generation capacity'!$C$10:$C$90=G$61))*('W21. Total generation capacity'!$E$9:$Q$9=G$62),'W21. Total generation capacity'!$E$10:$Q$90))=0,"",SUM(IF(('W21. Total generation capacity'!$A$10:$A$90=$A69)*(('W21. Total generation capacity'!$C$10:$C$90=G$60)+('W21. Total generation capacity'!$C$10:$C$90=G$61))*('W21. Total generation capacity'!$E$9:$Q$9=G$62),'W21. Total generation capacity'!$E$10:$Q$90)))</f>
        <v>1.2043472257079437</v>
      </c>
      <c r="H69" s="34">
        <f t="array" ref="H69">IF(SUM(IF(('W21. Total generation capacity'!$A$10:$A$90=$A69)*(('W21. Total generation capacity'!$C$10:$C$90=H$60)+('W21. Total generation capacity'!$C$10:$C$90=H$61))*('W21. Total generation capacity'!$E$9:$Q$9=H$62),'W21. Total generation capacity'!$E$10:$Q$90))=0,"",SUM(IF(('W21. Total generation capacity'!$A$10:$A$90=$A69)*(('W21. Total generation capacity'!$C$10:$C$90=H$60)+('W21. Total generation capacity'!$C$10:$C$90=H$61))*('W21. Total generation capacity'!$E$9:$Q$9=H$62),'W21. Total generation capacity'!$E$10:$Q$90)))</f>
        <v>2.3678913156348531</v>
      </c>
      <c r="I69" s="34">
        <f t="array" ref="I69">IF(SUM(IF(('W21. Total generation capacity'!$A$10:$A$90=$A69)*(('W21. Total generation capacity'!$C$10:$C$90=I$60)+('W21. Total generation capacity'!$C$10:$C$90=I$61))*('W21. Total generation capacity'!$E$9:$Q$9=I$62),'W21. Total generation capacity'!$E$10:$Q$90))=0,"",SUM(IF(('W21. Total generation capacity'!$A$10:$A$90=$A69)*(('W21. Total generation capacity'!$C$10:$C$90=I$60)+('W21. Total generation capacity'!$C$10:$C$90=I$61))*('W21. Total generation capacity'!$E$9:$Q$9=I$62),'W21. Total generation capacity'!$E$10:$Q$90)))</f>
        <v>3.5137161926176628</v>
      </c>
      <c r="J69" s="34">
        <f t="array" ref="J69">IF(SUM(IF(('W21. Total generation capacity'!$A$10:$A$90=$A69)*(('W21. Total generation capacity'!$C$10:$C$90=J$60)+('W21. Total generation capacity'!$C$10:$C$90=J$61))*('W21. Total generation capacity'!$E$9:$Q$9=J$62),'W21. Total generation capacity'!$E$10:$Q$90))=0,"",SUM(IF(('W21. Total generation capacity'!$A$10:$A$90=$A69)*(('W21. Total generation capacity'!$C$10:$C$90=J$60)+('W21. Total generation capacity'!$C$10:$C$90=J$61))*('W21. Total generation capacity'!$E$9:$Q$9=J$62),'W21. Total generation capacity'!$E$10:$Q$90)))</f>
        <v>4.8218334806451679</v>
      </c>
    </row>
    <row r="70" spans="1:10" x14ac:dyDescent="0.3">
      <c r="A70" s="3" t="s">
        <v>382</v>
      </c>
      <c r="B70" s="3" t="s">
        <v>431</v>
      </c>
      <c r="C70" s="34">
        <f t="array" ref="C70">IF(SUM(IF(('W21. Total generation capacity'!$A$10:$A$90=$A70)*(('W21. Total generation capacity'!$C$10:$C$90=C$60)+('W21. Total generation capacity'!$C$10:$C$90=C$61))*('W21. Total generation capacity'!$E$9:$Q$9=C$62),'W21. Total generation capacity'!$E$10:$Q$90))=0,"",SUM(IF(('W21. Total generation capacity'!$A$10:$A$90=$A70)*(('W21. Total generation capacity'!$C$10:$C$90=C$60)+('W21. Total generation capacity'!$C$10:$C$90=C$61))*('W21. Total generation capacity'!$E$9:$Q$9=C$62),'W21. Total generation capacity'!$E$10:$Q$90)))</f>
        <v>0.53499716743515391</v>
      </c>
      <c r="D70" s="34" t="str">
        <f t="array" ref="D70">IF(SUM(IF(('W21. Total generation capacity'!$A$10:$A$90=$A70)*(('W21. Total generation capacity'!$C$10:$C$90=D$60)+('W21. Total generation capacity'!$C$10:$C$90=D$61))*('W21. Total generation capacity'!$E$9:$Q$9=D$62),'W21. Total generation capacity'!$E$10:$Q$90))=0,"",SUM(IF(('W21. Total generation capacity'!$A$10:$A$90=$A70)*(('W21. Total generation capacity'!$C$10:$C$90=D$60)+('W21. Total generation capacity'!$C$10:$C$90=D$61))*('W21. Total generation capacity'!$E$9:$Q$9=D$62),'W21. Total generation capacity'!$E$10:$Q$90)))</f>
        <v/>
      </c>
      <c r="E70" s="34" t="str">
        <f t="array" ref="E70">IF(SUM(IF(('W21. Total generation capacity'!$A$10:$A$90=$A70)*(('W21. Total generation capacity'!$C$10:$C$90=E$60)+('W21. Total generation capacity'!$C$10:$C$90=E$61))*('W21. Total generation capacity'!$E$9:$Q$9=E$62),'W21. Total generation capacity'!$E$10:$Q$90))=0,"",SUM(IF(('W21. Total generation capacity'!$A$10:$A$90=$A70)*(('W21. Total generation capacity'!$C$10:$C$90=E$60)+('W21. Total generation capacity'!$C$10:$C$90=E$61))*('W21. Total generation capacity'!$E$9:$Q$9=E$62),'W21. Total generation capacity'!$E$10:$Q$90)))</f>
        <v/>
      </c>
      <c r="F70" s="34" t="str">
        <f t="array" ref="F70">IF(SUM(IF(('W21. Total generation capacity'!$A$10:$A$90=$A70)*(('W21. Total generation capacity'!$C$10:$C$90=F$60)+('W21. Total generation capacity'!$C$10:$C$90=F$61))*('W21. Total generation capacity'!$E$9:$Q$9=F$62),'W21. Total generation capacity'!$E$10:$Q$90))=0,"",SUM(IF(('W21. Total generation capacity'!$A$10:$A$90=$A70)*(('W21. Total generation capacity'!$C$10:$C$90=F$60)+('W21. Total generation capacity'!$C$10:$C$90=F$61))*('W21. Total generation capacity'!$E$9:$Q$9=F$62),'W21. Total generation capacity'!$E$10:$Q$90)))</f>
        <v/>
      </c>
      <c r="G70" s="34">
        <f t="array" ref="G70">IF(SUM(IF(('W21. Total generation capacity'!$A$10:$A$90=$A70)*(('W21. Total generation capacity'!$C$10:$C$90=G$60)+('W21. Total generation capacity'!$C$10:$C$90=G$61))*('W21. Total generation capacity'!$E$9:$Q$9=G$62),'W21. Total generation capacity'!$E$10:$Q$90))=0,"",SUM(IF(('W21. Total generation capacity'!$A$10:$A$90=$A70)*(('W21. Total generation capacity'!$C$10:$C$90=G$60)+('W21. Total generation capacity'!$C$10:$C$90=G$61))*('W21. Total generation capacity'!$E$9:$Q$9=G$62),'W21. Total generation capacity'!$E$10:$Q$90)))</f>
        <v>1.4004608372220115</v>
      </c>
      <c r="H70" s="34">
        <f t="array" ref="H70">IF(SUM(IF(('W21. Total generation capacity'!$A$10:$A$90=$A70)*(('W21. Total generation capacity'!$C$10:$C$90=H$60)+('W21. Total generation capacity'!$C$10:$C$90=H$61))*('W21. Total generation capacity'!$E$9:$Q$9=H$62),'W21. Total generation capacity'!$E$10:$Q$90))=0,"",SUM(IF(('W21. Total generation capacity'!$A$10:$A$90=$A70)*(('W21. Total generation capacity'!$C$10:$C$90=H$60)+('W21. Total generation capacity'!$C$10:$C$90=H$61))*('W21. Total generation capacity'!$E$9:$Q$9=H$62),'W21. Total generation capacity'!$E$10:$Q$90)))</f>
        <v>3.3183876799770609</v>
      </c>
      <c r="I70" s="34">
        <f t="array" ref="I70">IF(SUM(IF(('W21. Total generation capacity'!$A$10:$A$90=$A70)*(('W21. Total generation capacity'!$C$10:$C$90=I$60)+('W21. Total generation capacity'!$C$10:$C$90=I$61))*('W21. Total generation capacity'!$E$9:$Q$9=I$62),'W21. Total generation capacity'!$E$10:$Q$90))=0,"",SUM(IF(('W21. Total generation capacity'!$A$10:$A$90=$A70)*(('W21. Total generation capacity'!$C$10:$C$90=I$60)+('W21. Total generation capacity'!$C$10:$C$90=I$61))*('W21. Total generation capacity'!$E$9:$Q$9=I$62),'W21. Total generation capacity'!$E$10:$Q$90)))</f>
        <v>5.4329298679034332</v>
      </c>
      <c r="J70" s="34">
        <f t="array" ref="J70">IF(SUM(IF(('W21. Total generation capacity'!$A$10:$A$90=$A70)*(('W21. Total generation capacity'!$C$10:$C$90=J$60)+('W21. Total generation capacity'!$C$10:$C$90=J$61))*('W21. Total generation capacity'!$E$9:$Q$9=J$62),'W21. Total generation capacity'!$E$10:$Q$90))=0,"",SUM(IF(('W21. Total generation capacity'!$A$10:$A$90=$A70)*(('W21. Total generation capacity'!$C$10:$C$90=J$60)+('W21. Total generation capacity'!$C$10:$C$90=J$61))*('W21. Total generation capacity'!$E$9:$Q$9=J$62),'W21. Total generation capacity'!$E$10:$Q$90)))</f>
        <v>8.0185812353464989</v>
      </c>
    </row>
    <row r="71" spans="1:10" x14ac:dyDescent="0.3">
      <c r="A71" s="3" t="s">
        <v>383</v>
      </c>
      <c r="B71" s="3" t="s">
        <v>431</v>
      </c>
      <c r="C71" s="34">
        <f t="array" ref="C71">IF(SUM(IF(('W21. Total generation capacity'!$A$10:$A$90=$A71)*(('W21. Total generation capacity'!$C$10:$C$90=C$60)+('W21. Total generation capacity'!$C$10:$C$90=C$61))*('W21. Total generation capacity'!$E$9:$Q$9=C$62),'W21. Total generation capacity'!$E$10:$Q$90))=0,"",SUM(IF(('W21. Total generation capacity'!$A$10:$A$90=$A71)*(('W21. Total generation capacity'!$C$10:$C$90=C$60)+('W21. Total generation capacity'!$C$10:$C$90=C$61))*('W21. Total generation capacity'!$E$9:$Q$9=C$62),'W21. Total generation capacity'!$E$10:$Q$90)))</f>
        <v>0.53499716743515391</v>
      </c>
      <c r="D71" s="34" t="str">
        <f t="array" ref="D71">IF(SUM(IF(('W21. Total generation capacity'!$A$10:$A$90=$A71)*(('W21. Total generation capacity'!$C$10:$C$90=D$60)+('W21. Total generation capacity'!$C$10:$C$90=D$61))*('W21. Total generation capacity'!$E$9:$Q$9=D$62),'W21. Total generation capacity'!$E$10:$Q$90))=0,"",SUM(IF(('W21. Total generation capacity'!$A$10:$A$90=$A71)*(('W21. Total generation capacity'!$C$10:$C$90=D$60)+('W21. Total generation capacity'!$C$10:$C$90=D$61))*('W21. Total generation capacity'!$E$9:$Q$9=D$62),'W21. Total generation capacity'!$E$10:$Q$90)))</f>
        <v/>
      </c>
      <c r="E71" s="34" t="str">
        <f t="array" ref="E71">IF(SUM(IF(('W21. Total generation capacity'!$A$10:$A$90=$A71)*(('W21. Total generation capacity'!$C$10:$C$90=E$60)+('W21. Total generation capacity'!$C$10:$C$90=E$61))*('W21. Total generation capacity'!$E$9:$Q$9=E$62),'W21. Total generation capacity'!$E$10:$Q$90))=0,"",SUM(IF(('W21. Total generation capacity'!$A$10:$A$90=$A71)*(('W21. Total generation capacity'!$C$10:$C$90=E$60)+('W21. Total generation capacity'!$C$10:$C$90=E$61))*('W21. Total generation capacity'!$E$9:$Q$9=E$62),'W21. Total generation capacity'!$E$10:$Q$90)))</f>
        <v/>
      </c>
      <c r="F71" s="34" t="str">
        <f t="array" ref="F71">IF(SUM(IF(('W21. Total generation capacity'!$A$10:$A$90=$A71)*(('W21. Total generation capacity'!$C$10:$C$90=F$60)+('W21. Total generation capacity'!$C$10:$C$90=F$61))*('W21. Total generation capacity'!$E$9:$Q$9=F$62),'W21. Total generation capacity'!$E$10:$Q$90))=0,"",SUM(IF(('W21. Total generation capacity'!$A$10:$A$90=$A71)*(('W21. Total generation capacity'!$C$10:$C$90=F$60)+('W21. Total generation capacity'!$C$10:$C$90=F$61))*('W21. Total generation capacity'!$E$9:$Q$9=F$62),'W21. Total generation capacity'!$E$10:$Q$90)))</f>
        <v/>
      </c>
      <c r="G71" s="34">
        <f t="array" ref="G71">IF(SUM(IF(('W21. Total generation capacity'!$A$10:$A$90=$A71)*(('W21. Total generation capacity'!$C$10:$C$90=G$60)+('W21. Total generation capacity'!$C$10:$C$90=G$61))*('W21. Total generation capacity'!$E$9:$Q$9=G$62),'W21. Total generation capacity'!$E$10:$Q$90))=0,"",SUM(IF(('W21. Total generation capacity'!$A$10:$A$90=$A71)*(('W21. Total generation capacity'!$C$10:$C$90=G$60)+('W21. Total generation capacity'!$C$10:$C$90=G$61))*('W21. Total generation capacity'!$E$9:$Q$9=G$62),'W21. Total generation capacity'!$E$10:$Q$90)))</f>
        <v>1.3705694837765252</v>
      </c>
      <c r="H71" s="34">
        <f t="array" ref="H71">IF(SUM(IF(('W21. Total generation capacity'!$A$10:$A$90=$A71)*(('W21. Total generation capacity'!$C$10:$C$90=H$60)+('W21. Total generation capacity'!$C$10:$C$90=H$61))*('W21. Total generation capacity'!$E$9:$Q$9=H$62),'W21. Total generation capacity'!$E$10:$Q$90))=0,"",SUM(IF(('W21. Total generation capacity'!$A$10:$A$90=$A71)*(('W21. Total generation capacity'!$C$10:$C$90=H$60)+('W21. Total generation capacity'!$C$10:$C$90=H$61))*('W21. Total generation capacity'!$E$9:$Q$9=H$62),'W21. Total generation capacity'!$E$10:$Q$90)))</f>
        <v>3.1466935960269016</v>
      </c>
      <c r="I71" s="34">
        <f t="array" ref="I71">IF(SUM(IF(('W21. Total generation capacity'!$A$10:$A$90=$A71)*(('W21. Total generation capacity'!$C$10:$C$90=I$60)+('W21. Total generation capacity'!$C$10:$C$90=I$61))*('W21. Total generation capacity'!$E$9:$Q$9=I$62),'W21. Total generation capacity'!$E$10:$Q$90))=0,"",SUM(IF(('W21. Total generation capacity'!$A$10:$A$90=$A71)*(('W21. Total generation capacity'!$C$10:$C$90=I$60)+('W21. Total generation capacity'!$C$10:$C$90=I$61))*('W21. Total generation capacity'!$E$9:$Q$9=I$62),'W21. Total generation capacity'!$E$10:$Q$90)))</f>
        <v>5.7992206537444204</v>
      </c>
      <c r="J71" s="34">
        <f t="array" ref="J71">IF(SUM(IF(('W21. Total generation capacity'!$A$10:$A$90=$A71)*(('W21. Total generation capacity'!$C$10:$C$90=J$60)+('W21. Total generation capacity'!$C$10:$C$90=J$61))*('W21. Total generation capacity'!$E$9:$Q$9=J$62),'W21. Total generation capacity'!$E$10:$Q$90))=0,"",SUM(IF(('W21. Total generation capacity'!$A$10:$A$90=$A71)*(('W21. Total generation capacity'!$C$10:$C$90=J$60)+('W21. Total generation capacity'!$C$10:$C$90=J$61))*('W21. Total generation capacity'!$E$9:$Q$9=J$62),'W21. Total generation capacity'!$E$10:$Q$90)))</f>
        <v>8.836969484300857</v>
      </c>
    </row>
  </sheetData>
  <conditionalFormatting sqref="A1:XFD17 A19:XFD1048576 B18:XFD18">
    <cfRule type="expression" dxfId="174" priority="2">
      <formula>_xlfn.ISFORMULA(A1)</formula>
    </cfRule>
  </conditionalFormatting>
  <conditionalFormatting sqref="A18">
    <cfRule type="expression" dxfId="173" priority="1">
      <formula>_xlfn.ISFORMULA(A18)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5E94E-345D-48D1-BBC6-06B7034AA43A}">
  <sheetPr>
    <tabColor theme="4" tint="0.499984740745262"/>
    <pageSetUpPr autoPageBreaks="0"/>
  </sheetPr>
  <dimension ref="A1:AV157"/>
  <sheetViews>
    <sheetView zoomScale="55" zoomScaleNormal="55" workbookViewId="0">
      <selection activeCell="A13" sqref="A13"/>
    </sheetView>
  </sheetViews>
  <sheetFormatPr defaultColWidth="8.5546875" defaultRowHeight="14.4" x14ac:dyDescent="0.3"/>
  <cols>
    <col min="1" max="48" width="15.77734375" style="3" customWidth="1"/>
    <col min="49" max="16384" width="8.5546875" style="3"/>
  </cols>
  <sheetData>
    <row r="1" spans="1:23" s="19" customFormat="1" ht="49.5" customHeight="1" x14ac:dyDescent="0.3">
      <c r="A1" s="19" t="s">
        <v>467</v>
      </c>
    </row>
    <row r="2" spans="1:23" s="20" customFormat="1" x14ac:dyDescent="0.3">
      <c r="A2" s="20" t="s">
        <v>5</v>
      </c>
      <c r="B2" s="20" t="s">
        <v>468</v>
      </c>
    </row>
    <row r="3" spans="1:23" s="20" customFormat="1" x14ac:dyDescent="0.3">
      <c r="A3" s="20" t="s">
        <v>6</v>
      </c>
      <c r="B3" s="20" t="s">
        <v>469</v>
      </c>
    </row>
    <row r="4" spans="1:23" s="20" customFormat="1" x14ac:dyDescent="0.3">
      <c r="A4" s="20" t="s">
        <v>4</v>
      </c>
      <c r="B4" s="20" t="s">
        <v>470</v>
      </c>
      <c r="O4" s="21"/>
      <c r="P4" s="22"/>
    </row>
    <row r="5" spans="1:23" s="20" customFormat="1" x14ac:dyDescent="0.3">
      <c r="A5" s="20" t="s">
        <v>351</v>
      </c>
      <c r="B5" s="23">
        <f>1/1000</f>
        <v>1E-3</v>
      </c>
      <c r="C5" s="20" t="s">
        <v>427</v>
      </c>
      <c r="O5" s="21"/>
      <c r="P5" s="22"/>
    </row>
    <row r="6" spans="1:23" s="20" customFormat="1" x14ac:dyDescent="0.3">
      <c r="A6" s="20" t="s">
        <v>355</v>
      </c>
      <c r="B6" s="23" t="s">
        <v>356</v>
      </c>
      <c r="O6" s="21"/>
      <c r="P6" s="22"/>
    </row>
    <row r="7" spans="1:23" s="20" customFormat="1" x14ac:dyDescent="0.3">
      <c r="B7" s="23" t="s">
        <v>995</v>
      </c>
      <c r="O7" s="21"/>
      <c r="P7" s="22"/>
    </row>
    <row r="8" spans="1:23" ht="15" thickBot="1" x14ac:dyDescent="0.35"/>
    <row r="9" spans="1:23" s="25" customFormat="1" ht="15" thickBot="1" x14ac:dyDescent="0.35">
      <c r="A9" s="24" t="s">
        <v>358</v>
      </c>
    </row>
    <row r="10" spans="1:23" x14ac:dyDescent="0.3">
      <c r="E10" s="26"/>
      <c r="F10" s="27"/>
      <c r="G10" s="27"/>
      <c r="H10" s="27"/>
      <c r="I10" s="27"/>
      <c r="J10" s="27"/>
    </row>
    <row r="11" spans="1:23" x14ac:dyDescent="0.3">
      <c r="A11" s="3" t="s">
        <v>8</v>
      </c>
      <c r="C11" s="3" t="s">
        <v>368</v>
      </c>
      <c r="D11" s="35" t="s">
        <v>368</v>
      </c>
      <c r="E11" s="3" t="s">
        <v>370</v>
      </c>
      <c r="F11" s="48" t="s">
        <v>372</v>
      </c>
      <c r="G11" s="3" t="s">
        <v>15</v>
      </c>
      <c r="H11" s="3" t="s">
        <v>26</v>
      </c>
      <c r="I11" s="3" t="s">
        <v>1026</v>
      </c>
      <c r="J11" s="3" t="s">
        <v>47</v>
      </c>
      <c r="K11" s="3" t="s">
        <v>49</v>
      </c>
      <c r="L11" s="3" t="s">
        <v>17</v>
      </c>
      <c r="M11" s="48" t="s">
        <v>32</v>
      </c>
      <c r="N11" s="35" t="s">
        <v>368</v>
      </c>
      <c r="O11" s="3" t="s">
        <v>370</v>
      </c>
      <c r="P11" s="48" t="s">
        <v>372</v>
      </c>
      <c r="Q11" s="3" t="s">
        <v>15</v>
      </c>
      <c r="R11" s="3" t="s">
        <v>26</v>
      </c>
      <c r="S11" s="3" t="s">
        <v>1026</v>
      </c>
      <c r="T11" s="3" t="s">
        <v>47</v>
      </c>
      <c r="U11" s="3" t="s">
        <v>49</v>
      </c>
      <c r="V11" s="3" t="s">
        <v>17</v>
      </c>
      <c r="W11" s="3" t="s">
        <v>32</v>
      </c>
    </row>
    <row r="12" spans="1:23" x14ac:dyDescent="0.3">
      <c r="A12" s="3" t="s">
        <v>86</v>
      </c>
      <c r="C12" s="3" t="str">
        <f>INDEX('R1. Scenario specifications'!$C$11:$C$60,MATCH(C$11,'R1. Scenario specifications'!$A$11:$A$60,0))</f>
        <v>Current Policies Scenario, World Energy Outlook 2018</v>
      </c>
      <c r="D12" s="35" t="str">
        <f>INDEX('R1. Scenario specifications'!$C$11:$C$60,MATCH(D$11,'R1. Scenario specifications'!$A$11:$A$60,0))</f>
        <v>Current Policies Scenario, World Energy Outlook 2018</v>
      </c>
      <c r="E12" s="3" t="str">
        <f>INDEX('R1. Scenario specifications'!$C$11:$C$60,MATCH(E$11,'R1. Scenario specifications'!$A$11:$A$60,0))</f>
        <v>New Policies Scenario, World Energy Outlook 2018</v>
      </c>
      <c r="F12" s="48" t="str">
        <f>INDEX('R1. Scenario specifications'!$C$11:$C$60,MATCH(F$11,'R1. Scenario specifications'!$A$11:$A$60,0))</f>
        <v>Sustainable Development Scenario, World Energy Outlook 2018</v>
      </c>
      <c r="G12" s="3" t="str">
        <f>INDEX('R1. Scenario specifications'!$C$11:$C$60,MATCH(G$11,'R1. Scenario specifications'!$A$11:$A$60,0))</f>
        <v>Current 2DS, 2020 start, 'Expect the Unexpected'</v>
      </c>
      <c r="H12" s="3" t="str">
        <f>INDEX('R1. Scenario specifications'!$C$11:$C$60,MATCH(H$11,'R1. Scenario specifications'!$A$11:$A$60,0))</f>
        <v>Current 2DS, 2030 start, 'Expect the Unexpected'</v>
      </c>
      <c r="I12" s="3" t="str">
        <f>INDEX('R1. Scenario specifications'!$C$11:$C$60,MATCH(I$11,'R1. Scenario specifications'!$A$11:$A$60,0))</f>
        <v>Current 2DS, 2020 start, 'Expect the unexpceted' but with expensive renewables (cheap CCS)</v>
      </c>
      <c r="J12" s="3" t="str">
        <f>INDEX('R1. Scenario specifications'!$C$11:$C$60,MATCH(J$11,'R1. Scenario specifications'!$A$11:$A$60,0))</f>
        <v>Current 2DS, 2020 start, 'Expect the Unexpected' but with cheap EVs</v>
      </c>
      <c r="K12" s="3" t="str">
        <f>INDEX('R1. Scenario specifications'!$C$11:$C$60,MATCH(K$11,'R1. Scenario specifications'!$A$11:$A$60,0))</f>
        <v>Current 2DS, 2020 start, 'Expect the Unexpected' but with cheap energy efficiency</v>
      </c>
      <c r="L12" s="3" t="str">
        <f>INDEX('R1. Scenario specifications'!$C$11:$C$60,MATCH(L$11,'R1. Scenario specifications'!$A$11:$A$60,0))</f>
        <v>Current 2DS, 2020 start, 'Expect the Unexpected' but with most conservative biomass CCS / NET technology cost assumptions</v>
      </c>
      <c r="M12" s="48" t="str">
        <f>INDEX('R1. Scenario specifications'!$C$11:$C$60,MATCH(M$11,'R1. Scenario specifications'!$A$11:$A$60,0))</f>
        <v>Current 1.75DS, 2020 start, 'Expect the Unexpected'</v>
      </c>
      <c r="N12" s="35" t="str">
        <f>INDEX('R1. Scenario specifications'!$C$11:$C$60,MATCH(N$11,'R1. Scenario specifications'!$A$11:$A$60,0))</f>
        <v>Current Policies Scenario, World Energy Outlook 2018</v>
      </c>
      <c r="O12" s="3" t="str">
        <f>INDEX('R1. Scenario specifications'!$C$11:$C$60,MATCH(O$11,'R1. Scenario specifications'!$A$11:$A$60,0))</f>
        <v>New Policies Scenario, World Energy Outlook 2018</v>
      </c>
      <c r="P12" s="48" t="str">
        <f>INDEX('R1. Scenario specifications'!$C$11:$C$60,MATCH(P$11,'R1. Scenario specifications'!$A$11:$A$60,0))</f>
        <v>Sustainable Development Scenario, World Energy Outlook 2018</v>
      </c>
      <c r="Q12" s="3" t="str">
        <f>INDEX('R1. Scenario specifications'!$C$11:$C$60,MATCH(Q$11,'R1. Scenario specifications'!$A$11:$A$60,0))</f>
        <v>Current 2DS, 2020 start, 'Expect the Unexpected'</v>
      </c>
      <c r="R12" s="3" t="str">
        <f>INDEX('R1. Scenario specifications'!$C$11:$C$60,MATCH(R$11,'R1. Scenario specifications'!$A$11:$A$60,0))</f>
        <v>Current 2DS, 2030 start, 'Expect the Unexpected'</v>
      </c>
      <c r="S12" s="3" t="str">
        <f>INDEX('R1. Scenario specifications'!$C$11:$C$60,MATCH(S$11,'R1. Scenario specifications'!$A$11:$A$60,0))</f>
        <v>Current 2DS, 2020 start, 'Expect the unexpceted' but with expensive renewables (cheap CCS)</v>
      </c>
      <c r="T12" s="3" t="str">
        <f>INDEX('R1. Scenario specifications'!$C$11:$C$60,MATCH(T$11,'R1. Scenario specifications'!$A$11:$A$60,0))</f>
        <v>Current 2DS, 2020 start, 'Expect the Unexpected' but with cheap EVs</v>
      </c>
      <c r="U12" s="3" t="str">
        <f>INDEX('R1. Scenario specifications'!$C$11:$C$60,MATCH(U$11,'R1. Scenario specifications'!$A$11:$A$60,0))</f>
        <v>Current 2DS, 2020 start, 'Expect the Unexpected' but with cheap energy efficiency</v>
      </c>
      <c r="V12" s="3" t="str">
        <f>INDEX('R1. Scenario specifications'!$C$11:$C$60,MATCH(V$11,'R1. Scenario specifications'!$A$11:$A$60,0))</f>
        <v>Current 2DS, 2020 start, 'Expect the Unexpected' but with most conservative biomass CCS / NET technology cost assumptions</v>
      </c>
      <c r="W12" s="3" t="str">
        <f>INDEX('R1. Scenario specifications'!$C$11:$C$60,MATCH(W$11,'R1. Scenario specifications'!$A$11:$A$60,0))</f>
        <v>Current 1.75DS, 2020 start, 'Expect the Unexpected'</v>
      </c>
    </row>
    <row r="13" spans="1:23" x14ac:dyDescent="0.3">
      <c r="A13" s="3" t="s">
        <v>192</v>
      </c>
      <c r="C13" s="3">
        <v>2017</v>
      </c>
      <c r="D13" s="35">
        <v>2030</v>
      </c>
      <c r="E13" s="3">
        <v>2030</v>
      </c>
      <c r="F13" s="48">
        <v>2030</v>
      </c>
      <c r="G13" s="3">
        <v>2030</v>
      </c>
      <c r="H13" s="3">
        <v>2030</v>
      </c>
      <c r="I13" s="3">
        <v>2030</v>
      </c>
      <c r="J13" s="3">
        <v>2030</v>
      </c>
      <c r="K13" s="3">
        <v>2030</v>
      </c>
      <c r="L13" s="3">
        <v>2030</v>
      </c>
      <c r="M13" s="48">
        <v>2030</v>
      </c>
      <c r="N13" s="35">
        <v>2050</v>
      </c>
      <c r="O13" s="3">
        <v>2050</v>
      </c>
      <c r="P13" s="48">
        <v>2050</v>
      </c>
      <c r="Q13" s="3">
        <v>2050</v>
      </c>
      <c r="R13" s="3">
        <v>2050</v>
      </c>
      <c r="S13" s="3">
        <v>2050</v>
      </c>
      <c r="T13" s="3">
        <v>2050</v>
      </c>
      <c r="U13" s="3">
        <v>2050</v>
      </c>
      <c r="V13" s="3">
        <v>2050</v>
      </c>
      <c r="W13" s="3">
        <v>2050</v>
      </c>
    </row>
    <row r="14" spans="1:23" x14ac:dyDescent="0.3">
      <c r="C14" s="3">
        <v>2017</v>
      </c>
      <c r="D14" s="787">
        <v>2030</v>
      </c>
      <c r="E14" s="786"/>
      <c r="F14" s="786"/>
      <c r="G14" s="786"/>
      <c r="H14" s="786"/>
      <c r="I14" s="786"/>
      <c r="J14" s="786"/>
      <c r="K14" s="786"/>
      <c r="L14" s="786"/>
      <c r="M14" s="788"/>
      <c r="N14" s="787">
        <v>2050</v>
      </c>
      <c r="O14" s="786"/>
      <c r="P14" s="786"/>
      <c r="Q14" s="786"/>
      <c r="R14" s="786"/>
      <c r="S14" s="786"/>
      <c r="T14" s="786"/>
      <c r="U14" s="786"/>
      <c r="V14" s="786"/>
      <c r="W14" s="786"/>
    </row>
    <row r="15" spans="1:23" x14ac:dyDescent="0.3">
      <c r="A15" s="3" t="s">
        <v>252</v>
      </c>
      <c r="B15" s="3" t="s">
        <v>996</v>
      </c>
      <c r="C15" s="3" t="s">
        <v>369</v>
      </c>
      <c r="D15" s="35" t="s">
        <v>369</v>
      </c>
      <c r="E15" s="3" t="s">
        <v>371</v>
      </c>
      <c r="F15" s="48" t="s">
        <v>373</v>
      </c>
      <c r="G15" s="3" t="s">
        <v>361</v>
      </c>
      <c r="H15" s="3" t="s">
        <v>362</v>
      </c>
      <c r="I15" s="3" t="s">
        <v>365</v>
      </c>
      <c r="J15" s="3" t="s">
        <v>366</v>
      </c>
      <c r="K15" s="3" t="s">
        <v>367</v>
      </c>
      <c r="L15" s="3" t="s">
        <v>364</v>
      </c>
      <c r="M15" s="48" t="s">
        <v>363</v>
      </c>
      <c r="N15" s="35" t="s">
        <v>369</v>
      </c>
      <c r="O15" s="3" t="s">
        <v>371</v>
      </c>
      <c r="P15" s="48" t="s">
        <v>373</v>
      </c>
      <c r="Q15" s="3" t="s">
        <v>361</v>
      </c>
      <c r="R15" s="3" t="s">
        <v>362</v>
      </c>
      <c r="S15" s="3" t="s">
        <v>365</v>
      </c>
      <c r="T15" s="3" t="s">
        <v>366</v>
      </c>
      <c r="U15" s="3" t="s">
        <v>367</v>
      </c>
      <c r="V15" s="3" t="s">
        <v>364</v>
      </c>
      <c r="W15" s="3" t="s">
        <v>363</v>
      </c>
    </row>
    <row r="16" spans="1:23" x14ac:dyDescent="0.3">
      <c r="A16" s="3" t="s">
        <v>253</v>
      </c>
      <c r="B16" s="3" t="s">
        <v>394</v>
      </c>
      <c r="C16" s="14">
        <f t="array" ref="C16">INDEX($C$77:$J$157,MATCH(C$11&amp;$A16,$A$77:$A$157&amp;$B$77:$B$157,0),MATCH(C$13,$C$76:$J$76,0))</f>
        <v>0.13600000000000001</v>
      </c>
      <c r="D16" s="36">
        <f t="array" ref="D16">INDEX($C$77:$J$157,MATCH(D$11&amp;$A16,$A$77:$A$157&amp;$B$77:$B$157,0),MATCH(D$13,$C$76:$J$76,0))</f>
        <v>0.20300000000000001</v>
      </c>
      <c r="E16" s="14">
        <f t="array" ref="E16">INDEX($C$77:$J$157,MATCH(E$11&amp;$A16,$A$77:$A$157&amp;$B$77:$B$157,0),MATCH(E$13,$C$76:$J$76,0))</f>
        <v>0.216</v>
      </c>
      <c r="F16" s="50">
        <f t="array" ref="F16">INDEX($C$77:$J$157,MATCH(F$11&amp;$A16,$A$77:$A$157&amp;$B$77:$B$157,0),MATCH(F$13,$C$76:$J$76,0))</f>
        <v>0.26600000000000001</v>
      </c>
      <c r="G16" s="44">
        <f t="array" ref="G16">SUM(IF(($B$60:$B$72=$A16)*($C$59:$AV$59=G$11)*($C$58:$AV$58=G$13),$C$60:$AV$72))*$B$5+IF($B16="Renewables",INDEX($C$77:$J$157,MATCH("NPS WEO 18"&amp;$A16,$A$77:$A$157&amp;$B$77:$B$157,0),MATCH(G$13,$C$76:$J$76,0))-SUM(IF(($B$60:$B$72=$A16)*($C$59:$AV$59="Vivid_0B")*($C$58:$AV$58=G$13),$C$60:$AV$72))*$B$5,0)</f>
        <v>0.27706486752314208</v>
      </c>
      <c r="H16" s="44">
        <f t="shared" ref="H16:H24" si="0">$E16</f>
        <v>0.216</v>
      </c>
      <c r="I16" s="44">
        <f t="array" ref="I16">SUM(IF(($B$60:$B$72=$A16)*($C$59:$AV$59=I$11)*($C$58:$AV$58=I$13),$C$60:$AV$72))*$B$5+IF($B16="Renewables",INDEX($C$77:$J$157,MATCH("NPS WEO 18"&amp;$A16,$A$77:$A$157&amp;$B$77:$B$157,0),MATCH(I$13,$C$76:$J$76,0))-SUM(IF(($B$60:$B$72=$A16)*($C$59:$AV$59="Vivid_0B")*($C$58:$AV$58=I$13),$C$60:$AV$72))*$B$5,0)</f>
        <v>0.31625604767925031</v>
      </c>
      <c r="J16" s="44">
        <f t="array" ref="J16">SUM(IF(($B$60:$B$72=$A16)*($C$59:$AV$59=J$11)*($C$58:$AV$58=J$13),$C$60:$AV$72))*$B$5+IF($B16="Renewables",INDEX($C$77:$J$157,MATCH("NPS WEO 18"&amp;$A16,$A$77:$A$157&amp;$B$77:$B$157,0),MATCH(J$13,$C$76:$J$76,0))-SUM(IF(($B$60:$B$72=$A16)*($C$59:$AV$59="Vivid_0B")*($C$58:$AV$58=J$13),$C$60:$AV$72))*$B$5,0)</f>
        <v>0.26895050372237372</v>
      </c>
      <c r="K16" s="44">
        <f t="array" ref="K16">SUM(IF(($B$60:$B$72=$A16)*($C$59:$AV$59=K$11)*($C$58:$AV$58=K$13),$C$60:$AV$72))*$B$5+IF($B16="Renewables",INDEX($C$77:$J$157,MATCH("NPS WEO 18"&amp;$A16,$A$77:$A$157&amp;$B$77:$B$157,0),MATCH(K$13,$C$76:$J$76,0))-SUM(IF(($B$60:$B$72=$A16)*($C$59:$AV$59="Vivid_0B")*($C$58:$AV$58=K$13),$C$60:$AV$72))*$B$5,0)</f>
        <v>0.25211867997200355</v>
      </c>
      <c r="L16" s="44">
        <f t="array" ref="L16">SUM(IF(($B$60:$B$72=$A16)*($C$59:$AV$59=L$11)*($C$58:$AV$58=L$13),$C$60:$AV$72))*$B$5+IF($B16="Renewables",INDEX($C$77:$J$157,MATCH("NPS WEO 18"&amp;$A16,$A$77:$A$157&amp;$B$77:$B$157,0),MATCH(L$13,$C$76:$J$76,0))-SUM(IF(($B$60:$B$72=$A16)*($C$59:$AV$59="Vivid_0B")*($C$58:$AV$58=L$13),$C$60:$AV$72))*$B$5,0)</f>
        <v>0.26919505094344309</v>
      </c>
      <c r="M16" s="44">
        <f t="array" ref="M16">SUM(IF(($B$60:$B$72=$A16)*($C$59:$AV$59=M$11)*($C$58:$AV$58=M$13),$C$60:$AV$72))*$B$5+IF($B16="Renewables",INDEX($C$77:$J$157,MATCH("NPS WEO 18"&amp;$A16,$A$77:$A$157&amp;$B$77:$B$157,0),MATCH(M$13,$C$76:$J$76,0))-SUM(IF(($B$60:$B$72=$A16)*($C$59:$AV$59="Vivid_0B")*($C$58:$AV$58=M$13),$C$60:$AV$72))*$B$5,0)</f>
        <v>0.29940371149766076</v>
      </c>
      <c r="N16" s="36">
        <f t="array" ref="N16">INDEX($C$77:$J$157,MATCH(N$11&amp;$A16,$A$77:$A$157&amp;$B$77:$B$157,0),MATCH(N$13,$C$76:$J$76,0))</f>
        <v>0.27900000000000003</v>
      </c>
      <c r="O16" s="14">
        <f t="array" ref="O16">INDEX($C$77:$J$157,MATCH(O$11&amp;$A16,$A$77:$A$157&amp;$B$77:$B$157,0),MATCH(O$13,$C$76:$J$76,0))</f>
        <v>0.34</v>
      </c>
      <c r="P16" s="50">
        <f t="array" ref="P16">INDEX($C$77:$J$157,MATCH(P$11&amp;$A16,$A$77:$A$157&amp;$B$77:$B$157,0),MATCH(P$13,$C$76:$J$76,0))</f>
        <v>0.49099999999999999</v>
      </c>
      <c r="Q16" s="14">
        <f t="array" ref="Q16">SUM(IF(($B$60:$B$72=$A16)*($C$59:$AV$59=Q$11)*($C$58:$AV$58=Q$13),$C$60:$AV$72))*$B$5</f>
        <v>0.77079788049222964</v>
      </c>
      <c r="R16" s="14">
        <f t="array" ref="R16">SUM(IF(($B$60:$B$72=$A16)*($C$59:$AV$59=R$11)*($C$58:$AV$58=R$13),$C$60:$AV$72))*$B$5</f>
        <v>0.6759732363107237</v>
      </c>
      <c r="S16" s="14">
        <f t="array" ref="S16">SUM(IF(($B$60:$B$72=$A16)*($C$59:$AV$59=S$11)*($C$58:$AV$58=S$13),$C$60:$AV$72))*$B$5</f>
        <v>0.92709709279898356</v>
      </c>
      <c r="T16" s="14">
        <f t="array" ref="T16">SUM(IF(($B$60:$B$72=$A16)*($C$59:$AV$59=T$11)*($C$58:$AV$58=T$13),$C$60:$AV$72))*$B$5</f>
        <v>0.78061604304540866</v>
      </c>
      <c r="U16" s="14">
        <f t="array" ref="U16">SUM(IF(($B$60:$B$72=$A16)*($C$59:$AV$59=U$11)*($C$58:$AV$58=U$13),$C$60:$AV$72))*$B$5</f>
        <v>0.69911391770075348</v>
      </c>
      <c r="V16" s="14">
        <f t="array" ref="V16">SUM(IF(($B$60:$B$72=$A16)*($C$59:$AV$59=V$11)*($C$58:$AV$58=V$13),$C$60:$AV$72))*$B$5</f>
        <v>0.74837006018859464</v>
      </c>
      <c r="W16" s="14">
        <f t="array" ref="W16">SUM(IF(($B$60:$B$72=$A16)*($C$59:$AV$59=W$11)*($C$58:$AV$58=W$13),$C$60:$AV$72))*$B$5</f>
        <v>0.87485907761567006</v>
      </c>
    </row>
    <row r="17" spans="1:23" x14ac:dyDescent="0.3">
      <c r="A17" s="3" t="s">
        <v>254</v>
      </c>
      <c r="C17" s="14">
        <f t="array" ref="C17">INDEX($C$77:$J$157,MATCH(C$11&amp;$A17,$A$77:$A$157&amp;$B$77:$B$157,0),MATCH(C$13,$C$76:$J$76,0))</f>
        <v>2.0670000000000002</v>
      </c>
      <c r="D17" s="36">
        <f t="array" ref="D17">INDEX($C$77:$J$157,MATCH(D$11&amp;$A17,$A$77:$A$157&amp;$B$77:$B$157,0),MATCH(D$13,$C$76:$J$76,0))</f>
        <v>2.3479999999999999</v>
      </c>
      <c r="E17" s="14">
        <f t="array" ref="E17">INDEX($C$77:$J$157,MATCH(E$11&amp;$A17,$A$77:$A$157&amp;$B$77:$B$157,0),MATCH(E$13,$C$76:$J$76,0))</f>
        <v>2.1429999999999998</v>
      </c>
      <c r="F17" s="50">
        <f t="array" ref="F17">INDEX($C$77:$J$157,MATCH(F$11&amp;$A17,$A$77:$A$157&amp;$B$77:$B$157,0),MATCH(F$13,$C$76:$J$76,0))</f>
        <v>1.633</v>
      </c>
      <c r="G17" s="44">
        <f t="array" ref="G17">SUM(IF(($B$60:$B$72=$A17)*($C$59:$AV$59=G$11)*($C$58:$AV$58=G$13),$C$60:$AV$72))*$B$5+IF($B17="Renewables",INDEX($C$77:$J$157,MATCH("NPS WEO 18"&amp;$A17,$A$77:$A$157&amp;$B$77:$B$157,0),MATCH(G$13,$C$76:$J$76,0))-SUM(IF(($B$60:$B$72=$A17)*($C$59:$AV$59="Vivid_0B")*($C$58:$AV$58=G$13),$C$60:$AV$72))*$B$5,0)</f>
        <v>1.4424317981122206</v>
      </c>
      <c r="H17" s="44">
        <f t="shared" si="0"/>
        <v>2.1429999999999998</v>
      </c>
      <c r="I17" s="44">
        <f t="array" ref="I17">SUM(IF(($B$60:$B$72=$A17)*($C$59:$AV$59=I$11)*($C$58:$AV$58=I$13),$C$60:$AV$72))*$B$5+IF($B17="Renewables",INDEX($C$77:$J$157,MATCH("NPS WEO 18"&amp;$A17,$A$77:$A$157&amp;$B$77:$B$157,0),MATCH(I$13,$C$76:$J$76,0))-SUM(IF(($B$60:$B$72=$A17)*($C$59:$AV$59="Vivid_0B")*($C$58:$AV$58=I$13),$C$60:$AV$72))*$B$5,0)</f>
        <v>1.4424317981122206</v>
      </c>
      <c r="J17" s="44">
        <f t="array" ref="J17">SUM(IF(($B$60:$B$72=$A17)*($C$59:$AV$59=J$11)*($C$58:$AV$58=J$13),$C$60:$AV$72))*$B$5+IF($B17="Renewables",INDEX($C$77:$J$157,MATCH("NPS WEO 18"&amp;$A17,$A$77:$A$157&amp;$B$77:$B$157,0),MATCH(J$13,$C$76:$J$76,0))-SUM(IF(($B$60:$B$72=$A17)*($C$59:$AV$59="Vivid_0B")*($C$58:$AV$58=J$13),$C$60:$AV$72))*$B$5,0)</f>
        <v>1.4424317981122206</v>
      </c>
      <c r="K17" s="44">
        <f t="array" ref="K17">SUM(IF(($B$60:$B$72=$A17)*($C$59:$AV$59=K$11)*($C$58:$AV$58=K$13),$C$60:$AV$72))*$B$5+IF($B17="Renewables",INDEX($C$77:$J$157,MATCH("NPS WEO 18"&amp;$A17,$A$77:$A$157&amp;$B$77:$B$157,0),MATCH(K$13,$C$76:$J$76,0))-SUM(IF(($B$60:$B$72=$A17)*($C$59:$AV$59="Vivid_0B")*($C$58:$AV$58=K$13),$C$60:$AV$72))*$B$5,0)</f>
        <v>1.4424317981122206</v>
      </c>
      <c r="L17" s="44">
        <f t="array" ref="L17">SUM(IF(($B$60:$B$72=$A17)*($C$59:$AV$59=L$11)*($C$58:$AV$58=L$13),$C$60:$AV$72))*$B$5+IF($B17="Renewables",INDEX($C$77:$J$157,MATCH("NPS WEO 18"&amp;$A17,$A$77:$A$157&amp;$B$77:$B$157,0),MATCH(L$13,$C$76:$J$76,0))-SUM(IF(($B$60:$B$72=$A17)*($C$59:$AV$59="Vivid_0B")*($C$58:$AV$58=L$13),$C$60:$AV$72))*$B$5,0)</f>
        <v>1.4424317981122206</v>
      </c>
      <c r="M17" s="44">
        <f t="array" ref="M17">SUM(IF(($B$60:$B$72=$A17)*($C$59:$AV$59=M$11)*($C$58:$AV$58=M$13),$C$60:$AV$72))*$B$5+IF($B17="Renewables",INDEX($C$77:$J$157,MATCH("NPS WEO 18"&amp;$A17,$A$77:$A$157&amp;$B$77:$B$157,0),MATCH(M$13,$C$76:$J$76,0))-SUM(IF(($B$60:$B$72=$A17)*($C$59:$AV$59="Vivid_0B")*($C$58:$AV$58=M$13),$C$60:$AV$72))*$B$5,0)</f>
        <v>1.4424317981122206</v>
      </c>
      <c r="N17" s="36">
        <f t="array" ref="N17">INDEX($C$77:$J$157,MATCH(N$11&amp;$A17,$A$77:$A$157&amp;$B$77:$B$157,0),MATCH(N$13,$C$76:$J$76,0))</f>
        <v>3.0430000000000001</v>
      </c>
      <c r="O17" s="14">
        <f t="array" ref="O17">INDEX($C$77:$J$157,MATCH(O$11&amp;$A17,$A$77:$A$157&amp;$B$77:$B$157,0),MATCH(O$13,$C$76:$J$76,0))</f>
        <v>2.3460000000000001</v>
      </c>
      <c r="P17" s="50">
        <f t="array" ref="P17">INDEX($C$77:$J$157,MATCH(P$11&amp;$A17,$A$77:$A$157&amp;$B$77:$B$157,0),MATCH(P$13,$C$76:$J$76,0))</f>
        <v>0.67900000000000005</v>
      </c>
      <c r="Q17" s="14">
        <f t="array" ref="Q17">SUM(IF(($B$60:$B$72=$A17)*($C$59:$AV$59=Q$11)*($C$58:$AV$58=Q$13),$C$60:$AV$72))*$B$5</f>
        <v>0</v>
      </c>
      <c r="R17" s="14">
        <f t="array" ref="R17">SUM(IF(($B$60:$B$72=$A17)*($C$59:$AV$59=R$11)*($C$58:$AV$58=R$13),$C$60:$AV$72))*$B$5</f>
        <v>1.6396787724521602E-2</v>
      </c>
      <c r="S17" s="14">
        <f t="array" ref="S17">SUM(IF(($B$60:$B$72=$A17)*($C$59:$AV$59=S$11)*($C$58:$AV$58=S$13),$C$60:$AV$72))*$B$5</f>
        <v>0</v>
      </c>
      <c r="T17" s="14">
        <f t="array" ref="T17">SUM(IF(($B$60:$B$72=$A17)*($C$59:$AV$59=T$11)*($C$58:$AV$58=T$13),$C$60:$AV$72))*$B$5</f>
        <v>0</v>
      </c>
      <c r="U17" s="14">
        <f t="array" ref="U17">SUM(IF(($B$60:$B$72=$A17)*($C$59:$AV$59=U$11)*($C$58:$AV$58=U$13),$C$60:$AV$72))*$B$5</f>
        <v>0</v>
      </c>
      <c r="V17" s="14">
        <f t="array" ref="V17">SUM(IF(($B$60:$B$72=$A17)*($C$59:$AV$59=V$11)*($C$58:$AV$58=V$13),$C$60:$AV$72))*$B$5</f>
        <v>0</v>
      </c>
      <c r="W17" s="14">
        <f t="array" ref="W17">SUM(IF(($B$60:$B$72=$A17)*($C$59:$AV$59=W$11)*($C$58:$AV$58=W$13),$C$60:$AV$72))*$B$5</f>
        <v>0</v>
      </c>
    </row>
    <row r="18" spans="1:23" x14ac:dyDescent="0.3">
      <c r="A18" s="3" t="s">
        <v>255</v>
      </c>
      <c r="C18" s="14">
        <f t="array" ref="C18">INDEX($C$77:$J$157,MATCH(C$11&amp;$A18,$A$77:$A$157&amp;$B$77:$B$157,0),MATCH(C$13,$C$76:$J$76,0))</f>
        <v>1.6950000000000001</v>
      </c>
      <c r="D18" s="36">
        <f t="array" ref="D18">INDEX($C$77:$J$157,MATCH(D$11&amp;$A18,$A$77:$A$157&amp;$B$77:$B$157,0),MATCH(D$13,$C$76:$J$76,0))</f>
        <v>2.415</v>
      </c>
      <c r="E18" s="14">
        <f t="array" ref="E18">INDEX($C$77:$J$157,MATCH(E$11&amp;$A18,$A$77:$A$157&amp;$B$77:$B$157,0),MATCH(E$13,$C$76:$J$76,0))</f>
        <v>2.3340000000000001</v>
      </c>
      <c r="F18" s="50">
        <f t="array" ref="F18">INDEX($C$77:$J$157,MATCH(F$11&amp;$A18,$A$77:$A$157&amp;$B$77:$B$157,0),MATCH(F$13,$C$76:$J$76,0))</f>
        <v>2.1030000000000002</v>
      </c>
      <c r="G18" s="44">
        <f t="array" ref="G18">SUM(IF(($B$60:$B$72=$A18)*($C$59:$AV$59=G$11)*($C$58:$AV$58=G$13),$C$60:$AV$72))*$B$5+IF($B18="Renewables",INDEX($C$77:$J$157,MATCH("NPS WEO 18"&amp;$A18,$A$77:$A$157&amp;$B$77:$B$157,0),MATCH(G$13,$C$76:$J$76,0))-SUM(IF(($B$60:$B$72=$A18)*($C$59:$AV$59="Vivid_0B")*($C$58:$AV$58=G$13),$C$60:$AV$72))*$B$5,0)</f>
        <v>2.0021660525758045</v>
      </c>
      <c r="H18" s="44">
        <f t="shared" si="0"/>
        <v>2.3340000000000001</v>
      </c>
      <c r="I18" s="44">
        <f t="array" ref="I18">SUM(IF(($B$60:$B$72=$A18)*($C$59:$AV$59=I$11)*($C$58:$AV$58=I$13),$C$60:$AV$72))*$B$5+IF($B18="Renewables",INDEX($C$77:$J$157,MATCH("NPS WEO 18"&amp;$A18,$A$77:$A$157&amp;$B$77:$B$157,0),MATCH(I$13,$C$76:$J$76,0))-SUM(IF(($B$60:$B$72=$A18)*($C$59:$AV$59="Vivid_0B")*($C$58:$AV$58=I$13),$C$60:$AV$72))*$B$5,0)</f>
        <v>2.0255793542048841</v>
      </c>
      <c r="J18" s="44">
        <f t="array" ref="J18">SUM(IF(($B$60:$B$72=$A18)*($C$59:$AV$59=J$11)*($C$58:$AV$58=J$13),$C$60:$AV$72))*$B$5+IF($B18="Renewables",INDEX($C$77:$J$157,MATCH("NPS WEO 18"&amp;$A18,$A$77:$A$157&amp;$B$77:$B$157,0),MATCH(J$13,$C$76:$J$76,0))-SUM(IF(($B$60:$B$72=$A18)*($C$59:$AV$59="Vivid_0B")*($C$58:$AV$58=J$13),$C$60:$AV$72))*$B$5,0)</f>
        <v>1.9768103500106908</v>
      </c>
      <c r="K18" s="44">
        <f t="array" ref="K18">SUM(IF(($B$60:$B$72=$A18)*($C$59:$AV$59=K$11)*($C$58:$AV$58=K$13),$C$60:$AV$72))*$B$5+IF($B18="Renewables",INDEX($C$77:$J$157,MATCH("NPS WEO 18"&amp;$A18,$A$77:$A$157&amp;$B$77:$B$157,0),MATCH(K$13,$C$76:$J$76,0))-SUM(IF(($B$60:$B$72=$A18)*($C$59:$AV$59="Vivid_0B")*($C$58:$AV$58=K$13),$C$60:$AV$72))*$B$5,0)</f>
        <v>1.9711175683966367</v>
      </c>
      <c r="L18" s="44">
        <f t="array" ref="L18">SUM(IF(($B$60:$B$72=$A18)*($C$59:$AV$59=L$11)*($C$58:$AV$58=L$13),$C$60:$AV$72))*$B$5+IF($B18="Renewables",INDEX($C$77:$J$157,MATCH("NPS WEO 18"&amp;$A18,$A$77:$A$157&amp;$B$77:$B$157,0),MATCH(L$13,$C$76:$J$76,0))-SUM(IF(($B$60:$B$72=$A18)*($C$59:$AV$59="Vivid_0B")*($C$58:$AV$58=L$13),$C$60:$AV$72))*$B$5,0)</f>
        <v>2.0044093899500157</v>
      </c>
      <c r="M18" s="44">
        <f t="array" ref="M18">SUM(IF(($B$60:$B$72=$A18)*($C$59:$AV$59=M$11)*($C$58:$AV$58=M$13),$C$60:$AV$72))*$B$5+IF($B18="Renewables",INDEX($C$77:$J$157,MATCH("NPS WEO 18"&amp;$A18,$A$77:$A$157&amp;$B$77:$B$157,0),MATCH(M$13,$C$76:$J$76,0))-SUM(IF(($B$60:$B$72=$A18)*($C$59:$AV$59="Vivid_0B")*($C$58:$AV$58=M$13),$C$60:$AV$72))*$B$5,0)</f>
        <v>1.9956466042378382</v>
      </c>
      <c r="N18" s="36">
        <f t="array" ref="N18">INDEX($C$77:$J$157,MATCH(N$11&amp;$A18,$A$77:$A$157&amp;$B$77:$B$157,0),MATCH(N$13,$C$76:$J$76,0))</f>
        <v>3.4220000000000002</v>
      </c>
      <c r="O18" s="14">
        <f t="array" ref="O18">INDEX($C$77:$J$157,MATCH(O$11&amp;$A18,$A$77:$A$157&amp;$B$77:$B$157,0),MATCH(O$13,$C$76:$J$76,0))</f>
        <v>3.1680000000000001</v>
      </c>
      <c r="P18" s="50">
        <f t="array" ref="P18">INDEX($C$77:$J$157,MATCH(P$11&amp;$A18,$A$77:$A$157&amp;$B$77:$B$157,0),MATCH(P$13,$C$76:$J$76,0))</f>
        <v>2.6960000000000002</v>
      </c>
      <c r="Q18" s="14">
        <f t="array" ref="Q18">SUM(IF(($B$60:$B$72=$A18)*($C$59:$AV$59=Q$11)*($C$58:$AV$58=Q$13),$C$60:$AV$72))*$B$5</f>
        <v>0.67218673027403064</v>
      </c>
      <c r="R18" s="14">
        <f t="array" ref="R18">SUM(IF(($B$60:$B$72=$A18)*($C$59:$AV$59=R$11)*($C$58:$AV$58=R$13),$C$60:$AV$72))*$B$5</f>
        <v>0.67887038741927652</v>
      </c>
      <c r="S18" s="14">
        <f t="array" ref="S18">SUM(IF(($B$60:$B$72=$A18)*($C$59:$AV$59=S$11)*($C$58:$AV$58=S$13),$C$60:$AV$72))*$B$5</f>
        <v>0.89322323601684783</v>
      </c>
      <c r="T18" s="14">
        <f t="array" ref="T18">SUM(IF(($B$60:$B$72=$A18)*($C$59:$AV$59=T$11)*($C$58:$AV$58=T$13),$C$60:$AV$72))*$B$5</f>
        <v>0.76755872170572426</v>
      </c>
      <c r="U18" s="14">
        <f t="array" ref="U18">SUM(IF(($B$60:$B$72=$A18)*($C$59:$AV$59=U$11)*($C$58:$AV$58=U$13),$C$60:$AV$72))*$B$5</f>
        <v>0.45966067965041124</v>
      </c>
      <c r="V18" s="14">
        <f t="array" ref="V18">SUM(IF(($B$60:$B$72=$A18)*($C$59:$AV$59=V$11)*($C$58:$AV$58=V$13),$C$60:$AV$72))*$B$5</f>
        <v>0.67809135832162848</v>
      </c>
      <c r="W18" s="14">
        <f t="array" ref="W18">SUM(IF(($B$60:$B$72=$A18)*($C$59:$AV$59=W$11)*($C$58:$AV$58=W$13),$C$60:$AV$72))*$B$5</f>
        <v>0.82336576397920536</v>
      </c>
    </row>
    <row r="19" spans="1:23" x14ac:dyDescent="0.3">
      <c r="A19" s="3" t="s">
        <v>258</v>
      </c>
      <c r="B19" s="3" t="s">
        <v>394</v>
      </c>
      <c r="C19" s="14">
        <f t="array" ref="C19">INDEX($C$77:$J$157,MATCH(C$11&amp;$A19,$A$77:$A$157&amp;$B$77:$B$157,0),MATCH(C$13,$C$76:$J$76,0))</f>
        <v>1.4999999999999999E-2</v>
      </c>
      <c r="D19" s="36">
        <f t="array" ref="D19">INDEX($C$77:$J$157,MATCH(D$11&amp;$A19,$A$77:$A$157&amp;$B$77:$B$157,0),MATCH(D$13,$C$76:$J$76,0))</f>
        <v>2.9000000000000001E-2</v>
      </c>
      <c r="E19" s="14">
        <f t="array" ref="E19">INDEX($C$77:$J$157,MATCH(E$11&amp;$A19,$A$77:$A$157&amp;$B$77:$B$157,0),MATCH(E$13,$C$76:$J$76,0))</f>
        <v>3.4000000000000002E-2</v>
      </c>
      <c r="F19" s="50">
        <f t="array" ref="F19">INDEX($C$77:$J$157,MATCH(F$11&amp;$A19,$A$77:$A$157&amp;$B$77:$B$157,0),MATCH(F$13,$C$76:$J$76,0))</f>
        <v>4.9000000000000002E-2</v>
      </c>
      <c r="G19" s="44">
        <f t="array" ref="G19">SUM(IF(($B$60:$B$72=$A19)*($C$59:$AV$59=G$11)*($C$58:$AV$58=G$13),$C$60:$AV$72))*$B$5+IF($B19="Renewables",INDEX($C$77:$J$157,MATCH("NPS WEO 18"&amp;$A19,$A$77:$A$157&amp;$B$77:$B$157,0),MATCH(G$13,$C$76:$J$76,0))-SUM(IF(($B$60:$B$72=$A19)*($C$59:$AV$59="Vivid_0B")*($C$58:$AV$58=G$13),$C$60:$AV$72))*$B$5,0)</f>
        <v>3.437055833389388E-2</v>
      </c>
      <c r="H19" s="44">
        <f t="shared" si="0"/>
        <v>3.4000000000000002E-2</v>
      </c>
      <c r="I19" s="44">
        <f t="array" ref="I19">SUM(IF(($B$60:$B$72=$A19)*($C$59:$AV$59=I$11)*($C$58:$AV$58=I$13),$C$60:$AV$72))*$B$5+IF($B19="Renewables",INDEX($C$77:$J$157,MATCH("NPS WEO 18"&amp;$A19,$A$77:$A$157&amp;$B$77:$B$157,0),MATCH(I$13,$C$76:$J$76,0))-SUM(IF(($B$60:$B$72=$A19)*($C$59:$AV$59="Vivid_0B")*($C$58:$AV$58=I$13),$C$60:$AV$72))*$B$5,0)</f>
        <v>3.437055833389388E-2</v>
      </c>
      <c r="J19" s="44">
        <f t="array" ref="J19">SUM(IF(($B$60:$B$72=$A19)*($C$59:$AV$59=J$11)*($C$58:$AV$58=J$13),$C$60:$AV$72))*$B$5+IF($B19="Renewables",INDEX($C$77:$J$157,MATCH("NPS WEO 18"&amp;$A19,$A$77:$A$157&amp;$B$77:$B$157,0),MATCH(J$13,$C$76:$J$76,0))-SUM(IF(($B$60:$B$72=$A19)*($C$59:$AV$59="Vivid_0B")*($C$58:$AV$58=J$13),$C$60:$AV$72))*$B$5,0)</f>
        <v>3.437055833389388E-2</v>
      </c>
      <c r="K19" s="44">
        <f t="array" ref="K19">SUM(IF(($B$60:$B$72=$A19)*($C$59:$AV$59=K$11)*($C$58:$AV$58=K$13),$C$60:$AV$72))*$B$5+IF($B19="Renewables",INDEX($C$77:$J$157,MATCH("NPS WEO 18"&amp;$A19,$A$77:$A$157&amp;$B$77:$B$157,0),MATCH(K$13,$C$76:$J$76,0))-SUM(IF(($B$60:$B$72=$A19)*($C$59:$AV$59="Vivid_0B")*($C$58:$AV$58=K$13),$C$60:$AV$72))*$B$5,0)</f>
        <v>3.437055833389388E-2</v>
      </c>
      <c r="L19" s="44">
        <f t="array" ref="L19">SUM(IF(($B$60:$B$72=$A19)*($C$59:$AV$59=L$11)*($C$58:$AV$58=L$13),$C$60:$AV$72))*$B$5+IF($B19="Renewables",INDEX($C$77:$J$157,MATCH("NPS WEO 18"&amp;$A19,$A$77:$A$157&amp;$B$77:$B$157,0),MATCH(L$13,$C$76:$J$76,0))-SUM(IF(($B$60:$B$72=$A19)*($C$59:$AV$59="Vivid_0B")*($C$58:$AV$58=L$13),$C$60:$AV$72))*$B$5,0)</f>
        <v>3.437055833389388E-2</v>
      </c>
      <c r="M19" s="44">
        <f t="array" ref="M19">SUM(IF(($B$60:$B$72=$A19)*($C$59:$AV$59=M$11)*($C$58:$AV$58=M$13),$C$60:$AV$72))*$B$5+IF($B19="Renewables",INDEX($C$77:$J$157,MATCH("NPS WEO 18"&amp;$A19,$A$77:$A$157&amp;$B$77:$B$157,0),MATCH(M$13,$C$76:$J$76,0))-SUM(IF(($B$60:$B$72=$A19)*($C$59:$AV$59="Vivid_0B")*($C$58:$AV$58=M$13),$C$60:$AV$72))*$B$5,0)</f>
        <v>3.437055833389388E-2</v>
      </c>
      <c r="N19" s="36">
        <f t="array" ref="N19">INDEX($C$77:$J$157,MATCH(N$11&amp;$A19,$A$77:$A$157&amp;$B$77:$B$157,0),MATCH(N$13,$C$76:$J$76,0))</f>
        <v>7.8E-2</v>
      </c>
      <c r="O19" s="14">
        <f t="array" ref="O19">INDEX($C$77:$J$157,MATCH(O$11&amp;$A19,$A$77:$A$157&amp;$B$77:$B$157,0),MATCH(O$13,$C$76:$J$76,0))</f>
        <v>0.11600000000000001</v>
      </c>
      <c r="P19" s="50">
        <f t="array" ref="P19">INDEX($C$77:$J$157,MATCH(P$11&amp;$A19,$A$77:$A$157&amp;$B$77:$B$157,0),MATCH(P$13,$C$76:$J$76,0))</f>
        <v>0.18099999999999999</v>
      </c>
      <c r="Q19" s="14">
        <f t="array" ref="Q19">SUM(IF(($B$60:$B$72=$A19)*($C$59:$AV$59=Q$11)*($C$58:$AV$58=Q$13),$C$60:$AV$72))*$B$5</f>
        <v>0.27813066724140184</v>
      </c>
      <c r="R19" s="14">
        <f t="array" ref="R19">SUM(IF(($B$60:$B$72=$A19)*($C$59:$AV$59=R$11)*($C$58:$AV$58=R$13),$C$60:$AV$72))*$B$5</f>
        <v>0.29137269828849677</v>
      </c>
      <c r="S19" s="14">
        <f t="array" ref="S19">SUM(IF(($B$60:$B$72=$A19)*($C$59:$AV$59=S$11)*($C$58:$AV$58=S$13),$C$60:$AV$72))*$B$5</f>
        <v>0.31568186845425039</v>
      </c>
      <c r="T19" s="14">
        <f t="array" ref="T19">SUM(IF(($B$60:$B$72=$A19)*($C$59:$AV$59=T$11)*($C$58:$AV$58=T$13),$C$60:$AV$72))*$B$5</f>
        <v>0.28119462080231189</v>
      </c>
      <c r="U19" s="14">
        <f t="array" ref="U19">SUM(IF(($B$60:$B$72=$A19)*($C$59:$AV$59=U$11)*($C$58:$AV$58=U$13),$C$60:$AV$72))*$B$5</f>
        <v>0.24873338784481155</v>
      </c>
      <c r="V19" s="14">
        <f t="array" ref="V19">SUM(IF(($B$60:$B$72=$A19)*($C$59:$AV$59=V$11)*($C$58:$AV$58=V$13),$C$60:$AV$72))*$B$5</f>
        <v>0.27813216517333528</v>
      </c>
      <c r="W19" s="14">
        <f t="array" ref="W19">SUM(IF(($B$60:$B$72=$A19)*($C$59:$AV$59=W$11)*($C$58:$AV$58=W$13),$C$60:$AV$72))*$B$5</f>
        <v>0.28534404719651763</v>
      </c>
    </row>
    <row r="20" spans="1:23" x14ac:dyDescent="0.3">
      <c r="A20" s="3" t="s">
        <v>256</v>
      </c>
      <c r="B20" s="3" t="s">
        <v>394</v>
      </c>
      <c r="C20" s="14">
        <f t="array" ref="C20">INDEX($C$77:$J$157,MATCH(C$11&amp;$A20,$A$77:$A$157&amp;$B$77:$B$157,0),MATCH(C$13,$C$76:$J$76,0))</f>
        <v>1.27</v>
      </c>
      <c r="D20" s="36">
        <f t="array" ref="D20">INDEX($C$77:$J$157,MATCH(D$11&amp;$A20,$A$77:$A$157&amp;$B$77:$B$157,0),MATCH(D$13,$C$76:$J$76,0))</f>
        <v>1.5649999999999999</v>
      </c>
      <c r="E20" s="14">
        <f t="array" ref="E20">INDEX($C$77:$J$157,MATCH(E$11&amp;$A20,$A$77:$A$157&amp;$B$77:$B$157,0),MATCH(E$13,$C$76:$J$76,0))</f>
        <v>1.6040000000000001</v>
      </c>
      <c r="F20" s="50">
        <f t="array" ref="F20">INDEX($C$77:$J$157,MATCH(F$11&amp;$A20,$A$77:$A$157&amp;$B$77:$B$157,0),MATCH(F$13,$C$76:$J$76,0))</f>
        <v>1.738</v>
      </c>
      <c r="G20" s="44">
        <f t="array" ref="G20">SUM(IF(($B$60:$B$72=$A20)*($C$59:$AV$59=G$11)*($C$58:$AV$58=G$13),$C$60:$AV$72))*$B$5+IF($B20="Renewables",INDEX($C$77:$J$157,MATCH("NPS WEO 18"&amp;$A20,$A$77:$A$157&amp;$B$77:$B$157,0),MATCH(G$13,$C$76:$J$76,0))-SUM(IF(($B$60:$B$72=$A20)*($C$59:$AV$59="Vivid_0B")*($C$58:$AV$58=G$13),$C$60:$AV$72))*$B$5,0)</f>
        <v>1.6158357412680968</v>
      </c>
      <c r="H20" s="44">
        <f t="shared" si="0"/>
        <v>1.6040000000000001</v>
      </c>
      <c r="I20" s="44">
        <f t="array" ref="I20">SUM(IF(($B$60:$B$72=$A20)*($C$59:$AV$59=I$11)*($C$58:$AV$58=I$13),$C$60:$AV$72))*$B$5+IF($B20="Renewables",INDEX($C$77:$J$157,MATCH("NPS WEO 18"&amp;$A20,$A$77:$A$157&amp;$B$77:$B$157,0),MATCH(I$13,$C$76:$J$76,0))-SUM(IF(($B$60:$B$72=$A20)*($C$59:$AV$59="Vivid_0B")*($C$58:$AV$58=I$13),$C$60:$AV$72))*$B$5,0)</f>
        <v>1.6322510530594194</v>
      </c>
      <c r="J20" s="44">
        <f t="array" ref="J20">SUM(IF(($B$60:$B$72=$A20)*($C$59:$AV$59=J$11)*($C$58:$AV$58=J$13),$C$60:$AV$72))*$B$5+IF($B20="Renewables",INDEX($C$77:$J$157,MATCH("NPS WEO 18"&amp;$A20,$A$77:$A$157&amp;$B$77:$B$157,0),MATCH(J$13,$C$76:$J$76,0))-SUM(IF(($B$60:$B$72=$A20)*($C$59:$AV$59="Vivid_0B")*($C$58:$AV$58=J$13),$C$60:$AV$72))*$B$5,0)</f>
        <v>1.6158357412680968</v>
      </c>
      <c r="K20" s="44">
        <f t="array" ref="K20">SUM(IF(($B$60:$B$72=$A20)*($C$59:$AV$59=K$11)*($C$58:$AV$58=K$13),$C$60:$AV$72))*$B$5+IF($B20="Renewables",INDEX($C$77:$J$157,MATCH("NPS WEO 18"&amp;$A20,$A$77:$A$157&amp;$B$77:$B$157,0),MATCH(K$13,$C$76:$J$76,0))-SUM(IF(($B$60:$B$72=$A20)*($C$59:$AV$59="Vivid_0B")*($C$58:$AV$58=K$13),$C$60:$AV$72))*$B$5,0)</f>
        <v>1.6108729451221284</v>
      </c>
      <c r="L20" s="44">
        <f t="array" ref="L20">SUM(IF(($B$60:$B$72=$A20)*($C$59:$AV$59=L$11)*($C$58:$AV$58=L$13),$C$60:$AV$72))*$B$5+IF($B20="Renewables",INDEX($C$77:$J$157,MATCH("NPS WEO 18"&amp;$A20,$A$77:$A$157&amp;$B$77:$B$157,0),MATCH(L$13,$C$76:$J$76,0))-SUM(IF(($B$60:$B$72=$A20)*($C$59:$AV$59="Vivid_0B")*($C$58:$AV$58=L$13),$C$60:$AV$72))*$B$5,0)</f>
        <v>1.6158357412680968</v>
      </c>
      <c r="M20" s="44">
        <f t="array" ref="M20">SUM(IF(($B$60:$B$72=$A20)*($C$59:$AV$59=M$11)*($C$58:$AV$58=M$13),$C$60:$AV$72))*$B$5+IF($B20="Renewables",INDEX($C$77:$J$157,MATCH("NPS WEO 18"&amp;$A20,$A$77:$A$157&amp;$B$77:$B$157,0),MATCH(M$13,$C$76:$J$76,0))-SUM(IF(($B$60:$B$72=$A20)*($C$59:$AV$59="Vivid_0B")*($C$58:$AV$58=M$13),$C$60:$AV$72))*$B$5,0)</f>
        <v>1.6401760311893809</v>
      </c>
      <c r="N20" s="36">
        <f t="array" ref="N20">INDEX($C$77:$J$157,MATCH(N$11&amp;$A20,$A$77:$A$157&amp;$B$77:$B$157,0),MATCH(N$13,$C$76:$J$76,0))</f>
        <v>1.9690000000000001</v>
      </c>
      <c r="O20" s="14">
        <f t="array" ref="O20">INDEX($C$77:$J$157,MATCH(O$11&amp;$A20,$A$77:$A$157&amp;$B$77:$B$157,0),MATCH(O$13,$C$76:$J$76,0))</f>
        <v>2.0609999999999999</v>
      </c>
      <c r="P20" s="50">
        <f t="array" ref="P20">INDEX($C$77:$J$157,MATCH(P$11&amp;$A20,$A$77:$A$157&amp;$B$77:$B$157,0),MATCH(P$13,$C$76:$J$76,0))</f>
        <v>2.44</v>
      </c>
      <c r="Q20" s="14">
        <f t="array" ref="Q20">SUM(IF(($B$60:$B$72=$A20)*($C$59:$AV$59=Q$11)*($C$58:$AV$58=Q$13),$C$60:$AV$72))*$B$5</f>
        <v>1.5936197976383171</v>
      </c>
      <c r="R20" s="14">
        <f t="array" ref="R20">SUM(IF(($B$60:$B$72=$A20)*($C$59:$AV$59=R$11)*($C$58:$AV$58=R$13),$C$60:$AV$72))*$B$5</f>
        <v>1.6448187823973142</v>
      </c>
      <c r="S20" s="14">
        <f t="array" ref="S20">SUM(IF(($B$60:$B$72=$A20)*($C$59:$AV$59=S$11)*($C$58:$AV$58=S$13),$C$60:$AV$72))*$B$5</f>
        <v>1.7316397544716546</v>
      </c>
      <c r="T20" s="14">
        <f t="array" ref="T20">SUM(IF(($B$60:$B$72=$A20)*($C$59:$AV$59=T$11)*($C$58:$AV$58=T$13),$C$60:$AV$72))*$B$5</f>
        <v>1.6217220104769869</v>
      </c>
      <c r="U20" s="14">
        <f t="array" ref="U20">SUM(IF(($B$60:$B$72=$A20)*($C$59:$AV$59=U$11)*($C$58:$AV$58=U$13),$C$60:$AV$72))*$B$5</f>
        <v>1.5027388154657455</v>
      </c>
      <c r="V20" s="14">
        <f t="array" ref="V20">SUM(IF(($B$60:$B$72=$A20)*($C$59:$AV$59=V$11)*($C$58:$AV$58=V$13),$C$60:$AV$72))*$B$5</f>
        <v>1.5922142675708049</v>
      </c>
      <c r="W20" s="14">
        <f t="array" ref="W20">SUM(IF(($B$60:$B$72=$A20)*($C$59:$AV$59=W$11)*($C$58:$AV$58=W$13),$C$60:$AV$72))*$B$5</f>
        <v>1.71293614909373</v>
      </c>
    </row>
    <row r="21" spans="1:23" x14ac:dyDescent="0.3">
      <c r="A21" s="3" t="s">
        <v>257</v>
      </c>
      <c r="C21" s="14">
        <f t="array" ref="C21">INDEX($C$77:$J$157,MATCH(C$11&amp;$A21,$A$77:$A$157&amp;$B$77:$B$157,0),MATCH(C$13,$C$76:$J$76,0))</f>
        <v>0.41199999999999998</v>
      </c>
      <c r="D21" s="36">
        <f t="array" ref="D21">INDEX($C$77:$J$157,MATCH(D$11&amp;$A21,$A$77:$A$157&amp;$B$77:$B$157,0),MATCH(D$13,$C$76:$J$76,0))</f>
        <v>0.45900000000000002</v>
      </c>
      <c r="E21" s="14">
        <f t="array" ref="E21">INDEX($C$77:$J$157,MATCH(E$11&amp;$A21,$A$77:$A$157&amp;$B$77:$B$157,0),MATCH(E$13,$C$76:$J$76,0))</f>
        <v>0.46400000000000002</v>
      </c>
      <c r="F21" s="50">
        <f t="array" ref="F21">INDEX($C$77:$J$157,MATCH(F$11&amp;$A21,$A$77:$A$157&amp;$B$77:$B$157,0),MATCH(F$13,$C$76:$J$76,0))</f>
        <v>0.54200000000000004</v>
      </c>
      <c r="G21" s="44">
        <f t="array" ref="G21">SUM(IF(($B$60:$B$72=$A21)*($C$59:$AV$59=G$11)*($C$58:$AV$58=G$13),$C$60:$AV$72))*$B$5+IF($B21="Renewables",INDEX($C$77:$J$157,MATCH("NPS WEO 18"&amp;$A21,$A$77:$A$157&amp;$B$77:$B$157,0),MATCH(G$13,$C$76:$J$76,0))-SUM(IF(($B$60:$B$72=$A21)*($C$59:$AV$59="Vivid_0B")*($C$58:$AV$58=G$13),$C$60:$AV$72))*$B$5,0)</f>
        <v>0.59960750408611363</v>
      </c>
      <c r="H21" s="44">
        <f t="shared" si="0"/>
        <v>0.46400000000000002</v>
      </c>
      <c r="I21" s="44">
        <f t="array" ref="I21">SUM(IF(($B$60:$B$72=$A21)*($C$59:$AV$59=I$11)*($C$58:$AV$58=I$13),$C$60:$AV$72))*$B$5+IF($B21="Renewables",INDEX($C$77:$J$157,MATCH("NPS WEO 18"&amp;$A21,$A$77:$A$157&amp;$B$77:$B$157,0),MATCH(I$13,$C$76:$J$76,0))-SUM(IF(($B$60:$B$72=$A21)*($C$59:$AV$59="Vivid_0B")*($C$58:$AV$58=I$13),$C$60:$AV$72))*$B$5,0)</f>
        <v>0.59960750408611363</v>
      </c>
      <c r="J21" s="44">
        <f t="array" ref="J21">SUM(IF(($B$60:$B$72=$A21)*($C$59:$AV$59=J$11)*($C$58:$AV$58=J$13),$C$60:$AV$72))*$B$5+IF($B21="Renewables",INDEX($C$77:$J$157,MATCH("NPS WEO 18"&amp;$A21,$A$77:$A$157&amp;$B$77:$B$157,0),MATCH(J$13,$C$76:$J$76,0))-SUM(IF(($B$60:$B$72=$A21)*($C$59:$AV$59="Vivid_0B")*($C$58:$AV$58=J$13),$C$60:$AV$72))*$B$5,0)</f>
        <v>0.59960750408611363</v>
      </c>
      <c r="K21" s="44">
        <f t="array" ref="K21">SUM(IF(($B$60:$B$72=$A21)*($C$59:$AV$59=K$11)*($C$58:$AV$58=K$13),$C$60:$AV$72))*$B$5+IF($B21="Renewables",INDEX($C$77:$J$157,MATCH("NPS WEO 18"&amp;$A21,$A$77:$A$157&amp;$B$77:$B$157,0),MATCH(K$13,$C$76:$J$76,0))-SUM(IF(($B$60:$B$72=$A21)*($C$59:$AV$59="Vivid_0B")*($C$58:$AV$58=K$13),$C$60:$AV$72))*$B$5,0)</f>
        <v>0.59960750408611363</v>
      </c>
      <c r="L21" s="44">
        <f t="array" ref="L21">SUM(IF(($B$60:$B$72=$A21)*($C$59:$AV$59=L$11)*($C$58:$AV$58=L$13),$C$60:$AV$72))*$B$5+IF($B21="Renewables",INDEX($C$77:$J$157,MATCH("NPS WEO 18"&amp;$A21,$A$77:$A$157&amp;$B$77:$B$157,0),MATCH(L$13,$C$76:$J$76,0))-SUM(IF(($B$60:$B$72=$A21)*($C$59:$AV$59="Vivid_0B")*($C$58:$AV$58=L$13),$C$60:$AV$72))*$B$5,0)</f>
        <v>0.59960750408611363</v>
      </c>
      <c r="M21" s="44">
        <f t="array" ref="M21">SUM(IF(($B$60:$B$72=$A21)*($C$59:$AV$59=M$11)*($C$58:$AV$58=M$13),$C$60:$AV$72))*$B$5+IF($B21="Renewables",INDEX($C$77:$J$157,MATCH("NPS WEO 18"&amp;$A21,$A$77:$A$157&amp;$B$77:$B$157,0),MATCH(M$13,$C$76:$J$76,0))-SUM(IF(($B$60:$B$72=$A21)*($C$59:$AV$59="Vivid_0B")*($C$58:$AV$58=M$13),$C$60:$AV$72))*$B$5,0)</f>
        <v>0.59960750408611363</v>
      </c>
      <c r="N21" s="36">
        <f t="array" ref="N21">INDEX($C$77:$J$157,MATCH(N$11&amp;$A21,$A$77:$A$157&amp;$B$77:$B$157,0),MATCH(N$13,$C$76:$J$76,0))</f>
        <v>0.54800000000000004</v>
      </c>
      <c r="O21" s="14">
        <f t="array" ref="O21">INDEX($C$77:$J$157,MATCH(O$11&amp;$A21,$A$77:$A$157&amp;$B$77:$B$157,0),MATCH(O$13,$C$76:$J$76,0))</f>
        <v>0.56399999999999995</v>
      </c>
      <c r="P21" s="50">
        <f t="array" ref="P21">INDEX($C$77:$J$157,MATCH(P$11&amp;$A21,$A$77:$A$157&amp;$B$77:$B$157,0),MATCH(P$13,$C$76:$J$76,0))</f>
        <v>0.79200000000000004</v>
      </c>
      <c r="Q21" s="14">
        <f t="array" ref="Q21">SUM(IF(($B$60:$B$72=$A21)*($C$59:$AV$59=Q$11)*($C$58:$AV$58=Q$13),$C$60:$AV$72))*$B$5</f>
        <v>0.86465940910950312</v>
      </c>
      <c r="R21" s="14">
        <f t="array" ref="R21">SUM(IF(($B$60:$B$72=$A21)*($C$59:$AV$59=R$11)*($C$58:$AV$58=R$13),$C$60:$AV$72))*$B$5</f>
        <v>0.88970484956154772</v>
      </c>
      <c r="S21" s="14">
        <f t="array" ref="S21">SUM(IF(($B$60:$B$72=$A21)*($C$59:$AV$59=S$11)*($C$58:$AV$58=S$13),$C$60:$AV$72))*$B$5</f>
        <v>0.93275289370291703</v>
      </c>
      <c r="T21" s="14">
        <f t="array" ref="T21">SUM(IF(($B$60:$B$72=$A21)*($C$59:$AV$59=T$11)*($C$58:$AV$58=T$13),$C$60:$AV$72))*$B$5</f>
        <v>0.86003854052935924</v>
      </c>
      <c r="U21" s="14">
        <f t="array" ref="U21">SUM(IF(($B$60:$B$72=$A21)*($C$59:$AV$59=U$11)*($C$58:$AV$58=U$13),$C$60:$AV$72))*$B$5</f>
        <v>0.79212495340202838</v>
      </c>
      <c r="V21" s="14">
        <f t="array" ref="V21">SUM(IF(($B$60:$B$72=$A21)*($C$59:$AV$59=V$11)*($C$58:$AV$58=V$13),$C$60:$AV$72))*$B$5</f>
        <v>0.87068097761910801</v>
      </c>
      <c r="W21" s="14">
        <f t="array" ref="W21">SUM(IF(($B$60:$B$72=$A21)*($C$59:$AV$59=W$11)*($C$58:$AV$58=W$13),$C$60:$AV$72))*$B$5</f>
        <v>0.92163865336371686</v>
      </c>
    </row>
    <row r="22" spans="1:23" x14ac:dyDescent="0.3">
      <c r="A22" s="3" t="s">
        <v>266</v>
      </c>
      <c r="C22" s="14">
        <f t="array" ref="C22">INDEX($C$77:$J$157,MATCH(C$11&amp;$A22,$A$77:$A$157&amp;$B$77:$B$157,0),MATCH(C$13,$C$76:$J$76,0))</f>
        <v>0.44700000000000001</v>
      </c>
      <c r="D22" s="36">
        <f t="array" ref="D22">INDEX($C$77:$J$157,MATCH(D$11&amp;$A22,$A$77:$A$157&amp;$B$77:$B$157,0),MATCH(D$13,$C$76:$J$76,0))</f>
        <v>0.314</v>
      </c>
      <c r="E22" s="14">
        <f t="array" ref="E22">INDEX($C$77:$J$157,MATCH(E$11&amp;$A22,$A$77:$A$157&amp;$B$77:$B$157,0),MATCH(E$13,$C$76:$J$76,0))</f>
        <v>0.307</v>
      </c>
      <c r="F22" s="50">
        <f t="array" ref="F22">INDEX($C$77:$J$157,MATCH(F$11&amp;$A22,$A$77:$A$157&amp;$B$77:$B$157,0),MATCH(F$13,$C$76:$J$76,0))</f>
        <v>0.28899999999999998</v>
      </c>
      <c r="G22" s="44">
        <f t="array" ref="G22">SUM(IF(($B$60:$B$72=$A22)*($C$59:$AV$59=G$11)*($C$58:$AV$58=G$13),$C$60:$AV$72))*$B$5+IF($B22="Renewables",INDEX($C$77:$J$157,MATCH("NPS WEO 18"&amp;$A22,$A$77:$A$157&amp;$B$77:$B$157,0),MATCH(G$13,$C$76:$J$76,0))-SUM(IF(($B$60:$B$72=$A22)*($C$59:$AV$59="Vivid_0B")*($C$58:$AV$58=G$13),$C$60:$AV$72))*$B$5,0)</f>
        <v>0.2546635923102461</v>
      </c>
      <c r="H22" s="44">
        <f t="shared" si="0"/>
        <v>0.307</v>
      </c>
      <c r="I22" s="44">
        <f t="array" ref="I22">SUM(IF(($B$60:$B$72=$A22)*($C$59:$AV$59=I$11)*($C$58:$AV$58=I$13),$C$60:$AV$72))*$B$5+IF($B22="Renewables",INDEX($C$77:$J$157,MATCH("NPS WEO 18"&amp;$A22,$A$77:$A$157&amp;$B$77:$B$157,0),MATCH(I$13,$C$76:$J$76,0))-SUM(IF(($B$60:$B$72=$A22)*($C$59:$AV$59="Vivid_0B")*($C$58:$AV$58=I$13),$C$60:$AV$72))*$B$5,0)</f>
        <v>0.25448256718289453</v>
      </c>
      <c r="J22" s="44">
        <f t="array" ref="J22">SUM(IF(($B$60:$B$72=$A22)*($C$59:$AV$59=J$11)*($C$58:$AV$58=J$13),$C$60:$AV$72))*$B$5+IF($B22="Renewables",INDEX($C$77:$J$157,MATCH("NPS WEO 18"&amp;$A22,$A$77:$A$157&amp;$B$77:$B$157,0),MATCH(J$13,$C$76:$J$76,0))-SUM(IF(($B$60:$B$72=$A22)*($C$59:$AV$59="Vivid_0B")*($C$58:$AV$58=J$13),$C$60:$AV$72))*$B$5,0)</f>
        <v>0.25499736283399582</v>
      </c>
      <c r="K22" s="44">
        <f t="array" ref="K22">SUM(IF(($B$60:$B$72=$A22)*($C$59:$AV$59=K$11)*($C$58:$AV$58=K$13),$C$60:$AV$72))*$B$5+IF($B22="Renewables",INDEX($C$77:$J$157,MATCH("NPS WEO 18"&amp;$A22,$A$77:$A$157&amp;$B$77:$B$157,0),MATCH(K$13,$C$76:$J$76,0))-SUM(IF(($B$60:$B$72=$A22)*($C$59:$AV$59="Vivid_0B")*($C$58:$AV$58=K$13),$C$60:$AV$72))*$B$5,0)</f>
        <v>0.25455952459154002</v>
      </c>
      <c r="L22" s="44">
        <f t="array" ref="L22">SUM(IF(($B$60:$B$72=$A22)*($C$59:$AV$59=L$11)*($C$58:$AV$58=L$13),$C$60:$AV$72))*$B$5+IF($B22="Renewables",INDEX($C$77:$J$157,MATCH("NPS WEO 18"&amp;$A22,$A$77:$A$157&amp;$B$77:$B$157,0),MATCH(L$13,$C$76:$J$76,0))-SUM(IF(($B$60:$B$72=$A22)*($C$59:$AV$59="Vivid_0B")*($C$58:$AV$58=L$13),$C$60:$AV$72))*$B$5,0)</f>
        <v>0.2546635923102461</v>
      </c>
      <c r="M22" s="44">
        <f t="array" ref="M22">SUM(IF(($B$60:$B$72=$A22)*($C$59:$AV$59=M$11)*($C$58:$AV$58=M$13),$C$60:$AV$72))*$B$5+IF($B22="Renewables",INDEX($C$77:$J$157,MATCH("NPS WEO 18"&amp;$A22,$A$77:$A$157&amp;$B$77:$B$157,0),MATCH(M$13,$C$76:$J$76,0))-SUM(IF(($B$60:$B$72=$A22)*($C$59:$AV$59="Vivid_0B")*($C$58:$AV$58=M$13),$C$60:$AV$72))*$B$5,0)</f>
        <v>0.2562142047107191</v>
      </c>
      <c r="N22" s="36">
        <f t="array" ref="N22">INDEX($C$77:$J$157,MATCH(N$11&amp;$A22,$A$77:$A$157&amp;$B$77:$B$157,0),MATCH(N$13,$C$76:$J$76,0))</f>
        <v>0.216</v>
      </c>
      <c r="O22" s="14">
        <f t="array" ref="O22">INDEX($C$77:$J$157,MATCH(O$11&amp;$A22,$A$77:$A$157&amp;$B$77:$B$157,0),MATCH(O$13,$C$76:$J$76,0))</f>
        <v>0.182</v>
      </c>
      <c r="P22" s="50">
        <f t="array" ref="P22">INDEX($C$77:$J$157,MATCH(P$11&amp;$A22,$A$77:$A$157&amp;$B$77:$B$157,0),MATCH(P$13,$C$76:$J$76,0))</f>
        <v>0.16600000000000001</v>
      </c>
      <c r="Q22" s="14">
        <f t="array" ref="Q22">SUM(IF(($B$60:$B$72=$A22)*($C$59:$AV$59=Q$11)*($C$58:$AV$58=Q$13),$C$60:$AV$72))*$B$5</f>
        <v>1.9774111921432982E-2</v>
      </c>
      <c r="R22" s="14">
        <f t="array" ref="R22">SUM(IF(($B$60:$B$72=$A22)*($C$59:$AV$59=R$11)*($C$58:$AV$58=R$13),$C$60:$AV$72))*$B$5</f>
        <v>1.843905472635635E-2</v>
      </c>
      <c r="S22" s="14">
        <f t="array" ref="S22">SUM(IF(($B$60:$B$72=$A22)*($C$59:$AV$59=S$11)*($C$58:$AV$58=S$13),$C$60:$AV$72))*$B$5</f>
        <v>1.8555853113708033E-2</v>
      </c>
      <c r="T22" s="14">
        <f t="array" ref="T22">SUM(IF(($B$60:$B$72=$A22)*($C$59:$AV$59=T$11)*($C$58:$AV$58=T$13),$C$60:$AV$72))*$B$5</f>
        <v>1.7735316855471472E-2</v>
      </c>
      <c r="U22" s="14">
        <f t="array" ref="U22">SUM(IF(($B$60:$B$72=$A22)*($C$59:$AV$59=U$11)*($C$58:$AV$58=U$13),$C$60:$AV$72))*$B$5</f>
        <v>1.3181656366682826E-2</v>
      </c>
      <c r="V22" s="14">
        <f t="array" ref="V22">SUM(IF(($B$60:$B$72=$A22)*($C$59:$AV$59=V$11)*($C$58:$AV$58=V$13),$C$60:$AV$72))*$B$5</f>
        <v>1.98526291938937E-2</v>
      </c>
      <c r="W22" s="14">
        <f t="array" ref="W22">SUM(IF(($B$60:$B$72=$A22)*($C$59:$AV$59=W$11)*($C$58:$AV$58=W$13),$C$60:$AV$72))*$B$5</f>
        <v>1.567645185491862E-2</v>
      </c>
    </row>
    <row r="23" spans="1:23" x14ac:dyDescent="0.3">
      <c r="A23" s="3" t="s">
        <v>259</v>
      </c>
      <c r="B23" s="3" t="s">
        <v>394</v>
      </c>
      <c r="C23" s="14">
        <f t="array" ref="C23">INDEX($C$77:$J$157,MATCH(C$11&amp;$A23,$A$77:$A$157&amp;$B$77:$B$157,0),MATCH(C$13,$C$76:$J$76,0))</f>
        <v>0.40300000000000002</v>
      </c>
      <c r="D23" s="36">
        <f t="array" ref="D23">INDEX($C$77:$J$157,MATCH(D$11&amp;$A23,$A$77:$A$157&amp;$B$77:$B$157,0),MATCH(D$13,$C$76:$J$76,0))</f>
        <v>1.3080000000000001</v>
      </c>
      <c r="E23" s="14">
        <f t="array" ref="E23">INDEX($C$77:$J$157,MATCH(E$11&amp;$A23,$A$77:$A$157&amp;$B$77:$B$157,0),MATCH(E$13,$C$76:$J$76,0))</f>
        <v>1.6140000000000001</v>
      </c>
      <c r="F23" s="50">
        <f t="array" ref="F23">INDEX($C$77:$J$157,MATCH(F$11&amp;$A23,$A$77:$A$157&amp;$B$77:$B$157,0),MATCH(F$13,$C$76:$J$76,0))</f>
        <v>2.4079999999999999</v>
      </c>
      <c r="G23" s="44">
        <f t="array" ref="G23">SUM(IF(($B$60:$B$72=$A23)*($C$59:$AV$59=G$11)*($C$58:$AV$58=G$13),$C$60:$AV$72))*$B$5+IF($B23="Renewables",INDEX($C$77:$J$157,MATCH("NPS WEO 18"&amp;$A23,$A$77:$A$157&amp;$B$77:$B$157,0),MATCH(G$13,$C$76:$J$76,0))-SUM(IF(($B$60:$B$72=$A23)*($C$59:$AV$59="Vivid_0B")*($C$58:$AV$58=G$13),$C$60:$AV$72))*$B$5,0)</f>
        <v>1.9545717534874152</v>
      </c>
      <c r="H23" s="44">
        <f t="shared" si="0"/>
        <v>1.6140000000000001</v>
      </c>
      <c r="I23" s="44">
        <f t="array" ref="I23">SUM(IF(($B$60:$B$72=$A23)*($C$59:$AV$59=I$11)*($C$58:$AV$58=I$13),$C$60:$AV$72))*$B$5+IF($B23="Renewables",INDEX($C$77:$J$157,MATCH("NPS WEO 18"&amp;$A23,$A$77:$A$157&amp;$B$77:$B$157,0),MATCH(I$13,$C$76:$J$76,0))-SUM(IF(($B$60:$B$72=$A23)*($C$59:$AV$59="Vivid_0B")*($C$58:$AV$58=I$13),$C$60:$AV$72))*$B$5,0)</f>
        <v>1.265864987806244</v>
      </c>
      <c r="J23" s="44">
        <f t="array" ref="J23">SUM(IF(($B$60:$B$72=$A23)*($C$59:$AV$59=J$11)*($C$58:$AV$58=J$13),$C$60:$AV$72))*$B$5+IF($B23="Renewables",INDEX($C$77:$J$157,MATCH("NPS WEO 18"&amp;$A23,$A$77:$A$157&amp;$B$77:$B$157,0),MATCH(J$13,$C$76:$J$76,0))-SUM(IF(($B$60:$B$72=$A23)*($C$59:$AV$59="Vivid_0B")*($C$58:$AV$58=J$13),$C$60:$AV$72))*$B$5,0)</f>
        <v>1.7418292511723306</v>
      </c>
      <c r="K23" s="44">
        <f t="array" ref="K23">SUM(IF(($B$60:$B$72=$A23)*($C$59:$AV$59=K$11)*($C$58:$AV$58=K$13),$C$60:$AV$72))*$B$5+IF($B23="Renewables",INDEX($C$77:$J$157,MATCH("NPS WEO 18"&amp;$A23,$A$77:$A$157&amp;$B$77:$B$157,0),MATCH(K$13,$C$76:$J$76,0))-SUM(IF(($B$60:$B$72=$A23)*($C$59:$AV$59="Vivid_0B")*($C$58:$AV$58=K$13),$C$60:$AV$72))*$B$5,0)</f>
        <v>1.7037392431993419</v>
      </c>
      <c r="L23" s="44">
        <f t="array" ref="L23">SUM(IF(($B$60:$B$72=$A23)*($C$59:$AV$59=L$11)*($C$58:$AV$58=L$13),$C$60:$AV$72))*$B$5+IF($B23="Renewables",INDEX($C$77:$J$157,MATCH("NPS WEO 18"&amp;$A23,$A$77:$A$157&amp;$B$77:$B$157,0),MATCH(L$13,$C$76:$J$76,0))-SUM(IF(($B$60:$B$72=$A23)*($C$59:$AV$59="Vivid_0B")*($C$58:$AV$58=L$13),$C$60:$AV$72))*$B$5,0)</f>
        <v>1.9587960489569431</v>
      </c>
      <c r="M23" s="44">
        <f t="array" ref="M23">SUM(IF(($B$60:$B$72=$A23)*($C$59:$AV$59=M$11)*($C$58:$AV$58=M$13),$C$60:$AV$72))*$B$5+IF($B23="Renewables",INDEX($C$77:$J$157,MATCH("NPS WEO 18"&amp;$A23,$A$77:$A$157&amp;$B$77:$B$157,0),MATCH(M$13,$C$76:$J$76,0))-SUM(IF(($B$60:$B$72=$A23)*($C$59:$AV$59="Vivid_0B")*($C$58:$AV$58=M$13),$C$60:$AV$72))*$B$5,0)</f>
        <v>1.9527815669054824</v>
      </c>
      <c r="N23" s="36">
        <f t="array" ref="N23">INDEX($C$77:$J$157,MATCH(N$11&amp;$A23,$A$77:$A$157&amp;$B$77:$B$157,0),MATCH(N$13,$C$76:$J$76,0))</f>
        <v>2.7170000000000001</v>
      </c>
      <c r="O23" s="14">
        <f t="array" ref="O23">INDEX($C$77:$J$157,MATCH(O$11&amp;$A23,$A$77:$A$157&amp;$B$77:$B$157,0),MATCH(O$13,$C$76:$J$76,0))</f>
        <v>3.67</v>
      </c>
      <c r="P23" s="50">
        <f t="array" ref="P23">INDEX($C$77:$J$157,MATCH(P$11&amp;$A23,$A$77:$A$157&amp;$B$77:$B$157,0),MATCH(P$13,$C$76:$J$76,0))</f>
        <v>6.625</v>
      </c>
      <c r="Q23" s="14">
        <f t="array" ref="Q23">SUM(IF(($B$60:$B$72=$A23)*($C$59:$AV$59=Q$11)*($C$58:$AV$58=Q$13),$C$60:$AV$72))*$B$5</f>
        <v>5.3754678822587314</v>
      </c>
      <c r="R23" s="14">
        <f t="array" ref="R23">SUM(IF(($B$60:$B$72=$A23)*($C$59:$AV$59=R$11)*($C$58:$AV$58=R$13),$C$60:$AV$72))*$B$5</f>
        <v>5.3484273390712964</v>
      </c>
      <c r="S23" s="14">
        <f t="array" ref="S23">SUM(IF(($B$60:$B$72=$A23)*($C$59:$AV$59=S$11)*($C$58:$AV$58=S$13),$C$60:$AV$72))*$B$5</f>
        <v>0.24005713438666998</v>
      </c>
      <c r="T23" s="14">
        <f t="array" ref="T23">SUM(IF(($B$60:$B$72=$A23)*($C$59:$AV$59=T$11)*($C$58:$AV$58=T$13),$C$60:$AV$72))*$B$5</f>
        <v>5.3949755217703901</v>
      </c>
      <c r="U23" s="14">
        <f t="array" ref="U23">SUM(IF(($B$60:$B$72=$A23)*($C$59:$AV$59=U$11)*($C$58:$AV$58=U$13),$C$60:$AV$72))*$B$5</f>
        <v>4.9607603497859794</v>
      </c>
      <c r="V23" s="14">
        <f t="array" ref="V23">SUM(IF(($B$60:$B$72=$A23)*($C$59:$AV$59=V$11)*($C$58:$AV$58=V$13),$C$60:$AV$72))*$B$5</f>
        <v>5.4021760712075091</v>
      </c>
      <c r="W23" s="14">
        <f t="array" ref="W23">SUM(IF(($B$60:$B$72=$A23)*($C$59:$AV$59=W$11)*($C$58:$AV$58=W$13),$C$60:$AV$72))*$B$5</f>
        <v>5.4260658011568736</v>
      </c>
    </row>
    <row r="24" spans="1:23" x14ac:dyDescent="0.3">
      <c r="A24" s="3" t="s">
        <v>260</v>
      </c>
      <c r="B24" s="3" t="s">
        <v>394</v>
      </c>
      <c r="C24" s="14">
        <f t="array" ref="C24">INDEX($C$77:$J$157,MATCH(C$11&amp;$A24,$A$77:$A$157&amp;$B$77:$B$157,0),MATCH(C$13,$C$76:$J$76,0))</f>
        <v>0.51500000000000001</v>
      </c>
      <c r="D24" s="36">
        <f t="array" ref="D24">INDEX($C$77:$J$157,MATCH(D$11&amp;$A24,$A$77:$A$157&amp;$B$77:$B$157,0),MATCH(D$13,$C$76:$J$76,0))</f>
        <v>1.0660000000000001</v>
      </c>
      <c r="E24" s="14">
        <f t="array" ref="E24">INDEX($C$77:$J$157,MATCH(E$11&amp;$A24,$A$77:$A$157&amp;$B$77:$B$157,0),MATCH(E$13,$C$76:$J$76,0))</f>
        <v>1.25</v>
      </c>
      <c r="F24" s="50">
        <f t="array" ref="F24">INDEX($C$77:$J$157,MATCH(F$11&amp;$A24,$A$77:$A$157&amp;$B$77:$B$157,0),MATCH(F$13,$C$76:$J$76,0))</f>
        <v>1.712</v>
      </c>
      <c r="G24" s="44">
        <f t="array" ref="G24">SUM(IF(($B$60:$B$72=$A24)*($C$59:$AV$59=G$11)*($C$58:$AV$58=G$13),$C$60:$AV$72))*$B$5+IF($B24="Renewables",INDEX($C$77:$J$157,MATCH("NPS WEO 18"&amp;$A24,$A$77:$A$157&amp;$B$77:$B$157,0),MATCH(G$13,$C$76:$J$76,0))-SUM(IF(($B$60:$B$72=$A24)*($C$59:$AV$59="Vivid_0B")*($C$58:$AV$58=G$13),$C$60:$AV$72))*$B$5,0)</f>
        <v>1.3844794922735095</v>
      </c>
      <c r="H24" s="44">
        <f t="shared" si="0"/>
        <v>1.25</v>
      </c>
      <c r="I24" s="44">
        <f t="array" ref="I24">SUM(IF(($B$60:$B$72=$A24)*($C$59:$AV$59=I$11)*($C$58:$AV$58=I$13),$C$60:$AV$72))*$B$5+IF($B24="Renewables",INDEX($C$77:$J$157,MATCH("NPS WEO 18"&amp;$A24,$A$77:$A$157&amp;$B$77:$B$157,0),MATCH(I$13,$C$76:$J$76,0))-SUM(IF(($B$60:$B$72=$A24)*($C$59:$AV$59="Vivid_0B")*($C$58:$AV$58=I$13),$C$60:$AV$72))*$B$5,0)</f>
        <v>1.1437779898885807</v>
      </c>
      <c r="J24" s="44">
        <f t="array" ref="J24">SUM(IF(($B$60:$B$72=$A24)*($C$59:$AV$59=J$11)*($C$58:$AV$58=J$13),$C$60:$AV$72))*$B$5+IF($B24="Renewables",INDEX($C$77:$J$157,MATCH("NPS WEO 18"&amp;$A24,$A$77:$A$157&amp;$B$77:$B$157,0),MATCH(J$13,$C$76:$J$76,0))-SUM(IF(($B$60:$B$72=$A24)*($C$59:$AV$59="Vivid_0B")*($C$58:$AV$58=J$13),$C$60:$AV$72))*$B$5,0)</f>
        <v>1.2317761594049366</v>
      </c>
      <c r="K24" s="44">
        <f t="array" ref="K24">SUM(IF(($B$60:$B$72=$A24)*($C$59:$AV$59=K$11)*($C$58:$AV$58=K$13),$C$60:$AV$72))*$B$5+IF($B24="Renewables",INDEX($C$77:$J$157,MATCH("NPS WEO 18"&amp;$A24,$A$77:$A$157&amp;$B$77:$B$157,0),MATCH(K$13,$C$76:$J$76,0))-SUM(IF(($B$60:$B$72=$A24)*($C$59:$AV$59="Vivid_0B")*($C$58:$AV$58=K$13),$C$60:$AV$72))*$B$5,0)</f>
        <v>1.2511545534241115</v>
      </c>
      <c r="L24" s="44">
        <f t="array" ref="L24">SUM(IF(($B$60:$B$72=$A24)*($C$59:$AV$59=L$11)*($C$58:$AV$58=L$13),$C$60:$AV$72))*$B$5+IF($B24="Renewables",INDEX($C$77:$J$157,MATCH("NPS WEO 18"&amp;$A24,$A$77:$A$157&amp;$B$77:$B$157,0),MATCH(L$13,$C$76:$J$76,0))-SUM(IF(($B$60:$B$72=$A24)*($C$59:$AV$59="Vivid_0B")*($C$58:$AV$58=L$13),$C$60:$AV$72))*$B$5,0)</f>
        <v>1.4042757375010755</v>
      </c>
      <c r="M24" s="44">
        <f t="array" ref="M24">SUM(IF(($B$60:$B$72=$A24)*($C$59:$AV$59=M$11)*($C$58:$AV$58=M$13),$C$60:$AV$72))*$B$5+IF($B24="Renewables",INDEX($C$77:$J$157,MATCH("NPS WEO 18"&amp;$A24,$A$77:$A$157&amp;$B$77:$B$157,0),MATCH(M$13,$C$76:$J$76,0))-SUM(IF(($B$60:$B$72=$A24)*($C$59:$AV$59="Vivid_0B")*($C$58:$AV$58=M$13),$C$60:$AV$72))*$B$5,0)</f>
        <v>1.4771792196953595</v>
      </c>
      <c r="N24" s="36">
        <f t="array" ref="N24">INDEX($C$77:$J$157,MATCH(N$11&amp;$A24,$A$77:$A$157&amp;$B$77:$B$157,0),MATCH(N$13,$C$76:$J$76,0))</f>
        <v>1.601</v>
      </c>
      <c r="O24" s="14">
        <f t="array" ref="O24">INDEX($C$77:$J$157,MATCH(O$11&amp;$A24,$A$77:$A$157&amp;$B$77:$B$157,0),MATCH(O$13,$C$76:$J$76,0))</f>
        <v>2.125</v>
      </c>
      <c r="P24" s="50">
        <f t="array" ref="P24">INDEX($C$77:$J$157,MATCH(P$11&amp;$A24,$A$77:$A$157&amp;$B$77:$B$157,0),MATCH(P$13,$C$76:$J$76,0))</f>
        <v>3.8490000000000002</v>
      </c>
      <c r="Q24" s="14">
        <f t="array" ref="Q24">SUM(IF(($B$60:$B$72=$A24)*($C$59:$AV$59=Q$11)*($C$58:$AV$58=Q$13),$C$60:$AV$72))*$B$5</f>
        <v>4.6413558628552396</v>
      </c>
      <c r="R24" s="14">
        <f t="array" ref="R24">SUM(IF(($B$60:$B$72=$A24)*($C$59:$AV$59=R$11)*($C$58:$AV$58=R$13),$C$60:$AV$72))*$B$5</f>
        <v>4.6328215945641151</v>
      </c>
      <c r="S24" s="14">
        <f t="array" ref="S24">SUM(IF(($B$60:$B$72=$A24)*($C$59:$AV$59=S$11)*($C$58:$AV$58=S$13),$C$60:$AV$72))*$B$5</f>
        <v>3.7766496966856855</v>
      </c>
      <c r="T24" s="14">
        <f t="array" ref="T24">SUM(IF(($B$60:$B$72=$A24)*($C$59:$AV$59=T$11)*($C$58:$AV$58=T$13),$C$60:$AV$72))*$B$5</f>
        <v>4.7227069112869362</v>
      </c>
      <c r="U24" s="14">
        <f t="array" ref="U24">SUM(IF(($B$60:$B$72=$A24)*($C$59:$AV$59=U$11)*($C$58:$AV$58=U$13),$C$60:$AV$72))*$B$5</f>
        <v>4.1355550572079913</v>
      </c>
      <c r="V24" s="14">
        <f t="array" ref="V24">SUM(IF(($B$60:$B$72=$A24)*($C$59:$AV$59=V$11)*($C$58:$AV$58=V$13),$C$60:$AV$72))*$B$5</f>
        <v>4.658488874093381</v>
      </c>
      <c r="W24" s="14">
        <f t="array" ref="W24">SUM(IF(($B$60:$B$72=$A24)*($C$59:$AV$59=W$11)*($C$58:$AV$58=W$13),$C$60:$AV$72))*$B$5</f>
        <v>4.7711912976620754</v>
      </c>
    </row>
    <row r="25" spans="1:23" x14ac:dyDescent="0.3"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</row>
    <row r="26" spans="1:23" x14ac:dyDescent="0.3"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</row>
    <row r="27" spans="1:23" x14ac:dyDescent="0.3"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</row>
    <row r="28" spans="1:23" x14ac:dyDescent="0.3"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</row>
    <row r="29" spans="1:23" x14ac:dyDescent="0.3"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</row>
    <row r="30" spans="1:23" x14ac:dyDescent="0.3"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</row>
    <row r="31" spans="1:23" x14ac:dyDescent="0.3"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</row>
    <row r="32" spans="1:23" x14ac:dyDescent="0.3"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</row>
    <row r="33" spans="4:22" x14ac:dyDescent="0.3"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</row>
    <row r="34" spans="4:22" x14ac:dyDescent="0.3"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</row>
    <row r="35" spans="4:22" x14ac:dyDescent="0.3"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</row>
    <row r="36" spans="4:22" x14ac:dyDescent="0.3"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</row>
    <row r="37" spans="4:22" x14ac:dyDescent="0.3"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</row>
    <row r="38" spans="4:22" x14ac:dyDescent="0.3"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</row>
    <row r="39" spans="4:22" x14ac:dyDescent="0.3"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</row>
    <row r="40" spans="4:22" x14ac:dyDescent="0.3"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</row>
    <row r="41" spans="4:22" x14ac:dyDescent="0.3"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</row>
    <row r="42" spans="4:22" x14ac:dyDescent="0.3"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</row>
    <row r="43" spans="4:22" x14ac:dyDescent="0.3"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</row>
    <row r="44" spans="4:22" x14ac:dyDescent="0.3"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</row>
    <row r="45" spans="4:22" x14ac:dyDescent="0.3"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</row>
    <row r="46" spans="4:22" x14ac:dyDescent="0.3"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</row>
    <row r="47" spans="4:22" x14ac:dyDescent="0.3"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</row>
    <row r="48" spans="4:22" x14ac:dyDescent="0.3"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</row>
    <row r="49" spans="1:48" x14ac:dyDescent="0.3"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</row>
    <row r="50" spans="1:48" x14ac:dyDescent="0.3"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</row>
    <row r="51" spans="1:48" x14ac:dyDescent="0.3"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</row>
    <row r="52" spans="1:48" x14ac:dyDescent="0.3"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</row>
    <row r="53" spans="1:48" ht="15" thickBot="1" x14ac:dyDescent="0.35"/>
    <row r="54" spans="1:48" s="25" customFormat="1" ht="15" thickBot="1" x14ac:dyDescent="0.35">
      <c r="A54" s="24" t="s">
        <v>374</v>
      </c>
    </row>
    <row r="55" spans="1:48" x14ac:dyDescent="0.3">
      <c r="A55" s="4"/>
    </row>
    <row r="58" spans="1:48" x14ac:dyDescent="0.3">
      <c r="C58" s="3">
        <v>2012</v>
      </c>
      <c r="D58" s="3">
        <v>2020</v>
      </c>
      <c r="E58" s="3">
        <v>2020</v>
      </c>
      <c r="F58" s="3">
        <v>2020</v>
      </c>
      <c r="G58" s="3">
        <v>2020</v>
      </c>
      <c r="H58" s="3">
        <v>2020</v>
      </c>
      <c r="I58" s="3">
        <v>2020</v>
      </c>
      <c r="J58" s="3">
        <v>2020</v>
      </c>
      <c r="K58" s="3">
        <v>2020</v>
      </c>
      <c r="L58" s="3">
        <v>2020</v>
      </c>
      <c r="M58" s="3">
        <v>2030</v>
      </c>
      <c r="N58" s="3">
        <v>2030</v>
      </c>
      <c r="O58" s="3">
        <v>2030</v>
      </c>
      <c r="P58" s="3">
        <v>2030</v>
      </c>
      <c r="Q58" s="3">
        <v>2030</v>
      </c>
      <c r="R58" s="3">
        <v>2030</v>
      </c>
      <c r="S58" s="3">
        <v>2030</v>
      </c>
      <c r="T58" s="3">
        <v>2030</v>
      </c>
      <c r="U58" s="3">
        <v>2030</v>
      </c>
      <c r="V58" s="3">
        <v>2040</v>
      </c>
      <c r="W58" s="3">
        <v>2040</v>
      </c>
      <c r="X58" s="3">
        <v>2040</v>
      </c>
      <c r="Y58" s="3">
        <v>2040</v>
      </c>
      <c r="Z58" s="3">
        <v>2040</v>
      </c>
      <c r="AA58" s="3">
        <v>2040</v>
      </c>
      <c r="AB58" s="3">
        <v>2040</v>
      </c>
      <c r="AC58" s="3">
        <v>2040</v>
      </c>
      <c r="AD58" s="3">
        <v>2040</v>
      </c>
      <c r="AE58" s="3">
        <v>2050</v>
      </c>
      <c r="AF58" s="3">
        <v>2050</v>
      </c>
      <c r="AG58" s="3">
        <v>2050</v>
      </c>
      <c r="AH58" s="3">
        <v>2050</v>
      </c>
      <c r="AI58" s="3">
        <v>2050</v>
      </c>
      <c r="AJ58" s="3">
        <v>2050</v>
      </c>
      <c r="AK58" s="3">
        <v>2050</v>
      </c>
      <c r="AL58" s="3">
        <v>2050</v>
      </c>
      <c r="AM58" s="3">
        <v>2050</v>
      </c>
      <c r="AN58" s="3">
        <v>2060</v>
      </c>
      <c r="AO58" s="3">
        <v>2060</v>
      </c>
      <c r="AP58" s="3">
        <v>2060</v>
      </c>
      <c r="AQ58" s="3">
        <v>2060</v>
      </c>
      <c r="AR58" s="3">
        <v>2060</v>
      </c>
      <c r="AS58" s="3">
        <v>2060</v>
      </c>
      <c r="AT58" s="3">
        <v>2060</v>
      </c>
      <c r="AU58" s="3">
        <v>2060</v>
      </c>
      <c r="AV58" s="3">
        <v>2060</v>
      </c>
    </row>
    <row r="59" spans="1:48" x14ac:dyDescent="0.3">
      <c r="A59" s="3" t="s">
        <v>59</v>
      </c>
      <c r="B59" s="3" t="s">
        <v>252</v>
      </c>
      <c r="C59" s="3" t="s">
        <v>14</v>
      </c>
      <c r="D59" s="3" t="s">
        <v>13</v>
      </c>
      <c r="E59" s="3" t="s">
        <v>14</v>
      </c>
      <c r="F59" s="3" t="s">
        <v>15</v>
      </c>
      <c r="G59" s="3" t="s">
        <v>26</v>
      </c>
      <c r="H59" s="3" t="s">
        <v>1026</v>
      </c>
      <c r="I59" s="3" t="s">
        <v>47</v>
      </c>
      <c r="J59" s="3" t="s">
        <v>49</v>
      </c>
      <c r="K59" s="3" t="s">
        <v>17</v>
      </c>
      <c r="L59" s="3" t="s">
        <v>32</v>
      </c>
      <c r="M59" s="3" t="s">
        <v>13</v>
      </c>
      <c r="N59" s="3" t="s">
        <v>14</v>
      </c>
      <c r="O59" s="3" t="s">
        <v>15</v>
      </c>
      <c r="P59" s="3" t="s">
        <v>26</v>
      </c>
      <c r="Q59" s="3" t="s">
        <v>1026</v>
      </c>
      <c r="R59" s="3" t="s">
        <v>47</v>
      </c>
      <c r="S59" s="3" t="s">
        <v>49</v>
      </c>
      <c r="T59" s="3" t="s">
        <v>17</v>
      </c>
      <c r="U59" s="3" t="s">
        <v>32</v>
      </c>
      <c r="V59" s="3" t="s">
        <v>13</v>
      </c>
      <c r="W59" s="3" t="s">
        <v>14</v>
      </c>
      <c r="X59" s="3" t="s">
        <v>15</v>
      </c>
      <c r="Y59" s="3" t="s">
        <v>26</v>
      </c>
      <c r="Z59" s="3" t="s">
        <v>1026</v>
      </c>
      <c r="AA59" s="3" t="s">
        <v>47</v>
      </c>
      <c r="AB59" s="3" t="s">
        <v>49</v>
      </c>
      <c r="AC59" s="3" t="s">
        <v>17</v>
      </c>
      <c r="AD59" s="3" t="s">
        <v>32</v>
      </c>
      <c r="AE59" s="3" t="s">
        <v>13</v>
      </c>
      <c r="AF59" s="3" t="s">
        <v>14</v>
      </c>
      <c r="AG59" s="3" t="s">
        <v>15</v>
      </c>
      <c r="AH59" s="3" t="s">
        <v>26</v>
      </c>
      <c r="AI59" s="3" t="s">
        <v>1026</v>
      </c>
      <c r="AJ59" s="3" t="s">
        <v>47</v>
      </c>
      <c r="AK59" s="3" t="s">
        <v>49</v>
      </c>
      <c r="AL59" s="3" t="s">
        <v>17</v>
      </c>
      <c r="AM59" s="3" t="s">
        <v>32</v>
      </c>
      <c r="AN59" s="3" t="s">
        <v>13</v>
      </c>
      <c r="AO59" s="3" t="s">
        <v>14</v>
      </c>
      <c r="AP59" s="3" t="s">
        <v>15</v>
      </c>
      <c r="AQ59" s="3" t="s">
        <v>26</v>
      </c>
      <c r="AR59" s="3" t="s">
        <v>1026</v>
      </c>
      <c r="AS59" s="3" t="s">
        <v>47</v>
      </c>
      <c r="AT59" s="3" t="s">
        <v>49</v>
      </c>
      <c r="AU59" s="3" t="s">
        <v>17</v>
      </c>
      <c r="AV59" s="3" t="s">
        <v>32</v>
      </c>
    </row>
    <row r="60" spans="1:48" x14ac:dyDescent="0.3">
      <c r="A60" s="3" t="s">
        <v>63</v>
      </c>
      <c r="B60" s="3" t="s">
        <v>253</v>
      </c>
      <c r="C60" s="34">
        <f t="array" ref="C60">SUM(IF(('W10. Power Total Cap'!$B$50:$B$556=C$59)*('W10. Power Total Cap'!$C$50:$C$556=$A60)*('W10. Power Total Cap'!$E$49:$O$49=C$58),'W10. Power Total Cap'!$E$50:$O$556))</f>
        <v>26.141237482570887</v>
      </c>
      <c r="D60" s="34">
        <f t="array" ref="D60">SUM(IF(('W10. Power Total Cap'!$B$50:$B$556=D$59)*('W10. Power Total Cap'!$C$50:$C$556=$A60)*('W10. Power Total Cap'!$E$49:$O$49=D$58),'W10. Power Total Cap'!$E$50:$O$556))</f>
        <v>115.19693408392222</v>
      </c>
      <c r="E60" s="34">
        <f t="array" ref="E60">SUM(IF(('W10. Power Total Cap'!$B$50:$B$556=E$59)*('W10. Power Total Cap'!$C$50:$C$556=$A60)*('W10. Power Total Cap'!$E$49:$O$49=E$58),'W10. Power Total Cap'!$E$50:$O$556))</f>
        <v>117.10981417316707</v>
      </c>
      <c r="F60" s="34">
        <f t="array" ref="F60">SUM(IF(('W10. Power Total Cap'!$B$50:$B$556=F$59)*('W10. Power Total Cap'!$C$50:$C$556=$A60)*('W10. Power Total Cap'!$E$49:$O$49=F$58),'W10. Power Total Cap'!$E$50:$O$556))</f>
        <v>117.10981417316707</v>
      </c>
      <c r="G60" s="34">
        <f t="array" ref="G60">SUM(IF(('W10. Power Total Cap'!$B$50:$B$556=G$59)*('W10. Power Total Cap'!$C$50:$C$556=$A60)*('W10. Power Total Cap'!$E$49:$O$49=G$58),'W10. Power Total Cap'!$E$50:$O$556))</f>
        <v>117.10981417316707</v>
      </c>
      <c r="H60" s="34">
        <f t="array" ref="H60">SUM(IF(('W10. Power Total Cap'!$B$50:$B$556=H$59)*('W10. Power Total Cap'!$C$50:$C$556=$A60)*('W10. Power Total Cap'!$E$49:$O$49=H$58),'W10. Power Total Cap'!$E$50:$O$556))</f>
        <v>117.10981417316707</v>
      </c>
      <c r="I60" s="34">
        <f t="array" ref="I60">SUM(IF(('W10. Power Total Cap'!$B$50:$B$556=I$59)*('W10. Power Total Cap'!$C$50:$C$556=$A60)*('W10. Power Total Cap'!$E$49:$O$49=I$58),'W10. Power Total Cap'!$E$50:$O$556))</f>
        <v>117.10981417316707</v>
      </c>
      <c r="J60" s="34">
        <f t="array" ref="J60">SUM(IF(('W10. Power Total Cap'!$B$50:$B$556=J$59)*('W10. Power Total Cap'!$C$50:$C$556=$A60)*('W10. Power Total Cap'!$E$49:$O$49=J$58),'W10. Power Total Cap'!$E$50:$O$556))</f>
        <v>117.10981417316707</v>
      </c>
      <c r="K60" s="34">
        <f t="array" ref="K60">SUM(IF(('W10. Power Total Cap'!$B$50:$B$556=K$59)*('W10. Power Total Cap'!$C$50:$C$556=$A60)*('W10. Power Total Cap'!$E$49:$O$49=K$58),'W10. Power Total Cap'!$E$50:$O$556))</f>
        <v>117.10981417316707</v>
      </c>
      <c r="L60" s="34">
        <f t="array" ref="L60">SUM(IF(('W10. Power Total Cap'!$B$50:$B$556=L$59)*('W10. Power Total Cap'!$C$50:$C$556=$A60)*('W10. Power Total Cap'!$E$49:$O$49=L$58),'W10. Power Total Cap'!$E$50:$O$556))</f>
        <v>117.10981417316707</v>
      </c>
      <c r="M60" s="34">
        <f t="array" ref="M60">SUM(IF(('W10. Power Total Cap'!$B$50:$B$556=M$59)*('W10. Power Total Cap'!$C$50:$C$556=$A60)*('W10. Power Total Cap'!$E$49:$O$49=M$58),'W10. Power Total Cap'!$E$50:$O$556))</f>
        <v>294.5115641089385</v>
      </c>
      <c r="N60" s="34">
        <f t="array" ref="N60">SUM(IF(('W10. Power Total Cap'!$B$50:$B$556=N$59)*('W10. Power Total Cap'!$C$50:$C$556=$A60)*('W10. Power Total Cap'!$E$49:$O$49=N$58),'W10. Power Total Cap'!$E$50:$O$556))</f>
        <v>412.30855682261659</v>
      </c>
      <c r="O60" s="34">
        <f t="array" ref="O60">SUM(IF(('W10. Power Total Cap'!$B$50:$B$556=O$59)*('W10. Power Total Cap'!$C$50:$C$556=$A60)*('W10. Power Total Cap'!$E$49:$O$49=O$58),'W10. Power Total Cap'!$E$50:$O$556))</f>
        <v>468.24376032755191</v>
      </c>
      <c r="P60" s="34">
        <f t="array" ref="P60">SUM(IF(('W10. Power Total Cap'!$B$50:$B$556=P$59)*('W10. Power Total Cap'!$C$50:$C$556=$A60)*('W10. Power Total Cap'!$E$49:$O$49=P$58),'W10. Power Total Cap'!$E$50:$O$556))</f>
        <v>412.30855682261659</v>
      </c>
      <c r="Q60" s="34">
        <f t="array" ref="Q60">SUM(IF(('W10. Power Total Cap'!$B$50:$B$556=Q$59)*('W10. Power Total Cap'!$C$50:$C$556=$A60)*('W10. Power Total Cap'!$E$49:$O$49=Q$58),'W10. Power Total Cap'!$E$50:$O$556))</f>
        <v>506.53305555168924</v>
      </c>
      <c r="R60" s="34">
        <f t="array" ref="R60">SUM(IF(('W10. Power Total Cap'!$B$50:$B$556=R$59)*('W10. Power Total Cap'!$C$50:$C$556=$A60)*('W10. Power Total Cap'!$E$49:$O$49=R$58),'W10. Power Total Cap'!$E$50:$O$556))</f>
        <v>462.0943123400283</v>
      </c>
      <c r="S60" s="34">
        <f t="array" ref="S60">SUM(IF(('W10. Power Total Cap'!$B$50:$B$556=S$59)*('W10. Power Total Cap'!$C$50:$C$556=$A60)*('W10. Power Total Cap'!$E$49:$O$49=S$58),'W10. Power Total Cap'!$E$50:$O$556))</f>
        <v>447.12116502253241</v>
      </c>
      <c r="T60" s="34">
        <f t="array" ref="T60">SUM(IF(('W10. Power Total Cap'!$B$50:$B$556=T$59)*('W10. Power Total Cap'!$C$50:$C$556=$A60)*('W10. Power Total Cap'!$E$49:$O$49=T$58),'W10. Power Total Cap'!$E$50:$O$556))</f>
        <v>461.02071585152845</v>
      </c>
      <c r="U60" s="34">
        <f t="array" ref="U60">SUM(IF(('W10. Power Total Cap'!$B$50:$B$556=U$59)*('W10. Power Total Cap'!$C$50:$C$556=$A60)*('W10. Power Total Cap'!$E$49:$O$49=U$58),'W10. Power Total Cap'!$E$50:$O$556))</f>
        <v>483.04543249675788</v>
      </c>
      <c r="V60" s="34">
        <f t="array" ref="V60">SUM(IF(('W10. Power Total Cap'!$B$50:$B$556=V$59)*('W10. Power Total Cap'!$C$50:$C$556=$A60)*('W10. Power Total Cap'!$E$49:$O$49=V$58),'W10. Power Total Cap'!$E$50:$O$556))</f>
        <v>363.22061327463859</v>
      </c>
      <c r="W60" s="34">
        <f t="array" ref="W60">SUM(IF(('W10. Power Total Cap'!$B$50:$B$556=W$59)*('W10. Power Total Cap'!$C$50:$C$556=$A60)*('W10. Power Total Cap'!$E$49:$O$49=W$58),'W10. Power Total Cap'!$E$50:$O$556))</f>
        <v>526.48807429958981</v>
      </c>
      <c r="X60" s="34">
        <f t="array" ref="X60">SUM(IF(('W10. Power Total Cap'!$B$50:$B$556=X$59)*('W10. Power Total Cap'!$C$50:$C$556=$A60)*('W10. Power Total Cap'!$E$49:$O$49=X$58),'W10. Power Total Cap'!$E$50:$O$556))</f>
        <v>557.9020634504127</v>
      </c>
      <c r="Y60" s="34">
        <f t="array" ref="Y60">SUM(IF(('W10. Power Total Cap'!$B$50:$B$556=Y$59)*('W10. Power Total Cap'!$C$50:$C$556=$A60)*('W10. Power Total Cap'!$E$49:$O$49=Y$58),'W10. Power Total Cap'!$E$50:$O$556))</f>
        <v>602.72432369780233</v>
      </c>
      <c r="Z60" s="34">
        <f t="array" ref="Z60">SUM(IF(('W10. Power Total Cap'!$B$50:$B$556=Z$59)*('W10. Power Total Cap'!$C$50:$C$556=$A60)*('W10. Power Total Cap'!$E$49:$O$49=Z$58),'W10. Power Total Cap'!$E$50:$O$556))</f>
        <v>663.77873082690223</v>
      </c>
      <c r="AA60" s="34">
        <f t="array" ref="AA60">SUM(IF(('W10. Power Total Cap'!$B$50:$B$556=AA$59)*('W10. Power Total Cap'!$C$50:$C$556=$A60)*('W10. Power Total Cap'!$E$49:$O$49=AA$58),'W10. Power Total Cap'!$E$50:$O$556))</f>
        <v>551.0178741535799</v>
      </c>
      <c r="AB60" s="34">
        <f t="array" ref="AB60">SUM(IF(('W10. Power Total Cap'!$B$50:$B$556=AB$59)*('W10. Power Total Cap'!$C$50:$C$556=$A60)*('W10. Power Total Cap'!$E$49:$O$49=AB$58),'W10. Power Total Cap'!$E$50:$O$556))</f>
        <v>521.62774100119782</v>
      </c>
      <c r="AC60" s="34">
        <f t="array" ref="AC60">SUM(IF(('W10. Power Total Cap'!$B$50:$B$556=AC$59)*('W10. Power Total Cap'!$C$50:$C$556=$A60)*('W10. Power Total Cap'!$E$49:$O$49=AC$58),'W10. Power Total Cap'!$E$50:$O$556))</f>
        <v>549.84638534203066</v>
      </c>
      <c r="AD60" s="34">
        <f t="array" ref="AD60">SUM(IF(('W10. Power Total Cap'!$B$50:$B$556=AD$59)*('W10. Power Total Cap'!$C$50:$C$556=$A60)*('W10. Power Total Cap'!$E$49:$O$49=AD$58),'W10. Power Total Cap'!$E$50:$O$556))</f>
        <v>544.35755804249345</v>
      </c>
      <c r="AE60" s="34">
        <f t="array" ref="AE60">SUM(IF(('W10. Power Total Cap'!$B$50:$B$556=AE$59)*('W10. Power Total Cap'!$C$50:$C$556=$A60)*('W10. Power Total Cap'!$E$49:$O$49=AE$58),'W10. Power Total Cap'!$E$50:$O$556))</f>
        <v>385.85129271646855</v>
      </c>
      <c r="AF60" s="34">
        <f t="array" ref="AF60">SUM(IF(('W10. Power Total Cap'!$B$50:$B$556=AF$59)*('W10. Power Total Cap'!$C$50:$C$556=$A60)*('W10. Power Total Cap'!$E$49:$O$49=AF$58),'W10. Power Total Cap'!$E$50:$O$556))</f>
        <v>583.48774646321999</v>
      </c>
      <c r="AG60" s="34">
        <f t="array" ref="AG60">SUM(IF(('W10. Power Total Cap'!$B$50:$B$556=AG$59)*('W10. Power Total Cap'!$C$50:$C$556=$A60)*('W10. Power Total Cap'!$E$49:$O$49=AG$58),'W10. Power Total Cap'!$E$50:$O$556))</f>
        <v>610.75346473260288</v>
      </c>
      <c r="AH60" s="34">
        <f t="array" ref="AH60">SUM(IF(('W10. Power Total Cap'!$B$50:$B$556=AH$59)*('W10. Power Total Cap'!$C$50:$C$556=$A60)*('W10. Power Total Cap'!$E$49:$O$49=AH$58),'W10. Power Total Cap'!$E$50:$O$556))</f>
        <v>598.58258776190337</v>
      </c>
      <c r="AI60" s="34">
        <f t="array" ref="AI60">SUM(IF(('W10. Power Total Cap'!$B$50:$B$556=AI$59)*('W10. Power Total Cap'!$C$50:$C$556=$A60)*('W10. Power Total Cap'!$E$49:$O$49=AI$58),'W10. Power Total Cap'!$E$50:$O$556))</f>
        <v>673.14126415073338</v>
      </c>
      <c r="AJ60" s="34">
        <f t="array" ref="AJ60">SUM(IF(('W10. Power Total Cap'!$B$50:$B$556=AJ$59)*('W10. Power Total Cap'!$C$50:$C$556=$A60)*('W10. Power Total Cap'!$E$49:$O$49=AJ$58),'W10. Power Total Cap'!$E$50:$O$556))</f>
        <v>629.1176296580129</v>
      </c>
      <c r="AK60" s="34">
        <f t="array" ref="AK60">SUM(IF(('W10. Power Total Cap'!$B$50:$B$556=AK$59)*('W10. Power Total Cap'!$C$50:$C$556=$A60)*('W10. Power Total Cap'!$E$49:$O$49=AK$58),'W10. Power Total Cap'!$E$50:$O$556))</f>
        <v>616.88105498167147</v>
      </c>
      <c r="AL60" s="34">
        <f t="array" ref="AL60">SUM(IF(('W10. Power Total Cap'!$B$50:$B$556=AL$59)*('W10. Power Total Cap'!$C$50:$C$556=$A60)*('W10. Power Total Cap'!$E$49:$O$49=AL$58),'W10. Power Total Cap'!$E$50:$O$556))</f>
        <v>599.95991488381992</v>
      </c>
      <c r="AM60" s="34">
        <f t="array" ref="AM60">SUM(IF(('W10. Power Total Cap'!$B$50:$B$556=AM$59)*('W10. Power Total Cap'!$C$50:$C$556=$A60)*('W10. Power Total Cap'!$E$49:$O$49=AM$58),'W10. Power Total Cap'!$E$50:$O$556))</f>
        <v>446.16970710839274</v>
      </c>
      <c r="AN60" s="34">
        <f t="array" ref="AN60">SUM(IF(('W10. Power Total Cap'!$B$50:$B$556=AN$59)*('W10. Power Total Cap'!$C$50:$C$556=$A60)*('W10. Power Total Cap'!$E$49:$O$49=AN$58),'W10. Power Total Cap'!$E$50:$O$556))</f>
        <v>418.91814699398105</v>
      </c>
      <c r="AO60" s="34">
        <f t="array" ref="AO60">SUM(IF(('W10. Power Total Cap'!$B$50:$B$556=AO$59)*('W10. Power Total Cap'!$C$50:$C$556=$A60)*('W10. Power Total Cap'!$E$49:$O$49=AO$58),'W10. Power Total Cap'!$E$50:$O$556))</f>
        <v>665.06806730286053</v>
      </c>
      <c r="AP60" s="34">
        <f t="array" ref="AP60">SUM(IF(('W10. Power Total Cap'!$B$50:$B$556=AP$59)*('W10. Power Total Cap'!$C$50:$C$556=$A60)*('W10. Power Total Cap'!$E$49:$O$49=AP$58),'W10. Power Total Cap'!$E$50:$O$556))</f>
        <v>283.38895601919194</v>
      </c>
      <c r="AQ60" s="34">
        <f t="array" ref="AQ60">SUM(IF(('W10. Power Total Cap'!$B$50:$B$556=AQ$59)*('W10. Power Total Cap'!$C$50:$C$556=$A60)*('W10. Power Total Cap'!$E$49:$O$49=AQ$58),'W10. Power Total Cap'!$E$50:$O$556))</f>
        <v>354.96594099758909</v>
      </c>
      <c r="AR60" s="34">
        <f t="array" ref="AR60">SUM(IF(('W10. Power Total Cap'!$B$50:$B$556=AR$59)*('W10. Power Total Cap'!$C$50:$C$556=$A60)*('W10. Power Total Cap'!$E$49:$O$49=AR$58),'W10. Power Total Cap'!$E$50:$O$556))</f>
        <v>302.71914096793085</v>
      </c>
      <c r="AS60" s="34">
        <f t="array" ref="AS60">SUM(IF(('W10. Power Total Cap'!$B$50:$B$556=AS$59)*('W10. Power Total Cap'!$C$50:$C$556=$A60)*('W10. Power Total Cap'!$E$49:$O$49=AS$58),'W10. Power Total Cap'!$E$50:$O$556))</f>
        <v>317.01097662388185</v>
      </c>
      <c r="AT60" s="34">
        <f t="array" ref="AT60">SUM(IF(('W10. Power Total Cap'!$B$50:$B$556=AT$59)*('W10. Power Total Cap'!$C$50:$C$556=$A60)*('W10. Power Total Cap'!$E$49:$O$49=AT$58),'W10. Power Total Cap'!$E$50:$O$556))</f>
        <v>334.24912964660615</v>
      </c>
      <c r="AU60" s="34">
        <f t="array" ref="AU60">SUM(IF(('W10. Power Total Cap'!$B$50:$B$556=AU$59)*('W10. Power Total Cap'!$C$50:$C$556=$A60)*('W10. Power Total Cap'!$E$49:$O$49=AU$58),'W10. Power Total Cap'!$E$50:$O$556))</f>
        <v>286.71150357776838</v>
      </c>
      <c r="AV60" s="34">
        <f t="array" ref="AV60">SUM(IF(('W10. Power Total Cap'!$B$50:$B$556=AV$59)*('W10. Power Total Cap'!$C$50:$C$556=$A60)*('W10. Power Total Cap'!$E$49:$O$49=AV$58),'W10. Power Total Cap'!$E$50:$O$556))</f>
        <v>75.253159645945274</v>
      </c>
    </row>
    <row r="61" spans="1:48" x14ac:dyDescent="0.3">
      <c r="A61" s="3" t="s">
        <v>64</v>
      </c>
      <c r="B61" s="3" t="s">
        <v>254</v>
      </c>
      <c r="C61" s="34">
        <f t="array" ref="C61">SUM(IF(('W10. Power Total Cap'!$B$50:$B$556=C$59)*('W10. Power Total Cap'!$C$50:$C$556=$A61)*('W10. Power Total Cap'!$E$49:$O$49=C$58),'W10. Power Total Cap'!$E$50:$O$556))</f>
        <v>1804.9999999999993</v>
      </c>
      <c r="D61" s="34">
        <f t="array" ref="D61">SUM(IF(('W10. Power Total Cap'!$B$50:$B$556=D$59)*('W10. Power Total Cap'!$C$50:$C$556=$A61)*('W10. Power Total Cap'!$E$49:$O$49=D$58),'W10. Power Total Cap'!$E$50:$O$556))</f>
        <v>1805.0000000002444</v>
      </c>
      <c r="E61" s="34">
        <f t="array" ref="E61">SUM(IF(('W10. Power Total Cap'!$B$50:$B$556=E$59)*('W10. Power Total Cap'!$C$50:$C$556=$A61)*('W10. Power Total Cap'!$E$49:$O$49=E$58),'W10. Power Total Cap'!$E$50:$O$556))</f>
        <v>1804.9999999999993</v>
      </c>
      <c r="F61" s="34">
        <f t="array" ref="F61">SUM(IF(('W10. Power Total Cap'!$B$50:$B$556=F$59)*('W10. Power Total Cap'!$C$50:$C$556=$A61)*('W10. Power Total Cap'!$E$49:$O$49=F$58),'W10. Power Total Cap'!$E$50:$O$556))</f>
        <v>1804.9999999999993</v>
      </c>
      <c r="G61" s="34">
        <f t="array" ref="G61">SUM(IF(('W10. Power Total Cap'!$B$50:$B$556=G$59)*('W10. Power Total Cap'!$C$50:$C$556=$A61)*('W10. Power Total Cap'!$E$49:$O$49=G$58),'W10. Power Total Cap'!$E$50:$O$556))</f>
        <v>1804.9999999999993</v>
      </c>
      <c r="H61" s="34">
        <f t="array" ref="H61">SUM(IF(('W10. Power Total Cap'!$B$50:$B$556=H$59)*('W10. Power Total Cap'!$C$50:$C$556=$A61)*('W10. Power Total Cap'!$E$49:$O$49=H$58),'W10. Power Total Cap'!$E$50:$O$556))</f>
        <v>1804.9999999999993</v>
      </c>
      <c r="I61" s="34">
        <f t="array" ref="I61">SUM(IF(('W10. Power Total Cap'!$B$50:$B$556=I$59)*('W10. Power Total Cap'!$C$50:$C$556=$A61)*('W10. Power Total Cap'!$E$49:$O$49=I$58),'W10. Power Total Cap'!$E$50:$O$556))</f>
        <v>1804.9999999999993</v>
      </c>
      <c r="J61" s="34">
        <f t="array" ref="J61">SUM(IF(('W10. Power Total Cap'!$B$50:$B$556=J$59)*('W10. Power Total Cap'!$C$50:$C$556=$A61)*('W10. Power Total Cap'!$E$49:$O$49=J$58),'W10. Power Total Cap'!$E$50:$O$556))</f>
        <v>1804.9999999999993</v>
      </c>
      <c r="K61" s="34">
        <f t="array" ref="K61">SUM(IF(('W10. Power Total Cap'!$B$50:$B$556=K$59)*('W10. Power Total Cap'!$C$50:$C$556=$A61)*('W10. Power Total Cap'!$E$49:$O$49=K$58),'W10. Power Total Cap'!$E$50:$O$556))</f>
        <v>1804.9999999999993</v>
      </c>
      <c r="L61" s="34">
        <f t="array" ref="L61">SUM(IF(('W10. Power Total Cap'!$B$50:$B$556=L$59)*('W10. Power Total Cap'!$C$50:$C$556=$A61)*('W10. Power Total Cap'!$E$49:$O$49=L$58),'W10. Power Total Cap'!$E$50:$O$556))</f>
        <v>1804.9999999999993</v>
      </c>
      <c r="M61" s="34">
        <f t="array" ref="M61">SUM(IF(('W10. Power Total Cap'!$B$50:$B$556=M$59)*('W10. Power Total Cap'!$C$50:$C$556=$A61)*('W10. Power Total Cap'!$E$49:$O$49=M$58),'W10. Power Total Cap'!$E$50:$O$556))</f>
        <v>1740.8212507993535</v>
      </c>
      <c r="N61" s="34">
        <f t="array" ref="N61">SUM(IF(('W10. Power Total Cap'!$B$50:$B$556=N$59)*('W10. Power Total Cap'!$C$50:$C$556=$A61)*('W10. Power Total Cap'!$E$49:$O$49=N$58),'W10. Power Total Cap'!$E$50:$O$556))</f>
        <v>1458.8285858367421</v>
      </c>
      <c r="O61" s="34">
        <f t="array" ref="O61">SUM(IF(('W10. Power Total Cap'!$B$50:$B$556=O$59)*('W10. Power Total Cap'!$C$50:$C$556=$A61)*('W10. Power Total Cap'!$E$49:$O$49=O$58),'W10. Power Total Cap'!$E$50:$O$556))</f>
        <v>1442.4317981122206</v>
      </c>
      <c r="P61" s="34">
        <f t="array" ref="P61">SUM(IF(('W10. Power Total Cap'!$B$50:$B$556=P$59)*('W10. Power Total Cap'!$C$50:$C$556=$A61)*('W10. Power Total Cap'!$E$49:$O$49=P$58),'W10. Power Total Cap'!$E$50:$O$556))</f>
        <v>1458.8285858367421</v>
      </c>
      <c r="Q61" s="34">
        <f t="array" ref="Q61">SUM(IF(('W10. Power Total Cap'!$B$50:$B$556=Q$59)*('W10. Power Total Cap'!$C$50:$C$556=$A61)*('W10. Power Total Cap'!$E$49:$O$49=Q$58),'W10. Power Total Cap'!$E$50:$O$556))</f>
        <v>1442.4317981122206</v>
      </c>
      <c r="R61" s="34">
        <f t="array" ref="R61">SUM(IF(('W10. Power Total Cap'!$B$50:$B$556=R$59)*('W10. Power Total Cap'!$C$50:$C$556=$A61)*('W10. Power Total Cap'!$E$49:$O$49=R$58),'W10. Power Total Cap'!$E$50:$O$556))</f>
        <v>1442.4317981122206</v>
      </c>
      <c r="S61" s="34">
        <f t="array" ref="S61">SUM(IF(('W10. Power Total Cap'!$B$50:$B$556=S$59)*('W10. Power Total Cap'!$C$50:$C$556=$A61)*('W10. Power Total Cap'!$E$49:$O$49=S$58),'W10. Power Total Cap'!$E$50:$O$556))</f>
        <v>1442.4317981122206</v>
      </c>
      <c r="T61" s="34">
        <f t="array" ref="T61">SUM(IF(('W10. Power Total Cap'!$B$50:$B$556=T$59)*('W10. Power Total Cap'!$C$50:$C$556=$A61)*('W10. Power Total Cap'!$E$49:$O$49=T$58),'W10. Power Total Cap'!$E$50:$O$556))</f>
        <v>1442.4317981122206</v>
      </c>
      <c r="U61" s="34">
        <f t="array" ref="U61">SUM(IF(('W10. Power Total Cap'!$B$50:$B$556=U$59)*('W10. Power Total Cap'!$C$50:$C$556=$A61)*('W10. Power Total Cap'!$E$49:$O$49=U$58),'W10. Power Total Cap'!$E$50:$O$556))</f>
        <v>1442.4317981122206</v>
      </c>
      <c r="V61" s="34">
        <f t="array" ref="V61">SUM(IF(('W10. Power Total Cap'!$B$50:$B$556=V$59)*('W10. Power Total Cap'!$C$50:$C$556=$A61)*('W10. Power Total Cap'!$E$49:$O$49=V$58),'W10. Power Total Cap'!$E$50:$O$556))</f>
        <v>1584.5388954064945</v>
      </c>
      <c r="W61" s="34">
        <f t="array" ref="W61">SUM(IF(('W10. Power Total Cap'!$B$50:$B$556=W$59)*('W10. Power Total Cap'!$C$50:$C$556=$A61)*('W10. Power Total Cap'!$E$49:$O$49=W$58),'W10. Power Total Cap'!$E$50:$O$556))</f>
        <v>1095.9757465736116</v>
      </c>
      <c r="X61" s="34">
        <f t="array" ref="X61">SUM(IF(('W10. Power Total Cap'!$B$50:$B$556=X$59)*('W10. Power Total Cap'!$C$50:$C$556=$A61)*('W10. Power Total Cap'!$E$49:$O$49=X$58),'W10. Power Total Cap'!$E$50:$O$556))</f>
        <v>441.54204398431278</v>
      </c>
      <c r="Y61" s="34">
        <f t="array" ref="Y61">SUM(IF(('W10. Power Total Cap'!$B$50:$B$556=Y$59)*('W10. Power Total Cap'!$C$50:$C$556=$A61)*('W10. Power Total Cap'!$E$49:$O$49=Y$58),'W10. Power Total Cap'!$E$50:$O$556))</f>
        <v>457.93883170883436</v>
      </c>
      <c r="Z61" s="34">
        <f t="array" ref="Z61">SUM(IF(('W10. Power Total Cap'!$B$50:$B$556=Z$59)*('W10. Power Total Cap'!$C$50:$C$556=$A61)*('W10. Power Total Cap'!$E$49:$O$49=Z$58),'W10. Power Total Cap'!$E$50:$O$556))</f>
        <v>441.54204398431278</v>
      </c>
      <c r="AA61" s="34">
        <f t="array" ref="AA61">SUM(IF(('W10. Power Total Cap'!$B$50:$B$556=AA$59)*('W10. Power Total Cap'!$C$50:$C$556=$A61)*('W10. Power Total Cap'!$E$49:$O$49=AA$58),'W10. Power Total Cap'!$E$50:$O$556))</f>
        <v>441.54204398431278</v>
      </c>
      <c r="AB61" s="34">
        <f t="array" ref="AB61">SUM(IF(('W10. Power Total Cap'!$B$50:$B$556=AB$59)*('W10. Power Total Cap'!$C$50:$C$556=$A61)*('W10. Power Total Cap'!$E$49:$O$49=AB$58),'W10. Power Total Cap'!$E$50:$O$556))</f>
        <v>441.54204398431278</v>
      </c>
      <c r="AC61" s="34">
        <f t="array" ref="AC61">SUM(IF(('W10. Power Total Cap'!$B$50:$B$556=AC$59)*('W10. Power Total Cap'!$C$50:$C$556=$A61)*('W10. Power Total Cap'!$E$49:$O$49=AC$58),'W10. Power Total Cap'!$E$50:$O$556))</f>
        <v>441.54204398431278</v>
      </c>
      <c r="AD61" s="34">
        <f t="array" ref="AD61">SUM(IF(('W10. Power Total Cap'!$B$50:$B$556=AD$59)*('W10. Power Total Cap'!$C$50:$C$556=$A61)*('W10. Power Total Cap'!$E$49:$O$49=AD$58),'W10. Power Total Cap'!$E$50:$O$556))</f>
        <v>441.54204398431278</v>
      </c>
      <c r="AE61" s="34">
        <f t="array" ref="AE61">SUM(IF(('W10. Power Total Cap'!$B$50:$B$556=AE$59)*('W10. Power Total Cap'!$C$50:$C$556=$A61)*('W10. Power Total Cap'!$E$49:$O$49=AE$58),'W10. Power Total Cap'!$E$50:$O$556))</f>
        <v>1819.8780511749101</v>
      </c>
      <c r="AF61" s="34">
        <f t="array" ref="AF61">SUM(IF(('W10. Power Total Cap'!$B$50:$B$556=AF$59)*('W10. Power Total Cap'!$C$50:$C$556=$A61)*('W10. Power Total Cap'!$E$49:$O$49=AF$58),'W10. Power Total Cap'!$E$50:$O$556))</f>
        <v>1090.8632766975395</v>
      </c>
      <c r="AG61" s="34">
        <f t="array" ref="AG61">SUM(IF(('W10. Power Total Cap'!$B$50:$B$556=AG$59)*('W10. Power Total Cap'!$C$50:$C$556=$A61)*('W10. Power Total Cap'!$E$49:$O$49=AG$58),'W10. Power Total Cap'!$E$50:$O$556))</f>
        <v>0</v>
      </c>
      <c r="AH61" s="34">
        <f t="array" ref="AH61">SUM(IF(('W10. Power Total Cap'!$B$50:$B$556=AH$59)*('W10. Power Total Cap'!$C$50:$C$556=$A61)*('W10. Power Total Cap'!$E$49:$O$49=AH$58),'W10. Power Total Cap'!$E$50:$O$556))</f>
        <v>16.396787724521602</v>
      </c>
      <c r="AI61" s="34">
        <f t="array" ref="AI61">SUM(IF(('W10. Power Total Cap'!$B$50:$B$556=AI$59)*('W10. Power Total Cap'!$C$50:$C$556=$A61)*('W10. Power Total Cap'!$E$49:$O$49=AI$58),'W10. Power Total Cap'!$E$50:$O$556))</f>
        <v>0</v>
      </c>
      <c r="AJ61" s="34">
        <f t="array" ref="AJ61">SUM(IF(('W10. Power Total Cap'!$B$50:$B$556=AJ$59)*('W10. Power Total Cap'!$C$50:$C$556=$A61)*('W10. Power Total Cap'!$E$49:$O$49=AJ$58),'W10. Power Total Cap'!$E$50:$O$556))</f>
        <v>0</v>
      </c>
      <c r="AK61" s="34">
        <f t="array" ref="AK61">SUM(IF(('W10. Power Total Cap'!$B$50:$B$556=AK$59)*('W10. Power Total Cap'!$C$50:$C$556=$A61)*('W10. Power Total Cap'!$E$49:$O$49=AK$58),'W10. Power Total Cap'!$E$50:$O$556))</f>
        <v>0</v>
      </c>
      <c r="AL61" s="34">
        <f t="array" ref="AL61">SUM(IF(('W10. Power Total Cap'!$B$50:$B$556=AL$59)*('W10. Power Total Cap'!$C$50:$C$556=$A61)*('W10. Power Total Cap'!$E$49:$O$49=AL$58),'W10. Power Total Cap'!$E$50:$O$556))</f>
        <v>0</v>
      </c>
      <c r="AM61" s="34">
        <f t="array" ref="AM61">SUM(IF(('W10. Power Total Cap'!$B$50:$B$556=AM$59)*('W10. Power Total Cap'!$C$50:$C$556=$A61)*('W10. Power Total Cap'!$E$49:$O$49=AM$58),'W10. Power Total Cap'!$E$50:$O$556))</f>
        <v>0</v>
      </c>
      <c r="AN61" s="34">
        <f t="array" ref="AN61">SUM(IF(('W10. Power Total Cap'!$B$50:$B$556=AN$59)*('W10. Power Total Cap'!$C$50:$C$556=$A61)*('W10. Power Total Cap'!$E$49:$O$49=AN$58),'W10. Power Total Cap'!$E$50:$O$556))</f>
        <v>2144.2997796057521</v>
      </c>
      <c r="AO61" s="34">
        <f t="array" ref="AO61">SUM(IF(('W10. Power Total Cap'!$B$50:$B$556=AO$59)*('W10. Power Total Cap'!$C$50:$C$556=$A61)*('W10. Power Total Cap'!$E$49:$O$49=AO$58),'W10. Power Total Cap'!$E$50:$O$556))</f>
        <v>1278.0386110736936</v>
      </c>
      <c r="AP61" s="34">
        <f t="array" ref="AP61">SUM(IF(('W10. Power Total Cap'!$B$50:$B$556=AP$59)*('W10. Power Total Cap'!$C$50:$C$556=$A61)*('W10. Power Total Cap'!$E$49:$O$49=AP$58),'W10. Power Total Cap'!$E$50:$O$556))</f>
        <v>0</v>
      </c>
      <c r="AQ61" s="34">
        <f t="array" ref="AQ61">SUM(IF(('W10. Power Total Cap'!$B$50:$B$556=AQ$59)*('W10. Power Total Cap'!$C$50:$C$556=$A61)*('W10. Power Total Cap'!$E$49:$O$49=AQ$58),'W10. Power Total Cap'!$E$50:$O$556))</f>
        <v>0</v>
      </c>
      <c r="AR61" s="34">
        <f t="array" ref="AR61">SUM(IF(('W10. Power Total Cap'!$B$50:$B$556=AR$59)*('W10. Power Total Cap'!$C$50:$C$556=$A61)*('W10. Power Total Cap'!$E$49:$O$49=AR$58),'W10. Power Total Cap'!$E$50:$O$556))</f>
        <v>0</v>
      </c>
      <c r="AS61" s="34">
        <f t="array" ref="AS61">SUM(IF(('W10. Power Total Cap'!$B$50:$B$556=AS$59)*('W10. Power Total Cap'!$C$50:$C$556=$A61)*('W10. Power Total Cap'!$E$49:$O$49=AS$58),'W10. Power Total Cap'!$E$50:$O$556))</f>
        <v>0</v>
      </c>
      <c r="AT61" s="34">
        <f t="array" ref="AT61">SUM(IF(('W10. Power Total Cap'!$B$50:$B$556=AT$59)*('W10. Power Total Cap'!$C$50:$C$556=$A61)*('W10. Power Total Cap'!$E$49:$O$49=AT$58),'W10. Power Total Cap'!$E$50:$O$556))</f>
        <v>0</v>
      </c>
      <c r="AU61" s="34">
        <f t="array" ref="AU61">SUM(IF(('W10. Power Total Cap'!$B$50:$B$556=AU$59)*('W10. Power Total Cap'!$C$50:$C$556=$A61)*('W10. Power Total Cap'!$E$49:$O$49=AU$58),'W10. Power Total Cap'!$E$50:$O$556))</f>
        <v>0</v>
      </c>
      <c r="AV61" s="34">
        <f t="array" ref="AV61">SUM(IF(('W10. Power Total Cap'!$B$50:$B$556=AV$59)*('W10. Power Total Cap'!$C$50:$C$556=$A61)*('W10. Power Total Cap'!$E$49:$O$49=AV$58),'W10. Power Total Cap'!$E$50:$O$556))</f>
        <v>0</v>
      </c>
    </row>
    <row r="62" spans="1:48" x14ac:dyDescent="0.3">
      <c r="A62" s="3" t="s">
        <v>65</v>
      </c>
      <c r="B62" s="3" t="s">
        <v>255</v>
      </c>
      <c r="C62" s="34">
        <f t="array" ref="C62">SUM(IF(('W10. Power Total Cap'!$B$50:$B$556=C$59)*('W10. Power Total Cap'!$C$50:$C$556=$A62)*('W10. Power Total Cap'!$E$49:$O$49=C$58),'W10. Power Total Cap'!$E$50:$O$556))</f>
        <v>1634.5557819505236</v>
      </c>
      <c r="D62" s="34">
        <f t="array" ref="D62">SUM(IF(('W10. Power Total Cap'!$B$50:$B$556=D$59)*('W10. Power Total Cap'!$C$50:$C$556=$A62)*('W10. Power Total Cap'!$E$49:$O$49=D$58),'W10. Power Total Cap'!$E$50:$O$556))</f>
        <v>1947.6897991672449</v>
      </c>
      <c r="E62" s="34">
        <f t="array" ref="E62">SUM(IF(('W10. Power Total Cap'!$B$50:$B$556=E$59)*('W10. Power Total Cap'!$C$50:$C$556=$A62)*('W10. Power Total Cap'!$E$49:$O$49=E$58),'W10. Power Total Cap'!$E$50:$O$556))</f>
        <v>2111.6960266729702</v>
      </c>
      <c r="F62" s="34">
        <f t="array" ref="F62">SUM(IF(('W10. Power Total Cap'!$B$50:$B$556=F$59)*('W10. Power Total Cap'!$C$50:$C$556=$A62)*('W10. Power Total Cap'!$E$49:$O$49=F$58),'W10. Power Total Cap'!$E$50:$O$556))</f>
        <v>2111.6960266729702</v>
      </c>
      <c r="G62" s="34">
        <f t="array" ref="G62">SUM(IF(('W10. Power Total Cap'!$B$50:$B$556=G$59)*('W10. Power Total Cap'!$C$50:$C$556=$A62)*('W10. Power Total Cap'!$E$49:$O$49=G$58),'W10. Power Total Cap'!$E$50:$O$556))</f>
        <v>2111.6960266729702</v>
      </c>
      <c r="H62" s="34">
        <f t="array" ref="H62">SUM(IF(('W10. Power Total Cap'!$B$50:$B$556=H$59)*('W10. Power Total Cap'!$C$50:$C$556=$A62)*('W10. Power Total Cap'!$E$49:$O$49=H$58),'W10. Power Total Cap'!$E$50:$O$556))</f>
        <v>2111.6960266729702</v>
      </c>
      <c r="I62" s="34">
        <f t="array" ref="I62">SUM(IF(('W10. Power Total Cap'!$B$50:$B$556=I$59)*('W10. Power Total Cap'!$C$50:$C$556=$A62)*('W10. Power Total Cap'!$E$49:$O$49=I$58),'W10. Power Total Cap'!$E$50:$O$556))</f>
        <v>2111.6960266729702</v>
      </c>
      <c r="J62" s="34">
        <f t="array" ref="J62">SUM(IF(('W10. Power Total Cap'!$B$50:$B$556=J$59)*('W10. Power Total Cap'!$C$50:$C$556=$A62)*('W10. Power Total Cap'!$E$49:$O$49=J$58),'W10. Power Total Cap'!$E$50:$O$556))</f>
        <v>2111.6960266729702</v>
      </c>
      <c r="K62" s="34">
        <f t="array" ref="K62">SUM(IF(('W10. Power Total Cap'!$B$50:$B$556=K$59)*('W10. Power Total Cap'!$C$50:$C$556=$A62)*('W10. Power Total Cap'!$E$49:$O$49=K$58),'W10. Power Total Cap'!$E$50:$O$556))</f>
        <v>2111.6960266729702</v>
      </c>
      <c r="L62" s="34">
        <f t="array" ref="L62">SUM(IF(('W10. Power Total Cap'!$B$50:$B$556=L$59)*('W10. Power Total Cap'!$C$50:$C$556=$A62)*('W10. Power Total Cap'!$E$49:$O$49=L$58),'W10. Power Total Cap'!$E$50:$O$556))</f>
        <v>2111.6960266729702</v>
      </c>
      <c r="M62" s="34">
        <f t="array" ref="M62">SUM(IF(('W10. Power Total Cap'!$B$50:$B$556=M$59)*('W10. Power Total Cap'!$C$50:$C$556=$A62)*('W10. Power Total Cap'!$E$49:$O$49=M$58),'W10. Power Total Cap'!$E$50:$O$556))</f>
        <v>1789.9146647792879</v>
      </c>
      <c r="N62" s="34">
        <f t="array" ref="N62">SUM(IF(('W10. Power Total Cap'!$B$50:$B$556=N$59)*('W10. Power Total Cap'!$C$50:$C$556=$A62)*('W10. Power Total Cap'!$E$49:$O$49=N$58),'W10. Power Total Cap'!$E$50:$O$556))</f>
        <v>1960.1606269560627</v>
      </c>
      <c r="O62" s="34">
        <f t="array" ref="O62">SUM(IF(('W10. Power Total Cap'!$B$50:$B$556=O$59)*('W10. Power Total Cap'!$C$50:$C$556=$A62)*('W10. Power Total Cap'!$E$49:$O$49=O$58),'W10. Power Total Cap'!$E$50:$O$556))</f>
        <v>2002.1660525758043</v>
      </c>
      <c r="P62" s="34">
        <f t="array" ref="P62">SUM(IF(('W10. Power Total Cap'!$B$50:$B$556=P$59)*('W10. Power Total Cap'!$C$50:$C$556=$A62)*('W10. Power Total Cap'!$E$49:$O$49=P$58),'W10. Power Total Cap'!$E$50:$O$556))</f>
        <v>1960.1606269560627</v>
      </c>
      <c r="Q62" s="34">
        <f t="array" ref="Q62">SUM(IF(('W10. Power Total Cap'!$B$50:$B$556=Q$59)*('W10. Power Total Cap'!$C$50:$C$556=$A62)*('W10. Power Total Cap'!$E$49:$O$49=Q$58),'W10. Power Total Cap'!$E$50:$O$556))</f>
        <v>2017.979777004884</v>
      </c>
      <c r="R62" s="34">
        <f t="array" ref="R62">SUM(IF(('W10. Power Total Cap'!$B$50:$B$556=R$59)*('W10. Power Total Cap'!$C$50:$C$556=$A62)*('W10. Power Total Cap'!$E$49:$O$49=R$58),'W10. Power Total Cap'!$E$50:$O$556))</f>
        <v>1976.8103500106909</v>
      </c>
      <c r="S62" s="34">
        <f t="array" ref="S62">SUM(IF(('W10. Power Total Cap'!$B$50:$B$556=S$59)*('W10. Power Total Cap'!$C$50:$C$556=$A62)*('W10. Power Total Cap'!$E$49:$O$49=S$58),'W10. Power Total Cap'!$E$50:$O$556))</f>
        <v>1971.0573674042437</v>
      </c>
      <c r="T62" s="34">
        <f t="array" ref="T62">SUM(IF(('W10. Power Total Cap'!$B$50:$B$556=T$59)*('W10. Power Total Cap'!$C$50:$C$556=$A62)*('W10. Power Total Cap'!$E$49:$O$49=T$58),'W10. Power Total Cap'!$E$50:$O$556))</f>
        <v>2004.4093899500158</v>
      </c>
      <c r="U62" s="34">
        <f t="array" ref="U62">SUM(IF(('W10. Power Total Cap'!$B$50:$B$556=U$59)*('W10. Power Total Cap'!$C$50:$C$556=$A62)*('W10. Power Total Cap'!$E$49:$O$49=U$58),'W10. Power Total Cap'!$E$50:$O$556))</f>
        <v>1994.6462012378381</v>
      </c>
      <c r="V62" s="34">
        <f t="array" ref="V62">SUM(IF(('W10. Power Total Cap'!$B$50:$B$556=V$59)*('W10. Power Total Cap'!$C$50:$C$556=$A62)*('W10. Power Total Cap'!$E$49:$O$49=V$58),'W10. Power Total Cap'!$E$50:$O$556))</f>
        <v>871.74207327912848</v>
      </c>
      <c r="W62" s="34">
        <f t="array" ref="W62">SUM(IF(('W10. Power Total Cap'!$B$50:$B$556=W$59)*('W10. Power Total Cap'!$C$50:$C$556=$A62)*('W10. Power Total Cap'!$E$49:$O$49=W$58),'W10. Power Total Cap'!$E$50:$O$556))</f>
        <v>996.43868294397259</v>
      </c>
      <c r="X62" s="34">
        <f t="array" ref="X62">SUM(IF(('W10. Power Total Cap'!$B$50:$B$556=X$59)*('W10. Power Total Cap'!$C$50:$C$556=$A62)*('W10. Power Total Cap'!$E$49:$O$49=X$58),'W10. Power Total Cap'!$E$50:$O$556))</f>
        <v>1058.242165440814</v>
      </c>
      <c r="Y62" s="34">
        <f t="array" ref="Y62">SUM(IF(('W10. Power Total Cap'!$B$50:$B$556=Y$59)*('W10. Power Total Cap'!$C$50:$C$556=$A62)*('W10. Power Total Cap'!$E$49:$O$49=Y$58),'W10. Power Total Cap'!$E$50:$O$556))</f>
        <v>1058.3579543674473</v>
      </c>
      <c r="Z62" s="34">
        <f t="array" ref="Z62">SUM(IF(('W10. Power Total Cap'!$B$50:$B$556=Z$59)*('W10. Power Total Cap'!$C$50:$C$556=$A62)*('W10. Power Total Cap'!$E$49:$O$49=Z$58),'W10. Power Total Cap'!$E$50:$O$556))</f>
        <v>1239.3547694159229</v>
      </c>
      <c r="AA62" s="34">
        <f t="array" ref="AA62">SUM(IF(('W10. Power Total Cap'!$B$50:$B$556=AA$59)*('W10. Power Total Cap'!$C$50:$C$556=$A62)*('W10. Power Total Cap'!$E$49:$O$49=AA$58),'W10. Power Total Cap'!$E$50:$O$556))</f>
        <v>1095.8969996109838</v>
      </c>
      <c r="AB62" s="34">
        <f t="array" ref="AB62">SUM(IF(('W10. Power Total Cap'!$B$50:$B$556=AB$59)*('W10. Power Total Cap'!$C$50:$C$556=$A62)*('W10. Power Total Cap'!$E$49:$O$49=AB$58),'W10. Power Total Cap'!$E$50:$O$556))</f>
        <v>1046.0505586919462</v>
      </c>
      <c r="AC62" s="34">
        <f t="array" ref="AC62">SUM(IF(('W10. Power Total Cap'!$B$50:$B$556=AC$59)*('W10. Power Total Cap'!$C$50:$C$556=$A62)*('W10. Power Total Cap'!$E$49:$O$49=AC$58),'W10. Power Total Cap'!$E$50:$O$556))</f>
        <v>1062.7529607804904</v>
      </c>
      <c r="AD62" s="34">
        <f t="array" ref="AD62">SUM(IF(('W10. Power Total Cap'!$B$50:$B$556=AD$59)*('W10. Power Total Cap'!$C$50:$C$556=$A62)*('W10. Power Total Cap'!$E$49:$O$49=AD$58),'W10. Power Total Cap'!$E$50:$O$556))</f>
        <v>1032.0562107789124</v>
      </c>
      <c r="AE62" s="34">
        <f t="array" ref="AE62">SUM(IF(('W10. Power Total Cap'!$B$50:$B$556=AE$59)*('W10. Power Total Cap'!$C$50:$C$556=$A62)*('W10. Power Total Cap'!$E$49:$O$49=AE$58),'W10. Power Total Cap'!$E$50:$O$556))</f>
        <v>284.30689586647532</v>
      </c>
      <c r="AF62" s="34">
        <f t="array" ref="AF62">SUM(IF(('W10. Power Total Cap'!$B$50:$B$556=AF$59)*('W10. Power Total Cap'!$C$50:$C$556=$A62)*('W10. Power Total Cap'!$E$49:$O$49=AF$58),'W10. Power Total Cap'!$E$50:$O$556))</f>
        <v>316.02297625320142</v>
      </c>
      <c r="AG62" s="34">
        <f t="array" ref="AG62">SUM(IF(('W10. Power Total Cap'!$B$50:$B$556=AG$59)*('W10. Power Total Cap'!$C$50:$C$556=$A62)*('W10. Power Total Cap'!$E$49:$O$49=AG$58),'W10. Power Total Cap'!$E$50:$O$556))</f>
        <v>668.77031925613198</v>
      </c>
      <c r="AH62" s="34">
        <f t="array" ref="AH62">SUM(IF(('W10. Power Total Cap'!$B$50:$B$556=AH$59)*('W10. Power Total Cap'!$C$50:$C$556=$A62)*('W10. Power Total Cap'!$E$49:$O$49=AH$58),'W10. Power Total Cap'!$E$50:$O$556))</f>
        <v>671.80423969475453</v>
      </c>
      <c r="AI62" s="34">
        <f t="array" ref="AI62">SUM(IF(('W10. Power Total Cap'!$B$50:$B$556=AI$59)*('W10. Power Total Cap'!$C$50:$C$556=$A62)*('W10. Power Total Cap'!$E$49:$O$49=AI$58),'W10. Power Total Cap'!$E$50:$O$556))</f>
        <v>854.51022114446994</v>
      </c>
      <c r="AJ62" s="34">
        <f t="array" ref="AJ62">SUM(IF(('W10. Power Total Cap'!$B$50:$B$556=AJ$59)*('W10. Power Total Cap'!$C$50:$C$556=$A62)*('W10. Power Total Cap'!$E$49:$O$49=AJ$58),'W10. Power Total Cap'!$E$50:$O$556))</f>
        <v>762.4666618312782</v>
      </c>
      <c r="AK62" s="34">
        <f t="array" ref="AK62">SUM(IF(('W10. Power Total Cap'!$B$50:$B$556=AK$59)*('W10. Power Total Cap'!$C$50:$C$556=$A62)*('W10. Power Total Cap'!$E$49:$O$49=AK$58),'W10. Power Total Cap'!$E$50:$O$556))</f>
        <v>458.26907672564863</v>
      </c>
      <c r="AL62" s="34">
        <f t="array" ref="AL62">SUM(IF(('W10. Power Total Cap'!$B$50:$B$556=AL$59)*('W10. Power Total Cap'!$C$50:$C$556=$A62)*('W10. Power Total Cap'!$E$49:$O$49=AL$58),'W10. Power Total Cap'!$E$50:$O$556))</f>
        <v>675.53050608726471</v>
      </c>
      <c r="AM62" s="34">
        <f t="array" ref="AM62">SUM(IF(('W10. Power Total Cap'!$B$50:$B$556=AM$59)*('W10. Power Total Cap'!$C$50:$C$556=$A62)*('W10. Power Total Cap'!$E$49:$O$49=AM$58),'W10. Power Total Cap'!$E$50:$O$556))</f>
        <v>752.64637331973086</v>
      </c>
      <c r="AN62" s="34">
        <f t="array" ref="AN62">SUM(IF(('W10. Power Total Cap'!$B$50:$B$556=AN$59)*('W10. Power Total Cap'!$C$50:$C$556=$A62)*('W10. Power Total Cap'!$E$49:$O$49=AN$58),'W10. Power Total Cap'!$E$50:$O$556))</f>
        <v>831.00869184328883</v>
      </c>
      <c r="AO62" s="34">
        <f t="array" ref="AO62">SUM(IF(('W10. Power Total Cap'!$B$50:$B$556=AO$59)*('W10. Power Total Cap'!$C$50:$C$556=$A62)*('W10. Power Total Cap'!$E$49:$O$49=AO$58),'W10. Power Total Cap'!$E$50:$O$556))</f>
        <v>653.7658779667247</v>
      </c>
      <c r="AP62" s="34">
        <f t="array" ref="AP62">SUM(IF(('W10. Power Total Cap'!$B$50:$B$556=AP$59)*('W10. Power Total Cap'!$C$50:$C$556=$A62)*('W10. Power Total Cap'!$E$49:$O$49=AP$58),'W10. Power Total Cap'!$E$50:$O$556))</f>
        <v>1027.3259882110247</v>
      </c>
      <c r="AQ62" s="34">
        <f t="array" ref="AQ62">SUM(IF(('W10. Power Total Cap'!$B$50:$B$556=AQ$59)*('W10. Power Total Cap'!$C$50:$C$556=$A62)*('W10. Power Total Cap'!$E$49:$O$49=AQ$58),'W10. Power Total Cap'!$E$50:$O$556))</f>
        <v>1023.2466793825735</v>
      </c>
      <c r="AR62" s="34">
        <f t="array" ref="AR62">SUM(IF(('W10. Power Total Cap'!$B$50:$B$556=AR$59)*('W10. Power Total Cap'!$C$50:$C$556=$A62)*('W10. Power Total Cap'!$E$49:$O$49=AR$58),'W10. Power Total Cap'!$E$50:$O$556))</f>
        <v>1133.3085994955002</v>
      </c>
      <c r="AS62" s="34">
        <f t="array" ref="AS62">SUM(IF(('W10. Power Total Cap'!$B$50:$B$556=AS$59)*('W10. Power Total Cap'!$C$50:$C$556=$A62)*('W10. Power Total Cap'!$E$49:$O$49=AS$58),'W10. Power Total Cap'!$E$50:$O$556))</f>
        <v>1155.1504580055091</v>
      </c>
      <c r="AT62" s="34">
        <f t="array" ref="AT62">SUM(IF(('W10. Power Total Cap'!$B$50:$B$556=AT$59)*('W10. Power Total Cap'!$C$50:$C$556=$A62)*('W10. Power Total Cap'!$E$49:$O$49=AT$58),'W10. Power Total Cap'!$E$50:$O$556))</f>
        <v>569.17027161424721</v>
      </c>
      <c r="AU62" s="34">
        <f t="array" ref="AU62">SUM(IF(('W10. Power Total Cap'!$B$50:$B$556=AU$59)*('W10. Power Total Cap'!$C$50:$C$556=$A62)*('W10. Power Total Cap'!$E$49:$O$49=AU$58),'W10. Power Total Cap'!$E$50:$O$556))</f>
        <v>1032.9074575086561</v>
      </c>
      <c r="AV62" s="34">
        <f t="array" ref="AV62">SUM(IF(('W10. Power Total Cap'!$B$50:$B$556=AV$59)*('W10. Power Total Cap'!$C$50:$C$556=$A62)*('W10. Power Total Cap'!$E$49:$O$49=AV$58),'W10. Power Total Cap'!$E$50:$O$556))</f>
        <v>817.91711333022749</v>
      </c>
    </row>
    <row r="63" spans="1:48" x14ac:dyDescent="0.3">
      <c r="A63" s="3" t="s">
        <v>66</v>
      </c>
      <c r="B63" s="3" t="s">
        <v>258</v>
      </c>
      <c r="C63" s="34">
        <f t="array" ref="C63">SUM(IF(('W10. Power Total Cap'!$B$50:$B$556=C$59)*('W10. Power Total Cap'!$C$50:$C$556=$A63)*('W10. Power Total Cap'!$E$49:$O$49=C$58),'W10. Power Total Cap'!$E$50:$O$556))</f>
        <v>28.670816918420648</v>
      </c>
      <c r="D63" s="34">
        <f t="array" ref="D63">SUM(IF(('W10. Power Total Cap'!$B$50:$B$556=D$59)*('W10. Power Total Cap'!$C$50:$C$556=$A63)*('W10. Power Total Cap'!$E$49:$O$49=D$58),'W10. Power Total Cap'!$E$50:$O$556))</f>
        <v>107.99446428996205</v>
      </c>
      <c r="E63" s="34">
        <f t="array" ref="E63">SUM(IF(('W10. Power Total Cap'!$B$50:$B$556=E$59)*('W10. Power Total Cap'!$C$50:$C$556=$A63)*('W10. Power Total Cap'!$E$49:$O$49=E$58),'W10. Power Total Cap'!$E$50:$O$556))</f>
        <v>113.13800421894352</v>
      </c>
      <c r="F63" s="34">
        <f t="array" ref="F63">SUM(IF(('W10. Power Total Cap'!$B$50:$B$556=F$59)*('W10. Power Total Cap'!$C$50:$C$556=$A63)*('W10. Power Total Cap'!$E$49:$O$49=F$58),'W10. Power Total Cap'!$E$50:$O$556))</f>
        <v>113.13800421894352</v>
      </c>
      <c r="G63" s="34">
        <f t="array" ref="G63">SUM(IF(('W10. Power Total Cap'!$B$50:$B$556=G$59)*('W10. Power Total Cap'!$C$50:$C$556=$A63)*('W10. Power Total Cap'!$E$49:$O$49=G$58),'W10. Power Total Cap'!$E$50:$O$556))</f>
        <v>113.13800421894352</v>
      </c>
      <c r="H63" s="34">
        <f t="array" ref="H63">SUM(IF(('W10. Power Total Cap'!$B$50:$B$556=H$59)*('W10. Power Total Cap'!$C$50:$C$556=$A63)*('W10. Power Total Cap'!$E$49:$O$49=H$58),'W10. Power Total Cap'!$E$50:$O$556))</f>
        <v>113.13800421894352</v>
      </c>
      <c r="I63" s="34">
        <f t="array" ref="I63">SUM(IF(('W10. Power Total Cap'!$B$50:$B$556=I$59)*('W10. Power Total Cap'!$C$50:$C$556=$A63)*('W10. Power Total Cap'!$E$49:$O$49=I$58),'W10. Power Total Cap'!$E$50:$O$556))</f>
        <v>113.13800421894352</v>
      </c>
      <c r="J63" s="34">
        <f t="array" ref="J63">SUM(IF(('W10. Power Total Cap'!$B$50:$B$556=J$59)*('W10. Power Total Cap'!$C$50:$C$556=$A63)*('W10. Power Total Cap'!$E$49:$O$49=J$58),'W10. Power Total Cap'!$E$50:$O$556))</f>
        <v>113.13800421894352</v>
      </c>
      <c r="K63" s="34">
        <f t="array" ref="K63">SUM(IF(('W10. Power Total Cap'!$B$50:$B$556=K$59)*('W10. Power Total Cap'!$C$50:$C$556=$A63)*('W10. Power Total Cap'!$E$49:$O$49=K$58),'W10. Power Total Cap'!$E$50:$O$556))</f>
        <v>113.13800421894352</v>
      </c>
      <c r="L63" s="34">
        <f t="array" ref="L63">SUM(IF(('W10. Power Total Cap'!$B$50:$B$556=L$59)*('W10. Power Total Cap'!$C$50:$C$556=$A63)*('W10. Power Total Cap'!$E$49:$O$49=L$58),'W10. Power Total Cap'!$E$50:$O$556))</f>
        <v>113.13800421894352</v>
      </c>
      <c r="M63" s="34">
        <f t="array" ref="M63">SUM(IF(('W10. Power Total Cap'!$B$50:$B$556=M$59)*('W10. Power Total Cap'!$C$50:$C$556=$A63)*('W10. Power Total Cap'!$E$49:$O$49=M$58),'W10. Power Total Cap'!$E$50:$O$556))</f>
        <v>149.78966655058667</v>
      </c>
      <c r="N63" s="34">
        <f t="array" ref="N63">SUM(IF(('W10. Power Total Cap'!$B$50:$B$556=N$59)*('W10. Power Total Cap'!$C$50:$C$556=$A63)*('W10. Power Total Cap'!$E$49:$O$49=N$58),'W10. Power Total Cap'!$E$50:$O$556))</f>
        <v>158.43269338625092</v>
      </c>
      <c r="O63" s="34">
        <f t="array" ref="O63">SUM(IF(('W10. Power Total Cap'!$B$50:$B$556=O$59)*('W10. Power Total Cap'!$C$50:$C$556=$A63)*('W10. Power Total Cap'!$E$49:$O$49=O$58),'W10. Power Total Cap'!$E$50:$O$556))</f>
        <v>158.8032517201448</v>
      </c>
      <c r="P63" s="34">
        <f t="array" ref="P63">SUM(IF(('W10. Power Total Cap'!$B$50:$B$556=P$59)*('W10. Power Total Cap'!$C$50:$C$556=$A63)*('W10. Power Total Cap'!$E$49:$O$49=P$58),'W10. Power Total Cap'!$E$50:$O$556))</f>
        <v>158.43269338625092</v>
      </c>
      <c r="Q63" s="34">
        <f t="array" ref="Q63">SUM(IF(('W10. Power Total Cap'!$B$50:$B$556=Q$59)*('W10. Power Total Cap'!$C$50:$C$556=$A63)*('W10. Power Total Cap'!$E$49:$O$49=Q$58),'W10. Power Total Cap'!$E$50:$O$556))</f>
        <v>158.8032517201448</v>
      </c>
      <c r="R63" s="34">
        <f t="array" ref="R63">SUM(IF(('W10. Power Total Cap'!$B$50:$B$556=R$59)*('W10. Power Total Cap'!$C$50:$C$556=$A63)*('W10. Power Total Cap'!$E$49:$O$49=R$58),'W10. Power Total Cap'!$E$50:$O$556))</f>
        <v>158.8032517201448</v>
      </c>
      <c r="S63" s="34">
        <f t="array" ref="S63">SUM(IF(('W10. Power Total Cap'!$B$50:$B$556=S$59)*('W10. Power Total Cap'!$C$50:$C$556=$A63)*('W10. Power Total Cap'!$E$49:$O$49=S$58),'W10. Power Total Cap'!$E$50:$O$556))</f>
        <v>158.8032517201448</v>
      </c>
      <c r="T63" s="34">
        <f t="array" ref="T63">SUM(IF(('W10. Power Total Cap'!$B$50:$B$556=T$59)*('W10. Power Total Cap'!$C$50:$C$556=$A63)*('W10. Power Total Cap'!$E$49:$O$49=T$58),'W10. Power Total Cap'!$E$50:$O$556))</f>
        <v>158.8032517201448</v>
      </c>
      <c r="U63" s="34">
        <f t="array" ref="U63">SUM(IF(('W10. Power Total Cap'!$B$50:$B$556=U$59)*('W10. Power Total Cap'!$C$50:$C$556=$A63)*('W10. Power Total Cap'!$E$49:$O$49=U$58),'W10. Power Total Cap'!$E$50:$O$556))</f>
        <v>158.8032517201448</v>
      </c>
      <c r="V63" s="34">
        <f t="array" ref="V63">SUM(IF(('W10. Power Total Cap'!$B$50:$B$556=V$59)*('W10. Power Total Cap'!$C$50:$C$556=$A63)*('W10. Power Total Cap'!$E$49:$O$49=V$58),'W10. Power Total Cap'!$E$50:$O$556))</f>
        <v>197.90967920776538</v>
      </c>
      <c r="W63" s="34">
        <f t="array" ref="W63">SUM(IF(('W10. Power Total Cap'!$B$50:$B$556=W$59)*('W10. Power Total Cap'!$C$50:$C$556=$A63)*('W10. Power Total Cap'!$E$49:$O$49=W$58),'W10. Power Total Cap'!$E$50:$O$556))</f>
        <v>203.7273825535583</v>
      </c>
      <c r="X63" s="34">
        <f t="array" ref="X63">SUM(IF(('W10. Power Total Cap'!$B$50:$B$556=X$59)*('W10. Power Total Cap'!$C$50:$C$556=$A63)*('W10. Power Total Cap'!$E$49:$O$49=X$58),'W10. Power Total Cap'!$E$50:$O$556))</f>
        <v>205.64870976853155</v>
      </c>
      <c r="Y63" s="34">
        <f t="array" ref="Y63">SUM(IF(('W10. Power Total Cap'!$B$50:$B$556=Y$59)*('W10. Power Total Cap'!$C$50:$C$556=$A63)*('W10. Power Total Cap'!$E$49:$O$49=Y$58),'W10. Power Total Cap'!$E$50:$O$556))</f>
        <v>205.64884015603394</v>
      </c>
      <c r="Z63" s="34">
        <f t="array" ref="Z63">SUM(IF(('W10. Power Total Cap'!$B$50:$B$556=Z$59)*('W10. Power Total Cap'!$C$50:$C$556=$A63)*('W10. Power Total Cap'!$E$49:$O$49=Z$58),'W10. Power Total Cap'!$E$50:$O$556))</f>
        <v>205.33658921928395</v>
      </c>
      <c r="AA63" s="34">
        <f t="array" ref="AA63">SUM(IF(('W10. Power Total Cap'!$B$50:$B$556=AA$59)*('W10. Power Total Cap'!$C$50:$C$556=$A63)*('W10. Power Total Cap'!$E$49:$O$49=AA$58),'W10. Power Total Cap'!$E$50:$O$556))</f>
        <v>205.27815143463766</v>
      </c>
      <c r="AB63" s="34">
        <f t="array" ref="AB63">SUM(IF(('W10. Power Total Cap'!$B$50:$B$556=AB$59)*('W10. Power Total Cap'!$C$50:$C$556=$A63)*('W10. Power Total Cap'!$E$49:$O$49=AB$58),'W10. Power Total Cap'!$E$50:$O$556))</f>
        <v>204.46849922134606</v>
      </c>
      <c r="AC63" s="34">
        <f t="array" ref="AC63">SUM(IF(('W10. Power Total Cap'!$B$50:$B$556=AC$59)*('W10. Power Total Cap'!$C$50:$C$556=$A63)*('W10. Power Total Cap'!$E$49:$O$49=AC$58),'W10. Power Total Cap'!$E$50:$O$556))</f>
        <v>205.64870976853155</v>
      </c>
      <c r="AD63" s="34">
        <f t="array" ref="AD63">SUM(IF(('W10. Power Total Cap'!$B$50:$B$556=AD$59)*('W10. Power Total Cap'!$C$50:$C$556=$A63)*('W10. Power Total Cap'!$E$49:$O$49=AD$58),'W10. Power Total Cap'!$E$50:$O$556))</f>
        <v>202.77372430849005</v>
      </c>
      <c r="AE63" s="34">
        <f t="array" ref="AE63">SUM(IF(('W10. Power Total Cap'!$B$50:$B$556=AE$59)*('W10. Power Total Cap'!$C$50:$C$556=$A63)*('W10. Power Total Cap'!$E$49:$O$49=AE$58),'W10. Power Total Cap'!$E$50:$O$556))</f>
        <v>243.93843088755179</v>
      </c>
      <c r="AF63" s="34">
        <f t="array" ref="AF63">SUM(IF(('W10. Power Total Cap'!$B$50:$B$556=AF$59)*('W10. Power Total Cap'!$C$50:$C$556=$A63)*('W10. Power Total Cap'!$E$49:$O$49=AF$58),'W10. Power Total Cap'!$E$50:$O$556))</f>
        <v>248.82556679678515</v>
      </c>
      <c r="AG63" s="34">
        <f t="array" ref="AG63">SUM(IF(('W10. Power Total Cap'!$B$50:$B$556=AG$59)*('W10. Power Total Cap'!$C$50:$C$556=$A63)*('W10. Power Total Cap'!$E$49:$O$49=AG$58),'W10. Power Total Cap'!$E$50:$O$556))</f>
        <v>278.13066724140185</v>
      </c>
      <c r="AH63" s="34">
        <f t="array" ref="AH63">SUM(IF(('W10. Power Total Cap'!$B$50:$B$556=AH$59)*('W10. Power Total Cap'!$C$50:$C$556=$A63)*('W10. Power Total Cap'!$E$49:$O$49=AH$58),'W10. Power Total Cap'!$E$50:$O$556))</f>
        <v>291.37269828849674</v>
      </c>
      <c r="AI63" s="34">
        <f t="array" ref="AI63">SUM(IF(('W10. Power Total Cap'!$B$50:$B$556=AI$59)*('W10. Power Total Cap'!$C$50:$C$556=$A63)*('W10. Power Total Cap'!$E$49:$O$49=AI$58),'W10. Power Total Cap'!$E$50:$O$556))</f>
        <v>315.68186845425038</v>
      </c>
      <c r="AJ63" s="34">
        <f t="array" ref="AJ63">SUM(IF(('W10. Power Total Cap'!$B$50:$B$556=AJ$59)*('W10. Power Total Cap'!$C$50:$C$556=$A63)*('W10. Power Total Cap'!$E$49:$O$49=AJ$58),'W10. Power Total Cap'!$E$50:$O$556))</f>
        <v>281.19462080231187</v>
      </c>
      <c r="AK63" s="34">
        <f t="array" ref="AK63">SUM(IF(('W10. Power Total Cap'!$B$50:$B$556=AK$59)*('W10. Power Total Cap'!$C$50:$C$556=$A63)*('W10. Power Total Cap'!$E$49:$O$49=AK$58),'W10. Power Total Cap'!$E$50:$O$556))</f>
        <v>248.73338784481155</v>
      </c>
      <c r="AL63" s="34">
        <f t="array" ref="AL63">SUM(IF(('W10. Power Total Cap'!$B$50:$B$556=AL$59)*('W10. Power Total Cap'!$C$50:$C$556=$A63)*('W10. Power Total Cap'!$E$49:$O$49=AL$58),'W10. Power Total Cap'!$E$50:$O$556))</f>
        <v>278.1321651733353</v>
      </c>
      <c r="AM63" s="34">
        <f t="array" ref="AM63">SUM(IF(('W10. Power Total Cap'!$B$50:$B$556=AM$59)*('W10. Power Total Cap'!$C$50:$C$556=$A63)*('W10. Power Total Cap'!$E$49:$O$49=AM$58),'W10. Power Total Cap'!$E$50:$O$556))</f>
        <v>285.34404719651764</v>
      </c>
      <c r="AN63" s="34">
        <f t="array" ref="AN63">SUM(IF(('W10. Power Total Cap'!$B$50:$B$556=AN$59)*('W10. Power Total Cap'!$C$50:$C$556=$A63)*('W10. Power Total Cap'!$E$49:$O$49=AN$58),'W10. Power Total Cap'!$E$50:$O$556))</f>
        <v>244.74499999999998</v>
      </c>
      <c r="AO63" s="34">
        <f t="array" ref="AO63">SUM(IF(('W10. Power Total Cap'!$B$50:$B$556=AO$59)*('W10. Power Total Cap'!$C$50:$C$556=$A63)*('W10. Power Total Cap'!$E$49:$O$49=AO$58),'W10. Power Total Cap'!$E$50:$O$556))</f>
        <v>244.756534235</v>
      </c>
      <c r="AP63" s="34">
        <f t="array" ref="AP63">SUM(IF(('W10. Power Total Cap'!$B$50:$B$556=AP$59)*('W10. Power Total Cap'!$C$50:$C$556=$A63)*('W10. Power Total Cap'!$E$49:$O$49=AP$58),'W10. Power Total Cap'!$E$50:$O$556))</f>
        <v>414.91424815996629</v>
      </c>
      <c r="AQ63" s="34">
        <f t="array" ref="AQ63">SUM(IF(('W10. Power Total Cap'!$B$50:$B$556=AQ$59)*('W10. Power Total Cap'!$C$50:$C$556=$A63)*('W10. Power Total Cap'!$E$49:$O$49=AQ$58),'W10. Power Total Cap'!$E$50:$O$556))</f>
        <v>483.3644139202882</v>
      </c>
      <c r="AR63" s="34">
        <f t="array" ref="AR63">SUM(IF(('W10. Power Total Cap'!$B$50:$B$556=AR$59)*('W10. Power Total Cap'!$C$50:$C$556=$A63)*('W10. Power Total Cap'!$E$49:$O$49=AR$58),'W10. Power Total Cap'!$E$50:$O$556))</f>
        <v>636.10100845011186</v>
      </c>
      <c r="AS63" s="34">
        <f t="array" ref="AS63">SUM(IF(('W10. Power Total Cap'!$B$50:$B$556=AS$59)*('W10. Power Total Cap'!$C$50:$C$556=$A63)*('W10. Power Total Cap'!$E$49:$O$49=AS$58),'W10. Power Total Cap'!$E$50:$O$556))</f>
        <v>437.53084673172623</v>
      </c>
      <c r="AT63" s="34">
        <f t="array" ref="AT63">SUM(IF(('W10. Power Total Cap'!$B$50:$B$556=AT$59)*('W10. Power Total Cap'!$C$50:$C$556=$A63)*('W10. Power Total Cap'!$E$49:$O$49=AT$58),'W10. Power Total Cap'!$E$50:$O$556))</f>
        <v>245.91868350139669</v>
      </c>
      <c r="AU63" s="34">
        <f t="array" ref="AU63">SUM(IF(('W10. Power Total Cap'!$B$50:$B$556=AU$59)*('W10. Power Total Cap'!$C$50:$C$556=$A63)*('W10. Power Total Cap'!$E$49:$O$49=AU$58),'W10. Power Total Cap'!$E$50:$O$556))</f>
        <v>411.93655853214017</v>
      </c>
      <c r="AV63" s="34">
        <f t="array" ref="AV63">SUM(IF(('W10. Power Total Cap'!$B$50:$B$556=AV$59)*('W10. Power Total Cap'!$C$50:$C$556=$A63)*('W10. Power Total Cap'!$E$49:$O$49=AV$58),'W10. Power Total Cap'!$E$50:$O$556))</f>
        <v>464.06571397698701</v>
      </c>
    </row>
    <row r="64" spans="1:48" x14ac:dyDescent="0.3">
      <c r="A64" s="3" t="s">
        <v>67</v>
      </c>
      <c r="B64" s="3" t="s">
        <v>256</v>
      </c>
      <c r="C64" s="34">
        <f t="array" ref="C64">SUM(IF(('W10. Power Total Cap'!$B$50:$B$556=C$59)*('W10. Power Total Cap'!$C$50:$C$556=$A64)*('W10. Power Total Cap'!$E$49:$O$49=C$58),'W10. Power Total Cap'!$E$50:$O$556))</f>
        <v>744.22477031191352</v>
      </c>
      <c r="D64" s="34">
        <f t="array" ref="D64">SUM(IF(('W10. Power Total Cap'!$B$50:$B$556=D$59)*('W10. Power Total Cap'!$C$50:$C$556=$A64)*('W10. Power Total Cap'!$E$49:$O$49=D$58),'W10. Power Total Cap'!$E$50:$O$556))</f>
        <v>1023.0113329813749</v>
      </c>
      <c r="E64" s="34">
        <f t="array" ref="E64">SUM(IF(('W10. Power Total Cap'!$B$50:$B$556=E$59)*('W10. Power Total Cap'!$C$50:$C$556=$A64)*('W10. Power Total Cap'!$E$49:$O$49=E$58),'W10. Power Total Cap'!$E$50:$O$556))</f>
        <v>999.8328246673068</v>
      </c>
      <c r="F64" s="34">
        <f t="array" ref="F64">SUM(IF(('W10. Power Total Cap'!$B$50:$B$556=F$59)*('W10. Power Total Cap'!$C$50:$C$556=$A64)*('W10. Power Total Cap'!$E$49:$O$49=F$58),'W10. Power Total Cap'!$E$50:$O$556))</f>
        <v>999.8328246673068</v>
      </c>
      <c r="G64" s="34">
        <f t="array" ref="G64">SUM(IF(('W10. Power Total Cap'!$B$50:$B$556=G$59)*('W10. Power Total Cap'!$C$50:$C$556=$A64)*('W10. Power Total Cap'!$E$49:$O$49=G$58),'W10. Power Total Cap'!$E$50:$O$556))</f>
        <v>999.8328246673068</v>
      </c>
      <c r="H64" s="34">
        <f t="array" ref="H64">SUM(IF(('W10. Power Total Cap'!$B$50:$B$556=H$59)*('W10. Power Total Cap'!$C$50:$C$556=$A64)*('W10. Power Total Cap'!$E$49:$O$49=H$58),'W10. Power Total Cap'!$E$50:$O$556))</f>
        <v>999.8328246673068</v>
      </c>
      <c r="I64" s="34">
        <f t="array" ref="I64">SUM(IF(('W10. Power Total Cap'!$B$50:$B$556=I$59)*('W10. Power Total Cap'!$C$50:$C$556=$A64)*('W10. Power Total Cap'!$E$49:$O$49=I$58),'W10. Power Total Cap'!$E$50:$O$556))</f>
        <v>999.8328246673068</v>
      </c>
      <c r="J64" s="34">
        <f t="array" ref="J64">SUM(IF(('W10. Power Total Cap'!$B$50:$B$556=J$59)*('W10. Power Total Cap'!$C$50:$C$556=$A64)*('W10. Power Total Cap'!$E$49:$O$49=J$58),'W10. Power Total Cap'!$E$50:$O$556))</f>
        <v>999.8328246673068</v>
      </c>
      <c r="K64" s="34">
        <f t="array" ref="K64">SUM(IF(('W10. Power Total Cap'!$B$50:$B$556=K$59)*('W10. Power Total Cap'!$C$50:$C$556=$A64)*('W10. Power Total Cap'!$E$49:$O$49=K$58),'W10. Power Total Cap'!$E$50:$O$556))</f>
        <v>999.8328246673068</v>
      </c>
      <c r="L64" s="34">
        <f t="array" ref="L64">SUM(IF(('W10. Power Total Cap'!$B$50:$B$556=L$59)*('W10. Power Total Cap'!$C$50:$C$556=$A64)*('W10. Power Total Cap'!$E$49:$O$49=L$58),'W10. Power Total Cap'!$E$50:$O$556))</f>
        <v>999.8328246673068</v>
      </c>
      <c r="M64" s="34">
        <f t="array" ref="M64">SUM(IF(('W10. Power Total Cap'!$B$50:$B$556=M$59)*('W10. Power Total Cap'!$C$50:$C$556=$A64)*('W10. Power Total Cap'!$E$49:$O$49=M$58),'W10. Power Total Cap'!$E$50:$O$556))</f>
        <v>1095.0609142242067</v>
      </c>
      <c r="N64" s="34">
        <f t="array" ref="N64">SUM(IF(('W10. Power Total Cap'!$B$50:$B$556=N$59)*('W10. Power Total Cap'!$C$50:$C$556=$A64)*('W10. Power Total Cap'!$E$49:$O$49=N$58),'W10. Power Total Cap'!$E$50:$O$556))</f>
        <v>1153.8656291758321</v>
      </c>
      <c r="O64" s="34">
        <f t="array" ref="O64">SUM(IF(('W10. Power Total Cap'!$B$50:$B$556=O$59)*('W10. Power Total Cap'!$C$50:$C$556=$A64)*('W10. Power Total Cap'!$E$49:$O$49=O$58),'W10. Power Total Cap'!$E$50:$O$556))</f>
        <v>1165.7013704439287</v>
      </c>
      <c r="P64" s="34">
        <f t="array" ref="P64">SUM(IF(('W10. Power Total Cap'!$B$50:$B$556=P$59)*('W10. Power Total Cap'!$C$50:$C$556=$A64)*('W10. Power Total Cap'!$E$49:$O$49=P$58),'W10. Power Total Cap'!$E$50:$O$556))</f>
        <v>1153.8656291758321</v>
      </c>
      <c r="Q64" s="34">
        <f t="array" ref="Q64">SUM(IF(('W10. Power Total Cap'!$B$50:$B$556=Q$59)*('W10. Power Total Cap'!$C$50:$C$556=$A64)*('W10. Power Total Cap'!$E$49:$O$49=Q$58),'W10. Power Total Cap'!$E$50:$O$556))</f>
        <v>1182.1166822352513</v>
      </c>
      <c r="R64" s="34">
        <f t="array" ref="R64">SUM(IF(('W10. Power Total Cap'!$B$50:$B$556=R$59)*('W10. Power Total Cap'!$C$50:$C$556=$A64)*('W10. Power Total Cap'!$E$49:$O$49=R$58),'W10. Power Total Cap'!$E$50:$O$556))</f>
        <v>1165.7013704439287</v>
      </c>
      <c r="S64" s="34">
        <f t="array" ref="S64">SUM(IF(('W10. Power Total Cap'!$B$50:$B$556=S$59)*('W10. Power Total Cap'!$C$50:$C$556=$A64)*('W10. Power Total Cap'!$E$49:$O$49=S$58),'W10. Power Total Cap'!$E$50:$O$556))</f>
        <v>1160.7385742979602</v>
      </c>
      <c r="T64" s="34">
        <f t="array" ref="T64">SUM(IF(('W10. Power Total Cap'!$B$50:$B$556=T$59)*('W10. Power Total Cap'!$C$50:$C$556=$A64)*('W10. Power Total Cap'!$E$49:$O$49=T$58),'W10. Power Total Cap'!$E$50:$O$556))</f>
        <v>1165.7013704439287</v>
      </c>
      <c r="U64" s="34">
        <f t="array" ref="U64">SUM(IF(('W10. Power Total Cap'!$B$50:$B$556=U$59)*('W10. Power Total Cap'!$C$50:$C$556=$A64)*('W10. Power Total Cap'!$E$49:$O$49=U$58),'W10. Power Total Cap'!$E$50:$O$556))</f>
        <v>1190.0416603652129</v>
      </c>
      <c r="V64" s="34">
        <f t="array" ref="V64">SUM(IF(('W10. Power Total Cap'!$B$50:$B$556=V$59)*('W10. Power Total Cap'!$C$50:$C$556=$A64)*('W10. Power Total Cap'!$E$49:$O$49=V$58),'W10. Power Total Cap'!$E$50:$O$556))</f>
        <v>1153.4557656145673</v>
      </c>
      <c r="W64" s="34">
        <f t="array" ref="W64">SUM(IF(('W10. Power Total Cap'!$B$50:$B$556=W$59)*('W10. Power Total Cap'!$C$50:$C$556=$A64)*('W10. Power Total Cap'!$E$49:$O$49=W$58),'W10. Power Total Cap'!$E$50:$O$556))</f>
        <v>1279.0737582870281</v>
      </c>
      <c r="X64" s="34">
        <f t="array" ref="X64">SUM(IF(('W10. Power Total Cap'!$B$50:$B$556=X$59)*('W10. Power Total Cap'!$C$50:$C$556=$A64)*('W10. Power Total Cap'!$E$49:$O$49=X$58),'W10. Power Total Cap'!$E$50:$O$556))</f>
        <v>1356.365197119472</v>
      </c>
      <c r="Y64" s="34">
        <f t="array" ref="Y64">SUM(IF(('W10. Power Total Cap'!$B$50:$B$556=Y$59)*('W10. Power Total Cap'!$C$50:$C$556=$A64)*('W10. Power Total Cap'!$E$49:$O$49=Y$58),'W10. Power Total Cap'!$E$50:$O$556))</f>
        <v>1316.819613660105</v>
      </c>
      <c r="Z64" s="34">
        <f t="array" ref="Z64">SUM(IF(('W10. Power Total Cap'!$B$50:$B$556=Z$59)*('W10. Power Total Cap'!$C$50:$C$556=$A64)*('W10. Power Total Cap'!$E$49:$O$49=Z$58),'W10. Power Total Cap'!$E$50:$O$556))</f>
        <v>1445.7268650607582</v>
      </c>
      <c r="AA64" s="34">
        <f t="array" ref="AA64">SUM(IF(('W10. Power Total Cap'!$B$50:$B$556=AA$59)*('W10. Power Total Cap'!$C$50:$C$556=$A64)*('W10. Power Total Cap'!$E$49:$O$49=AA$58),'W10. Power Total Cap'!$E$50:$O$556))</f>
        <v>1341.7784615745381</v>
      </c>
      <c r="AB64" s="34">
        <f t="array" ref="AB64">SUM(IF(('W10. Power Total Cap'!$B$50:$B$556=AB$59)*('W10. Power Total Cap'!$C$50:$C$556=$A64)*('W10. Power Total Cap'!$E$49:$O$49=AB$58),'W10. Power Total Cap'!$E$50:$O$556))</f>
        <v>1318.1118034867989</v>
      </c>
      <c r="AC64" s="34">
        <f t="array" ref="AC64">SUM(IF(('W10. Power Total Cap'!$B$50:$B$556=AC$59)*('W10. Power Total Cap'!$C$50:$C$556=$A64)*('W10. Power Total Cap'!$E$49:$O$49=AC$58),'W10. Power Total Cap'!$E$50:$O$556))</f>
        <v>1361.2088762417638</v>
      </c>
      <c r="AD64" s="34">
        <f t="array" ref="AD64">SUM(IF(('W10. Power Total Cap'!$B$50:$B$556=AD$59)*('W10. Power Total Cap'!$C$50:$C$556=$A64)*('W10. Power Total Cap'!$E$49:$O$49=AD$58),'W10. Power Total Cap'!$E$50:$O$556))</f>
        <v>1456.7509673027062</v>
      </c>
      <c r="AE64" s="34">
        <f t="array" ref="AE64">SUM(IF(('W10. Power Total Cap'!$B$50:$B$556=AE$59)*('W10. Power Total Cap'!$C$50:$C$556=$A64)*('W10. Power Total Cap'!$E$49:$O$49=AE$58),'W10. Power Total Cap'!$E$50:$O$556))</f>
        <v>1265.2292974928375</v>
      </c>
      <c r="AF64" s="34">
        <f t="array" ref="AF64">SUM(IF(('W10. Power Total Cap'!$B$50:$B$556=AF$59)*('W10. Power Total Cap'!$C$50:$C$556=$A64)*('W10. Power Total Cap'!$E$49:$O$49=AF$58),'W10. Power Total Cap'!$E$50:$O$556))</f>
        <v>1381.7386265907953</v>
      </c>
      <c r="AG64" s="34">
        <f t="array" ref="AG64">SUM(IF(('W10. Power Total Cap'!$B$50:$B$556=AG$59)*('W10. Power Total Cap'!$C$50:$C$556=$A64)*('W10. Power Total Cap'!$E$49:$O$49=AG$58),'W10. Power Total Cap'!$E$50:$O$556))</f>
        <v>1593.6197976383171</v>
      </c>
      <c r="AH64" s="34">
        <f t="array" ref="AH64">SUM(IF(('W10. Power Total Cap'!$B$50:$B$556=AH$59)*('W10. Power Total Cap'!$C$50:$C$556=$A64)*('W10. Power Total Cap'!$E$49:$O$49=AH$58),'W10. Power Total Cap'!$E$50:$O$556))</f>
        <v>1644.8187823973142</v>
      </c>
      <c r="AI64" s="34">
        <f t="array" ref="AI64">SUM(IF(('W10. Power Total Cap'!$B$50:$B$556=AI$59)*('W10. Power Total Cap'!$C$50:$C$556=$A64)*('W10. Power Total Cap'!$E$49:$O$49=AI$58),'W10. Power Total Cap'!$E$50:$O$556))</f>
        <v>1731.6397544716547</v>
      </c>
      <c r="AJ64" s="34">
        <f t="array" ref="AJ64">SUM(IF(('W10. Power Total Cap'!$B$50:$B$556=AJ$59)*('W10. Power Total Cap'!$C$50:$C$556=$A64)*('W10. Power Total Cap'!$E$49:$O$49=AJ$58),'W10. Power Total Cap'!$E$50:$O$556))</f>
        <v>1621.722010476987</v>
      </c>
      <c r="AK64" s="34">
        <f t="array" ref="AK64">SUM(IF(('W10. Power Total Cap'!$B$50:$B$556=AK$59)*('W10. Power Total Cap'!$C$50:$C$556=$A64)*('W10. Power Total Cap'!$E$49:$O$49=AK$58),'W10. Power Total Cap'!$E$50:$O$556))</f>
        <v>1502.7388154657456</v>
      </c>
      <c r="AL64" s="34">
        <f t="array" ref="AL64">SUM(IF(('W10. Power Total Cap'!$B$50:$B$556=AL$59)*('W10. Power Total Cap'!$C$50:$C$556=$A64)*('W10. Power Total Cap'!$E$49:$O$49=AL$58),'W10. Power Total Cap'!$E$50:$O$556))</f>
        <v>1592.2142675708049</v>
      </c>
      <c r="AM64" s="34">
        <f t="array" ref="AM64">SUM(IF(('W10. Power Total Cap'!$B$50:$B$556=AM$59)*('W10. Power Total Cap'!$C$50:$C$556=$A64)*('W10. Power Total Cap'!$E$49:$O$49=AM$58),'W10. Power Total Cap'!$E$50:$O$556))</f>
        <v>1712.9361490937299</v>
      </c>
      <c r="AN64" s="34">
        <f t="array" ref="AN64">SUM(IF(('W10. Power Total Cap'!$B$50:$B$556=AN$59)*('W10. Power Total Cap'!$C$50:$C$556=$A64)*('W10. Power Total Cap'!$E$49:$O$49=AN$58),'W10. Power Total Cap'!$E$50:$O$556))</f>
        <v>1328.2760241785816</v>
      </c>
      <c r="AO64" s="34">
        <f t="array" ref="AO64">SUM(IF(('W10. Power Total Cap'!$B$50:$B$556=AO$59)*('W10. Power Total Cap'!$C$50:$C$556=$A64)*('W10. Power Total Cap'!$E$49:$O$49=AO$58),'W10. Power Total Cap'!$E$50:$O$556))</f>
        <v>1464.7116746676531</v>
      </c>
      <c r="AP64" s="34">
        <f t="array" ref="AP64">SUM(IF(('W10. Power Total Cap'!$B$50:$B$556=AP$59)*('W10. Power Total Cap'!$C$50:$C$556=$A64)*('W10. Power Total Cap'!$E$49:$O$49=AP$58),'W10. Power Total Cap'!$E$50:$O$556))</f>
        <v>1776.646146137778</v>
      </c>
      <c r="AQ64" s="34">
        <f t="array" ref="AQ64">SUM(IF(('W10. Power Total Cap'!$B$50:$B$556=AQ$59)*('W10. Power Total Cap'!$C$50:$C$556=$A64)*('W10. Power Total Cap'!$E$49:$O$49=AQ$58),'W10. Power Total Cap'!$E$50:$O$556))</f>
        <v>1830.2158591044231</v>
      </c>
      <c r="AR64" s="34">
        <f t="array" ref="AR64">SUM(IF(('W10. Power Total Cap'!$B$50:$B$556=AR$59)*('W10. Power Total Cap'!$C$50:$C$556=$A64)*('W10. Power Total Cap'!$E$49:$O$49=AR$58),'W10. Power Total Cap'!$E$50:$O$556))</f>
        <v>1918.0237287814523</v>
      </c>
      <c r="AS64" s="34">
        <f t="array" ref="AS64">SUM(IF(('W10. Power Total Cap'!$B$50:$B$556=AS$59)*('W10. Power Total Cap'!$C$50:$C$556=$A64)*('W10. Power Total Cap'!$E$49:$O$49=AS$58),'W10. Power Total Cap'!$E$50:$O$556))</f>
        <v>1790.1688390908091</v>
      </c>
      <c r="AT64" s="34">
        <f t="array" ref="AT64">SUM(IF(('W10. Power Total Cap'!$B$50:$B$556=AT$59)*('W10. Power Total Cap'!$C$50:$C$556=$A64)*('W10. Power Total Cap'!$E$49:$O$49=AT$58),'W10. Power Total Cap'!$E$50:$O$556))</f>
        <v>1629.9550029738191</v>
      </c>
      <c r="AU64" s="34">
        <f t="array" ref="AU64">SUM(IF(('W10. Power Total Cap'!$B$50:$B$556=AU$59)*('W10. Power Total Cap'!$C$50:$C$556=$A64)*('W10. Power Total Cap'!$E$49:$O$49=AU$58),'W10. Power Total Cap'!$E$50:$O$556))</f>
        <v>1774.5008332262687</v>
      </c>
      <c r="AV64" s="34">
        <f t="array" ref="AV64">SUM(IF(('W10. Power Total Cap'!$B$50:$B$556=AV$59)*('W10. Power Total Cap'!$C$50:$C$556=$A64)*('W10. Power Total Cap'!$E$49:$O$49=AV$58),'W10. Power Total Cap'!$E$50:$O$556))</f>
        <v>1909.739676907448</v>
      </c>
    </row>
    <row r="65" spans="1:48" x14ac:dyDescent="0.3">
      <c r="A65" s="3" t="s">
        <v>68</v>
      </c>
      <c r="B65" s="3" t="s">
        <v>257</v>
      </c>
      <c r="C65" s="34">
        <f t="array" ref="C65">SUM(IF(('W10. Power Total Cap'!$B$50:$B$556=C$59)*('W10. Power Total Cap'!$C$50:$C$556=$A65)*('W10. Power Total Cap'!$E$49:$O$49=C$58),'W10. Power Total Cap'!$E$50:$O$556))</f>
        <v>393.99999999999972</v>
      </c>
      <c r="D65" s="34">
        <f t="array" ref="D65">SUM(IF(('W10. Power Total Cap'!$B$50:$B$556=D$59)*('W10. Power Total Cap'!$C$50:$C$556=$A65)*('W10. Power Total Cap'!$E$49:$O$49=D$58),'W10. Power Total Cap'!$E$50:$O$556))</f>
        <v>647.54384646462063</v>
      </c>
      <c r="E65" s="34">
        <f t="array" ref="E65">SUM(IF(('W10. Power Total Cap'!$B$50:$B$556=E$59)*('W10. Power Total Cap'!$C$50:$C$556=$A65)*('W10. Power Total Cap'!$E$49:$O$49=E$58),'W10. Power Total Cap'!$E$50:$O$556))</f>
        <v>647.54384646462074</v>
      </c>
      <c r="F65" s="34">
        <f t="array" ref="F65">SUM(IF(('W10. Power Total Cap'!$B$50:$B$556=F$59)*('W10. Power Total Cap'!$C$50:$C$556=$A65)*('W10. Power Total Cap'!$E$49:$O$49=F$58),'W10. Power Total Cap'!$E$50:$O$556))</f>
        <v>647.54384646462074</v>
      </c>
      <c r="G65" s="34">
        <f t="array" ref="G65">SUM(IF(('W10. Power Total Cap'!$B$50:$B$556=G$59)*('W10. Power Total Cap'!$C$50:$C$556=$A65)*('W10. Power Total Cap'!$E$49:$O$49=G$58),'W10. Power Total Cap'!$E$50:$O$556))</f>
        <v>647.54384646462074</v>
      </c>
      <c r="H65" s="34">
        <f t="array" ref="H65">SUM(IF(('W10. Power Total Cap'!$B$50:$B$556=H$59)*('W10. Power Total Cap'!$C$50:$C$556=$A65)*('W10. Power Total Cap'!$E$49:$O$49=H$58),'W10. Power Total Cap'!$E$50:$O$556))</f>
        <v>647.54384646462074</v>
      </c>
      <c r="I65" s="34">
        <f t="array" ref="I65">SUM(IF(('W10. Power Total Cap'!$B$50:$B$556=I$59)*('W10. Power Total Cap'!$C$50:$C$556=$A65)*('W10. Power Total Cap'!$E$49:$O$49=I$58),'W10. Power Total Cap'!$E$50:$O$556))</f>
        <v>647.54384646462074</v>
      </c>
      <c r="J65" s="34">
        <f t="array" ref="J65">SUM(IF(('W10. Power Total Cap'!$B$50:$B$556=J$59)*('W10. Power Total Cap'!$C$50:$C$556=$A65)*('W10. Power Total Cap'!$E$49:$O$49=J$58),'W10. Power Total Cap'!$E$50:$O$556))</f>
        <v>647.54384646462074</v>
      </c>
      <c r="K65" s="34">
        <f t="array" ref="K65">SUM(IF(('W10. Power Total Cap'!$B$50:$B$556=K$59)*('W10. Power Total Cap'!$C$50:$C$556=$A65)*('W10. Power Total Cap'!$E$49:$O$49=K$58),'W10. Power Total Cap'!$E$50:$O$556))</f>
        <v>647.54384646462074</v>
      </c>
      <c r="L65" s="34">
        <f t="array" ref="L65">SUM(IF(('W10. Power Total Cap'!$B$50:$B$556=L$59)*('W10. Power Total Cap'!$C$50:$C$556=$A65)*('W10. Power Total Cap'!$E$49:$O$49=L$58),'W10. Power Total Cap'!$E$50:$O$556))</f>
        <v>647.54384646462074</v>
      </c>
      <c r="M65" s="34">
        <f t="array" ref="M65">SUM(IF(('W10. Power Total Cap'!$B$50:$B$556=M$59)*('W10. Power Total Cap'!$C$50:$C$556=$A65)*('W10. Power Total Cap'!$E$49:$O$49=M$58),'W10. Power Total Cap'!$E$50:$O$556))</f>
        <v>599.60750408611352</v>
      </c>
      <c r="N65" s="34">
        <f t="array" ref="N65">SUM(IF(('W10. Power Total Cap'!$B$50:$B$556=N$59)*('W10. Power Total Cap'!$C$50:$C$556=$A65)*('W10. Power Total Cap'!$E$49:$O$49=N$58),'W10. Power Total Cap'!$E$50:$O$556))</f>
        <v>599.60750408611364</v>
      </c>
      <c r="O65" s="34">
        <f t="array" ref="O65">SUM(IF(('W10. Power Total Cap'!$B$50:$B$556=O$59)*('W10. Power Total Cap'!$C$50:$C$556=$A65)*('W10. Power Total Cap'!$E$49:$O$49=O$58),'W10. Power Total Cap'!$E$50:$O$556))</f>
        <v>599.60750408611364</v>
      </c>
      <c r="P65" s="34">
        <f t="array" ref="P65">SUM(IF(('W10. Power Total Cap'!$B$50:$B$556=P$59)*('W10. Power Total Cap'!$C$50:$C$556=$A65)*('W10. Power Total Cap'!$E$49:$O$49=P$58),'W10. Power Total Cap'!$E$50:$O$556))</f>
        <v>599.60750408611364</v>
      </c>
      <c r="Q65" s="34">
        <f t="array" ref="Q65">SUM(IF(('W10. Power Total Cap'!$B$50:$B$556=Q$59)*('W10. Power Total Cap'!$C$50:$C$556=$A65)*('W10. Power Total Cap'!$E$49:$O$49=Q$58),'W10. Power Total Cap'!$E$50:$O$556))</f>
        <v>599.60750408611364</v>
      </c>
      <c r="R65" s="34">
        <f t="array" ref="R65">SUM(IF(('W10. Power Total Cap'!$B$50:$B$556=R$59)*('W10. Power Total Cap'!$C$50:$C$556=$A65)*('W10. Power Total Cap'!$E$49:$O$49=R$58),'W10. Power Total Cap'!$E$50:$O$556))</f>
        <v>599.60750408611364</v>
      </c>
      <c r="S65" s="34">
        <f t="array" ref="S65">SUM(IF(('W10. Power Total Cap'!$B$50:$B$556=S$59)*('W10. Power Total Cap'!$C$50:$C$556=$A65)*('W10. Power Total Cap'!$E$49:$O$49=S$58),'W10. Power Total Cap'!$E$50:$O$556))</f>
        <v>599.60750408611364</v>
      </c>
      <c r="T65" s="34">
        <f t="array" ref="T65">SUM(IF(('W10. Power Total Cap'!$B$50:$B$556=T$59)*('W10. Power Total Cap'!$C$50:$C$556=$A65)*('W10. Power Total Cap'!$E$49:$O$49=T$58),'W10. Power Total Cap'!$E$50:$O$556))</f>
        <v>599.60750408611364</v>
      </c>
      <c r="U65" s="34">
        <f t="array" ref="U65">SUM(IF(('W10. Power Total Cap'!$B$50:$B$556=U$59)*('W10. Power Total Cap'!$C$50:$C$556=$A65)*('W10. Power Total Cap'!$E$49:$O$49=U$58),'W10. Power Total Cap'!$E$50:$O$556))</f>
        <v>599.60750408611364</v>
      </c>
      <c r="V65" s="34">
        <f t="array" ref="V65">SUM(IF(('W10. Power Total Cap'!$B$50:$B$556=V$59)*('W10. Power Total Cap'!$C$50:$C$556=$A65)*('W10. Power Total Cap'!$E$49:$O$49=V$58),'W10. Power Total Cap'!$E$50:$O$556))</f>
        <v>571.85653418001982</v>
      </c>
      <c r="W65" s="34">
        <f t="array" ref="W65">SUM(IF(('W10. Power Total Cap'!$B$50:$B$556=W$59)*('W10. Power Total Cap'!$C$50:$C$556=$A65)*('W10. Power Total Cap'!$E$49:$O$49=W$58),'W10. Power Total Cap'!$E$50:$O$556))</f>
        <v>574.22438013504609</v>
      </c>
      <c r="X65" s="34">
        <f t="array" ref="X65">SUM(IF(('W10. Power Total Cap'!$B$50:$B$556=X$59)*('W10. Power Total Cap'!$C$50:$C$556=$A65)*('W10. Power Total Cap'!$E$49:$O$49=X$58),'W10. Power Total Cap'!$E$50:$O$556))</f>
        <v>626.08362470675559</v>
      </c>
      <c r="Y65" s="34">
        <f t="array" ref="Y65">SUM(IF(('W10. Power Total Cap'!$B$50:$B$556=Y$59)*('W10. Power Total Cap'!$C$50:$C$556=$A65)*('W10. Power Total Cap'!$E$49:$O$49=Y$58),'W10. Power Total Cap'!$E$50:$O$556))</f>
        <v>574.22438013504609</v>
      </c>
      <c r="Z65" s="34">
        <f t="array" ref="Z65">SUM(IF(('W10. Power Total Cap'!$B$50:$B$556=Z$59)*('W10. Power Total Cap'!$C$50:$C$556=$A65)*('W10. Power Total Cap'!$E$49:$O$49=Z$58),'W10. Power Total Cap'!$E$50:$O$556))</f>
        <v>667.90753565333603</v>
      </c>
      <c r="AA65" s="34">
        <f t="array" ref="AA65">SUM(IF(('W10. Power Total Cap'!$B$50:$B$556=AA$59)*('W10. Power Total Cap'!$C$50:$C$556=$A65)*('W10. Power Total Cap'!$E$49:$O$49=AA$58),'W10. Power Total Cap'!$E$50:$O$556))</f>
        <v>621.38807024660889</v>
      </c>
      <c r="AB65" s="34">
        <f t="array" ref="AB65">SUM(IF(('W10. Power Total Cap'!$B$50:$B$556=AB$59)*('W10. Power Total Cap'!$C$50:$C$556=$A65)*('W10. Power Total Cap'!$E$49:$O$49=AB$58),'W10. Power Total Cap'!$E$50:$O$556))</f>
        <v>621.04176778133706</v>
      </c>
      <c r="AC65" s="34">
        <f t="array" ref="AC65">SUM(IF(('W10. Power Total Cap'!$B$50:$B$556=AC$59)*('W10. Power Total Cap'!$C$50:$C$556=$A65)*('W10. Power Total Cap'!$E$49:$O$49=AC$58),'W10. Power Total Cap'!$E$50:$O$556))</f>
        <v>630.04734870472623</v>
      </c>
      <c r="AD65" s="34">
        <f t="array" ref="AD65">SUM(IF(('W10. Power Total Cap'!$B$50:$B$556=AD$59)*('W10. Power Total Cap'!$C$50:$C$556=$A65)*('W10. Power Total Cap'!$E$49:$O$49=AD$58),'W10. Power Total Cap'!$E$50:$O$556))</f>
        <v>646.61427786131219</v>
      </c>
      <c r="AE65" s="34">
        <f t="array" ref="AE65">SUM(IF(('W10. Power Total Cap'!$B$50:$B$556=AE$59)*('W10. Power Total Cap'!$C$50:$C$556=$A65)*('W10. Power Total Cap'!$E$49:$O$49=AE$58),'W10. Power Total Cap'!$E$50:$O$556))</f>
        <v>598.87351478182234</v>
      </c>
      <c r="AF65" s="34">
        <f t="array" ref="AF65">SUM(IF(('W10. Power Total Cap'!$B$50:$B$556=AF$59)*('W10. Power Total Cap'!$C$50:$C$556=$A65)*('W10. Power Total Cap'!$E$49:$O$49=AF$58),'W10. Power Total Cap'!$E$50:$O$556))</f>
        <v>675.62768069653043</v>
      </c>
      <c r="AG65" s="34">
        <f t="array" ref="AG65">SUM(IF(('W10. Power Total Cap'!$B$50:$B$556=AG$59)*('W10. Power Total Cap'!$C$50:$C$556=$A65)*('W10. Power Total Cap'!$E$49:$O$49=AG$58),'W10. Power Total Cap'!$E$50:$O$556))</f>
        <v>864.65940910950314</v>
      </c>
      <c r="AH65" s="34">
        <f t="array" ref="AH65">SUM(IF(('W10. Power Total Cap'!$B$50:$B$556=AH$59)*('W10. Power Total Cap'!$C$50:$C$556=$A65)*('W10. Power Total Cap'!$E$49:$O$49=AH$58),'W10. Power Total Cap'!$E$50:$O$556))</f>
        <v>889.70484956154769</v>
      </c>
      <c r="AI65" s="34">
        <f t="array" ref="AI65">SUM(IF(('W10. Power Total Cap'!$B$50:$B$556=AI$59)*('W10. Power Total Cap'!$C$50:$C$556=$A65)*('W10. Power Total Cap'!$E$49:$O$49=AI$58),'W10. Power Total Cap'!$E$50:$O$556))</f>
        <v>932.75289370291705</v>
      </c>
      <c r="AJ65" s="34">
        <f t="array" ref="AJ65">SUM(IF(('W10. Power Total Cap'!$B$50:$B$556=AJ$59)*('W10. Power Total Cap'!$C$50:$C$556=$A65)*('W10. Power Total Cap'!$E$49:$O$49=AJ$58),'W10. Power Total Cap'!$E$50:$O$556))</f>
        <v>860.03854052935924</v>
      </c>
      <c r="AK65" s="34">
        <f t="array" ref="AK65">SUM(IF(('W10. Power Total Cap'!$B$50:$B$556=AK$59)*('W10. Power Total Cap'!$C$50:$C$556=$A65)*('W10. Power Total Cap'!$E$49:$O$49=AK$58),'W10. Power Total Cap'!$E$50:$O$556))</f>
        <v>792.12495340202838</v>
      </c>
      <c r="AL65" s="34">
        <f t="array" ref="AL65">SUM(IF(('W10. Power Total Cap'!$B$50:$B$556=AL$59)*('W10. Power Total Cap'!$C$50:$C$556=$A65)*('W10. Power Total Cap'!$E$49:$O$49=AL$58),'W10. Power Total Cap'!$E$50:$O$556))</f>
        <v>870.68097761910803</v>
      </c>
      <c r="AM65" s="34">
        <f t="array" ref="AM65">SUM(IF(('W10. Power Total Cap'!$B$50:$B$556=AM$59)*('W10. Power Total Cap'!$C$50:$C$556=$A65)*('W10. Power Total Cap'!$E$49:$O$49=AM$58),'W10. Power Total Cap'!$E$50:$O$556))</f>
        <v>921.6386533637168</v>
      </c>
      <c r="AN65" s="34">
        <f t="array" ref="AN65">SUM(IF(('W10. Power Total Cap'!$B$50:$B$556=AN$59)*('W10. Power Total Cap'!$C$50:$C$556=$A65)*('W10. Power Total Cap'!$E$49:$O$49=AN$58),'W10. Power Total Cap'!$E$50:$O$556))</f>
        <v>640.97548447342911</v>
      </c>
      <c r="AO65" s="34">
        <f t="array" ref="AO65">SUM(IF(('W10. Power Total Cap'!$B$50:$B$556=AO$59)*('W10. Power Total Cap'!$C$50:$C$556=$A65)*('W10. Power Total Cap'!$E$49:$O$49=AO$58),'W10. Power Total Cap'!$E$50:$O$556))</f>
        <v>715.84108590837388</v>
      </c>
      <c r="AP65" s="34">
        <f t="array" ref="AP65">SUM(IF(('W10. Power Total Cap'!$B$50:$B$556=AP$59)*('W10. Power Total Cap'!$C$50:$C$556=$A65)*('W10. Power Total Cap'!$E$49:$O$49=AP$58),'W10. Power Total Cap'!$E$50:$O$556))</f>
        <v>1093.98044426103</v>
      </c>
      <c r="AQ65" s="34">
        <f t="array" ref="AQ65">SUM(IF(('W10. Power Total Cap'!$B$50:$B$556=AQ$59)*('W10. Power Total Cap'!$C$50:$C$556=$A65)*('W10. Power Total Cap'!$E$49:$O$49=AQ$58),'W10. Power Total Cap'!$E$50:$O$556))</f>
        <v>1092.6765059822899</v>
      </c>
      <c r="AR65" s="34">
        <f t="array" ref="AR65">SUM(IF(('W10. Power Total Cap'!$B$50:$B$556=AR$59)*('W10. Power Total Cap'!$C$50:$C$556=$A65)*('W10. Power Total Cap'!$E$49:$O$49=AR$58),'W10. Power Total Cap'!$E$50:$O$556))</f>
        <v>1096.1972289665559</v>
      </c>
      <c r="AS65" s="34">
        <f t="array" ref="AS65">SUM(IF(('W10. Power Total Cap'!$B$50:$B$556=AS$59)*('W10. Power Total Cap'!$C$50:$C$556=$A65)*('W10. Power Total Cap'!$E$49:$O$49=AS$58),'W10. Power Total Cap'!$E$50:$O$556))</f>
        <v>1074.25271609473</v>
      </c>
      <c r="AT65" s="34">
        <f t="array" ref="AT65">SUM(IF(('W10. Power Total Cap'!$B$50:$B$556=AT$59)*('W10. Power Total Cap'!$C$50:$C$556=$A65)*('W10. Power Total Cap'!$E$49:$O$49=AT$58),'W10. Power Total Cap'!$E$50:$O$556))</f>
        <v>989.61625758293587</v>
      </c>
      <c r="AU65" s="34">
        <f t="array" ref="AU65">SUM(IF(('W10. Power Total Cap'!$B$50:$B$556=AU$59)*('W10. Power Total Cap'!$C$50:$C$556=$A65)*('W10. Power Total Cap'!$E$49:$O$49=AU$58),'W10. Power Total Cap'!$E$50:$O$556))</f>
        <v>1093.3367709507027</v>
      </c>
      <c r="AV65" s="34">
        <f t="array" ref="AV65">SUM(IF(('W10. Power Total Cap'!$B$50:$B$556=AV$59)*('W10. Power Total Cap'!$C$50:$C$556=$A65)*('W10. Power Total Cap'!$E$49:$O$49=AV$58),'W10. Power Total Cap'!$E$50:$O$556))</f>
        <v>1096.8272863407594</v>
      </c>
    </row>
    <row r="66" spans="1:48" x14ac:dyDescent="0.3">
      <c r="A66" s="3" t="s">
        <v>69</v>
      </c>
      <c r="B66" s="3" t="s">
        <v>266</v>
      </c>
      <c r="C66" s="34">
        <f t="array" ref="C66">SUM(IF(('W10. Power Total Cap'!$B$50:$B$556=C$59)*('W10. Power Total Cap'!$C$50:$C$556=$A66)*('W10. Power Total Cap'!$E$49:$O$49=C$58),'W10. Power Total Cap'!$E$50:$O$556))</f>
        <v>452.4364981864552</v>
      </c>
      <c r="D66" s="34">
        <f t="array" ref="D66">SUM(IF(('W10. Power Total Cap'!$B$50:$B$556=D$59)*('W10. Power Total Cap'!$C$50:$C$556=$A66)*('W10. Power Total Cap'!$E$49:$O$49=D$58),'W10. Power Total Cap'!$E$50:$O$556))</f>
        <v>452.96497886657949</v>
      </c>
      <c r="E66" s="34">
        <f t="array" ref="E66">SUM(IF(('W10. Power Total Cap'!$B$50:$B$556=E$59)*('W10. Power Total Cap'!$C$50:$C$556=$A66)*('W10. Power Total Cap'!$E$49:$O$49=E$58),'W10. Power Total Cap'!$E$50:$O$556))</f>
        <v>452.8330666776244</v>
      </c>
      <c r="F66" s="34">
        <f t="array" ref="F66">SUM(IF(('W10. Power Total Cap'!$B$50:$B$556=F$59)*('W10. Power Total Cap'!$C$50:$C$556=$A66)*('W10. Power Total Cap'!$E$49:$O$49=F$58),'W10. Power Total Cap'!$E$50:$O$556))</f>
        <v>452.8330666776244</v>
      </c>
      <c r="G66" s="34">
        <f t="array" ref="G66">SUM(IF(('W10. Power Total Cap'!$B$50:$B$556=G$59)*('W10. Power Total Cap'!$C$50:$C$556=$A66)*('W10. Power Total Cap'!$E$49:$O$49=G$58),'W10. Power Total Cap'!$E$50:$O$556))</f>
        <v>452.8330666776244</v>
      </c>
      <c r="H66" s="34">
        <f t="array" ref="H66">SUM(IF(('W10. Power Total Cap'!$B$50:$B$556=H$59)*('W10. Power Total Cap'!$C$50:$C$556=$A66)*('W10. Power Total Cap'!$E$49:$O$49=H$58),'W10. Power Total Cap'!$E$50:$O$556))</f>
        <v>452.8330666776244</v>
      </c>
      <c r="I66" s="34">
        <f t="array" ref="I66">SUM(IF(('W10. Power Total Cap'!$B$50:$B$556=I$59)*('W10. Power Total Cap'!$C$50:$C$556=$A66)*('W10. Power Total Cap'!$E$49:$O$49=I$58),'W10. Power Total Cap'!$E$50:$O$556))</f>
        <v>452.8330666776244</v>
      </c>
      <c r="J66" s="34">
        <f t="array" ref="J66">SUM(IF(('W10. Power Total Cap'!$B$50:$B$556=J$59)*('W10. Power Total Cap'!$C$50:$C$556=$A66)*('W10. Power Total Cap'!$E$49:$O$49=J$58),'W10. Power Total Cap'!$E$50:$O$556))</f>
        <v>452.8330666776244</v>
      </c>
      <c r="K66" s="34">
        <f t="array" ref="K66">SUM(IF(('W10. Power Total Cap'!$B$50:$B$556=K$59)*('W10. Power Total Cap'!$C$50:$C$556=$A66)*('W10. Power Total Cap'!$E$49:$O$49=K$58),'W10. Power Total Cap'!$E$50:$O$556))</f>
        <v>452.8330666776244</v>
      </c>
      <c r="L66" s="34">
        <f t="array" ref="L66">SUM(IF(('W10. Power Total Cap'!$B$50:$B$556=L$59)*('W10. Power Total Cap'!$C$50:$C$556=$A66)*('W10. Power Total Cap'!$E$49:$O$49=L$58),'W10. Power Total Cap'!$E$50:$O$556))</f>
        <v>452.8330666776244</v>
      </c>
      <c r="M66" s="34">
        <f t="array" ref="M66">SUM(IF(('W10. Power Total Cap'!$B$50:$B$556=M$59)*('W10. Power Total Cap'!$C$50:$C$556=$A66)*('W10. Power Total Cap'!$E$49:$O$49=M$58),'W10. Power Total Cap'!$E$50:$O$556))</f>
        <v>254.50016772671711</v>
      </c>
      <c r="N66" s="34">
        <f t="array" ref="N66">SUM(IF(('W10. Power Total Cap'!$B$50:$B$556=N$59)*('W10. Power Total Cap'!$C$50:$C$556=$A66)*('W10. Power Total Cap'!$E$49:$O$49=N$58),'W10. Power Total Cap'!$E$50:$O$556))</f>
        <v>256.83855764560741</v>
      </c>
      <c r="O66" s="34">
        <f t="array" ref="O66">SUM(IF(('W10. Power Total Cap'!$B$50:$B$556=O$59)*('W10. Power Total Cap'!$C$50:$C$556=$A66)*('W10. Power Total Cap'!$E$49:$O$49=O$58),'W10. Power Total Cap'!$E$50:$O$556))</f>
        <v>254.66359231024609</v>
      </c>
      <c r="P66" s="34">
        <f t="array" ref="P66">SUM(IF(('W10. Power Total Cap'!$B$50:$B$556=P$59)*('W10. Power Total Cap'!$C$50:$C$556=$A66)*('W10. Power Total Cap'!$E$49:$O$49=P$58),'W10. Power Total Cap'!$E$50:$O$556))</f>
        <v>256.83855764560741</v>
      </c>
      <c r="Q66" s="34">
        <f t="array" ref="Q66">SUM(IF(('W10. Power Total Cap'!$B$50:$B$556=Q$59)*('W10. Power Total Cap'!$C$50:$C$556=$A66)*('W10. Power Total Cap'!$E$49:$O$49=Q$58),'W10. Power Total Cap'!$E$50:$O$556))</f>
        <v>254.48256718289451</v>
      </c>
      <c r="R66" s="34">
        <f t="array" ref="R66">SUM(IF(('W10. Power Total Cap'!$B$50:$B$556=R$59)*('W10. Power Total Cap'!$C$50:$C$556=$A66)*('W10. Power Total Cap'!$E$49:$O$49=R$58),'W10. Power Total Cap'!$E$50:$O$556))</f>
        <v>254.99736283399579</v>
      </c>
      <c r="S66" s="34">
        <f t="array" ref="S66">SUM(IF(('W10. Power Total Cap'!$B$50:$B$556=S$59)*('W10. Power Total Cap'!$C$50:$C$556=$A66)*('W10. Power Total Cap'!$E$49:$O$49=S$58),'W10. Power Total Cap'!$E$50:$O$556))</f>
        <v>254.55952459154003</v>
      </c>
      <c r="T66" s="34">
        <f t="array" ref="T66">SUM(IF(('W10. Power Total Cap'!$B$50:$B$556=T$59)*('W10. Power Total Cap'!$C$50:$C$556=$A66)*('W10. Power Total Cap'!$E$49:$O$49=T$58),'W10. Power Total Cap'!$E$50:$O$556))</f>
        <v>254.66359231024609</v>
      </c>
      <c r="U66" s="34">
        <f t="array" ref="U66">SUM(IF(('W10. Power Total Cap'!$B$50:$B$556=U$59)*('W10. Power Total Cap'!$C$50:$C$556=$A66)*('W10. Power Total Cap'!$E$49:$O$49=U$58),'W10. Power Total Cap'!$E$50:$O$556))</f>
        <v>256.21420471071912</v>
      </c>
      <c r="V66" s="34">
        <f t="array" ref="V66">SUM(IF(('W10. Power Total Cap'!$B$50:$B$556=V$59)*('W10. Power Total Cap'!$C$50:$C$556=$A66)*('W10. Power Total Cap'!$E$49:$O$49=V$58),'W10. Power Total Cap'!$E$50:$O$556))</f>
        <v>131.06472099208938</v>
      </c>
      <c r="W66" s="34">
        <f t="array" ref="W66">SUM(IF(('W10. Power Total Cap'!$B$50:$B$556=W$59)*('W10. Power Total Cap'!$C$50:$C$556=$A66)*('W10. Power Total Cap'!$E$49:$O$49=W$58),'W10. Power Total Cap'!$E$50:$O$556))</f>
        <v>133.69557843441194</v>
      </c>
      <c r="X66" s="34">
        <f t="array" ref="X66">SUM(IF(('W10. Power Total Cap'!$B$50:$B$556=X$59)*('W10. Power Total Cap'!$C$50:$C$556=$A66)*('W10. Power Total Cap'!$E$49:$O$49=X$58),'W10. Power Total Cap'!$E$50:$O$556))</f>
        <v>142.86514160582971</v>
      </c>
      <c r="Y66" s="34">
        <f t="array" ref="Y66">SUM(IF(('W10. Power Total Cap'!$B$50:$B$556=Y$59)*('W10. Power Total Cap'!$C$50:$C$556=$A66)*('W10. Power Total Cap'!$E$49:$O$49=Y$58),'W10. Power Total Cap'!$E$50:$O$556))</f>
        <v>143.70504974611441</v>
      </c>
      <c r="Z66" s="34">
        <f t="array" ref="Z66">SUM(IF(('W10. Power Total Cap'!$B$50:$B$556=Z$59)*('W10. Power Total Cap'!$C$50:$C$556=$A66)*('W10. Power Total Cap'!$E$49:$O$49=Z$58),'W10. Power Total Cap'!$E$50:$O$556))</f>
        <v>137.67237759935165</v>
      </c>
      <c r="AA66" s="34">
        <f t="array" ref="AA66">SUM(IF(('W10. Power Total Cap'!$B$50:$B$556=AA$59)*('W10. Power Total Cap'!$C$50:$C$556=$A66)*('W10. Power Total Cap'!$E$49:$O$49=AA$58),'W10. Power Total Cap'!$E$50:$O$556))</f>
        <v>141.16011706361792</v>
      </c>
      <c r="AB66" s="34">
        <f t="array" ref="AB66">SUM(IF(('W10. Power Total Cap'!$B$50:$B$556=AB$59)*('W10. Power Total Cap'!$C$50:$C$556=$A66)*('W10. Power Total Cap'!$E$49:$O$49=AB$58),'W10. Power Total Cap'!$E$50:$O$556))</f>
        <v>136.16861833237351</v>
      </c>
      <c r="AC66" s="34">
        <f t="array" ref="AC66">SUM(IF(('W10. Power Total Cap'!$B$50:$B$556=AC$59)*('W10. Power Total Cap'!$C$50:$C$556=$A66)*('W10. Power Total Cap'!$E$49:$O$49=AC$58),'W10. Power Total Cap'!$E$50:$O$556))</f>
        <v>142.94365887829045</v>
      </c>
      <c r="AD66" s="34">
        <f t="array" ref="AD66">SUM(IF(('W10. Power Total Cap'!$B$50:$B$556=AD$59)*('W10. Power Total Cap'!$C$50:$C$556=$A66)*('W10. Power Total Cap'!$E$49:$O$49=AD$58),'W10. Power Total Cap'!$E$50:$O$556))</f>
        <v>138.06872409941528</v>
      </c>
      <c r="AE66" s="34">
        <f t="array" ref="AE66">SUM(IF(('W10. Power Total Cap'!$B$50:$B$556=AE$59)*('W10. Power Total Cap'!$C$50:$C$556=$A66)*('W10. Power Total Cap'!$E$49:$O$49=AE$58),'W10. Power Total Cap'!$E$50:$O$556))</f>
        <v>8.4169645444973646</v>
      </c>
      <c r="AF66" s="34">
        <f t="array" ref="AF66">SUM(IF(('W10. Power Total Cap'!$B$50:$B$556=AF$59)*('W10. Power Total Cap'!$C$50:$C$556=$A66)*('W10. Power Total Cap'!$E$49:$O$49=AF$58),'W10. Power Total Cap'!$E$50:$O$556))</f>
        <v>8.4544342022581613</v>
      </c>
      <c r="AG66" s="34">
        <f t="array" ref="AG66">SUM(IF(('W10. Power Total Cap'!$B$50:$B$556=AG$59)*('W10. Power Total Cap'!$C$50:$C$556=$A66)*('W10. Power Total Cap'!$E$49:$O$49=AG$58),'W10. Power Total Cap'!$E$50:$O$556))</f>
        <v>19.774111921432983</v>
      </c>
      <c r="AH66" s="34">
        <f t="array" ref="AH66">SUM(IF(('W10. Power Total Cap'!$B$50:$B$556=AH$59)*('W10. Power Total Cap'!$C$50:$C$556=$A66)*('W10. Power Total Cap'!$E$49:$O$49=AH$58),'W10. Power Total Cap'!$E$50:$O$556))</f>
        <v>18.43905472635635</v>
      </c>
      <c r="AI66" s="34">
        <f t="array" ref="AI66">SUM(IF(('W10. Power Total Cap'!$B$50:$B$556=AI$59)*('W10. Power Total Cap'!$C$50:$C$556=$A66)*('W10. Power Total Cap'!$E$49:$O$49=AI$58),'W10. Power Total Cap'!$E$50:$O$556))</f>
        <v>18.555853113708032</v>
      </c>
      <c r="AJ66" s="34">
        <f t="array" ref="AJ66">SUM(IF(('W10. Power Total Cap'!$B$50:$B$556=AJ$59)*('W10. Power Total Cap'!$C$50:$C$556=$A66)*('W10. Power Total Cap'!$E$49:$O$49=AJ$58),'W10. Power Total Cap'!$E$50:$O$556))</f>
        <v>17.735316855471471</v>
      </c>
      <c r="AK66" s="34">
        <f t="array" ref="AK66">SUM(IF(('W10. Power Total Cap'!$B$50:$B$556=AK$59)*('W10. Power Total Cap'!$C$50:$C$556=$A66)*('W10. Power Total Cap'!$E$49:$O$49=AK$58),'W10. Power Total Cap'!$E$50:$O$556))</f>
        <v>13.181656366682827</v>
      </c>
      <c r="AL66" s="34">
        <f t="array" ref="AL66">SUM(IF(('W10. Power Total Cap'!$B$50:$B$556=AL$59)*('W10. Power Total Cap'!$C$50:$C$556=$A66)*('W10. Power Total Cap'!$E$49:$O$49=AL$58),'W10. Power Total Cap'!$E$50:$O$556))</f>
        <v>19.852629193893698</v>
      </c>
      <c r="AM66" s="34">
        <f t="array" ref="AM66">SUM(IF(('W10. Power Total Cap'!$B$50:$B$556=AM$59)*('W10. Power Total Cap'!$C$50:$C$556=$A66)*('W10. Power Total Cap'!$E$49:$O$49=AM$58),'W10. Power Total Cap'!$E$50:$O$556))</f>
        <v>15.67645185491862</v>
      </c>
      <c r="AN66" s="34">
        <f t="array" ref="AN66">SUM(IF(('W10. Power Total Cap'!$B$50:$B$556=AN$59)*('W10. Power Total Cap'!$C$50:$C$556=$A66)*('W10. Power Total Cap'!$E$49:$O$49=AN$58),'W10. Power Total Cap'!$E$50:$O$556))</f>
        <v>1.512740140362147</v>
      </c>
      <c r="AO66" s="34">
        <f t="array" ref="AO66">SUM(IF(('W10. Power Total Cap'!$B$50:$B$556=AO$59)*('W10. Power Total Cap'!$C$50:$C$556=$A66)*('W10. Power Total Cap'!$E$49:$O$49=AO$58),'W10. Power Total Cap'!$E$50:$O$556))</f>
        <v>6.7106481607378727</v>
      </c>
      <c r="AP66" s="34">
        <f t="array" ref="AP66">SUM(IF(('W10. Power Total Cap'!$B$50:$B$556=AP$59)*('W10. Power Total Cap'!$C$50:$C$556=$A66)*('W10. Power Total Cap'!$E$49:$O$49=AP$58),'W10. Power Total Cap'!$E$50:$O$556))</f>
        <v>12.083349198046013</v>
      </c>
      <c r="AQ66" s="34">
        <f t="array" ref="AQ66">SUM(IF(('W10. Power Total Cap'!$B$50:$B$556=AQ$59)*('W10. Power Total Cap'!$C$50:$C$556=$A66)*('W10. Power Total Cap'!$E$49:$O$49=AQ$58),'W10. Power Total Cap'!$E$50:$O$556))</f>
        <v>13.8182633959323</v>
      </c>
      <c r="AR66" s="34">
        <f t="array" ref="AR66">SUM(IF(('W10. Power Total Cap'!$B$50:$B$556=AR$59)*('W10. Power Total Cap'!$C$50:$C$556=$A66)*('W10. Power Total Cap'!$E$49:$O$49=AR$58),'W10. Power Total Cap'!$E$50:$O$556))</f>
        <v>68.035722652931085</v>
      </c>
      <c r="AS66" s="34">
        <f t="array" ref="AS66">SUM(IF(('W10. Power Total Cap'!$B$50:$B$556=AS$59)*('W10. Power Total Cap'!$C$50:$C$556=$A66)*('W10. Power Total Cap'!$E$49:$O$49=AS$58),'W10. Power Total Cap'!$E$50:$O$556))</f>
        <v>12.938021724770989</v>
      </c>
      <c r="AT66" s="34">
        <f t="array" ref="AT66">SUM(IF(('W10. Power Total Cap'!$B$50:$B$556=AT$59)*('W10. Power Total Cap'!$C$50:$C$556=$A66)*('W10. Power Total Cap'!$E$49:$O$49=AT$58),'W10. Power Total Cap'!$E$50:$O$556))</f>
        <v>5.8056942231844308</v>
      </c>
      <c r="AU66" s="34">
        <f t="array" ref="AU66">SUM(IF(('W10. Power Total Cap'!$B$50:$B$556=AU$59)*('W10. Power Total Cap'!$C$50:$C$556=$A66)*('W10. Power Total Cap'!$E$49:$O$49=AU$58),'W10. Power Total Cap'!$E$50:$O$556))</f>
        <v>12.118027028084207</v>
      </c>
      <c r="AV66" s="34">
        <f t="array" ref="AV66">SUM(IF(('W10. Power Total Cap'!$B$50:$B$556=AV$59)*('W10. Power Total Cap'!$C$50:$C$556=$A66)*('W10. Power Total Cap'!$E$49:$O$49=AV$58),'W10. Power Total Cap'!$E$50:$O$556))</f>
        <v>23.765184385463257</v>
      </c>
    </row>
    <row r="67" spans="1:48" x14ac:dyDescent="0.3">
      <c r="A67" s="3" t="s">
        <v>70</v>
      </c>
      <c r="B67" s="3" t="s">
        <v>259</v>
      </c>
      <c r="C67" s="34">
        <f t="array" ref="C67">SUM(IF(('W10. Power Total Cap'!$B$50:$B$556=C$59)*('W10. Power Total Cap'!$C$50:$C$556=$A67)*('W10. Power Total Cap'!$E$49:$O$49=C$58),'W10. Power Total Cap'!$E$50:$O$556))</f>
        <v>96.560908546679059</v>
      </c>
      <c r="D67" s="34">
        <f t="array" ref="D67">SUM(IF(('W10. Power Total Cap'!$B$50:$B$556=D$59)*('W10. Power Total Cap'!$C$50:$C$556=$A67)*('W10. Power Total Cap'!$E$49:$O$49=D$58),'W10. Power Total Cap'!$E$50:$O$556))</f>
        <v>237.99421539928102</v>
      </c>
      <c r="E67" s="34">
        <f t="array" ref="E67">SUM(IF(('W10. Power Total Cap'!$B$50:$B$556=E$59)*('W10. Power Total Cap'!$C$50:$C$556=$A67)*('W10. Power Total Cap'!$E$49:$O$49=E$58),'W10. Power Total Cap'!$E$50:$O$556))</f>
        <v>193.62720812488871</v>
      </c>
      <c r="F67" s="34">
        <f t="array" ref="F67">SUM(IF(('W10. Power Total Cap'!$B$50:$B$556=F$59)*('W10. Power Total Cap'!$C$50:$C$556=$A67)*('W10. Power Total Cap'!$E$49:$O$49=F$58),'W10. Power Total Cap'!$E$50:$O$556))</f>
        <v>193.62720812488871</v>
      </c>
      <c r="G67" s="34">
        <f t="array" ref="G67">SUM(IF(('W10. Power Total Cap'!$B$50:$B$556=G$59)*('W10. Power Total Cap'!$C$50:$C$556=$A67)*('W10. Power Total Cap'!$E$49:$O$49=G$58),'W10. Power Total Cap'!$E$50:$O$556))</f>
        <v>193.62720812488871</v>
      </c>
      <c r="H67" s="34">
        <f t="array" ref="H67">SUM(IF(('W10. Power Total Cap'!$B$50:$B$556=H$59)*('W10. Power Total Cap'!$C$50:$C$556=$A67)*('W10. Power Total Cap'!$E$49:$O$49=H$58),'W10. Power Total Cap'!$E$50:$O$556))</f>
        <v>193.62720812488871</v>
      </c>
      <c r="I67" s="34">
        <f t="array" ref="I67">SUM(IF(('W10. Power Total Cap'!$B$50:$B$556=I$59)*('W10. Power Total Cap'!$C$50:$C$556=$A67)*('W10. Power Total Cap'!$E$49:$O$49=I$58),'W10. Power Total Cap'!$E$50:$O$556))</f>
        <v>193.62720812488871</v>
      </c>
      <c r="J67" s="34">
        <f t="array" ref="J67">SUM(IF(('W10. Power Total Cap'!$B$50:$B$556=J$59)*('W10. Power Total Cap'!$C$50:$C$556=$A67)*('W10. Power Total Cap'!$E$49:$O$49=J$58),'W10. Power Total Cap'!$E$50:$O$556))</f>
        <v>193.62720812488871</v>
      </c>
      <c r="K67" s="34">
        <f t="array" ref="K67">SUM(IF(('W10. Power Total Cap'!$B$50:$B$556=K$59)*('W10. Power Total Cap'!$C$50:$C$556=$A67)*('W10. Power Total Cap'!$E$49:$O$49=K$58),'W10. Power Total Cap'!$E$50:$O$556))</f>
        <v>193.62720812488871</v>
      </c>
      <c r="L67" s="34">
        <f t="array" ref="L67">SUM(IF(('W10. Power Total Cap'!$B$50:$B$556=L$59)*('W10. Power Total Cap'!$C$50:$C$556=$A67)*('W10. Power Total Cap'!$E$49:$O$49=L$58),'W10. Power Total Cap'!$E$50:$O$556))</f>
        <v>193.62720812488871</v>
      </c>
      <c r="M67" s="34">
        <f t="array" ref="M67">SUM(IF(('W10. Power Total Cap'!$B$50:$B$556=M$59)*('W10. Power Total Cap'!$C$50:$C$556=$A67)*('W10. Power Total Cap'!$E$49:$O$49=M$58),'W10. Power Total Cap'!$E$50:$O$556))</f>
        <v>476.40504159131814</v>
      </c>
      <c r="N67" s="34">
        <f t="array" ref="N67">SUM(IF(('W10. Power Total Cap'!$B$50:$B$556=N$59)*('W10. Power Total Cap'!$C$50:$C$556=$A67)*('W10. Power Total Cap'!$E$49:$O$49=N$58),'W10. Power Total Cap'!$E$50:$O$556))</f>
        <v>564.29121895346805</v>
      </c>
      <c r="O67" s="34">
        <f t="array" ref="O67">SUM(IF(('W10. Power Total Cap'!$B$50:$B$556=O$59)*('W10. Power Total Cap'!$C$50:$C$556=$A67)*('W10. Power Total Cap'!$E$49:$O$49=O$58),'W10. Power Total Cap'!$E$50:$O$556))</f>
        <v>904.86337244448305</v>
      </c>
      <c r="P67" s="34">
        <f t="array" ref="P67">SUM(IF(('W10. Power Total Cap'!$B$50:$B$556=P$59)*('W10. Power Total Cap'!$C$50:$C$556=$A67)*('W10. Power Total Cap'!$E$49:$O$49=P$58),'W10. Power Total Cap'!$E$50:$O$556))</f>
        <v>564.29121895346805</v>
      </c>
      <c r="Q67" s="34">
        <f t="array" ref="Q67">SUM(IF(('W10. Power Total Cap'!$B$50:$B$556=Q$59)*('W10. Power Total Cap'!$C$50:$C$556=$A67)*('W10. Power Total Cap'!$E$49:$O$49=Q$58),'W10. Power Total Cap'!$E$50:$O$556))</f>
        <v>215.96698864622982</v>
      </c>
      <c r="R67" s="34">
        <f t="array" ref="R67">SUM(IF(('W10. Power Total Cap'!$B$50:$B$556=R$59)*('W10. Power Total Cap'!$C$50:$C$556=$A67)*('W10. Power Total Cap'!$E$49:$O$49=R$58),'W10. Power Total Cap'!$E$50:$O$556))</f>
        <v>692.12087012939855</v>
      </c>
      <c r="S67" s="34">
        <f t="array" ref="S67">SUM(IF(('W10. Power Total Cap'!$B$50:$B$556=S$59)*('W10. Power Total Cap'!$C$50:$C$556=$A67)*('W10. Power Total Cap'!$E$49:$O$49=S$58),'W10. Power Total Cap'!$E$50:$O$556))</f>
        <v>654.03166215640977</v>
      </c>
      <c r="T67" s="34">
        <f t="array" ref="T67">SUM(IF(('W10. Power Total Cap'!$B$50:$B$556=T$59)*('W10. Power Total Cap'!$C$50:$C$556=$A67)*('W10. Power Total Cap'!$E$49:$O$49=T$58),'W10. Power Total Cap'!$E$50:$O$556))</f>
        <v>909.08806791401105</v>
      </c>
      <c r="U67" s="34">
        <f t="array" ref="U67">SUM(IF(('W10. Power Total Cap'!$B$50:$B$556=U$59)*('W10. Power Total Cap'!$C$50:$C$556=$A67)*('W10. Power Total Cap'!$E$49:$O$49=U$58),'W10. Power Total Cap'!$E$50:$O$556))</f>
        <v>903.07318586255042</v>
      </c>
      <c r="V67" s="34">
        <f t="array" ref="V67">SUM(IF(('W10. Power Total Cap'!$B$50:$B$556=V$59)*('W10. Power Total Cap'!$C$50:$C$556=$A67)*('W10. Power Total Cap'!$E$49:$O$49=V$58),'W10. Power Total Cap'!$E$50:$O$556))</f>
        <v>1232.0551358607788</v>
      </c>
      <c r="W67" s="34">
        <f t="array" ref="W67">SUM(IF(('W10. Power Total Cap'!$B$50:$B$556=W$59)*('W10. Power Total Cap'!$C$50:$C$556=$A67)*('W10. Power Total Cap'!$E$49:$O$49=W$58),'W10. Power Total Cap'!$E$50:$O$556))</f>
        <v>1618.0066862436897</v>
      </c>
      <c r="X67" s="34">
        <f t="array" ref="X67">SUM(IF(('W10. Power Total Cap'!$B$50:$B$556=X$59)*('W10. Power Total Cap'!$C$50:$C$556=$A67)*('W10. Power Total Cap'!$E$49:$O$49=X$58),'W10. Power Total Cap'!$E$50:$O$556))</f>
        <v>3046.8495749939302</v>
      </c>
      <c r="Y67" s="34">
        <f t="array" ref="Y67">SUM(IF(('W10. Power Total Cap'!$B$50:$B$556=Y$59)*('W10. Power Total Cap'!$C$50:$C$556=$A67)*('W10. Power Total Cap'!$E$49:$O$49=Y$58),'W10. Power Total Cap'!$E$50:$O$556))</f>
        <v>2331.9132434416242</v>
      </c>
      <c r="Z67" s="34">
        <f t="array" ref="Z67">SUM(IF(('W10. Power Total Cap'!$B$50:$B$556=Z$59)*('W10. Power Total Cap'!$C$50:$C$556=$A67)*('W10. Power Total Cap'!$E$49:$O$49=Z$58),'W10. Power Total Cap'!$E$50:$O$556))</f>
        <v>215.96098864622982</v>
      </c>
      <c r="AA67" s="34">
        <f t="array" ref="AA67">SUM(IF(('W10. Power Total Cap'!$B$50:$B$556=AA$59)*('W10. Power Total Cap'!$C$50:$C$556=$A67)*('W10. Power Total Cap'!$E$49:$O$49=AA$58),'W10. Power Total Cap'!$E$50:$O$556))</f>
        <v>2699.0766574438003</v>
      </c>
      <c r="AB67" s="34">
        <f t="array" ref="AB67">SUM(IF(('W10. Power Total Cap'!$B$50:$B$556=AB$59)*('W10. Power Total Cap'!$C$50:$C$556=$A67)*('W10. Power Total Cap'!$E$49:$O$49=AB$58),'W10. Power Total Cap'!$E$50:$O$556))</f>
        <v>2317.2182579613882</v>
      </c>
      <c r="AC67" s="34">
        <f t="array" ref="AC67">SUM(IF(('W10. Power Total Cap'!$B$50:$B$556=AC$59)*('W10. Power Total Cap'!$C$50:$C$556=$A67)*('W10. Power Total Cap'!$E$49:$O$49=AC$58),'W10. Power Total Cap'!$E$50:$O$556))</f>
        <v>3055.2996815435763</v>
      </c>
      <c r="AD67" s="34">
        <f t="array" ref="AD67">SUM(IF(('W10. Power Total Cap'!$B$50:$B$556=AD$59)*('W10. Power Total Cap'!$C$50:$C$556=$A67)*('W10. Power Total Cap'!$E$49:$O$49=AD$58),'W10. Power Total Cap'!$E$50:$O$556))</f>
        <v>3345.3154676721597</v>
      </c>
      <c r="AE67" s="34">
        <f t="array" ref="AE67">SUM(IF(('W10. Power Total Cap'!$B$50:$B$556=AE$59)*('W10. Power Total Cap'!$C$50:$C$556=$A67)*('W10. Power Total Cap'!$E$49:$O$49=AE$58),'W10. Power Total Cap'!$E$50:$O$556))</f>
        <v>2382.7853593618884</v>
      </c>
      <c r="AF67" s="34">
        <f t="array" ref="AF67">SUM(IF(('W10. Power Total Cap'!$B$50:$B$556=AF$59)*('W10. Power Total Cap'!$C$50:$C$556=$A67)*('W10. Power Total Cap'!$E$49:$O$49=AF$58),'W10. Power Total Cap'!$E$50:$O$556))</f>
        <v>3909.9954410872115</v>
      </c>
      <c r="AG67" s="34">
        <f t="array" ref="AG67">SUM(IF(('W10. Power Total Cap'!$B$50:$B$556=AG$59)*('W10. Power Total Cap'!$C$50:$C$556=$A67)*('W10. Power Total Cap'!$E$49:$O$49=AG$58),'W10. Power Total Cap'!$E$50:$O$556))</f>
        <v>5362.3900467651774</v>
      </c>
      <c r="AH67" s="34">
        <f t="array" ref="AH67">SUM(IF(('W10. Power Total Cap'!$B$50:$B$556=AH$59)*('W10. Power Total Cap'!$C$50:$C$556=$A67)*('W10. Power Total Cap'!$E$49:$O$49=AH$58),'W10. Power Total Cap'!$E$50:$O$556))</f>
        <v>5335.3686909563794</v>
      </c>
      <c r="AI67" s="34">
        <f t="array" ref="AI67">SUM(IF(('W10. Power Total Cap'!$B$50:$B$556=AI$59)*('W10. Power Total Cap'!$C$50:$C$556=$A67)*('W10. Power Total Cap'!$E$49:$O$49=AI$58),'W10. Power Total Cap'!$E$50:$O$556))</f>
        <v>216.0263224145269</v>
      </c>
      <c r="AJ67" s="34">
        <f t="array" ref="AJ67">SUM(IF(('W10. Power Total Cap'!$B$50:$B$556=AJ$59)*('W10. Power Total Cap'!$C$50:$C$556=$A67)*('W10. Power Total Cap'!$E$49:$O$49=AJ$58),'W10. Power Total Cap'!$E$50:$O$556))</f>
        <v>5381.8976862768359</v>
      </c>
      <c r="AK67" s="34">
        <f t="array" ref="AK67">SUM(IF(('W10. Power Total Cap'!$B$50:$B$556=AK$59)*('W10. Power Total Cap'!$C$50:$C$556=$A67)*('W10. Power Total Cap'!$E$49:$O$49=AK$58),'W10. Power Total Cap'!$E$50:$O$556))</f>
        <v>4947.7056442344683</v>
      </c>
      <c r="AL67" s="34">
        <f t="array" ref="AL67">SUM(IF(('W10. Power Total Cap'!$B$50:$B$556=AL$59)*('W10. Power Total Cap'!$C$50:$C$556=$A67)*('W10. Power Total Cap'!$E$49:$O$49=AL$58),'W10. Power Total Cap'!$E$50:$O$556))</f>
        <v>5389.109800684977</v>
      </c>
      <c r="AM67" s="34">
        <f t="array" ref="AM67">SUM(IF(('W10. Power Total Cap'!$B$50:$B$556=AM$59)*('W10. Power Total Cap'!$C$50:$C$556=$A67)*('W10. Power Total Cap'!$E$49:$O$49=AM$58),'W10. Power Total Cap'!$E$50:$O$556))</f>
        <v>5411.8352346414476</v>
      </c>
      <c r="AN67" s="34">
        <f t="array" ref="AN67">SUM(IF(('W10. Power Total Cap'!$B$50:$B$556=AN$59)*('W10. Power Total Cap'!$C$50:$C$556=$A67)*('W10. Power Total Cap'!$E$49:$O$49=AN$58),'W10. Power Total Cap'!$E$50:$O$556))</f>
        <v>2821.9482256291303</v>
      </c>
      <c r="AO67" s="34">
        <f t="array" ref="AO67">SUM(IF(('W10. Power Total Cap'!$B$50:$B$556=AO$59)*('W10. Power Total Cap'!$C$50:$C$556=$A67)*('W10. Power Total Cap'!$E$49:$O$49=AO$58),'W10. Power Total Cap'!$E$50:$O$556))</f>
        <v>4679.0452438602215</v>
      </c>
      <c r="AP67" s="34">
        <f t="array" ref="AP67">SUM(IF(('W10. Power Total Cap'!$B$50:$B$556=AP$59)*('W10. Power Total Cap'!$C$50:$C$556=$A67)*('W10. Power Total Cap'!$E$49:$O$49=AP$58),'W10. Power Total Cap'!$E$50:$O$556))</f>
        <v>6880.0238644810715</v>
      </c>
      <c r="AQ67" s="34">
        <f t="array" ref="AQ67">SUM(IF(('W10. Power Total Cap'!$B$50:$B$556=AQ$59)*('W10. Power Total Cap'!$C$50:$C$556=$A67)*('W10. Power Total Cap'!$E$49:$O$49=AQ$58),'W10. Power Total Cap'!$E$50:$O$556))</f>
        <v>7221.216999835282</v>
      </c>
      <c r="AR67" s="34">
        <f t="array" ref="AR67">SUM(IF(('W10. Power Total Cap'!$B$50:$B$556=AR$59)*('W10. Power Total Cap'!$C$50:$C$556=$A67)*('W10. Power Total Cap'!$E$49:$O$49=AR$58),'W10. Power Total Cap'!$E$50:$O$556))</f>
        <v>219.01915373713331</v>
      </c>
      <c r="AS67" s="34">
        <f t="array" ref="AS67">SUM(IF(('W10. Power Total Cap'!$B$50:$B$556=AS$59)*('W10. Power Total Cap'!$C$50:$C$556=$A67)*('W10. Power Total Cap'!$E$49:$O$49=AS$58),'W10. Power Total Cap'!$E$50:$O$556))</f>
        <v>6917.2832894200465</v>
      </c>
      <c r="AT67" s="34">
        <f t="array" ref="AT67">SUM(IF(('W10. Power Total Cap'!$B$50:$B$556=AT$59)*('W10. Power Total Cap'!$C$50:$C$556=$A67)*('W10. Power Total Cap'!$E$49:$O$49=AT$58),'W10. Power Total Cap'!$E$50:$O$556))</f>
        <v>6424.7581930327169</v>
      </c>
      <c r="AU67" s="34">
        <f t="array" ref="AU67">SUM(IF(('W10. Power Total Cap'!$B$50:$B$556=AU$59)*('W10. Power Total Cap'!$C$50:$C$556=$A67)*('W10. Power Total Cap'!$E$49:$O$49=AU$58),'W10. Power Total Cap'!$E$50:$O$556))</f>
        <v>6911.7454076043614</v>
      </c>
      <c r="AV67" s="34">
        <f t="array" ref="AV67">SUM(IF(('W10. Power Total Cap'!$B$50:$B$556=AV$59)*('W10. Power Total Cap'!$C$50:$C$556=$A67)*('W10. Power Total Cap'!$E$49:$O$49=AV$58),'W10. Power Total Cap'!$E$50:$O$556))</f>
        <v>7271.8092791063918</v>
      </c>
    </row>
    <row r="68" spans="1:48" x14ac:dyDescent="0.3">
      <c r="A68" s="3" t="s">
        <v>71</v>
      </c>
      <c r="B68" s="3" t="s">
        <v>259</v>
      </c>
      <c r="C68" s="34">
        <f t="array" ref="C68">SUM(IF(('W10. Power Total Cap'!$B$50:$B$556=C$59)*('W10. Power Total Cap'!$C$50:$C$556=$A68)*('W10. Power Total Cap'!$E$49:$O$49=C$58),'W10. Power Total Cap'!$E$50:$O$556))</f>
        <v>12.249511111111101</v>
      </c>
      <c r="D68" s="34">
        <f t="array" ref="D68">SUM(IF(('W10. Power Total Cap'!$B$50:$B$556=D$59)*('W10. Power Total Cap'!$C$50:$C$556=$A68)*('W10. Power Total Cap'!$E$49:$O$49=D$58),'W10. Power Total Cap'!$E$50:$O$556))</f>
        <v>13.0631111111111</v>
      </c>
      <c r="E68" s="34">
        <f t="array" ref="E68">SUM(IF(('W10. Power Total Cap'!$B$50:$B$556=E$59)*('W10. Power Total Cap'!$C$50:$C$556=$A68)*('W10. Power Total Cap'!$E$49:$O$49=E$58),'W10. Power Total Cap'!$E$50:$O$556))</f>
        <v>13.0611055551111</v>
      </c>
      <c r="F68" s="34">
        <f t="array" ref="F68">SUM(IF(('W10. Power Total Cap'!$B$50:$B$556=F$59)*('W10. Power Total Cap'!$C$50:$C$556=$A68)*('W10. Power Total Cap'!$E$49:$O$49=F$58),'W10. Power Total Cap'!$E$50:$O$556))</f>
        <v>13.0611055551111</v>
      </c>
      <c r="G68" s="34">
        <f t="array" ref="G68">SUM(IF(('W10. Power Total Cap'!$B$50:$B$556=G$59)*('W10. Power Total Cap'!$C$50:$C$556=$A68)*('W10. Power Total Cap'!$E$49:$O$49=G$58),'W10. Power Total Cap'!$E$50:$O$556))</f>
        <v>13.0611055551111</v>
      </c>
      <c r="H68" s="34">
        <f t="array" ref="H68">SUM(IF(('W10. Power Total Cap'!$B$50:$B$556=H$59)*('W10. Power Total Cap'!$C$50:$C$556=$A68)*('W10. Power Total Cap'!$E$49:$O$49=H$58),'W10. Power Total Cap'!$E$50:$O$556))</f>
        <v>13.0611055551111</v>
      </c>
      <c r="I68" s="34">
        <f t="array" ref="I68">SUM(IF(('W10. Power Total Cap'!$B$50:$B$556=I$59)*('W10. Power Total Cap'!$C$50:$C$556=$A68)*('W10. Power Total Cap'!$E$49:$O$49=I$58),'W10. Power Total Cap'!$E$50:$O$556))</f>
        <v>13.0611055551111</v>
      </c>
      <c r="J68" s="34">
        <f t="array" ref="J68">SUM(IF(('W10. Power Total Cap'!$B$50:$B$556=J$59)*('W10. Power Total Cap'!$C$50:$C$556=$A68)*('W10. Power Total Cap'!$E$49:$O$49=J$58),'W10. Power Total Cap'!$E$50:$O$556))</f>
        <v>13.0611055551111</v>
      </c>
      <c r="K68" s="34">
        <f t="array" ref="K68">SUM(IF(('W10. Power Total Cap'!$B$50:$B$556=K$59)*('W10. Power Total Cap'!$C$50:$C$556=$A68)*('W10. Power Total Cap'!$E$49:$O$49=K$58),'W10. Power Total Cap'!$E$50:$O$556))</f>
        <v>13.0611055551111</v>
      </c>
      <c r="L68" s="34">
        <f t="array" ref="L68">SUM(IF(('W10. Power Total Cap'!$B$50:$B$556=L$59)*('W10. Power Total Cap'!$C$50:$C$556=$A68)*('W10. Power Total Cap'!$E$49:$O$49=L$58),'W10. Power Total Cap'!$E$50:$O$556))</f>
        <v>13.0611055551111</v>
      </c>
      <c r="M68" s="34">
        <f t="array" ref="M68">SUM(IF(('W10. Power Total Cap'!$B$50:$B$556=M$59)*('W10. Power Total Cap'!$C$50:$C$556=$A68)*('W10. Power Total Cap'!$E$49:$O$49=M$58),'W10. Power Total Cap'!$E$50:$O$556))</f>
        <v>13.063111111111096</v>
      </c>
      <c r="N68" s="34">
        <f t="array" ref="N68">SUM(IF(('W10. Power Total Cap'!$B$50:$B$556=N$59)*('W10. Power Total Cap'!$C$50:$C$556=$A68)*('W10. Power Total Cap'!$E$49:$O$49=N$58),'W10. Power Total Cap'!$E$50:$O$556))</f>
        <v>13.059905555111095</v>
      </c>
      <c r="O68" s="34">
        <f t="array" ref="O68">SUM(IF(('W10. Power Total Cap'!$B$50:$B$556=O$59)*('W10. Power Total Cap'!$C$50:$C$556=$A68)*('W10. Power Total Cap'!$E$49:$O$49=O$58),'W10. Power Total Cap'!$E$50:$O$556))</f>
        <v>13.059505551511098</v>
      </c>
      <c r="P68" s="34">
        <f t="array" ref="P68">SUM(IF(('W10. Power Total Cap'!$B$50:$B$556=P$59)*('W10. Power Total Cap'!$C$50:$C$556=$A68)*('W10. Power Total Cap'!$E$49:$O$49=P$58),'W10. Power Total Cap'!$E$50:$O$556))</f>
        <v>13.059905555111095</v>
      </c>
      <c r="Q68" s="34">
        <f t="array" ref="Q68">SUM(IF(('W10. Power Total Cap'!$B$50:$B$556=Q$59)*('W10. Power Total Cap'!$C$50:$C$556=$A68)*('W10. Power Total Cap'!$E$49:$O$49=Q$58),'W10. Power Total Cap'!$E$50:$O$556))</f>
        <v>13.249123668593382</v>
      </c>
      <c r="R68" s="34">
        <f t="array" ref="R68">SUM(IF(('W10. Power Total Cap'!$B$50:$B$556=R$59)*('W10. Power Total Cap'!$C$50:$C$556=$A68)*('W10. Power Total Cap'!$E$49:$O$49=R$58),'W10. Power Total Cap'!$E$50:$O$556))</f>
        <v>13.059505551511098</v>
      </c>
      <c r="S68" s="34">
        <f t="array" ref="S68">SUM(IF(('W10. Power Total Cap'!$B$50:$B$556=S$59)*('W10. Power Total Cap'!$C$50:$C$556=$A68)*('W10. Power Total Cap'!$E$49:$O$49=S$58),'W10. Power Total Cap'!$E$50:$O$556))</f>
        <v>13.058705551511096</v>
      </c>
      <c r="T68" s="34">
        <f t="array" ref="T68">SUM(IF(('W10. Power Total Cap'!$B$50:$B$556=T$59)*('W10. Power Total Cap'!$C$50:$C$556=$A68)*('W10. Power Total Cap'!$E$49:$O$49=T$58),'W10. Power Total Cap'!$E$50:$O$556))</f>
        <v>13.059105551511097</v>
      </c>
      <c r="U68" s="34">
        <f t="array" ref="U68">SUM(IF(('W10. Power Total Cap'!$B$50:$B$556=U$59)*('W10. Power Total Cap'!$C$50:$C$556=$A68)*('W10. Power Total Cap'!$E$49:$O$49=U$58),'W10. Power Total Cap'!$E$50:$O$556))</f>
        <v>13.059505551511098</v>
      </c>
      <c r="V68" s="34">
        <f t="array" ref="V68">SUM(IF(('W10. Power Total Cap'!$B$50:$B$556=V$59)*('W10. Power Total Cap'!$C$50:$C$556=$A68)*('W10. Power Total Cap'!$E$49:$O$49=V$58),'W10. Power Total Cap'!$E$50:$O$556))</f>
        <v>13.063111111111104</v>
      </c>
      <c r="W68" s="34">
        <f t="array" ref="W68">SUM(IF(('W10. Power Total Cap'!$B$50:$B$556=W$59)*('W10. Power Total Cap'!$C$50:$C$556=$A68)*('W10. Power Total Cap'!$E$49:$O$49=W$58),'W10. Power Total Cap'!$E$50:$O$556))</f>
        <v>13.057905555111102</v>
      </c>
      <c r="X68" s="34">
        <f t="array" ref="X68">SUM(IF(('W10. Power Total Cap'!$B$50:$B$556=X$59)*('W10. Power Total Cap'!$C$50:$C$556=$A68)*('W10. Power Total Cap'!$E$49:$O$49=X$58),'W10. Power Total Cap'!$E$50:$O$556))</f>
        <v>13.061351014222497</v>
      </c>
      <c r="Y68" s="34">
        <f t="array" ref="Y68">SUM(IF(('W10. Power Total Cap'!$B$50:$B$556=Y$59)*('W10. Power Total Cap'!$C$50:$C$556=$A68)*('W10. Power Total Cap'!$E$49:$O$49=Y$58),'W10. Power Total Cap'!$E$50:$O$556))</f>
        <v>13.056802652205363</v>
      </c>
      <c r="Z68" s="34">
        <f t="array" ref="Z68">SUM(IF(('W10. Power Total Cap'!$B$50:$B$556=Z$59)*('W10. Power Total Cap'!$C$50:$C$556=$A68)*('W10. Power Total Cap'!$E$49:$O$49=Z$58),'W10. Power Total Cap'!$E$50:$O$556))</f>
        <v>15.300765493205866</v>
      </c>
      <c r="AA68" s="34">
        <f t="array" ref="AA68">SUM(IF(('W10. Power Total Cap'!$B$50:$B$556=AA$59)*('W10. Power Total Cap'!$C$50:$C$556=$A68)*('W10. Power Total Cap'!$E$49:$O$49=AA$58),'W10. Power Total Cap'!$E$50:$O$556))</f>
        <v>13.061351014222497</v>
      </c>
      <c r="AB68" s="34">
        <f t="array" ref="AB68">SUM(IF(('W10. Power Total Cap'!$B$50:$B$556=AB$59)*('W10. Power Total Cap'!$C$50:$C$556=$A68)*('W10. Power Total Cap'!$E$49:$O$49=AB$58),'W10. Power Total Cap'!$E$50:$O$556))</f>
        <v>13.056705551511103</v>
      </c>
      <c r="AC68" s="34">
        <f t="array" ref="AC68">SUM(IF(('W10. Power Total Cap'!$B$50:$B$556=AC$59)*('W10. Power Total Cap'!$C$50:$C$556=$A68)*('W10. Power Total Cap'!$E$49:$O$49=AC$58),'W10. Power Total Cap'!$E$50:$O$556))</f>
        <v>13.0590282828668</v>
      </c>
      <c r="AD68" s="34">
        <f t="array" ref="AD68">SUM(IF(('W10. Power Total Cap'!$B$50:$B$556=AD$59)*('W10. Power Total Cap'!$C$50:$C$556=$A68)*('W10. Power Total Cap'!$E$49:$O$49=AD$58),'W10. Power Total Cap'!$E$50:$O$556))</f>
        <v>13.262031287790107</v>
      </c>
      <c r="AE68" s="34">
        <f t="array" ref="AE68">SUM(IF(('W10. Power Total Cap'!$B$50:$B$556=AE$59)*('W10. Power Total Cap'!$C$50:$C$556=$A68)*('W10. Power Total Cap'!$E$49:$O$49=AE$58),'W10. Power Total Cap'!$E$50:$O$556))</f>
        <v>13.0631111111111</v>
      </c>
      <c r="AF68" s="34">
        <f t="array" ref="AF68">SUM(IF(('W10. Power Total Cap'!$B$50:$B$556=AF$59)*('W10. Power Total Cap'!$C$50:$C$556=$A68)*('W10. Power Total Cap'!$E$49:$O$49=AF$58),'W10. Power Total Cap'!$E$50:$O$556))</f>
        <v>13.055905555111099</v>
      </c>
      <c r="AG68" s="34">
        <f t="array" ref="AG68">SUM(IF(('W10. Power Total Cap'!$B$50:$B$556=AG$59)*('W10. Power Total Cap'!$C$50:$C$556=$A68)*('W10. Power Total Cap'!$E$49:$O$49=AG$58),'W10. Power Total Cap'!$E$50:$O$556))</f>
        <v>13.077835493553415</v>
      </c>
      <c r="AH68" s="34">
        <f t="array" ref="AH68">SUM(IF(('W10. Power Total Cap'!$B$50:$B$556=AH$59)*('W10. Power Total Cap'!$C$50:$C$556=$A68)*('W10. Power Total Cap'!$E$49:$O$49=AH$58),'W10. Power Total Cap'!$E$50:$O$556))</f>
        <v>13.058648114916753</v>
      </c>
      <c r="AI68" s="34">
        <f t="array" ref="AI68">SUM(IF(('W10. Power Total Cap'!$B$50:$B$556=AI$59)*('W10. Power Total Cap'!$C$50:$C$556=$A68)*('W10. Power Total Cap'!$E$49:$O$49=AI$58),'W10. Power Total Cap'!$E$50:$O$556))</f>
        <v>24.030811972143091</v>
      </c>
      <c r="AJ68" s="34">
        <f t="array" ref="AJ68">SUM(IF(('W10. Power Total Cap'!$B$50:$B$556=AJ$59)*('W10. Power Total Cap'!$C$50:$C$556=$A68)*('W10. Power Total Cap'!$E$49:$O$49=AJ$58),'W10. Power Total Cap'!$E$50:$O$556))</f>
        <v>13.077835493553415</v>
      </c>
      <c r="AK68" s="34">
        <f t="array" ref="AK68">SUM(IF(('W10. Power Total Cap'!$B$50:$B$556=AK$59)*('W10. Power Total Cap'!$C$50:$C$556=$A68)*('W10. Power Total Cap'!$E$49:$O$49=AK$58),'W10. Power Total Cap'!$E$50:$O$556))</f>
        <v>13.054705551511098</v>
      </c>
      <c r="AL68" s="34">
        <f t="array" ref="AL68">SUM(IF(('W10. Power Total Cap'!$B$50:$B$556=AL$59)*('W10. Power Total Cap'!$C$50:$C$556=$A68)*('W10. Power Total Cap'!$E$49:$O$49=AL$58),'W10. Power Total Cap'!$E$50:$O$556))</f>
        <v>13.066270522532257</v>
      </c>
      <c r="AM68" s="34">
        <f t="array" ref="AM68">SUM(IF(('W10. Power Total Cap'!$B$50:$B$556=AM$59)*('W10. Power Total Cap'!$C$50:$C$556=$A68)*('W10. Power Total Cap'!$E$49:$O$49=AM$58),'W10. Power Total Cap'!$E$50:$O$556))</f>
        <v>14.23056651542618</v>
      </c>
      <c r="AN68" s="34">
        <f t="array" ref="AN68">SUM(IF(('W10. Power Total Cap'!$B$50:$B$556=AN$59)*('W10. Power Total Cap'!$C$50:$C$556=$A68)*('W10. Power Total Cap'!$E$49:$O$49=AN$58),'W10. Power Total Cap'!$E$50:$O$556))</f>
        <v>13.0631111111111</v>
      </c>
      <c r="AO68" s="34">
        <f t="array" ref="AO68">SUM(IF(('W10. Power Total Cap'!$B$50:$B$556=AO$59)*('W10. Power Total Cap'!$C$50:$C$556=$A68)*('W10. Power Total Cap'!$E$49:$O$49=AO$58),'W10. Power Total Cap'!$E$50:$O$556))</f>
        <v>13.054172488046625</v>
      </c>
      <c r="AP68" s="34">
        <f t="array" ref="AP68">SUM(IF(('W10. Power Total Cap'!$B$50:$B$556=AP$59)*('W10. Power Total Cap'!$C$50:$C$556=$A68)*('W10. Power Total Cap'!$E$49:$O$49=AP$58),'W10. Power Total Cap'!$E$50:$O$556))</f>
        <v>13.164954146497212</v>
      </c>
      <c r="AQ68" s="34">
        <f t="array" ref="AQ68">SUM(IF(('W10. Power Total Cap'!$B$50:$B$556=AQ$59)*('W10. Power Total Cap'!$C$50:$C$556=$A68)*('W10. Power Total Cap'!$E$49:$O$49=AQ$58),'W10. Power Total Cap'!$E$50:$O$556))</f>
        <v>13.075532594247676</v>
      </c>
      <c r="AR68" s="34">
        <f t="array" ref="AR68">SUM(IF(('W10. Power Total Cap'!$B$50:$B$556=AR$59)*('W10. Power Total Cap'!$C$50:$C$556=$A68)*('W10. Power Total Cap'!$E$49:$O$49=AR$58),'W10. Power Total Cap'!$E$50:$O$556))</f>
        <v>66.001005084883388</v>
      </c>
      <c r="AS68" s="34">
        <f t="array" ref="AS68">SUM(IF(('W10. Power Total Cap'!$B$50:$B$556=AS$59)*('W10. Power Total Cap'!$C$50:$C$556=$A68)*('W10. Power Total Cap'!$E$49:$O$49=AS$58),'W10. Power Total Cap'!$E$50:$O$556))</f>
        <v>13.164954146497212</v>
      </c>
      <c r="AT68" s="34">
        <f t="array" ref="AT68">SUM(IF(('W10. Power Total Cap'!$B$50:$B$556=AT$59)*('W10. Power Total Cap'!$C$50:$C$556=$A68)*('W10. Power Total Cap'!$E$49:$O$49=AT$58),'W10. Power Total Cap'!$E$50:$O$556))</f>
        <v>13.052972484446624</v>
      </c>
      <c r="AU68" s="34">
        <f t="array" ref="AU68">SUM(IF(('W10. Power Total Cap'!$B$50:$B$556=AU$59)*('W10. Power Total Cap'!$C$50:$C$556=$A68)*('W10. Power Total Cap'!$E$49:$O$49=AU$58),'W10. Power Total Cap'!$E$50:$O$556))</f>
        <v>13.108963315471918</v>
      </c>
      <c r="AV68" s="34">
        <f t="array" ref="AV68">SUM(IF(('W10. Power Total Cap'!$B$50:$B$556=AV$59)*('W10. Power Total Cap'!$C$50:$C$556=$A68)*('W10. Power Total Cap'!$E$49:$O$49=AV$58),'W10. Power Total Cap'!$E$50:$O$556))</f>
        <v>14.520109034165518</v>
      </c>
    </row>
    <row r="69" spans="1:48" x14ac:dyDescent="0.3">
      <c r="A69" s="3" t="s">
        <v>75</v>
      </c>
      <c r="B69" s="3" t="s">
        <v>258</v>
      </c>
      <c r="C69" s="34">
        <f t="array" ref="C69">SUM(IF(('W10. Power Total Cap'!$B$50:$B$556=C$59)*('W10. Power Total Cap'!$C$50:$C$556=$A69)*('W10. Power Total Cap'!$E$49:$O$49=C$58),'W10. Power Total Cap'!$E$50:$O$556))</f>
        <v>0.28314462712947408</v>
      </c>
      <c r="D69" s="34">
        <f t="array" ref="D69">SUM(IF(('W10. Power Total Cap'!$B$50:$B$556=D$59)*('W10. Power Total Cap'!$C$50:$C$556=$A69)*('W10. Power Total Cap'!$E$49:$O$49=D$58),'W10. Power Total Cap'!$E$50:$O$556))</f>
        <v>0.23818010444900301</v>
      </c>
      <c r="E69" s="34">
        <f t="array" ref="E69">SUM(IF(('W10. Power Total Cap'!$B$50:$B$556=E$59)*('W10. Power Total Cap'!$C$50:$C$556=$A69)*('W10. Power Total Cap'!$E$49:$O$49=E$58),'W10. Power Total Cap'!$E$50:$O$556))</f>
        <v>0.23818010444900301</v>
      </c>
      <c r="F69" s="34">
        <f t="array" ref="F69">SUM(IF(('W10. Power Total Cap'!$B$50:$B$556=F$59)*('W10. Power Total Cap'!$C$50:$C$556=$A69)*('W10. Power Total Cap'!$E$49:$O$49=F$58),'W10. Power Total Cap'!$E$50:$O$556))</f>
        <v>0.23818010444900301</v>
      </c>
      <c r="G69" s="34">
        <f t="array" ref="G69">SUM(IF(('W10. Power Total Cap'!$B$50:$B$556=G$59)*('W10. Power Total Cap'!$C$50:$C$556=$A69)*('W10. Power Total Cap'!$E$49:$O$49=G$58),'W10. Power Total Cap'!$E$50:$O$556))</f>
        <v>0.23818010444900301</v>
      </c>
      <c r="H69" s="34">
        <f t="array" ref="H69">SUM(IF(('W10. Power Total Cap'!$B$50:$B$556=H$59)*('W10. Power Total Cap'!$C$50:$C$556=$A69)*('W10. Power Total Cap'!$E$49:$O$49=H$58),'W10. Power Total Cap'!$E$50:$O$556))</f>
        <v>0.23818010444900301</v>
      </c>
      <c r="I69" s="34">
        <f t="array" ref="I69">SUM(IF(('W10. Power Total Cap'!$B$50:$B$556=I$59)*('W10. Power Total Cap'!$C$50:$C$556=$A69)*('W10. Power Total Cap'!$E$49:$O$49=I$58),'W10. Power Total Cap'!$E$50:$O$556))</f>
        <v>0.23818010444900301</v>
      </c>
      <c r="J69" s="34">
        <f t="array" ref="J69">SUM(IF(('W10. Power Total Cap'!$B$50:$B$556=J$59)*('W10. Power Total Cap'!$C$50:$C$556=$A69)*('W10. Power Total Cap'!$E$49:$O$49=J$58),'W10. Power Total Cap'!$E$50:$O$556))</f>
        <v>0.23818010444900301</v>
      </c>
      <c r="K69" s="34">
        <f t="array" ref="K69">SUM(IF(('W10. Power Total Cap'!$B$50:$B$556=K$59)*('W10. Power Total Cap'!$C$50:$C$556=$A69)*('W10. Power Total Cap'!$E$49:$O$49=K$58),'W10. Power Total Cap'!$E$50:$O$556))</f>
        <v>0.23818010444900301</v>
      </c>
      <c r="L69" s="34">
        <f t="array" ref="L69">SUM(IF(('W10. Power Total Cap'!$B$50:$B$556=L$59)*('W10. Power Total Cap'!$C$50:$C$556=$A69)*('W10. Power Total Cap'!$E$49:$O$49=L$58),'W10. Power Total Cap'!$E$50:$O$556))</f>
        <v>0.23818010444900301</v>
      </c>
      <c r="M69" s="34">
        <f t="array" ref="M69">SUM(IF(('W10. Power Total Cap'!$B$50:$B$556=M$59)*('W10. Power Total Cap'!$C$50:$C$556=$A69)*('W10. Power Total Cap'!$E$49:$O$49=M$58),'W10. Power Total Cap'!$E$50:$O$556))</f>
        <v>0.15878673629933501</v>
      </c>
      <c r="N69" s="34">
        <f t="array" ref="N69">SUM(IF(('W10. Power Total Cap'!$B$50:$B$556=N$59)*('W10. Power Total Cap'!$C$50:$C$556=$A69)*('W10. Power Total Cap'!$E$49:$O$49=N$58),'W10. Power Total Cap'!$E$50:$O$556))</f>
        <v>0.15878673629933501</v>
      </c>
      <c r="O69" s="34">
        <f t="array" ref="O69">SUM(IF(('W10. Power Total Cap'!$B$50:$B$556=O$59)*('W10. Power Total Cap'!$C$50:$C$556=$A69)*('W10. Power Total Cap'!$E$49:$O$49=O$58),'W10. Power Total Cap'!$E$50:$O$556))</f>
        <v>0.15878673629933501</v>
      </c>
      <c r="P69" s="34">
        <f t="array" ref="P69">SUM(IF(('W10. Power Total Cap'!$B$50:$B$556=P$59)*('W10. Power Total Cap'!$C$50:$C$556=$A69)*('W10. Power Total Cap'!$E$49:$O$49=P$58),'W10. Power Total Cap'!$E$50:$O$556))</f>
        <v>0.15878673629933501</v>
      </c>
      <c r="Q69" s="34">
        <f t="array" ref="Q69">SUM(IF(('W10. Power Total Cap'!$B$50:$B$556=Q$59)*('W10. Power Total Cap'!$C$50:$C$556=$A69)*('W10. Power Total Cap'!$E$49:$O$49=Q$58),'W10. Power Total Cap'!$E$50:$O$556))</f>
        <v>0.15878673629933501</v>
      </c>
      <c r="R69" s="34">
        <f t="array" ref="R69">SUM(IF(('W10. Power Total Cap'!$B$50:$B$556=R$59)*('W10. Power Total Cap'!$C$50:$C$556=$A69)*('W10. Power Total Cap'!$E$49:$O$49=R$58),'W10. Power Total Cap'!$E$50:$O$556))</f>
        <v>0.15878673629933501</v>
      </c>
      <c r="S69" s="34">
        <f t="array" ref="S69">SUM(IF(('W10. Power Total Cap'!$B$50:$B$556=S$59)*('W10. Power Total Cap'!$C$50:$C$556=$A69)*('W10. Power Total Cap'!$E$49:$O$49=S$58),'W10. Power Total Cap'!$E$50:$O$556))</f>
        <v>0.15878673629933501</v>
      </c>
      <c r="T69" s="34">
        <f t="array" ref="T69">SUM(IF(('W10. Power Total Cap'!$B$50:$B$556=T$59)*('W10. Power Total Cap'!$C$50:$C$556=$A69)*('W10. Power Total Cap'!$E$49:$O$49=T$58),'W10. Power Total Cap'!$E$50:$O$556))</f>
        <v>0.15878673629933501</v>
      </c>
      <c r="U69" s="34">
        <f t="array" ref="U69">SUM(IF(('W10. Power Total Cap'!$B$50:$B$556=U$59)*('W10. Power Total Cap'!$C$50:$C$556=$A69)*('W10. Power Total Cap'!$E$49:$O$49=U$58),'W10. Power Total Cap'!$E$50:$O$556))</f>
        <v>0.15878673629933501</v>
      </c>
      <c r="V69" s="34">
        <f t="array" ref="V69">SUM(IF(('W10. Power Total Cap'!$B$50:$B$556=V$59)*('W10. Power Total Cap'!$C$50:$C$556=$A69)*('W10. Power Total Cap'!$E$49:$O$49=V$58),'W10. Power Total Cap'!$E$50:$O$556))</f>
        <v>7.9393368149667701E-2</v>
      </c>
      <c r="W69" s="34">
        <f t="array" ref="W69">SUM(IF(('W10. Power Total Cap'!$B$50:$B$556=W$59)*('W10. Power Total Cap'!$C$50:$C$556=$A69)*('W10. Power Total Cap'!$E$49:$O$49=W$58),'W10. Power Total Cap'!$E$50:$O$556))</f>
        <v>7.9393368149667701E-2</v>
      </c>
      <c r="X69" s="34">
        <f t="array" ref="X69">SUM(IF(('W10. Power Total Cap'!$B$50:$B$556=X$59)*('W10. Power Total Cap'!$C$50:$C$556=$A69)*('W10. Power Total Cap'!$E$49:$O$49=X$58),'W10. Power Total Cap'!$E$50:$O$556))</f>
        <v>7.9393368149667701E-2</v>
      </c>
      <c r="Y69" s="34">
        <f t="array" ref="Y69">SUM(IF(('W10. Power Total Cap'!$B$50:$B$556=Y$59)*('W10. Power Total Cap'!$C$50:$C$556=$A69)*('W10. Power Total Cap'!$E$49:$O$49=Y$58),'W10. Power Total Cap'!$E$50:$O$556))</f>
        <v>7.9393368149667701E-2</v>
      </c>
      <c r="Z69" s="34">
        <f t="array" ref="Z69">SUM(IF(('W10. Power Total Cap'!$B$50:$B$556=Z$59)*('W10. Power Total Cap'!$C$50:$C$556=$A69)*('W10. Power Total Cap'!$E$49:$O$49=Z$58),'W10. Power Total Cap'!$E$50:$O$556))</f>
        <v>7.9393368149667701E-2</v>
      </c>
      <c r="AA69" s="34">
        <f t="array" ref="AA69">SUM(IF(('W10. Power Total Cap'!$B$50:$B$556=AA$59)*('W10. Power Total Cap'!$C$50:$C$556=$A69)*('W10. Power Total Cap'!$E$49:$O$49=AA$58),'W10. Power Total Cap'!$E$50:$O$556))</f>
        <v>7.9393368149667701E-2</v>
      </c>
      <c r="AB69" s="34">
        <f t="array" ref="AB69">SUM(IF(('W10. Power Total Cap'!$B$50:$B$556=AB$59)*('W10. Power Total Cap'!$C$50:$C$556=$A69)*('W10. Power Total Cap'!$E$49:$O$49=AB$58),'W10. Power Total Cap'!$E$50:$O$556))</f>
        <v>7.9393368149667701E-2</v>
      </c>
      <c r="AC69" s="34">
        <f t="array" ref="AC69">SUM(IF(('W10. Power Total Cap'!$B$50:$B$556=AC$59)*('W10. Power Total Cap'!$C$50:$C$556=$A69)*('W10. Power Total Cap'!$E$49:$O$49=AC$58),'W10. Power Total Cap'!$E$50:$O$556))</f>
        <v>7.9393368149667701E-2</v>
      </c>
      <c r="AD69" s="34">
        <f t="array" ref="AD69">SUM(IF(('W10. Power Total Cap'!$B$50:$B$556=AD$59)*('W10. Power Total Cap'!$C$50:$C$556=$A69)*('W10. Power Total Cap'!$E$49:$O$49=AD$58),'W10. Power Total Cap'!$E$50:$O$556))</f>
        <v>7.9393368149667701E-2</v>
      </c>
      <c r="AE69" s="34">
        <f t="array" ref="AE69">SUM(IF(('W10. Power Total Cap'!$B$50:$B$556=AE$59)*('W10. Power Total Cap'!$C$50:$C$556=$A69)*('W10. Power Total Cap'!$E$49:$O$49=AE$58),'W10. Power Total Cap'!$E$50:$O$556))</f>
        <v>0</v>
      </c>
      <c r="AF69" s="34">
        <f t="array" ref="AF69">SUM(IF(('W10. Power Total Cap'!$B$50:$B$556=AF$59)*('W10. Power Total Cap'!$C$50:$C$556=$A69)*('W10. Power Total Cap'!$E$49:$O$49=AF$58),'W10. Power Total Cap'!$E$50:$O$556))</f>
        <v>0</v>
      </c>
      <c r="AG69" s="34">
        <f t="array" ref="AG69">SUM(IF(('W10. Power Total Cap'!$B$50:$B$556=AG$59)*('W10. Power Total Cap'!$C$50:$C$556=$A69)*('W10. Power Total Cap'!$E$49:$O$49=AG$58),'W10. Power Total Cap'!$E$50:$O$556))</f>
        <v>0</v>
      </c>
      <c r="AH69" s="34">
        <f t="array" ref="AH69">SUM(IF(('W10. Power Total Cap'!$B$50:$B$556=AH$59)*('W10. Power Total Cap'!$C$50:$C$556=$A69)*('W10. Power Total Cap'!$E$49:$O$49=AH$58),'W10. Power Total Cap'!$E$50:$O$556))</f>
        <v>0</v>
      </c>
      <c r="AI69" s="34">
        <f t="array" ref="AI69">SUM(IF(('W10. Power Total Cap'!$B$50:$B$556=AI$59)*('W10. Power Total Cap'!$C$50:$C$556=$A69)*('W10. Power Total Cap'!$E$49:$O$49=AI$58),'W10. Power Total Cap'!$E$50:$O$556))</f>
        <v>0</v>
      </c>
      <c r="AJ69" s="34">
        <f t="array" ref="AJ69">SUM(IF(('W10. Power Total Cap'!$B$50:$B$556=AJ$59)*('W10. Power Total Cap'!$C$50:$C$556=$A69)*('W10. Power Total Cap'!$E$49:$O$49=AJ$58),'W10. Power Total Cap'!$E$50:$O$556))</f>
        <v>0</v>
      </c>
      <c r="AK69" s="34">
        <f t="array" ref="AK69">SUM(IF(('W10. Power Total Cap'!$B$50:$B$556=AK$59)*('W10. Power Total Cap'!$C$50:$C$556=$A69)*('W10. Power Total Cap'!$E$49:$O$49=AK$58),'W10. Power Total Cap'!$E$50:$O$556))</f>
        <v>0</v>
      </c>
      <c r="AL69" s="34">
        <f t="array" ref="AL69">SUM(IF(('W10. Power Total Cap'!$B$50:$B$556=AL$59)*('W10. Power Total Cap'!$C$50:$C$556=$A69)*('W10. Power Total Cap'!$E$49:$O$49=AL$58),'W10. Power Total Cap'!$E$50:$O$556))</f>
        <v>0</v>
      </c>
      <c r="AM69" s="34">
        <f t="array" ref="AM69">SUM(IF(('W10. Power Total Cap'!$B$50:$B$556=AM$59)*('W10. Power Total Cap'!$C$50:$C$556=$A69)*('W10. Power Total Cap'!$E$49:$O$49=AM$58),'W10. Power Total Cap'!$E$50:$O$556))</f>
        <v>0</v>
      </c>
      <c r="AN69" s="34">
        <f t="array" ref="AN69">SUM(IF(('W10. Power Total Cap'!$B$50:$B$556=AN$59)*('W10. Power Total Cap'!$C$50:$C$556=$A69)*('W10. Power Total Cap'!$E$49:$O$49=AN$58),'W10. Power Total Cap'!$E$50:$O$556))</f>
        <v>0</v>
      </c>
      <c r="AO69" s="34">
        <f t="array" ref="AO69">SUM(IF(('W10. Power Total Cap'!$B$50:$B$556=AO$59)*('W10. Power Total Cap'!$C$50:$C$556=$A69)*('W10. Power Total Cap'!$E$49:$O$49=AO$58),'W10. Power Total Cap'!$E$50:$O$556))</f>
        <v>0</v>
      </c>
      <c r="AP69" s="34">
        <f t="array" ref="AP69">SUM(IF(('W10. Power Total Cap'!$B$50:$B$556=AP$59)*('W10. Power Total Cap'!$C$50:$C$556=$A69)*('W10. Power Total Cap'!$E$49:$O$49=AP$58),'W10. Power Total Cap'!$E$50:$O$556))</f>
        <v>0</v>
      </c>
      <c r="AQ69" s="34">
        <f t="array" ref="AQ69">SUM(IF(('W10. Power Total Cap'!$B$50:$B$556=AQ$59)*('W10. Power Total Cap'!$C$50:$C$556=$A69)*('W10. Power Total Cap'!$E$49:$O$49=AQ$58),'W10. Power Total Cap'!$E$50:$O$556))</f>
        <v>0</v>
      </c>
      <c r="AR69" s="34">
        <f t="array" ref="AR69">SUM(IF(('W10. Power Total Cap'!$B$50:$B$556=AR$59)*('W10. Power Total Cap'!$C$50:$C$556=$A69)*('W10. Power Total Cap'!$E$49:$O$49=AR$58),'W10. Power Total Cap'!$E$50:$O$556))</f>
        <v>0</v>
      </c>
      <c r="AS69" s="34">
        <f t="array" ref="AS69">SUM(IF(('W10. Power Total Cap'!$B$50:$B$556=AS$59)*('W10. Power Total Cap'!$C$50:$C$556=$A69)*('W10. Power Total Cap'!$E$49:$O$49=AS$58),'W10. Power Total Cap'!$E$50:$O$556))</f>
        <v>0</v>
      </c>
      <c r="AT69" s="34">
        <f t="array" ref="AT69">SUM(IF(('W10. Power Total Cap'!$B$50:$B$556=AT$59)*('W10. Power Total Cap'!$C$50:$C$556=$A69)*('W10. Power Total Cap'!$E$49:$O$49=AT$58),'W10. Power Total Cap'!$E$50:$O$556))</f>
        <v>0</v>
      </c>
      <c r="AU69" s="34">
        <f t="array" ref="AU69">SUM(IF(('W10. Power Total Cap'!$B$50:$B$556=AU$59)*('W10. Power Total Cap'!$C$50:$C$556=$A69)*('W10. Power Total Cap'!$E$49:$O$49=AU$58),'W10. Power Total Cap'!$E$50:$O$556))</f>
        <v>0</v>
      </c>
      <c r="AV69" s="34">
        <f t="array" ref="AV69">SUM(IF(('W10. Power Total Cap'!$B$50:$B$556=AV$59)*('W10. Power Total Cap'!$C$50:$C$556=$A69)*('W10. Power Total Cap'!$E$49:$O$49=AV$58),'W10. Power Total Cap'!$E$50:$O$556))</f>
        <v>0</v>
      </c>
    </row>
    <row r="70" spans="1:48" x14ac:dyDescent="0.3">
      <c r="A70" s="3" t="s">
        <v>72</v>
      </c>
      <c r="B70" s="3" t="s">
        <v>260</v>
      </c>
      <c r="C70" s="34">
        <f t="array" ref="C70">SUM(IF(('W10. Power Total Cap'!$B$50:$B$556=C$59)*('W10. Power Total Cap'!$C$50:$C$556=$A70)*('W10. Power Total Cap'!$E$49:$O$49=C$58),'W10. Power Total Cap'!$E$50:$O$556))</f>
        <v>242.99857406704328</v>
      </c>
      <c r="D70" s="34">
        <f t="array" ref="D70">SUM(IF(('W10. Power Total Cap'!$B$50:$B$556=D$59)*('W10. Power Total Cap'!$C$50:$C$556=$A70)*('W10. Power Total Cap'!$E$49:$O$49=D$58),'W10. Power Total Cap'!$E$50:$O$556))</f>
        <v>365.3668610281872</v>
      </c>
      <c r="E70" s="34">
        <f t="array" ref="E70">SUM(IF(('W10. Power Total Cap'!$B$50:$B$556=E$59)*('W10. Power Total Cap'!$C$50:$C$556=$A70)*('W10. Power Total Cap'!$E$49:$O$49=E$58),'W10. Power Total Cap'!$E$50:$O$556))</f>
        <v>365.36686102816424</v>
      </c>
      <c r="F70" s="34">
        <f t="array" ref="F70">SUM(IF(('W10. Power Total Cap'!$B$50:$B$556=F$59)*('W10. Power Total Cap'!$C$50:$C$556=$A70)*('W10. Power Total Cap'!$E$49:$O$49=F$58),'W10. Power Total Cap'!$E$50:$O$556))</f>
        <v>365.36686102816424</v>
      </c>
      <c r="G70" s="34">
        <f t="array" ref="G70">SUM(IF(('W10. Power Total Cap'!$B$50:$B$556=G$59)*('W10. Power Total Cap'!$C$50:$C$556=$A70)*('W10. Power Total Cap'!$E$49:$O$49=G$58),'W10. Power Total Cap'!$E$50:$O$556))</f>
        <v>365.36686102816424</v>
      </c>
      <c r="H70" s="34">
        <f t="array" ref="H70">SUM(IF(('W10. Power Total Cap'!$B$50:$B$556=H$59)*('W10. Power Total Cap'!$C$50:$C$556=$A70)*('W10. Power Total Cap'!$E$49:$O$49=H$58),'W10. Power Total Cap'!$E$50:$O$556))</f>
        <v>365.36686102816424</v>
      </c>
      <c r="I70" s="34">
        <f t="array" ref="I70">SUM(IF(('W10. Power Total Cap'!$B$50:$B$556=I$59)*('W10. Power Total Cap'!$C$50:$C$556=$A70)*('W10. Power Total Cap'!$E$49:$O$49=I$58),'W10. Power Total Cap'!$E$50:$O$556))</f>
        <v>365.36686102816424</v>
      </c>
      <c r="J70" s="34">
        <f t="array" ref="J70">SUM(IF(('W10. Power Total Cap'!$B$50:$B$556=J$59)*('W10. Power Total Cap'!$C$50:$C$556=$A70)*('W10. Power Total Cap'!$E$49:$O$49=J$58),'W10. Power Total Cap'!$E$50:$O$556))</f>
        <v>365.36686102816424</v>
      </c>
      <c r="K70" s="34">
        <f t="array" ref="K70">SUM(IF(('W10. Power Total Cap'!$B$50:$B$556=K$59)*('W10. Power Total Cap'!$C$50:$C$556=$A70)*('W10. Power Total Cap'!$E$49:$O$49=K$58),'W10. Power Total Cap'!$E$50:$O$556))</f>
        <v>365.36686102816424</v>
      </c>
      <c r="L70" s="34">
        <f t="array" ref="L70">SUM(IF(('W10. Power Total Cap'!$B$50:$B$556=L$59)*('W10. Power Total Cap'!$C$50:$C$556=$A70)*('W10. Power Total Cap'!$E$49:$O$49=L$58),'W10. Power Total Cap'!$E$50:$O$556))</f>
        <v>365.36686102816424</v>
      </c>
      <c r="M70" s="34">
        <f t="array" ref="M70">SUM(IF(('W10. Power Total Cap'!$B$50:$B$556=M$59)*('W10. Power Total Cap'!$C$50:$C$556=$A70)*('W10. Power Total Cap'!$E$49:$O$49=M$58),'W10. Power Total Cap'!$E$50:$O$556))</f>
        <v>1346.1447311328993</v>
      </c>
      <c r="N70" s="34">
        <f t="array" ref="N70">SUM(IF(('W10. Power Total Cap'!$B$50:$B$556=N$59)*('W10. Power Total Cap'!$C$50:$C$556=$A70)*('W10. Power Total Cap'!$E$49:$O$49=N$58),'W10. Power Total Cap'!$E$50:$O$556))</f>
        <v>1381.7602614741115</v>
      </c>
      <c r="O70" s="34">
        <f t="array" ref="O70">SUM(IF(('W10. Power Total Cap'!$B$50:$B$556=O$59)*('W10. Power Total Cap'!$C$50:$C$556=$A70)*('W10. Power Total Cap'!$E$49:$O$49=O$58),'W10. Power Total Cap'!$E$50:$O$556))</f>
        <v>1516.2397537476211</v>
      </c>
      <c r="P70" s="34">
        <f t="array" ref="P70">SUM(IF(('W10. Power Total Cap'!$B$50:$B$556=P$59)*('W10. Power Total Cap'!$C$50:$C$556=$A70)*('W10. Power Total Cap'!$E$49:$O$49=P$58),'W10. Power Total Cap'!$E$50:$O$556))</f>
        <v>1381.7602614741115</v>
      </c>
      <c r="Q70" s="34">
        <f t="array" ref="Q70">SUM(IF(('W10. Power Total Cap'!$B$50:$B$556=Q$59)*('W10. Power Total Cap'!$C$50:$C$556=$A70)*('W10. Power Total Cap'!$E$49:$O$49=Q$58),'W10. Power Total Cap'!$E$50:$O$556))</f>
        <v>1275.5382513626923</v>
      </c>
      <c r="R70" s="34">
        <f t="array" ref="R70">SUM(IF(('W10. Power Total Cap'!$B$50:$B$556=R$59)*('W10. Power Total Cap'!$C$50:$C$556=$A70)*('W10. Power Total Cap'!$E$49:$O$49=R$58),'W10. Power Total Cap'!$E$50:$O$556))</f>
        <v>1363.5364208790481</v>
      </c>
      <c r="S70" s="34">
        <f t="array" ref="S70">SUM(IF(('W10. Power Total Cap'!$B$50:$B$556=S$59)*('W10. Power Total Cap'!$C$50:$C$556=$A70)*('W10. Power Total Cap'!$E$49:$O$49=S$58),'W10. Power Total Cap'!$E$50:$O$556))</f>
        <v>1382.9148148982231</v>
      </c>
      <c r="T70" s="34">
        <f t="array" ref="T70">SUM(IF(('W10. Power Total Cap'!$B$50:$B$556=T$59)*('W10. Power Total Cap'!$C$50:$C$556=$A70)*('W10. Power Total Cap'!$E$49:$O$49=T$58),'W10. Power Total Cap'!$E$50:$O$556))</f>
        <v>1536.0359989751871</v>
      </c>
      <c r="U70" s="34">
        <f t="array" ref="U70">SUM(IF(('W10. Power Total Cap'!$B$50:$B$556=U$59)*('W10. Power Total Cap'!$C$50:$C$556=$A70)*('W10. Power Total Cap'!$E$49:$O$49=U$58),'W10. Power Total Cap'!$E$50:$O$556))</f>
        <v>1608.939481169471</v>
      </c>
      <c r="V70" s="34">
        <f t="array" ref="V70">SUM(IF(('W10. Power Total Cap'!$B$50:$B$556=V$59)*('W10. Power Total Cap'!$C$50:$C$556=$A70)*('W10. Power Total Cap'!$E$49:$O$49=V$58),'W10. Power Total Cap'!$E$50:$O$556))</f>
        <v>3538.0008425170945</v>
      </c>
      <c r="W70" s="34">
        <f t="array" ref="W70">SUM(IF(('W10. Power Total Cap'!$B$50:$B$556=W$59)*('W10. Power Total Cap'!$C$50:$C$556=$A70)*('W10. Power Total Cap'!$E$49:$O$49=W$58),'W10. Power Total Cap'!$E$50:$O$556))</f>
        <v>3508.8426758874766</v>
      </c>
      <c r="X70" s="34">
        <f t="array" ref="X70">SUM(IF(('W10. Power Total Cap'!$B$50:$B$556=X$59)*('W10. Power Total Cap'!$C$50:$C$556=$A70)*('W10. Power Total Cap'!$E$49:$O$49=X$58),'W10. Power Total Cap'!$E$50:$O$556))</f>
        <v>3450.614229224615</v>
      </c>
      <c r="Y70" s="34">
        <f t="array" ref="Y70">SUM(IF(('W10. Power Total Cap'!$B$50:$B$556=Y$59)*('W10. Power Total Cap'!$C$50:$C$556=$A70)*('W10. Power Total Cap'!$E$49:$O$49=Y$58),'W10. Power Total Cap'!$E$50:$O$556))</f>
        <v>3506.4442368443501</v>
      </c>
      <c r="Z70" s="34">
        <f t="array" ref="Z70">SUM(IF(('W10. Power Total Cap'!$B$50:$B$556=Z$59)*('W10. Power Total Cap'!$C$50:$C$556=$A70)*('W10. Power Total Cap'!$E$49:$O$49=Z$58),'W10. Power Total Cap'!$E$50:$O$556))</f>
        <v>2813.5278417792279</v>
      </c>
      <c r="AA70" s="34">
        <f t="array" ref="AA70">SUM(IF(('W10. Power Total Cap'!$B$50:$B$556=AA$59)*('W10. Power Total Cap'!$C$50:$C$556=$A70)*('W10. Power Total Cap'!$E$49:$O$49=AA$58),'W10. Power Total Cap'!$E$50:$O$556))</f>
        <v>3498.0078087088623</v>
      </c>
      <c r="AB70" s="34">
        <f t="array" ref="AB70">SUM(IF(('W10. Power Total Cap'!$B$50:$B$556=AB$59)*('W10. Power Total Cap'!$C$50:$C$556=$A70)*('W10. Power Total Cap'!$E$49:$O$49=AB$58),'W10. Power Total Cap'!$E$50:$O$556))</f>
        <v>3342.0190312846566</v>
      </c>
      <c r="AC70" s="34">
        <f t="array" ref="AC70">SUM(IF(('W10. Power Total Cap'!$B$50:$B$556=AC$59)*('W10. Power Total Cap'!$C$50:$C$556=$A70)*('W10. Power Total Cap'!$E$49:$O$49=AC$58),'W10. Power Total Cap'!$E$50:$O$556))</f>
        <v>3480.0488836792938</v>
      </c>
      <c r="AD70" s="34">
        <f t="array" ref="AD70">SUM(IF(('W10. Power Total Cap'!$B$50:$B$556=AD$59)*('W10. Power Total Cap'!$C$50:$C$556=$A70)*('W10. Power Total Cap'!$E$49:$O$49=AD$58),'W10. Power Total Cap'!$E$50:$O$556))</f>
        <v>3550.9876961609461</v>
      </c>
      <c r="AE70" s="34">
        <f t="array" ref="AE70">SUM(IF(('W10. Power Total Cap'!$B$50:$B$556=AE$59)*('W10. Power Total Cap'!$C$50:$C$556=$A70)*('W10. Power Total Cap'!$E$49:$O$49=AE$58),'W10. Power Total Cap'!$E$50:$O$556))</f>
        <v>4584.7281838121235</v>
      </c>
      <c r="AF70" s="34">
        <f t="array" ref="AF70">SUM(IF(('W10. Power Total Cap'!$B$50:$B$556=AF$59)*('W10. Power Total Cap'!$C$50:$C$556=$A70)*('W10. Power Total Cap'!$E$49:$O$49=AF$58),'W10. Power Total Cap'!$E$50:$O$556))</f>
        <v>4671.6732285660128</v>
      </c>
      <c r="AG70" s="34">
        <f t="array" ref="AG70">SUM(IF(('W10. Power Total Cap'!$B$50:$B$556=AG$59)*('W10. Power Total Cap'!$C$50:$C$556=$A70)*('W10. Power Total Cap'!$E$49:$O$49=AG$58),'W10. Power Total Cap'!$E$50:$O$556))</f>
        <v>4641.3558628552391</v>
      </c>
      <c r="AH70" s="34">
        <f t="array" ref="AH70">SUM(IF(('W10. Power Total Cap'!$B$50:$B$556=AH$59)*('W10. Power Total Cap'!$C$50:$C$556=$A70)*('W10. Power Total Cap'!$E$49:$O$49=AH$58),'W10. Power Total Cap'!$E$50:$O$556))</f>
        <v>4632.821594564115</v>
      </c>
      <c r="AI70" s="34">
        <f t="array" ref="AI70">SUM(IF(('W10. Power Total Cap'!$B$50:$B$556=AI$59)*('W10. Power Total Cap'!$C$50:$C$556=$A70)*('W10. Power Total Cap'!$E$49:$O$49=AI$58),'W10. Power Total Cap'!$E$50:$O$556))</f>
        <v>3776.6496966856853</v>
      </c>
      <c r="AJ70" s="34">
        <f t="array" ref="AJ70">SUM(IF(('W10. Power Total Cap'!$B$50:$B$556=AJ$59)*('W10. Power Total Cap'!$C$50:$C$556=$A70)*('W10. Power Total Cap'!$E$49:$O$49=AJ$58),'W10. Power Total Cap'!$E$50:$O$556))</f>
        <v>4722.7069112869358</v>
      </c>
      <c r="AK70" s="34">
        <f t="array" ref="AK70">SUM(IF(('W10. Power Total Cap'!$B$50:$B$556=AK$59)*('W10. Power Total Cap'!$C$50:$C$556=$A70)*('W10. Power Total Cap'!$E$49:$O$49=AK$58),'W10. Power Total Cap'!$E$50:$O$556))</f>
        <v>4135.555057207991</v>
      </c>
      <c r="AL70" s="34">
        <f t="array" ref="AL70">SUM(IF(('W10. Power Total Cap'!$B$50:$B$556=AL$59)*('W10. Power Total Cap'!$C$50:$C$556=$A70)*('W10. Power Total Cap'!$E$49:$O$49=AL$58),'W10. Power Total Cap'!$E$50:$O$556))</f>
        <v>4658.4888740933811</v>
      </c>
      <c r="AM70" s="34">
        <f t="array" ref="AM70">SUM(IF(('W10. Power Total Cap'!$B$50:$B$556=AM$59)*('W10. Power Total Cap'!$C$50:$C$556=$A70)*('W10. Power Total Cap'!$E$49:$O$49=AM$58),'W10. Power Total Cap'!$E$50:$O$556))</f>
        <v>4771.1912976620752</v>
      </c>
      <c r="AN70" s="34">
        <f t="array" ref="AN70">SUM(IF(('W10. Power Total Cap'!$B$50:$B$556=AN$59)*('W10. Power Total Cap'!$C$50:$C$556=$A70)*('W10. Power Total Cap'!$E$49:$O$49=AN$58),'W10. Power Total Cap'!$E$50:$O$556))</f>
        <v>6117.2886384998819</v>
      </c>
      <c r="AO70" s="34">
        <f t="array" ref="AO70">SUM(IF(('W10. Power Total Cap'!$B$50:$B$556=AO$59)*('W10. Power Total Cap'!$C$50:$C$556=$A70)*('W10. Power Total Cap'!$E$49:$O$49=AO$58),'W10. Power Total Cap'!$E$50:$O$556))</f>
        <v>5988.4705722021927</v>
      </c>
      <c r="AP70" s="34">
        <f t="array" ref="AP70">SUM(IF(('W10. Power Total Cap'!$B$50:$B$556=AP$59)*('W10. Power Total Cap'!$C$50:$C$556=$A70)*('W10. Power Total Cap'!$E$49:$O$49=AP$58),'W10. Power Total Cap'!$E$50:$O$556))</f>
        <v>6358.3047786521802</v>
      </c>
      <c r="AQ70" s="34">
        <f t="array" ref="AQ70">SUM(IF(('W10. Power Total Cap'!$B$50:$B$556=AQ$59)*('W10. Power Total Cap'!$C$50:$C$556=$A70)*('W10. Power Total Cap'!$E$49:$O$49=AQ$58),'W10. Power Total Cap'!$E$50:$O$556))</f>
        <v>6459.7427946771231</v>
      </c>
      <c r="AR70" s="34">
        <f t="array" ref="AR70">SUM(IF(('W10. Power Total Cap'!$B$50:$B$556=AR$59)*('W10. Power Total Cap'!$C$50:$C$556=$A70)*('W10. Power Total Cap'!$E$49:$O$49=AR$58),'W10. Power Total Cap'!$E$50:$O$556))</f>
        <v>5140.1707965273336</v>
      </c>
      <c r="AS70" s="34">
        <f t="array" ref="AS70">SUM(IF(('W10. Power Total Cap'!$B$50:$B$556=AS$59)*('W10. Power Total Cap'!$C$50:$C$556=$A70)*('W10. Power Total Cap'!$E$49:$O$49=AS$58),'W10. Power Total Cap'!$E$50:$O$556))</f>
        <v>6442.623474018962</v>
      </c>
      <c r="AT70" s="34">
        <f t="array" ref="AT70">SUM(IF(('W10. Power Total Cap'!$B$50:$B$556=AT$59)*('W10. Power Total Cap'!$C$50:$C$556=$A70)*('W10. Power Total Cap'!$E$49:$O$49=AT$58),'W10. Power Total Cap'!$E$50:$O$556))</f>
        <v>5524.4488582585145</v>
      </c>
      <c r="AU70" s="34">
        <f t="array" ref="AU70">SUM(IF(('W10. Power Total Cap'!$B$50:$B$556=AU$59)*('W10. Power Total Cap'!$C$50:$C$556=$A70)*('W10. Power Total Cap'!$E$49:$O$49=AU$58),'W10. Power Total Cap'!$E$50:$O$556))</f>
        <v>6363.2351661352059</v>
      </c>
      <c r="AV70" s="34">
        <f t="array" ref="AV70">SUM(IF(('W10. Power Total Cap'!$B$50:$B$556=AV$59)*('W10. Power Total Cap'!$C$50:$C$556=$A70)*('W10. Power Total Cap'!$E$49:$O$49=AV$58),'W10. Power Total Cap'!$E$50:$O$556))</f>
        <v>6918.6455422121453</v>
      </c>
    </row>
    <row r="71" spans="1:48" x14ac:dyDescent="0.3">
      <c r="A71" s="3" t="s">
        <v>73</v>
      </c>
      <c r="B71" s="3" t="s">
        <v>253</v>
      </c>
      <c r="C71" s="34">
        <f t="array" ref="C71">SUM(IF(('W10. Power Total Cap'!$B$50:$B$556=C$59)*('W10. Power Total Cap'!$C$50:$C$556=$A71)*('W10. Power Total Cap'!$E$49:$O$49=C$58),'W10. Power Total Cap'!$E$50:$O$556))</f>
        <v>0</v>
      </c>
      <c r="D71" s="34">
        <f t="array" ref="D71">SUM(IF(('W10. Power Total Cap'!$B$50:$B$556=D$59)*('W10. Power Total Cap'!$C$50:$C$556=$A71)*('W10. Power Total Cap'!$E$49:$O$49=D$58),'W10. Power Total Cap'!$E$50:$O$556))</f>
        <v>0</v>
      </c>
      <c r="E71" s="34">
        <f t="array" ref="E71">SUM(IF(('W10. Power Total Cap'!$B$50:$B$556=E$59)*('W10. Power Total Cap'!$C$50:$C$556=$A71)*('W10. Power Total Cap'!$E$49:$O$49=E$58),'W10. Power Total Cap'!$E$50:$O$556))</f>
        <v>0</v>
      </c>
      <c r="F71" s="34">
        <f t="array" ref="F71">SUM(IF(('W10. Power Total Cap'!$B$50:$B$556=F$59)*('W10. Power Total Cap'!$C$50:$C$556=$A71)*('W10. Power Total Cap'!$E$49:$O$49=F$58),'W10. Power Total Cap'!$E$50:$O$556))</f>
        <v>0</v>
      </c>
      <c r="G71" s="34">
        <f t="array" ref="G71">SUM(IF(('W10. Power Total Cap'!$B$50:$B$556=G$59)*('W10. Power Total Cap'!$C$50:$C$556=$A71)*('W10. Power Total Cap'!$E$49:$O$49=G$58),'W10. Power Total Cap'!$E$50:$O$556))</f>
        <v>0</v>
      </c>
      <c r="H71" s="34">
        <f t="array" ref="H71">SUM(IF(('W10. Power Total Cap'!$B$50:$B$556=H$59)*('W10. Power Total Cap'!$C$50:$C$556=$A71)*('W10. Power Total Cap'!$E$49:$O$49=H$58),'W10. Power Total Cap'!$E$50:$O$556))</f>
        <v>0</v>
      </c>
      <c r="I71" s="34">
        <f t="array" ref="I71">SUM(IF(('W10. Power Total Cap'!$B$50:$B$556=I$59)*('W10. Power Total Cap'!$C$50:$C$556=$A71)*('W10. Power Total Cap'!$E$49:$O$49=I$58),'W10. Power Total Cap'!$E$50:$O$556))</f>
        <v>0</v>
      </c>
      <c r="J71" s="34">
        <f t="array" ref="J71">SUM(IF(('W10. Power Total Cap'!$B$50:$B$556=J$59)*('W10. Power Total Cap'!$C$50:$C$556=$A71)*('W10. Power Total Cap'!$E$49:$O$49=J$58),'W10. Power Total Cap'!$E$50:$O$556))</f>
        <v>0</v>
      </c>
      <c r="K71" s="34">
        <f t="array" ref="K71">SUM(IF(('W10. Power Total Cap'!$B$50:$B$556=K$59)*('W10. Power Total Cap'!$C$50:$C$556=$A71)*('W10. Power Total Cap'!$E$49:$O$49=K$58),'W10. Power Total Cap'!$E$50:$O$556))</f>
        <v>0</v>
      </c>
      <c r="L71" s="34">
        <f t="array" ref="L71">SUM(IF(('W10. Power Total Cap'!$B$50:$B$556=L$59)*('W10. Power Total Cap'!$C$50:$C$556=$A71)*('W10. Power Total Cap'!$E$49:$O$49=L$58),'W10. Power Total Cap'!$E$50:$O$556))</f>
        <v>0</v>
      </c>
      <c r="M71" s="34">
        <f t="array" ref="M71">SUM(IF(('W10. Power Total Cap'!$B$50:$B$556=M$59)*('W10. Power Total Cap'!$C$50:$C$556=$A71)*('W10. Power Total Cap'!$E$49:$O$49=M$58),'W10. Power Total Cap'!$E$50:$O$556))</f>
        <v>0</v>
      </c>
      <c r="N71" s="34">
        <f t="array" ref="N71">SUM(IF(('W10. Power Total Cap'!$B$50:$B$556=N$59)*('W10. Power Total Cap'!$C$50:$C$556=$A71)*('W10. Power Total Cap'!$E$49:$O$49=N$58),'W10. Power Total Cap'!$E$50:$O$556))</f>
        <v>0</v>
      </c>
      <c r="O71" s="34">
        <f t="array" ref="O71">SUM(IF(('W10. Power Total Cap'!$B$50:$B$556=O$59)*('W10. Power Total Cap'!$C$50:$C$556=$A71)*('W10. Power Total Cap'!$E$49:$O$49=O$58),'W10. Power Total Cap'!$E$50:$O$556))</f>
        <v>5.1296640182067135</v>
      </c>
      <c r="P71" s="34">
        <f t="array" ref="P71">SUM(IF(('W10. Power Total Cap'!$B$50:$B$556=P$59)*('W10. Power Total Cap'!$C$50:$C$556=$A71)*('W10. Power Total Cap'!$E$49:$O$49=P$58),'W10. Power Total Cap'!$E$50:$O$556))</f>
        <v>0</v>
      </c>
      <c r="Q71" s="34">
        <f t="array" ref="Q71">SUM(IF(('W10. Power Total Cap'!$B$50:$B$556=Q$59)*('W10. Power Total Cap'!$C$50:$C$556=$A71)*('W10. Power Total Cap'!$E$49:$O$49=Q$58),'W10. Power Total Cap'!$E$50:$O$556))</f>
        <v>6.0315489501777275</v>
      </c>
      <c r="R71" s="34">
        <f t="array" ref="R71">SUM(IF(('W10. Power Total Cap'!$B$50:$B$556=R$59)*('W10. Power Total Cap'!$C$50:$C$556=$A71)*('W10. Power Total Cap'!$E$49:$O$49=R$58),'W10. Power Total Cap'!$E$50:$O$556))</f>
        <v>3.1647482049620237</v>
      </c>
      <c r="S71" s="34">
        <f t="array" ref="S71">SUM(IF(('W10. Power Total Cap'!$B$50:$B$556=S$59)*('W10. Power Total Cap'!$C$50:$C$556=$A71)*('W10. Power Total Cap'!$E$49:$O$49=S$58),'W10. Power Total Cap'!$E$50:$O$556))</f>
        <v>1.306071772087678</v>
      </c>
      <c r="T71" s="34">
        <f t="array" ref="T71">SUM(IF(('W10. Power Total Cap'!$B$50:$B$556=T$59)*('W10. Power Total Cap'!$C$50:$C$556=$A71)*('W10. Power Total Cap'!$E$49:$O$49=T$58),'W10. Power Total Cap'!$E$50:$O$556))</f>
        <v>4.4828919145312041</v>
      </c>
      <c r="U71" s="34">
        <f t="array" ref="U71">SUM(IF(('W10. Power Total Cap'!$B$50:$B$556=U$59)*('W10. Power Total Cap'!$C$50:$C$556=$A71)*('W10. Power Total Cap'!$E$49:$O$49=U$58),'W10. Power Total Cap'!$E$50:$O$556))</f>
        <v>12.666835823519458</v>
      </c>
      <c r="V71" s="34">
        <f t="array" ref="V71">SUM(IF(('W10. Power Total Cap'!$B$50:$B$556=V$59)*('W10. Power Total Cap'!$C$50:$C$556=$A71)*('W10. Power Total Cap'!$E$49:$O$49=V$58),'W10. Power Total Cap'!$E$50:$O$556))</f>
        <v>0</v>
      </c>
      <c r="W71" s="34">
        <f t="array" ref="W71">SUM(IF(('W10. Power Total Cap'!$B$50:$B$556=W$59)*('W10. Power Total Cap'!$C$50:$C$556=$A71)*('W10. Power Total Cap'!$E$49:$O$49=W$58),'W10. Power Total Cap'!$E$50:$O$556))</f>
        <v>0</v>
      </c>
      <c r="X71" s="34">
        <f t="array" ref="X71">SUM(IF(('W10. Power Total Cap'!$B$50:$B$556=X$59)*('W10. Power Total Cap'!$C$50:$C$556=$A71)*('W10. Power Total Cap'!$E$49:$O$49=X$58),'W10. Power Total Cap'!$E$50:$O$556))</f>
        <v>33.977956785956167</v>
      </c>
      <c r="Y71" s="34">
        <f t="array" ref="Y71">SUM(IF(('W10. Power Total Cap'!$B$50:$B$556=Y$59)*('W10. Power Total Cap'!$C$50:$C$556=$A71)*('W10. Power Total Cap'!$E$49:$O$49=Y$58),'W10. Power Total Cap'!$E$50:$O$556))</f>
        <v>9.5132849581609964</v>
      </c>
      <c r="Z71" s="34">
        <f t="array" ref="Z71">SUM(IF(('W10. Power Total Cap'!$B$50:$B$556=Z$59)*('W10. Power Total Cap'!$C$50:$C$556=$A71)*('W10. Power Total Cap'!$E$49:$O$49=Z$58),'W10. Power Total Cap'!$E$50:$O$556))</f>
        <v>49.03814799358338</v>
      </c>
      <c r="AA71" s="34">
        <f t="array" ref="AA71">SUM(IF(('W10. Power Total Cap'!$B$50:$B$556=AA$59)*('W10. Power Total Cap'!$C$50:$C$556=$A71)*('W10. Power Total Cap'!$E$49:$O$49=AA$58),'W10. Power Total Cap'!$E$50:$O$556))</f>
        <v>23.532578551872305</v>
      </c>
      <c r="AB71" s="34">
        <f t="array" ref="AB71">SUM(IF(('W10. Power Total Cap'!$B$50:$B$556=AB$59)*('W10. Power Total Cap'!$C$50:$C$556=$A71)*('W10. Power Total Cap'!$E$49:$O$49=AB$58),'W10. Power Total Cap'!$E$50:$O$556))</f>
        <v>12.33878024553014</v>
      </c>
      <c r="AC71" s="34">
        <f t="array" ref="AC71">SUM(IF(('W10. Power Total Cap'!$B$50:$B$556=AC$59)*('W10. Power Total Cap'!$C$50:$C$556=$A71)*('W10. Power Total Cap'!$E$49:$O$49=AC$58),'W10. Power Total Cap'!$E$50:$O$556))</f>
        <v>29.619726385009361</v>
      </c>
      <c r="AD71" s="34">
        <f t="array" ref="AD71">SUM(IF(('W10. Power Total Cap'!$B$50:$B$556=AD$59)*('W10. Power Total Cap'!$C$50:$C$556=$A71)*('W10. Power Total Cap'!$E$49:$O$49=AD$58),'W10. Power Total Cap'!$E$50:$O$556))</f>
        <v>86.454151899012075</v>
      </c>
      <c r="AE71" s="34">
        <f t="array" ref="AE71">SUM(IF(('W10. Power Total Cap'!$B$50:$B$556=AE$59)*('W10. Power Total Cap'!$C$50:$C$556=$A71)*('W10. Power Total Cap'!$E$49:$O$49=AE$58),'W10. Power Total Cap'!$E$50:$O$556))</f>
        <v>0</v>
      </c>
      <c r="AF71" s="34">
        <f t="array" ref="AF71">SUM(IF(('W10. Power Total Cap'!$B$50:$B$556=AF$59)*('W10. Power Total Cap'!$C$50:$C$556=$A71)*('W10. Power Total Cap'!$E$49:$O$49=AF$58),'W10. Power Total Cap'!$E$50:$O$556))</f>
        <v>0</v>
      </c>
      <c r="AG71" s="34">
        <f t="array" ref="AG71">SUM(IF(('W10. Power Total Cap'!$B$50:$B$556=AG$59)*('W10. Power Total Cap'!$C$50:$C$556=$A71)*('W10. Power Total Cap'!$E$49:$O$49=AG$58),'W10. Power Total Cap'!$E$50:$O$556))</f>
        <v>160.04441575962673</v>
      </c>
      <c r="AH71" s="34">
        <f t="array" ref="AH71">SUM(IF(('W10. Power Total Cap'!$B$50:$B$556=AH$59)*('W10. Power Total Cap'!$C$50:$C$556=$A71)*('W10. Power Total Cap'!$E$49:$O$49=AH$58),'W10. Power Total Cap'!$E$50:$O$556))</f>
        <v>77.390648548820266</v>
      </c>
      <c r="AI71" s="34">
        <f t="array" ref="AI71">SUM(IF(('W10. Power Total Cap'!$B$50:$B$556=AI$59)*('W10. Power Total Cap'!$C$50:$C$556=$A71)*('W10. Power Total Cap'!$E$49:$O$49=AI$58),'W10. Power Total Cap'!$E$50:$O$556))</f>
        <v>253.95582864825025</v>
      </c>
      <c r="AJ71" s="34">
        <f t="array" ref="AJ71">SUM(IF(('W10. Power Total Cap'!$B$50:$B$556=AJ$59)*('W10. Power Total Cap'!$C$50:$C$556=$A71)*('W10. Power Total Cap'!$E$49:$O$49=AJ$58),'W10. Power Total Cap'!$E$50:$O$556))</f>
        <v>151.4984133873958</v>
      </c>
      <c r="AK71" s="34">
        <f t="array" ref="AK71">SUM(IF(('W10. Power Total Cap'!$B$50:$B$556=AK$59)*('W10. Power Total Cap'!$C$50:$C$556=$A71)*('W10. Power Total Cap'!$E$49:$O$49=AK$58),'W10. Power Total Cap'!$E$50:$O$556))</f>
        <v>82.232862719081993</v>
      </c>
      <c r="AL71" s="34">
        <f t="array" ref="AL71">SUM(IF(('W10. Power Total Cap'!$B$50:$B$556=AL$59)*('W10. Power Total Cap'!$C$50:$C$556=$A71)*('W10. Power Total Cap'!$E$49:$O$49=AL$58),'W10. Power Total Cap'!$E$50:$O$556))</f>
        <v>148.41014530477469</v>
      </c>
      <c r="AM71" s="34">
        <f t="array" ref="AM71">SUM(IF(('W10. Power Total Cap'!$B$50:$B$556=AM$59)*('W10. Power Total Cap'!$C$50:$C$556=$A71)*('W10. Power Total Cap'!$E$49:$O$49=AM$58),'W10. Power Total Cap'!$E$50:$O$556))</f>
        <v>428.68937050727726</v>
      </c>
      <c r="AN71" s="34">
        <f t="array" ref="AN71">SUM(IF(('W10. Power Total Cap'!$B$50:$B$556=AN$59)*('W10. Power Total Cap'!$C$50:$C$556=$A71)*('W10. Power Total Cap'!$E$49:$O$49=AN$58),'W10. Power Total Cap'!$E$50:$O$556))</f>
        <v>0</v>
      </c>
      <c r="AO71" s="34">
        <f t="array" ref="AO71">SUM(IF(('W10. Power Total Cap'!$B$50:$B$556=AO$59)*('W10. Power Total Cap'!$C$50:$C$556=$A71)*('W10. Power Total Cap'!$E$49:$O$49=AO$58),'W10. Power Total Cap'!$E$50:$O$556))</f>
        <v>0</v>
      </c>
      <c r="AP71" s="34">
        <f t="array" ref="AP71">SUM(IF(('W10. Power Total Cap'!$B$50:$B$556=AP$59)*('W10. Power Total Cap'!$C$50:$C$556=$A71)*('W10. Power Total Cap'!$E$49:$O$49=AP$58),'W10. Power Total Cap'!$E$50:$O$556))</f>
        <v>668.21246944066934</v>
      </c>
      <c r="AQ71" s="34">
        <f t="array" ref="AQ71">SUM(IF(('W10. Power Total Cap'!$B$50:$B$556=AQ$59)*('W10. Power Total Cap'!$C$50:$C$556=$A71)*('W10. Power Total Cap'!$E$49:$O$49=AQ$58),'W10. Power Total Cap'!$E$50:$O$556))</f>
        <v>455.8601295256662</v>
      </c>
      <c r="AR71" s="34">
        <f t="array" ref="AR71">SUM(IF(('W10. Power Total Cap'!$B$50:$B$556=AR$59)*('W10. Power Total Cap'!$C$50:$C$556=$A71)*('W10. Power Total Cap'!$E$49:$O$49=AR$58),'W10. Power Total Cap'!$E$50:$O$556))</f>
        <v>998.34909133177064</v>
      </c>
      <c r="AS71" s="34">
        <f t="array" ref="AS71">SUM(IF(('W10. Power Total Cap'!$B$50:$B$556=AS$59)*('W10. Power Total Cap'!$C$50:$C$556=$A71)*('W10. Power Total Cap'!$E$49:$O$49=AS$58),'W10. Power Total Cap'!$E$50:$O$556))</f>
        <v>655.73813307102398</v>
      </c>
      <c r="AT71" s="34">
        <f t="array" ref="AT71">SUM(IF(('W10. Power Total Cap'!$B$50:$B$556=AT$59)*('W10. Power Total Cap'!$C$50:$C$556=$A71)*('W10. Power Total Cap'!$E$49:$O$49=AT$58),'W10. Power Total Cap'!$E$50:$O$556))</f>
        <v>354.69457660453361</v>
      </c>
      <c r="AU71" s="34">
        <f t="array" ref="AU71">SUM(IF(('W10. Power Total Cap'!$B$50:$B$556=AU$59)*('W10. Power Total Cap'!$C$50:$C$556=$A71)*('W10. Power Total Cap'!$E$49:$O$49=AU$58),'W10. Power Total Cap'!$E$50:$O$556))</f>
        <v>665.13109577493481</v>
      </c>
      <c r="AV71" s="34">
        <f t="array" ref="AV71">SUM(IF(('W10. Power Total Cap'!$B$50:$B$556=AV$59)*('W10. Power Total Cap'!$C$50:$C$556=$A71)*('W10. Power Total Cap'!$E$49:$O$49=AV$58),'W10. Power Total Cap'!$E$50:$O$556))</f>
        <v>1349.8506167908215</v>
      </c>
    </row>
    <row r="72" spans="1:48" x14ac:dyDescent="0.3">
      <c r="A72" s="3" t="s">
        <v>74</v>
      </c>
      <c r="B72" s="3" t="s">
        <v>255</v>
      </c>
      <c r="C72" s="34">
        <f t="array" ref="C72">SUM(IF(('W10. Power Total Cap'!$B$50:$B$556=C$59)*('W10. Power Total Cap'!$C$50:$C$556=$A72)*('W10. Power Total Cap'!$E$49:$O$49=C$58),'W10. Power Total Cap'!$E$50:$O$556))</f>
        <v>0</v>
      </c>
      <c r="D72" s="34">
        <f t="array" ref="D72">SUM(IF(('W10. Power Total Cap'!$B$50:$B$556=D$59)*('W10. Power Total Cap'!$C$50:$C$556=$A72)*('W10. Power Total Cap'!$E$49:$O$49=D$58),'W10. Power Total Cap'!$E$50:$O$556))</f>
        <v>0</v>
      </c>
      <c r="E72" s="34">
        <f t="array" ref="E72">SUM(IF(('W10. Power Total Cap'!$B$50:$B$556=E$59)*('W10. Power Total Cap'!$C$50:$C$556=$A72)*('W10. Power Total Cap'!$E$49:$O$49=E$58),'W10. Power Total Cap'!$E$50:$O$556))</f>
        <v>0</v>
      </c>
      <c r="F72" s="34">
        <f t="array" ref="F72">SUM(IF(('W10. Power Total Cap'!$B$50:$B$556=F$59)*('W10. Power Total Cap'!$C$50:$C$556=$A72)*('W10. Power Total Cap'!$E$49:$O$49=F$58),'W10. Power Total Cap'!$E$50:$O$556))</f>
        <v>0</v>
      </c>
      <c r="G72" s="34">
        <f t="array" ref="G72">SUM(IF(('W10. Power Total Cap'!$B$50:$B$556=G$59)*('W10. Power Total Cap'!$C$50:$C$556=$A72)*('W10. Power Total Cap'!$E$49:$O$49=G$58),'W10. Power Total Cap'!$E$50:$O$556))</f>
        <v>0</v>
      </c>
      <c r="H72" s="34">
        <f t="array" ref="H72">SUM(IF(('W10. Power Total Cap'!$B$50:$B$556=H$59)*('W10. Power Total Cap'!$C$50:$C$556=$A72)*('W10. Power Total Cap'!$E$49:$O$49=H$58),'W10. Power Total Cap'!$E$50:$O$556))</f>
        <v>0</v>
      </c>
      <c r="I72" s="34">
        <f t="array" ref="I72">SUM(IF(('W10. Power Total Cap'!$B$50:$B$556=I$59)*('W10. Power Total Cap'!$C$50:$C$556=$A72)*('W10. Power Total Cap'!$E$49:$O$49=I$58),'W10. Power Total Cap'!$E$50:$O$556))</f>
        <v>0</v>
      </c>
      <c r="J72" s="34">
        <f t="array" ref="J72">SUM(IF(('W10. Power Total Cap'!$B$50:$B$556=J$59)*('W10. Power Total Cap'!$C$50:$C$556=$A72)*('W10. Power Total Cap'!$E$49:$O$49=J$58),'W10. Power Total Cap'!$E$50:$O$556))</f>
        <v>0</v>
      </c>
      <c r="K72" s="34">
        <f t="array" ref="K72">SUM(IF(('W10. Power Total Cap'!$B$50:$B$556=K$59)*('W10. Power Total Cap'!$C$50:$C$556=$A72)*('W10. Power Total Cap'!$E$49:$O$49=K$58),'W10. Power Total Cap'!$E$50:$O$556))</f>
        <v>0</v>
      </c>
      <c r="L72" s="34">
        <f t="array" ref="L72">SUM(IF(('W10. Power Total Cap'!$B$50:$B$556=L$59)*('W10. Power Total Cap'!$C$50:$C$556=$A72)*('W10. Power Total Cap'!$E$49:$O$49=L$58),'W10. Power Total Cap'!$E$50:$O$556))</f>
        <v>0</v>
      </c>
      <c r="M72" s="34">
        <f t="array" ref="M72">SUM(IF(('W10. Power Total Cap'!$B$50:$B$556=M$59)*('W10. Power Total Cap'!$C$50:$C$556=$A72)*('W10. Power Total Cap'!$E$49:$O$49=M$58),'W10. Power Total Cap'!$E$50:$O$556))</f>
        <v>0</v>
      </c>
      <c r="N72" s="34">
        <f t="array" ref="N72">SUM(IF(('W10. Power Total Cap'!$B$50:$B$556=N$59)*('W10. Power Total Cap'!$C$50:$C$556=$A72)*('W10. Power Total Cap'!$E$49:$O$49=N$58),'W10. Power Total Cap'!$E$50:$O$556))</f>
        <v>0</v>
      </c>
      <c r="O72" s="34">
        <f t="array" ref="O72">SUM(IF(('W10. Power Total Cap'!$B$50:$B$556=O$59)*('W10. Power Total Cap'!$C$50:$C$556=$A72)*('W10. Power Total Cap'!$E$49:$O$49=O$58),'W10. Power Total Cap'!$E$50:$O$556))</f>
        <v>0</v>
      </c>
      <c r="P72" s="34">
        <f t="array" ref="P72">SUM(IF(('W10. Power Total Cap'!$B$50:$B$556=P$59)*('W10. Power Total Cap'!$C$50:$C$556=$A72)*('W10. Power Total Cap'!$E$49:$O$49=P$58),'W10. Power Total Cap'!$E$50:$O$556))</f>
        <v>0</v>
      </c>
      <c r="Q72" s="34">
        <f t="array" ref="Q72">SUM(IF(('W10. Power Total Cap'!$B$50:$B$556=Q$59)*('W10. Power Total Cap'!$C$50:$C$556=$A72)*('W10. Power Total Cap'!$E$49:$O$49=Q$58),'W10. Power Total Cap'!$E$50:$O$556))</f>
        <v>7.5995772000000006</v>
      </c>
      <c r="R72" s="34">
        <f t="array" ref="R72">SUM(IF(('W10. Power Total Cap'!$B$50:$B$556=R$59)*('W10. Power Total Cap'!$C$50:$C$556=$A72)*('W10. Power Total Cap'!$E$49:$O$49=R$58),'W10. Power Total Cap'!$E$50:$O$556))</f>
        <v>0</v>
      </c>
      <c r="S72" s="34">
        <f t="array" ref="S72">SUM(IF(('W10. Power Total Cap'!$B$50:$B$556=S$59)*('W10. Power Total Cap'!$C$50:$C$556=$A72)*('W10. Power Total Cap'!$E$49:$O$49=S$58),'W10. Power Total Cap'!$E$50:$O$556))</f>
        <v>6.0200992392948099E-2</v>
      </c>
      <c r="T72" s="34">
        <f t="array" ref="T72">SUM(IF(('W10. Power Total Cap'!$B$50:$B$556=T$59)*('W10. Power Total Cap'!$C$50:$C$556=$A72)*('W10. Power Total Cap'!$E$49:$O$49=T$58),'W10. Power Total Cap'!$E$50:$O$556))</f>
        <v>0</v>
      </c>
      <c r="U72" s="34">
        <f t="array" ref="U72">SUM(IF(('W10. Power Total Cap'!$B$50:$B$556=U$59)*('W10. Power Total Cap'!$C$50:$C$556=$A72)*('W10. Power Total Cap'!$E$49:$O$49=U$58),'W10. Power Total Cap'!$E$50:$O$556))</f>
        <v>1.0004029999999999</v>
      </c>
      <c r="V72" s="34">
        <f t="array" ref="V72">SUM(IF(('W10. Power Total Cap'!$B$50:$B$556=V$59)*('W10. Power Total Cap'!$C$50:$C$556=$A72)*('W10. Power Total Cap'!$E$49:$O$49=V$58),'W10. Power Total Cap'!$E$50:$O$556))</f>
        <v>0</v>
      </c>
      <c r="W72" s="34">
        <f t="array" ref="W72">SUM(IF(('W10. Power Total Cap'!$B$50:$B$556=W$59)*('W10. Power Total Cap'!$C$50:$C$556=$A72)*('W10. Power Total Cap'!$E$49:$O$49=W$58),'W10. Power Total Cap'!$E$50:$O$556))</f>
        <v>0</v>
      </c>
      <c r="X72" s="34">
        <f t="array" ref="X72">SUM(IF(('W10. Power Total Cap'!$B$50:$B$556=X$59)*('W10. Power Total Cap'!$C$50:$C$556=$A72)*('W10. Power Total Cap'!$E$49:$O$49=X$58),'W10. Power Total Cap'!$E$50:$O$556))</f>
        <v>0.8980982363232024</v>
      </c>
      <c r="Y72" s="34">
        <f t="array" ref="Y72">SUM(IF(('W10. Power Total Cap'!$B$50:$B$556=Y$59)*('W10. Power Total Cap'!$C$50:$C$556=$A72)*('W10. Power Total Cap'!$E$49:$O$49=Y$58),'W10. Power Total Cap'!$E$50:$O$556))</f>
        <v>1.9096630089152191</v>
      </c>
      <c r="Z72" s="34">
        <f t="array" ref="Z72">SUM(IF(('W10. Power Total Cap'!$B$50:$B$556=Z$59)*('W10. Power Total Cap'!$C$50:$C$556=$A72)*('W10. Power Total Cap'!$E$49:$O$49=Z$58),'W10. Power Total Cap'!$E$50:$O$556))</f>
        <v>20.040854524833914</v>
      </c>
      <c r="AA72" s="34">
        <f t="array" ref="AA72">SUM(IF(('W10. Power Total Cap'!$B$50:$B$556=AA$59)*('W10. Power Total Cap'!$C$50:$C$556=$A72)*('W10. Power Total Cap'!$E$49:$O$49=AA$58),'W10. Power Total Cap'!$E$50:$O$556))</f>
        <v>1.2414536826588978</v>
      </c>
      <c r="AB72" s="34">
        <f t="array" ref="AB72">SUM(IF(('W10. Power Total Cap'!$B$50:$B$556=AB$59)*('W10. Power Total Cap'!$C$50:$C$556=$A72)*('W10. Power Total Cap'!$E$49:$O$49=AB$58),'W10. Power Total Cap'!$E$50:$O$556))</f>
        <v>0.27524182130227481</v>
      </c>
      <c r="AC72" s="34">
        <f t="array" ref="AC72">SUM(IF(('W10. Power Total Cap'!$B$50:$B$556=AC$59)*('W10. Power Total Cap'!$C$50:$C$556=$A72)*('W10. Power Total Cap'!$E$49:$O$49=AC$58),'W10. Power Total Cap'!$E$50:$O$556))</f>
        <v>0.7929269157354415</v>
      </c>
      <c r="AD72" s="34">
        <f t="array" ref="AD72">SUM(IF(('W10. Power Total Cap'!$B$50:$B$556=AD$59)*('W10. Power Total Cap'!$C$50:$C$556=$A72)*('W10. Power Total Cap'!$E$49:$O$49=AD$58),'W10. Power Total Cap'!$E$50:$O$556))</f>
        <v>2.5124292804138282</v>
      </c>
      <c r="AE72" s="34">
        <f t="array" ref="AE72">SUM(IF(('W10. Power Total Cap'!$B$50:$B$556=AE$59)*('W10. Power Total Cap'!$C$50:$C$556=$A72)*('W10. Power Total Cap'!$E$49:$O$49=AE$58),'W10. Power Total Cap'!$E$50:$O$556))</f>
        <v>0</v>
      </c>
      <c r="AF72" s="34">
        <f t="array" ref="AF72">SUM(IF(('W10. Power Total Cap'!$B$50:$B$556=AF$59)*('W10. Power Total Cap'!$C$50:$C$556=$A72)*('W10. Power Total Cap'!$E$49:$O$49=AF$58),'W10. Power Total Cap'!$E$50:$O$556))</f>
        <v>0</v>
      </c>
      <c r="AG72" s="34">
        <f t="array" ref="AG72">SUM(IF(('W10. Power Total Cap'!$B$50:$B$556=AG$59)*('W10. Power Total Cap'!$C$50:$C$556=$A72)*('W10. Power Total Cap'!$E$49:$O$49=AG$58),'W10. Power Total Cap'!$E$50:$O$556))</f>
        <v>3.4164110178986977</v>
      </c>
      <c r="AH72" s="34">
        <f t="array" ref="AH72">SUM(IF(('W10. Power Total Cap'!$B$50:$B$556=AH$59)*('W10. Power Total Cap'!$C$50:$C$556=$A72)*('W10. Power Total Cap'!$E$49:$O$49=AH$58),'W10. Power Total Cap'!$E$50:$O$556))</f>
        <v>7.0661477245220263</v>
      </c>
      <c r="AI72" s="34">
        <f t="array" ref="AI72">SUM(IF(('W10. Power Total Cap'!$B$50:$B$556=AI$59)*('W10. Power Total Cap'!$C$50:$C$556=$A72)*('W10. Power Total Cap'!$E$49:$O$49=AI$58),'W10. Power Total Cap'!$E$50:$O$556))</f>
        <v>38.713014872377883</v>
      </c>
      <c r="AJ72" s="34">
        <f t="array" ref="AJ72">SUM(IF(('W10. Power Total Cap'!$B$50:$B$556=AJ$59)*('W10. Power Total Cap'!$C$50:$C$556=$A72)*('W10. Power Total Cap'!$E$49:$O$49=AJ$58),'W10. Power Total Cap'!$E$50:$O$556))</f>
        <v>5.0920598744460301</v>
      </c>
      <c r="AK72" s="34">
        <f t="array" ref="AK72">SUM(IF(('W10. Power Total Cap'!$B$50:$B$556=AK$59)*('W10. Power Total Cap'!$C$50:$C$556=$A72)*('W10. Power Total Cap'!$E$49:$O$49=AK$58),'W10. Power Total Cap'!$E$50:$O$556))</f>
        <v>1.3916029247626103</v>
      </c>
      <c r="AL72" s="34">
        <f t="array" ref="AL72">SUM(IF(('W10. Power Total Cap'!$B$50:$B$556=AL$59)*('W10. Power Total Cap'!$C$50:$C$556=$A72)*('W10. Power Total Cap'!$E$49:$O$49=AL$58),'W10. Power Total Cap'!$E$50:$O$556))</f>
        <v>2.5608522343638347</v>
      </c>
      <c r="AM72" s="34">
        <f t="array" ref="AM72">SUM(IF(('W10. Power Total Cap'!$B$50:$B$556=AM$59)*('W10. Power Total Cap'!$C$50:$C$556=$A72)*('W10. Power Total Cap'!$E$49:$O$49=AM$58),'W10. Power Total Cap'!$E$50:$O$556))</f>
        <v>70.719390659474499</v>
      </c>
      <c r="AN72" s="34">
        <f t="array" ref="AN72">SUM(IF(('W10. Power Total Cap'!$B$50:$B$556=AN$59)*('W10. Power Total Cap'!$C$50:$C$556=$A72)*('W10. Power Total Cap'!$E$49:$O$49=AN$58),'W10. Power Total Cap'!$E$50:$O$556))</f>
        <v>0</v>
      </c>
      <c r="AO72" s="34">
        <f t="array" ref="AO72">SUM(IF(('W10. Power Total Cap'!$B$50:$B$556=AO$59)*('W10. Power Total Cap'!$C$50:$C$556=$A72)*('W10. Power Total Cap'!$E$49:$O$49=AO$58),'W10. Power Total Cap'!$E$50:$O$556))</f>
        <v>0</v>
      </c>
      <c r="AP72" s="34">
        <f t="array" ref="AP72">SUM(IF(('W10. Power Total Cap'!$B$50:$B$556=AP$59)*('W10. Power Total Cap'!$C$50:$C$556=$A72)*('W10. Power Total Cap'!$E$49:$O$49=AP$58),'W10. Power Total Cap'!$E$50:$O$556))</f>
        <v>6.3186746675020888</v>
      </c>
      <c r="AQ72" s="34">
        <f t="array" ref="AQ72">SUM(IF(('W10. Power Total Cap'!$B$50:$B$556=AQ$59)*('W10. Power Total Cap'!$C$50:$C$556=$A72)*('W10. Power Total Cap'!$E$49:$O$49=AQ$58),'W10. Power Total Cap'!$E$50:$O$556))</f>
        <v>44.842001224644314</v>
      </c>
      <c r="AR72" s="34">
        <f t="array" ref="AR72">SUM(IF(('W10. Power Total Cap'!$B$50:$B$556=AR$59)*('W10. Power Total Cap'!$C$50:$C$556=$A72)*('W10. Power Total Cap'!$E$49:$O$49=AR$58),'W10. Power Total Cap'!$E$50:$O$556))</f>
        <v>64.274260259524738</v>
      </c>
      <c r="AS72" s="34">
        <f t="array" ref="AS72">SUM(IF(('W10. Power Total Cap'!$B$50:$B$556=AS$59)*('W10. Power Total Cap'!$C$50:$C$556=$A72)*('W10. Power Total Cap'!$E$49:$O$49=AS$58),'W10. Power Total Cap'!$E$50:$O$556))</f>
        <v>8.7492241394767749</v>
      </c>
      <c r="AT72" s="34">
        <f t="array" ref="AT72">SUM(IF(('W10. Power Total Cap'!$B$50:$B$556=AT$59)*('W10. Power Total Cap'!$C$50:$C$556=$A72)*('W10. Power Total Cap'!$E$49:$O$49=AT$58),'W10. Power Total Cap'!$E$50:$O$556))</f>
        <v>2.5310677165163167</v>
      </c>
      <c r="AU72" s="34">
        <f t="array" ref="AU72">SUM(IF(('W10. Power Total Cap'!$B$50:$B$556=AU$59)*('W10. Power Total Cap'!$C$50:$C$556=$A72)*('W10. Power Total Cap'!$E$49:$O$49=AU$58),'W10. Power Total Cap'!$E$50:$O$556))</f>
        <v>4.2147361092153659</v>
      </c>
      <c r="AV72" s="34">
        <f t="array" ref="AV72">SUM(IF(('W10. Power Total Cap'!$B$50:$B$556=AV$59)*('W10. Power Total Cap'!$C$50:$C$556=$A72)*('W10. Power Total Cap'!$E$49:$O$49=AV$58),'W10. Power Total Cap'!$E$50:$O$556))</f>
        <v>266.8105547081089</v>
      </c>
    </row>
    <row r="73" spans="1:48" ht="15" thickBot="1" x14ac:dyDescent="0.35"/>
    <row r="74" spans="1:48" s="25" customFormat="1" ht="15" thickBot="1" x14ac:dyDescent="0.35">
      <c r="A74" s="24" t="s">
        <v>377</v>
      </c>
    </row>
    <row r="76" spans="1:48" x14ac:dyDescent="0.3">
      <c r="A76" s="3" t="s">
        <v>8</v>
      </c>
      <c r="B76" s="3" t="s">
        <v>252</v>
      </c>
      <c r="C76" s="3">
        <v>2014</v>
      </c>
      <c r="D76" s="3">
        <v>2015</v>
      </c>
      <c r="E76" s="3">
        <v>2016</v>
      </c>
      <c r="F76" s="3">
        <v>2017</v>
      </c>
      <c r="G76" s="3">
        <v>2020</v>
      </c>
      <c r="H76" s="3">
        <v>2030</v>
      </c>
      <c r="I76" s="3">
        <v>2040</v>
      </c>
      <c r="J76" s="3">
        <v>2050</v>
      </c>
    </row>
    <row r="77" spans="1:48" x14ac:dyDescent="0.3">
      <c r="A77" s="3" t="s">
        <v>368</v>
      </c>
      <c r="B77" s="3" t="s">
        <v>253</v>
      </c>
      <c r="C77" s="14" t="str">
        <f t="array" ref="C77">INDEX('W21. Total generation capacity'!$E$10:$Q$90,MATCH($A77&amp;$B77,'W21. Total generation capacity'!$A$10:$A$90&amp;'W21. Total generation capacity'!$C$10:$C$90,0),MATCH(C$76,'W21. Total generation capacity'!$E$9:$Q$9,0))</f>
        <v/>
      </c>
      <c r="D77" s="14" t="str">
        <f t="array" ref="D77">INDEX('W21. Total generation capacity'!$E$10:$Q$90,MATCH($A77&amp;$B77,'W21. Total generation capacity'!$A$10:$A$90&amp;'W21. Total generation capacity'!$C$10:$C$90,0),MATCH(D$76,'W21. Total generation capacity'!$E$9:$Q$9,0))</f>
        <v/>
      </c>
      <c r="E77" s="14">
        <f t="array" ref="E77">INDEX('W21. Total generation capacity'!$E$10:$Q$90,MATCH($A77&amp;$B77,'W21. Total generation capacity'!$A$10:$A$90&amp;'W21. Total generation capacity'!$C$10:$C$90,0),MATCH(E$76,'W21. Total generation capacity'!$E$9:$Q$9,0))</f>
        <v>0.129</v>
      </c>
      <c r="F77" s="14">
        <f t="array" ref="F77">INDEX('W21. Total generation capacity'!$E$10:$Q$90,MATCH($A77&amp;$B77,'W21. Total generation capacity'!$A$10:$A$90&amp;'W21. Total generation capacity'!$C$10:$C$90,0),MATCH(F$76,'W21. Total generation capacity'!$E$9:$Q$9,0))</f>
        <v>0.13600000000000001</v>
      </c>
      <c r="G77" s="14">
        <f t="array" ref="G77">INDEX('W21. Total generation capacity'!$E$10:$Q$90,MATCH($A77&amp;$B77,'W21. Total generation capacity'!$A$10:$A$90&amp;'W21. Total generation capacity'!$C$10:$C$90,0),MATCH(G$76,'W21. Total generation capacity'!$E$9:$Q$9,0))</f>
        <v>0.15325</v>
      </c>
      <c r="H77" s="14">
        <f t="array" ref="H77">INDEX('W21. Total generation capacity'!$E$10:$Q$90,MATCH($A77&amp;$B77,'W21. Total generation capacity'!$A$10:$A$90&amp;'W21. Total generation capacity'!$C$10:$C$90,0),MATCH(H$76,'W21. Total generation capacity'!$E$9:$Q$9,0))</f>
        <v>0.20300000000000001</v>
      </c>
      <c r="I77" s="14">
        <f t="array" ref="I77">INDEX('W21. Total generation capacity'!$E$10:$Q$90,MATCH($A77&amp;$B77,'W21. Total generation capacity'!$A$10:$A$90&amp;'W21. Total generation capacity'!$C$10:$C$90,0),MATCH(I$76,'W21. Total generation capacity'!$E$9:$Q$9,0))</f>
        <v>0.24099999999999999</v>
      </c>
      <c r="J77" s="14">
        <f t="array" ref="J77">INDEX('W21. Total generation capacity'!$E$10:$Q$90,MATCH($A77&amp;$B77,'W21. Total generation capacity'!$A$10:$A$90&amp;'W21. Total generation capacity'!$C$10:$C$90,0),MATCH(J$76,'W21. Total generation capacity'!$E$9:$Q$9,0))</f>
        <v>0.27900000000000003</v>
      </c>
    </row>
    <row r="78" spans="1:48" x14ac:dyDescent="0.3">
      <c r="A78" s="3" t="s">
        <v>368</v>
      </c>
      <c r="B78" s="3" t="s">
        <v>254</v>
      </c>
      <c r="C78" s="14" t="str">
        <f t="array" ref="C78">INDEX('W21. Total generation capacity'!$E$10:$Q$90,MATCH($A78&amp;$B78,'W21. Total generation capacity'!$A$10:$A$90&amp;'W21. Total generation capacity'!$C$10:$C$90,0),MATCH(C$76,'W21. Total generation capacity'!$E$9:$Q$9,0))</f>
        <v/>
      </c>
      <c r="D78" s="14" t="str">
        <f t="array" ref="D78">INDEX('W21. Total generation capacity'!$E$10:$Q$90,MATCH($A78&amp;$B78,'W21. Total generation capacity'!$A$10:$A$90&amp;'W21. Total generation capacity'!$C$10:$C$90,0),MATCH(D$76,'W21. Total generation capacity'!$E$9:$Q$9,0))</f>
        <v/>
      </c>
      <c r="E78" s="14">
        <f t="array" ref="E78">INDEX('W21. Total generation capacity'!$E$10:$Q$90,MATCH($A78&amp;$B78,'W21. Total generation capacity'!$A$10:$A$90&amp;'W21. Total generation capacity'!$C$10:$C$90,0),MATCH(E$76,'W21. Total generation capacity'!$E$9:$Q$9,0))</f>
        <v>2.0249999999999999</v>
      </c>
      <c r="F78" s="14">
        <f t="array" ref="F78">INDEX('W21. Total generation capacity'!$E$10:$Q$90,MATCH($A78&amp;$B78,'W21. Total generation capacity'!$A$10:$A$90&amp;'W21. Total generation capacity'!$C$10:$C$90,0),MATCH(F$76,'W21. Total generation capacity'!$E$9:$Q$9,0))</f>
        <v>2.0670000000000002</v>
      </c>
      <c r="G78" s="14">
        <f t="array" ref="G78">INDEX('W21. Total generation capacity'!$E$10:$Q$90,MATCH($A78&amp;$B78,'W21. Total generation capacity'!$A$10:$A$90&amp;'W21. Total generation capacity'!$C$10:$C$90,0),MATCH(G$76,'W21. Total generation capacity'!$E$9:$Q$9,0))</f>
        <v>2.1240000000000001</v>
      </c>
      <c r="H78" s="14">
        <f t="array" ref="H78">INDEX('W21. Total generation capacity'!$E$10:$Q$90,MATCH($A78&amp;$B78,'W21. Total generation capacity'!$A$10:$A$90&amp;'W21. Total generation capacity'!$C$10:$C$90,0),MATCH(H$76,'W21. Total generation capacity'!$E$9:$Q$9,0))</f>
        <v>2.3479999999999999</v>
      </c>
      <c r="I78" s="14">
        <f t="array" ref="I78">INDEX('W21. Total generation capacity'!$E$10:$Q$90,MATCH($A78&amp;$B78,'W21. Total generation capacity'!$A$10:$A$90&amp;'W21. Total generation capacity'!$C$10:$C$90,0),MATCH(I$76,'W21. Total generation capacity'!$E$9:$Q$9,0))</f>
        <v>2.6930000000000001</v>
      </c>
      <c r="J78" s="14">
        <f t="array" ref="J78">INDEX('W21. Total generation capacity'!$E$10:$Q$90,MATCH($A78&amp;$B78,'W21. Total generation capacity'!$A$10:$A$90&amp;'W21. Total generation capacity'!$C$10:$C$90,0),MATCH(J$76,'W21. Total generation capacity'!$E$9:$Q$9,0))</f>
        <v>3.0430000000000001</v>
      </c>
    </row>
    <row r="79" spans="1:48" x14ac:dyDescent="0.3">
      <c r="A79" s="3" t="s">
        <v>368</v>
      </c>
      <c r="B79" s="3" t="s">
        <v>255</v>
      </c>
      <c r="C79" s="14" t="str">
        <f t="array" ref="C79">INDEX('W21. Total generation capacity'!$E$10:$Q$90,MATCH($A79&amp;$B79,'W21. Total generation capacity'!$A$10:$A$90&amp;'W21. Total generation capacity'!$C$10:$C$90,0),MATCH(C$76,'W21. Total generation capacity'!$E$9:$Q$9,0))</f>
        <v/>
      </c>
      <c r="D79" s="14" t="str">
        <f t="array" ref="D79">INDEX('W21. Total generation capacity'!$E$10:$Q$90,MATCH($A79&amp;$B79,'W21. Total generation capacity'!$A$10:$A$90&amp;'W21. Total generation capacity'!$C$10:$C$90,0),MATCH(D$76,'W21. Total generation capacity'!$E$9:$Q$9,0))</f>
        <v/>
      </c>
      <c r="E79" s="14">
        <f t="array" ref="E79">INDEX('W21. Total generation capacity'!$E$10:$Q$90,MATCH($A79&amp;$B79,'W21. Total generation capacity'!$A$10:$A$90&amp;'W21. Total generation capacity'!$C$10:$C$90,0),MATCH(E$76,'W21. Total generation capacity'!$E$9:$Q$9,0))</f>
        <v>1.6439999999999999</v>
      </c>
      <c r="F79" s="14">
        <f t="array" ref="F79">INDEX('W21. Total generation capacity'!$E$10:$Q$90,MATCH($A79&amp;$B79,'W21. Total generation capacity'!$A$10:$A$90&amp;'W21. Total generation capacity'!$C$10:$C$90,0),MATCH(F$76,'W21. Total generation capacity'!$E$9:$Q$9,0))</f>
        <v>1.6950000000000001</v>
      </c>
      <c r="G79" s="14">
        <f t="array" ref="G79">INDEX('W21. Total generation capacity'!$E$10:$Q$90,MATCH($A79&amp;$B79,'W21. Total generation capacity'!$A$10:$A$90&amp;'W21. Total generation capacity'!$C$10:$C$90,0),MATCH(G$76,'W21. Total generation capacity'!$E$9:$Q$9,0))</f>
        <v>1.8671249999999999</v>
      </c>
      <c r="H79" s="14">
        <f t="array" ref="H79">INDEX('W21. Total generation capacity'!$E$10:$Q$90,MATCH($A79&amp;$B79,'W21. Total generation capacity'!$A$10:$A$90&amp;'W21. Total generation capacity'!$C$10:$C$90,0),MATCH(H$76,'W21. Total generation capacity'!$E$9:$Q$9,0))</f>
        <v>2.415</v>
      </c>
      <c r="I79" s="14">
        <f t="array" ref="I79">INDEX('W21. Total generation capacity'!$E$10:$Q$90,MATCH($A79&amp;$B79,'W21. Total generation capacity'!$A$10:$A$90&amp;'W21. Total generation capacity'!$C$10:$C$90,0),MATCH(I$76,'W21. Total generation capacity'!$E$9:$Q$9,0))</f>
        <v>2.93</v>
      </c>
      <c r="J79" s="14">
        <f t="array" ref="J79">INDEX('W21. Total generation capacity'!$E$10:$Q$90,MATCH($A79&amp;$B79,'W21. Total generation capacity'!$A$10:$A$90&amp;'W21. Total generation capacity'!$C$10:$C$90,0),MATCH(J$76,'W21. Total generation capacity'!$E$9:$Q$9,0))</f>
        <v>3.4220000000000002</v>
      </c>
    </row>
    <row r="80" spans="1:48" x14ac:dyDescent="0.3">
      <c r="A80" s="3" t="s">
        <v>368</v>
      </c>
      <c r="B80" s="3" t="s">
        <v>258</v>
      </c>
      <c r="C80" s="14" t="str">
        <f t="array" ref="C80">INDEX('W21. Total generation capacity'!$E$10:$Q$90,MATCH($A80&amp;$B80,'W21. Total generation capacity'!$A$10:$A$90&amp;'W21. Total generation capacity'!$C$10:$C$90,0),MATCH(C$76,'W21. Total generation capacity'!$E$9:$Q$9,0))</f>
        <v/>
      </c>
      <c r="D80" s="14" t="str">
        <f t="array" ref="D80">INDEX('W21. Total generation capacity'!$E$10:$Q$90,MATCH($A80&amp;$B80,'W21. Total generation capacity'!$A$10:$A$90&amp;'W21. Total generation capacity'!$C$10:$C$90,0),MATCH(D$76,'W21. Total generation capacity'!$E$9:$Q$9,0))</f>
        <v/>
      </c>
      <c r="E80" s="14">
        <f t="array" ref="E80">INDEX('W21. Total generation capacity'!$E$10:$Q$90,MATCH($A80&amp;$B80,'W21. Total generation capacity'!$A$10:$A$90&amp;'W21. Total generation capacity'!$C$10:$C$90,0),MATCH(E$76,'W21. Total generation capacity'!$E$9:$Q$9,0))</f>
        <v>1.4E-2</v>
      </c>
      <c r="F80" s="14">
        <f t="array" ref="F80">INDEX('W21. Total generation capacity'!$E$10:$Q$90,MATCH($A80&amp;$B80,'W21. Total generation capacity'!$A$10:$A$90&amp;'W21. Total generation capacity'!$C$10:$C$90,0),MATCH(F$76,'W21. Total generation capacity'!$E$9:$Q$9,0))</f>
        <v>1.4999999999999999E-2</v>
      </c>
      <c r="G80" s="14">
        <f t="array" ref="G80">INDEX('W21. Total generation capacity'!$E$10:$Q$90,MATCH($A80&amp;$B80,'W21. Total generation capacity'!$A$10:$A$90&amp;'W21. Total generation capacity'!$C$10:$C$90,0),MATCH(G$76,'W21. Total generation capacity'!$E$9:$Q$9,0))</f>
        <v>1.6875000000000001E-2</v>
      </c>
      <c r="H80" s="14">
        <f t="array" ref="H80">INDEX('W21. Total generation capacity'!$E$10:$Q$90,MATCH($A80&amp;$B80,'W21. Total generation capacity'!$A$10:$A$90&amp;'W21. Total generation capacity'!$C$10:$C$90,0),MATCH(H$76,'W21. Total generation capacity'!$E$9:$Q$9,0))</f>
        <v>2.9000000000000001E-2</v>
      </c>
      <c r="I80" s="14">
        <f t="array" ref="I80">INDEX('W21. Total generation capacity'!$E$10:$Q$90,MATCH($A80&amp;$B80,'W21. Total generation capacity'!$A$10:$A$90&amp;'W21. Total generation capacity'!$C$10:$C$90,0),MATCH(I$76,'W21. Total generation capacity'!$E$9:$Q$9,0))</f>
        <v>5.1999999999999998E-2</v>
      </c>
      <c r="J80" s="14">
        <f t="array" ref="J80">INDEX('W21. Total generation capacity'!$E$10:$Q$90,MATCH($A80&amp;$B80,'W21. Total generation capacity'!$A$10:$A$90&amp;'W21. Total generation capacity'!$C$10:$C$90,0),MATCH(J$76,'W21. Total generation capacity'!$E$9:$Q$9,0))</f>
        <v>7.8E-2</v>
      </c>
    </row>
    <row r="81" spans="1:10" x14ac:dyDescent="0.3">
      <c r="A81" s="3" t="s">
        <v>368</v>
      </c>
      <c r="B81" s="3" t="s">
        <v>256</v>
      </c>
      <c r="C81" s="14" t="str">
        <f t="array" ref="C81">INDEX('W21. Total generation capacity'!$E$10:$Q$90,MATCH($A81&amp;$B81,'W21. Total generation capacity'!$A$10:$A$90&amp;'W21. Total generation capacity'!$C$10:$C$90,0),MATCH(C$76,'W21. Total generation capacity'!$E$9:$Q$9,0))</f>
        <v/>
      </c>
      <c r="D81" s="14" t="str">
        <f t="array" ref="D81">INDEX('W21. Total generation capacity'!$E$10:$Q$90,MATCH($A81&amp;$B81,'W21. Total generation capacity'!$A$10:$A$90&amp;'W21. Total generation capacity'!$C$10:$C$90,0),MATCH(D$76,'W21. Total generation capacity'!$E$9:$Q$9,0))</f>
        <v/>
      </c>
      <c r="E81" s="14">
        <f t="array" ref="E81">INDEX('W21. Total generation capacity'!$E$10:$Q$90,MATCH($A81&amp;$B81,'W21. Total generation capacity'!$A$10:$A$90&amp;'W21. Total generation capacity'!$C$10:$C$90,0),MATCH(E$76,'W21. Total generation capacity'!$E$9:$Q$9,0))</f>
        <v>1.244</v>
      </c>
      <c r="F81" s="14">
        <f t="array" ref="F81">INDEX('W21. Total generation capacity'!$E$10:$Q$90,MATCH($A81&amp;$B81,'W21. Total generation capacity'!$A$10:$A$90&amp;'W21. Total generation capacity'!$C$10:$C$90,0),MATCH(F$76,'W21. Total generation capacity'!$E$9:$Q$9,0))</f>
        <v>1.27</v>
      </c>
      <c r="G81" s="14">
        <f t="array" ref="G81">INDEX('W21. Total generation capacity'!$E$10:$Q$90,MATCH($A81&amp;$B81,'W21. Total generation capacity'!$A$10:$A$90&amp;'W21. Total generation capacity'!$C$10:$C$90,0),MATCH(G$76,'W21. Total generation capacity'!$E$9:$Q$9,0))</f>
        <v>1.3382499999999999</v>
      </c>
      <c r="H81" s="14">
        <f t="array" ref="H81">INDEX('W21. Total generation capacity'!$E$10:$Q$90,MATCH($A81&amp;$B81,'W21. Total generation capacity'!$A$10:$A$90&amp;'W21. Total generation capacity'!$C$10:$C$90,0),MATCH(H$76,'W21. Total generation capacity'!$E$9:$Q$9,0))</f>
        <v>1.5649999999999999</v>
      </c>
      <c r="I81" s="14">
        <f t="array" ref="I81">INDEX('W21. Total generation capacity'!$E$10:$Q$90,MATCH($A81&amp;$B81,'W21. Total generation capacity'!$A$10:$A$90&amp;'W21. Total generation capacity'!$C$10:$C$90,0),MATCH(I$76,'W21. Total generation capacity'!$E$9:$Q$9,0))</f>
        <v>1.7689999999999999</v>
      </c>
      <c r="J81" s="14">
        <f t="array" ref="J81">INDEX('W21. Total generation capacity'!$E$10:$Q$90,MATCH($A81&amp;$B81,'W21. Total generation capacity'!$A$10:$A$90&amp;'W21. Total generation capacity'!$C$10:$C$90,0),MATCH(J$76,'W21. Total generation capacity'!$E$9:$Q$9,0))</f>
        <v>1.9690000000000001</v>
      </c>
    </row>
    <row r="82" spans="1:10" x14ac:dyDescent="0.3">
      <c r="A82" s="3" t="s">
        <v>368</v>
      </c>
      <c r="B82" s="3" t="s">
        <v>257</v>
      </c>
      <c r="C82" s="14" t="str">
        <f t="array" ref="C82">INDEX('W21. Total generation capacity'!$E$10:$Q$90,MATCH($A82&amp;$B82,'W21. Total generation capacity'!$A$10:$A$90&amp;'W21. Total generation capacity'!$C$10:$C$90,0),MATCH(C$76,'W21. Total generation capacity'!$E$9:$Q$9,0))</f>
        <v/>
      </c>
      <c r="D82" s="14" t="str">
        <f t="array" ref="D82">INDEX('W21. Total generation capacity'!$E$10:$Q$90,MATCH($A82&amp;$B82,'W21. Total generation capacity'!$A$10:$A$90&amp;'W21. Total generation capacity'!$C$10:$C$90,0),MATCH(D$76,'W21. Total generation capacity'!$E$9:$Q$9,0))</f>
        <v/>
      </c>
      <c r="E82" s="14">
        <f t="array" ref="E82">INDEX('W21. Total generation capacity'!$E$10:$Q$90,MATCH($A82&amp;$B82,'W21. Total generation capacity'!$A$10:$A$90&amp;'W21. Total generation capacity'!$C$10:$C$90,0),MATCH(E$76,'W21. Total generation capacity'!$E$9:$Q$9,0))</f>
        <v>0.41399999999999998</v>
      </c>
      <c r="F82" s="14">
        <f t="array" ref="F82">INDEX('W21. Total generation capacity'!$E$10:$Q$90,MATCH($A82&amp;$B82,'W21. Total generation capacity'!$A$10:$A$90&amp;'W21. Total generation capacity'!$C$10:$C$90,0),MATCH(F$76,'W21. Total generation capacity'!$E$9:$Q$9,0))</f>
        <v>0.41199999999999998</v>
      </c>
      <c r="G82" s="14">
        <f t="array" ref="G82">INDEX('W21. Total generation capacity'!$E$10:$Q$90,MATCH($A82&amp;$B82,'W21. Total generation capacity'!$A$10:$A$90&amp;'W21. Total generation capacity'!$C$10:$C$90,0),MATCH(G$76,'W21. Total generation capacity'!$E$9:$Q$9,0))</f>
        <v>0.42475000000000002</v>
      </c>
      <c r="H82" s="14">
        <f t="array" ref="H82">INDEX('W21. Total generation capacity'!$E$10:$Q$90,MATCH($A82&amp;$B82,'W21. Total generation capacity'!$A$10:$A$90&amp;'W21. Total generation capacity'!$C$10:$C$90,0),MATCH(H$76,'W21. Total generation capacity'!$E$9:$Q$9,0))</f>
        <v>0.45900000000000002</v>
      </c>
      <c r="I82" s="14">
        <f t="array" ref="I82">INDEX('W21. Total generation capacity'!$E$10:$Q$90,MATCH($A82&amp;$B82,'W21. Total generation capacity'!$A$10:$A$90&amp;'W21. Total generation capacity'!$C$10:$C$90,0),MATCH(I$76,'W21. Total generation capacity'!$E$9:$Q$9,0))</f>
        <v>0.498</v>
      </c>
      <c r="J82" s="14">
        <f t="array" ref="J82">INDEX('W21. Total generation capacity'!$E$10:$Q$90,MATCH($A82&amp;$B82,'W21. Total generation capacity'!$A$10:$A$90&amp;'W21. Total generation capacity'!$C$10:$C$90,0),MATCH(J$76,'W21. Total generation capacity'!$E$9:$Q$9,0))</f>
        <v>0.54800000000000004</v>
      </c>
    </row>
    <row r="83" spans="1:10" x14ac:dyDescent="0.3">
      <c r="A83" s="3" t="s">
        <v>368</v>
      </c>
      <c r="B83" s="3" t="s">
        <v>266</v>
      </c>
      <c r="C83" s="14" t="str">
        <f t="array" ref="C83">INDEX('W21. Total generation capacity'!$E$10:$Q$90,MATCH($A83&amp;$B83,'W21. Total generation capacity'!$A$10:$A$90&amp;'W21. Total generation capacity'!$C$10:$C$90,0),MATCH(C$76,'W21. Total generation capacity'!$E$9:$Q$9,0))</f>
        <v/>
      </c>
      <c r="D83" s="14" t="str">
        <f t="array" ref="D83">INDEX('W21. Total generation capacity'!$E$10:$Q$90,MATCH($A83&amp;$B83,'W21. Total generation capacity'!$A$10:$A$90&amp;'W21. Total generation capacity'!$C$10:$C$90,0),MATCH(D$76,'W21. Total generation capacity'!$E$9:$Q$9,0))</f>
        <v/>
      </c>
      <c r="E83" s="14">
        <f t="array" ref="E83">INDEX('W21. Total generation capacity'!$E$10:$Q$90,MATCH($A83&amp;$B83,'W21. Total generation capacity'!$A$10:$A$90&amp;'W21. Total generation capacity'!$C$10:$C$90,0),MATCH(E$76,'W21. Total generation capacity'!$E$9:$Q$9,0))</f>
        <v>0.44600000000000001</v>
      </c>
      <c r="F83" s="14">
        <f t="array" ref="F83">INDEX('W21. Total generation capacity'!$E$10:$Q$90,MATCH($A83&amp;$B83,'W21. Total generation capacity'!$A$10:$A$90&amp;'W21. Total generation capacity'!$C$10:$C$90,0),MATCH(F$76,'W21. Total generation capacity'!$E$9:$Q$9,0))</f>
        <v>0.44700000000000001</v>
      </c>
      <c r="G83" s="14">
        <f t="array" ref="G83">INDEX('W21. Total generation capacity'!$E$10:$Q$90,MATCH($A83&amp;$B83,'W21. Total generation capacity'!$A$10:$A$90&amp;'W21. Total generation capacity'!$C$10:$C$90,0),MATCH(G$76,'W21. Total generation capacity'!$E$9:$Q$9,0))</f>
        <v>0.41175</v>
      </c>
      <c r="H83" s="14">
        <f t="array" ref="H83">INDEX('W21. Total generation capacity'!$E$10:$Q$90,MATCH($A83&amp;$B83,'W21. Total generation capacity'!$A$10:$A$90&amp;'W21. Total generation capacity'!$C$10:$C$90,0),MATCH(H$76,'W21. Total generation capacity'!$E$9:$Q$9,0))</f>
        <v>0.314</v>
      </c>
      <c r="I83" s="14">
        <f t="array" ref="I83">INDEX('W21. Total generation capacity'!$E$10:$Q$90,MATCH($A83&amp;$B83,'W21. Total generation capacity'!$A$10:$A$90&amp;'W21. Total generation capacity'!$C$10:$C$90,0),MATCH(I$76,'W21. Total generation capacity'!$E$9:$Q$9,0))</f>
        <v>0.26400000000000001</v>
      </c>
      <c r="J83" s="14">
        <f t="array" ref="J83">INDEX('W21. Total generation capacity'!$E$10:$Q$90,MATCH($A83&amp;$B83,'W21. Total generation capacity'!$A$10:$A$90&amp;'W21. Total generation capacity'!$C$10:$C$90,0),MATCH(J$76,'W21. Total generation capacity'!$E$9:$Q$9,0))</f>
        <v>0.216</v>
      </c>
    </row>
    <row r="84" spans="1:10" x14ac:dyDescent="0.3">
      <c r="A84" s="3" t="s">
        <v>368</v>
      </c>
      <c r="B84" s="3" t="s">
        <v>259</v>
      </c>
      <c r="C84" s="14" t="str">
        <f t="array" ref="C84">INDEX('W21. Total generation capacity'!$E$10:$Q$90,MATCH($A84&amp;$B84,'W21. Total generation capacity'!$A$10:$A$90&amp;'W21. Total generation capacity'!$C$10:$C$90,0),MATCH(C$76,'W21. Total generation capacity'!$E$9:$Q$9,0))</f>
        <v/>
      </c>
      <c r="D84" s="14" t="str">
        <f t="array" ref="D84">INDEX('W21. Total generation capacity'!$E$10:$Q$90,MATCH($A84&amp;$B84,'W21. Total generation capacity'!$A$10:$A$90&amp;'W21. Total generation capacity'!$C$10:$C$90,0),MATCH(D$76,'W21. Total generation capacity'!$E$9:$Q$9,0))</f>
        <v/>
      </c>
      <c r="E84" s="14">
        <f t="array" ref="E84">INDEX('W21. Total generation capacity'!$E$10:$Q$90,MATCH($A84&amp;$B84,'W21. Total generation capacity'!$A$10:$A$90&amp;'W21. Total generation capacity'!$C$10:$C$90,0),MATCH(E$76,'W21. Total generation capacity'!$E$9:$Q$9,0))</f>
        <v>0.30499999999999999</v>
      </c>
      <c r="F84" s="14">
        <f t="array" ref="F84">INDEX('W21. Total generation capacity'!$E$10:$Q$90,MATCH($A84&amp;$B84,'W21. Total generation capacity'!$A$10:$A$90&amp;'W21. Total generation capacity'!$C$10:$C$90,0),MATCH(F$76,'W21. Total generation capacity'!$E$9:$Q$9,0))</f>
        <v>0.40300000000000002</v>
      </c>
      <c r="G84" s="14">
        <f t="array" ref="G84">INDEX('W21. Total generation capacity'!$E$10:$Q$90,MATCH($A84&amp;$B84,'W21. Total generation capacity'!$A$10:$A$90&amp;'W21. Total generation capacity'!$C$10:$C$90,0),MATCH(G$76,'W21. Total generation capacity'!$E$9:$Q$9,0))</f>
        <v>0.63400000000000001</v>
      </c>
      <c r="H84" s="14">
        <f t="array" ref="H84">INDEX('W21. Total generation capacity'!$E$10:$Q$90,MATCH($A84&amp;$B84,'W21. Total generation capacity'!$A$10:$A$90&amp;'W21. Total generation capacity'!$C$10:$C$90,0),MATCH(H$76,'W21. Total generation capacity'!$E$9:$Q$9,0))</f>
        <v>1.3080000000000001</v>
      </c>
      <c r="I84" s="14">
        <f t="array" ref="I84">INDEX('W21. Total generation capacity'!$E$10:$Q$90,MATCH($A84&amp;$B84,'W21. Total generation capacity'!$A$10:$A$90&amp;'W21. Total generation capacity'!$C$10:$C$90,0),MATCH(I$76,'W21. Total generation capacity'!$E$9:$Q$9,0))</f>
        <v>1.9870000000000001</v>
      </c>
      <c r="J84" s="14">
        <f t="array" ref="J84">INDEX('W21. Total generation capacity'!$E$10:$Q$90,MATCH($A84&amp;$B84,'W21. Total generation capacity'!$A$10:$A$90&amp;'W21. Total generation capacity'!$C$10:$C$90,0),MATCH(J$76,'W21. Total generation capacity'!$E$9:$Q$9,0))</f>
        <v>2.7170000000000001</v>
      </c>
    </row>
    <row r="85" spans="1:10" x14ac:dyDescent="0.3">
      <c r="A85" s="3" t="s">
        <v>368</v>
      </c>
      <c r="B85" s="3" t="s">
        <v>260</v>
      </c>
      <c r="C85" s="14" t="str">
        <f t="array" ref="C85">INDEX('W21. Total generation capacity'!$E$10:$Q$90,MATCH($A85&amp;$B85,'W21. Total generation capacity'!$A$10:$A$90&amp;'W21. Total generation capacity'!$C$10:$C$90,0),MATCH(C$76,'W21. Total generation capacity'!$E$9:$Q$9,0))</f>
        <v/>
      </c>
      <c r="D85" s="14" t="str">
        <f t="array" ref="D85">INDEX('W21. Total generation capacity'!$E$10:$Q$90,MATCH($A85&amp;$B85,'W21. Total generation capacity'!$A$10:$A$90&amp;'W21. Total generation capacity'!$C$10:$C$90,0),MATCH(D$76,'W21. Total generation capacity'!$E$9:$Q$9,0))</f>
        <v/>
      </c>
      <c r="E85" s="14">
        <f t="array" ref="E85">INDEX('W21. Total generation capacity'!$E$10:$Q$90,MATCH($A85&amp;$B85,'W21. Total generation capacity'!$A$10:$A$90&amp;'W21. Total generation capacity'!$C$10:$C$90,0),MATCH(E$76,'W21. Total generation capacity'!$E$9:$Q$9,0))</f>
        <v>0.46700000000000003</v>
      </c>
      <c r="F85" s="14">
        <f t="array" ref="F85">INDEX('W21. Total generation capacity'!$E$10:$Q$90,MATCH($A85&amp;$B85,'W21. Total generation capacity'!$A$10:$A$90&amp;'W21. Total generation capacity'!$C$10:$C$90,0),MATCH(F$76,'W21. Total generation capacity'!$E$9:$Q$9,0))</f>
        <v>0.51500000000000001</v>
      </c>
      <c r="G85" s="14">
        <f t="array" ref="G85">INDEX('W21. Total generation capacity'!$E$10:$Q$90,MATCH($A85&amp;$B85,'W21. Total generation capacity'!$A$10:$A$90&amp;'W21. Total generation capacity'!$C$10:$C$90,0),MATCH(G$76,'W21. Total generation capacity'!$E$9:$Q$9,0))</f>
        <v>0.65600000000000003</v>
      </c>
      <c r="H85" s="14">
        <f t="array" ref="H85">INDEX('W21. Total generation capacity'!$E$10:$Q$90,MATCH($A85&amp;$B85,'W21. Total generation capacity'!$A$10:$A$90&amp;'W21. Total generation capacity'!$C$10:$C$90,0),MATCH(H$76,'W21. Total generation capacity'!$E$9:$Q$9,0))</f>
        <v>1.0660000000000001</v>
      </c>
      <c r="I85" s="14">
        <f t="array" ref="I85">INDEX('W21. Total generation capacity'!$E$10:$Q$90,MATCH($A85&amp;$B85,'W21. Total generation capacity'!$A$10:$A$90&amp;'W21. Total generation capacity'!$C$10:$C$90,0),MATCH(I$76,'W21. Total generation capacity'!$E$9:$Q$9,0))</f>
        <v>1.345</v>
      </c>
      <c r="J85" s="14">
        <f t="array" ref="J85">INDEX('W21. Total generation capacity'!$E$10:$Q$90,MATCH($A85&amp;$B85,'W21. Total generation capacity'!$A$10:$A$90&amp;'W21. Total generation capacity'!$C$10:$C$90,0),MATCH(J$76,'W21. Total generation capacity'!$E$9:$Q$9,0))</f>
        <v>1.601</v>
      </c>
    </row>
    <row r="86" spans="1:10" x14ac:dyDescent="0.3">
      <c r="A86" s="3" t="s">
        <v>370</v>
      </c>
      <c r="B86" s="3" t="s">
        <v>253</v>
      </c>
      <c r="C86" s="14" t="str">
        <f t="array" ref="C86">INDEX('W21. Total generation capacity'!$E$10:$Q$90,MATCH($A86&amp;$B86,'W21. Total generation capacity'!$A$10:$A$90&amp;'W21. Total generation capacity'!$C$10:$C$90,0),MATCH(C$76,'W21. Total generation capacity'!$E$9:$Q$9,0))</f>
        <v/>
      </c>
      <c r="D86" s="14" t="str">
        <f t="array" ref="D86">INDEX('W21. Total generation capacity'!$E$10:$Q$90,MATCH($A86&amp;$B86,'W21. Total generation capacity'!$A$10:$A$90&amp;'W21. Total generation capacity'!$C$10:$C$90,0),MATCH(D$76,'W21. Total generation capacity'!$E$9:$Q$9,0))</f>
        <v/>
      </c>
      <c r="E86" s="14">
        <f t="array" ref="E86">INDEX('W21. Total generation capacity'!$E$10:$Q$90,MATCH($A86&amp;$B86,'W21. Total generation capacity'!$A$10:$A$90&amp;'W21. Total generation capacity'!$C$10:$C$90,0),MATCH(E$76,'W21. Total generation capacity'!$E$9:$Q$9,0))</f>
        <v>0.129</v>
      </c>
      <c r="F86" s="14">
        <f t="array" ref="F86">INDEX('W21. Total generation capacity'!$E$10:$Q$90,MATCH($A86&amp;$B86,'W21. Total generation capacity'!$A$10:$A$90&amp;'W21. Total generation capacity'!$C$10:$C$90,0),MATCH(F$76,'W21. Total generation capacity'!$E$9:$Q$9,0))</f>
        <v>0.13600000000000001</v>
      </c>
      <c r="G86" s="14">
        <f t="array" ref="G86">INDEX('W21. Total generation capacity'!$E$10:$Q$90,MATCH($A86&amp;$B86,'W21. Total generation capacity'!$A$10:$A$90&amp;'W21. Total generation capacity'!$C$10:$C$90,0),MATCH(G$76,'W21. Total generation capacity'!$E$9:$Q$9,0))</f>
        <v>0.15475</v>
      </c>
      <c r="H86" s="14">
        <f t="array" ref="H86">INDEX('W21. Total generation capacity'!$E$10:$Q$90,MATCH($A86&amp;$B86,'W21. Total generation capacity'!$A$10:$A$90&amp;'W21. Total generation capacity'!$C$10:$C$90,0),MATCH(H$76,'W21. Total generation capacity'!$E$9:$Q$9,0))</f>
        <v>0.216</v>
      </c>
      <c r="I86" s="14">
        <f t="array" ref="I86">INDEX('W21. Total generation capacity'!$E$10:$Q$90,MATCH($A86&amp;$B86,'W21. Total generation capacity'!$A$10:$A$90&amp;'W21. Total generation capacity'!$C$10:$C$90,0),MATCH(I$76,'W21. Total generation capacity'!$E$9:$Q$9,0))</f>
        <v>0.27800000000000002</v>
      </c>
      <c r="J86" s="14">
        <f t="array" ref="J86">INDEX('W21. Total generation capacity'!$E$10:$Q$90,MATCH($A86&amp;$B86,'W21. Total generation capacity'!$A$10:$A$90&amp;'W21. Total generation capacity'!$C$10:$C$90,0),MATCH(J$76,'W21. Total generation capacity'!$E$9:$Q$9,0))</f>
        <v>0.34</v>
      </c>
    </row>
    <row r="87" spans="1:10" x14ac:dyDescent="0.3">
      <c r="A87" s="3" t="s">
        <v>370</v>
      </c>
      <c r="B87" s="3" t="s">
        <v>254</v>
      </c>
      <c r="C87" s="14" t="str">
        <f t="array" ref="C87">INDEX('W21. Total generation capacity'!$E$10:$Q$90,MATCH($A87&amp;$B87,'W21. Total generation capacity'!$A$10:$A$90&amp;'W21. Total generation capacity'!$C$10:$C$90,0),MATCH(C$76,'W21. Total generation capacity'!$E$9:$Q$9,0))</f>
        <v/>
      </c>
      <c r="D87" s="14" t="str">
        <f t="array" ref="D87">INDEX('W21. Total generation capacity'!$E$10:$Q$90,MATCH($A87&amp;$B87,'W21. Total generation capacity'!$A$10:$A$90&amp;'W21. Total generation capacity'!$C$10:$C$90,0),MATCH(D$76,'W21. Total generation capacity'!$E$9:$Q$9,0))</f>
        <v/>
      </c>
      <c r="E87" s="14">
        <f t="array" ref="E87">INDEX('W21. Total generation capacity'!$E$10:$Q$90,MATCH($A87&amp;$B87,'W21. Total generation capacity'!$A$10:$A$90&amp;'W21. Total generation capacity'!$C$10:$C$90,0),MATCH(E$76,'W21. Total generation capacity'!$E$9:$Q$9,0))</f>
        <v>2.0249999999999999</v>
      </c>
      <c r="F87" s="14">
        <f t="array" ref="F87">INDEX('W21. Total generation capacity'!$E$10:$Q$90,MATCH($A87&amp;$B87,'W21. Total generation capacity'!$A$10:$A$90&amp;'W21. Total generation capacity'!$C$10:$C$90,0),MATCH(F$76,'W21. Total generation capacity'!$E$9:$Q$9,0))</f>
        <v>2.0670000000000002</v>
      </c>
      <c r="G87" s="14">
        <f t="array" ref="G87">INDEX('W21. Total generation capacity'!$E$10:$Q$90,MATCH($A87&amp;$B87,'W21. Total generation capacity'!$A$10:$A$90&amp;'W21. Total generation capacity'!$C$10:$C$90,0),MATCH(G$76,'W21. Total generation capacity'!$E$9:$Q$9,0))</f>
        <v>2.0906250000000002</v>
      </c>
      <c r="H87" s="14">
        <f t="array" ref="H87">INDEX('W21. Total generation capacity'!$E$10:$Q$90,MATCH($A87&amp;$B87,'W21. Total generation capacity'!$A$10:$A$90&amp;'W21. Total generation capacity'!$C$10:$C$90,0),MATCH(H$76,'W21. Total generation capacity'!$E$9:$Q$9,0))</f>
        <v>2.1429999999999998</v>
      </c>
      <c r="I87" s="14">
        <f t="array" ref="I87">INDEX('W21. Total generation capacity'!$E$10:$Q$90,MATCH($A87&amp;$B87,'W21. Total generation capacity'!$A$10:$A$90&amp;'W21. Total generation capacity'!$C$10:$C$90,0),MATCH(I$76,'W21. Total generation capacity'!$E$9:$Q$9,0))</f>
        <v>2.238</v>
      </c>
      <c r="J87" s="14">
        <f t="array" ref="J87">INDEX('W21. Total generation capacity'!$E$10:$Q$90,MATCH($A87&amp;$B87,'W21. Total generation capacity'!$A$10:$A$90&amp;'W21. Total generation capacity'!$C$10:$C$90,0),MATCH(J$76,'W21. Total generation capacity'!$E$9:$Q$9,0))</f>
        <v>2.3460000000000001</v>
      </c>
    </row>
    <row r="88" spans="1:10" x14ac:dyDescent="0.3">
      <c r="A88" s="3" t="s">
        <v>370</v>
      </c>
      <c r="B88" s="3" t="s">
        <v>255</v>
      </c>
      <c r="C88" s="14" t="str">
        <f t="array" ref="C88">INDEX('W21. Total generation capacity'!$E$10:$Q$90,MATCH($A88&amp;$B88,'W21. Total generation capacity'!$A$10:$A$90&amp;'W21. Total generation capacity'!$C$10:$C$90,0),MATCH(C$76,'W21. Total generation capacity'!$E$9:$Q$9,0))</f>
        <v/>
      </c>
      <c r="D88" s="14" t="str">
        <f t="array" ref="D88">INDEX('W21. Total generation capacity'!$E$10:$Q$90,MATCH($A88&amp;$B88,'W21. Total generation capacity'!$A$10:$A$90&amp;'W21. Total generation capacity'!$C$10:$C$90,0),MATCH(D$76,'W21. Total generation capacity'!$E$9:$Q$9,0))</f>
        <v/>
      </c>
      <c r="E88" s="14">
        <f t="array" ref="E88">INDEX('W21. Total generation capacity'!$E$10:$Q$90,MATCH($A88&amp;$B88,'W21. Total generation capacity'!$A$10:$A$90&amp;'W21. Total generation capacity'!$C$10:$C$90,0),MATCH(E$76,'W21. Total generation capacity'!$E$9:$Q$9,0))</f>
        <v>1.6439999999999999</v>
      </c>
      <c r="F88" s="14">
        <f t="array" ref="F88">INDEX('W21. Total generation capacity'!$E$10:$Q$90,MATCH($A88&amp;$B88,'W21. Total generation capacity'!$A$10:$A$90&amp;'W21. Total generation capacity'!$C$10:$C$90,0),MATCH(F$76,'W21. Total generation capacity'!$E$9:$Q$9,0))</f>
        <v>1.6950000000000001</v>
      </c>
      <c r="G88" s="14">
        <f t="array" ref="G88">INDEX('W21. Total generation capacity'!$E$10:$Q$90,MATCH($A88&amp;$B88,'W21. Total generation capacity'!$A$10:$A$90&amp;'W21. Total generation capacity'!$C$10:$C$90,0),MATCH(G$76,'W21. Total generation capacity'!$E$9:$Q$9,0))</f>
        <v>1.85175</v>
      </c>
      <c r="H88" s="14">
        <f t="array" ref="H88">INDEX('W21. Total generation capacity'!$E$10:$Q$90,MATCH($A88&amp;$B88,'W21. Total generation capacity'!$A$10:$A$90&amp;'W21. Total generation capacity'!$C$10:$C$90,0),MATCH(H$76,'W21. Total generation capacity'!$E$9:$Q$9,0))</f>
        <v>2.3340000000000001</v>
      </c>
      <c r="I88" s="14">
        <f t="array" ref="I88">INDEX('W21. Total generation capacity'!$E$10:$Q$90,MATCH($A88&amp;$B88,'W21. Total generation capacity'!$A$10:$A$90&amp;'W21. Total generation capacity'!$C$10:$C$90,0),MATCH(I$76,'W21. Total generation capacity'!$E$9:$Q$9,0))</f>
        <v>2.74</v>
      </c>
      <c r="J88" s="14">
        <f t="array" ref="J88">INDEX('W21. Total generation capacity'!$E$10:$Q$90,MATCH($A88&amp;$B88,'W21. Total generation capacity'!$A$10:$A$90&amp;'W21. Total generation capacity'!$C$10:$C$90,0),MATCH(J$76,'W21. Total generation capacity'!$E$9:$Q$9,0))</f>
        <v>3.1680000000000001</v>
      </c>
    </row>
    <row r="89" spans="1:10" x14ac:dyDescent="0.3">
      <c r="A89" s="3" t="s">
        <v>370</v>
      </c>
      <c r="B89" s="3" t="s">
        <v>258</v>
      </c>
      <c r="C89" s="14" t="str">
        <f t="array" ref="C89">INDEX('W21. Total generation capacity'!$E$10:$Q$90,MATCH($A89&amp;$B89,'W21. Total generation capacity'!$A$10:$A$90&amp;'W21. Total generation capacity'!$C$10:$C$90,0),MATCH(C$76,'W21. Total generation capacity'!$E$9:$Q$9,0))</f>
        <v/>
      </c>
      <c r="D89" s="14" t="str">
        <f t="array" ref="D89">INDEX('W21. Total generation capacity'!$E$10:$Q$90,MATCH($A89&amp;$B89,'W21. Total generation capacity'!$A$10:$A$90&amp;'W21. Total generation capacity'!$C$10:$C$90,0),MATCH(D$76,'W21. Total generation capacity'!$E$9:$Q$9,0))</f>
        <v/>
      </c>
      <c r="E89" s="14">
        <f t="array" ref="E89">INDEX('W21. Total generation capacity'!$E$10:$Q$90,MATCH($A89&amp;$B89,'W21. Total generation capacity'!$A$10:$A$90&amp;'W21. Total generation capacity'!$C$10:$C$90,0),MATCH(E$76,'W21. Total generation capacity'!$E$9:$Q$9,0))</f>
        <v>1.4E-2</v>
      </c>
      <c r="F89" s="14">
        <f t="array" ref="F89">INDEX('W21. Total generation capacity'!$E$10:$Q$90,MATCH($A89&amp;$B89,'W21. Total generation capacity'!$A$10:$A$90&amp;'W21. Total generation capacity'!$C$10:$C$90,0),MATCH(F$76,'W21. Total generation capacity'!$E$9:$Q$9,0))</f>
        <v>1.4999999999999999E-2</v>
      </c>
      <c r="G89" s="14">
        <f t="array" ref="G89">INDEX('W21. Total generation capacity'!$E$10:$Q$90,MATCH($A89&amp;$B89,'W21. Total generation capacity'!$A$10:$A$90&amp;'W21. Total generation capacity'!$C$10:$C$90,0),MATCH(G$76,'W21. Total generation capacity'!$E$9:$Q$9,0))</f>
        <v>1.7250000000000001E-2</v>
      </c>
      <c r="H89" s="14">
        <f t="array" ref="H89">INDEX('W21. Total generation capacity'!$E$10:$Q$90,MATCH($A89&amp;$B89,'W21. Total generation capacity'!$A$10:$A$90&amp;'W21. Total generation capacity'!$C$10:$C$90,0),MATCH(H$76,'W21. Total generation capacity'!$E$9:$Q$9,0))</f>
        <v>3.4000000000000002E-2</v>
      </c>
      <c r="I89" s="14">
        <f t="array" ref="I89">INDEX('W21. Total generation capacity'!$E$10:$Q$90,MATCH($A89&amp;$B89,'W21. Total generation capacity'!$A$10:$A$90&amp;'W21. Total generation capacity'!$C$10:$C$90,0),MATCH(I$76,'W21. Total generation capacity'!$E$9:$Q$9,0))</f>
        <v>7.1999999999999995E-2</v>
      </c>
      <c r="J89" s="14">
        <f t="array" ref="J89">INDEX('W21. Total generation capacity'!$E$10:$Q$90,MATCH($A89&amp;$B89,'W21. Total generation capacity'!$A$10:$A$90&amp;'W21. Total generation capacity'!$C$10:$C$90,0),MATCH(J$76,'W21. Total generation capacity'!$E$9:$Q$9,0))</f>
        <v>0.11600000000000001</v>
      </c>
    </row>
    <row r="90" spans="1:10" x14ac:dyDescent="0.3">
      <c r="A90" s="3" t="s">
        <v>370</v>
      </c>
      <c r="B90" s="3" t="s">
        <v>256</v>
      </c>
      <c r="C90" s="14" t="str">
        <f t="array" ref="C90">INDEX('W21. Total generation capacity'!$E$10:$Q$90,MATCH($A90&amp;$B90,'W21. Total generation capacity'!$A$10:$A$90&amp;'W21. Total generation capacity'!$C$10:$C$90,0),MATCH(C$76,'W21. Total generation capacity'!$E$9:$Q$9,0))</f>
        <v/>
      </c>
      <c r="D90" s="14" t="str">
        <f t="array" ref="D90">INDEX('W21. Total generation capacity'!$E$10:$Q$90,MATCH($A90&amp;$B90,'W21. Total generation capacity'!$A$10:$A$90&amp;'W21. Total generation capacity'!$C$10:$C$90,0),MATCH(D$76,'W21. Total generation capacity'!$E$9:$Q$9,0))</f>
        <v/>
      </c>
      <c r="E90" s="14">
        <f t="array" ref="E90">INDEX('W21. Total generation capacity'!$E$10:$Q$90,MATCH($A90&amp;$B90,'W21. Total generation capacity'!$A$10:$A$90&amp;'W21. Total generation capacity'!$C$10:$C$90,0),MATCH(E$76,'W21. Total generation capacity'!$E$9:$Q$9,0))</f>
        <v>1.244</v>
      </c>
      <c r="F90" s="14">
        <f t="array" ref="F90">INDEX('W21. Total generation capacity'!$E$10:$Q$90,MATCH($A90&amp;$B90,'W21. Total generation capacity'!$A$10:$A$90&amp;'W21. Total generation capacity'!$C$10:$C$90,0),MATCH(F$76,'W21. Total generation capacity'!$E$9:$Q$9,0))</f>
        <v>1.27</v>
      </c>
      <c r="G90" s="14">
        <f t="array" ref="G90">INDEX('W21. Total generation capacity'!$E$10:$Q$90,MATCH($A90&amp;$B90,'W21. Total generation capacity'!$A$10:$A$90&amp;'W21. Total generation capacity'!$C$10:$C$90,0),MATCH(G$76,'W21. Total generation capacity'!$E$9:$Q$9,0))</f>
        <v>1.3420000000000001</v>
      </c>
      <c r="H90" s="14">
        <f t="array" ref="H90">INDEX('W21. Total generation capacity'!$E$10:$Q$90,MATCH($A90&amp;$B90,'W21. Total generation capacity'!$A$10:$A$90&amp;'W21. Total generation capacity'!$C$10:$C$90,0),MATCH(H$76,'W21. Total generation capacity'!$E$9:$Q$9,0))</f>
        <v>1.6040000000000001</v>
      </c>
      <c r="I90" s="14">
        <f t="array" ref="I90">INDEX('W21. Total generation capacity'!$E$10:$Q$90,MATCH($A90&amp;$B90,'W21. Total generation capacity'!$A$10:$A$90&amp;'W21. Total generation capacity'!$C$10:$C$90,0),MATCH(I$76,'W21. Total generation capacity'!$E$9:$Q$9,0))</f>
        <v>1.839</v>
      </c>
      <c r="J90" s="14">
        <f t="array" ref="J90">INDEX('W21. Total generation capacity'!$E$10:$Q$90,MATCH($A90&amp;$B90,'W21. Total generation capacity'!$A$10:$A$90&amp;'W21. Total generation capacity'!$C$10:$C$90,0),MATCH(J$76,'W21. Total generation capacity'!$E$9:$Q$9,0))</f>
        <v>2.0609999999999999</v>
      </c>
    </row>
    <row r="91" spans="1:10" x14ac:dyDescent="0.3">
      <c r="A91" s="3" t="s">
        <v>370</v>
      </c>
      <c r="B91" s="3" t="s">
        <v>257</v>
      </c>
      <c r="C91" s="14" t="str">
        <f t="array" ref="C91">INDEX('W21. Total generation capacity'!$E$10:$Q$90,MATCH($A91&amp;$B91,'W21. Total generation capacity'!$A$10:$A$90&amp;'W21. Total generation capacity'!$C$10:$C$90,0),MATCH(C$76,'W21. Total generation capacity'!$E$9:$Q$9,0))</f>
        <v/>
      </c>
      <c r="D91" s="14" t="str">
        <f t="array" ref="D91">INDEX('W21. Total generation capacity'!$E$10:$Q$90,MATCH($A91&amp;$B91,'W21. Total generation capacity'!$A$10:$A$90&amp;'W21. Total generation capacity'!$C$10:$C$90,0),MATCH(D$76,'W21. Total generation capacity'!$E$9:$Q$9,0))</f>
        <v/>
      </c>
      <c r="E91" s="14">
        <f t="array" ref="E91">INDEX('W21. Total generation capacity'!$E$10:$Q$90,MATCH($A91&amp;$B91,'W21. Total generation capacity'!$A$10:$A$90&amp;'W21. Total generation capacity'!$C$10:$C$90,0),MATCH(E$76,'W21. Total generation capacity'!$E$9:$Q$9,0))</f>
        <v>0.41399999999999998</v>
      </c>
      <c r="F91" s="14">
        <f t="array" ref="F91">INDEX('W21. Total generation capacity'!$E$10:$Q$90,MATCH($A91&amp;$B91,'W21. Total generation capacity'!$A$10:$A$90&amp;'W21. Total generation capacity'!$C$10:$C$90,0),MATCH(F$76,'W21. Total generation capacity'!$E$9:$Q$9,0))</f>
        <v>0.41199999999999998</v>
      </c>
      <c r="G91" s="14">
        <f t="array" ref="G91">INDEX('W21. Total generation capacity'!$E$10:$Q$90,MATCH($A91&amp;$B91,'W21. Total generation capacity'!$A$10:$A$90&amp;'W21. Total generation capacity'!$C$10:$C$90,0),MATCH(G$76,'W21. Total generation capacity'!$E$9:$Q$9,0))</f>
        <v>0.42549999999999999</v>
      </c>
      <c r="H91" s="14">
        <f t="array" ref="H91">INDEX('W21. Total generation capacity'!$E$10:$Q$90,MATCH($A91&amp;$B91,'W21. Total generation capacity'!$A$10:$A$90&amp;'W21. Total generation capacity'!$C$10:$C$90,0),MATCH(H$76,'W21. Total generation capacity'!$E$9:$Q$9,0))</f>
        <v>0.46400000000000002</v>
      </c>
      <c r="I91" s="14">
        <f t="array" ref="I91">INDEX('W21. Total generation capacity'!$E$10:$Q$90,MATCH($A91&amp;$B91,'W21. Total generation capacity'!$A$10:$A$90&amp;'W21. Total generation capacity'!$C$10:$C$90,0),MATCH(I$76,'W21. Total generation capacity'!$E$9:$Q$9,0))</f>
        <v>0.51800000000000002</v>
      </c>
      <c r="J91" s="14">
        <f t="array" ref="J91">INDEX('W21. Total generation capacity'!$E$10:$Q$90,MATCH($A91&amp;$B91,'W21. Total generation capacity'!$A$10:$A$90&amp;'W21. Total generation capacity'!$C$10:$C$90,0),MATCH(J$76,'W21. Total generation capacity'!$E$9:$Q$9,0))</f>
        <v>0.56399999999999995</v>
      </c>
    </row>
    <row r="92" spans="1:10" x14ac:dyDescent="0.3">
      <c r="A92" s="3" t="s">
        <v>370</v>
      </c>
      <c r="B92" s="3" t="s">
        <v>266</v>
      </c>
      <c r="C92" s="14" t="str">
        <f t="array" ref="C92">INDEX('W21. Total generation capacity'!$E$10:$Q$90,MATCH($A92&amp;$B92,'W21. Total generation capacity'!$A$10:$A$90&amp;'W21. Total generation capacity'!$C$10:$C$90,0),MATCH(C$76,'W21. Total generation capacity'!$E$9:$Q$9,0))</f>
        <v/>
      </c>
      <c r="D92" s="14" t="str">
        <f t="array" ref="D92">INDEX('W21. Total generation capacity'!$E$10:$Q$90,MATCH($A92&amp;$B92,'W21. Total generation capacity'!$A$10:$A$90&amp;'W21. Total generation capacity'!$C$10:$C$90,0),MATCH(D$76,'W21. Total generation capacity'!$E$9:$Q$9,0))</f>
        <v/>
      </c>
      <c r="E92" s="14">
        <f t="array" ref="E92">INDEX('W21. Total generation capacity'!$E$10:$Q$90,MATCH($A92&amp;$B92,'W21. Total generation capacity'!$A$10:$A$90&amp;'W21. Total generation capacity'!$C$10:$C$90,0),MATCH(E$76,'W21. Total generation capacity'!$E$9:$Q$9,0))</f>
        <v>0.44600000000000001</v>
      </c>
      <c r="F92" s="14">
        <f t="array" ref="F92">INDEX('W21. Total generation capacity'!$E$10:$Q$90,MATCH($A92&amp;$B92,'W21. Total generation capacity'!$A$10:$A$90&amp;'W21. Total generation capacity'!$C$10:$C$90,0),MATCH(F$76,'W21. Total generation capacity'!$E$9:$Q$9,0))</f>
        <v>0.44700000000000001</v>
      </c>
      <c r="G92" s="14">
        <f t="array" ref="G92">INDEX('W21. Total generation capacity'!$E$10:$Q$90,MATCH($A92&amp;$B92,'W21. Total generation capacity'!$A$10:$A$90&amp;'W21. Total generation capacity'!$C$10:$C$90,0),MATCH(G$76,'W21. Total generation capacity'!$E$9:$Q$9,0))</f>
        <v>0.41062500000000002</v>
      </c>
      <c r="H92" s="14">
        <f t="array" ref="H92">INDEX('W21. Total generation capacity'!$E$10:$Q$90,MATCH($A92&amp;$B92,'W21. Total generation capacity'!$A$10:$A$90&amp;'W21. Total generation capacity'!$C$10:$C$90,0),MATCH(H$76,'W21. Total generation capacity'!$E$9:$Q$9,0))</f>
        <v>0.307</v>
      </c>
      <c r="I92" s="14">
        <f t="array" ref="I92">INDEX('W21. Total generation capacity'!$E$10:$Q$90,MATCH($A92&amp;$B92,'W21. Total generation capacity'!$A$10:$A$90&amp;'W21. Total generation capacity'!$C$10:$C$90,0),MATCH(I$76,'W21. Total generation capacity'!$E$9:$Q$9,0))</f>
        <v>0.246</v>
      </c>
      <c r="J92" s="14">
        <f t="array" ref="J92">INDEX('W21. Total generation capacity'!$E$10:$Q$90,MATCH($A92&amp;$B92,'W21. Total generation capacity'!$A$10:$A$90&amp;'W21. Total generation capacity'!$C$10:$C$90,0),MATCH(J$76,'W21. Total generation capacity'!$E$9:$Q$9,0))</f>
        <v>0.182</v>
      </c>
    </row>
    <row r="93" spans="1:10" x14ac:dyDescent="0.3">
      <c r="A93" s="3" t="s">
        <v>370</v>
      </c>
      <c r="B93" s="3" t="s">
        <v>259</v>
      </c>
      <c r="C93" s="14" t="str">
        <f t="array" ref="C93">INDEX('W21. Total generation capacity'!$E$10:$Q$90,MATCH($A93&amp;$B93,'W21. Total generation capacity'!$A$10:$A$90&amp;'W21. Total generation capacity'!$C$10:$C$90,0),MATCH(C$76,'W21. Total generation capacity'!$E$9:$Q$9,0))</f>
        <v/>
      </c>
      <c r="D93" s="14" t="str">
        <f t="array" ref="D93">INDEX('W21. Total generation capacity'!$E$10:$Q$90,MATCH($A93&amp;$B93,'W21. Total generation capacity'!$A$10:$A$90&amp;'W21. Total generation capacity'!$C$10:$C$90,0),MATCH(D$76,'W21. Total generation capacity'!$E$9:$Q$9,0))</f>
        <v/>
      </c>
      <c r="E93" s="14">
        <f t="array" ref="E93">INDEX('W21. Total generation capacity'!$E$10:$Q$90,MATCH($A93&amp;$B93,'W21. Total generation capacity'!$A$10:$A$90&amp;'W21. Total generation capacity'!$C$10:$C$90,0),MATCH(E$76,'W21. Total generation capacity'!$E$9:$Q$9,0))</f>
        <v>0.30499999999999999</v>
      </c>
      <c r="F93" s="14">
        <f t="array" ref="F93">INDEX('W21. Total generation capacity'!$E$10:$Q$90,MATCH($A93&amp;$B93,'W21. Total generation capacity'!$A$10:$A$90&amp;'W21. Total generation capacity'!$C$10:$C$90,0),MATCH(F$76,'W21. Total generation capacity'!$E$9:$Q$9,0))</f>
        <v>0.40300000000000002</v>
      </c>
      <c r="G93" s="14">
        <f t="array" ref="G93">INDEX('W21. Total generation capacity'!$E$10:$Q$90,MATCH($A93&amp;$B93,'W21. Total generation capacity'!$A$10:$A$90&amp;'W21. Total generation capacity'!$C$10:$C$90,0),MATCH(G$76,'W21. Total generation capacity'!$E$9:$Q$9,0))</f>
        <v>0.67262500000000003</v>
      </c>
      <c r="H93" s="14">
        <f t="array" ref="H93">INDEX('W21. Total generation capacity'!$E$10:$Q$90,MATCH($A93&amp;$B93,'W21. Total generation capacity'!$A$10:$A$90&amp;'W21. Total generation capacity'!$C$10:$C$90,0),MATCH(H$76,'W21. Total generation capacity'!$E$9:$Q$9,0))</f>
        <v>1.6140000000000001</v>
      </c>
      <c r="I93" s="14">
        <f t="array" ref="I93">INDEX('W21. Total generation capacity'!$E$10:$Q$90,MATCH($A93&amp;$B93,'W21. Total generation capacity'!$A$10:$A$90&amp;'W21. Total generation capacity'!$C$10:$C$90,0),MATCH(I$76,'W21. Total generation capacity'!$E$9:$Q$9,0))</f>
        <v>2.6080000000000001</v>
      </c>
      <c r="J93" s="14">
        <f t="array" ref="J93">INDEX('W21. Total generation capacity'!$E$10:$Q$90,MATCH($A93&amp;$B93,'W21. Total generation capacity'!$A$10:$A$90&amp;'W21. Total generation capacity'!$C$10:$C$90,0),MATCH(J$76,'W21. Total generation capacity'!$E$9:$Q$9,0))</f>
        <v>3.67</v>
      </c>
    </row>
    <row r="94" spans="1:10" x14ac:dyDescent="0.3">
      <c r="A94" s="3" t="s">
        <v>370</v>
      </c>
      <c r="B94" s="3" t="s">
        <v>260</v>
      </c>
      <c r="C94" s="14" t="str">
        <f t="array" ref="C94">INDEX('W21. Total generation capacity'!$E$10:$Q$90,MATCH($A94&amp;$B94,'W21. Total generation capacity'!$A$10:$A$90&amp;'W21. Total generation capacity'!$C$10:$C$90,0),MATCH(C$76,'W21. Total generation capacity'!$E$9:$Q$9,0))</f>
        <v/>
      </c>
      <c r="D94" s="14" t="str">
        <f t="array" ref="D94">INDEX('W21. Total generation capacity'!$E$10:$Q$90,MATCH($A94&amp;$B94,'W21. Total generation capacity'!$A$10:$A$90&amp;'W21. Total generation capacity'!$C$10:$C$90,0),MATCH(D$76,'W21. Total generation capacity'!$E$9:$Q$9,0))</f>
        <v/>
      </c>
      <c r="E94" s="14">
        <f t="array" ref="E94">INDEX('W21. Total generation capacity'!$E$10:$Q$90,MATCH($A94&amp;$B94,'W21. Total generation capacity'!$A$10:$A$90&amp;'W21. Total generation capacity'!$C$10:$C$90,0),MATCH(E$76,'W21. Total generation capacity'!$E$9:$Q$9,0))</f>
        <v>0.46700000000000003</v>
      </c>
      <c r="F94" s="14">
        <f t="array" ref="F94">INDEX('W21. Total generation capacity'!$E$10:$Q$90,MATCH($A94&amp;$B94,'W21. Total generation capacity'!$A$10:$A$90&amp;'W21. Total generation capacity'!$C$10:$C$90,0),MATCH(F$76,'W21. Total generation capacity'!$E$9:$Q$9,0))</f>
        <v>0.51500000000000001</v>
      </c>
      <c r="G94" s="14">
        <f t="array" ref="G94">INDEX('W21. Total generation capacity'!$E$10:$Q$90,MATCH($A94&amp;$B94,'W21. Total generation capacity'!$A$10:$A$90&amp;'W21. Total generation capacity'!$C$10:$C$90,0),MATCH(G$76,'W21. Total generation capacity'!$E$9:$Q$9,0))</f>
        <v>0.67925000000000002</v>
      </c>
      <c r="H94" s="14">
        <f t="array" ref="H94">INDEX('W21. Total generation capacity'!$E$10:$Q$90,MATCH($A94&amp;$B94,'W21. Total generation capacity'!$A$10:$A$90&amp;'W21. Total generation capacity'!$C$10:$C$90,0),MATCH(H$76,'W21. Total generation capacity'!$E$9:$Q$9,0))</f>
        <v>1.25</v>
      </c>
      <c r="I94" s="14">
        <f t="array" ref="I94">INDEX('W21. Total generation capacity'!$E$10:$Q$90,MATCH($A94&amp;$B94,'W21. Total generation capacity'!$A$10:$A$90&amp;'W21. Total generation capacity'!$C$10:$C$90,0),MATCH(I$76,'W21. Total generation capacity'!$E$9:$Q$9,0))</f>
        <v>1.7070000000000001</v>
      </c>
      <c r="J94" s="14">
        <f t="array" ref="J94">INDEX('W21. Total generation capacity'!$E$10:$Q$90,MATCH($A94&amp;$B94,'W21. Total generation capacity'!$A$10:$A$90&amp;'W21. Total generation capacity'!$C$10:$C$90,0),MATCH(J$76,'W21. Total generation capacity'!$E$9:$Q$9,0))</f>
        <v>2.125</v>
      </c>
    </row>
    <row r="95" spans="1:10" x14ac:dyDescent="0.3">
      <c r="A95" s="3" t="s">
        <v>372</v>
      </c>
      <c r="B95" s="3" t="s">
        <v>253</v>
      </c>
      <c r="C95" s="14" t="str">
        <f t="array" ref="C95">INDEX('W21. Total generation capacity'!$E$10:$Q$90,MATCH($A95&amp;$B95,'W21. Total generation capacity'!$A$10:$A$90&amp;'W21. Total generation capacity'!$C$10:$C$90,0),MATCH(C$76,'W21. Total generation capacity'!$E$9:$Q$9,0))</f>
        <v/>
      </c>
      <c r="D95" s="14" t="str">
        <f t="array" ref="D95">INDEX('W21. Total generation capacity'!$E$10:$Q$90,MATCH($A95&amp;$B95,'W21. Total generation capacity'!$A$10:$A$90&amp;'W21. Total generation capacity'!$C$10:$C$90,0),MATCH(D$76,'W21. Total generation capacity'!$E$9:$Q$9,0))</f>
        <v/>
      </c>
      <c r="E95" s="14">
        <f t="array" ref="E95">INDEX('W21. Total generation capacity'!$E$10:$Q$90,MATCH($A95&amp;$B95,'W21. Total generation capacity'!$A$10:$A$90&amp;'W21. Total generation capacity'!$C$10:$C$90,0),MATCH(E$76,'W21. Total generation capacity'!$E$9:$Q$9,0))</f>
        <v>0.129</v>
      </c>
      <c r="F95" s="14">
        <f t="array" ref="F95">INDEX('W21. Total generation capacity'!$E$10:$Q$90,MATCH($A95&amp;$B95,'W21. Total generation capacity'!$A$10:$A$90&amp;'W21. Total generation capacity'!$C$10:$C$90,0),MATCH(F$76,'W21. Total generation capacity'!$E$9:$Q$9,0))</f>
        <v>0.13600000000000001</v>
      </c>
      <c r="G95" s="14">
        <f t="array" ref="G95">INDEX('W21. Total generation capacity'!$E$10:$Q$90,MATCH($A95&amp;$B95,'W21. Total generation capacity'!$A$10:$A$90&amp;'W21. Total generation capacity'!$C$10:$C$90,0),MATCH(G$76,'W21. Total generation capacity'!$E$9:$Q$9,0))</f>
        <v>0.16487499999999999</v>
      </c>
      <c r="H95" s="14">
        <f t="array" ref="H95">INDEX('W21. Total generation capacity'!$E$10:$Q$90,MATCH($A95&amp;$B95,'W21. Total generation capacity'!$A$10:$A$90&amp;'W21. Total generation capacity'!$C$10:$C$90,0),MATCH(H$76,'W21. Total generation capacity'!$E$9:$Q$9,0))</f>
        <v>0.26600000000000001</v>
      </c>
      <c r="I95" s="14">
        <f t="array" ref="I95">INDEX('W21. Total generation capacity'!$E$10:$Q$90,MATCH($A95&amp;$B95,'W21. Total generation capacity'!$A$10:$A$90&amp;'W21. Total generation capacity'!$C$10:$C$90,0),MATCH(I$76,'W21. Total generation capacity'!$E$9:$Q$9,0))</f>
        <v>0.379</v>
      </c>
      <c r="J95" s="14">
        <f t="array" ref="J95">INDEX('W21. Total generation capacity'!$E$10:$Q$90,MATCH($A95&amp;$B95,'W21. Total generation capacity'!$A$10:$A$90&amp;'W21. Total generation capacity'!$C$10:$C$90,0),MATCH(J$76,'W21. Total generation capacity'!$E$9:$Q$9,0))</f>
        <v>0.49099999999999999</v>
      </c>
    </row>
    <row r="96" spans="1:10" x14ac:dyDescent="0.3">
      <c r="A96" s="3" t="s">
        <v>372</v>
      </c>
      <c r="B96" s="3" t="s">
        <v>254</v>
      </c>
      <c r="C96" s="14" t="str">
        <f t="array" ref="C96">INDEX('W21. Total generation capacity'!$E$10:$Q$90,MATCH($A96&amp;$B96,'W21. Total generation capacity'!$A$10:$A$90&amp;'W21. Total generation capacity'!$C$10:$C$90,0),MATCH(C$76,'W21. Total generation capacity'!$E$9:$Q$9,0))</f>
        <v/>
      </c>
      <c r="D96" s="14" t="str">
        <f t="array" ref="D96">INDEX('W21. Total generation capacity'!$E$10:$Q$90,MATCH($A96&amp;$B96,'W21. Total generation capacity'!$A$10:$A$90&amp;'W21. Total generation capacity'!$C$10:$C$90,0),MATCH(D$76,'W21. Total generation capacity'!$E$9:$Q$9,0))</f>
        <v/>
      </c>
      <c r="E96" s="14">
        <f t="array" ref="E96">INDEX('W21. Total generation capacity'!$E$10:$Q$90,MATCH($A96&amp;$B96,'W21. Total generation capacity'!$A$10:$A$90&amp;'W21. Total generation capacity'!$C$10:$C$90,0),MATCH(E$76,'W21. Total generation capacity'!$E$9:$Q$9,0))</f>
        <v>2.0249999999999999</v>
      </c>
      <c r="F96" s="14">
        <f t="array" ref="F96">INDEX('W21. Total generation capacity'!$E$10:$Q$90,MATCH($A96&amp;$B96,'W21. Total generation capacity'!$A$10:$A$90&amp;'W21. Total generation capacity'!$C$10:$C$90,0),MATCH(F$76,'W21. Total generation capacity'!$E$9:$Q$9,0))</f>
        <v>2.0670000000000002</v>
      </c>
      <c r="G96" s="14">
        <f t="array" ref="G96">INDEX('W21. Total generation capacity'!$E$10:$Q$90,MATCH($A96&amp;$B96,'W21. Total generation capacity'!$A$10:$A$90&amp;'W21. Total generation capacity'!$C$10:$C$90,0),MATCH(G$76,'W21. Total generation capacity'!$E$9:$Q$9,0))</f>
        <v>2.0212500000000002</v>
      </c>
      <c r="H96" s="14">
        <f t="array" ref="H96">INDEX('W21. Total generation capacity'!$E$10:$Q$90,MATCH($A96&amp;$B96,'W21. Total generation capacity'!$A$10:$A$90&amp;'W21. Total generation capacity'!$C$10:$C$90,0),MATCH(H$76,'W21. Total generation capacity'!$E$9:$Q$9,0))</f>
        <v>1.633</v>
      </c>
      <c r="I96" s="14">
        <f t="array" ref="I96">INDEX('W21. Total generation capacity'!$E$10:$Q$90,MATCH($A96&amp;$B96,'W21. Total generation capacity'!$A$10:$A$90&amp;'W21. Total generation capacity'!$C$10:$C$90,0),MATCH(I$76,'W21. Total generation capacity'!$E$9:$Q$9,0))</f>
        <v>1.119</v>
      </c>
      <c r="J96" s="14">
        <f t="array" ref="J96">INDEX('W21. Total generation capacity'!$E$10:$Q$90,MATCH($A96&amp;$B96,'W21. Total generation capacity'!$A$10:$A$90&amp;'W21. Total generation capacity'!$C$10:$C$90,0),MATCH(J$76,'W21. Total generation capacity'!$E$9:$Q$9,0))</f>
        <v>0.67900000000000005</v>
      </c>
    </row>
    <row r="97" spans="1:10" x14ac:dyDescent="0.3">
      <c r="A97" s="3" t="s">
        <v>372</v>
      </c>
      <c r="B97" s="3" t="s">
        <v>255</v>
      </c>
      <c r="C97" s="14" t="str">
        <f t="array" ref="C97">INDEX('W21. Total generation capacity'!$E$10:$Q$90,MATCH($A97&amp;$B97,'W21. Total generation capacity'!$A$10:$A$90&amp;'W21. Total generation capacity'!$C$10:$C$90,0),MATCH(C$76,'W21. Total generation capacity'!$E$9:$Q$9,0))</f>
        <v/>
      </c>
      <c r="D97" s="14" t="str">
        <f t="array" ref="D97">INDEX('W21. Total generation capacity'!$E$10:$Q$90,MATCH($A97&amp;$B97,'W21. Total generation capacity'!$A$10:$A$90&amp;'W21. Total generation capacity'!$C$10:$C$90,0),MATCH(D$76,'W21. Total generation capacity'!$E$9:$Q$9,0))</f>
        <v/>
      </c>
      <c r="E97" s="14">
        <f t="array" ref="E97">INDEX('W21. Total generation capacity'!$E$10:$Q$90,MATCH($A97&amp;$B97,'W21. Total generation capacity'!$A$10:$A$90&amp;'W21. Total generation capacity'!$C$10:$C$90,0),MATCH(E$76,'W21. Total generation capacity'!$E$9:$Q$9,0))</f>
        <v>1.6439999999999999</v>
      </c>
      <c r="F97" s="14">
        <f t="array" ref="F97">INDEX('W21. Total generation capacity'!$E$10:$Q$90,MATCH($A97&amp;$B97,'W21. Total generation capacity'!$A$10:$A$90&amp;'W21. Total generation capacity'!$C$10:$C$90,0),MATCH(F$76,'W21. Total generation capacity'!$E$9:$Q$9,0))</f>
        <v>1.6950000000000001</v>
      </c>
      <c r="G97" s="14">
        <f t="array" ref="G97">INDEX('W21. Total generation capacity'!$E$10:$Q$90,MATCH($A97&amp;$B97,'W21. Total generation capacity'!$A$10:$A$90&amp;'W21. Total generation capacity'!$C$10:$C$90,0),MATCH(G$76,'W21. Total generation capacity'!$E$9:$Q$9,0))</f>
        <v>1.8078749999999999</v>
      </c>
      <c r="H97" s="14">
        <f t="array" ref="H97">INDEX('W21. Total generation capacity'!$E$10:$Q$90,MATCH($A97&amp;$B97,'W21. Total generation capacity'!$A$10:$A$90&amp;'W21. Total generation capacity'!$C$10:$C$90,0),MATCH(H$76,'W21. Total generation capacity'!$E$9:$Q$9,0))</f>
        <v>2.1030000000000002</v>
      </c>
      <c r="I97" s="14">
        <f t="array" ref="I97">INDEX('W21. Total generation capacity'!$E$10:$Q$90,MATCH($A97&amp;$B97,'W21. Total generation capacity'!$A$10:$A$90&amp;'W21. Total generation capacity'!$C$10:$C$90,0),MATCH(I$76,'W21. Total generation capacity'!$E$9:$Q$9,0))</f>
        <v>2.4060000000000001</v>
      </c>
      <c r="J97" s="14">
        <f t="array" ref="J97">INDEX('W21. Total generation capacity'!$E$10:$Q$90,MATCH($A97&amp;$B97,'W21. Total generation capacity'!$A$10:$A$90&amp;'W21. Total generation capacity'!$C$10:$C$90,0),MATCH(J$76,'W21. Total generation capacity'!$E$9:$Q$9,0))</f>
        <v>2.6960000000000002</v>
      </c>
    </row>
    <row r="98" spans="1:10" x14ac:dyDescent="0.3">
      <c r="A98" s="3" t="s">
        <v>372</v>
      </c>
      <c r="B98" s="3" t="s">
        <v>258</v>
      </c>
      <c r="C98" s="14" t="str">
        <f t="array" ref="C98">INDEX('W21. Total generation capacity'!$E$10:$Q$90,MATCH($A98&amp;$B98,'W21. Total generation capacity'!$A$10:$A$90&amp;'W21. Total generation capacity'!$C$10:$C$90,0),MATCH(C$76,'W21. Total generation capacity'!$E$9:$Q$9,0))</f>
        <v/>
      </c>
      <c r="D98" s="14" t="str">
        <f t="array" ref="D98">INDEX('W21. Total generation capacity'!$E$10:$Q$90,MATCH($A98&amp;$B98,'W21. Total generation capacity'!$A$10:$A$90&amp;'W21. Total generation capacity'!$C$10:$C$90,0),MATCH(D$76,'W21. Total generation capacity'!$E$9:$Q$9,0))</f>
        <v/>
      </c>
      <c r="E98" s="14">
        <f t="array" ref="E98">INDEX('W21. Total generation capacity'!$E$10:$Q$90,MATCH($A98&amp;$B98,'W21. Total generation capacity'!$A$10:$A$90&amp;'W21. Total generation capacity'!$C$10:$C$90,0),MATCH(E$76,'W21. Total generation capacity'!$E$9:$Q$9,0))</f>
        <v>1.4E-2</v>
      </c>
      <c r="F98" s="14">
        <f t="array" ref="F98">INDEX('W21. Total generation capacity'!$E$10:$Q$90,MATCH($A98&amp;$B98,'W21. Total generation capacity'!$A$10:$A$90&amp;'W21. Total generation capacity'!$C$10:$C$90,0),MATCH(F$76,'W21. Total generation capacity'!$E$9:$Q$9,0))</f>
        <v>1.4999999999999999E-2</v>
      </c>
      <c r="G98" s="14">
        <f t="array" ref="G98">INDEX('W21. Total generation capacity'!$E$10:$Q$90,MATCH($A98&amp;$B98,'W21. Total generation capacity'!$A$10:$A$90&amp;'W21. Total generation capacity'!$C$10:$C$90,0),MATCH(G$76,'W21. Total generation capacity'!$E$9:$Q$9,0))</f>
        <v>1.9875E-2</v>
      </c>
      <c r="H98" s="14">
        <f t="array" ref="H98">INDEX('W21. Total generation capacity'!$E$10:$Q$90,MATCH($A98&amp;$B98,'W21. Total generation capacity'!$A$10:$A$90&amp;'W21. Total generation capacity'!$C$10:$C$90,0),MATCH(H$76,'W21. Total generation capacity'!$E$9:$Q$9,0))</f>
        <v>4.9000000000000002E-2</v>
      </c>
      <c r="I98" s="14">
        <f t="array" ref="I98">INDEX('W21. Total generation capacity'!$E$10:$Q$90,MATCH($A98&amp;$B98,'W21. Total generation capacity'!$A$10:$A$90&amp;'W21. Total generation capacity'!$C$10:$C$90,0),MATCH(I$76,'W21. Total generation capacity'!$E$9:$Q$9,0))</f>
        <v>0.113</v>
      </c>
      <c r="J98" s="14">
        <f t="array" ref="J98">INDEX('W21. Total generation capacity'!$E$10:$Q$90,MATCH($A98&amp;$B98,'W21. Total generation capacity'!$A$10:$A$90&amp;'W21. Total generation capacity'!$C$10:$C$90,0),MATCH(J$76,'W21. Total generation capacity'!$E$9:$Q$9,0))</f>
        <v>0.18099999999999999</v>
      </c>
    </row>
    <row r="99" spans="1:10" x14ac:dyDescent="0.3">
      <c r="A99" s="3" t="s">
        <v>372</v>
      </c>
      <c r="B99" s="3" t="s">
        <v>256</v>
      </c>
      <c r="C99" s="14" t="str">
        <f t="array" ref="C99">INDEX('W21. Total generation capacity'!$E$10:$Q$90,MATCH($A99&amp;$B99,'W21. Total generation capacity'!$A$10:$A$90&amp;'W21. Total generation capacity'!$C$10:$C$90,0),MATCH(C$76,'W21. Total generation capacity'!$E$9:$Q$9,0))</f>
        <v/>
      </c>
      <c r="D99" s="14" t="str">
        <f t="array" ref="D99">INDEX('W21. Total generation capacity'!$E$10:$Q$90,MATCH($A99&amp;$B99,'W21. Total generation capacity'!$A$10:$A$90&amp;'W21. Total generation capacity'!$C$10:$C$90,0),MATCH(D$76,'W21. Total generation capacity'!$E$9:$Q$9,0))</f>
        <v/>
      </c>
      <c r="E99" s="14">
        <f t="array" ref="E99">INDEX('W21. Total generation capacity'!$E$10:$Q$90,MATCH($A99&amp;$B99,'W21. Total generation capacity'!$A$10:$A$90&amp;'W21. Total generation capacity'!$C$10:$C$90,0),MATCH(E$76,'W21. Total generation capacity'!$E$9:$Q$9,0))</f>
        <v>1.244</v>
      </c>
      <c r="F99" s="14">
        <f t="array" ref="F99">INDEX('W21. Total generation capacity'!$E$10:$Q$90,MATCH($A99&amp;$B99,'W21. Total generation capacity'!$A$10:$A$90&amp;'W21. Total generation capacity'!$C$10:$C$90,0),MATCH(F$76,'W21. Total generation capacity'!$E$9:$Q$9,0))</f>
        <v>1.27</v>
      </c>
      <c r="G99" s="14">
        <f t="array" ref="G99">INDEX('W21. Total generation capacity'!$E$10:$Q$90,MATCH($A99&amp;$B99,'W21. Total generation capacity'!$A$10:$A$90&amp;'W21. Total generation capacity'!$C$10:$C$90,0),MATCH(G$76,'W21. Total generation capacity'!$E$9:$Q$9,0))</f>
        <v>1.367875</v>
      </c>
      <c r="H99" s="14">
        <f t="array" ref="H99">INDEX('W21. Total generation capacity'!$E$10:$Q$90,MATCH($A99&amp;$B99,'W21. Total generation capacity'!$A$10:$A$90&amp;'W21. Total generation capacity'!$C$10:$C$90,0),MATCH(H$76,'W21. Total generation capacity'!$E$9:$Q$9,0))</f>
        <v>1.738</v>
      </c>
      <c r="I99" s="14">
        <f t="array" ref="I99">INDEX('W21. Total generation capacity'!$E$10:$Q$90,MATCH($A99&amp;$B99,'W21. Total generation capacity'!$A$10:$A$90&amp;'W21. Total generation capacity'!$C$10:$C$90,0),MATCH(I$76,'W21. Total generation capacity'!$E$9:$Q$9,0))</f>
        <v>2.0960000000000001</v>
      </c>
      <c r="J99" s="14">
        <f t="array" ref="J99">INDEX('W21. Total generation capacity'!$E$10:$Q$90,MATCH($A99&amp;$B99,'W21. Total generation capacity'!$A$10:$A$90&amp;'W21. Total generation capacity'!$C$10:$C$90,0),MATCH(J$76,'W21. Total generation capacity'!$E$9:$Q$9,0))</f>
        <v>2.44</v>
      </c>
    </row>
    <row r="100" spans="1:10" x14ac:dyDescent="0.3">
      <c r="A100" s="3" t="s">
        <v>372</v>
      </c>
      <c r="B100" s="3" t="s">
        <v>257</v>
      </c>
      <c r="C100" s="14" t="str">
        <f t="array" ref="C100">INDEX('W21. Total generation capacity'!$E$10:$Q$90,MATCH($A100&amp;$B100,'W21. Total generation capacity'!$A$10:$A$90&amp;'W21. Total generation capacity'!$C$10:$C$90,0),MATCH(C$76,'W21. Total generation capacity'!$E$9:$Q$9,0))</f>
        <v/>
      </c>
      <c r="D100" s="14" t="str">
        <f t="array" ref="D100">INDEX('W21. Total generation capacity'!$E$10:$Q$90,MATCH($A100&amp;$B100,'W21. Total generation capacity'!$A$10:$A$90&amp;'W21. Total generation capacity'!$C$10:$C$90,0),MATCH(D$76,'W21. Total generation capacity'!$E$9:$Q$9,0))</f>
        <v/>
      </c>
      <c r="E100" s="14">
        <f t="array" ref="E100">INDEX('W21. Total generation capacity'!$E$10:$Q$90,MATCH($A100&amp;$B100,'W21. Total generation capacity'!$A$10:$A$90&amp;'W21. Total generation capacity'!$C$10:$C$90,0),MATCH(E$76,'W21. Total generation capacity'!$E$9:$Q$9,0))</f>
        <v>0.41399999999999998</v>
      </c>
      <c r="F100" s="14">
        <f t="array" ref="F100">INDEX('W21. Total generation capacity'!$E$10:$Q$90,MATCH($A100&amp;$B100,'W21. Total generation capacity'!$A$10:$A$90&amp;'W21. Total generation capacity'!$C$10:$C$90,0),MATCH(F$76,'W21. Total generation capacity'!$E$9:$Q$9,0))</f>
        <v>0.41199999999999998</v>
      </c>
      <c r="G100" s="14">
        <f t="array" ref="G100">INDEX('W21. Total generation capacity'!$E$10:$Q$90,MATCH($A100&amp;$B100,'W21. Total generation capacity'!$A$10:$A$90&amp;'W21. Total generation capacity'!$C$10:$C$90,0),MATCH(G$76,'W21. Total generation capacity'!$E$9:$Q$9,0))</f>
        <v>0.43262499999999998</v>
      </c>
      <c r="H100" s="14">
        <f t="array" ref="H100">INDEX('W21. Total generation capacity'!$E$10:$Q$90,MATCH($A100&amp;$B100,'W21. Total generation capacity'!$A$10:$A$90&amp;'W21. Total generation capacity'!$C$10:$C$90,0),MATCH(H$76,'W21. Total generation capacity'!$E$9:$Q$9,0))</f>
        <v>0.54200000000000004</v>
      </c>
      <c r="I100" s="14">
        <f t="array" ref="I100">INDEX('W21. Total generation capacity'!$E$10:$Q$90,MATCH($A100&amp;$B100,'W21. Total generation capacity'!$A$10:$A$90&amp;'W21. Total generation capacity'!$C$10:$C$90,0),MATCH(I$76,'W21. Total generation capacity'!$E$9:$Q$9,0))</f>
        <v>0.67800000000000005</v>
      </c>
      <c r="J100" s="14">
        <f t="array" ref="J100">INDEX('W21. Total generation capacity'!$E$10:$Q$90,MATCH($A100&amp;$B100,'W21. Total generation capacity'!$A$10:$A$90&amp;'W21. Total generation capacity'!$C$10:$C$90,0),MATCH(J$76,'W21. Total generation capacity'!$E$9:$Q$9,0))</f>
        <v>0.79200000000000004</v>
      </c>
    </row>
    <row r="101" spans="1:10" x14ac:dyDescent="0.3">
      <c r="A101" s="3" t="s">
        <v>372</v>
      </c>
      <c r="B101" s="3" t="s">
        <v>266</v>
      </c>
      <c r="C101" s="14" t="str">
        <f t="array" ref="C101">INDEX('W21. Total generation capacity'!$E$10:$Q$90,MATCH($A101&amp;$B101,'W21. Total generation capacity'!$A$10:$A$90&amp;'W21. Total generation capacity'!$C$10:$C$90,0),MATCH(C$76,'W21. Total generation capacity'!$E$9:$Q$9,0))</f>
        <v/>
      </c>
      <c r="D101" s="14" t="str">
        <f t="array" ref="D101">INDEX('W21. Total generation capacity'!$E$10:$Q$90,MATCH($A101&amp;$B101,'W21. Total generation capacity'!$A$10:$A$90&amp;'W21. Total generation capacity'!$C$10:$C$90,0),MATCH(D$76,'W21. Total generation capacity'!$E$9:$Q$9,0))</f>
        <v/>
      </c>
      <c r="E101" s="14">
        <f t="array" ref="E101">INDEX('W21. Total generation capacity'!$E$10:$Q$90,MATCH($A101&amp;$B101,'W21. Total generation capacity'!$A$10:$A$90&amp;'W21. Total generation capacity'!$C$10:$C$90,0),MATCH(E$76,'W21. Total generation capacity'!$E$9:$Q$9,0))</f>
        <v>0.44600000000000001</v>
      </c>
      <c r="F101" s="14">
        <f t="array" ref="F101">INDEX('W21. Total generation capacity'!$E$10:$Q$90,MATCH($A101&amp;$B101,'W21. Total generation capacity'!$A$10:$A$90&amp;'W21. Total generation capacity'!$C$10:$C$90,0),MATCH(F$76,'W21. Total generation capacity'!$E$9:$Q$9,0))</f>
        <v>0.44700000000000001</v>
      </c>
      <c r="G101" s="14">
        <f t="array" ref="G101">INDEX('W21. Total generation capacity'!$E$10:$Q$90,MATCH($A101&amp;$B101,'W21. Total generation capacity'!$A$10:$A$90&amp;'W21. Total generation capacity'!$C$10:$C$90,0),MATCH(G$76,'W21. Total generation capacity'!$E$9:$Q$9,0))</f>
        <v>0.40649999999999997</v>
      </c>
      <c r="H101" s="14">
        <f t="array" ref="H101">INDEX('W21. Total generation capacity'!$E$10:$Q$90,MATCH($A101&amp;$B101,'W21. Total generation capacity'!$A$10:$A$90&amp;'W21. Total generation capacity'!$C$10:$C$90,0),MATCH(H$76,'W21. Total generation capacity'!$E$9:$Q$9,0))</f>
        <v>0.28899999999999998</v>
      </c>
      <c r="I101" s="14">
        <f t="array" ref="I101">INDEX('W21. Total generation capacity'!$E$10:$Q$90,MATCH($A101&amp;$B101,'W21. Total generation capacity'!$A$10:$A$90&amp;'W21. Total generation capacity'!$C$10:$C$90,0),MATCH(I$76,'W21. Total generation capacity'!$E$9:$Q$9,0))</f>
        <v>0.22800000000000001</v>
      </c>
      <c r="J101" s="14">
        <f t="array" ref="J101">INDEX('W21. Total generation capacity'!$E$10:$Q$90,MATCH($A101&amp;$B101,'W21. Total generation capacity'!$A$10:$A$90&amp;'W21. Total generation capacity'!$C$10:$C$90,0),MATCH(J$76,'W21. Total generation capacity'!$E$9:$Q$9,0))</f>
        <v>0.16600000000000001</v>
      </c>
    </row>
    <row r="102" spans="1:10" x14ac:dyDescent="0.3">
      <c r="A102" s="3" t="s">
        <v>372</v>
      </c>
      <c r="B102" s="3" t="s">
        <v>259</v>
      </c>
      <c r="C102" s="14" t="str">
        <f t="array" ref="C102">INDEX('W21. Total generation capacity'!$E$10:$Q$90,MATCH($A102&amp;$B102,'W21. Total generation capacity'!$A$10:$A$90&amp;'W21. Total generation capacity'!$C$10:$C$90,0),MATCH(C$76,'W21. Total generation capacity'!$E$9:$Q$9,0))</f>
        <v/>
      </c>
      <c r="D102" s="14" t="str">
        <f t="array" ref="D102">INDEX('W21. Total generation capacity'!$E$10:$Q$90,MATCH($A102&amp;$B102,'W21. Total generation capacity'!$A$10:$A$90&amp;'W21. Total generation capacity'!$C$10:$C$90,0),MATCH(D$76,'W21. Total generation capacity'!$E$9:$Q$9,0))</f>
        <v/>
      </c>
      <c r="E102" s="14">
        <f t="array" ref="E102">INDEX('W21. Total generation capacity'!$E$10:$Q$90,MATCH($A102&amp;$B102,'W21. Total generation capacity'!$A$10:$A$90&amp;'W21. Total generation capacity'!$C$10:$C$90,0),MATCH(E$76,'W21. Total generation capacity'!$E$9:$Q$9,0))</f>
        <v>0.30499999999999999</v>
      </c>
      <c r="F102" s="14">
        <f t="array" ref="F102">INDEX('W21. Total generation capacity'!$E$10:$Q$90,MATCH($A102&amp;$B102,'W21. Total generation capacity'!$A$10:$A$90&amp;'W21. Total generation capacity'!$C$10:$C$90,0),MATCH(F$76,'W21. Total generation capacity'!$E$9:$Q$9,0))</f>
        <v>0.40300000000000002</v>
      </c>
      <c r="G102" s="14">
        <f t="array" ref="G102">INDEX('W21. Total generation capacity'!$E$10:$Q$90,MATCH($A102&amp;$B102,'W21. Total generation capacity'!$A$10:$A$90&amp;'W21. Total generation capacity'!$C$10:$C$90,0),MATCH(G$76,'W21. Total generation capacity'!$E$9:$Q$9,0))</f>
        <v>0.81137499999999996</v>
      </c>
      <c r="H102" s="14">
        <f t="array" ref="H102">INDEX('W21. Total generation capacity'!$E$10:$Q$90,MATCH($A102&amp;$B102,'W21. Total generation capacity'!$A$10:$A$90&amp;'W21. Total generation capacity'!$C$10:$C$90,0),MATCH(H$76,'W21. Total generation capacity'!$E$9:$Q$9,0))</f>
        <v>2.4079999999999999</v>
      </c>
      <c r="I102" s="14">
        <f t="array" ref="I102">INDEX('W21. Total generation capacity'!$E$10:$Q$90,MATCH($A102&amp;$B102,'W21. Total generation capacity'!$A$10:$A$90&amp;'W21. Total generation capacity'!$C$10:$C$90,0),MATCH(I$76,'W21. Total generation capacity'!$E$9:$Q$9,0))</f>
        <v>4.5069999999999997</v>
      </c>
      <c r="J102" s="14">
        <f t="array" ref="J102">INDEX('W21. Total generation capacity'!$E$10:$Q$90,MATCH($A102&amp;$B102,'W21. Total generation capacity'!$A$10:$A$90&amp;'W21. Total generation capacity'!$C$10:$C$90,0),MATCH(J$76,'W21. Total generation capacity'!$E$9:$Q$9,0))</f>
        <v>6.625</v>
      </c>
    </row>
    <row r="103" spans="1:10" x14ac:dyDescent="0.3">
      <c r="A103" s="3" t="s">
        <v>372</v>
      </c>
      <c r="B103" s="3" t="s">
        <v>260</v>
      </c>
      <c r="C103" s="14" t="str">
        <f t="array" ref="C103">INDEX('W21. Total generation capacity'!$E$10:$Q$90,MATCH($A103&amp;$B103,'W21. Total generation capacity'!$A$10:$A$90&amp;'W21. Total generation capacity'!$C$10:$C$90,0),MATCH(C$76,'W21. Total generation capacity'!$E$9:$Q$9,0))</f>
        <v/>
      </c>
      <c r="D103" s="14" t="str">
        <f t="array" ref="D103">INDEX('W21. Total generation capacity'!$E$10:$Q$90,MATCH($A103&amp;$B103,'W21. Total generation capacity'!$A$10:$A$90&amp;'W21. Total generation capacity'!$C$10:$C$90,0),MATCH(D$76,'W21. Total generation capacity'!$E$9:$Q$9,0))</f>
        <v/>
      </c>
      <c r="E103" s="14">
        <f t="array" ref="E103">INDEX('W21. Total generation capacity'!$E$10:$Q$90,MATCH($A103&amp;$B103,'W21. Total generation capacity'!$A$10:$A$90&amp;'W21. Total generation capacity'!$C$10:$C$90,0),MATCH(E$76,'W21. Total generation capacity'!$E$9:$Q$9,0))</f>
        <v>0.46700000000000003</v>
      </c>
      <c r="F103" s="14">
        <f t="array" ref="F103">INDEX('W21. Total generation capacity'!$E$10:$Q$90,MATCH($A103&amp;$B103,'W21. Total generation capacity'!$A$10:$A$90&amp;'W21. Total generation capacity'!$C$10:$C$90,0),MATCH(F$76,'W21. Total generation capacity'!$E$9:$Q$9,0))</f>
        <v>0.51500000000000001</v>
      </c>
      <c r="G103" s="14">
        <f t="array" ref="G103">INDEX('W21. Total generation capacity'!$E$10:$Q$90,MATCH($A103&amp;$B103,'W21. Total generation capacity'!$A$10:$A$90&amp;'W21. Total generation capacity'!$C$10:$C$90,0),MATCH(G$76,'W21. Total generation capacity'!$E$9:$Q$9,0))</f>
        <v>0.74262499999999998</v>
      </c>
      <c r="H103" s="14">
        <f t="array" ref="H103">INDEX('W21. Total generation capacity'!$E$10:$Q$90,MATCH($A103&amp;$B103,'W21. Total generation capacity'!$A$10:$A$90&amp;'W21. Total generation capacity'!$C$10:$C$90,0),MATCH(H$76,'W21. Total generation capacity'!$E$9:$Q$9,0))</f>
        <v>1.712</v>
      </c>
      <c r="I103" s="14">
        <f t="array" ref="I103">INDEX('W21. Total generation capacity'!$E$10:$Q$90,MATCH($A103&amp;$B103,'W21. Total generation capacity'!$A$10:$A$90&amp;'W21. Total generation capacity'!$C$10:$C$90,0),MATCH(I$76,'W21. Total generation capacity'!$E$9:$Q$9,0))</f>
        <v>2.819</v>
      </c>
      <c r="J103" s="14">
        <f t="array" ref="J103">INDEX('W21. Total generation capacity'!$E$10:$Q$90,MATCH($A103&amp;$B103,'W21. Total generation capacity'!$A$10:$A$90&amp;'W21. Total generation capacity'!$C$10:$C$90,0),MATCH(J$76,'W21. Total generation capacity'!$E$9:$Q$9,0))</f>
        <v>3.8490000000000002</v>
      </c>
    </row>
    <row r="104" spans="1:10" x14ac:dyDescent="0.3">
      <c r="A104" s="3" t="s">
        <v>378</v>
      </c>
      <c r="B104" s="3" t="s">
        <v>253</v>
      </c>
      <c r="C104" s="14">
        <f t="array" ref="C104">INDEX('W21. Total generation capacity'!$E$10:$Q$90,MATCH($A104&amp;$B104,'W21. Total generation capacity'!$A$10:$A$90&amp;'W21. Total generation capacity'!$C$10:$C$90,0),MATCH(C$76,'W21. Total generation capacity'!$E$9:$Q$9,0))</f>
        <v>0.1125169</v>
      </c>
      <c r="D104" s="14" t="str">
        <f t="array" ref="D104">INDEX('W21. Total generation capacity'!$E$10:$Q$90,MATCH($A104&amp;$B104,'W21. Total generation capacity'!$A$10:$A$90&amp;'W21. Total generation capacity'!$C$10:$C$90,0),MATCH(D$76,'W21. Total generation capacity'!$E$9:$Q$9,0))</f>
        <v/>
      </c>
      <c r="E104" s="14" t="str">
        <f t="array" ref="E104">INDEX('W21. Total generation capacity'!$E$10:$Q$90,MATCH($A104&amp;$B104,'W21. Total generation capacity'!$A$10:$A$90&amp;'W21. Total generation capacity'!$C$10:$C$90,0),MATCH(E$76,'W21. Total generation capacity'!$E$9:$Q$9,0))</f>
        <v/>
      </c>
      <c r="F104" s="14" t="str">
        <f t="array" ref="F104">INDEX('W21. Total generation capacity'!$E$10:$Q$90,MATCH($A104&amp;$B104,'W21. Total generation capacity'!$A$10:$A$90&amp;'W21. Total generation capacity'!$C$10:$C$90,0),MATCH(F$76,'W21. Total generation capacity'!$E$9:$Q$9,0))</f>
        <v/>
      </c>
      <c r="G104" s="14">
        <f t="array" ref="G104">INDEX('W21. Total generation capacity'!$E$10:$Q$90,MATCH($A104&amp;$B104,'W21. Total generation capacity'!$A$10:$A$90&amp;'W21. Total generation capacity'!$C$10:$C$90,0),MATCH(G$76,'W21. Total generation capacity'!$E$9:$Q$9,0))</f>
        <v>0.1389214</v>
      </c>
      <c r="H104" s="14">
        <f t="array" ref="H104">INDEX('W21. Total generation capacity'!$E$10:$Q$90,MATCH($A104&amp;$B104,'W21. Total generation capacity'!$A$10:$A$90&amp;'W21. Total generation capacity'!$C$10:$C$90,0),MATCH(H$76,'W21. Total generation capacity'!$E$9:$Q$9,0))</f>
        <v>0.1801818</v>
      </c>
      <c r="I104" s="14">
        <f t="array" ref="I104">INDEX('W21. Total generation capacity'!$E$10:$Q$90,MATCH($A104&amp;$B104,'W21. Total generation capacity'!$A$10:$A$90&amp;'W21. Total generation capacity'!$C$10:$C$90,0),MATCH(I$76,'W21. Total generation capacity'!$E$9:$Q$9,0))</f>
        <v>0.22253389999999998</v>
      </c>
      <c r="J104" s="14">
        <f t="array" ref="J104">INDEX('W21. Total generation capacity'!$E$10:$Q$90,MATCH($A104&amp;$B104,'W21. Total generation capacity'!$A$10:$A$90&amp;'W21. Total generation capacity'!$C$10:$C$90,0),MATCH(J$76,'W21. Total generation capacity'!$E$9:$Q$9,0))</f>
        <v>0.26488599999999995</v>
      </c>
    </row>
    <row r="105" spans="1:10" x14ac:dyDescent="0.3">
      <c r="A105" s="3" t="s">
        <v>378</v>
      </c>
      <c r="B105" s="3" t="s">
        <v>254</v>
      </c>
      <c r="C105" s="14">
        <f t="array" ref="C105">INDEX('W21. Total generation capacity'!$E$10:$Q$90,MATCH($A105&amp;$B105,'W21. Total generation capacity'!$A$10:$A$90&amp;'W21. Total generation capacity'!$C$10:$C$90,0),MATCH(C$76,'W21. Total generation capacity'!$E$9:$Q$9,0))</f>
        <v>1.8819429999999999</v>
      </c>
      <c r="D105" s="14" t="str">
        <f t="array" ref="D105">INDEX('W21. Total generation capacity'!$E$10:$Q$90,MATCH($A105&amp;$B105,'W21. Total generation capacity'!$A$10:$A$90&amp;'W21. Total generation capacity'!$C$10:$C$90,0),MATCH(D$76,'W21. Total generation capacity'!$E$9:$Q$9,0))</f>
        <v/>
      </c>
      <c r="E105" s="14" t="str">
        <f t="array" ref="E105">INDEX('W21. Total generation capacity'!$E$10:$Q$90,MATCH($A105&amp;$B105,'W21. Total generation capacity'!$A$10:$A$90&amp;'W21. Total generation capacity'!$C$10:$C$90,0),MATCH(E$76,'W21. Total generation capacity'!$E$9:$Q$9,0))</f>
        <v/>
      </c>
      <c r="F105" s="14" t="str">
        <f t="array" ref="F105">INDEX('W21. Total generation capacity'!$E$10:$Q$90,MATCH($A105&amp;$B105,'W21. Total generation capacity'!$A$10:$A$90&amp;'W21. Total generation capacity'!$C$10:$C$90,0),MATCH(F$76,'W21. Total generation capacity'!$E$9:$Q$9,0))</f>
        <v/>
      </c>
      <c r="G105" s="14">
        <f t="array" ref="G105">INDEX('W21. Total generation capacity'!$E$10:$Q$90,MATCH($A105&amp;$B105,'W21. Total generation capacity'!$A$10:$A$90&amp;'W21. Total generation capacity'!$C$10:$C$90,0),MATCH(G$76,'W21. Total generation capacity'!$E$9:$Q$9,0))</f>
        <v>2.2009470000000002</v>
      </c>
      <c r="H105" s="14">
        <f t="array" ref="H105">INDEX('W21. Total generation capacity'!$E$10:$Q$90,MATCH($A105&amp;$B105,'W21. Total generation capacity'!$A$10:$A$90&amp;'W21. Total generation capacity'!$C$10:$C$90,0),MATCH(H$76,'W21. Total generation capacity'!$E$9:$Q$9,0))</f>
        <v>2.6172707999999996</v>
      </c>
      <c r="I105" s="14">
        <f t="array" ref="I105">INDEX('W21. Total generation capacity'!$E$10:$Q$90,MATCH($A105&amp;$B105,'W21. Total generation capacity'!$A$10:$A$90&amp;'W21. Total generation capacity'!$C$10:$C$90,0),MATCH(I$76,'W21. Total generation capacity'!$E$9:$Q$9,0))</f>
        <v>3.0298759</v>
      </c>
      <c r="J105" s="14">
        <f t="array" ref="J105">INDEX('W21. Total generation capacity'!$E$10:$Q$90,MATCH($A105&amp;$B105,'W21. Total generation capacity'!$A$10:$A$90&amp;'W21. Total generation capacity'!$C$10:$C$90,0),MATCH(J$76,'W21. Total generation capacity'!$E$9:$Q$9,0))</f>
        <v>3.4424810000000003</v>
      </c>
    </row>
    <row r="106" spans="1:10" x14ac:dyDescent="0.3">
      <c r="A106" s="3" t="s">
        <v>378</v>
      </c>
      <c r="B106" s="3" t="s">
        <v>255</v>
      </c>
      <c r="C106" s="14">
        <f t="array" ref="C106">INDEX('W21. Total generation capacity'!$E$10:$Q$90,MATCH($A106&amp;$B106,'W21. Total generation capacity'!$A$10:$A$90&amp;'W21. Total generation capacity'!$C$10:$C$90,0),MATCH(C$76,'W21. Total generation capacity'!$E$9:$Q$9,0))</f>
        <v>1.5625580999999999</v>
      </c>
      <c r="D106" s="14" t="str">
        <f t="array" ref="D106">INDEX('W21. Total generation capacity'!$E$10:$Q$90,MATCH($A106&amp;$B106,'W21. Total generation capacity'!$A$10:$A$90&amp;'W21. Total generation capacity'!$C$10:$C$90,0),MATCH(D$76,'W21. Total generation capacity'!$E$9:$Q$9,0))</f>
        <v/>
      </c>
      <c r="E106" s="14" t="str">
        <f t="array" ref="E106">INDEX('W21. Total generation capacity'!$E$10:$Q$90,MATCH($A106&amp;$B106,'W21. Total generation capacity'!$A$10:$A$90&amp;'W21. Total generation capacity'!$C$10:$C$90,0),MATCH(E$76,'W21. Total generation capacity'!$E$9:$Q$9,0))</f>
        <v/>
      </c>
      <c r="F106" s="14" t="str">
        <f t="array" ref="F106">INDEX('W21. Total generation capacity'!$E$10:$Q$90,MATCH($A106&amp;$B106,'W21. Total generation capacity'!$A$10:$A$90&amp;'W21. Total generation capacity'!$C$10:$C$90,0),MATCH(F$76,'W21. Total generation capacity'!$E$9:$Q$9,0))</f>
        <v/>
      </c>
      <c r="G106" s="14">
        <f t="array" ref="G106">INDEX('W21. Total generation capacity'!$E$10:$Q$90,MATCH($A106&amp;$B106,'W21. Total generation capacity'!$A$10:$A$90&amp;'W21. Total generation capacity'!$C$10:$C$90,0),MATCH(G$76,'W21. Total generation capacity'!$E$9:$Q$9,0))</f>
        <v>1.8735452000000001</v>
      </c>
      <c r="H106" s="14">
        <f t="array" ref="H106">INDEX('W21. Total generation capacity'!$E$10:$Q$90,MATCH($A106&amp;$B106,'W21. Total generation capacity'!$A$10:$A$90&amp;'W21. Total generation capacity'!$C$10:$C$90,0),MATCH(H$76,'W21. Total generation capacity'!$E$9:$Q$9,0))</f>
        <v>2.4431271999999997</v>
      </c>
      <c r="I106" s="14">
        <f t="array" ref="I106">INDEX('W21. Total generation capacity'!$E$10:$Q$90,MATCH($A106&amp;$B106,'W21. Total generation capacity'!$A$10:$A$90&amp;'W21. Total generation capacity'!$C$10:$C$90,0),MATCH(I$76,'W21. Total generation capacity'!$E$9:$Q$9,0))</f>
        <v>3.0350359</v>
      </c>
      <c r="J106" s="14">
        <f t="array" ref="J106">INDEX('W21. Total generation capacity'!$E$10:$Q$90,MATCH($A106&amp;$B106,'W21. Total generation capacity'!$A$10:$A$90&amp;'W21. Total generation capacity'!$C$10:$C$90,0),MATCH(J$76,'W21. Total generation capacity'!$E$9:$Q$9,0))</f>
        <v>3.6269445999999999</v>
      </c>
    </row>
    <row r="107" spans="1:10" x14ac:dyDescent="0.3">
      <c r="A107" s="3" t="s">
        <v>378</v>
      </c>
      <c r="B107" s="3" t="s">
        <v>258</v>
      </c>
      <c r="C107" s="14">
        <f t="array" ref="C107">INDEX('W21. Total generation capacity'!$E$10:$Q$90,MATCH($A107&amp;$B107,'W21. Total generation capacity'!$A$10:$A$90&amp;'W21. Total generation capacity'!$C$10:$C$90,0),MATCH(C$76,'W21. Total generation capacity'!$E$9:$Q$9,0))</f>
        <v>1.2940799999999999E-2</v>
      </c>
      <c r="D107" s="14" t="str">
        <f t="array" ref="D107">INDEX('W21. Total generation capacity'!$E$10:$Q$90,MATCH($A107&amp;$B107,'W21. Total generation capacity'!$A$10:$A$90&amp;'W21. Total generation capacity'!$C$10:$C$90,0),MATCH(D$76,'W21. Total generation capacity'!$E$9:$Q$9,0))</f>
        <v/>
      </c>
      <c r="E107" s="14" t="str">
        <f t="array" ref="E107">INDEX('W21. Total generation capacity'!$E$10:$Q$90,MATCH($A107&amp;$B107,'W21. Total generation capacity'!$A$10:$A$90&amp;'W21. Total generation capacity'!$C$10:$C$90,0),MATCH(E$76,'W21. Total generation capacity'!$E$9:$Q$9,0))</f>
        <v/>
      </c>
      <c r="F107" s="14" t="str">
        <f t="array" ref="F107">INDEX('W21. Total generation capacity'!$E$10:$Q$90,MATCH($A107&amp;$B107,'W21. Total generation capacity'!$A$10:$A$90&amp;'W21. Total generation capacity'!$C$10:$C$90,0),MATCH(F$76,'W21. Total generation capacity'!$E$9:$Q$9,0))</f>
        <v/>
      </c>
      <c r="G107" s="14">
        <f t="array" ref="G107">INDEX('W21. Total generation capacity'!$E$10:$Q$90,MATCH($A107&amp;$B107,'W21. Total generation capacity'!$A$10:$A$90&amp;'W21. Total generation capacity'!$C$10:$C$90,0),MATCH(G$76,'W21. Total generation capacity'!$E$9:$Q$9,0))</f>
        <v>1.74278E-2</v>
      </c>
      <c r="H107" s="14">
        <f t="array" ref="H107">INDEX('W21. Total generation capacity'!$E$10:$Q$90,MATCH($A107&amp;$B107,'W21. Total generation capacity'!$A$10:$A$90&amp;'W21. Total generation capacity'!$C$10:$C$90,0),MATCH(H$76,'W21. Total generation capacity'!$E$9:$Q$9,0))</f>
        <v>3.1086900000000001E-2</v>
      </c>
      <c r="I107" s="14">
        <f t="array" ref="I107">INDEX('W21. Total generation capacity'!$E$10:$Q$90,MATCH($A107&amp;$B107,'W21. Total generation capacity'!$A$10:$A$90&amp;'W21. Total generation capacity'!$C$10:$C$90,0),MATCH(I$76,'W21. Total generation capacity'!$E$9:$Q$9,0))</f>
        <v>5.5441799999999999E-2</v>
      </c>
      <c r="J107" s="14">
        <f t="array" ref="J107">INDEX('W21. Total generation capacity'!$E$10:$Q$90,MATCH($A107&amp;$B107,'W21. Total generation capacity'!$A$10:$A$90&amp;'W21. Total generation capacity'!$C$10:$C$90,0),MATCH(J$76,'W21. Total generation capacity'!$E$9:$Q$9,0))</f>
        <v>7.9796699999999998E-2</v>
      </c>
    </row>
    <row r="108" spans="1:10" x14ac:dyDescent="0.3">
      <c r="A108" s="3" t="s">
        <v>378</v>
      </c>
      <c r="B108" s="3" t="s">
        <v>256</v>
      </c>
      <c r="C108" s="14">
        <f t="array" ref="C108">INDEX('W21. Total generation capacity'!$E$10:$Q$90,MATCH($A108&amp;$B108,'W21. Total generation capacity'!$A$10:$A$90&amp;'W21. Total generation capacity'!$C$10:$C$90,0),MATCH(C$76,'W21. Total generation capacity'!$E$9:$Q$9,0))</f>
        <v>1.1769855</v>
      </c>
      <c r="D108" s="14" t="str">
        <f t="array" ref="D108">INDEX('W21. Total generation capacity'!$E$10:$Q$90,MATCH($A108&amp;$B108,'W21. Total generation capacity'!$A$10:$A$90&amp;'W21. Total generation capacity'!$C$10:$C$90,0),MATCH(D$76,'W21. Total generation capacity'!$E$9:$Q$9,0))</f>
        <v/>
      </c>
      <c r="E108" s="14" t="str">
        <f t="array" ref="E108">INDEX('W21. Total generation capacity'!$E$10:$Q$90,MATCH($A108&amp;$B108,'W21. Total generation capacity'!$A$10:$A$90&amp;'W21. Total generation capacity'!$C$10:$C$90,0),MATCH(E$76,'W21. Total generation capacity'!$E$9:$Q$9,0))</f>
        <v/>
      </c>
      <c r="F108" s="14" t="str">
        <f t="array" ref="F108">INDEX('W21. Total generation capacity'!$E$10:$Q$90,MATCH($A108&amp;$B108,'W21. Total generation capacity'!$A$10:$A$90&amp;'W21. Total generation capacity'!$C$10:$C$90,0),MATCH(F$76,'W21. Total generation capacity'!$E$9:$Q$9,0))</f>
        <v/>
      </c>
      <c r="G108" s="14">
        <f t="array" ref="G108">INDEX('W21. Total generation capacity'!$E$10:$Q$90,MATCH($A108&amp;$B108,'W21. Total generation capacity'!$A$10:$A$90&amp;'W21. Total generation capacity'!$C$10:$C$90,0),MATCH(G$76,'W21. Total generation capacity'!$E$9:$Q$9,0))</f>
        <v>1.3379193</v>
      </c>
      <c r="H108" s="14">
        <f t="array" ref="H108">INDEX('W21. Total generation capacity'!$E$10:$Q$90,MATCH($A108&amp;$B108,'W21. Total generation capacity'!$A$10:$A$90&amp;'W21. Total generation capacity'!$C$10:$C$90,0),MATCH(H$76,'W21. Total generation capacity'!$E$9:$Q$9,0))</f>
        <v>1.5705091</v>
      </c>
      <c r="I108" s="14">
        <f t="array" ref="I108">INDEX('W21. Total generation capacity'!$E$10:$Q$90,MATCH($A108&amp;$B108,'W21. Total generation capacity'!$A$10:$A$90&amp;'W21. Total generation capacity'!$C$10:$C$90,0),MATCH(I$76,'W21. Total generation capacity'!$E$9:$Q$9,0))</f>
        <v>1.7703696</v>
      </c>
      <c r="J108" s="14">
        <f t="array" ref="J108">INDEX('W21. Total generation capacity'!$E$10:$Q$90,MATCH($A108&amp;$B108,'W21. Total generation capacity'!$A$10:$A$90&amp;'W21. Total generation capacity'!$C$10:$C$90,0),MATCH(J$76,'W21. Total generation capacity'!$E$9:$Q$9,0))</f>
        <v>1.9702301</v>
      </c>
    </row>
    <row r="109" spans="1:10" x14ac:dyDescent="0.3">
      <c r="A109" s="3" t="s">
        <v>378</v>
      </c>
      <c r="B109" s="3" t="s">
        <v>257</v>
      </c>
      <c r="C109" s="14">
        <f t="array" ref="C109">INDEX('W21. Total generation capacity'!$E$10:$Q$90,MATCH($A109&amp;$B109,'W21. Total generation capacity'!$A$10:$A$90&amp;'W21. Total generation capacity'!$C$10:$C$90,0),MATCH(C$76,'W21. Total generation capacity'!$E$9:$Q$9,0))</f>
        <v>0.39768400000000004</v>
      </c>
      <c r="D109" s="14" t="str">
        <f t="array" ref="D109">INDEX('W21. Total generation capacity'!$E$10:$Q$90,MATCH($A109&amp;$B109,'W21. Total generation capacity'!$A$10:$A$90&amp;'W21. Total generation capacity'!$C$10:$C$90,0),MATCH(D$76,'W21. Total generation capacity'!$E$9:$Q$9,0))</f>
        <v/>
      </c>
      <c r="E109" s="14" t="str">
        <f t="array" ref="E109">INDEX('W21. Total generation capacity'!$E$10:$Q$90,MATCH($A109&amp;$B109,'W21. Total generation capacity'!$A$10:$A$90&amp;'W21. Total generation capacity'!$C$10:$C$90,0),MATCH(E$76,'W21. Total generation capacity'!$E$9:$Q$9,0))</f>
        <v/>
      </c>
      <c r="F109" s="14" t="str">
        <f t="array" ref="F109">INDEX('W21. Total generation capacity'!$E$10:$Q$90,MATCH($A109&amp;$B109,'W21. Total generation capacity'!$A$10:$A$90&amp;'W21. Total generation capacity'!$C$10:$C$90,0),MATCH(F$76,'W21. Total generation capacity'!$E$9:$Q$9,0))</f>
        <v/>
      </c>
      <c r="G109" s="14">
        <f t="array" ref="G109">INDEX('W21. Total generation capacity'!$E$10:$Q$90,MATCH($A109&amp;$B109,'W21. Total generation capacity'!$A$10:$A$90&amp;'W21. Total generation capacity'!$C$10:$C$90,0),MATCH(G$76,'W21. Total generation capacity'!$E$9:$Q$9,0))</f>
        <v>0.43713299999999999</v>
      </c>
      <c r="H109" s="14">
        <f t="array" ref="H109">INDEX('W21. Total generation capacity'!$E$10:$Q$90,MATCH($A109&amp;$B109,'W21. Total generation capacity'!$A$10:$A$90&amp;'W21. Total generation capacity'!$C$10:$C$90,0),MATCH(H$76,'W21. Total generation capacity'!$E$9:$Q$9,0))</f>
        <v>0.48778699999999997</v>
      </c>
      <c r="I109" s="14">
        <f t="array" ref="I109">INDEX('W21. Total generation capacity'!$E$10:$Q$90,MATCH($A109&amp;$B109,'W21. Total generation capacity'!$A$10:$A$90&amp;'W21. Total generation capacity'!$C$10:$C$90,0),MATCH(I$76,'W21. Total generation capacity'!$E$9:$Q$9,0))</f>
        <v>0.52855799999999997</v>
      </c>
      <c r="J109" s="14">
        <f t="array" ref="J109">INDEX('W21. Total generation capacity'!$E$10:$Q$90,MATCH($A109&amp;$B109,'W21. Total generation capacity'!$A$10:$A$90&amp;'W21. Total generation capacity'!$C$10:$C$90,0),MATCH(J$76,'W21. Total generation capacity'!$E$9:$Q$9,0))</f>
        <v>0.56932899999999997</v>
      </c>
    </row>
    <row r="110" spans="1:10" x14ac:dyDescent="0.3">
      <c r="A110" s="3" t="s">
        <v>378</v>
      </c>
      <c r="B110" s="3" t="s">
        <v>266</v>
      </c>
      <c r="C110" s="14">
        <f t="array" ref="C110">INDEX('W21. Total generation capacity'!$E$10:$Q$90,MATCH($A110&amp;$B110,'W21. Total generation capacity'!$A$10:$A$90&amp;'W21. Total generation capacity'!$C$10:$C$90,0),MATCH(C$76,'W21. Total generation capacity'!$E$9:$Q$9,0))</f>
        <v>0.44149310000000003</v>
      </c>
      <c r="D110" s="14" t="str">
        <f t="array" ref="D110">INDEX('W21. Total generation capacity'!$E$10:$Q$90,MATCH($A110&amp;$B110,'W21. Total generation capacity'!$A$10:$A$90&amp;'W21. Total generation capacity'!$C$10:$C$90,0),MATCH(D$76,'W21. Total generation capacity'!$E$9:$Q$9,0))</f>
        <v/>
      </c>
      <c r="E110" s="14" t="str">
        <f t="array" ref="E110">INDEX('W21. Total generation capacity'!$E$10:$Q$90,MATCH($A110&amp;$B110,'W21. Total generation capacity'!$A$10:$A$90&amp;'W21. Total generation capacity'!$C$10:$C$90,0),MATCH(E$76,'W21. Total generation capacity'!$E$9:$Q$9,0))</f>
        <v/>
      </c>
      <c r="F110" s="14" t="str">
        <f t="array" ref="F110">INDEX('W21. Total generation capacity'!$E$10:$Q$90,MATCH($A110&amp;$B110,'W21. Total generation capacity'!$A$10:$A$90&amp;'W21. Total generation capacity'!$C$10:$C$90,0),MATCH(F$76,'W21. Total generation capacity'!$E$9:$Q$9,0))</f>
        <v/>
      </c>
      <c r="G110" s="14">
        <f t="array" ref="G110">INDEX('W21. Total generation capacity'!$E$10:$Q$90,MATCH($A110&amp;$B110,'W21. Total generation capacity'!$A$10:$A$90&amp;'W21. Total generation capacity'!$C$10:$C$90,0),MATCH(G$76,'W21. Total generation capacity'!$E$9:$Q$9,0))</f>
        <v>0.37546589999999996</v>
      </c>
      <c r="H110" s="14">
        <f t="array" ref="H110">INDEX('W21. Total generation capacity'!$E$10:$Q$90,MATCH($A110&amp;$B110,'W21. Total generation capacity'!$A$10:$A$90&amp;'W21. Total generation capacity'!$C$10:$C$90,0),MATCH(H$76,'W21. Total generation capacity'!$E$9:$Q$9,0))</f>
        <v>0.30027210000000004</v>
      </c>
      <c r="I110" s="14">
        <f t="array" ref="I110">INDEX('W21. Total generation capacity'!$E$10:$Q$90,MATCH($A110&amp;$B110,'W21. Total generation capacity'!$A$10:$A$90&amp;'W21. Total generation capacity'!$C$10:$C$90,0),MATCH(I$76,'W21. Total generation capacity'!$E$9:$Q$9,0))</f>
        <v>0.26401160000000001</v>
      </c>
      <c r="J110" s="14">
        <f t="array" ref="J110">INDEX('W21. Total generation capacity'!$E$10:$Q$90,MATCH($A110&amp;$B110,'W21. Total generation capacity'!$A$10:$A$90&amp;'W21. Total generation capacity'!$C$10:$C$90,0),MATCH(J$76,'W21. Total generation capacity'!$E$9:$Q$9,0))</f>
        <v>0.22775109999999996</v>
      </c>
    </row>
    <row r="111" spans="1:10" x14ac:dyDescent="0.3">
      <c r="A111" s="3" t="s">
        <v>378</v>
      </c>
      <c r="B111" s="3" t="s">
        <v>259</v>
      </c>
      <c r="C111" s="14">
        <f t="array" ref="C111">INDEX('W21. Total generation capacity'!$E$10:$Q$90,MATCH($A111&amp;$B111,'W21. Total generation capacity'!$A$10:$A$90&amp;'W21. Total generation capacity'!$C$10:$C$90,0),MATCH(C$76,'W21. Total generation capacity'!$E$9:$Q$9,0))</f>
        <v>0.18023169999999999</v>
      </c>
      <c r="D111" s="14" t="str">
        <f t="array" ref="D111">INDEX('W21. Total generation capacity'!$E$10:$Q$90,MATCH($A111&amp;$B111,'W21. Total generation capacity'!$A$10:$A$90&amp;'W21. Total generation capacity'!$C$10:$C$90,0),MATCH(D$76,'W21. Total generation capacity'!$E$9:$Q$9,0))</f>
        <v/>
      </c>
      <c r="E111" s="14" t="str">
        <f t="array" ref="E111">INDEX('W21. Total generation capacity'!$E$10:$Q$90,MATCH($A111&amp;$B111,'W21. Total generation capacity'!$A$10:$A$90&amp;'W21. Total generation capacity'!$C$10:$C$90,0),MATCH(E$76,'W21. Total generation capacity'!$E$9:$Q$9,0))</f>
        <v/>
      </c>
      <c r="F111" s="14" t="str">
        <f t="array" ref="F111">INDEX('W21. Total generation capacity'!$E$10:$Q$90,MATCH($A111&amp;$B111,'W21. Total generation capacity'!$A$10:$A$90&amp;'W21. Total generation capacity'!$C$10:$C$90,0),MATCH(F$76,'W21. Total generation capacity'!$E$9:$Q$9,0))</f>
        <v/>
      </c>
      <c r="G111" s="14">
        <f t="array" ref="G111">INDEX('W21. Total generation capacity'!$E$10:$Q$90,MATCH($A111&amp;$B111,'W21. Total generation capacity'!$A$10:$A$90&amp;'W21. Total generation capacity'!$C$10:$C$90,0),MATCH(G$76,'W21. Total generation capacity'!$E$9:$Q$9,0))</f>
        <v>0.43353809999999998</v>
      </c>
      <c r="H111" s="14">
        <f t="array" ref="H111">INDEX('W21. Total generation capacity'!$E$10:$Q$90,MATCH($A111&amp;$B111,'W21. Total generation capacity'!$A$10:$A$90&amp;'W21. Total generation capacity'!$C$10:$C$90,0),MATCH(H$76,'W21. Total generation capacity'!$E$9:$Q$9,0))</f>
        <v>0.73204990000000003</v>
      </c>
      <c r="I111" s="14">
        <f t="array" ref="I111">INDEX('W21. Total generation capacity'!$E$10:$Q$90,MATCH($A111&amp;$B111,'W21. Total generation capacity'!$A$10:$A$90&amp;'W21. Total generation capacity'!$C$10:$C$90,0),MATCH(I$76,'W21. Total generation capacity'!$E$9:$Q$9,0))</f>
        <v>1.0408807</v>
      </c>
      <c r="J111" s="14">
        <f t="array" ref="J111">INDEX('W21. Total generation capacity'!$E$10:$Q$90,MATCH($A111&amp;$B111,'W21. Total generation capacity'!$A$10:$A$90&amp;'W21. Total generation capacity'!$C$10:$C$90,0),MATCH(J$76,'W21. Total generation capacity'!$E$9:$Q$9,0))</f>
        <v>1.3497115000000002</v>
      </c>
    </row>
    <row r="112" spans="1:10" x14ac:dyDescent="0.3">
      <c r="A112" s="3" t="s">
        <v>378</v>
      </c>
      <c r="B112" s="3" t="s">
        <v>260</v>
      </c>
      <c r="C112" s="14">
        <f t="array" ref="C112">INDEX('W21. Total generation capacity'!$E$10:$Q$90,MATCH($A112&amp;$B112,'W21. Total generation capacity'!$A$10:$A$90&amp;'W21. Total generation capacity'!$C$10:$C$90,0),MATCH(C$76,'W21. Total generation capacity'!$E$9:$Q$9,0))</f>
        <v>0.35104289999999999</v>
      </c>
      <c r="D112" s="14" t="str">
        <f t="array" ref="D112">INDEX('W21. Total generation capacity'!$E$10:$Q$90,MATCH($A112&amp;$B112,'W21. Total generation capacity'!$A$10:$A$90&amp;'W21. Total generation capacity'!$C$10:$C$90,0),MATCH(D$76,'W21. Total generation capacity'!$E$9:$Q$9,0))</f>
        <v/>
      </c>
      <c r="E112" s="14" t="str">
        <f t="array" ref="E112">INDEX('W21. Total generation capacity'!$E$10:$Q$90,MATCH($A112&amp;$B112,'W21. Total generation capacity'!$A$10:$A$90&amp;'W21. Total generation capacity'!$C$10:$C$90,0),MATCH(E$76,'W21. Total generation capacity'!$E$9:$Q$9,0))</f>
        <v/>
      </c>
      <c r="F112" s="14" t="str">
        <f t="array" ref="F112">INDEX('W21. Total generation capacity'!$E$10:$Q$90,MATCH($A112&amp;$B112,'W21. Total generation capacity'!$A$10:$A$90&amp;'W21. Total generation capacity'!$C$10:$C$90,0),MATCH(F$76,'W21. Total generation capacity'!$E$9:$Q$9,0))</f>
        <v/>
      </c>
      <c r="G112" s="14">
        <f t="array" ref="G112">INDEX('W21. Total generation capacity'!$E$10:$Q$90,MATCH($A112&amp;$B112,'W21. Total generation capacity'!$A$10:$A$90&amp;'W21. Total generation capacity'!$C$10:$C$90,0),MATCH(G$76,'W21. Total generation capacity'!$E$9:$Q$9,0))</f>
        <v>0.62110119999999991</v>
      </c>
      <c r="H112" s="14">
        <f t="array" ref="H112">INDEX('W21. Total generation capacity'!$E$10:$Q$90,MATCH($A112&amp;$B112,'W21. Total generation capacity'!$A$10:$A$90&amp;'W21. Total generation capacity'!$C$10:$C$90,0),MATCH(H$76,'W21. Total generation capacity'!$E$9:$Q$9,0))</f>
        <v>0.94028800000000001</v>
      </c>
      <c r="I112" s="14">
        <f t="array" ref="I112">INDEX('W21. Total generation capacity'!$E$10:$Q$90,MATCH($A112&amp;$B112,'W21. Total generation capacity'!$A$10:$A$90&amp;'W21. Total generation capacity'!$C$10:$C$90,0),MATCH(I$76,'W21. Total generation capacity'!$E$9:$Q$9,0))</f>
        <v>1.2142514000000002</v>
      </c>
      <c r="J112" s="14">
        <f t="array" ref="J112">INDEX('W21. Total generation capacity'!$E$10:$Q$90,MATCH($A112&amp;$B112,'W21. Total generation capacity'!$A$10:$A$90&amp;'W21. Total generation capacity'!$C$10:$C$90,0),MATCH(J$76,'W21. Total generation capacity'!$E$9:$Q$9,0))</f>
        <v>1.4882148000000002</v>
      </c>
    </row>
    <row r="113" spans="1:10" x14ac:dyDescent="0.3">
      <c r="A113" s="3" t="s">
        <v>379</v>
      </c>
      <c r="B113" s="3" t="s">
        <v>253</v>
      </c>
      <c r="C113" s="14">
        <f t="array" ref="C113">INDEX('W21. Total generation capacity'!$E$10:$Q$90,MATCH($A113&amp;$B113,'W21. Total generation capacity'!$A$10:$A$90&amp;'W21. Total generation capacity'!$C$10:$C$90,0),MATCH(C$76,'W21. Total generation capacity'!$E$9:$Q$9,0))</f>
        <v>0.1125169</v>
      </c>
      <c r="D113" s="14" t="str">
        <f t="array" ref="D113">INDEX('W21. Total generation capacity'!$E$10:$Q$90,MATCH($A113&amp;$B113,'W21. Total generation capacity'!$A$10:$A$90&amp;'W21. Total generation capacity'!$C$10:$C$90,0),MATCH(D$76,'W21. Total generation capacity'!$E$9:$Q$9,0))</f>
        <v/>
      </c>
      <c r="E113" s="14" t="str">
        <f t="array" ref="E113">INDEX('W21. Total generation capacity'!$E$10:$Q$90,MATCH($A113&amp;$B113,'W21. Total generation capacity'!$A$10:$A$90&amp;'W21. Total generation capacity'!$C$10:$C$90,0),MATCH(E$76,'W21. Total generation capacity'!$E$9:$Q$9,0))</f>
        <v/>
      </c>
      <c r="F113" s="14" t="str">
        <f t="array" ref="F113">INDEX('W21. Total generation capacity'!$E$10:$Q$90,MATCH($A113&amp;$B113,'W21. Total generation capacity'!$A$10:$A$90&amp;'W21. Total generation capacity'!$C$10:$C$90,0),MATCH(F$76,'W21. Total generation capacity'!$E$9:$Q$9,0))</f>
        <v/>
      </c>
      <c r="G113" s="14">
        <f t="array" ref="G113">INDEX('W21. Total generation capacity'!$E$10:$Q$90,MATCH($A113&amp;$B113,'W21. Total generation capacity'!$A$10:$A$90&amp;'W21. Total generation capacity'!$C$10:$C$90,0),MATCH(G$76,'W21. Total generation capacity'!$E$9:$Q$9,0))</f>
        <v>0.14031299999999999</v>
      </c>
      <c r="H113" s="14">
        <f t="array" ref="H113">INDEX('W21. Total generation capacity'!$E$10:$Q$90,MATCH($A113&amp;$B113,'W21. Total generation capacity'!$A$10:$A$90&amp;'W21. Total generation capacity'!$C$10:$C$90,0),MATCH(H$76,'W21. Total generation capacity'!$E$9:$Q$9,0))</f>
        <v>0.19471479999999999</v>
      </c>
      <c r="I113" s="14">
        <f t="array" ref="I113">INDEX('W21. Total generation capacity'!$E$10:$Q$90,MATCH($A113&amp;$B113,'W21. Total generation capacity'!$A$10:$A$90&amp;'W21. Total generation capacity'!$C$10:$C$90,0),MATCH(I$76,'W21. Total generation capacity'!$E$9:$Q$9,0))</f>
        <v>0.25948209999999999</v>
      </c>
      <c r="J113" s="14">
        <f t="array" ref="J113">INDEX('W21. Total generation capacity'!$E$10:$Q$90,MATCH($A113&amp;$B113,'W21. Total generation capacity'!$A$10:$A$90&amp;'W21. Total generation capacity'!$C$10:$C$90,0),MATCH(J$76,'W21. Total generation capacity'!$E$9:$Q$9,0))</f>
        <v>0.32556430000000003</v>
      </c>
    </row>
    <row r="114" spans="1:10" x14ac:dyDescent="0.3">
      <c r="A114" s="3" t="s">
        <v>379</v>
      </c>
      <c r="B114" s="3" t="s">
        <v>254</v>
      </c>
      <c r="C114" s="14">
        <f t="array" ref="C114">INDEX('W21. Total generation capacity'!$E$10:$Q$90,MATCH($A114&amp;$B114,'W21. Total generation capacity'!$A$10:$A$90&amp;'W21. Total generation capacity'!$C$10:$C$90,0),MATCH(C$76,'W21. Total generation capacity'!$E$9:$Q$9,0))</f>
        <v>1.8819429999999999</v>
      </c>
      <c r="D114" s="14" t="str">
        <f t="array" ref="D114">INDEX('W21. Total generation capacity'!$E$10:$Q$90,MATCH($A114&amp;$B114,'W21. Total generation capacity'!$A$10:$A$90&amp;'W21. Total generation capacity'!$C$10:$C$90,0),MATCH(D$76,'W21. Total generation capacity'!$E$9:$Q$9,0))</f>
        <v/>
      </c>
      <c r="E114" s="14" t="str">
        <f t="array" ref="E114">INDEX('W21. Total generation capacity'!$E$10:$Q$90,MATCH($A114&amp;$B114,'W21. Total generation capacity'!$A$10:$A$90&amp;'W21. Total generation capacity'!$C$10:$C$90,0),MATCH(E$76,'W21. Total generation capacity'!$E$9:$Q$9,0))</f>
        <v/>
      </c>
      <c r="F114" s="14" t="str">
        <f t="array" ref="F114">INDEX('W21. Total generation capacity'!$E$10:$Q$90,MATCH($A114&amp;$B114,'W21. Total generation capacity'!$A$10:$A$90&amp;'W21. Total generation capacity'!$C$10:$C$90,0),MATCH(F$76,'W21. Total generation capacity'!$E$9:$Q$9,0))</f>
        <v/>
      </c>
      <c r="G114" s="14">
        <f t="array" ref="G114">INDEX('W21. Total generation capacity'!$E$10:$Q$90,MATCH($A114&amp;$B114,'W21. Total generation capacity'!$A$10:$A$90&amp;'W21. Total generation capacity'!$C$10:$C$90,0),MATCH(G$76,'W21. Total generation capacity'!$E$9:$Q$9,0))</f>
        <v>2.1587581</v>
      </c>
      <c r="H114" s="14">
        <f t="array" ref="H114">INDEX('W21. Total generation capacity'!$E$10:$Q$90,MATCH($A114&amp;$B114,'W21. Total generation capacity'!$A$10:$A$90&amp;'W21. Total generation capacity'!$C$10:$C$90,0),MATCH(H$76,'W21. Total generation capacity'!$E$9:$Q$9,0))</f>
        <v>2.3183872000000001</v>
      </c>
      <c r="I114" s="14">
        <f t="array" ref="I114">INDEX('W21. Total generation capacity'!$E$10:$Q$90,MATCH($A114&amp;$B114,'W21. Total generation capacity'!$A$10:$A$90&amp;'W21. Total generation capacity'!$C$10:$C$90,0),MATCH(I$76,'W21. Total generation capacity'!$E$9:$Q$9,0))</f>
        <v>2.4374617999999999</v>
      </c>
      <c r="J114" s="14">
        <f t="array" ref="J114">INDEX('W21. Total generation capacity'!$E$10:$Q$90,MATCH($A114&amp;$B114,'W21. Total generation capacity'!$A$10:$A$90&amp;'W21. Total generation capacity'!$C$10:$C$90,0),MATCH(J$76,'W21. Total generation capacity'!$E$9:$Q$9,0))</f>
        <v>2.5308091999999998</v>
      </c>
    </row>
    <row r="115" spans="1:10" x14ac:dyDescent="0.3">
      <c r="A115" s="3" t="s">
        <v>379</v>
      </c>
      <c r="B115" s="3" t="s">
        <v>255</v>
      </c>
      <c r="C115" s="14">
        <f t="array" ref="C115">INDEX('W21. Total generation capacity'!$E$10:$Q$90,MATCH($A115&amp;$B115,'W21. Total generation capacity'!$A$10:$A$90&amp;'W21. Total generation capacity'!$C$10:$C$90,0),MATCH(C$76,'W21. Total generation capacity'!$E$9:$Q$9,0))</f>
        <v>1.5625580999999999</v>
      </c>
      <c r="D115" s="14" t="str">
        <f t="array" ref="D115">INDEX('W21. Total generation capacity'!$E$10:$Q$90,MATCH($A115&amp;$B115,'W21. Total generation capacity'!$A$10:$A$90&amp;'W21. Total generation capacity'!$C$10:$C$90,0),MATCH(D$76,'W21. Total generation capacity'!$E$9:$Q$9,0))</f>
        <v/>
      </c>
      <c r="E115" s="14" t="str">
        <f t="array" ref="E115">INDEX('W21. Total generation capacity'!$E$10:$Q$90,MATCH($A115&amp;$B115,'W21. Total generation capacity'!$A$10:$A$90&amp;'W21. Total generation capacity'!$C$10:$C$90,0),MATCH(E$76,'W21. Total generation capacity'!$E$9:$Q$9,0))</f>
        <v/>
      </c>
      <c r="F115" s="14" t="str">
        <f t="array" ref="F115">INDEX('W21. Total generation capacity'!$E$10:$Q$90,MATCH($A115&amp;$B115,'W21. Total generation capacity'!$A$10:$A$90&amp;'W21. Total generation capacity'!$C$10:$C$90,0),MATCH(F$76,'W21. Total generation capacity'!$E$9:$Q$9,0))</f>
        <v/>
      </c>
      <c r="G115" s="14">
        <f t="array" ref="G115">INDEX('W21. Total generation capacity'!$E$10:$Q$90,MATCH($A115&amp;$B115,'W21. Total generation capacity'!$A$10:$A$90&amp;'W21. Total generation capacity'!$C$10:$C$90,0),MATCH(G$76,'W21. Total generation capacity'!$E$9:$Q$9,0))</f>
        <v>1.8438462999999998</v>
      </c>
      <c r="H115" s="14">
        <f t="array" ref="H115">INDEX('W21. Total generation capacity'!$E$10:$Q$90,MATCH($A115&amp;$B115,'W21. Total generation capacity'!$A$10:$A$90&amp;'W21. Total generation capacity'!$C$10:$C$90,0),MATCH(H$76,'W21. Total generation capacity'!$E$9:$Q$9,0))</f>
        <v>2.2623764999999998</v>
      </c>
      <c r="I115" s="14">
        <f t="array" ref="I115">INDEX('W21. Total generation capacity'!$E$10:$Q$90,MATCH($A115&amp;$B115,'W21. Total generation capacity'!$A$10:$A$90&amp;'W21. Total generation capacity'!$C$10:$C$90,0),MATCH(I$76,'W21. Total generation capacity'!$E$9:$Q$9,0))</f>
        <v>2.7027813000000003</v>
      </c>
      <c r="J115" s="14">
        <f t="array" ref="J115">INDEX('W21. Total generation capacity'!$E$10:$Q$90,MATCH($A115&amp;$B115,'W21. Total generation capacity'!$A$10:$A$90&amp;'W21. Total generation capacity'!$C$10:$C$90,0),MATCH(J$76,'W21. Total generation capacity'!$E$9:$Q$9,0))</f>
        <v>3.133778299999991</v>
      </c>
    </row>
    <row r="116" spans="1:10" x14ac:dyDescent="0.3">
      <c r="A116" s="3" t="s">
        <v>379</v>
      </c>
      <c r="B116" s="3" t="s">
        <v>258</v>
      </c>
      <c r="C116" s="14">
        <f t="array" ref="C116">INDEX('W21. Total generation capacity'!$E$10:$Q$90,MATCH($A116&amp;$B116,'W21. Total generation capacity'!$A$10:$A$90&amp;'W21. Total generation capacity'!$C$10:$C$90,0),MATCH(C$76,'W21. Total generation capacity'!$E$9:$Q$9,0))</f>
        <v>1.2940799999999999E-2</v>
      </c>
      <c r="D116" s="14" t="str">
        <f t="array" ref="D116">INDEX('W21. Total generation capacity'!$E$10:$Q$90,MATCH($A116&amp;$B116,'W21. Total generation capacity'!$A$10:$A$90&amp;'W21. Total generation capacity'!$C$10:$C$90,0),MATCH(D$76,'W21. Total generation capacity'!$E$9:$Q$9,0))</f>
        <v/>
      </c>
      <c r="E116" s="14" t="str">
        <f t="array" ref="E116">INDEX('W21. Total generation capacity'!$E$10:$Q$90,MATCH($A116&amp;$B116,'W21. Total generation capacity'!$A$10:$A$90&amp;'W21. Total generation capacity'!$C$10:$C$90,0),MATCH(E$76,'W21. Total generation capacity'!$E$9:$Q$9,0))</f>
        <v/>
      </c>
      <c r="F116" s="14" t="str">
        <f t="array" ref="F116">INDEX('W21. Total generation capacity'!$E$10:$Q$90,MATCH($A116&amp;$B116,'W21. Total generation capacity'!$A$10:$A$90&amp;'W21. Total generation capacity'!$C$10:$C$90,0),MATCH(F$76,'W21. Total generation capacity'!$E$9:$Q$9,0))</f>
        <v/>
      </c>
      <c r="G116" s="14">
        <f t="array" ref="G116">INDEX('W21. Total generation capacity'!$E$10:$Q$90,MATCH($A116&amp;$B116,'W21. Total generation capacity'!$A$10:$A$90&amp;'W21. Total generation capacity'!$C$10:$C$90,0),MATCH(G$76,'W21. Total generation capacity'!$E$9:$Q$9,0))</f>
        <v>1.8191600000000002E-2</v>
      </c>
      <c r="H116" s="14">
        <f t="array" ref="H116">INDEX('W21. Total generation capacity'!$E$10:$Q$90,MATCH($A116&amp;$B116,'W21. Total generation capacity'!$A$10:$A$90&amp;'W21. Total generation capacity'!$C$10:$C$90,0),MATCH(H$76,'W21. Total generation capacity'!$E$9:$Q$9,0))</f>
        <v>3.7114500000000002E-2</v>
      </c>
      <c r="I116" s="14">
        <f t="array" ref="I116">INDEX('W21. Total generation capacity'!$E$10:$Q$90,MATCH($A116&amp;$B116,'W21. Total generation capacity'!$A$10:$A$90&amp;'W21. Total generation capacity'!$C$10:$C$90,0),MATCH(I$76,'W21. Total generation capacity'!$E$9:$Q$9,0))</f>
        <v>7.5953100000000009E-2</v>
      </c>
      <c r="J116" s="14">
        <f t="array" ref="J116">INDEX('W21. Total generation capacity'!$E$10:$Q$90,MATCH($A116&amp;$B116,'W21. Total generation capacity'!$A$10:$A$90&amp;'W21. Total generation capacity'!$C$10:$C$90,0),MATCH(J$76,'W21. Total generation capacity'!$E$9:$Q$9,0))</f>
        <v>0.11910530000000108</v>
      </c>
    </row>
    <row r="117" spans="1:10" x14ac:dyDescent="0.3">
      <c r="A117" s="3" t="s">
        <v>379</v>
      </c>
      <c r="B117" s="3" t="s">
        <v>256</v>
      </c>
      <c r="C117" s="14">
        <f t="array" ref="C117">INDEX('W21. Total generation capacity'!$E$10:$Q$90,MATCH($A117&amp;$B117,'W21. Total generation capacity'!$A$10:$A$90&amp;'W21. Total generation capacity'!$C$10:$C$90,0),MATCH(C$76,'W21. Total generation capacity'!$E$9:$Q$9,0))</f>
        <v>1.1769855</v>
      </c>
      <c r="D117" s="14" t="str">
        <f t="array" ref="D117">INDEX('W21. Total generation capacity'!$E$10:$Q$90,MATCH($A117&amp;$B117,'W21. Total generation capacity'!$A$10:$A$90&amp;'W21. Total generation capacity'!$C$10:$C$90,0),MATCH(D$76,'W21. Total generation capacity'!$E$9:$Q$9,0))</f>
        <v/>
      </c>
      <c r="E117" s="14" t="str">
        <f t="array" ref="E117">INDEX('W21. Total generation capacity'!$E$10:$Q$90,MATCH($A117&amp;$B117,'W21. Total generation capacity'!$A$10:$A$90&amp;'W21. Total generation capacity'!$C$10:$C$90,0),MATCH(E$76,'W21. Total generation capacity'!$E$9:$Q$9,0))</f>
        <v/>
      </c>
      <c r="F117" s="14" t="str">
        <f t="array" ref="F117">INDEX('W21. Total generation capacity'!$E$10:$Q$90,MATCH($A117&amp;$B117,'W21. Total generation capacity'!$A$10:$A$90&amp;'W21. Total generation capacity'!$C$10:$C$90,0),MATCH(F$76,'W21. Total generation capacity'!$E$9:$Q$9,0))</f>
        <v/>
      </c>
      <c r="G117" s="14">
        <f t="array" ref="G117">INDEX('W21. Total generation capacity'!$E$10:$Q$90,MATCH($A117&amp;$B117,'W21. Total generation capacity'!$A$10:$A$90&amp;'W21. Total generation capacity'!$C$10:$C$90,0),MATCH(G$76,'W21. Total generation capacity'!$E$9:$Q$9,0))</f>
        <v>1.3452045000000001</v>
      </c>
      <c r="H117" s="14">
        <f t="array" ref="H117">INDEX('W21. Total generation capacity'!$E$10:$Q$90,MATCH($A117&amp;$B117,'W21. Total generation capacity'!$A$10:$A$90&amp;'W21. Total generation capacity'!$C$10:$C$90,0),MATCH(H$76,'W21. Total generation capacity'!$E$9:$Q$9,0))</f>
        <v>1.6220486000000001</v>
      </c>
      <c r="I117" s="14">
        <f t="array" ref="I117">INDEX('W21. Total generation capacity'!$E$10:$Q$90,MATCH($A117&amp;$B117,'W21. Total generation capacity'!$A$10:$A$90&amp;'W21. Total generation capacity'!$C$10:$C$90,0),MATCH(I$76,'W21. Total generation capacity'!$E$9:$Q$9,0))</f>
        <v>1.8476301000000002</v>
      </c>
      <c r="J117" s="14">
        <f t="array" ref="J117">INDEX('W21. Total generation capacity'!$E$10:$Q$90,MATCH($A117&amp;$B117,'W21. Total generation capacity'!$A$10:$A$90&amp;'W21. Total generation capacity'!$C$10:$C$90,0),MATCH(J$76,'W21. Total generation capacity'!$E$9:$Q$9,0))</f>
        <v>2.0522007000000011</v>
      </c>
    </row>
    <row r="118" spans="1:10" x14ac:dyDescent="0.3">
      <c r="A118" s="3" t="s">
        <v>379</v>
      </c>
      <c r="B118" s="3" t="s">
        <v>257</v>
      </c>
      <c r="C118" s="14">
        <f t="array" ref="C118">INDEX('W21. Total generation capacity'!$E$10:$Q$90,MATCH($A118&amp;$B118,'W21. Total generation capacity'!$A$10:$A$90&amp;'W21. Total generation capacity'!$C$10:$C$90,0),MATCH(C$76,'W21. Total generation capacity'!$E$9:$Q$9,0))</f>
        <v>0.39768400000000004</v>
      </c>
      <c r="D118" s="14" t="str">
        <f t="array" ref="D118">INDEX('W21. Total generation capacity'!$E$10:$Q$90,MATCH($A118&amp;$B118,'W21. Total generation capacity'!$A$10:$A$90&amp;'W21. Total generation capacity'!$C$10:$C$90,0),MATCH(D$76,'W21. Total generation capacity'!$E$9:$Q$9,0))</f>
        <v/>
      </c>
      <c r="E118" s="14" t="str">
        <f t="array" ref="E118">INDEX('W21. Total generation capacity'!$E$10:$Q$90,MATCH($A118&amp;$B118,'W21. Total generation capacity'!$A$10:$A$90&amp;'W21. Total generation capacity'!$C$10:$C$90,0),MATCH(E$76,'W21. Total generation capacity'!$E$9:$Q$9,0))</f>
        <v/>
      </c>
      <c r="F118" s="14" t="str">
        <f t="array" ref="F118">INDEX('W21. Total generation capacity'!$E$10:$Q$90,MATCH($A118&amp;$B118,'W21. Total generation capacity'!$A$10:$A$90&amp;'W21. Total generation capacity'!$C$10:$C$90,0),MATCH(F$76,'W21. Total generation capacity'!$E$9:$Q$9,0))</f>
        <v/>
      </c>
      <c r="G118" s="14">
        <f t="array" ref="G118">INDEX('W21. Total generation capacity'!$E$10:$Q$90,MATCH($A118&amp;$B118,'W21. Total generation capacity'!$A$10:$A$90&amp;'W21. Total generation capacity'!$C$10:$C$90,0),MATCH(G$76,'W21. Total generation capacity'!$E$9:$Q$9,0))</f>
        <v>0.438365</v>
      </c>
      <c r="H118" s="14">
        <f t="array" ref="H118">INDEX('W21. Total generation capacity'!$E$10:$Q$90,MATCH($A118&amp;$B118,'W21. Total generation capacity'!$A$10:$A$90&amp;'W21. Total generation capacity'!$C$10:$C$90,0),MATCH(H$76,'W21. Total generation capacity'!$E$9:$Q$9,0))</f>
        <v>0.51998100000000003</v>
      </c>
      <c r="I118" s="14">
        <f t="array" ref="I118">INDEX('W21. Total generation capacity'!$E$10:$Q$90,MATCH($A118&amp;$B118,'W21. Total generation capacity'!$A$10:$A$90&amp;'W21. Total generation capacity'!$C$10:$C$90,0),MATCH(I$76,'W21. Total generation capacity'!$E$9:$Q$9,0))</f>
        <v>0.60623400000000005</v>
      </c>
      <c r="J118" s="14">
        <f t="array" ref="J118">INDEX('W21. Total generation capacity'!$E$10:$Q$90,MATCH($A118&amp;$B118,'W21. Total generation capacity'!$A$10:$A$90&amp;'W21. Total generation capacity'!$C$10:$C$90,0),MATCH(J$76,'W21. Total generation capacity'!$E$9:$Q$9,0))</f>
        <v>0.68777999999999884</v>
      </c>
    </row>
    <row r="119" spans="1:10" x14ac:dyDescent="0.3">
      <c r="A119" s="3" t="s">
        <v>379</v>
      </c>
      <c r="B119" s="3" t="s">
        <v>266</v>
      </c>
      <c r="C119" s="14">
        <f t="array" ref="C119">INDEX('W21. Total generation capacity'!$E$10:$Q$90,MATCH($A119&amp;$B119,'W21. Total generation capacity'!$A$10:$A$90&amp;'W21. Total generation capacity'!$C$10:$C$90,0),MATCH(C$76,'W21. Total generation capacity'!$E$9:$Q$9,0))</f>
        <v>0.44149310000000003</v>
      </c>
      <c r="D119" s="14" t="str">
        <f t="array" ref="D119">INDEX('W21. Total generation capacity'!$E$10:$Q$90,MATCH($A119&amp;$B119,'W21. Total generation capacity'!$A$10:$A$90&amp;'W21. Total generation capacity'!$C$10:$C$90,0),MATCH(D$76,'W21. Total generation capacity'!$E$9:$Q$9,0))</f>
        <v/>
      </c>
      <c r="E119" s="14" t="str">
        <f t="array" ref="E119">INDEX('W21. Total generation capacity'!$E$10:$Q$90,MATCH($A119&amp;$B119,'W21. Total generation capacity'!$A$10:$A$90&amp;'W21. Total generation capacity'!$C$10:$C$90,0),MATCH(E$76,'W21. Total generation capacity'!$E$9:$Q$9,0))</f>
        <v/>
      </c>
      <c r="F119" s="14" t="str">
        <f t="array" ref="F119">INDEX('W21. Total generation capacity'!$E$10:$Q$90,MATCH($A119&amp;$B119,'W21. Total generation capacity'!$A$10:$A$90&amp;'W21. Total generation capacity'!$C$10:$C$90,0),MATCH(F$76,'W21. Total generation capacity'!$E$9:$Q$9,0))</f>
        <v/>
      </c>
      <c r="G119" s="14">
        <f t="array" ref="G119">INDEX('W21. Total generation capacity'!$E$10:$Q$90,MATCH($A119&amp;$B119,'W21. Total generation capacity'!$A$10:$A$90&amp;'W21. Total generation capacity'!$C$10:$C$90,0),MATCH(G$76,'W21. Total generation capacity'!$E$9:$Q$9,0))</f>
        <v>0.3728166</v>
      </c>
      <c r="H119" s="14">
        <f t="array" ref="H119">INDEX('W21. Total generation capacity'!$E$10:$Q$90,MATCH($A119&amp;$B119,'W21. Total generation capacity'!$A$10:$A$90&amp;'W21. Total generation capacity'!$C$10:$C$90,0),MATCH(H$76,'W21. Total generation capacity'!$E$9:$Q$9,0))</f>
        <v>0.29212329999999997</v>
      </c>
      <c r="I119" s="14">
        <f t="array" ref="I119">INDEX('W21. Total generation capacity'!$E$10:$Q$90,MATCH($A119&amp;$B119,'W21. Total generation capacity'!$A$10:$A$90&amp;'W21. Total generation capacity'!$C$10:$C$90,0),MATCH(I$76,'W21. Total generation capacity'!$E$9:$Q$9,0))</f>
        <v>0.25414740000000002</v>
      </c>
      <c r="J119" s="14">
        <f t="array" ref="J119">INDEX('W21. Total generation capacity'!$E$10:$Q$90,MATCH($A119&amp;$B119,'W21. Total generation capacity'!$A$10:$A$90&amp;'W21. Total generation capacity'!$C$10:$C$90,0),MATCH(J$76,'W21. Total generation capacity'!$E$9:$Q$9,0))</f>
        <v>0.21595380000000022</v>
      </c>
    </row>
    <row r="120" spans="1:10" x14ac:dyDescent="0.3">
      <c r="A120" s="3" t="s">
        <v>379</v>
      </c>
      <c r="B120" s="3" t="s">
        <v>259</v>
      </c>
      <c r="C120" s="14">
        <f t="array" ref="C120">INDEX('W21. Total generation capacity'!$E$10:$Q$90,MATCH($A120&amp;$B120,'W21. Total generation capacity'!$A$10:$A$90&amp;'W21. Total generation capacity'!$C$10:$C$90,0),MATCH(C$76,'W21. Total generation capacity'!$E$9:$Q$9,0))</f>
        <v>0.18023169999999999</v>
      </c>
      <c r="D120" s="14" t="str">
        <f t="array" ref="D120">INDEX('W21. Total generation capacity'!$E$10:$Q$90,MATCH($A120&amp;$B120,'W21. Total generation capacity'!$A$10:$A$90&amp;'W21. Total generation capacity'!$C$10:$C$90,0),MATCH(D$76,'W21. Total generation capacity'!$E$9:$Q$9,0))</f>
        <v/>
      </c>
      <c r="E120" s="14" t="str">
        <f t="array" ref="E120">INDEX('W21. Total generation capacity'!$E$10:$Q$90,MATCH($A120&amp;$B120,'W21. Total generation capacity'!$A$10:$A$90&amp;'W21. Total generation capacity'!$C$10:$C$90,0),MATCH(E$76,'W21. Total generation capacity'!$E$9:$Q$9,0))</f>
        <v/>
      </c>
      <c r="F120" s="14" t="str">
        <f t="array" ref="F120">INDEX('W21. Total generation capacity'!$E$10:$Q$90,MATCH($A120&amp;$B120,'W21. Total generation capacity'!$A$10:$A$90&amp;'W21. Total generation capacity'!$C$10:$C$90,0),MATCH(F$76,'W21. Total generation capacity'!$E$9:$Q$9,0))</f>
        <v/>
      </c>
      <c r="G120" s="14">
        <f t="array" ref="G120">INDEX('W21. Total generation capacity'!$E$10:$Q$90,MATCH($A120&amp;$B120,'W21. Total generation capacity'!$A$10:$A$90&amp;'W21. Total generation capacity'!$C$10:$C$90,0),MATCH(G$76,'W21. Total generation capacity'!$E$9:$Q$9,0))</f>
        <v>0.49161830000000001</v>
      </c>
      <c r="H120" s="14">
        <f t="array" ref="H120">INDEX('W21. Total generation capacity'!$E$10:$Q$90,MATCH($A120&amp;$B120,'W21. Total generation capacity'!$A$10:$A$90&amp;'W21. Total generation capacity'!$C$10:$C$90,0),MATCH(H$76,'W21. Total generation capacity'!$E$9:$Q$9,0))</f>
        <v>0.9834653000000001</v>
      </c>
      <c r="I120" s="14">
        <f t="array" ref="I120">INDEX('W21. Total generation capacity'!$E$10:$Q$90,MATCH($A120&amp;$B120,'W21. Total generation capacity'!$A$10:$A$90&amp;'W21. Total generation capacity'!$C$10:$C$90,0),MATCH(I$76,'W21. Total generation capacity'!$E$9:$Q$9,0))</f>
        <v>1.4805432000000001</v>
      </c>
      <c r="J120" s="14">
        <f t="array" ref="J120">INDEX('W21. Total generation capacity'!$E$10:$Q$90,MATCH($A120&amp;$B120,'W21. Total generation capacity'!$A$10:$A$90&amp;'W21. Total generation capacity'!$C$10:$C$90,0),MATCH(J$76,'W21. Total generation capacity'!$E$9:$Q$9,0))</f>
        <v>1.9689225999999926</v>
      </c>
    </row>
    <row r="121" spans="1:10" x14ac:dyDescent="0.3">
      <c r="A121" s="3" t="s">
        <v>379</v>
      </c>
      <c r="B121" s="3" t="s">
        <v>260</v>
      </c>
      <c r="C121" s="14">
        <f t="array" ref="C121">INDEX('W21. Total generation capacity'!$E$10:$Q$90,MATCH($A121&amp;$B121,'W21. Total generation capacity'!$A$10:$A$90&amp;'W21. Total generation capacity'!$C$10:$C$90,0),MATCH(C$76,'W21. Total generation capacity'!$E$9:$Q$9,0))</f>
        <v>0.35104289999999999</v>
      </c>
      <c r="D121" s="14" t="str">
        <f t="array" ref="D121">INDEX('W21. Total generation capacity'!$E$10:$Q$90,MATCH($A121&amp;$B121,'W21. Total generation capacity'!$A$10:$A$90&amp;'W21. Total generation capacity'!$C$10:$C$90,0),MATCH(D$76,'W21. Total generation capacity'!$E$9:$Q$9,0))</f>
        <v/>
      </c>
      <c r="E121" s="14" t="str">
        <f t="array" ref="E121">INDEX('W21. Total generation capacity'!$E$10:$Q$90,MATCH($A121&amp;$B121,'W21. Total generation capacity'!$A$10:$A$90&amp;'W21. Total generation capacity'!$C$10:$C$90,0),MATCH(E$76,'W21. Total generation capacity'!$E$9:$Q$9,0))</f>
        <v/>
      </c>
      <c r="F121" s="14" t="str">
        <f t="array" ref="F121">INDEX('W21. Total generation capacity'!$E$10:$Q$90,MATCH($A121&amp;$B121,'W21. Total generation capacity'!$A$10:$A$90&amp;'W21. Total generation capacity'!$C$10:$C$90,0),MATCH(F$76,'W21. Total generation capacity'!$E$9:$Q$9,0))</f>
        <v/>
      </c>
      <c r="G121" s="14">
        <f t="array" ref="G121">INDEX('W21. Total generation capacity'!$E$10:$Q$90,MATCH($A121&amp;$B121,'W21. Total generation capacity'!$A$10:$A$90&amp;'W21. Total generation capacity'!$C$10:$C$90,0),MATCH(G$76,'W21. Total generation capacity'!$E$9:$Q$9,0))</f>
        <v>0.67027499999999995</v>
      </c>
      <c r="H121" s="14">
        <f t="array" ref="H121">INDEX('W21. Total generation capacity'!$E$10:$Q$90,MATCH($A121&amp;$B121,'W21. Total generation capacity'!$A$10:$A$90&amp;'W21. Total generation capacity'!$C$10:$C$90,0),MATCH(H$76,'W21. Total generation capacity'!$E$9:$Q$9,0))</f>
        <v>1.1191264000000001</v>
      </c>
      <c r="I121" s="14">
        <f t="array" ref="I121">INDEX('W21. Total generation capacity'!$E$10:$Q$90,MATCH($A121&amp;$B121,'W21. Total generation capacity'!$A$10:$A$90&amp;'W21. Total generation capacity'!$C$10:$C$90,0),MATCH(I$76,'W21. Total generation capacity'!$E$9:$Q$9,0))</f>
        <v>1.5041343</v>
      </c>
      <c r="J121" s="14">
        <f t="array" ref="J121">INDEX('W21. Total generation capacity'!$E$10:$Q$90,MATCH($A121&amp;$B121,'W21. Total generation capacity'!$A$10:$A$90&amp;'W21. Total generation capacity'!$C$10:$C$90,0),MATCH(J$76,'W21. Total generation capacity'!$E$9:$Q$9,0))</f>
        <v>1.8737884999999952</v>
      </c>
    </row>
    <row r="122" spans="1:10" x14ac:dyDescent="0.3">
      <c r="A122" s="3" t="s">
        <v>380</v>
      </c>
      <c r="B122" s="3" t="s">
        <v>253</v>
      </c>
      <c r="C122" s="14">
        <f t="array" ref="C122">INDEX('W21. Total generation capacity'!$E$10:$Q$90,MATCH($A122&amp;$B122,'W21. Total generation capacity'!$A$10:$A$90&amp;'W21. Total generation capacity'!$C$10:$C$90,0),MATCH(C$76,'W21. Total generation capacity'!$E$9:$Q$9,0))</f>
        <v>0.1125169</v>
      </c>
      <c r="D122" s="14" t="str">
        <f t="array" ref="D122">INDEX('W21. Total generation capacity'!$E$10:$Q$90,MATCH($A122&amp;$B122,'W21. Total generation capacity'!$A$10:$A$90&amp;'W21. Total generation capacity'!$C$10:$C$90,0),MATCH(D$76,'W21. Total generation capacity'!$E$9:$Q$9,0))</f>
        <v/>
      </c>
      <c r="E122" s="14" t="str">
        <f t="array" ref="E122">INDEX('W21. Total generation capacity'!$E$10:$Q$90,MATCH($A122&amp;$B122,'W21. Total generation capacity'!$A$10:$A$90&amp;'W21. Total generation capacity'!$C$10:$C$90,0),MATCH(E$76,'W21. Total generation capacity'!$E$9:$Q$9,0))</f>
        <v/>
      </c>
      <c r="F122" s="14" t="str">
        <f t="array" ref="F122">INDEX('W21. Total generation capacity'!$E$10:$Q$90,MATCH($A122&amp;$B122,'W21. Total generation capacity'!$A$10:$A$90&amp;'W21. Total generation capacity'!$C$10:$C$90,0),MATCH(F$76,'W21. Total generation capacity'!$E$9:$Q$9,0))</f>
        <v/>
      </c>
      <c r="G122" s="14">
        <f t="array" ref="G122">INDEX('W21. Total generation capacity'!$E$10:$Q$90,MATCH($A122&amp;$B122,'W21. Total generation capacity'!$A$10:$A$90&amp;'W21. Total generation capacity'!$C$10:$C$90,0),MATCH(G$76,'W21. Total generation capacity'!$E$9:$Q$9,0))</f>
        <v>0.14129359999999999</v>
      </c>
      <c r="H122" s="14">
        <f t="array" ref="H122">INDEX('W21. Total generation capacity'!$E$10:$Q$90,MATCH($A122&amp;$B122,'W21. Total generation capacity'!$A$10:$A$90&amp;'W21. Total generation capacity'!$C$10:$C$90,0),MATCH(H$76,'W21. Total generation capacity'!$E$9:$Q$9,0))</f>
        <v>0.23348840000000001</v>
      </c>
      <c r="I122" s="14">
        <f t="array" ref="I122">INDEX('W21. Total generation capacity'!$E$10:$Q$90,MATCH($A122&amp;$B122,'W21. Total generation capacity'!$A$10:$A$90&amp;'W21. Total generation capacity'!$C$10:$C$90,0),MATCH(I$76,'W21. Total generation capacity'!$E$9:$Q$9,0))</f>
        <v>0.3622688</v>
      </c>
      <c r="J122" s="14">
        <f t="array" ref="J122">INDEX('W21. Total generation capacity'!$E$10:$Q$90,MATCH($A122&amp;$B122,'W21. Total generation capacity'!$A$10:$A$90&amp;'W21. Total generation capacity'!$C$10:$C$90,0),MATCH(J$76,'W21. Total generation capacity'!$E$9:$Q$9,0))</f>
        <v>0.49104919999999996</v>
      </c>
    </row>
    <row r="123" spans="1:10" x14ac:dyDescent="0.3">
      <c r="A123" s="3" t="s">
        <v>380</v>
      </c>
      <c r="B123" s="3" t="s">
        <v>254</v>
      </c>
      <c r="C123" s="14">
        <f t="array" ref="C123">INDEX('W21. Total generation capacity'!$E$10:$Q$90,MATCH($A123&amp;$B123,'W21. Total generation capacity'!$A$10:$A$90&amp;'W21. Total generation capacity'!$C$10:$C$90,0),MATCH(C$76,'W21. Total generation capacity'!$E$9:$Q$9,0))</f>
        <v>1.8819429999999999</v>
      </c>
      <c r="D123" s="14" t="str">
        <f t="array" ref="D123">INDEX('W21. Total generation capacity'!$E$10:$Q$90,MATCH($A123&amp;$B123,'W21. Total generation capacity'!$A$10:$A$90&amp;'W21. Total generation capacity'!$C$10:$C$90,0),MATCH(D$76,'W21. Total generation capacity'!$E$9:$Q$9,0))</f>
        <v/>
      </c>
      <c r="E123" s="14" t="str">
        <f t="array" ref="E123">INDEX('W21. Total generation capacity'!$E$10:$Q$90,MATCH($A123&amp;$B123,'W21. Total generation capacity'!$A$10:$A$90&amp;'W21. Total generation capacity'!$C$10:$C$90,0),MATCH(E$76,'W21. Total generation capacity'!$E$9:$Q$9,0))</f>
        <v/>
      </c>
      <c r="F123" s="14" t="str">
        <f t="array" ref="F123">INDEX('W21. Total generation capacity'!$E$10:$Q$90,MATCH($A123&amp;$B123,'W21. Total generation capacity'!$A$10:$A$90&amp;'W21. Total generation capacity'!$C$10:$C$90,0),MATCH(F$76,'W21. Total generation capacity'!$E$9:$Q$9,0))</f>
        <v/>
      </c>
      <c r="G123" s="14">
        <f t="array" ref="G123">INDEX('W21. Total generation capacity'!$E$10:$Q$90,MATCH($A123&amp;$B123,'W21. Total generation capacity'!$A$10:$A$90&amp;'W21. Total generation capacity'!$C$10:$C$90,0),MATCH(G$76,'W21. Total generation capacity'!$E$9:$Q$9,0))</f>
        <v>2.0939652999999998</v>
      </c>
      <c r="H123" s="14">
        <f t="array" ref="H123">INDEX('W21. Total generation capacity'!$E$10:$Q$90,MATCH($A123&amp;$B123,'W21. Total generation capacity'!$A$10:$A$90&amp;'W21. Total generation capacity'!$C$10:$C$90,0),MATCH(H$76,'W21. Total generation capacity'!$E$9:$Q$9,0))</f>
        <v>1.6867897000000001</v>
      </c>
      <c r="I123" s="14">
        <f t="array" ref="I123">INDEX('W21. Total generation capacity'!$E$10:$Q$90,MATCH($A123&amp;$B123,'W21. Total generation capacity'!$A$10:$A$90&amp;'W21. Total generation capacity'!$C$10:$C$90,0),MATCH(I$76,'W21. Total generation capacity'!$E$9:$Q$9,0))</f>
        <v>1.1936900000000001</v>
      </c>
      <c r="J123" s="14">
        <f t="array" ref="J123">INDEX('W21. Total generation capacity'!$E$10:$Q$90,MATCH($A123&amp;$B123,'W21. Total generation capacity'!$A$10:$A$90&amp;'W21. Total generation capacity'!$C$10:$C$90,0),MATCH(J$76,'W21. Total generation capacity'!$E$9:$Q$9,0))</f>
        <v>0.70059030000000011</v>
      </c>
    </row>
    <row r="124" spans="1:10" x14ac:dyDescent="0.3">
      <c r="A124" s="3" t="s">
        <v>380</v>
      </c>
      <c r="B124" s="3" t="s">
        <v>255</v>
      </c>
      <c r="C124" s="14">
        <f t="array" ref="C124">INDEX('W21. Total generation capacity'!$E$10:$Q$90,MATCH($A124&amp;$B124,'W21. Total generation capacity'!$A$10:$A$90&amp;'W21. Total generation capacity'!$C$10:$C$90,0),MATCH(C$76,'W21. Total generation capacity'!$E$9:$Q$9,0))</f>
        <v>1.5625580999999999</v>
      </c>
      <c r="D124" s="14" t="str">
        <f t="array" ref="D124">INDEX('W21. Total generation capacity'!$E$10:$Q$90,MATCH($A124&amp;$B124,'W21. Total generation capacity'!$A$10:$A$90&amp;'W21. Total generation capacity'!$C$10:$C$90,0),MATCH(D$76,'W21. Total generation capacity'!$E$9:$Q$9,0))</f>
        <v/>
      </c>
      <c r="E124" s="14" t="str">
        <f t="array" ref="E124">INDEX('W21. Total generation capacity'!$E$10:$Q$90,MATCH($A124&amp;$B124,'W21. Total generation capacity'!$A$10:$A$90&amp;'W21. Total generation capacity'!$C$10:$C$90,0),MATCH(E$76,'W21. Total generation capacity'!$E$9:$Q$9,0))</f>
        <v/>
      </c>
      <c r="F124" s="14" t="str">
        <f t="array" ref="F124">INDEX('W21. Total generation capacity'!$E$10:$Q$90,MATCH($A124&amp;$B124,'W21. Total generation capacity'!$A$10:$A$90&amp;'W21. Total generation capacity'!$C$10:$C$90,0),MATCH(F$76,'W21. Total generation capacity'!$E$9:$Q$9,0))</f>
        <v/>
      </c>
      <c r="G124" s="14">
        <f t="array" ref="G124">INDEX('W21. Total generation capacity'!$E$10:$Q$90,MATCH($A124&amp;$B124,'W21. Total generation capacity'!$A$10:$A$90&amp;'W21. Total generation capacity'!$C$10:$C$90,0),MATCH(G$76,'W21. Total generation capacity'!$E$9:$Q$9,0))</f>
        <v>1.7885685</v>
      </c>
      <c r="H124" s="14">
        <f t="array" ref="H124">INDEX('W21. Total generation capacity'!$E$10:$Q$90,MATCH($A124&amp;$B124,'W21. Total generation capacity'!$A$10:$A$90&amp;'W21. Total generation capacity'!$C$10:$C$90,0),MATCH(H$76,'W21. Total generation capacity'!$E$9:$Q$9,0))</f>
        <v>2.0096341</v>
      </c>
      <c r="I124" s="14">
        <f t="array" ref="I124">INDEX('W21. Total generation capacity'!$E$10:$Q$90,MATCH($A124&amp;$B124,'W21. Total generation capacity'!$A$10:$A$90&amp;'W21. Total generation capacity'!$C$10:$C$90,0),MATCH(I$76,'W21. Total generation capacity'!$E$9:$Q$9,0))</f>
        <v>2.2508498000000001</v>
      </c>
      <c r="J124" s="14">
        <f t="array" ref="J124">INDEX('W21. Total generation capacity'!$E$10:$Q$90,MATCH($A124&amp;$B124,'W21. Total generation capacity'!$A$10:$A$90&amp;'W21. Total generation capacity'!$C$10:$C$90,0),MATCH(J$76,'W21. Total generation capacity'!$E$9:$Q$9,0))</f>
        <v>2.4920654999999998</v>
      </c>
    </row>
    <row r="125" spans="1:10" x14ac:dyDescent="0.3">
      <c r="A125" s="3" t="s">
        <v>380</v>
      </c>
      <c r="B125" s="3" t="s">
        <v>258</v>
      </c>
      <c r="C125" s="14">
        <f t="array" ref="C125">INDEX('W21. Total generation capacity'!$E$10:$Q$90,MATCH($A125&amp;$B125,'W21. Total generation capacity'!$A$10:$A$90&amp;'W21. Total generation capacity'!$C$10:$C$90,0),MATCH(C$76,'W21. Total generation capacity'!$E$9:$Q$9,0))</f>
        <v>1.2940799999999999E-2</v>
      </c>
      <c r="D125" s="14" t="str">
        <f t="array" ref="D125">INDEX('W21. Total generation capacity'!$E$10:$Q$90,MATCH($A125&amp;$B125,'W21. Total generation capacity'!$A$10:$A$90&amp;'W21. Total generation capacity'!$C$10:$C$90,0),MATCH(D$76,'W21. Total generation capacity'!$E$9:$Q$9,0))</f>
        <v/>
      </c>
      <c r="E125" s="14" t="str">
        <f t="array" ref="E125">INDEX('W21. Total generation capacity'!$E$10:$Q$90,MATCH($A125&amp;$B125,'W21. Total generation capacity'!$A$10:$A$90&amp;'W21. Total generation capacity'!$C$10:$C$90,0),MATCH(E$76,'W21. Total generation capacity'!$E$9:$Q$9,0))</f>
        <v/>
      </c>
      <c r="F125" s="14" t="str">
        <f t="array" ref="F125">INDEX('W21. Total generation capacity'!$E$10:$Q$90,MATCH($A125&amp;$B125,'W21. Total generation capacity'!$A$10:$A$90&amp;'W21. Total generation capacity'!$C$10:$C$90,0),MATCH(F$76,'W21. Total generation capacity'!$E$9:$Q$9,0))</f>
        <v/>
      </c>
      <c r="G125" s="14">
        <f t="array" ref="G125">INDEX('W21. Total generation capacity'!$E$10:$Q$90,MATCH($A125&amp;$B125,'W21. Total generation capacity'!$A$10:$A$90&amp;'W21. Total generation capacity'!$C$10:$C$90,0),MATCH(G$76,'W21. Total generation capacity'!$E$9:$Q$9,0))</f>
        <v>1.8714700000000001E-2</v>
      </c>
      <c r="H125" s="14">
        <f t="array" ref="H125">INDEX('W21. Total generation capacity'!$E$10:$Q$90,MATCH($A125&amp;$B125,'W21. Total generation capacity'!$A$10:$A$90&amp;'W21. Total generation capacity'!$C$10:$C$90,0),MATCH(H$76,'W21. Total generation capacity'!$E$9:$Q$9,0))</f>
        <v>5.2268000000000002E-2</v>
      </c>
      <c r="I125" s="14">
        <f t="array" ref="I125">INDEX('W21. Total generation capacity'!$E$10:$Q$90,MATCH($A125&amp;$B125,'W21. Total generation capacity'!$A$10:$A$90&amp;'W21. Total generation capacity'!$C$10:$C$90,0),MATCH(I$76,'W21. Total generation capacity'!$E$9:$Q$9,0))</f>
        <v>0.1161531</v>
      </c>
      <c r="J125" s="14">
        <f t="array" ref="J125">INDEX('W21. Total generation capacity'!$E$10:$Q$90,MATCH($A125&amp;$B125,'W21. Total generation capacity'!$A$10:$A$90&amp;'W21. Total generation capacity'!$C$10:$C$90,0),MATCH(J$76,'W21. Total generation capacity'!$E$9:$Q$9,0))</f>
        <v>0.18003820000000001</v>
      </c>
    </row>
    <row r="126" spans="1:10" x14ac:dyDescent="0.3">
      <c r="A126" s="3" t="s">
        <v>380</v>
      </c>
      <c r="B126" s="3" t="s">
        <v>256</v>
      </c>
      <c r="C126" s="14">
        <f t="array" ref="C126">INDEX('W21. Total generation capacity'!$E$10:$Q$90,MATCH($A126&amp;$B126,'W21. Total generation capacity'!$A$10:$A$90&amp;'W21. Total generation capacity'!$C$10:$C$90,0),MATCH(C$76,'W21. Total generation capacity'!$E$9:$Q$9,0))</f>
        <v>1.1769855</v>
      </c>
      <c r="D126" s="14" t="str">
        <f t="array" ref="D126">INDEX('W21. Total generation capacity'!$E$10:$Q$90,MATCH($A126&amp;$B126,'W21. Total generation capacity'!$A$10:$A$90&amp;'W21. Total generation capacity'!$C$10:$C$90,0),MATCH(D$76,'W21. Total generation capacity'!$E$9:$Q$9,0))</f>
        <v/>
      </c>
      <c r="E126" s="14" t="str">
        <f t="array" ref="E126">INDEX('W21. Total generation capacity'!$E$10:$Q$90,MATCH($A126&amp;$B126,'W21. Total generation capacity'!$A$10:$A$90&amp;'W21. Total generation capacity'!$C$10:$C$90,0),MATCH(E$76,'W21. Total generation capacity'!$E$9:$Q$9,0))</f>
        <v/>
      </c>
      <c r="F126" s="14" t="str">
        <f t="array" ref="F126">INDEX('W21. Total generation capacity'!$E$10:$Q$90,MATCH($A126&amp;$B126,'W21. Total generation capacity'!$A$10:$A$90&amp;'W21. Total generation capacity'!$C$10:$C$90,0),MATCH(F$76,'W21. Total generation capacity'!$E$9:$Q$9,0))</f>
        <v/>
      </c>
      <c r="G126" s="14">
        <f t="array" ref="G126">INDEX('W21. Total generation capacity'!$E$10:$Q$90,MATCH($A126&amp;$B126,'W21. Total generation capacity'!$A$10:$A$90&amp;'W21. Total generation capacity'!$C$10:$C$90,0),MATCH(G$76,'W21. Total generation capacity'!$E$9:$Q$9,0))</f>
        <v>1.3477327000000001</v>
      </c>
      <c r="H126" s="14">
        <f t="array" ref="H126">INDEX('W21. Total generation capacity'!$E$10:$Q$90,MATCH($A126&amp;$B126,'W21. Total generation capacity'!$A$10:$A$90&amp;'W21. Total generation capacity'!$C$10:$C$90,0),MATCH(H$76,'W21. Total generation capacity'!$E$9:$Q$9,0))</f>
        <v>1.7180426</v>
      </c>
      <c r="I126" s="14">
        <f t="array" ref="I126">INDEX('W21. Total generation capacity'!$E$10:$Q$90,MATCH($A126&amp;$B126,'W21. Total generation capacity'!$A$10:$A$90&amp;'W21. Total generation capacity'!$C$10:$C$90,0),MATCH(I$76,'W21. Total generation capacity'!$E$9:$Q$9,0))</f>
        <v>2.0569617999999998</v>
      </c>
      <c r="J126" s="14">
        <f t="array" ref="J126">INDEX('W21. Total generation capacity'!$E$10:$Q$90,MATCH($A126&amp;$B126,'W21. Total generation capacity'!$A$10:$A$90&amp;'W21. Total generation capacity'!$C$10:$C$90,0),MATCH(J$76,'W21. Total generation capacity'!$E$9:$Q$9,0))</f>
        <v>2.3958810000000001</v>
      </c>
    </row>
    <row r="127" spans="1:10" x14ac:dyDescent="0.3">
      <c r="A127" s="3" t="s">
        <v>380</v>
      </c>
      <c r="B127" s="3" t="s">
        <v>257</v>
      </c>
      <c r="C127" s="14">
        <f t="array" ref="C127">INDEX('W21. Total generation capacity'!$E$10:$Q$90,MATCH($A127&amp;$B127,'W21. Total generation capacity'!$A$10:$A$90&amp;'W21. Total generation capacity'!$C$10:$C$90,0),MATCH(C$76,'W21. Total generation capacity'!$E$9:$Q$9,0))</f>
        <v>0.39768400000000004</v>
      </c>
      <c r="D127" s="14" t="str">
        <f t="array" ref="D127">INDEX('W21. Total generation capacity'!$E$10:$Q$90,MATCH($A127&amp;$B127,'W21. Total generation capacity'!$A$10:$A$90&amp;'W21. Total generation capacity'!$C$10:$C$90,0),MATCH(D$76,'W21. Total generation capacity'!$E$9:$Q$9,0))</f>
        <v/>
      </c>
      <c r="E127" s="14" t="str">
        <f t="array" ref="E127">INDEX('W21. Total generation capacity'!$E$10:$Q$90,MATCH($A127&amp;$B127,'W21. Total generation capacity'!$A$10:$A$90&amp;'W21. Total generation capacity'!$C$10:$C$90,0),MATCH(E$76,'W21. Total generation capacity'!$E$9:$Q$9,0))</f>
        <v/>
      </c>
      <c r="F127" s="14" t="str">
        <f t="array" ref="F127">INDEX('W21. Total generation capacity'!$E$10:$Q$90,MATCH($A127&amp;$B127,'W21. Total generation capacity'!$A$10:$A$90&amp;'W21. Total generation capacity'!$C$10:$C$90,0),MATCH(F$76,'W21. Total generation capacity'!$E$9:$Q$9,0))</f>
        <v/>
      </c>
      <c r="G127" s="14">
        <f t="array" ref="G127">INDEX('W21. Total generation capacity'!$E$10:$Q$90,MATCH($A127&amp;$B127,'W21. Total generation capacity'!$A$10:$A$90&amp;'W21. Total generation capacity'!$C$10:$C$90,0),MATCH(G$76,'W21. Total generation capacity'!$E$9:$Q$9,0))</f>
        <v>0.44884199999999996</v>
      </c>
      <c r="H127" s="14">
        <f t="array" ref="H127">INDEX('W21. Total generation capacity'!$E$10:$Q$90,MATCH($A127&amp;$B127,'W21. Total generation capacity'!$A$10:$A$90&amp;'W21. Total generation capacity'!$C$10:$C$90,0),MATCH(H$76,'W21. Total generation capacity'!$E$9:$Q$9,0))</f>
        <v>0.64179439999999999</v>
      </c>
      <c r="I127" s="14">
        <f t="array" ref="I127">INDEX('W21. Total generation capacity'!$E$10:$Q$90,MATCH($A127&amp;$B127,'W21. Total generation capacity'!$A$10:$A$90&amp;'W21. Total generation capacity'!$C$10:$C$90,0),MATCH(I$76,'W21. Total generation capacity'!$E$9:$Q$9,0))</f>
        <v>0.81965650000000001</v>
      </c>
      <c r="J127" s="14">
        <f t="array" ref="J127">INDEX('W21. Total generation capacity'!$E$10:$Q$90,MATCH($A127&amp;$B127,'W21. Total generation capacity'!$A$10:$A$90&amp;'W21. Total generation capacity'!$C$10:$C$90,0),MATCH(J$76,'W21. Total generation capacity'!$E$9:$Q$9,0))</f>
        <v>0.99751860000000014</v>
      </c>
    </row>
    <row r="128" spans="1:10" x14ac:dyDescent="0.3">
      <c r="A128" s="3" t="s">
        <v>380</v>
      </c>
      <c r="B128" s="3" t="s">
        <v>266</v>
      </c>
      <c r="C128" s="14">
        <f t="array" ref="C128">INDEX('W21. Total generation capacity'!$E$10:$Q$90,MATCH($A128&amp;$B128,'W21. Total generation capacity'!$A$10:$A$90&amp;'W21. Total generation capacity'!$C$10:$C$90,0),MATCH(C$76,'W21. Total generation capacity'!$E$9:$Q$9,0))</f>
        <v>0.44149310000000003</v>
      </c>
      <c r="D128" s="14" t="str">
        <f t="array" ref="D128">INDEX('W21. Total generation capacity'!$E$10:$Q$90,MATCH($A128&amp;$B128,'W21. Total generation capacity'!$A$10:$A$90&amp;'W21. Total generation capacity'!$C$10:$C$90,0),MATCH(D$76,'W21. Total generation capacity'!$E$9:$Q$9,0))</f>
        <v/>
      </c>
      <c r="E128" s="14" t="str">
        <f t="array" ref="E128">INDEX('W21. Total generation capacity'!$E$10:$Q$90,MATCH($A128&amp;$B128,'W21. Total generation capacity'!$A$10:$A$90&amp;'W21. Total generation capacity'!$C$10:$C$90,0),MATCH(E$76,'W21. Total generation capacity'!$E$9:$Q$9,0))</f>
        <v/>
      </c>
      <c r="F128" s="14" t="str">
        <f t="array" ref="F128">INDEX('W21. Total generation capacity'!$E$10:$Q$90,MATCH($A128&amp;$B128,'W21. Total generation capacity'!$A$10:$A$90&amp;'W21. Total generation capacity'!$C$10:$C$90,0),MATCH(F$76,'W21. Total generation capacity'!$E$9:$Q$9,0))</f>
        <v/>
      </c>
      <c r="G128" s="14">
        <f t="array" ref="G128">INDEX('W21. Total generation capacity'!$E$10:$Q$90,MATCH($A128&amp;$B128,'W21. Total generation capacity'!$A$10:$A$90&amp;'W21. Total generation capacity'!$C$10:$C$90,0),MATCH(G$76,'W21. Total generation capacity'!$E$9:$Q$9,0))</f>
        <v>0.36679869999999998</v>
      </c>
      <c r="H128" s="14">
        <f t="array" ref="H128">INDEX('W21. Total generation capacity'!$E$10:$Q$90,MATCH($A128&amp;$B128,'W21. Total generation capacity'!$A$10:$A$90&amp;'W21. Total generation capacity'!$C$10:$C$90,0),MATCH(H$76,'W21. Total generation capacity'!$E$9:$Q$9,0))</f>
        <v>0.26125609999999999</v>
      </c>
      <c r="I128" s="14">
        <f t="array" ref="I128">INDEX('W21. Total generation capacity'!$E$10:$Q$90,MATCH($A128&amp;$B128,'W21. Total generation capacity'!$A$10:$A$90&amp;'W21. Total generation capacity'!$C$10:$C$90,0),MATCH(I$76,'W21. Total generation capacity'!$E$9:$Q$9,0))</f>
        <v>0.2105995</v>
      </c>
      <c r="J128" s="14">
        <f t="array" ref="J128">INDEX('W21. Total generation capacity'!$E$10:$Q$90,MATCH($A128&amp;$B128,'W21. Total generation capacity'!$A$10:$A$90&amp;'W21. Total generation capacity'!$C$10:$C$90,0),MATCH(J$76,'W21. Total generation capacity'!$E$9:$Q$9,0))</f>
        <v>0.1599429</v>
      </c>
    </row>
    <row r="129" spans="1:10" x14ac:dyDescent="0.3">
      <c r="A129" s="3" t="s">
        <v>380</v>
      </c>
      <c r="B129" s="3" t="s">
        <v>259</v>
      </c>
      <c r="C129" s="14">
        <f t="array" ref="C129">INDEX('W21. Total generation capacity'!$E$10:$Q$90,MATCH($A129&amp;$B129,'W21. Total generation capacity'!$A$10:$A$90&amp;'W21. Total generation capacity'!$C$10:$C$90,0),MATCH(C$76,'W21. Total generation capacity'!$E$9:$Q$9,0))</f>
        <v>0.18023169999999999</v>
      </c>
      <c r="D129" s="14" t="str">
        <f t="array" ref="D129">INDEX('W21. Total generation capacity'!$E$10:$Q$90,MATCH($A129&amp;$B129,'W21. Total generation capacity'!$A$10:$A$90&amp;'W21. Total generation capacity'!$C$10:$C$90,0),MATCH(D$76,'W21. Total generation capacity'!$E$9:$Q$9,0))</f>
        <v/>
      </c>
      <c r="E129" s="14" t="str">
        <f t="array" ref="E129">INDEX('W21. Total generation capacity'!$E$10:$Q$90,MATCH($A129&amp;$B129,'W21. Total generation capacity'!$A$10:$A$90&amp;'W21. Total generation capacity'!$C$10:$C$90,0),MATCH(E$76,'W21. Total generation capacity'!$E$9:$Q$9,0))</f>
        <v/>
      </c>
      <c r="F129" s="14" t="str">
        <f t="array" ref="F129">INDEX('W21. Total generation capacity'!$E$10:$Q$90,MATCH($A129&amp;$B129,'W21. Total generation capacity'!$A$10:$A$90&amp;'W21. Total generation capacity'!$C$10:$C$90,0),MATCH(F$76,'W21. Total generation capacity'!$E$9:$Q$9,0))</f>
        <v/>
      </c>
      <c r="G129" s="14">
        <f t="array" ref="G129">INDEX('W21. Total generation capacity'!$E$10:$Q$90,MATCH($A129&amp;$B129,'W21. Total generation capacity'!$A$10:$A$90&amp;'W21. Total generation capacity'!$C$10:$C$90,0),MATCH(G$76,'W21. Total generation capacity'!$E$9:$Q$9,0))</f>
        <v>0.53052759999999999</v>
      </c>
      <c r="H129" s="14">
        <f t="array" ref="H129">INDEX('W21. Total generation capacity'!$E$10:$Q$90,MATCH($A129&amp;$B129,'W21. Total generation capacity'!$A$10:$A$90&amp;'W21. Total generation capacity'!$C$10:$C$90,0),MATCH(H$76,'W21. Total generation capacity'!$E$9:$Q$9,0))</f>
        <v>1.3788385000000001</v>
      </c>
      <c r="I129" s="14">
        <f t="array" ref="I129">INDEX('W21. Total generation capacity'!$E$10:$Q$90,MATCH($A129&amp;$B129,'W21. Total generation capacity'!$A$10:$A$90&amp;'W21. Total generation capacity'!$C$10:$C$90,0),MATCH(I$76,'W21. Total generation capacity'!$E$9:$Q$9,0))</f>
        <v>2.4445135000000002</v>
      </c>
      <c r="J129" s="14">
        <f t="array" ref="J129">INDEX('W21. Total generation capacity'!$E$10:$Q$90,MATCH($A129&amp;$B129,'W21. Total generation capacity'!$A$10:$A$90&amp;'W21. Total generation capacity'!$C$10:$C$90,0),MATCH(J$76,'W21. Total generation capacity'!$E$9:$Q$9,0))</f>
        <v>3.5101885000000004</v>
      </c>
    </row>
    <row r="130" spans="1:10" x14ac:dyDescent="0.3">
      <c r="A130" s="3" t="s">
        <v>380</v>
      </c>
      <c r="B130" s="3" t="s">
        <v>260</v>
      </c>
      <c r="C130" s="14">
        <f t="array" ref="C130">INDEX('W21. Total generation capacity'!$E$10:$Q$90,MATCH($A130&amp;$B130,'W21. Total generation capacity'!$A$10:$A$90&amp;'W21. Total generation capacity'!$C$10:$C$90,0),MATCH(C$76,'W21. Total generation capacity'!$E$9:$Q$9,0))</f>
        <v>0.35104289999999999</v>
      </c>
      <c r="D130" s="14" t="str">
        <f t="array" ref="D130">INDEX('W21. Total generation capacity'!$E$10:$Q$90,MATCH($A130&amp;$B130,'W21. Total generation capacity'!$A$10:$A$90&amp;'W21. Total generation capacity'!$C$10:$C$90,0),MATCH(D$76,'W21. Total generation capacity'!$E$9:$Q$9,0))</f>
        <v/>
      </c>
      <c r="E130" s="14" t="str">
        <f t="array" ref="E130">INDEX('W21. Total generation capacity'!$E$10:$Q$90,MATCH($A130&amp;$B130,'W21. Total generation capacity'!$A$10:$A$90&amp;'W21. Total generation capacity'!$C$10:$C$90,0),MATCH(E$76,'W21. Total generation capacity'!$E$9:$Q$9,0))</f>
        <v/>
      </c>
      <c r="F130" s="14" t="str">
        <f t="array" ref="F130">INDEX('W21. Total generation capacity'!$E$10:$Q$90,MATCH($A130&amp;$B130,'W21. Total generation capacity'!$A$10:$A$90&amp;'W21. Total generation capacity'!$C$10:$C$90,0),MATCH(F$76,'W21. Total generation capacity'!$E$9:$Q$9,0))</f>
        <v/>
      </c>
      <c r="G130" s="14">
        <f t="array" ref="G130">INDEX('W21. Total generation capacity'!$E$10:$Q$90,MATCH($A130&amp;$B130,'W21. Total generation capacity'!$A$10:$A$90&amp;'W21. Total generation capacity'!$C$10:$C$90,0),MATCH(G$76,'W21. Total generation capacity'!$E$9:$Q$9,0))</f>
        <v>0.71048739999999999</v>
      </c>
      <c r="H130" s="14">
        <f t="array" ref="H130">INDEX('W21. Total generation capacity'!$E$10:$Q$90,MATCH($A130&amp;$B130,'W21. Total generation capacity'!$A$10:$A$90&amp;'W21. Total generation capacity'!$C$10:$C$90,0),MATCH(H$76,'W21. Total generation capacity'!$E$9:$Q$9,0))</f>
        <v>1.5722202999999999</v>
      </c>
      <c r="I130" s="14">
        <f t="array" ref="I130">INDEX('W21. Total generation capacity'!$E$10:$Q$90,MATCH($A130&amp;$B130,'W21. Total generation capacity'!$A$10:$A$90&amp;'W21. Total generation capacity'!$C$10:$C$90,0),MATCH(I$76,'W21. Total generation capacity'!$E$9:$Q$9,0))</f>
        <v>2.3115194000000003</v>
      </c>
      <c r="J130" s="14">
        <f t="array" ref="J130">INDEX('W21. Total generation capacity'!$E$10:$Q$90,MATCH($A130&amp;$B130,'W21. Total generation capacity'!$A$10:$A$90&amp;'W21. Total generation capacity'!$C$10:$C$90,0),MATCH(J$76,'W21. Total generation capacity'!$E$9:$Q$9,0))</f>
        <v>3.0508185000000001</v>
      </c>
    </row>
    <row r="131" spans="1:10" x14ac:dyDescent="0.3">
      <c r="A131" s="3" t="s">
        <v>381</v>
      </c>
      <c r="B131" s="3" t="s">
        <v>253</v>
      </c>
      <c r="C131" s="14">
        <f t="array" ref="C131">INDEX('W21. Total generation capacity'!$E$10:$Q$90,MATCH($A131&amp;$B131,'W21. Total generation capacity'!$A$10:$A$90&amp;'W21. Total generation capacity'!$C$10:$C$90,0),MATCH(C$76,'W21. Total generation capacity'!$E$9:$Q$9,0))</f>
        <v>0.13090315065412222</v>
      </c>
      <c r="D131" s="14" t="str">
        <f t="array" ref="D131">INDEX('W21. Total generation capacity'!$E$10:$Q$90,MATCH($A131&amp;$B131,'W21. Total generation capacity'!$A$10:$A$90&amp;'W21. Total generation capacity'!$C$10:$C$90,0),MATCH(D$76,'W21. Total generation capacity'!$E$9:$Q$9,0))</f>
        <v/>
      </c>
      <c r="E131" s="14" t="str">
        <f t="array" ref="E131">INDEX('W21. Total generation capacity'!$E$10:$Q$90,MATCH($A131&amp;$B131,'W21. Total generation capacity'!$A$10:$A$90&amp;'W21. Total generation capacity'!$C$10:$C$90,0),MATCH(E$76,'W21. Total generation capacity'!$E$9:$Q$9,0))</f>
        <v/>
      </c>
      <c r="F131" s="14" t="str">
        <f t="array" ref="F131">INDEX('W21. Total generation capacity'!$E$10:$Q$90,MATCH($A131&amp;$B131,'W21. Total generation capacity'!$A$10:$A$90&amp;'W21. Total generation capacity'!$C$10:$C$90,0),MATCH(F$76,'W21. Total generation capacity'!$E$9:$Q$9,0))</f>
        <v/>
      </c>
      <c r="G131" s="14">
        <f t="array" ref="G131">INDEX('W21. Total generation capacity'!$E$10:$Q$90,MATCH($A131&amp;$B131,'W21. Total generation capacity'!$A$10:$A$90&amp;'W21. Total generation capacity'!$C$10:$C$90,0),MATCH(G$76,'W21. Total generation capacity'!$E$9:$Q$9,0))</f>
        <v>0.19621471336075055</v>
      </c>
      <c r="H131" s="14">
        <f t="array" ref="H131">INDEX('W21. Total generation capacity'!$E$10:$Q$90,MATCH($A131&amp;$B131,'W21. Total generation capacity'!$A$10:$A$90&amp;'W21. Total generation capacity'!$C$10:$C$90,0),MATCH(H$76,'W21. Total generation capacity'!$E$9:$Q$9,0))</f>
        <v>0.29147523830238886</v>
      </c>
      <c r="I131" s="14">
        <f t="array" ref="I131">INDEX('W21. Total generation capacity'!$E$10:$Q$90,MATCH($A131&amp;$B131,'W21. Total generation capacity'!$A$10:$A$90&amp;'W21. Total generation capacity'!$C$10:$C$90,0),MATCH(I$76,'W21. Total generation capacity'!$E$9:$Q$9,0))</f>
        <v>0.35919277332632427</v>
      </c>
      <c r="J131" s="14">
        <f t="array" ref="J131">INDEX('W21. Total generation capacity'!$E$10:$Q$90,MATCH($A131&amp;$B131,'W21. Total generation capacity'!$A$10:$A$90&amp;'W21. Total generation capacity'!$C$10:$C$90,0),MATCH(J$76,'W21. Total generation capacity'!$E$9:$Q$9,0))</f>
        <v>0.45655691028518236</v>
      </c>
    </row>
    <row r="132" spans="1:10" x14ac:dyDescent="0.3">
      <c r="A132" s="3" t="s">
        <v>381</v>
      </c>
      <c r="B132" s="3" t="s">
        <v>254</v>
      </c>
      <c r="C132" s="14">
        <f t="array" ref="C132">INDEX('W21. Total generation capacity'!$E$10:$Q$90,MATCH($A132&amp;$B132,'W21. Total generation capacity'!$A$10:$A$90&amp;'W21. Total generation capacity'!$C$10:$C$90,0),MATCH(C$76,'W21. Total generation capacity'!$E$9:$Q$9,0))</f>
        <v>1.7603680667874486</v>
      </c>
      <c r="D132" s="14" t="str">
        <f t="array" ref="D132">INDEX('W21. Total generation capacity'!$E$10:$Q$90,MATCH($A132&amp;$B132,'W21. Total generation capacity'!$A$10:$A$90&amp;'W21. Total generation capacity'!$C$10:$C$90,0),MATCH(D$76,'W21. Total generation capacity'!$E$9:$Q$9,0))</f>
        <v/>
      </c>
      <c r="E132" s="14" t="str">
        <f t="array" ref="E132">INDEX('W21. Total generation capacity'!$E$10:$Q$90,MATCH($A132&amp;$B132,'W21. Total generation capacity'!$A$10:$A$90&amp;'W21. Total generation capacity'!$C$10:$C$90,0),MATCH(E$76,'W21. Total generation capacity'!$E$9:$Q$9,0))</f>
        <v/>
      </c>
      <c r="F132" s="14" t="str">
        <f t="array" ref="F132">INDEX('W21. Total generation capacity'!$E$10:$Q$90,MATCH($A132&amp;$B132,'W21. Total generation capacity'!$A$10:$A$90&amp;'W21. Total generation capacity'!$C$10:$C$90,0),MATCH(F$76,'W21. Total generation capacity'!$E$9:$Q$9,0))</f>
        <v/>
      </c>
      <c r="G132" s="14">
        <f t="array" ref="G132">INDEX('W21. Total generation capacity'!$E$10:$Q$90,MATCH($A132&amp;$B132,'W21. Total generation capacity'!$A$10:$A$90&amp;'W21. Total generation capacity'!$C$10:$C$90,0),MATCH(G$76,'W21. Total generation capacity'!$E$9:$Q$9,0))</f>
        <v>1.8953462550197988</v>
      </c>
      <c r="H132" s="14">
        <f t="array" ref="H132">INDEX('W21. Total generation capacity'!$E$10:$Q$90,MATCH($A132&amp;$B132,'W21. Total generation capacity'!$A$10:$A$90&amp;'W21. Total generation capacity'!$C$10:$C$90,0),MATCH(H$76,'W21. Total generation capacity'!$E$9:$Q$9,0))</f>
        <v>2.1103833311817501</v>
      </c>
      <c r="I132" s="14">
        <f t="array" ref="I132">INDEX('W21. Total generation capacity'!$E$10:$Q$90,MATCH($A132&amp;$B132,'W21. Total generation capacity'!$A$10:$A$90&amp;'W21. Total generation capacity'!$C$10:$C$90,0),MATCH(I$76,'W21. Total generation capacity'!$E$9:$Q$9,0))</f>
        <v>2.3288544371896802</v>
      </c>
      <c r="J132" s="14">
        <f t="array" ref="J132">INDEX('W21. Total generation capacity'!$E$10:$Q$90,MATCH($A132&amp;$B132,'W21. Total generation capacity'!$A$10:$A$90&amp;'W21. Total generation capacity'!$C$10:$C$90,0),MATCH(J$76,'W21. Total generation capacity'!$E$9:$Q$9,0))</f>
        <v>2.2224459844650202</v>
      </c>
    </row>
    <row r="133" spans="1:10" x14ac:dyDescent="0.3">
      <c r="A133" s="3" t="s">
        <v>381</v>
      </c>
      <c r="B133" s="3" t="s">
        <v>255</v>
      </c>
      <c r="C133" s="14">
        <f t="array" ref="C133">INDEX('W21. Total generation capacity'!$E$10:$Q$90,MATCH($A133&amp;$B133,'W21. Total generation capacity'!$A$10:$A$90&amp;'W21. Total generation capacity'!$C$10:$C$90,0),MATCH(C$76,'W21. Total generation capacity'!$E$9:$Q$9,0))</f>
        <v>1.6386833129472773</v>
      </c>
      <c r="D133" s="14" t="str">
        <f t="array" ref="D133">INDEX('W21. Total generation capacity'!$E$10:$Q$90,MATCH($A133&amp;$B133,'W21. Total generation capacity'!$A$10:$A$90&amp;'W21. Total generation capacity'!$C$10:$C$90,0),MATCH(D$76,'W21. Total generation capacity'!$E$9:$Q$9,0))</f>
        <v/>
      </c>
      <c r="E133" s="14" t="str">
        <f t="array" ref="E133">INDEX('W21. Total generation capacity'!$E$10:$Q$90,MATCH($A133&amp;$B133,'W21. Total generation capacity'!$A$10:$A$90&amp;'W21. Total generation capacity'!$C$10:$C$90,0),MATCH(E$76,'W21. Total generation capacity'!$E$9:$Q$9,0))</f>
        <v/>
      </c>
      <c r="F133" s="14" t="str">
        <f t="array" ref="F133">INDEX('W21. Total generation capacity'!$E$10:$Q$90,MATCH($A133&amp;$B133,'W21. Total generation capacity'!$A$10:$A$90&amp;'W21. Total generation capacity'!$C$10:$C$90,0),MATCH(F$76,'W21. Total generation capacity'!$E$9:$Q$9,0))</f>
        <v/>
      </c>
      <c r="G133" s="14">
        <f t="array" ref="G133">INDEX('W21. Total generation capacity'!$E$10:$Q$90,MATCH($A133&amp;$B133,'W21. Total generation capacity'!$A$10:$A$90&amp;'W21. Total generation capacity'!$C$10:$C$90,0),MATCH(G$76,'W21. Total generation capacity'!$E$9:$Q$9,0))</f>
        <v>1.810848575174524</v>
      </c>
      <c r="H133" s="14">
        <f t="array" ref="H133">INDEX('W21. Total generation capacity'!$E$10:$Q$90,MATCH($A133&amp;$B133,'W21. Total generation capacity'!$A$10:$A$90&amp;'W21. Total generation capacity'!$C$10:$C$90,0),MATCH(H$76,'W21. Total generation capacity'!$E$9:$Q$9,0))</f>
        <v>2.0881335464421129</v>
      </c>
      <c r="I133" s="14">
        <f t="array" ref="I133">INDEX('W21. Total generation capacity'!$E$10:$Q$90,MATCH($A133&amp;$B133,'W21. Total generation capacity'!$A$10:$A$90&amp;'W21. Total generation capacity'!$C$10:$C$90,0),MATCH(I$76,'W21. Total generation capacity'!$E$9:$Q$9,0))</f>
        <v>2.5343895713791817</v>
      </c>
      <c r="J133" s="14">
        <f t="array" ref="J133">INDEX('W21. Total generation capacity'!$E$10:$Q$90,MATCH($A133&amp;$B133,'W21. Total generation capacity'!$A$10:$A$90&amp;'W21. Total generation capacity'!$C$10:$C$90,0),MATCH(J$76,'W21. Total generation capacity'!$E$9:$Q$9,0))</f>
        <v>3.3010766609601543</v>
      </c>
    </row>
    <row r="134" spans="1:10" x14ac:dyDescent="0.3">
      <c r="A134" s="3" t="s">
        <v>381</v>
      </c>
      <c r="B134" s="3" t="s">
        <v>258</v>
      </c>
      <c r="C134" s="14">
        <f t="array" ref="C134">INDEX('W21. Total generation capacity'!$E$10:$Q$90,MATCH($A134&amp;$B134,'W21. Total generation capacity'!$A$10:$A$90&amp;'W21. Total generation capacity'!$C$10:$C$90,0),MATCH(C$76,'W21. Total generation capacity'!$E$9:$Q$9,0))</f>
        <v>1.2844834743538201E-2</v>
      </c>
      <c r="D134" s="14" t="str">
        <f t="array" ref="D134">INDEX('W21. Total generation capacity'!$E$10:$Q$90,MATCH($A134&amp;$B134,'W21. Total generation capacity'!$A$10:$A$90&amp;'W21. Total generation capacity'!$C$10:$C$90,0),MATCH(D$76,'W21. Total generation capacity'!$E$9:$Q$9,0))</f>
        <v/>
      </c>
      <c r="E134" s="14" t="str">
        <f t="array" ref="E134">INDEX('W21. Total generation capacity'!$E$10:$Q$90,MATCH($A134&amp;$B134,'W21. Total generation capacity'!$A$10:$A$90&amp;'W21. Total generation capacity'!$C$10:$C$90,0),MATCH(E$76,'W21. Total generation capacity'!$E$9:$Q$9,0))</f>
        <v/>
      </c>
      <c r="F134" s="14" t="str">
        <f t="array" ref="F134">INDEX('W21. Total generation capacity'!$E$10:$Q$90,MATCH($A134&amp;$B134,'W21. Total generation capacity'!$A$10:$A$90&amp;'W21. Total generation capacity'!$C$10:$C$90,0),MATCH(F$76,'W21. Total generation capacity'!$E$9:$Q$9,0))</f>
        <v/>
      </c>
      <c r="G134" s="14">
        <f t="array" ref="G134">INDEX('W21. Total generation capacity'!$E$10:$Q$90,MATCH($A134&amp;$B134,'W21. Total generation capacity'!$A$10:$A$90&amp;'W21. Total generation capacity'!$C$10:$C$90,0),MATCH(G$76,'W21. Total generation capacity'!$E$9:$Q$9,0))</f>
        <v>2.0954325041993467E-2</v>
      </c>
      <c r="H134" s="14">
        <f t="array" ref="H134">INDEX('W21. Total generation capacity'!$E$10:$Q$90,MATCH($A134&amp;$B134,'W21. Total generation capacity'!$A$10:$A$90&amp;'W21. Total generation capacity'!$C$10:$C$90,0),MATCH(H$76,'W21. Total generation capacity'!$E$9:$Q$9,0))</f>
        <v>3.8855541962517594E-2</v>
      </c>
      <c r="I134" s="14">
        <f t="array" ref="I134">INDEX('W21. Total generation capacity'!$E$10:$Q$90,MATCH($A134&amp;$B134,'W21. Total generation capacity'!$A$10:$A$90&amp;'W21. Total generation capacity'!$C$10:$C$90,0),MATCH(I$76,'W21. Total generation capacity'!$E$9:$Q$9,0))</f>
        <v>7.4311168550965825E-2</v>
      </c>
      <c r="J134" s="14">
        <f t="array" ref="J134">INDEX('W21. Total generation capacity'!$E$10:$Q$90,MATCH($A134&amp;$B134,'W21. Total generation capacity'!$A$10:$A$90&amp;'W21. Total generation capacity'!$C$10:$C$90,0),MATCH(J$76,'W21. Total generation capacity'!$E$9:$Q$9,0))</f>
        <v>0.11641402253237008</v>
      </c>
    </row>
    <row r="135" spans="1:10" x14ac:dyDescent="0.3">
      <c r="A135" s="3" t="s">
        <v>381</v>
      </c>
      <c r="B135" s="3" t="s">
        <v>256</v>
      </c>
      <c r="C135" s="14">
        <f t="array" ref="C135">INDEX('W21. Total generation capacity'!$E$10:$Q$90,MATCH($A135&amp;$B135,'W21. Total generation capacity'!$A$10:$A$90&amp;'W21. Total generation capacity'!$C$10:$C$90,0),MATCH(C$76,'W21. Total generation capacity'!$E$9:$Q$9,0))</f>
        <v>1.0440240328563759</v>
      </c>
      <c r="D135" s="14" t="str">
        <f t="array" ref="D135">INDEX('W21. Total generation capacity'!$E$10:$Q$90,MATCH($A135&amp;$B135,'W21. Total generation capacity'!$A$10:$A$90&amp;'W21. Total generation capacity'!$C$10:$C$90,0),MATCH(D$76,'W21. Total generation capacity'!$E$9:$Q$9,0))</f>
        <v/>
      </c>
      <c r="E135" s="14" t="str">
        <f t="array" ref="E135">INDEX('W21. Total generation capacity'!$E$10:$Q$90,MATCH($A135&amp;$B135,'W21. Total generation capacity'!$A$10:$A$90&amp;'W21. Total generation capacity'!$C$10:$C$90,0),MATCH(E$76,'W21. Total generation capacity'!$E$9:$Q$9,0))</f>
        <v/>
      </c>
      <c r="F135" s="14" t="str">
        <f t="array" ref="F135">INDEX('W21. Total generation capacity'!$E$10:$Q$90,MATCH($A135&amp;$B135,'W21. Total generation capacity'!$A$10:$A$90&amp;'W21. Total generation capacity'!$C$10:$C$90,0),MATCH(F$76,'W21. Total generation capacity'!$E$9:$Q$9,0))</f>
        <v/>
      </c>
      <c r="G135" s="14">
        <f t="array" ref="G135">INDEX('W21. Total generation capacity'!$E$10:$Q$90,MATCH($A135&amp;$B135,'W21. Total generation capacity'!$A$10:$A$90&amp;'W21. Total generation capacity'!$C$10:$C$90,0),MATCH(G$76,'W21. Total generation capacity'!$E$9:$Q$9,0))</f>
        <v>1.211666059875421</v>
      </c>
      <c r="H135" s="14">
        <f t="array" ref="H135">INDEX('W21. Total generation capacity'!$E$10:$Q$90,MATCH($A135&amp;$B135,'W21. Total generation capacity'!$A$10:$A$90&amp;'W21. Total generation capacity'!$C$10:$C$90,0),MATCH(H$76,'W21. Total generation capacity'!$E$9:$Q$9,0))</f>
        <v>1.4857671461018709</v>
      </c>
      <c r="I135" s="14">
        <f t="array" ref="I135">INDEX('W21. Total generation capacity'!$E$10:$Q$90,MATCH($A135&amp;$B135,'W21. Total generation capacity'!$A$10:$A$90&amp;'W21. Total generation capacity'!$C$10:$C$90,0),MATCH(I$76,'W21. Total generation capacity'!$E$9:$Q$9,0))</f>
        <v>1.7175064283675074</v>
      </c>
      <c r="J135" s="14">
        <f t="array" ref="J135">INDEX('W21. Total generation capacity'!$E$10:$Q$90,MATCH($A135&amp;$B135,'W21. Total generation capacity'!$A$10:$A$90&amp;'W21. Total generation capacity'!$C$10:$C$90,0),MATCH(J$76,'W21. Total generation capacity'!$E$9:$Q$9,0))</f>
        <v>1.9330265377225926</v>
      </c>
    </row>
    <row r="136" spans="1:10" x14ac:dyDescent="0.3">
      <c r="A136" s="3" t="s">
        <v>381</v>
      </c>
      <c r="B136" s="3" t="s">
        <v>257</v>
      </c>
      <c r="C136" s="14">
        <f t="array" ref="C136">INDEX('W21. Total generation capacity'!$E$10:$Q$90,MATCH($A136&amp;$B136,'W21. Total generation capacity'!$A$10:$A$90&amp;'W21. Total generation capacity'!$C$10:$C$90,0),MATCH(C$76,'W21. Total generation capacity'!$E$9:$Q$9,0))</f>
        <v>0.39827599999996116</v>
      </c>
      <c r="D136" s="14" t="str">
        <f t="array" ref="D136">INDEX('W21. Total generation capacity'!$E$10:$Q$90,MATCH($A136&amp;$B136,'W21. Total generation capacity'!$A$10:$A$90&amp;'W21. Total generation capacity'!$C$10:$C$90,0),MATCH(D$76,'W21. Total generation capacity'!$E$9:$Q$9,0))</f>
        <v/>
      </c>
      <c r="E136" s="14" t="str">
        <f t="array" ref="E136">INDEX('W21. Total generation capacity'!$E$10:$Q$90,MATCH($A136&amp;$B136,'W21. Total generation capacity'!$A$10:$A$90&amp;'W21. Total generation capacity'!$C$10:$C$90,0),MATCH(E$76,'W21. Total generation capacity'!$E$9:$Q$9,0))</f>
        <v/>
      </c>
      <c r="F136" s="14" t="str">
        <f t="array" ref="F136">INDEX('W21. Total generation capacity'!$E$10:$Q$90,MATCH($A136&amp;$B136,'W21. Total generation capacity'!$A$10:$A$90&amp;'W21. Total generation capacity'!$C$10:$C$90,0),MATCH(F$76,'W21. Total generation capacity'!$E$9:$Q$9,0))</f>
        <v/>
      </c>
      <c r="G136" s="14">
        <f t="array" ref="G136">INDEX('W21. Total generation capacity'!$E$10:$Q$90,MATCH($A136&amp;$B136,'W21. Total generation capacity'!$A$10:$A$90&amp;'W21. Total generation capacity'!$C$10:$C$90,0),MATCH(G$76,'W21. Total generation capacity'!$E$9:$Q$9,0))</f>
        <v>0.45004639640646948</v>
      </c>
      <c r="H136" s="14">
        <f t="array" ref="H136">INDEX('W21. Total generation capacity'!$E$10:$Q$90,MATCH($A136&amp;$B136,'W21. Total generation capacity'!$A$10:$A$90&amp;'W21. Total generation capacity'!$C$10:$C$90,0),MATCH(H$76,'W21. Total generation capacity'!$E$9:$Q$9,0))</f>
        <v>0.53713989999735556</v>
      </c>
      <c r="I136" s="14">
        <f t="array" ref="I136">INDEX('W21. Total generation capacity'!$E$10:$Q$90,MATCH($A136&amp;$B136,'W21. Total generation capacity'!$A$10:$A$90&amp;'W21. Total generation capacity'!$C$10:$C$90,0),MATCH(I$76,'W21. Total generation capacity'!$E$9:$Q$9,0))</f>
        <v>0.61521302401816602</v>
      </c>
      <c r="J136" s="14">
        <f t="array" ref="J136">INDEX('W21. Total generation capacity'!$E$10:$Q$90,MATCH($A136&amp;$B136,'W21. Total generation capacity'!$A$10:$A$90&amp;'W21. Total generation capacity'!$C$10:$C$90,0),MATCH(J$76,'W21. Total generation capacity'!$E$9:$Q$9,0))</f>
        <v>0.67689057996139301</v>
      </c>
    </row>
    <row r="137" spans="1:10" x14ac:dyDescent="0.3">
      <c r="A137" s="3" t="s">
        <v>381</v>
      </c>
      <c r="B137" s="3" t="s">
        <v>266</v>
      </c>
      <c r="C137" s="14">
        <f t="array" ref="C137">INDEX('W21. Total generation capacity'!$E$10:$Q$90,MATCH($A137&amp;$B137,'W21. Total generation capacity'!$A$10:$A$90&amp;'W21. Total generation capacity'!$C$10:$C$90,0),MATCH(C$76,'W21. Total generation capacity'!$E$9:$Q$9,0))</f>
        <v>0.44234508278658269</v>
      </c>
      <c r="D137" s="14" t="str">
        <f t="array" ref="D137">INDEX('W21. Total generation capacity'!$E$10:$Q$90,MATCH($A137&amp;$B137,'W21. Total generation capacity'!$A$10:$A$90&amp;'W21. Total generation capacity'!$C$10:$C$90,0),MATCH(D$76,'W21. Total generation capacity'!$E$9:$Q$9,0))</f>
        <v/>
      </c>
      <c r="E137" s="14" t="str">
        <f t="array" ref="E137">INDEX('W21. Total generation capacity'!$E$10:$Q$90,MATCH($A137&amp;$B137,'W21. Total generation capacity'!$A$10:$A$90&amp;'W21. Total generation capacity'!$C$10:$C$90,0),MATCH(E$76,'W21. Total generation capacity'!$E$9:$Q$9,0))</f>
        <v/>
      </c>
      <c r="F137" s="14" t="str">
        <f t="array" ref="F137">INDEX('W21. Total generation capacity'!$E$10:$Q$90,MATCH($A137&amp;$B137,'W21. Total generation capacity'!$A$10:$A$90&amp;'W21. Total generation capacity'!$C$10:$C$90,0),MATCH(F$76,'W21. Total generation capacity'!$E$9:$Q$9,0))</f>
        <v/>
      </c>
      <c r="G137" s="14">
        <f t="array" ref="G137">INDEX('W21. Total generation capacity'!$E$10:$Q$90,MATCH($A137&amp;$B137,'W21. Total generation capacity'!$A$10:$A$90&amp;'W21. Total generation capacity'!$C$10:$C$90,0),MATCH(G$76,'W21. Total generation capacity'!$E$9:$Q$9,0))</f>
        <v>0.42593354525623117</v>
      </c>
      <c r="H137" s="14">
        <f t="array" ref="H137">INDEX('W21. Total generation capacity'!$E$10:$Q$90,MATCH($A137&amp;$B137,'W21. Total generation capacity'!$A$10:$A$90&amp;'W21. Total generation capacity'!$C$10:$C$90,0),MATCH(H$76,'W21. Total generation capacity'!$E$9:$Q$9,0))</f>
        <v>0.33480739288811034</v>
      </c>
      <c r="I137" s="14">
        <f t="array" ref="I137">INDEX('W21. Total generation capacity'!$E$10:$Q$90,MATCH($A137&amp;$B137,'W21. Total generation capacity'!$A$10:$A$90&amp;'W21. Total generation capacity'!$C$10:$C$90,0),MATCH(I$76,'W21. Total generation capacity'!$E$9:$Q$9,0))</f>
        <v>0.25506501813470422</v>
      </c>
      <c r="J137" s="14">
        <f t="array" ref="J137">INDEX('W21. Total generation capacity'!$E$10:$Q$90,MATCH($A137&amp;$B137,'W21. Total generation capacity'!$A$10:$A$90&amp;'W21. Total generation capacity'!$C$10:$C$90,0),MATCH(J$76,'W21. Total generation capacity'!$E$9:$Q$9,0))</f>
        <v>0.20431890877543393</v>
      </c>
    </row>
    <row r="138" spans="1:10" x14ac:dyDescent="0.3">
      <c r="A138" s="3" t="s">
        <v>381</v>
      </c>
      <c r="B138" s="3" t="s">
        <v>259</v>
      </c>
      <c r="C138" s="14">
        <f t="array" ref="C138">INDEX('W21. Total generation capacity'!$E$10:$Q$90,MATCH($A138&amp;$B138,'W21. Total generation capacity'!$A$10:$A$90&amp;'W21. Total generation capacity'!$C$10:$C$90,0),MATCH(C$76,'W21. Total generation capacity'!$E$9:$Q$9,0))</f>
        <v>0.18542903206056638</v>
      </c>
      <c r="D138" s="14" t="str">
        <f t="array" ref="D138">INDEX('W21. Total generation capacity'!$E$10:$Q$90,MATCH($A138&amp;$B138,'W21. Total generation capacity'!$A$10:$A$90&amp;'W21. Total generation capacity'!$C$10:$C$90,0),MATCH(D$76,'W21. Total generation capacity'!$E$9:$Q$9,0))</f>
        <v/>
      </c>
      <c r="E138" s="14" t="str">
        <f t="array" ref="E138">INDEX('W21. Total generation capacity'!$E$10:$Q$90,MATCH($A138&amp;$B138,'W21. Total generation capacity'!$A$10:$A$90&amp;'W21. Total generation capacity'!$C$10:$C$90,0),MATCH(E$76,'W21. Total generation capacity'!$E$9:$Q$9,0))</f>
        <v/>
      </c>
      <c r="F138" s="14" t="str">
        <f t="array" ref="F138">INDEX('W21. Total generation capacity'!$E$10:$Q$90,MATCH($A138&amp;$B138,'W21. Total generation capacity'!$A$10:$A$90&amp;'W21. Total generation capacity'!$C$10:$C$90,0),MATCH(F$76,'W21. Total generation capacity'!$E$9:$Q$9,0))</f>
        <v/>
      </c>
      <c r="G138" s="14">
        <f t="array" ref="G138">INDEX('W21. Total generation capacity'!$E$10:$Q$90,MATCH($A138&amp;$B138,'W21. Total generation capacity'!$A$10:$A$90&amp;'W21. Total generation capacity'!$C$10:$C$90,0),MATCH(G$76,'W21. Total generation capacity'!$E$9:$Q$9,0))</f>
        <v>0.51231177626913971</v>
      </c>
      <c r="H138" s="14">
        <f t="array" ref="H138">INDEX('W21. Total generation capacity'!$E$10:$Q$90,MATCH($A138&amp;$B138,'W21. Total generation capacity'!$A$10:$A$90&amp;'W21. Total generation capacity'!$C$10:$C$90,0),MATCH(H$76,'W21. Total generation capacity'!$E$9:$Q$9,0))</f>
        <v>1.1120845157467287</v>
      </c>
      <c r="I138" s="14">
        <f t="array" ref="I138">INDEX('W21. Total generation capacity'!$E$10:$Q$90,MATCH($A138&amp;$B138,'W21. Total generation capacity'!$A$10:$A$90&amp;'W21. Total generation capacity'!$C$10:$C$90,0),MATCH(I$76,'W21. Total generation capacity'!$E$9:$Q$9,0))</f>
        <v>1.7975532683537536</v>
      </c>
      <c r="J138" s="14">
        <f t="array" ref="J138">INDEX('W21. Total generation capacity'!$E$10:$Q$90,MATCH($A138&amp;$B138,'W21. Total generation capacity'!$A$10:$A$90&amp;'W21. Total generation capacity'!$C$10:$C$90,0),MATCH(J$76,'W21. Total generation capacity'!$E$9:$Q$9,0))</f>
        <v>2.6134164275445335</v>
      </c>
    </row>
    <row r="139" spans="1:10" x14ac:dyDescent="0.3">
      <c r="A139" s="3" t="s">
        <v>381</v>
      </c>
      <c r="B139" s="3" t="s">
        <v>260</v>
      </c>
      <c r="C139" s="14">
        <f t="array" ref="C139">INDEX('W21. Total generation capacity'!$E$10:$Q$90,MATCH($A139&amp;$B139,'W21. Total generation capacity'!$A$10:$A$90&amp;'W21. Total generation capacity'!$C$10:$C$90,0),MATCH(C$76,'W21. Total generation capacity'!$E$9:$Q$9,0))</f>
        <v>0.34956813537458747</v>
      </c>
      <c r="D139" s="14" t="str">
        <f t="array" ref="D139">INDEX('W21. Total generation capacity'!$E$10:$Q$90,MATCH($A139&amp;$B139,'W21. Total generation capacity'!$A$10:$A$90&amp;'W21. Total generation capacity'!$C$10:$C$90,0),MATCH(D$76,'W21. Total generation capacity'!$E$9:$Q$9,0))</f>
        <v/>
      </c>
      <c r="E139" s="14" t="str">
        <f t="array" ref="E139">INDEX('W21. Total generation capacity'!$E$10:$Q$90,MATCH($A139&amp;$B139,'W21. Total generation capacity'!$A$10:$A$90&amp;'W21. Total generation capacity'!$C$10:$C$90,0),MATCH(E$76,'W21. Total generation capacity'!$E$9:$Q$9,0))</f>
        <v/>
      </c>
      <c r="F139" s="14" t="str">
        <f t="array" ref="F139">INDEX('W21. Total generation capacity'!$E$10:$Q$90,MATCH($A139&amp;$B139,'W21. Total generation capacity'!$A$10:$A$90&amp;'W21. Total generation capacity'!$C$10:$C$90,0),MATCH(F$76,'W21. Total generation capacity'!$E$9:$Q$9,0))</f>
        <v/>
      </c>
      <c r="G139" s="14">
        <f t="array" ref="G139">INDEX('W21. Total generation capacity'!$E$10:$Q$90,MATCH($A139&amp;$B139,'W21. Total generation capacity'!$A$10:$A$90&amp;'W21. Total generation capacity'!$C$10:$C$90,0),MATCH(G$76,'W21. Total generation capacity'!$E$9:$Q$9,0))</f>
        <v>0.69203544943880391</v>
      </c>
      <c r="H139" s="14">
        <f t="array" ref="H139">INDEX('W21. Total generation capacity'!$E$10:$Q$90,MATCH($A139&amp;$B139,'W21. Total generation capacity'!$A$10:$A$90&amp;'W21. Total generation capacity'!$C$10:$C$90,0),MATCH(H$76,'W21. Total generation capacity'!$E$9:$Q$9,0))</f>
        <v>1.2558067998881244</v>
      </c>
      <c r="I139" s="14">
        <f t="array" ref="I139">INDEX('W21. Total generation capacity'!$E$10:$Q$90,MATCH($A139&amp;$B139,'W21. Total generation capacity'!$A$10:$A$90&amp;'W21. Total generation capacity'!$C$10:$C$90,0),MATCH(I$76,'W21. Total generation capacity'!$E$9:$Q$9,0))</f>
        <v>1.7161629242639094</v>
      </c>
      <c r="J139" s="14">
        <f t="array" ref="J139">INDEX('W21. Total generation capacity'!$E$10:$Q$90,MATCH($A139&amp;$B139,'W21. Total generation capacity'!$A$10:$A$90&amp;'W21. Total generation capacity'!$C$10:$C$90,0),MATCH(J$76,'W21. Total generation capacity'!$E$9:$Q$9,0))</f>
        <v>2.2084170531006344</v>
      </c>
    </row>
    <row r="140" spans="1:10" x14ac:dyDescent="0.3">
      <c r="A140" s="3" t="s">
        <v>382</v>
      </c>
      <c r="B140" s="3" t="s">
        <v>253</v>
      </c>
      <c r="C140" s="14">
        <f t="array" ref="C140">INDEX('W21. Total generation capacity'!$E$10:$Q$90,MATCH($A140&amp;$B140,'W21. Total generation capacity'!$A$10:$A$90&amp;'W21. Total generation capacity'!$C$10:$C$90,0),MATCH(C$76,'W21. Total generation capacity'!$E$9:$Q$9,0))</f>
        <v>0.13090315065412222</v>
      </c>
      <c r="D140" s="14" t="str">
        <f t="array" ref="D140">INDEX('W21. Total generation capacity'!$E$10:$Q$90,MATCH($A140&amp;$B140,'W21. Total generation capacity'!$A$10:$A$90&amp;'W21. Total generation capacity'!$C$10:$C$90,0),MATCH(D$76,'W21. Total generation capacity'!$E$9:$Q$9,0))</f>
        <v/>
      </c>
      <c r="E140" s="14" t="str">
        <f t="array" ref="E140">INDEX('W21. Total generation capacity'!$E$10:$Q$90,MATCH($A140&amp;$B140,'W21. Total generation capacity'!$A$10:$A$90&amp;'W21. Total generation capacity'!$C$10:$C$90,0),MATCH(E$76,'W21. Total generation capacity'!$E$9:$Q$9,0))</f>
        <v/>
      </c>
      <c r="F140" s="14" t="str">
        <f t="array" ref="F140">INDEX('W21. Total generation capacity'!$E$10:$Q$90,MATCH($A140&amp;$B140,'W21. Total generation capacity'!$A$10:$A$90&amp;'W21. Total generation capacity'!$C$10:$C$90,0),MATCH(F$76,'W21. Total generation capacity'!$E$9:$Q$9,0))</f>
        <v/>
      </c>
      <c r="G140" s="14">
        <f t="array" ref="G140">INDEX('W21. Total generation capacity'!$E$10:$Q$90,MATCH($A140&amp;$B140,'W21. Total generation capacity'!$A$10:$A$90&amp;'W21. Total generation capacity'!$C$10:$C$90,0),MATCH(G$76,'W21. Total generation capacity'!$E$9:$Q$9,0))</f>
        <v>0.21852010086016227</v>
      </c>
      <c r="H140" s="14">
        <f t="array" ref="H140">INDEX('W21. Total generation capacity'!$E$10:$Q$90,MATCH($A140&amp;$B140,'W21. Total generation capacity'!$A$10:$A$90&amp;'W21. Total generation capacity'!$C$10:$C$90,0),MATCH(H$76,'W21. Total generation capacity'!$E$9:$Q$9,0))</f>
        <v>0.37564046839274262</v>
      </c>
      <c r="I140" s="14">
        <f t="array" ref="I140">INDEX('W21. Total generation capacity'!$E$10:$Q$90,MATCH($A140&amp;$B140,'W21. Total generation capacity'!$A$10:$A$90&amp;'W21. Total generation capacity'!$C$10:$C$90,0),MATCH(I$76,'W21. Total generation capacity'!$E$9:$Q$9,0))</f>
        <v>0.54885101263346192</v>
      </c>
      <c r="J140" s="14">
        <f t="array" ref="J140">INDEX('W21. Total generation capacity'!$E$10:$Q$90,MATCH($A140&amp;$B140,'W21. Total generation capacity'!$A$10:$A$90&amp;'W21. Total generation capacity'!$C$10:$C$90,0),MATCH(J$76,'W21. Total generation capacity'!$E$9:$Q$9,0))</f>
        <v>0.77126203558784145</v>
      </c>
    </row>
    <row r="141" spans="1:10" x14ac:dyDescent="0.3">
      <c r="A141" s="3" t="s">
        <v>382</v>
      </c>
      <c r="B141" s="3" t="s">
        <v>254</v>
      </c>
      <c r="C141" s="14">
        <f t="array" ref="C141">INDEX('W21. Total generation capacity'!$E$10:$Q$90,MATCH($A141&amp;$B141,'W21. Total generation capacity'!$A$10:$A$90&amp;'W21. Total generation capacity'!$C$10:$C$90,0),MATCH(C$76,'W21. Total generation capacity'!$E$9:$Q$9,0))</f>
        <v>1.7603680667874486</v>
      </c>
      <c r="D141" s="14" t="str">
        <f t="array" ref="D141">INDEX('W21. Total generation capacity'!$E$10:$Q$90,MATCH($A141&amp;$B141,'W21. Total generation capacity'!$A$10:$A$90&amp;'W21. Total generation capacity'!$C$10:$C$90,0),MATCH(D$76,'W21. Total generation capacity'!$E$9:$Q$9,0))</f>
        <v/>
      </c>
      <c r="E141" s="14" t="str">
        <f t="array" ref="E141">INDEX('W21. Total generation capacity'!$E$10:$Q$90,MATCH($A141&amp;$B141,'W21. Total generation capacity'!$A$10:$A$90&amp;'W21. Total generation capacity'!$C$10:$C$90,0),MATCH(E$76,'W21. Total generation capacity'!$E$9:$Q$9,0))</f>
        <v/>
      </c>
      <c r="F141" s="14" t="str">
        <f t="array" ref="F141">INDEX('W21. Total generation capacity'!$E$10:$Q$90,MATCH($A141&amp;$B141,'W21. Total generation capacity'!$A$10:$A$90&amp;'W21. Total generation capacity'!$C$10:$C$90,0),MATCH(F$76,'W21. Total generation capacity'!$E$9:$Q$9,0))</f>
        <v/>
      </c>
      <c r="G141" s="14">
        <f t="array" ref="G141">INDEX('W21. Total generation capacity'!$E$10:$Q$90,MATCH($A141&amp;$B141,'W21. Total generation capacity'!$A$10:$A$90&amp;'W21. Total generation capacity'!$C$10:$C$90,0),MATCH(G$76,'W21. Total generation capacity'!$E$9:$Q$9,0))</f>
        <v>1.7839142573829956</v>
      </c>
      <c r="H141" s="14">
        <f t="array" ref="H141">INDEX('W21. Total generation capacity'!$E$10:$Q$90,MATCH($A141&amp;$B141,'W21. Total generation capacity'!$A$10:$A$90&amp;'W21. Total generation capacity'!$C$10:$C$90,0),MATCH(H$76,'W21. Total generation capacity'!$E$9:$Q$9,0))</f>
        <v>1.6820090485317987</v>
      </c>
      <c r="I141" s="14">
        <f t="array" ref="I141">INDEX('W21. Total generation capacity'!$E$10:$Q$90,MATCH($A141&amp;$B141,'W21. Total generation capacity'!$A$10:$A$90&amp;'W21. Total generation capacity'!$C$10:$C$90,0),MATCH(I$76,'W21. Total generation capacity'!$E$9:$Q$9,0))</f>
        <v>0.80113428341477</v>
      </c>
      <c r="J141" s="14">
        <f t="array" ref="J141">INDEX('W21. Total generation capacity'!$E$10:$Q$90,MATCH($A141&amp;$B141,'W21. Total generation capacity'!$A$10:$A$90&amp;'W21. Total generation capacity'!$C$10:$C$90,0),MATCH(J$76,'W21. Total generation capacity'!$E$9:$Q$9,0))</f>
        <v>0.47312257093948079</v>
      </c>
    </row>
    <row r="142" spans="1:10" x14ac:dyDescent="0.3">
      <c r="A142" s="3" t="s">
        <v>382</v>
      </c>
      <c r="B142" s="3" t="s">
        <v>255</v>
      </c>
      <c r="C142" s="14">
        <f t="array" ref="C142">INDEX('W21. Total generation capacity'!$E$10:$Q$90,MATCH($A142&amp;$B142,'W21. Total generation capacity'!$A$10:$A$90&amp;'W21. Total generation capacity'!$C$10:$C$90,0),MATCH(C$76,'W21. Total generation capacity'!$E$9:$Q$9,0))</f>
        <v>1.6386833129472773</v>
      </c>
      <c r="D142" s="14" t="str">
        <f t="array" ref="D142">INDEX('W21. Total generation capacity'!$E$10:$Q$90,MATCH($A142&amp;$B142,'W21. Total generation capacity'!$A$10:$A$90&amp;'W21. Total generation capacity'!$C$10:$C$90,0),MATCH(D$76,'W21. Total generation capacity'!$E$9:$Q$9,0))</f>
        <v/>
      </c>
      <c r="E142" s="14" t="str">
        <f t="array" ref="E142">INDEX('W21. Total generation capacity'!$E$10:$Q$90,MATCH($A142&amp;$B142,'W21. Total generation capacity'!$A$10:$A$90&amp;'W21. Total generation capacity'!$C$10:$C$90,0),MATCH(E$76,'W21. Total generation capacity'!$E$9:$Q$9,0))</f>
        <v/>
      </c>
      <c r="F142" s="14" t="str">
        <f t="array" ref="F142">INDEX('W21. Total generation capacity'!$E$10:$Q$90,MATCH($A142&amp;$B142,'W21. Total generation capacity'!$A$10:$A$90&amp;'W21. Total generation capacity'!$C$10:$C$90,0),MATCH(F$76,'W21. Total generation capacity'!$E$9:$Q$9,0))</f>
        <v/>
      </c>
      <c r="G142" s="14">
        <f t="array" ref="G142">INDEX('W21. Total generation capacity'!$E$10:$Q$90,MATCH($A142&amp;$B142,'W21. Total generation capacity'!$A$10:$A$90&amp;'W21. Total generation capacity'!$C$10:$C$90,0),MATCH(G$76,'W21. Total generation capacity'!$E$9:$Q$9,0))</f>
        <v>1.805105405902482</v>
      </c>
      <c r="H142" s="14">
        <f t="array" ref="H142">INDEX('W21. Total generation capacity'!$E$10:$Q$90,MATCH($A142&amp;$B142,'W21. Total generation capacity'!$A$10:$A$90&amp;'W21. Total generation capacity'!$C$10:$C$90,0),MATCH(H$76,'W21. Total generation capacity'!$E$9:$Q$9,0))</f>
        <v>1.9892438280309863</v>
      </c>
      <c r="I142" s="14">
        <f t="array" ref="I142">INDEX('W21. Total generation capacity'!$E$10:$Q$90,MATCH($A142&amp;$B142,'W21. Total generation capacity'!$A$10:$A$90&amp;'W21. Total generation capacity'!$C$10:$C$90,0),MATCH(I$76,'W21. Total generation capacity'!$E$9:$Q$9,0))</f>
        <v>2.0856511577805987</v>
      </c>
      <c r="J142" s="14">
        <f t="array" ref="J142">INDEX('W21. Total generation capacity'!$E$10:$Q$90,MATCH($A142&amp;$B142,'W21. Total generation capacity'!$A$10:$A$90&amp;'W21. Total generation capacity'!$C$10:$C$90,0),MATCH(J$76,'W21. Total generation capacity'!$E$9:$Q$9,0))</f>
        <v>2.3460314786708696</v>
      </c>
    </row>
    <row r="143" spans="1:10" x14ac:dyDescent="0.3">
      <c r="A143" s="3" t="s">
        <v>382</v>
      </c>
      <c r="B143" s="3" t="s">
        <v>258</v>
      </c>
      <c r="C143" s="14">
        <f t="array" ref="C143">INDEX('W21. Total generation capacity'!$E$10:$Q$90,MATCH($A143&amp;$B143,'W21. Total generation capacity'!$A$10:$A$90&amp;'W21. Total generation capacity'!$C$10:$C$90,0),MATCH(C$76,'W21. Total generation capacity'!$E$9:$Q$9,0))</f>
        <v>1.2844834743538201E-2</v>
      </c>
      <c r="D143" s="14" t="str">
        <f t="array" ref="D143">INDEX('W21. Total generation capacity'!$E$10:$Q$90,MATCH($A143&amp;$B143,'W21. Total generation capacity'!$A$10:$A$90&amp;'W21. Total generation capacity'!$C$10:$C$90,0),MATCH(D$76,'W21. Total generation capacity'!$E$9:$Q$9,0))</f>
        <v/>
      </c>
      <c r="E143" s="14" t="str">
        <f t="array" ref="E143">INDEX('W21. Total generation capacity'!$E$10:$Q$90,MATCH($A143&amp;$B143,'W21. Total generation capacity'!$A$10:$A$90&amp;'W21. Total generation capacity'!$C$10:$C$90,0),MATCH(E$76,'W21. Total generation capacity'!$E$9:$Q$9,0))</f>
        <v/>
      </c>
      <c r="F143" s="14" t="str">
        <f t="array" ref="F143">INDEX('W21. Total generation capacity'!$E$10:$Q$90,MATCH($A143&amp;$B143,'W21. Total generation capacity'!$A$10:$A$90&amp;'W21. Total generation capacity'!$C$10:$C$90,0),MATCH(F$76,'W21. Total generation capacity'!$E$9:$Q$9,0))</f>
        <v/>
      </c>
      <c r="G143" s="14">
        <f t="array" ref="G143">INDEX('W21. Total generation capacity'!$E$10:$Q$90,MATCH($A143&amp;$B143,'W21. Total generation capacity'!$A$10:$A$90&amp;'W21. Total generation capacity'!$C$10:$C$90,0),MATCH(G$76,'W21. Total generation capacity'!$E$9:$Q$9,0))</f>
        <v>2.4628040204957444E-2</v>
      </c>
      <c r="H143" s="14">
        <f t="array" ref="H143">INDEX('W21. Total generation capacity'!$E$10:$Q$90,MATCH($A143&amp;$B143,'W21. Total generation capacity'!$A$10:$A$90&amp;'W21. Total generation capacity'!$C$10:$C$90,0),MATCH(H$76,'W21. Total generation capacity'!$E$9:$Q$9,0))</f>
        <v>5.4199946952506101E-2</v>
      </c>
      <c r="I143" s="14">
        <f t="array" ref="I143">INDEX('W21. Total generation capacity'!$E$10:$Q$90,MATCH($A143&amp;$B143,'W21. Total generation capacity'!$A$10:$A$90&amp;'W21. Total generation capacity'!$C$10:$C$90,0),MATCH(I$76,'W21. Total generation capacity'!$E$9:$Q$9,0))</f>
        <v>0.12478399527763843</v>
      </c>
      <c r="J143" s="14">
        <f t="array" ref="J143">INDEX('W21. Total generation capacity'!$E$10:$Q$90,MATCH($A143&amp;$B143,'W21. Total generation capacity'!$A$10:$A$90&amp;'W21. Total generation capacity'!$C$10:$C$90,0),MATCH(J$76,'W21. Total generation capacity'!$E$9:$Q$9,0))</f>
        <v>0.28415750051046224</v>
      </c>
    </row>
    <row r="144" spans="1:10" x14ac:dyDescent="0.3">
      <c r="A144" s="3" t="s">
        <v>382</v>
      </c>
      <c r="B144" s="3" t="s">
        <v>256</v>
      </c>
      <c r="C144" s="14">
        <f t="array" ref="C144">INDEX('W21. Total generation capacity'!$E$10:$Q$90,MATCH($A144&amp;$B144,'W21. Total generation capacity'!$A$10:$A$90&amp;'W21. Total generation capacity'!$C$10:$C$90,0),MATCH(C$76,'W21. Total generation capacity'!$E$9:$Q$9,0))</f>
        <v>1.0440240328563759</v>
      </c>
      <c r="D144" s="14" t="str">
        <f t="array" ref="D144">INDEX('W21. Total generation capacity'!$E$10:$Q$90,MATCH($A144&amp;$B144,'W21. Total generation capacity'!$A$10:$A$90&amp;'W21. Total generation capacity'!$C$10:$C$90,0),MATCH(D$76,'W21. Total generation capacity'!$E$9:$Q$9,0))</f>
        <v/>
      </c>
      <c r="E144" s="14" t="str">
        <f t="array" ref="E144">INDEX('W21. Total generation capacity'!$E$10:$Q$90,MATCH($A144&amp;$B144,'W21. Total generation capacity'!$A$10:$A$90&amp;'W21. Total generation capacity'!$C$10:$C$90,0),MATCH(E$76,'W21. Total generation capacity'!$E$9:$Q$9,0))</f>
        <v/>
      </c>
      <c r="F144" s="14" t="str">
        <f t="array" ref="F144">INDEX('W21. Total generation capacity'!$E$10:$Q$90,MATCH($A144&amp;$B144,'W21. Total generation capacity'!$A$10:$A$90&amp;'W21. Total generation capacity'!$C$10:$C$90,0),MATCH(F$76,'W21. Total generation capacity'!$E$9:$Q$9,0))</f>
        <v/>
      </c>
      <c r="G144" s="14">
        <f t="array" ref="G144">INDEX('W21. Total generation capacity'!$E$10:$Q$90,MATCH($A144&amp;$B144,'W21. Total generation capacity'!$A$10:$A$90&amp;'W21. Total generation capacity'!$C$10:$C$90,0),MATCH(G$76,'W21. Total generation capacity'!$E$9:$Q$9,0))</f>
        <v>1.2450191081520225</v>
      </c>
      <c r="H144" s="14">
        <f t="array" ref="H144">INDEX('W21. Total generation capacity'!$E$10:$Q$90,MATCH($A144&amp;$B144,'W21. Total generation capacity'!$A$10:$A$90&amp;'W21. Total generation capacity'!$C$10:$C$90,0),MATCH(H$76,'W21. Total generation capacity'!$E$9:$Q$9,0))</f>
        <v>1.5703106890607328</v>
      </c>
      <c r="I144" s="14">
        <f t="array" ref="I144">INDEX('W21. Total generation capacity'!$E$10:$Q$90,MATCH($A144&amp;$B144,'W21. Total generation capacity'!$A$10:$A$90&amp;'W21. Total generation capacity'!$C$10:$C$90,0),MATCH(I$76,'W21. Total generation capacity'!$E$9:$Q$9,0))</f>
        <v>1.8307076654768266</v>
      </c>
      <c r="J144" s="14">
        <f t="array" ref="J144">INDEX('W21. Total generation capacity'!$E$10:$Q$90,MATCH($A144&amp;$B144,'W21. Total generation capacity'!$A$10:$A$90&amp;'W21. Total generation capacity'!$C$10:$C$90,0),MATCH(J$76,'W21. Total generation capacity'!$E$9:$Q$9,0))</f>
        <v>2.1026546178695376</v>
      </c>
    </row>
    <row r="145" spans="1:10" x14ac:dyDescent="0.3">
      <c r="A145" s="3" t="s">
        <v>382</v>
      </c>
      <c r="B145" s="3" t="s">
        <v>257</v>
      </c>
      <c r="C145" s="14">
        <f t="array" ref="C145">INDEX('W21. Total generation capacity'!$E$10:$Q$90,MATCH($A145&amp;$B145,'W21. Total generation capacity'!$A$10:$A$90&amp;'W21. Total generation capacity'!$C$10:$C$90,0),MATCH(C$76,'W21. Total generation capacity'!$E$9:$Q$9,0))</f>
        <v>0.39827599999996116</v>
      </c>
      <c r="D145" s="14" t="str">
        <f t="array" ref="D145">INDEX('W21. Total generation capacity'!$E$10:$Q$90,MATCH($A145&amp;$B145,'W21. Total generation capacity'!$A$10:$A$90&amp;'W21. Total generation capacity'!$C$10:$C$90,0),MATCH(D$76,'W21. Total generation capacity'!$E$9:$Q$9,0))</f>
        <v/>
      </c>
      <c r="E145" s="14" t="str">
        <f t="array" ref="E145">INDEX('W21. Total generation capacity'!$E$10:$Q$90,MATCH($A145&amp;$B145,'W21. Total generation capacity'!$A$10:$A$90&amp;'W21. Total generation capacity'!$C$10:$C$90,0),MATCH(E$76,'W21. Total generation capacity'!$E$9:$Q$9,0))</f>
        <v/>
      </c>
      <c r="F145" s="14" t="str">
        <f t="array" ref="F145">INDEX('W21. Total generation capacity'!$E$10:$Q$90,MATCH($A145&amp;$B145,'W21. Total generation capacity'!$A$10:$A$90&amp;'W21. Total generation capacity'!$C$10:$C$90,0),MATCH(F$76,'W21. Total generation capacity'!$E$9:$Q$9,0))</f>
        <v/>
      </c>
      <c r="G145" s="14">
        <f t="array" ref="G145">INDEX('W21. Total generation capacity'!$E$10:$Q$90,MATCH($A145&amp;$B145,'W21. Total generation capacity'!$A$10:$A$90&amp;'W21. Total generation capacity'!$C$10:$C$90,0),MATCH(G$76,'W21. Total generation capacity'!$E$9:$Q$9,0))</f>
        <v>0.46977176947019356</v>
      </c>
      <c r="H145" s="14">
        <f t="array" ref="H145">INDEX('W21. Total generation capacity'!$E$10:$Q$90,MATCH($A145&amp;$B145,'W21. Total generation capacity'!$A$10:$A$90&amp;'W21. Total generation capacity'!$C$10:$C$90,0),MATCH(H$76,'W21. Total generation capacity'!$E$9:$Q$9,0))</f>
        <v>0.65124257981095091</v>
      </c>
      <c r="I145" s="14">
        <f t="array" ref="I145">INDEX('W21. Total generation capacity'!$E$10:$Q$90,MATCH($A145&amp;$B145,'W21. Total generation capacity'!$A$10:$A$90&amp;'W21. Total generation capacity'!$C$10:$C$90,0),MATCH(I$76,'W21. Total generation capacity'!$E$9:$Q$9,0))</f>
        <v>0.83485458446385341</v>
      </c>
      <c r="J145" s="14">
        <f t="array" ref="J145">INDEX('W21. Total generation capacity'!$E$10:$Q$90,MATCH($A145&amp;$B145,'W21. Total generation capacity'!$A$10:$A$90&amp;'W21. Total generation capacity'!$C$10:$C$90,0),MATCH(J$76,'W21. Total generation capacity'!$E$9:$Q$9,0))</f>
        <v>0.94804174812275699</v>
      </c>
    </row>
    <row r="146" spans="1:10" x14ac:dyDescent="0.3">
      <c r="A146" s="3" t="s">
        <v>382</v>
      </c>
      <c r="B146" s="3" t="s">
        <v>266</v>
      </c>
      <c r="C146" s="14">
        <f t="array" ref="C146">INDEX('W21. Total generation capacity'!$E$10:$Q$90,MATCH($A146&amp;$B146,'W21. Total generation capacity'!$A$10:$A$90&amp;'W21. Total generation capacity'!$C$10:$C$90,0),MATCH(C$76,'W21. Total generation capacity'!$E$9:$Q$9,0))</f>
        <v>0.44234508278658269</v>
      </c>
      <c r="D146" s="14" t="str">
        <f t="array" ref="D146">INDEX('W21. Total generation capacity'!$E$10:$Q$90,MATCH($A146&amp;$B146,'W21. Total generation capacity'!$A$10:$A$90&amp;'W21. Total generation capacity'!$C$10:$C$90,0),MATCH(D$76,'W21. Total generation capacity'!$E$9:$Q$9,0))</f>
        <v/>
      </c>
      <c r="E146" s="14" t="str">
        <f t="array" ref="E146">INDEX('W21. Total generation capacity'!$E$10:$Q$90,MATCH($A146&amp;$B146,'W21. Total generation capacity'!$A$10:$A$90&amp;'W21. Total generation capacity'!$C$10:$C$90,0),MATCH(E$76,'W21. Total generation capacity'!$E$9:$Q$9,0))</f>
        <v/>
      </c>
      <c r="F146" s="14" t="str">
        <f t="array" ref="F146">INDEX('W21. Total generation capacity'!$E$10:$Q$90,MATCH($A146&amp;$B146,'W21. Total generation capacity'!$A$10:$A$90&amp;'W21. Total generation capacity'!$C$10:$C$90,0),MATCH(F$76,'W21. Total generation capacity'!$E$9:$Q$9,0))</f>
        <v/>
      </c>
      <c r="G146" s="14">
        <f t="array" ref="G146">INDEX('W21. Total generation capacity'!$E$10:$Q$90,MATCH($A146&amp;$B146,'W21. Total generation capacity'!$A$10:$A$90&amp;'W21. Total generation capacity'!$C$10:$C$90,0),MATCH(G$76,'W21. Total generation capacity'!$E$9:$Q$9,0))</f>
        <v>0.41777118774908417</v>
      </c>
      <c r="H146" s="14">
        <f t="array" ref="H146">INDEX('W21. Total generation capacity'!$E$10:$Q$90,MATCH($A146&amp;$B146,'W21. Total generation capacity'!$A$10:$A$90&amp;'W21. Total generation capacity'!$C$10:$C$90,0),MATCH(H$76,'W21. Total generation capacity'!$E$9:$Q$9,0))</f>
        <v>0.31975212159696526</v>
      </c>
      <c r="I146" s="14">
        <f t="array" ref="I146">INDEX('W21. Total generation capacity'!$E$10:$Q$90,MATCH($A146&amp;$B146,'W21. Total generation capacity'!$A$10:$A$90&amp;'W21. Total generation capacity'!$C$10:$C$90,0),MATCH(I$76,'W21. Total generation capacity'!$E$9:$Q$9,0))</f>
        <v>0.20438194939348522</v>
      </c>
      <c r="J146" s="14">
        <f t="array" ref="J146">INDEX('W21. Total generation capacity'!$E$10:$Q$90,MATCH($A146&amp;$B146,'W21. Total generation capacity'!$A$10:$A$90&amp;'W21. Total generation capacity'!$C$10:$C$90,0),MATCH(J$76,'W21. Total generation capacity'!$E$9:$Q$9,0))</f>
        <v>0.16875145611529788</v>
      </c>
    </row>
    <row r="147" spans="1:10" x14ac:dyDescent="0.3">
      <c r="A147" s="3" t="s">
        <v>382</v>
      </c>
      <c r="B147" s="3" t="s">
        <v>259</v>
      </c>
      <c r="C147" s="14">
        <f t="array" ref="C147">INDEX('W21. Total generation capacity'!$E$10:$Q$90,MATCH($A147&amp;$B147,'W21. Total generation capacity'!$A$10:$A$90&amp;'W21. Total generation capacity'!$C$10:$C$90,0),MATCH(C$76,'W21. Total generation capacity'!$E$9:$Q$9,0))</f>
        <v>0.18542903206056638</v>
      </c>
      <c r="D147" s="14" t="str">
        <f t="array" ref="D147">INDEX('W21. Total generation capacity'!$E$10:$Q$90,MATCH($A147&amp;$B147,'W21. Total generation capacity'!$A$10:$A$90&amp;'W21. Total generation capacity'!$C$10:$C$90,0),MATCH(D$76,'W21. Total generation capacity'!$E$9:$Q$9,0))</f>
        <v/>
      </c>
      <c r="E147" s="14" t="str">
        <f t="array" ref="E147">INDEX('W21. Total generation capacity'!$E$10:$Q$90,MATCH($A147&amp;$B147,'W21. Total generation capacity'!$A$10:$A$90&amp;'W21. Total generation capacity'!$C$10:$C$90,0),MATCH(E$76,'W21. Total generation capacity'!$E$9:$Q$9,0))</f>
        <v/>
      </c>
      <c r="F147" s="14" t="str">
        <f t="array" ref="F147">INDEX('W21. Total generation capacity'!$E$10:$Q$90,MATCH($A147&amp;$B147,'W21. Total generation capacity'!$A$10:$A$90&amp;'W21. Total generation capacity'!$C$10:$C$90,0),MATCH(F$76,'W21. Total generation capacity'!$E$9:$Q$9,0))</f>
        <v/>
      </c>
      <c r="G147" s="14">
        <f t="array" ref="G147">INDEX('W21. Total generation capacity'!$E$10:$Q$90,MATCH($A147&amp;$B147,'W21. Total generation capacity'!$A$10:$A$90&amp;'W21. Total generation capacity'!$C$10:$C$90,0),MATCH(G$76,'W21. Total generation capacity'!$E$9:$Q$9,0))</f>
        <v>0.59981022885489421</v>
      </c>
      <c r="H147" s="14">
        <f t="array" ref="H147">INDEX('W21. Total generation capacity'!$E$10:$Q$90,MATCH($A147&amp;$B147,'W21. Total generation capacity'!$A$10:$A$90&amp;'W21. Total generation capacity'!$C$10:$C$90,0),MATCH(H$76,'W21. Total generation capacity'!$E$9:$Q$9,0))</f>
        <v>1.4788702938143505</v>
      </c>
      <c r="I147" s="14">
        <f t="array" ref="I147">INDEX('W21. Total generation capacity'!$E$10:$Q$90,MATCH($A147&amp;$B147,'W21. Total generation capacity'!$A$10:$A$90&amp;'W21. Total generation capacity'!$C$10:$C$90,0),MATCH(I$76,'W21. Total generation capacity'!$E$9:$Q$9,0))</f>
        <v>2.7614988169170993</v>
      </c>
      <c r="J147" s="14">
        <f t="array" ref="J147">INDEX('W21. Total generation capacity'!$E$10:$Q$90,MATCH($A147&amp;$B147,'W21. Total generation capacity'!$A$10:$A$90&amp;'W21. Total generation capacity'!$C$10:$C$90,0),MATCH(J$76,'W21. Total generation capacity'!$E$9:$Q$9,0))</f>
        <v>4.738649416885484</v>
      </c>
    </row>
    <row r="148" spans="1:10" x14ac:dyDescent="0.3">
      <c r="A148" s="3" t="s">
        <v>382</v>
      </c>
      <c r="B148" s="3" t="s">
        <v>260</v>
      </c>
      <c r="C148" s="14">
        <f t="array" ref="C148">INDEX('W21. Total generation capacity'!$E$10:$Q$90,MATCH($A148&amp;$B148,'W21. Total generation capacity'!$A$10:$A$90&amp;'W21. Total generation capacity'!$C$10:$C$90,0),MATCH(C$76,'W21. Total generation capacity'!$E$9:$Q$9,0))</f>
        <v>0.34956813537458747</v>
      </c>
      <c r="D148" s="14" t="str">
        <f t="array" ref="D148">INDEX('W21. Total generation capacity'!$E$10:$Q$90,MATCH($A148&amp;$B148,'W21. Total generation capacity'!$A$10:$A$90&amp;'W21. Total generation capacity'!$C$10:$C$90,0),MATCH(D$76,'W21. Total generation capacity'!$E$9:$Q$9,0))</f>
        <v/>
      </c>
      <c r="E148" s="14" t="str">
        <f t="array" ref="E148">INDEX('W21. Total generation capacity'!$E$10:$Q$90,MATCH($A148&amp;$B148,'W21. Total generation capacity'!$A$10:$A$90&amp;'W21. Total generation capacity'!$C$10:$C$90,0),MATCH(E$76,'W21. Total generation capacity'!$E$9:$Q$9,0))</f>
        <v/>
      </c>
      <c r="F148" s="14" t="str">
        <f t="array" ref="F148">INDEX('W21. Total generation capacity'!$E$10:$Q$90,MATCH($A148&amp;$B148,'W21. Total generation capacity'!$A$10:$A$90&amp;'W21. Total generation capacity'!$C$10:$C$90,0),MATCH(F$76,'W21. Total generation capacity'!$E$9:$Q$9,0))</f>
        <v/>
      </c>
      <c r="G148" s="14">
        <f t="array" ref="G148">INDEX('W21. Total generation capacity'!$E$10:$Q$90,MATCH($A148&amp;$B148,'W21. Total generation capacity'!$A$10:$A$90&amp;'W21. Total generation capacity'!$C$10:$C$90,0),MATCH(G$76,'W21. Total generation capacity'!$E$9:$Q$9,0))</f>
        <v>0.80065060836711732</v>
      </c>
      <c r="H148" s="14">
        <f t="array" ref="H148">INDEX('W21. Total generation capacity'!$E$10:$Q$90,MATCH($A148&amp;$B148,'W21. Total generation capacity'!$A$10:$A$90&amp;'W21. Total generation capacity'!$C$10:$C$90,0),MATCH(H$76,'W21. Total generation capacity'!$E$9:$Q$9,0))</f>
        <v>1.8395173861627101</v>
      </c>
      <c r="I148" s="14">
        <f t="array" ref="I148">INDEX('W21. Total generation capacity'!$E$10:$Q$90,MATCH($A148&amp;$B148,'W21. Total generation capacity'!$A$10:$A$90&amp;'W21. Total generation capacity'!$C$10:$C$90,0),MATCH(I$76,'W21. Total generation capacity'!$E$9:$Q$9,0))</f>
        <v>2.6714310509863339</v>
      </c>
      <c r="J148" s="14">
        <f t="array" ref="J148">INDEX('W21. Total generation capacity'!$E$10:$Q$90,MATCH($A148&amp;$B148,'W21. Total generation capacity'!$A$10:$A$90&amp;'W21. Total generation capacity'!$C$10:$C$90,0),MATCH(J$76,'W21. Total generation capacity'!$E$9:$Q$9,0))</f>
        <v>3.2799318184610149</v>
      </c>
    </row>
    <row r="149" spans="1:10" x14ac:dyDescent="0.3">
      <c r="A149" s="3" t="s">
        <v>383</v>
      </c>
      <c r="B149" s="3" t="s">
        <v>253</v>
      </c>
      <c r="C149" s="14">
        <f t="array" ref="C149">INDEX('W21. Total generation capacity'!$E$10:$Q$90,MATCH($A149&amp;$B149,'W21. Total generation capacity'!$A$10:$A$90&amp;'W21. Total generation capacity'!$C$10:$C$90,0),MATCH(C$76,'W21. Total generation capacity'!$E$9:$Q$9,0))</f>
        <v>0.13090315065412222</v>
      </c>
      <c r="D149" s="14" t="str">
        <f t="array" ref="D149">INDEX('W21. Total generation capacity'!$E$10:$Q$90,MATCH($A149&amp;$B149,'W21. Total generation capacity'!$A$10:$A$90&amp;'W21. Total generation capacity'!$C$10:$C$90,0),MATCH(D$76,'W21. Total generation capacity'!$E$9:$Q$9,0))</f>
        <v/>
      </c>
      <c r="E149" s="14" t="str">
        <f t="array" ref="E149">INDEX('W21. Total generation capacity'!$E$10:$Q$90,MATCH($A149&amp;$B149,'W21. Total generation capacity'!$A$10:$A$90&amp;'W21. Total generation capacity'!$C$10:$C$90,0),MATCH(E$76,'W21. Total generation capacity'!$E$9:$Q$9,0))</f>
        <v/>
      </c>
      <c r="F149" s="14" t="str">
        <f t="array" ref="F149">INDEX('W21. Total generation capacity'!$E$10:$Q$90,MATCH($A149&amp;$B149,'W21. Total generation capacity'!$A$10:$A$90&amp;'W21. Total generation capacity'!$C$10:$C$90,0),MATCH(F$76,'W21. Total generation capacity'!$E$9:$Q$9,0))</f>
        <v/>
      </c>
      <c r="G149" s="14">
        <f t="array" ref="G149">INDEX('W21. Total generation capacity'!$E$10:$Q$90,MATCH($A149&amp;$B149,'W21. Total generation capacity'!$A$10:$A$90&amp;'W21. Total generation capacity'!$C$10:$C$90,0),MATCH(G$76,'W21. Total generation capacity'!$E$9:$Q$9,0))</f>
        <v>0.24523252868834228</v>
      </c>
      <c r="H149" s="14">
        <f t="array" ref="H149">INDEX('W21. Total generation capacity'!$E$10:$Q$90,MATCH($A149&amp;$B149,'W21. Total generation capacity'!$A$10:$A$90&amp;'W21. Total generation capacity'!$C$10:$C$90,0),MATCH(H$76,'W21. Total generation capacity'!$E$9:$Q$9,0))</f>
        <v>0.40967537440459106</v>
      </c>
      <c r="I149" s="14">
        <f t="array" ref="I149">INDEX('W21. Total generation capacity'!$E$10:$Q$90,MATCH($A149&amp;$B149,'W21. Total generation capacity'!$A$10:$A$90&amp;'W21. Total generation capacity'!$C$10:$C$90,0),MATCH(I$76,'W21. Total generation capacity'!$E$9:$Q$9,0))</f>
        <v>0.7413039855307727</v>
      </c>
      <c r="J149" s="14">
        <f t="array" ref="J149">INDEX('W21. Total generation capacity'!$E$10:$Q$90,MATCH($A149&amp;$B149,'W21. Total generation capacity'!$A$10:$A$90&amp;'W21. Total generation capacity'!$C$10:$C$90,0),MATCH(J$76,'W21. Total generation capacity'!$E$9:$Q$9,0))</f>
        <v>1.2887195809750558</v>
      </c>
    </row>
    <row r="150" spans="1:10" x14ac:dyDescent="0.3">
      <c r="A150" s="3" t="s">
        <v>383</v>
      </c>
      <c r="B150" s="3" t="s">
        <v>254</v>
      </c>
      <c r="C150" s="14">
        <f t="array" ref="C150">INDEX('W21. Total generation capacity'!$E$10:$Q$90,MATCH($A150&amp;$B150,'W21. Total generation capacity'!$A$10:$A$90&amp;'W21. Total generation capacity'!$C$10:$C$90,0),MATCH(C$76,'W21. Total generation capacity'!$E$9:$Q$9,0))</f>
        <v>1.7603680667874486</v>
      </c>
      <c r="D150" s="14" t="str">
        <f t="array" ref="D150">INDEX('W21. Total generation capacity'!$E$10:$Q$90,MATCH($A150&amp;$B150,'W21. Total generation capacity'!$A$10:$A$90&amp;'W21. Total generation capacity'!$C$10:$C$90,0),MATCH(D$76,'W21. Total generation capacity'!$E$9:$Q$9,0))</f>
        <v/>
      </c>
      <c r="E150" s="14" t="str">
        <f t="array" ref="E150">INDEX('W21. Total generation capacity'!$E$10:$Q$90,MATCH($A150&amp;$B150,'W21. Total generation capacity'!$A$10:$A$90&amp;'W21. Total generation capacity'!$C$10:$C$90,0),MATCH(E$76,'W21. Total generation capacity'!$E$9:$Q$9,0))</f>
        <v/>
      </c>
      <c r="F150" s="14" t="str">
        <f t="array" ref="F150">INDEX('W21. Total generation capacity'!$E$10:$Q$90,MATCH($A150&amp;$B150,'W21. Total generation capacity'!$A$10:$A$90&amp;'W21. Total generation capacity'!$C$10:$C$90,0),MATCH(F$76,'W21. Total generation capacity'!$E$9:$Q$9,0))</f>
        <v/>
      </c>
      <c r="G150" s="14">
        <f t="array" ref="G150">INDEX('W21. Total generation capacity'!$E$10:$Q$90,MATCH($A150&amp;$B150,'W21. Total generation capacity'!$A$10:$A$90&amp;'W21. Total generation capacity'!$C$10:$C$90,0),MATCH(G$76,'W21. Total generation capacity'!$E$9:$Q$9,0))</f>
        <v>1.7485424433277286</v>
      </c>
      <c r="H150" s="14">
        <f t="array" ref="H150">INDEX('W21. Total generation capacity'!$E$10:$Q$90,MATCH($A150&amp;$B150,'W21. Total generation capacity'!$A$10:$A$90&amp;'W21. Total generation capacity'!$C$10:$C$90,0),MATCH(H$76,'W21. Total generation capacity'!$E$9:$Q$9,0))</f>
        <v>1.4340262710118759</v>
      </c>
      <c r="I150" s="14">
        <f t="array" ref="I150">INDEX('W21. Total generation capacity'!$E$10:$Q$90,MATCH($A150&amp;$B150,'W21. Total generation capacity'!$A$10:$A$90&amp;'W21. Total generation capacity'!$C$10:$C$90,0),MATCH(I$76,'W21. Total generation capacity'!$E$9:$Q$9,0))</f>
        <v>0.65998784802782029</v>
      </c>
      <c r="J150" s="14">
        <f t="array" ref="J150">INDEX('W21. Total generation capacity'!$E$10:$Q$90,MATCH($A150&amp;$B150,'W21. Total generation capacity'!$A$10:$A$90&amp;'W21. Total generation capacity'!$C$10:$C$90,0),MATCH(J$76,'W21. Total generation capacity'!$E$9:$Q$9,0))</f>
        <v>0.39578867321539724</v>
      </c>
    </row>
    <row r="151" spans="1:10" x14ac:dyDescent="0.3">
      <c r="A151" s="3" t="s">
        <v>383</v>
      </c>
      <c r="B151" s="3" t="s">
        <v>255</v>
      </c>
      <c r="C151" s="14">
        <f t="array" ref="C151">INDEX('W21. Total generation capacity'!$E$10:$Q$90,MATCH($A151&amp;$B151,'W21. Total generation capacity'!$A$10:$A$90&amp;'W21. Total generation capacity'!$C$10:$C$90,0),MATCH(C$76,'W21. Total generation capacity'!$E$9:$Q$9,0))</f>
        <v>1.6386833129472773</v>
      </c>
      <c r="D151" s="14" t="str">
        <f t="array" ref="D151">INDEX('W21. Total generation capacity'!$E$10:$Q$90,MATCH($A151&amp;$B151,'W21. Total generation capacity'!$A$10:$A$90&amp;'W21. Total generation capacity'!$C$10:$C$90,0),MATCH(D$76,'W21. Total generation capacity'!$E$9:$Q$9,0))</f>
        <v/>
      </c>
      <c r="E151" s="14" t="str">
        <f t="array" ref="E151">INDEX('W21. Total generation capacity'!$E$10:$Q$90,MATCH($A151&amp;$B151,'W21. Total generation capacity'!$A$10:$A$90&amp;'W21. Total generation capacity'!$C$10:$C$90,0),MATCH(E$76,'W21. Total generation capacity'!$E$9:$Q$9,0))</f>
        <v/>
      </c>
      <c r="F151" s="14" t="str">
        <f t="array" ref="F151">INDEX('W21. Total generation capacity'!$E$10:$Q$90,MATCH($A151&amp;$B151,'W21. Total generation capacity'!$A$10:$A$90&amp;'W21. Total generation capacity'!$C$10:$C$90,0),MATCH(F$76,'W21. Total generation capacity'!$E$9:$Q$9,0))</f>
        <v/>
      </c>
      <c r="G151" s="14">
        <f t="array" ref="G151">INDEX('W21. Total generation capacity'!$E$10:$Q$90,MATCH($A151&amp;$B151,'W21. Total generation capacity'!$A$10:$A$90&amp;'W21. Total generation capacity'!$C$10:$C$90,0),MATCH(G$76,'W21. Total generation capacity'!$E$9:$Q$9,0))</f>
        <v>1.8295842762578676</v>
      </c>
      <c r="H151" s="14">
        <f t="array" ref="H151">INDEX('W21. Total generation capacity'!$E$10:$Q$90,MATCH($A151&amp;$B151,'W21. Total generation capacity'!$A$10:$A$90&amp;'W21. Total generation capacity'!$C$10:$C$90,0),MATCH(H$76,'W21. Total generation capacity'!$E$9:$Q$9,0))</f>
        <v>2.0257464227944975</v>
      </c>
      <c r="I151" s="14">
        <f t="array" ref="I151">INDEX('W21. Total generation capacity'!$E$10:$Q$90,MATCH($A151&amp;$B151,'W21. Total generation capacity'!$A$10:$A$90&amp;'W21. Total generation capacity'!$C$10:$C$90,0),MATCH(I$76,'W21. Total generation capacity'!$E$9:$Q$9,0))</f>
        <v>1.9307288884278528</v>
      </c>
      <c r="J151" s="14">
        <f t="array" ref="J151">INDEX('W21. Total generation capacity'!$E$10:$Q$90,MATCH($A151&amp;$B151,'W21. Total generation capacity'!$A$10:$A$90&amp;'W21. Total generation capacity'!$C$10:$C$90,0),MATCH(J$76,'W21. Total generation capacity'!$E$9:$Q$9,0))</f>
        <v>1.9184509636790199</v>
      </c>
    </row>
    <row r="152" spans="1:10" x14ac:dyDescent="0.3">
      <c r="A152" s="3" t="s">
        <v>383</v>
      </c>
      <c r="B152" s="3" t="s">
        <v>258</v>
      </c>
      <c r="C152" s="14">
        <f t="array" ref="C152">INDEX('W21. Total generation capacity'!$E$10:$Q$90,MATCH($A152&amp;$B152,'W21. Total generation capacity'!$A$10:$A$90&amp;'W21. Total generation capacity'!$C$10:$C$90,0),MATCH(C$76,'W21. Total generation capacity'!$E$9:$Q$9,0))</f>
        <v>1.2844834743538201E-2</v>
      </c>
      <c r="D152" s="14" t="str">
        <f t="array" ref="D152">INDEX('W21. Total generation capacity'!$E$10:$Q$90,MATCH($A152&amp;$B152,'W21. Total generation capacity'!$A$10:$A$90&amp;'W21. Total generation capacity'!$C$10:$C$90,0),MATCH(D$76,'W21. Total generation capacity'!$E$9:$Q$9,0))</f>
        <v/>
      </c>
      <c r="E152" s="14" t="str">
        <f t="array" ref="E152">INDEX('W21. Total generation capacity'!$E$10:$Q$90,MATCH($A152&amp;$B152,'W21. Total generation capacity'!$A$10:$A$90&amp;'W21. Total generation capacity'!$C$10:$C$90,0),MATCH(E$76,'W21. Total generation capacity'!$E$9:$Q$9,0))</f>
        <v/>
      </c>
      <c r="F152" s="14" t="str">
        <f t="array" ref="F152">INDEX('W21. Total generation capacity'!$E$10:$Q$90,MATCH($A152&amp;$B152,'W21. Total generation capacity'!$A$10:$A$90&amp;'W21. Total generation capacity'!$C$10:$C$90,0),MATCH(F$76,'W21. Total generation capacity'!$E$9:$Q$9,0))</f>
        <v/>
      </c>
      <c r="G152" s="14">
        <f t="array" ref="G152">INDEX('W21. Total generation capacity'!$E$10:$Q$90,MATCH($A152&amp;$B152,'W21. Total generation capacity'!$A$10:$A$90&amp;'W21. Total generation capacity'!$C$10:$C$90,0),MATCH(G$76,'W21. Total generation capacity'!$E$9:$Q$9,0))</f>
        <v>2.6127648793906732E-2</v>
      </c>
      <c r="H152" s="14">
        <f t="array" ref="H152">INDEX('W21. Total generation capacity'!$E$10:$Q$90,MATCH($A152&amp;$B152,'W21. Total generation capacity'!$A$10:$A$90&amp;'W21. Total generation capacity'!$C$10:$C$90,0),MATCH(H$76,'W21. Total generation capacity'!$E$9:$Q$9,0))</f>
        <v>5.7235212825109016E-2</v>
      </c>
      <c r="I152" s="14">
        <f t="array" ref="I152">INDEX('W21. Total generation capacity'!$E$10:$Q$90,MATCH($A152&amp;$B152,'W21. Total generation capacity'!$A$10:$A$90&amp;'W21. Total generation capacity'!$C$10:$C$90,0),MATCH(I$76,'W21. Total generation capacity'!$E$9:$Q$9,0))</f>
        <v>0.13333671352697068</v>
      </c>
      <c r="J152" s="14">
        <f t="array" ref="J152">INDEX('W21. Total generation capacity'!$E$10:$Q$90,MATCH($A152&amp;$B152,'W21. Total generation capacity'!$A$10:$A$90&amp;'W21. Total generation capacity'!$C$10:$C$90,0),MATCH(J$76,'W21. Total generation capacity'!$E$9:$Q$9,0))</f>
        <v>0.32675695764636714</v>
      </c>
    </row>
    <row r="153" spans="1:10" x14ac:dyDescent="0.3">
      <c r="A153" s="3" t="s">
        <v>383</v>
      </c>
      <c r="B153" s="3" t="s">
        <v>256</v>
      </c>
      <c r="C153" s="14">
        <f t="array" ref="C153">INDEX('W21. Total generation capacity'!$E$10:$Q$90,MATCH($A153&amp;$B153,'W21. Total generation capacity'!$A$10:$A$90&amp;'W21. Total generation capacity'!$C$10:$C$90,0),MATCH(C$76,'W21. Total generation capacity'!$E$9:$Q$9,0))</f>
        <v>1.0440240328563759</v>
      </c>
      <c r="D153" s="14" t="str">
        <f t="array" ref="D153">INDEX('W21. Total generation capacity'!$E$10:$Q$90,MATCH($A153&amp;$B153,'W21. Total generation capacity'!$A$10:$A$90&amp;'W21. Total generation capacity'!$C$10:$C$90,0),MATCH(D$76,'W21. Total generation capacity'!$E$9:$Q$9,0))</f>
        <v/>
      </c>
      <c r="E153" s="14" t="str">
        <f t="array" ref="E153">INDEX('W21. Total generation capacity'!$E$10:$Q$90,MATCH($A153&amp;$B153,'W21. Total generation capacity'!$A$10:$A$90&amp;'W21. Total generation capacity'!$C$10:$C$90,0),MATCH(E$76,'W21. Total generation capacity'!$E$9:$Q$9,0))</f>
        <v/>
      </c>
      <c r="F153" s="14" t="str">
        <f t="array" ref="F153">INDEX('W21. Total generation capacity'!$E$10:$Q$90,MATCH($A153&amp;$B153,'W21. Total generation capacity'!$A$10:$A$90&amp;'W21. Total generation capacity'!$C$10:$C$90,0),MATCH(F$76,'W21. Total generation capacity'!$E$9:$Q$9,0))</f>
        <v/>
      </c>
      <c r="G153" s="14">
        <f t="array" ref="G153">INDEX('W21. Total generation capacity'!$E$10:$Q$90,MATCH($A153&amp;$B153,'W21. Total generation capacity'!$A$10:$A$90&amp;'W21. Total generation capacity'!$C$10:$C$90,0),MATCH(G$76,'W21. Total generation capacity'!$E$9:$Q$9,0))</f>
        <v>1.2460854523716458</v>
      </c>
      <c r="H153" s="14">
        <f t="array" ref="H153">INDEX('W21. Total generation capacity'!$E$10:$Q$90,MATCH($A153&amp;$B153,'W21. Total generation capacity'!$A$10:$A$90&amp;'W21. Total generation capacity'!$C$10:$C$90,0),MATCH(H$76,'W21. Total generation capacity'!$E$9:$Q$9,0))</f>
        <v>1.5765783991066322</v>
      </c>
      <c r="I153" s="14">
        <f t="array" ref="I153">INDEX('W21. Total generation capacity'!$E$10:$Q$90,MATCH($A153&amp;$B153,'W21. Total generation capacity'!$A$10:$A$90&amp;'W21. Total generation capacity'!$C$10:$C$90,0),MATCH(I$76,'W21. Total generation capacity'!$E$9:$Q$9,0))</f>
        <v>1.8633158178265594</v>
      </c>
      <c r="J153" s="14">
        <f t="array" ref="J153">INDEX('W21. Total generation capacity'!$E$10:$Q$90,MATCH($A153&amp;$B153,'W21. Total generation capacity'!$A$10:$A$90&amp;'W21. Total generation capacity'!$C$10:$C$90,0),MATCH(J$76,'W21. Total generation capacity'!$E$9:$Q$9,0))</f>
        <v>2.1931921598591591</v>
      </c>
    </row>
    <row r="154" spans="1:10" x14ac:dyDescent="0.3">
      <c r="A154" s="3" t="s">
        <v>383</v>
      </c>
      <c r="B154" s="3" t="s">
        <v>257</v>
      </c>
      <c r="C154" s="14">
        <f t="array" ref="C154">INDEX('W21. Total generation capacity'!$E$10:$Q$90,MATCH($A154&amp;$B154,'W21. Total generation capacity'!$A$10:$A$90&amp;'W21. Total generation capacity'!$C$10:$C$90,0),MATCH(C$76,'W21. Total generation capacity'!$E$9:$Q$9,0))</f>
        <v>0.39827599999996116</v>
      </c>
      <c r="D154" s="14" t="str">
        <f t="array" ref="D154">INDEX('W21. Total generation capacity'!$E$10:$Q$90,MATCH($A154&amp;$B154,'W21. Total generation capacity'!$A$10:$A$90&amp;'W21. Total generation capacity'!$C$10:$C$90,0),MATCH(D$76,'W21. Total generation capacity'!$E$9:$Q$9,0))</f>
        <v/>
      </c>
      <c r="E154" s="14" t="str">
        <f t="array" ref="E154">INDEX('W21. Total generation capacity'!$E$10:$Q$90,MATCH($A154&amp;$B154,'W21. Total generation capacity'!$A$10:$A$90&amp;'W21. Total generation capacity'!$C$10:$C$90,0),MATCH(E$76,'W21. Total generation capacity'!$E$9:$Q$9,0))</f>
        <v/>
      </c>
      <c r="F154" s="14" t="str">
        <f t="array" ref="F154">INDEX('W21. Total generation capacity'!$E$10:$Q$90,MATCH($A154&amp;$B154,'W21. Total generation capacity'!$A$10:$A$90&amp;'W21. Total generation capacity'!$C$10:$C$90,0),MATCH(F$76,'W21. Total generation capacity'!$E$9:$Q$9,0))</f>
        <v/>
      </c>
      <c r="G154" s="14">
        <f t="array" ref="G154">INDEX('W21. Total generation capacity'!$E$10:$Q$90,MATCH($A154&amp;$B154,'W21. Total generation capacity'!$A$10:$A$90&amp;'W21. Total generation capacity'!$C$10:$C$90,0),MATCH(G$76,'W21. Total generation capacity'!$E$9:$Q$9,0))</f>
        <v>0.47325719434316432</v>
      </c>
      <c r="H154" s="14">
        <f t="array" ref="H154">INDEX('W21. Total generation capacity'!$E$10:$Q$90,MATCH($A154&amp;$B154,'W21. Total generation capacity'!$A$10:$A$90&amp;'W21. Total generation capacity'!$C$10:$C$90,0),MATCH(H$76,'W21. Total generation capacity'!$E$9:$Q$9,0))</f>
        <v>0.65577058377660835</v>
      </c>
      <c r="I154" s="14">
        <f t="array" ref="I154">INDEX('W21. Total generation capacity'!$E$10:$Q$90,MATCH($A154&amp;$B154,'W21. Total generation capacity'!$A$10:$A$90&amp;'W21. Total generation capacity'!$C$10:$C$90,0),MATCH(I$76,'W21. Total generation capacity'!$E$9:$Q$9,0))</f>
        <v>0.84127880379851716</v>
      </c>
      <c r="J154" s="14">
        <f t="array" ref="J154">INDEX('W21. Total generation capacity'!$E$10:$Q$90,MATCH($A154&amp;$B154,'W21. Total generation capacity'!$A$10:$A$90&amp;'W21. Total generation capacity'!$C$10:$C$90,0),MATCH(J$76,'W21. Total generation capacity'!$E$9:$Q$9,0))</f>
        <v>0.96518721530781959</v>
      </c>
    </row>
    <row r="155" spans="1:10" x14ac:dyDescent="0.3">
      <c r="A155" s="3" t="s">
        <v>383</v>
      </c>
      <c r="B155" s="3" t="s">
        <v>266</v>
      </c>
      <c r="C155" s="14">
        <f t="array" ref="C155">INDEX('W21. Total generation capacity'!$E$10:$Q$90,MATCH($A155&amp;$B155,'W21. Total generation capacity'!$A$10:$A$90&amp;'W21. Total generation capacity'!$C$10:$C$90,0),MATCH(C$76,'W21. Total generation capacity'!$E$9:$Q$9,0))</f>
        <v>0.44234508278658269</v>
      </c>
      <c r="D155" s="14" t="str">
        <f t="array" ref="D155">INDEX('W21. Total generation capacity'!$E$10:$Q$90,MATCH($A155&amp;$B155,'W21. Total generation capacity'!$A$10:$A$90&amp;'W21. Total generation capacity'!$C$10:$C$90,0),MATCH(D$76,'W21. Total generation capacity'!$E$9:$Q$9,0))</f>
        <v/>
      </c>
      <c r="E155" s="14" t="str">
        <f t="array" ref="E155">INDEX('W21. Total generation capacity'!$E$10:$Q$90,MATCH($A155&amp;$B155,'W21. Total generation capacity'!$A$10:$A$90&amp;'W21. Total generation capacity'!$C$10:$C$90,0),MATCH(E$76,'W21. Total generation capacity'!$E$9:$Q$9,0))</f>
        <v/>
      </c>
      <c r="F155" s="14" t="str">
        <f t="array" ref="F155">INDEX('W21. Total generation capacity'!$E$10:$Q$90,MATCH($A155&amp;$B155,'W21. Total generation capacity'!$A$10:$A$90&amp;'W21. Total generation capacity'!$C$10:$C$90,0),MATCH(F$76,'W21. Total generation capacity'!$E$9:$Q$9,0))</f>
        <v/>
      </c>
      <c r="G155" s="14">
        <f t="array" ref="G155">INDEX('W21. Total generation capacity'!$E$10:$Q$90,MATCH($A155&amp;$B155,'W21. Total generation capacity'!$A$10:$A$90&amp;'W21. Total generation capacity'!$C$10:$C$90,0),MATCH(G$76,'W21. Total generation capacity'!$E$9:$Q$9,0))</f>
        <v>0.42532697016132232</v>
      </c>
      <c r="H155" s="14">
        <f t="array" ref="H155">INDEX('W21. Total generation capacity'!$E$10:$Q$90,MATCH($A155&amp;$B155,'W21. Total generation capacity'!$A$10:$A$90&amp;'W21. Total generation capacity'!$C$10:$C$90,0),MATCH(H$76,'W21. Total generation capacity'!$E$9:$Q$9,0))</f>
        <v>0.33102827878410485</v>
      </c>
      <c r="I155" s="14">
        <f t="array" ref="I155">INDEX('W21. Total generation capacity'!$E$10:$Q$90,MATCH($A155&amp;$B155,'W21. Total generation capacity'!$A$10:$A$90&amp;'W21. Total generation capacity'!$C$10:$C$90,0),MATCH(I$76,'W21. Total generation capacity'!$E$9:$Q$9,0))</f>
        <v>0.21356470202353983</v>
      </c>
      <c r="J155" s="14">
        <f t="array" ref="J155">INDEX('W21. Total generation capacity'!$E$10:$Q$90,MATCH($A155&amp;$B155,'W21. Total generation capacity'!$A$10:$A$90&amp;'W21. Total generation capacity'!$C$10:$C$90,0),MATCH(J$76,'W21. Total generation capacity'!$E$9:$Q$9,0))</f>
        <v>0.18219131709763842</v>
      </c>
    </row>
    <row r="156" spans="1:10" x14ac:dyDescent="0.3">
      <c r="A156" s="3" t="s">
        <v>383</v>
      </c>
      <c r="B156" s="3" t="s">
        <v>259</v>
      </c>
      <c r="C156" s="14">
        <f t="array" ref="C156">INDEX('W21. Total generation capacity'!$E$10:$Q$90,MATCH($A156&amp;$B156,'W21. Total generation capacity'!$A$10:$A$90&amp;'W21. Total generation capacity'!$C$10:$C$90,0),MATCH(C$76,'W21. Total generation capacity'!$E$9:$Q$9,0))</f>
        <v>0.18542903206056638</v>
      </c>
      <c r="D156" s="14" t="str">
        <f t="array" ref="D156">INDEX('W21. Total generation capacity'!$E$10:$Q$90,MATCH($A156&amp;$B156,'W21. Total generation capacity'!$A$10:$A$90&amp;'W21. Total generation capacity'!$C$10:$C$90,0),MATCH(D$76,'W21. Total generation capacity'!$E$9:$Q$9,0))</f>
        <v/>
      </c>
      <c r="E156" s="14" t="str">
        <f t="array" ref="E156">INDEX('W21. Total generation capacity'!$E$10:$Q$90,MATCH($A156&amp;$B156,'W21. Total generation capacity'!$A$10:$A$90&amp;'W21. Total generation capacity'!$C$10:$C$90,0),MATCH(E$76,'W21. Total generation capacity'!$E$9:$Q$9,0))</f>
        <v/>
      </c>
      <c r="F156" s="14" t="str">
        <f t="array" ref="F156">INDEX('W21. Total generation capacity'!$E$10:$Q$90,MATCH($A156&amp;$B156,'W21. Total generation capacity'!$A$10:$A$90&amp;'W21. Total generation capacity'!$C$10:$C$90,0),MATCH(F$76,'W21. Total generation capacity'!$E$9:$Q$9,0))</f>
        <v/>
      </c>
      <c r="G156" s="14">
        <f t="array" ref="G156">INDEX('W21. Total generation capacity'!$E$10:$Q$90,MATCH($A156&amp;$B156,'W21. Total generation capacity'!$A$10:$A$90&amp;'W21. Total generation capacity'!$C$10:$C$90,0),MATCH(G$76,'W21. Total generation capacity'!$E$9:$Q$9,0))</f>
        <v>0.54758252282638964</v>
      </c>
      <c r="H156" s="14">
        <f t="array" ref="H156">INDEX('W21. Total generation capacity'!$E$10:$Q$90,MATCH($A156&amp;$B156,'W21. Total generation capacity'!$A$10:$A$90&amp;'W21. Total generation capacity'!$C$10:$C$90,0),MATCH(H$76,'W21. Total generation capacity'!$E$9:$Q$9,0))</f>
        <v>1.3654492955969471</v>
      </c>
      <c r="I156" s="14">
        <f t="array" ref="I156">INDEX('W21. Total generation capacity'!$E$10:$Q$90,MATCH($A156&amp;$B156,'W21. Total generation capacity'!$A$10:$A$90&amp;'W21. Total generation capacity'!$C$10:$C$90,0),MATCH(I$76,'W21. Total generation capacity'!$E$9:$Q$9,0))</f>
        <v>3.1055323965348673</v>
      </c>
      <c r="J156" s="14">
        <f t="array" ref="J156">INDEX('W21. Total generation capacity'!$E$10:$Q$90,MATCH($A156&amp;$B156,'W21. Total generation capacity'!$A$10:$A$90&amp;'W21. Total generation capacity'!$C$10:$C$90,0),MATCH(J$76,'W21. Total generation capacity'!$E$9:$Q$9,0))</f>
        <v>5.3632878684589791</v>
      </c>
    </row>
    <row r="157" spans="1:10" x14ac:dyDescent="0.3">
      <c r="A157" s="3" t="s">
        <v>383</v>
      </c>
      <c r="B157" s="3" t="s">
        <v>260</v>
      </c>
      <c r="C157" s="14">
        <f t="array" ref="C157">INDEX('W21. Total generation capacity'!$E$10:$Q$90,MATCH($A157&amp;$B157,'W21. Total generation capacity'!$A$10:$A$90&amp;'W21. Total generation capacity'!$C$10:$C$90,0),MATCH(C$76,'W21. Total generation capacity'!$E$9:$Q$9,0))</f>
        <v>0.34956813537458747</v>
      </c>
      <c r="D157" s="14" t="str">
        <f t="array" ref="D157">INDEX('W21. Total generation capacity'!$E$10:$Q$90,MATCH($A157&amp;$B157,'W21. Total generation capacity'!$A$10:$A$90&amp;'W21. Total generation capacity'!$C$10:$C$90,0),MATCH(D$76,'W21. Total generation capacity'!$E$9:$Q$9,0))</f>
        <v/>
      </c>
      <c r="E157" s="14" t="str">
        <f t="array" ref="E157">INDEX('W21. Total generation capacity'!$E$10:$Q$90,MATCH($A157&amp;$B157,'W21. Total generation capacity'!$A$10:$A$90&amp;'W21. Total generation capacity'!$C$10:$C$90,0),MATCH(E$76,'W21. Total generation capacity'!$E$9:$Q$9,0))</f>
        <v/>
      </c>
      <c r="F157" s="14" t="str">
        <f t="array" ref="F157">INDEX('W21. Total generation capacity'!$E$10:$Q$90,MATCH($A157&amp;$B157,'W21. Total generation capacity'!$A$10:$A$90&amp;'W21. Total generation capacity'!$C$10:$C$90,0),MATCH(F$76,'W21. Total generation capacity'!$E$9:$Q$9,0))</f>
        <v/>
      </c>
      <c r="G157" s="14">
        <f t="array" ref="G157">INDEX('W21. Total generation capacity'!$E$10:$Q$90,MATCH($A157&amp;$B157,'W21. Total generation capacity'!$A$10:$A$90&amp;'W21. Total generation capacity'!$C$10:$C$90,0),MATCH(G$76,'W21. Total generation capacity'!$E$9:$Q$9,0))</f>
        <v>0.82298696095013557</v>
      </c>
      <c r="H157" s="14">
        <f t="array" ref="H157">INDEX('W21. Total generation capacity'!$E$10:$Q$90,MATCH($A157&amp;$B157,'W21. Total generation capacity'!$A$10:$A$90&amp;'W21. Total generation capacity'!$C$10:$C$90,0),MATCH(H$76,'W21. Total generation capacity'!$E$9:$Q$9,0))</f>
        <v>1.7812443004299543</v>
      </c>
      <c r="I157" s="14">
        <f t="array" ref="I157">INDEX('W21. Total generation capacity'!$E$10:$Q$90,MATCH($A157&amp;$B157,'W21. Total generation capacity'!$A$10:$A$90&amp;'W21. Total generation capacity'!$C$10:$C$90,0),MATCH(I$76,'W21. Total generation capacity'!$E$9:$Q$9,0))</f>
        <v>2.6936882572095526</v>
      </c>
      <c r="J157" s="14">
        <f t="array" ref="J157">INDEX('W21. Total generation capacity'!$E$10:$Q$90,MATCH($A157&amp;$B157,'W21. Total generation capacity'!$A$10:$A$90&amp;'W21. Total generation capacity'!$C$10:$C$90,0),MATCH(J$76,'W21. Total generation capacity'!$E$9:$Q$9,0))</f>
        <v>3.473681615841878</v>
      </c>
    </row>
  </sheetData>
  <mergeCells count="2">
    <mergeCell ref="D14:M14"/>
    <mergeCell ref="N14:W14"/>
  </mergeCells>
  <conditionalFormatting sqref="A1:XFD10 A25:XFD58 A11:A24 C12:XFD13 C14:D14 N14 X14:XFD14 C15:XFD24 C11:H11 J11:R11 T11:XFD11 A60:XFD1048576 A59:G59 I59:P59 R59:Y59 AA59:AH59 AS59:XFD59 AJ59:AQ59">
    <cfRule type="expression" dxfId="172" priority="8">
      <formula>_xlfn.ISFORMULA(A1)</formula>
    </cfRule>
  </conditionalFormatting>
  <conditionalFormatting sqref="I11">
    <cfRule type="expression" dxfId="171" priority="7">
      <formula>_xlfn.ISFORMULA(I11)</formula>
    </cfRule>
  </conditionalFormatting>
  <conditionalFormatting sqref="S11">
    <cfRule type="expression" dxfId="170" priority="6">
      <formula>_xlfn.ISFORMULA(S11)</formula>
    </cfRule>
  </conditionalFormatting>
  <conditionalFormatting sqref="H59">
    <cfRule type="expression" dxfId="169" priority="5">
      <formula>_xlfn.ISFORMULA(H59)</formula>
    </cfRule>
  </conditionalFormatting>
  <conditionalFormatting sqref="Q59">
    <cfRule type="expression" dxfId="168" priority="4">
      <formula>_xlfn.ISFORMULA(Q59)</formula>
    </cfRule>
  </conditionalFormatting>
  <conditionalFormatting sqref="Z59">
    <cfRule type="expression" dxfId="167" priority="3">
      <formula>_xlfn.ISFORMULA(Z59)</formula>
    </cfRule>
  </conditionalFormatting>
  <conditionalFormatting sqref="AR59">
    <cfRule type="expression" dxfId="166" priority="2">
      <formula>_xlfn.ISFORMULA(AR59)</formula>
    </cfRule>
  </conditionalFormatting>
  <conditionalFormatting sqref="AI59">
    <cfRule type="expression" dxfId="165" priority="1">
      <formula>_xlfn.ISFORMULA(AI59)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CFDFF-DB89-4A30-848E-4482AAF9FF2E}">
  <sheetPr>
    <tabColor theme="4" tint="0.499984740745262"/>
    <pageSetUpPr autoPageBreaks="0"/>
  </sheetPr>
  <dimension ref="A1:AM120"/>
  <sheetViews>
    <sheetView topLeftCell="A69" zoomScale="70" zoomScaleNormal="70" workbookViewId="0">
      <selection activeCell="A105" sqref="A105"/>
    </sheetView>
  </sheetViews>
  <sheetFormatPr defaultColWidth="8.5546875" defaultRowHeight="14.4" x14ac:dyDescent="0.3"/>
  <cols>
    <col min="1" max="45" width="15.77734375" style="3" customWidth="1"/>
    <col min="46" max="16384" width="8.5546875" style="3"/>
  </cols>
  <sheetData>
    <row r="1" spans="1:39" s="19" customFormat="1" ht="49.5" customHeight="1" x14ac:dyDescent="0.3">
      <c r="A1" s="19" t="s">
        <v>1010</v>
      </c>
    </row>
    <row r="2" spans="1:39" s="20" customFormat="1" x14ac:dyDescent="0.3">
      <c r="A2" s="20" t="s">
        <v>5</v>
      </c>
      <c r="B2" s="20" t="s">
        <v>432</v>
      </c>
    </row>
    <row r="3" spans="1:39" s="20" customFormat="1" x14ac:dyDescent="0.3">
      <c r="A3" s="20" t="s">
        <v>6</v>
      </c>
      <c r="B3" s="20" t="s">
        <v>433</v>
      </c>
    </row>
    <row r="4" spans="1:39" s="20" customFormat="1" x14ac:dyDescent="0.3">
      <c r="A4" s="20" t="s">
        <v>4</v>
      </c>
      <c r="B4" s="20" t="s">
        <v>434</v>
      </c>
      <c r="O4" s="21"/>
      <c r="P4" s="22"/>
    </row>
    <row r="5" spans="1:39" s="20" customFormat="1" x14ac:dyDescent="0.3">
      <c r="A5" s="20" t="s">
        <v>351</v>
      </c>
      <c r="B5" s="23">
        <f>1/($H$5/10^3)</f>
        <v>4.863430350138831E-2</v>
      </c>
      <c r="C5" s="20" t="s">
        <v>435</v>
      </c>
      <c r="E5" s="20" t="s">
        <v>436</v>
      </c>
      <c r="H5" s="772">
        <f>(SUM('W19. Transport total capacity'!B39:B44)*10^9)/($I$5*1000)</f>
        <v>20561.618610852609</v>
      </c>
      <c r="I5" s="775">
        <f>834915.648606667</f>
        <v>834915.64860666695</v>
      </c>
      <c r="O5" s="21"/>
      <c r="P5" s="22"/>
    </row>
    <row r="6" spans="1:39" s="20" customFormat="1" x14ac:dyDescent="0.3">
      <c r="A6" s="20" t="s">
        <v>355</v>
      </c>
      <c r="B6" s="23" t="s">
        <v>356</v>
      </c>
      <c r="O6" s="21"/>
      <c r="P6" s="22"/>
    </row>
    <row r="7" spans="1:39" s="20" customFormat="1" x14ac:dyDescent="0.3">
      <c r="B7" s="23" t="s">
        <v>428</v>
      </c>
      <c r="O7" s="21"/>
      <c r="P7" s="22"/>
    </row>
    <row r="8" spans="1:39" ht="15" thickBot="1" x14ac:dyDescent="0.35"/>
    <row r="9" spans="1:39" s="25" customFormat="1" ht="15" thickBot="1" x14ac:dyDescent="0.35">
      <c r="A9" s="24" t="s">
        <v>358</v>
      </c>
    </row>
    <row r="10" spans="1:39" x14ac:dyDescent="0.3">
      <c r="E10" s="26"/>
      <c r="F10" s="27"/>
      <c r="G10" s="27"/>
      <c r="H10" s="27"/>
      <c r="I10" s="27"/>
      <c r="J10" s="27"/>
    </row>
    <row r="11" spans="1:39" x14ac:dyDescent="0.3">
      <c r="A11" s="3" t="s">
        <v>8</v>
      </c>
      <c r="B11" s="3" t="s">
        <v>86</v>
      </c>
      <c r="C11" s="3" t="s">
        <v>8</v>
      </c>
      <c r="D11" s="3">
        <v>2017</v>
      </c>
      <c r="E11" s="3">
        <v>2020</v>
      </c>
      <c r="F11" s="28">
        <v>2030</v>
      </c>
      <c r="G11" s="3">
        <v>2040</v>
      </c>
      <c r="H11" s="3">
        <v>2050</v>
      </c>
      <c r="U11" s="3">
        <v>2017</v>
      </c>
      <c r="V11" s="786">
        <v>2030</v>
      </c>
      <c r="W11" s="786"/>
      <c r="X11" s="786"/>
      <c r="Y11" s="786"/>
      <c r="Z11" s="786"/>
      <c r="AA11" s="786"/>
      <c r="AB11" s="786"/>
      <c r="AC11" s="786"/>
      <c r="AD11" s="786"/>
      <c r="AE11" s="786">
        <v>2050</v>
      </c>
      <c r="AF11" s="786"/>
      <c r="AG11" s="786"/>
      <c r="AH11" s="786"/>
      <c r="AI11" s="786"/>
      <c r="AJ11" s="786"/>
      <c r="AK11" s="786"/>
      <c r="AL11" s="786"/>
      <c r="AM11" s="786"/>
    </row>
    <row r="12" spans="1:39" ht="14.4" customHeight="1" x14ac:dyDescent="0.3">
      <c r="A12" s="3" t="s">
        <v>437</v>
      </c>
      <c r="E12" s="14">
        <f>INDEX($D$62:$J$67,MATCH("EVO 2017 2DS",$A$62:$A$67,0),MATCH(E$11,$D$61:$J$61,0))/INDEX($Q$49:$U$57,MATCH("Vivid_1",$A$49:$A$57,0),MATCH(E$11,$Q$48:$U$48,0))</f>
        <v>8.4486181788628105</v>
      </c>
      <c r="F12" s="14">
        <f>INDEX($D$62:$J$67,MATCH("EVO 2017 2DS",$A$62:$A$67,0),MATCH(F$11,$D$61:$J$61,0))/INDEX($Q$49:$U$57,MATCH("Vivid_1",$A$49:$A$57,0),MATCH(F$11,$Q$48:$U$48,0))</f>
        <v>0.90166938705670552</v>
      </c>
      <c r="G12" s="14">
        <f>INDEX($D$62:$J$67,MATCH("EVO 2017 2DS",$A$62:$A$67,0),MATCH(G$11,$D$61:$J$61,0))/INDEX($Q$49:$U$57,MATCH("Vivid_1",$A$49:$A$57,0),MATCH(G$11,$Q$48:$U$48,0))</f>
        <v>0.77048126582558074</v>
      </c>
      <c r="H12" s="14">
        <f>INDEX($D$62:$J$67,MATCH("EVO 2017 2DS",$A$62:$A$67,0),MATCH(H$11,$D$61:$J$61,0))/INDEX($Q$49:$U$57,MATCH("Vivid_1",$A$49:$A$57,0),MATCH(H$11,$Q$48:$U$48,0))</f>
        <v>0.57006645448719739</v>
      </c>
      <c r="U12" s="3" t="s">
        <v>440</v>
      </c>
      <c r="V12" s="3" t="s">
        <v>440</v>
      </c>
      <c r="W12" s="46" t="s">
        <v>443</v>
      </c>
      <c r="X12" s="3" t="s">
        <v>361</v>
      </c>
      <c r="Y12" s="3" t="s">
        <v>362</v>
      </c>
      <c r="Z12" s="3" t="s">
        <v>363</v>
      </c>
      <c r="AA12" s="3" t="s">
        <v>364</v>
      </c>
      <c r="AB12" s="3" t="s">
        <v>365</v>
      </c>
      <c r="AC12" s="3" t="s">
        <v>366</v>
      </c>
      <c r="AD12" s="3" t="s">
        <v>367</v>
      </c>
      <c r="AE12" s="3" t="s">
        <v>440</v>
      </c>
      <c r="AF12" s="46" t="s">
        <v>443</v>
      </c>
      <c r="AG12" s="3" t="s">
        <v>361</v>
      </c>
      <c r="AH12" s="3" t="s">
        <v>362</v>
      </c>
      <c r="AI12" s="3" t="s">
        <v>363</v>
      </c>
      <c r="AJ12" s="3" t="s">
        <v>364</v>
      </c>
      <c r="AK12" s="3" t="s">
        <v>365</v>
      </c>
      <c r="AL12" s="3" t="s">
        <v>366</v>
      </c>
      <c r="AM12" s="3" t="s">
        <v>367</v>
      </c>
    </row>
    <row r="13" spans="1:39" x14ac:dyDescent="0.3">
      <c r="A13" s="29" t="s">
        <v>13</v>
      </c>
      <c r="B13" s="29" t="str">
        <f>INDEX('R1. Scenario specifications'!$C$11:$C$60,MATCH($A13,'R1. Scenario specifications'!$A$11:$A$60,0))</f>
        <v>Vivid BAU - WEO Current Policies Scenario emissions pathway run through TIAM</v>
      </c>
      <c r="C13" s="29" t="s">
        <v>359</v>
      </c>
      <c r="D13" s="30"/>
      <c r="E13" s="30">
        <f>E$23</f>
        <v>19.8361516009697</v>
      </c>
      <c r="F13" s="30">
        <f t="shared" ref="F13:H14" si="0">INDEX($Q$49:$U$57,MATCH($A13,$A$49:$A$57,0),MATCH(F$11,$Q$48:$U$48,0))*F$12</f>
        <v>157.65419696142564</v>
      </c>
      <c r="G13" s="30">
        <f t="shared" si="0"/>
        <v>224.84939893264212</v>
      </c>
      <c r="H13" s="30">
        <f t="shared" si="0"/>
        <v>354.93551052586298</v>
      </c>
      <c r="T13" s="3" t="s">
        <v>346</v>
      </c>
      <c r="U13" s="3">
        <v>2017</v>
      </c>
      <c r="V13" s="3">
        <v>2030</v>
      </c>
      <c r="W13" s="3">
        <v>2030</v>
      </c>
      <c r="X13" s="3">
        <v>2030</v>
      </c>
      <c r="Y13" s="3">
        <v>2030</v>
      </c>
      <c r="Z13" s="3">
        <v>2030</v>
      </c>
      <c r="AA13" s="3">
        <v>2030</v>
      </c>
      <c r="AB13" s="3">
        <v>2030</v>
      </c>
      <c r="AC13" s="3">
        <v>2030</v>
      </c>
      <c r="AD13" s="3">
        <v>2030</v>
      </c>
      <c r="AE13" s="3">
        <v>2050</v>
      </c>
      <c r="AF13" s="3">
        <v>2050</v>
      </c>
      <c r="AG13" s="3">
        <v>2050</v>
      </c>
      <c r="AH13" s="3">
        <v>2050</v>
      </c>
      <c r="AI13" s="3">
        <v>2050</v>
      </c>
      <c r="AJ13" s="3">
        <v>2050</v>
      </c>
      <c r="AK13" s="3">
        <v>2050</v>
      </c>
      <c r="AL13" s="3">
        <v>2050</v>
      </c>
      <c r="AM13" s="3">
        <v>2050</v>
      </c>
    </row>
    <row r="14" spans="1:39" x14ac:dyDescent="0.3">
      <c r="A14" s="29" t="s">
        <v>14</v>
      </c>
      <c r="B14" s="29" t="str">
        <f>INDEX('R1. Scenario specifications'!$C$11:$C$60,MATCH($A14,'R1. Scenario specifications'!$A$11:$A$60,0))</f>
        <v>Vivid Paris NDCs - WEO New Policies Scenario emissions pathway run through TIAM</v>
      </c>
      <c r="C14" s="29" t="s">
        <v>360</v>
      </c>
      <c r="D14" s="30"/>
      <c r="E14" s="30">
        <f t="shared" ref="E14:E21" si="1">E$23</f>
        <v>19.8361516009697</v>
      </c>
      <c r="F14" s="30">
        <f t="shared" si="0"/>
        <v>156.4690415084238</v>
      </c>
      <c r="G14" s="30">
        <f t="shared" si="0"/>
        <v>255.79288248279056</v>
      </c>
      <c r="H14" s="30">
        <f t="shared" si="0"/>
        <v>397.33426031545059</v>
      </c>
      <c r="T14" s="3" t="s">
        <v>327</v>
      </c>
      <c r="U14" s="361"/>
      <c r="V14" s="361"/>
      <c r="W14" s="361"/>
      <c r="X14" s="361">
        <f t="array" ref="X14">INDEX($Q$49:$AJ$57,MATCH(INDEX($A$13:$A$24,MATCH(X$12,$C$13:$C$24,0)),$A$49:$A$57,0),MATCH(X$13&amp;$T14,$Q$48:$AJ$48&amp;$Q$46:$AJ$46,0))</f>
        <v>1098.464506811398</v>
      </c>
      <c r="Y14" s="361">
        <f t="array" ref="Y14">INDEX($Q$49:$AJ$57,MATCH(INDEX($A$13:$A$24,MATCH(Y$12,$C$13:$C$24,0)),$A$49:$A$57,0),MATCH(Y$13&amp;$T14,$Q$48:$AJ$48&amp;$Q$46:$AJ$46,0))</f>
        <v>1087.1380324147058</v>
      </c>
      <c r="Z14" s="361">
        <f t="array" ref="Z14">INDEX($Q$49:$AJ$57,MATCH(INDEX($A$13:$A$24,MATCH(Z$12,$C$13:$C$24,0)),$A$49:$A$57,0),MATCH(Z$13&amp;$T14,$Q$48:$AJ$48&amp;$Q$46:$AJ$46,0))</f>
        <v>1083.7305152948941</v>
      </c>
      <c r="AA14" s="361">
        <f t="array" ref="AA14">INDEX($Q$49:$AJ$57,MATCH(INDEX($A$13:$A$24,MATCH(AA$12,$C$13:$C$24,0)),$A$49:$A$57,0),MATCH(AA$13&amp;$T14,$Q$48:$AJ$48&amp;$Q$46:$AJ$46,0))</f>
        <v>1094.597140830394</v>
      </c>
      <c r="AB14" s="361">
        <f t="array" ref="AB14">INDEX($Q$49:$AJ$57,MATCH(INDEX($A$13:$A$24,MATCH(AB$12,$C$13:$C$24,0)),$A$49:$A$57,0),MATCH(AB$13&amp;$T14,$Q$48:$AJ$48&amp;$Q$46:$AJ$46,0))</f>
        <v>1093.4905545086469</v>
      </c>
      <c r="AC14" s="361">
        <f t="array" ref="AC14">INDEX($Q$49:$AJ$57,MATCH(INDEX($A$13:$A$24,MATCH(AC$12,$C$13:$C$24,0)),$A$49:$A$57,0),MATCH(AC$13&amp;$T14,$Q$48:$AJ$48&amp;$Q$46:$AJ$46,0))</f>
        <v>649.79291675877721</v>
      </c>
      <c r="AD14" s="361">
        <f t="array" ref="AD14">INDEX($Q$49:$AJ$57,MATCH(INDEX($A$13:$A$24,MATCH(AD$12,$C$13:$C$24,0)),$A$49:$A$57,0),MATCH(AD$13&amp;$T14,$Q$48:$AJ$48&amp;$Q$46:$AJ$46,0))</f>
        <v>823.12209930697338</v>
      </c>
      <c r="AE14" s="361"/>
      <c r="AF14" s="361"/>
      <c r="AG14" s="361">
        <f t="array" ref="AG14">INDEX($Q$49:$AJ$57,MATCH(INDEX($A$13:$A$24,MATCH(AG$12,$C$13:$C$24,0)),$A$49:$A$57,0),MATCH(AG$13&amp;$T14,$Q$48:$AJ$48&amp;$Q$46:$AJ$46,0))</f>
        <v>730.0496388595285</v>
      </c>
      <c r="AH14" s="361">
        <f t="array" ref="AH14">INDEX($Q$49:$AJ$57,MATCH(INDEX($A$13:$A$24,MATCH(AH$12,$C$13:$C$24,0)),$A$49:$A$57,0),MATCH(AH$13&amp;$T14,$Q$48:$AJ$48&amp;$Q$46:$AJ$46,0))</f>
        <v>761.60201511369564</v>
      </c>
      <c r="AI14" s="361">
        <f t="array" ref="AI14">INDEX($Q$49:$AJ$57,MATCH(INDEX($A$13:$A$24,MATCH(AI$12,$C$13:$C$24,0)),$A$49:$A$57,0),MATCH(AI$13&amp;$T14,$Q$48:$AJ$48&amp;$Q$46:$AJ$46,0))</f>
        <v>732.77681969678054</v>
      </c>
      <c r="AJ14" s="361">
        <f t="array" ref="AJ14">INDEX($Q$49:$AJ$57,MATCH(INDEX($A$13:$A$24,MATCH(AJ$12,$C$13:$C$24,0)),$A$49:$A$57,0),MATCH(AJ$13&amp;$T14,$Q$48:$AJ$48&amp;$Q$46:$AJ$46,0))</f>
        <v>732.93478650773784</v>
      </c>
      <c r="AK14" s="361">
        <f t="array" ref="AK14">INDEX($Q$49:$AJ$57,MATCH(INDEX($A$13:$A$24,MATCH(AK$12,$C$13:$C$24,0)),$A$49:$A$57,0),MATCH(AK$13&amp;$T14,$Q$48:$AJ$48&amp;$Q$46:$AJ$46,0))</f>
        <v>728.84836201225801</v>
      </c>
      <c r="AL14" s="361">
        <f t="array" ref="AL14">INDEX($Q$49:$AJ$57,MATCH(INDEX($A$13:$A$24,MATCH(AL$12,$C$13:$C$24,0)),$A$49:$A$57,0),MATCH(AL$13&amp;$T14,$Q$48:$AJ$48&amp;$Q$46:$AJ$46,0))</f>
        <v>249.47773463377459</v>
      </c>
      <c r="AM14" s="361">
        <f t="array" ref="AM14">INDEX($Q$49:$AJ$57,MATCH(INDEX($A$13:$A$24,MATCH(AM$12,$C$13:$C$24,0)),$A$49:$A$57,0),MATCH(AM$13&amp;$T14,$Q$48:$AJ$48&amp;$Q$46:$AJ$46,0))</f>
        <v>579.35737711913885</v>
      </c>
    </row>
    <row r="15" spans="1:39" x14ac:dyDescent="0.3">
      <c r="A15" s="3" t="s">
        <v>15</v>
      </c>
      <c r="B15" s="3" t="str">
        <f>INDEX('R1. Scenario specifications'!$C$11:$C$60,MATCH($A15,'R1. Scenario specifications'!$A$11:$A$60,0))</f>
        <v>Current 2DS, 2020 start, 'Expect the Unexpected'</v>
      </c>
      <c r="C15" s="3" t="s">
        <v>361</v>
      </c>
      <c r="D15" s="31">
        <f t="shared" ref="D15:D22" si="2">$D$23</f>
        <v>3.1090500000000008</v>
      </c>
      <c r="E15" s="31">
        <f t="shared" si="1"/>
        <v>19.8361516009697</v>
      </c>
      <c r="F15" s="34">
        <f>INDEX($Q$49:$U$57,MATCH($A15,$A$49:$A$57,0),MATCH(F$11,$Q$48:$U$48,0))</f>
        <v>172.79605002617052</v>
      </c>
      <c r="G15" s="34">
        <f>INDEX($Q$49:$U$57,MATCH($A15,$A$49:$A$57,0),MATCH(G$11,$Q$48:$U$48,0))</f>
        <v>374.94416243953987</v>
      </c>
      <c r="H15" s="34">
        <f>INDEX($Q$49:$U$57,MATCH($A15,$A$49:$A$57,0),MATCH(H$11,$Q$48:$U$48,0))</f>
        <v>740.2119418644395</v>
      </c>
      <c r="T15" s="3" t="s">
        <v>324</v>
      </c>
      <c r="U15" s="776">
        <f>$F$63</f>
        <v>3.1090500000000008</v>
      </c>
      <c r="V15" s="776">
        <f>$H$64</f>
        <v>55.540270362869101</v>
      </c>
      <c r="W15" s="776">
        <f>$H$65</f>
        <v>113.24543865659901</v>
      </c>
      <c r="X15" s="361">
        <f t="array" ref="X15">INDEX($Q$49:$AJ$57,MATCH(INDEX($A$13:$A$24,MATCH(X$12,$C$13:$C$24,0)),$A$49:$A$57,0),MATCH(X$13&amp;$T15,$Q$48:$AJ$48&amp;$Q$46:$AJ$46,0))</f>
        <v>172.79605002617052</v>
      </c>
      <c r="Y15" s="361">
        <f t="array" ref="Y15">INDEX($Q$49:$AJ$57,MATCH(INDEX($A$13:$A$24,MATCH(Y$12,$C$13:$C$24,0)),$A$49:$A$57,0),MATCH(Y$13&amp;$T15,$Q$48:$AJ$48&amp;$Q$46:$AJ$46,0))</f>
        <v>173.53260935161762</v>
      </c>
      <c r="Z15" s="361">
        <f t="array" ref="Z15">INDEX($Q$49:$AJ$57,MATCH(INDEX($A$13:$A$24,MATCH(Z$12,$C$13:$C$24,0)),$A$49:$A$57,0),MATCH(Z$13&amp;$T15,$Q$48:$AJ$48&amp;$Q$46:$AJ$46,0))</f>
        <v>177.03309671084588</v>
      </c>
      <c r="AA15" s="361">
        <f t="array" ref="AA15">INDEX($Q$49:$AJ$57,MATCH(INDEX($A$13:$A$24,MATCH(AA$12,$C$13:$C$24,0)),$A$49:$A$57,0),MATCH(AA$13&amp;$T15,$Q$48:$AJ$48&amp;$Q$46:$AJ$46,0))</f>
        <v>172.79605002617052</v>
      </c>
      <c r="AB15" s="361">
        <f t="array" ref="AB15">INDEX($Q$49:$AJ$57,MATCH(INDEX($A$13:$A$24,MATCH(AB$12,$C$13:$C$24,0)),$A$49:$A$57,0),MATCH(AB$13&amp;$T15,$Q$48:$AJ$48&amp;$Q$46:$AJ$46,0))</f>
        <v>177.90464264931219</v>
      </c>
      <c r="AC15" s="361">
        <f t="array" ref="AC15">INDEX($Q$49:$AJ$57,MATCH(INDEX($A$13:$A$24,MATCH(AC$12,$C$13:$C$24,0)),$A$49:$A$57,0),MATCH(AC$13&amp;$T15,$Q$48:$AJ$48&amp;$Q$46:$AJ$46,0))</f>
        <v>699.539708817259</v>
      </c>
      <c r="AD15" s="361">
        <f t="array" ref="AD15">INDEX($Q$49:$AJ$57,MATCH(INDEX($A$13:$A$24,MATCH(AD$12,$C$13:$C$24,0)),$A$49:$A$57,0),MATCH(AD$13&amp;$T15,$Q$48:$AJ$48&amp;$Q$46:$AJ$46,0))</f>
        <v>123.17520954423168</v>
      </c>
      <c r="AE15" s="776">
        <f>$J$64</f>
        <v>148.58794599681823</v>
      </c>
      <c r="AF15" s="776">
        <f>$J$65</f>
        <v>300.06401276785982</v>
      </c>
      <c r="AG15" s="361">
        <f t="array" ref="AG15">INDEX($Q$49:$AJ$57,MATCH(INDEX($A$13:$A$24,MATCH(AG$12,$C$13:$C$24,0)),$A$49:$A$57,0),MATCH(AG$13&amp;$T15,$Q$48:$AJ$48&amp;$Q$46:$AJ$46,0))</f>
        <v>740.2119418644395</v>
      </c>
      <c r="AH15" s="361">
        <f t="array" ref="AH15">INDEX($Q$49:$AJ$57,MATCH(INDEX($A$13:$A$24,MATCH(AH$12,$C$13:$C$24,0)),$A$49:$A$57,0),MATCH(AH$13&amp;$T15,$Q$48:$AJ$48&amp;$Q$46:$AJ$46,0))</f>
        <v>728.01072324912616</v>
      </c>
      <c r="AI15" s="361">
        <f t="array" ref="AI15">INDEX($Q$49:$AJ$57,MATCH(INDEX($A$13:$A$24,MATCH(AI$12,$C$13:$C$24,0)),$A$49:$A$57,0),MATCH(AI$13&amp;$T15,$Q$48:$AJ$48&amp;$Q$46:$AJ$46,0))</f>
        <v>778.95439439179734</v>
      </c>
      <c r="AJ15" s="361">
        <f t="array" ref="AJ15">INDEX($Q$49:$AJ$57,MATCH(INDEX($A$13:$A$24,MATCH(AJ$12,$C$13:$C$24,0)),$A$49:$A$57,0),MATCH(AJ$13&amp;$T15,$Q$48:$AJ$48&amp;$Q$46:$AJ$46,0))</f>
        <v>739.8881827797004</v>
      </c>
      <c r="AK15" s="361">
        <f t="array" ref="AK15">INDEX($Q$49:$AJ$57,MATCH(INDEX($A$13:$A$24,MATCH(AK$12,$C$13:$C$24,0)),$A$49:$A$57,0),MATCH(AK$13&amp;$T15,$Q$48:$AJ$48&amp;$Q$46:$AJ$46,0))</f>
        <v>740.1623321711063</v>
      </c>
      <c r="AL15" s="361">
        <f t="array" ref="AL15">INDEX($Q$49:$AJ$57,MATCH(INDEX($A$13:$A$24,MATCH(AL$12,$C$13:$C$24,0)),$A$49:$A$57,0),MATCH(AL$13&amp;$T15,$Q$48:$AJ$48&amp;$Q$46:$AJ$46,0))</f>
        <v>1297.4151239443352</v>
      </c>
      <c r="AM15" s="361">
        <f t="array" ref="AM15">INDEX($Q$49:$AJ$57,MATCH(INDEX($A$13:$A$24,MATCH(AM$12,$C$13:$C$24,0)),$A$49:$A$57,0),MATCH(AM$13&amp;$T15,$Q$48:$AJ$48&amp;$Q$46:$AJ$46,0))</f>
        <v>601.62551704250177</v>
      </c>
    </row>
    <row r="16" spans="1:39" x14ac:dyDescent="0.3">
      <c r="A16" s="3" t="s">
        <v>26</v>
      </c>
      <c r="B16" s="3" t="str">
        <f>INDEX('R1. Scenario specifications'!$C$11:$C$60,MATCH($A16,'R1. Scenario specifications'!$A$11:$A$60,0))</f>
        <v>Current 2DS, 2030 start, 'Expect the Unexpected'</v>
      </c>
      <c r="C16" s="3" t="s">
        <v>362</v>
      </c>
      <c r="D16" s="31">
        <f t="shared" si="2"/>
        <v>3.1090500000000008</v>
      </c>
      <c r="E16" s="31">
        <f t="shared" si="1"/>
        <v>19.8361516009697</v>
      </c>
      <c r="F16" s="31">
        <f>$F$23</f>
        <v>113.24543865659901</v>
      </c>
      <c r="G16" s="34">
        <f t="shared" ref="G16:H21" si="3">INDEX($Q$49:$U$57,MATCH($A16,$A$49:$A$57,0),MATCH(G$11,$Q$48:$U$48,0))</f>
        <v>372.10941953930063</v>
      </c>
      <c r="H16" s="34">
        <f t="shared" si="3"/>
        <v>728.01072324912616</v>
      </c>
      <c r="T16" s="3" t="s">
        <v>1008</v>
      </c>
      <c r="U16" s="361"/>
      <c r="V16" s="361"/>
      <c r="W16" s="361"/>
      <c r="X16" s="361">
        <f t="array" ref="X16">INDEX($Q$49:$AJ$57,MATCH(INDEX($A$13:$A$24,MATCH(X$12,$C$13:$C$24,0)),$A$49:$A$57,0),MATCH(X$13&amp;$T16,$Q$48:$AJ$48&amp;$Q$46:$AJ$46,0))</f>
        <v>104.42810157498747</v>
      </c>
      <c r="Y16" s="361">
        <f t="array" ref="Y16">INDEX($Q$49:$AJ$57,MATCH(INDEX($A$13:$A$24,MATCH(Y$12,$C$13:$C$24,0)),$A$49:$A$57,0),MATCH(Y$13&amp;$T16,$Q$48:$AJ$48&amp;$Q$46:$AJ$46,0))</f>
        <v>117.80943348946741</v>
      </c>
      <c r="Z16" s="361">
        <f t="array" ref="Z16">INDEX($Q$49:$AJ$57,MATCH(INDEX($A$13:$A$24,MATCH(Z$12,$C$13:$C$24,0)),$A$49:$A$57,0),MATCH(Z$13&amp;$T16,$Q$48:$AJ$48&amp;$Q$46:$AJ$46,0))</f>
        <v>98.731039507237455</v>
      </c>
      <c r="AA16" s="361">
        <f t="array" ref="AA16">INDEX($Q$49:$AJ$57,MATCH(INDEX($A$13:$A$24,MATCH(AA$12,$C$13:$C$24,0)),$A$49:$A$57,0),MATCH(AA$13&amp;$T16,$Q$48:$AJ$48&amp;$Q$46:$AJ$46,0))</f>
        <v>108.50987266655561</v>
      </c>
      <c r="AB16" s="361">
        <f t="array" ref="AB16">INDEX($Q$49:$AJ$57,MATCH(INDEX($A$13:$A$24,MATCH(AB$12,$C$13:$C$24,0)),$A$49:$A$57,0),MATCH(AB$13&amp;$T16,$Q$48:$AJ$48&amp;$Q$46:$AJ$46,0))</f>
        <v>103.92997184860471</v>
      </c>
      <c r="AC16" s="361">
        <f t="array" ref="AC16">INDEX($Q$49:$AJ$57,MATCH(INDEX($A$13:$A$24,MATCH(AC$12,$C$13:$C$24,0)),$A$49:$A$57,0),MATCH(AC$13&amp;$T16,$Q$48:$AJ$48&amp;$Q$46:$AJ$46,0))</f>
        <v>64.110018291911757</v>
      </c>
      <c r="AD16" s="361">
        <f t="array" ref="AD16">INDEX($Q$49:$AJ$57,MATCH(INDEX($A$13:$A$24,MATCH(AD$12,$C$13:$C$24,0)),$A$49:$A$57,0),MATCH(AD$13&amp;$T16,$Q$48:$AJ$48&amp;$Q$46:$AJ$46,0))</f>
        <v>74.279540272018878</v>
      </c>
      <c r="AE16" s="361"/>
      <c r="AF16" s="361"/>
      <c r="AG16" s="361">
        <f t="array" ref="AG16">INDEX($Q$49:$AJ$57,MATCH(INDEX($A$13:$A$24,MATCH(AG$12,$C$13:$C$24,0)),$A$49:$A$57,0),MATCH(AG$13&amp;$T16,$Q$48:$AJ$48&amp;$Q$46:$AJ$46,0))</f>
        <v>202.76204700717076</v>
      </c>
      <c r="AH16" s="361">
        <f t="array" ref="AH16">INDEX($Q$49:$AJ$57,MATCH(INDEX($A$13:$A$24,MATCH(AH$12,$C$13:$C$24,0)),$A$49:$A$57,0),MATCH(AH$13&amp;$T16,$Q$48:$AJ$48&amp;$Q$46:$AJ$46,0))</f>
        <v>182.21994579525915</v>
      </c>
      <c r="AI16" s="361">
        <f t="array" ref="AI16">INDEX($Q$49:$AJ$57,MATCH(INDEX($A$13:$A$24,MATCH(AI$12,$C$13:$C$24,0)),$A$49:$A$57,0),MATCH(AI$13&amp;$T16,$Q$48:$AJ$48&amp;$Q$46:$AJ$46,0))</f>
        <v>146.31972825773539</v>
      </c>
      <c r="AJ16" s="361">
        <f t="array" ref="AJ16">INDEX($Q$49:$AJ$57,MATCH(INDEX($A$13:$A$24,MATCH(AJ$12,$C$13:$C$24,0)),$A$49:$A$57,0),MATCH(AJ$13&amp;$T16,$Q$48:$AJ$48&amp;$Q$46:$AJ$46,0))</f>
        <v>200.2006584437008</v>
      </c>
      <c r="AK16" s="361">
        <f t="array" ref="AK16">INDEX($Q$49:$AJ$57,MATCH(INDEX($A$13:$A$24,MATCH(AK$12,$C$13:$C$24,0)),$A$49:$A$57,0),MATCH(AK$13&amp;$T16,$Q$48:$AJ$48&amp;$Q$46:$AJ$46,0))</f>
        <v>203.52339413766438</v>
      </c>
      <c r="AL16" s="361">
        <f t="array" ref="AL16">INDEX($Q$49:$AJ$57,MATCH(INDEX($A$13:$A$24,MATCH(AL$12,$C$13:$C$24,0)),$A$49:$A$57,0),MATCH(AL$13&amp;$T16,$Q$48:$AJ$48&amp;$Q$46:$AJ$46,0))</f>
        <v>182.54255911182571</v>
      </c>
      <c r="AM16" s="361">
        <f t="array" ref="AM16">INDEX($Q$49:$AJ$57,MATCH(INDEX($A$13:$A$24,MATCH(AM$12,$C$13:$C$24,0)),$A$49:$A$57,0),MATCH(AM$13&amp;$T16,$Q$48:$AJ$48&amp;$Q$46:$AJ$46,0))</f>
        <v>191.88545719410021</v>
      </c>
    </row>
    <row r="17" spans="1:39" ht="14.4" customHeight="1" x14ac:dyDescent="0.3">
      <c r="A17" s="3" t="s">
        <v>32</v>
      </c>
      <c r="B17" s="3" t="str">
        <f>INDEX('R1. Scenario specifications'!$C$11:$C$60,MATCH($A17,'R1. Scenario specifications'!$A$11:$A$60,0))</f>
        <v>Current 1.75DS, 2020 start, 'Expect the Unexpected'</v>
      </c>
      <c r="C17" s="3" t="s">
        <v>363</v>
      </c>
      <c r="D17" s="31">
        <f t="shared" si="2"/>
        <v>3.1090500000000008</v>
      </c>
      <c r="E17" s="31">
        <f t="shared" si="1"/>
        <v>19.8361516009697</v>
      </c>
      <c r="F17" s="34">
        <f>INDEX($Q$49:$U$57,MATCH($A17,$A$49:$A$57,0),MATCH(F$11,$Q$48:$U$48,0))</f>
        <v>177.03309671084588</v>
      </c>
      <c r="G17" s="34">
        <f t="shared" si="3"/>
        <v>390.39881134889214</v>
      </c>
      <c r="H17" s="34">
        <f t="shared" si="3"/>
        <v>778.95439439179734</v>
      </c>
      <c r="T17" s="3" t="s">
        <v>258</v>
      </c>
      <c r="U17" s="776">
        <f>$I$5/10^3-U15</f>
        <v>831.80659860666697</v>
      </c>
      <c r="V17" s="776">
        <f t="array" ref="V17">INDEX($Q$49:$AJ$57,MATCH("Vivid_0A_BAU",$A$49:$A$57,0),MATCH("Total"&amp;V$13,$Q$46:$AJ$46&amp;$Q$48:$AJ$48,0))-V$15</f>
        <v>1322.9398048929215</v>
      </c>
      <c r="W17" s="776">
        <f t="array" ref="W17">INDEX($Q$49:$AJ$57,MATCH("Vivid_0A_BAU",$A$49:$A$57,0),MATCH("Total"&amp;W$13,$Q$46:$AJ$46&amp;$Q$48:$AJ$48,0))-W$15</f>
        <v>1265.2346365991916</v>
      </c>
      <c r="X17" s="361"/>
      <c r="Y17" s="361"/>
      <c r="Z17" s="361"/>
      <c r="AA17" s="361"/>
      <c r="AB17" s="361"/>
      <c r="AC17" s="361"/>
      <c r="AD17" s="361"/>
      <c r="AE17" s="776">
        <f t="array" ref="AE17">INDEX($Q$49:$AJ$57,MATCH("Vivid_0A_BAU",$A$49:$A$57,0),MATCH("Total"&amp;AE$13,$Q$46:$AJ$46&amp;$Q$48:$AJ$48,0))-AE$15</f>
        <v>1524.8995000912741</v>
      </c>
      <c r="AF17" s="776">
        <f t="array" ref="AF17">INDEX($Q$49:$AJ$57,MATCH("Vivid_0A_BAU",$A$49:$A$57,0),MATCH("Total"&amp;AF$13,$Q$46:$AJ$46&amp;$Q$48:$AJ$48,0))-AF$15</f>
        <v>1373.4234333202326</v>
      </c>
      <c r="AG17" s="361"/>
      <c r="AH17" s="361"/>
      <c r="AI17" s="361"/>
      <c r="AJ17" s="361"/>
      <c r="AK17" s="361"/>
      <c r="AL17" s="361"/>
      <c r="AM17" s="361"/>
    </row>
    <row r="18" spans="1:39" x14ac:dyDescent="0.3">
      <c r="A18" s="3" t="s">
        <v>37</v>
      </c>
      <c r="B18" s="3" t="str">
        <f>INDEX('R1. Scenario specifications'!$C$11:$C$60,MATCH($A18,'R1. Scenario specifications'!$A$11:$A$60,0))</f>
        <v>Current 2DS, 2020 start, 'Expect the Unexpected' but with cheap renewables</v>
      </c>
      <c r="C18" s="3" t="s">
        <v>364</v>
      </c>
      <c r="D18" s="31">
        <f t="shared" si="2"/>
        <v>3.1090500000000008</v>
      </c>
      <c r="E18" s="31">
        <f t="shared" si="1"/>
        <v>19.8361516009697</v>
      </c>
      <c r="F18" s="34">
        <f>INDEX($Q$49:$U$57,MATCH($A18,$A$49:$A$57,0),MATCH(F$11,$Q$48:$U$48,0))</f>
        <v>172.79605002617052</v>
      </c>
      <c r="G18" s="34">
        <f t="shared" si="3"/>
        <v>374.51895709794422</v>
      </c>
      <c r="H18" s="34">
        <f t="shared" si="3"/>
        <v>739.8881827797004</v>
      </c>
    </row>
    <row r="19" spans="1:39" x14ac:dyDescent="0.3">
      <c r="A19" s="3" t="s">
        <v>1026</v>
      </c>
      <c r="B19" s="3" t="str">
        <f>INDEX('R1. Scenario specifications'!$C$11:$C$60,MATCH($A19,'R1. Scenario specifications'!$A$11:$A$60,0))</f>
        <v>Current 2DS, 2020 start, 'Expect the unexpceted' but with expensive renewables (cheap CCS)</v>
      </c>
      <c r="C19" s="3" t="s">
        <v>365</v>
      </c>
      <c r="D19" s="31">
        <f t="shared" si="2"/>
        <v>3.1090500000000008</v>
      </c>
      <c r="E19" s="31">
        <f t="shared" si="1"/>
        <v>19.8361516009697</v>
      </c>
      <c r="F19" s="34">
        <f>INDEX($Q$49:$U$57,MATCH($A19,$A$49:$A$57,0),MATCH(F$11,$Q$48:$U$48,0))</f>
        <v>177.90464264931219</v>
      </c>
      <c r="G19" s="34">
        <f t="shared" si="3"/>
        <v>376.45895163181689</v>
      </c>
      <c r="H19" s="34">
        <f t="shared" si="3"/>
        <v>740.1623321711063</v>
      </c>
    </row>
    <row r="20" spans="1:39" x14ac:dyDescent="0.3">
      <c r="A20" s="3" t="s">
        <v>47</v>
      </c>
      <c r="B20" s="3" t="str">
        <f>INDEX('R1. Scenario specifications'!$C$11:$C$60,MATCH($A20,'R1. Scenario specifications'!$A$11:$A$60,0))</f>
        <v>Current 2DS, 2020 start, 'Expect the Unexpected' but with cheap EVs</v>
      </c>
      <c r="C20" s="3" t="s">
        <v>366</v>
      </c>
      <c r="D20" s="31">
        <f t="shared" si="2"/>
        <v>3.1090500000000008</v>
      </c>
      <c r="E20" s="31">
        <f t="shared" si="1"/>
        <v>19.8361516009697</v>
      </c>
      <c r="F20" s="34">
        <f>INDEX($Q$49:$U$57,MATCH($A20,$A$49:$A$57,0),MATCH(F$11,$Q$48:$U$48,0))</f>
        <v>699.539708817259</v>
      </c>
      <c r="G20" s="34">
        <f t="shared" si="3"/>
        <v>944.21391812104696</v>
      </c>
      <c r="H20" s="34">
        <f t="shared" si="3"/>
        <v>1297.4151239443352</v>
      </c>
    </row>
    <row r="21" spans="1:39" ht="14.4" customHeight="1" x14ac:dyDescent="0.3">
      <c r="A21" s="3" t="s">
        <v>49</v>
      </c>
      <c r="B21" s="3" t="str">
        <f>INDEX('R1. Scenario specifications'!$C$11:$C$60,MATCH($A21,'R1. Scenario specifications'!$A$11:$A$60,0))</f>
        <v>Current 2DS, 2020 start, 'Expect the Unexpected' but with cheap energy efficiency</v>
      </c>
      <c r="C21" s="3" t="s">
        <v>367</v>
      </c>
      <c r="D21" s="31">
        <f t="shared" si="2"/>
        <v>3.1090500000000008</v>
      </c>
      <c r="E21" s="31">
        <f t="shared" si="1"/>
        <v>19.8361516009697</v>
      </c>
      <c r="F21" s="34">
        <f>INDEX($Q$49:$U$57,MATCH($A21,$A$49:$A$57,0),MATCH(F$11,$Q$48:$U$48,0))</f>
        <v>123.17520954423168</v>
      </c>
      <c r="G21" s="34">
        <f t="shared" si="3"/>
        <v>304.4470188588819</v>
      </c>
      <c r="H21" s="34">
        <f t="shared" si="3"/>
        <v>601.62551704250177</v>
      </c>
    </row>
    <row r="22" spans="1:39" x14ac:dyDescent="0.3">
      <c r="A22" s="32" t="s">
        <v>438</v>
      </c>
      <c r="B22" s="32" t="s">
        <v>439</v>
      </c>
      <c r="C22" s="32" t="s">
        <v>440</v>
      </c>
      <c r="D22" s="43">
        <f t="shared" si="2"/>
        <v>3.1090500000000008</v>
      </c>
      <c r="E22" s="33">
        <f t="shared" ref="E22:H24" si="4">INDEX($G$64:$J$67,MATCH($A22,$A$64:$A$67,0),MATCH(E$11,$G$61:$J$61,0))</f>
        <v>9.0164325458953201</v>
      </c>
      <c r="F22" s="33">
        <f t="shared" si="4"/>
        <v>55.540270362869101</v>
      </c>
      <c r="G22" s="33">
        <f t="shared" si="4"/>
        <v>102.06410817984397</v>
      </c>
      <c r="H22" s="33">
        <f t="shared" si="4"/>
        <v>148.58794599681823</v>
      </c>
    </row>
    <row r="23" spans="1:39" x14ac:dyDescent="0.3">
      <c r="A23" s="3" t="s">
        <v>441</v>
      </c>
      <c r="B23" s="3" t="s">
        <v>442</v>
      </c>
      <c r="C23" s="3" t="s">
        <v>443</v>
      </c>
      <c r="D23" s="34">
        <f t="shared" ref="D23:D24" si="5">$F$63</f>
        <v>3.1090500000000008</v>
      </c>
      <c r="E23" s="34">
        <f t="shared" si="4"/>
        <v>19.8361516009697</v>
      </c>
      <c r="F23" s="34">
        <f t="shared" si="4"/>
        <v>113.24543865659901</v>
      </c>
      <c r="G23" s="34">
        <f t="shared" si="4"/>
        <v>206.65472571222926</v>
      </c>
      <c r="H23" s="34">
        <f t="shared" si="4"/>
        <v>300.06401276785982</v>
      </c>
    </row>
    <row r="24" spans="1:39" x14ac:dyDescent="0.3">
      <c r="A24" s="3" t="s">
        <v>444</v>
      </c>
      <c r="B24" s="3" t="s">
        <v>445</v>
      </c>
      <c r="C24" s="3" t="s">
        <v>446</v>
      </c>
      <c r="D24" s="34">
        <f t="shared" si="5"/>
        <v>3.1090500000000008</v>
      </c>
      <c r="E24" s="34">
        <f t="shared" si="4"/>
        <v>22.7223641355023</v>
      </c>
      <c r="F24" s="34">
        <f t="shared" si="4"/>
        <v>155.804908512917</v>
      </c>
      <c r="G24" s="34">
        <f t="shared" si="4"/>
        <v>288.88745289032886</v>
      </c>
      <c r="H24" s="34">
        <f t="shared" si="4"/>
        <v>421.96999726774447</v>
      </c>
    </row>
    <row r="41" spans="1:36" ht="15" thickBot="1" x14ac:dyDescent="0.35"/>
    <row r="42" spans="1:36" s="25" customFormat="1" ht="15" thickBot="1" x14ac:dyDescent="0.35">
      <c r="A42" s="24" t="s">
        <v>374</v>
      </c>
    </row>
    <row r="43" spans="1:36" x14ac:dyDescent="0.3">
      <c r="A43" s="4"/>
    </row>
    <row r="44" spans="1:36" x14ac:dyDescent="0.3">
      <c r="B44" s="3" t="s">
        <v>324</v>
      </c>
      <c r="C44" s="3" t="s">
        <v>324</v>
      </c>
      <c r="D44" s="3" t="s">
        <v>324</v>
      </c>
      <c r="E44" s="3" t="s">
        <v>324</v>
      </c>
      <c r="F44" s="3" t="s">
        <v>324</v>
      </c>
      <c r="G44" s="3" t="s">
        <v>327</v>
      </c>
      <c r="H44" s="3" t="s">
        <v>327</v>
      </c>
      <c r="I44" s="3" t="s">
        <v>327</v>
      </c>
      <c r="J44" s="3" t="s">
        <v>327</v>
      </c>
      <c r="K44" s="3" t="s">
        <v>327</v>
      </c>
      <c r="L44" s="3" t="s">
        <v>326</v>
      </c>
      <c r="M44" s="3" t="s">
        <v>326</v>
      </c>
      <c r="N44" s="3" t="s">
        <v>326</v>
      </c>
      <c r="O44" s="3" t="s">
        <v>326</v>
      </c>
      <c r="P44" s="3" t="s">
        <v>326</v>
      </c>
    </row>
    <row r="45" spans="1:36" x14ac:dyDescent="0.3">
      <c r="B45" s="3" t="s">
        <v>329</v>
      </c>
      <c r="C45" s="3" t="s">
        <v>329</v>
      </c>
      <c r="D45" s="3" t="s">
        <v>329</v>
      </c>
      <c r="E45" s="3" t="s">
        <v>329</v>
      </c>
      <c r="F45" s="3" t="s">
        <v>329</v>
      </c>
      <c r="G45" s="3" t="s">
        <v>328</v>
      </c>
      <c r="H45" s="3" t="s">
        <v>328</v>
      </c>
      <c r="I45" s="3" t="s">
        <v>328</v>
      </c>
      <c r="J45" s="3" t="s">
        <v>328</v>
      </c>
      <c r="K45" s="3" t="s">
        <v>328</v>
      </c>
      <c r="L45" s="3" t="s">
        <v>325</v>
      </c>
      <c r="M45" s="3" t="s">
        <v>325</v>
      </c>
      <c r="N45" s="3" t="s">
        <v>325</v>
      </c>
      <c r="O45" s="3" t="s">
        <v>325</v>
      </c>
      <c r="P45" s="3" t="s">
        <v>325</v>
      </c>
    </row>
    <row r="46" spans="1:36" x14ac:dyDescent="0.3">
      <c r="Q46" s="3" t="s">
        <v>324</v>
      </c>
      <c r="R46" s="3" t="s">
        <v>324</v>
      </c>
      <c r="S46" s="3" t="s">
        <v>324</v>
      </c>
      <c r="T46" s="3" t="s">
        <v>324</v>
      </c>
      <c r="U46" s="3" t="s">
        <v>324</v>
      </c>
      <c r="V46" s="3" t="s">
        <v>327</v>
      </c>
      <c r="W46" s="3" t="s">
        <v>327</v>
      </c>
      <c r="X46" s="3" t="s">
        <v>327</v>
      </c>
      <c r="Y46" s="3" t="s">
        <v>327</v>
      </c>
      <c r="Z46" s="3" t="s">
        <v>327</v>
      </c>
      <c r="AA46" s="3" t="s">
        <v>1008</v>
      </c>
      <c r="AB46" s="3" t="s">
        <v>1008</v>
      </c>
      <c r="AC46" s="3" t="s">
        <v>1008</v>
      </c>
      <c r="AD46" s="3" t="s">
        <v>1008</v>
      </c>
      <c r="AE46" s="3" t="s">
        <v>1008</v>
      </c>
      <c r="AF46" s="3" t="s">
        <v>690</v>
      </c>
      <c r="AG46" s="3" t="s">
        <v>690</v>
      </c>
      <c r="AH46" s="3" t="s">
        <v>690</v>
      </c>
      <c r="AI46" s="3" t="s">
        <v>690</v>
      </c>
      <c r="AJ46" s="3" t="s">
        <v>690</v>
      </c>
    </row>
    <row r="47" spans="1:36" x14ac:dyDescent="0.3">
      <c r="B47" s="3" t="s">
        <v>447</v>
      </c>
      <c r="C47" s="3" t="s">
        <v>447</v>
      </c>
      <c r="D47" s="3" t="s">
        <v>447</v>
      </c>
      <c r="E47" s="3" t="s">
        <v>447</v>
      </c>
      <c r="F47" s="3" t="s">
        <v>447</v>
      </c>
      <c r="G47" s="3" t="s">
        <v>1003</v>
      </c>
      <c r="H47" s="3" t="s">
        <v>1003</v>
      </c>
      <c r="I47" s="3" t="s">
        <v>1003</v>
      </c>
      <c r="J47" s="3" t="s">
        <v>1003</v>
      </c>
      <c r="K47" s="3" t="s">
        <v>1003</v>
      </c>
      <c r="L47" s="3" t="s">
        <v>1004</v>
      </c>
      <c r="M47" s="3" t="s">
        <v>1004</v>
      </c>
      <c r="N47" s="3" t="s">
        <v>1004</v>
      </c>
      <c r="O47" s="3" t="s">
        <v>1004</v>
      </c>
      <c r="P47" s="3" t="s">
        <v>1004</v>
      </c>
      <c r="Q47" s="41" t="s">
        <v>448</v>
      </c>
      <c r="R47" s="3" t="s">
        <v>448</v>
      </c>
      <c r="S47" s="3" t="s">
        <v>448</v>
      </c>
      <c r="T47" s="3" t="s">
        <v>448</v>
      </c>
      <c r="U47" s="3" t="s">
        <v>448</v>
      </c>
      <c r="V47" s="3" t="s">
        <v>1005</v>
      </c>
      <c r="W47" s="3" t="s">
        <v>1005</v>
      </c>
      <c r="X47" s="3" t="s">
        <v>1005</v>
      </c>
      <c r="Y47" s="3" t="s">
        <v>1005</v>
      </c>
      <c r="Z47" s="3" t="s">
        <v>1005</v>
      </c>
      <c r="AA47" s="3" t="s">
        <v>1006</v>
      </c>
      <c r="AB47" s="3" t="s">
        <v>1006</v>
      </c>
      <c r="AC47" s="3" t="s">
        <v>1006</v>
      </c>
      <c r="AD47" s="3" t="s">
        <v>1006</v>
      </c>
      <c r="AE47" s="773" t="s">
        <v>1006</v>
      </c>
      <c r="AF47" s="3" t="s">
        <v>1007</v>
      </c>
      <c r="AG47" s="3" t="s">
        <v>1007</v>
      </c>
      <c r="AH47" s="3" t="s">
        <v>1007</v>
      </c>
      <c r="AI47" s="3" t="s">
        <v>1007</v>
      </c>
      <c r="AJ47" s="3" t="s">
        <v>1007</v>
      </c>
    </row>
    <row r="48" spans="1:36" x14ac:dyDescent="0.3">
      <c r="A48" s="3" t="s">
        <v>8</v>
      </c>
      <c r="B48" s="3">
        <v>2012</v>
      </c>
      <c r="C48" s="3">
        <v>2020</v>
      </c>
      <c r="D48" s="3">
        <v>2030</v>
      </c>
      <c r="E48" s="3">
        <v>2040</v>
      </c>
      <c r="F48" s="3">
        <v>2050</v>
      </c>
      <c r="G48" s="3">
        <v>2012</v>
      </c>
      <c r="H48" s="3">
        <v>2020</v>
      </c>
      <c r="I48" s="3">
        <v>2030</v>
      </c>
      <c r="J48" s="3">
        <v>2040</v>
      </c>
      <c r="K48" s="3">
        <v>2050</v>
      </c>
      <c r="L48" s="3">
        <v>2012</v>
      </c>
      <c r="M48" s="3">
        <v>2020</v>
      </c>
      <c r="N48" s="3">
        <v>2030</v>
      </c>
      <c r="O48" s="3">
        <v>2040</v>
      </c>
      <c r="P48" s="3">
        <v>2050</v>
      </c>
      <c r="Q48" s="41">
        <v>2012</v>
      </c>
      <c r="R48" s="3">
        <v>2020</v>
      </c>
      <c r="S48" s="3">
        <v>2030</v>
      </c>
      <c r="T48" s="3">
        <v>2040</v>
      </c>
      <c r="U48" s="3">
        <v>2050</v>
      </c>
      <c r="V48" s="3">
        <v>2012</v>
      </c>
      <c r="W48" s="3">
        <v>2020</v>
      </c>
      <c r="X48" s="3">
        <v>2030</v>
      </c>
      <c r="Y48" s="3">
        <v>2040</v>
      </c>
      <c r="Z48" s="3">
        <v>2050</v>
      </c>
      <c r="AA48" s="3">
        <v>2012</v>
      </c>
      <c r="AB48" s="3">
        <v>2020</v>
      </c>
      <c r="AC48" s="3">
        <v>2030</v>
      </c>
      <c r="AD48" s="3">
        <v>2040</v>
      </c>
      <c r="AE48" s="773">
        <v>2050</v>
      </c>
      <c r="AF48" s="3">
        <v>2012</v>
      </c>
      <c r="AG48" s="3">
        <v>2020</v>
      </c>
      <c r="AH48" s="3">
        <v>2030</v>
      </c>
      <c r="AI48" s="3">
        <v>2040</v>
      </c>
      <c r="AJ48" s="3">
        <v>2050</v>
      </c>
    </row>
    <row r="49" spans="1:36" x14ac:dyDescent="0.3">
      <c r="A49" s="3" t="str">
        <f t="shared" ref="A49:A57" si="6">A13</f>
        <v>Vivid_0A_BAU</v>
      </c>
      <c r="B49" s="34">
        <f t="array" ref="B49">SUM(IF(('W19. Transport total capacity'!$B$48:$B$281=$A49)*(('W19. Transport total capacity'!$D$48:$D$281=B$44)+('W19. Transport total capacity'!$D$48:$D$281=B$45))*('W19. Transport total capacity'!$E$47:$O$47=B$48),'W19. Transport total capacity'!$E$48:$O$281))</f>
        <v>6.1144027199999992E-2</v>
      </c>
      <c r="C49" s="34">
        <f t="array" ref="C49">SUM(IF(('W19. Transport total capacity'!$B$48:$B$281=$A49)*(('W19. Transport total capacity'!$D$48:$D$281=C$44)+('W19. Transport total capacity'!$D$48:$D$281=C$45))*('W19. Transport total capacity'!$E$47:$O$47=C$48),'W19. Transport total capacity'!$E$48:$O$281))</f>
        <v>55.29999999999994</v>
      </c>
      <c r="D49" s="34">
        <f t="array" ref="D49">SUM(IF(('W19. Transport total capacity'!$B$48:$B$281=$A49)*(('W19. Transport total capacity'!$D$48:$D$281=D$44)+('W19. Transport total capacity'!$D$48:$D$281=D$45))*('W19. Transport total capacity'!$E$47:$O$47=D$48),'W19. Transport total capacity'!$E$48:$O$281))</f>
        <v>3595.1375491438389</v>
      </c>
      <c r="E49" s="34">
        <f t="array" ref="E49">SUM(IF(('W19. Transport total capacity'!$B$48:$B$281=$A49)*(('W19. Transport total capacity'!$D$48:$D$281=E$44)+('W19. Transport total capacity'!$D$48:$D$281=E$45))*('W19. Transport total capacity'!$E$47:$O$47=E$48),'W19. Transport total capacity'!$E$48:$O$281))</f>
        <v>6000.4931862665671</v>
      </c>
      <c r="F49" s="34">
        <f t="array" ref="F49">SUM(IF(('W19. Transport total capacity'!$B$48:$B$281=$A49)*(('W19. Transport total capacity'!$D$48:$D$281=F$44)+('W19. Transport total capacity'!$D$48:$D$281=F$45))*('W19. Transport total capacity'!$E$47:$O$47=F$48),'W19. Transport total capacity'!$E$48:$O$281))</f>
        <v>12802.10147682871</v>
      </c>
      <c r="G49" s="34">
        <f t="array" ref="G49">SUM(IF(('W19. Transport total capacity'!$B$48:$B$281=$A49)*(('W19.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17014.902533173685</v>
      </c>
      <c r="H49" s="34">
        <f t="array" ref="H49">SUM(IF(('W19. Transport total capacity'!$B$48:$B$281=$A49)*(('W19.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24282.111243733405</v>
      </c>
      <c r="I49" s="34">
        <f t="array" ref="I49">SUM(IF(('W19. Transport total capacity'!$B$48:$B$281=$A49)*(('W19.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21715.746104543538</v>
      </c>
      <c r="J49" s="34">
        <f t="array" ref="J49">SUM(IF(('W19. Transport total capacity'!$B$48:$B$281=$A49)*(('W19.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19186.046405178065</v>
      </c>
      <c r="K49" s="34">
        <f t="array" ref="K49">SUM(IF(('W19. Transport total capacity'!$B$48:$B$281=$A49)*(('W19.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16459.048676655118</v>
      </c>
      <c r="L49" s="34">
        <f t="array" ref="L49">SUM(IF(('W19. Transport total capacity'!$B$48:$B$281=$A49)*(('W19.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151.98471759890444</v>
      </c>
      <c r="M49" s="34">
        <f t="array" ref="M49">SUM(IF(('W19. Transport total capacity'!$B$48:$B$281=$A49)*(('W19.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1328.9639000898185</v>
      </c>
      <c r="N49" s="34">
        <f t="array" ref="N49">SUM(IF(('W19. Transport total capacity'!$B$48:$B$281=$A49)*(('W19.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3032.8979163815893</v>
      </c>
      <c r="O49" s="34">
        <f t="array" ref="O49">SUM(IF(('W19. Transport total capacity'!$B$48:$B$281=$A49)*(('W19.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3828.4608365623308</v>
      </c>
      <c r="P49" s="34">
        <f t="array" ref="P49">SUM(IF(('W19. Transport total capacity'!$B$48:$B$281=$A49)*(('W19.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5148.4604630292934</v>
      </c>
      <c r="Q49" s="42">
        <f t="shared" ref="Q49:AE57" si="7">B49*$B$5</f>
        <v>2.9736971761419417E-3</v>
      </c>
      <c r="R49" s="14">
        <f t="shared" si="7"/>
        <v>2.6894769836267707</v>
      </c>
      <c r="S49" s="14">
        <f t="shared" si="7"/>
        <v>174.8470106942988</v>
      </c>
      <c r="T49" s="14">
        <f t="shared" si="7"/>
        <v>291.82980677890077</v>
      </c>
      <c r="U49" s="14">
        <f t="shared" si="7"/>
        <v>622.62128867965896</v>
      </c>
      <c r="V49" s="14">
        <f t="shared" si="7"/>
        <v>827.50793384490976</v>
      </c>
      <c r="W49" s="14">
        <f t="shared" si="7"/>
        <v>1180.943567882204</v>
      </c>
      <c r="X49" s="14">
        <f t="shared" si="7"/>
        <v>1056.1301868074613</v>
      </c>
      <c r="Y49" s="14">
        <f t="shared" si="7"/>
        <v>933.10000386115019</v>
      </c>
      <c r="Z49" s="14">
        <f t="shared" si="7"/>
        <v>800.47436868456862</v>
      </c>
      <c r="AA49" s="14">
        <f t="shared" si="7"/>
        <v>7.3916708832779117</v>
      </c>
      <c r="AB49" s="14">
        <f t="shared" si="7"/>
        <v>64.633233659356918</v>
      </c>
      <c r="AC49" s="14">
        <f t="shared" si="7"/>
        <v>147.50287775403044</v>
      </c>
      <c r="AD49" s="14">
        <f t="shared" si="7"/>
        <v>186.19452626855139</v>
      </c>
      <c r="AE49" s="774">
        <f t="shared" si="7"/>
        <v>250.39178872386483</v>
      </c>
      <c r="AF49" s="14">
        <f>SUM(Q49,V49,AA49)</f>
        <v>834.9025784253638</v>
      </c>
      <c r="AG49" s="14">
        <f t="shared" ref="AG49:AJ57" si="8">SUM(R49,W49,AB49)</f>
        <v>1248.2662785251875</v>
      </c>
      <c r="AH49" s="14">
        <f t="shared" si="8"/>
        <v>1378.4800752557906</v>
      </c>
      <c r="AI49" s="14">
        <f t="shared" si="8"/>
        <v>1411.1243369086023</v>
      </c>
      <c r="AJ49" s="14">
        <f t="shared" si="8"/>
        <v>1673.4874460880924</v>
      </c>
    </row>
    <row r="50" spans="1:36" x14ac:dyDescent="0.3">
      <c r="A50" s="3" t="str">
        <f t="shared" si="6"/>
        <v>Vivid_0B</v>
      </c>
      <c r="B50" s="34">
        <f t="array" ref="B50">SUM(IF(('W19. Transport total capacity'!$B$48:$B$281=$A50)*(('W19. Transport total capacity'!$D$48:$D$281=B$44)+('W19. Transport total capacity'!$D$48:$D$281=B$45))*('W19. Transport total capacity'!$E$47:$O$47=B$48),'W19. Transport total capacity'!$E$48:$O$281))</f>
        <v>6.1144027199999992E-2</v>
      </c>
      <c r="C50" s="34">
        <f t="array" ref="C50">SUM(IF(('W19. Transport total capacity'!$B$48:$B$281=$A50)*(('W19. Transport total capacity'!$D$48:$D$281=C$44)+('W19. Transport total capacity'!$D$48:$D$281=C$45))*('W19. Transport total capacity'!$E$47:$O$47=C$48),'W19. Transport total capacity'!$E$48:$O$281))</f>
        <v>55.300000000000061</v>
      </c>
      <c r="D50" s="34">
        <f t="array" ref="D50">SUM(IF(('W19. Transport total capacity'!$B$48:$B$281=$A50)*(('W19. Transport total capacity'!$D$48:$D$281=D$44)+('W19. Transport total capacity'!$D$48:$D$281=D$45))*('W19. Transport total capacity'!$E$47:$O$47=D$48),'W19. Transport total capacity'!$E$48:$O$281))</f>
        <v>3568.1113300340362</v>
      </c>
      <c r="E50" s="34">
        <f t="array" ref="E50">SUM(IF(('W19. Transport total capacity'!$B$48:$B$281=$A50)*(('W19. Transport total capacity'!$D$48:$D$281=E$44)+('W19. Transport total capacity'!$D$48:$D$281=E$45))*('W19. Transport total capacity'!$E$47:$O$47=E$48),'W19. Transport total capacity'!$E$48:$O$281))</f>
        <v>6826.2732999044965</v>
      </c>
      <c r="F50" s="34">
        <f t="array" ref="F50">SUM(IF(('W19. Transport total capacity'!$B$48:$B$281=$A50)*(('W19. Transport total capacity'!$D$48:$D$281=F$44)+('W19. Transport total capacity'!$D$48:$D$281=F$45))*('W19. Transport total capacity'!$E$47:$O$47=F$48),'W19. Transport total capacity'!$E$48:$O$281))</f>
        <v>14331.373925485037</v>
      </c>
      <c r="G50" s="34">
        <f t="array" ref="G50">SUM(IF(('W19. Transport total capacity'!$B$48:$B$281=$A50)*(('W19.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0" s="34">
        <f t="array" ref="H50">SUM(IF(('W19. Transport total capacity'!$B$48:$B$281=$A50)*(('W19.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0" s="34">
        <f t="array" ref="I50">SUM(IF(('W19. Transport total capacity'!$B$48:$B$281=$A50)*(('W19.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22353.317599863898</v>
      </c>
      <c r="J50" s="34">
        <f t="array" ref="J50">SUM(IF(('W19. Transport total capacity'!$B$48:$B$281=$A50)*(('W19.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18637.164291228364</v>
      </c>
      <c r="K50" s="34">
        <f t="array" ref="K50">SUM(IF(('W19. Transport total capacity'!$B$48:$B$281=$A50)*(('W19.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15114.439931537208</v>
      </c>
      <c r="L50" s="34">
        <f t="array" ref="L50">SUM(IF(('W19. Transport total capacity'!$B$48:$B$281=$A50)*(('W19.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0" s="34">
        <f t="array" ref="M50">SUM(IF(('W19. Transport total capacity'!$B$48:$B$281=$A50)*(('W19.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0" s="34">
        <f t="array" ref="N50">SUM(IF(('W19. Transport total capacity'!$B$48:$B$281=$A50)*(('W19.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2422.3526401710355</v>
      </c>
      <c r="O50" s="34">
        <f t="array" ref="O50">SUM(IF(('W19. Transport total capacity'!$B$48:$B$281=$A50)*(('W19.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3557.0005125855819</v>
      </c>
      <c r="P50" s="34">
        <f t="array" ref="P50">SUM(IF(('W19. Transport total capacity'!$B$48:$B$281=$A50)*(('W19.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4968.046455555962</v>
      </c>
      <c r="Q50" s="42">
        <f t="shared" si="7"/>
        <v>2.9736971761419417E-3</v>
      </c>
      <c r="R50" s="14">
        <f t="shared" si="7"/>
        <v>2.6894769836267765</v>
      </c>
      <c r="S50" s="14">
        <f t="shared" si="7"/>
        <v>173.53260935161762</v>
      </c>
      <c r="T50" s="14">
        <f t="shared" si="7"/>
        <v>331.99104745097878</v>
      </c>
      <c r="U50" s="14">
        <f t="shared" si="7"/>
        <v>696.99638908392205</v>
      </c>
      <c r="V50" s="14">
        <f t="shared" si="7"/>
        <v>827.29500846404051</v>
      </c>
      <c r="W50" s="14">
        <f t="shared" si="7"/>
        <v>1187.224668266866</v>
      </c>
      <c r="X50" s="14">
        <f t="shared" si="7"/>
        <v>1087.1380324147058</v>
      </c>
      <c r="Y50" s="14">
        <f t="shared" si="7"/>
        <v>906.40550454483684</v>
      </c>
      <c r="Z50" s="14">
        <f t="shared" si="7"/>
        <v>735.08025888388329</v>
      </c>
      <c r="AA50" s="14">
        <f t="shared" si="7"/>
        <v>7.6176664454504062</v>
      </c>
      <c r="AB50" s="14">
        <f t="shared" si="7"/>
        <v>58.358135321700885</v>
      </c>
      <c r="AC50" s="14">
        <f t="shared" si="7"/>
        <v>117.80943348946741</v>
      </c>
      <c r="AD50" s="14">
        <f t="shared" si="7"/>
        <v>172.99224248368097</v>
      </c>
      <c r="AE50" s="774">
        <f t="shared" si="7"/>
        <v>241.6174791285051</v>
      </c>
      <c r="AF50" s="14">
        <f t="shared" ref="AF50:AF57" si="9">SUM(Q50,V50,AA50)</f>
        <v>834.91564860666699</v>
      </c>
      <c r="AG50" s="14">
        <f t="shared" si="8"/>
        <v>1248.2722805721937</v>
      </c>
      <c r="AH50" s="14">
        <f t="shared" si="8"/>
        <v>1378.4800752557908</v>
      </c>
      <c r="AI50" s="14">
        <f t="shared" si="8"/>
        <v>1411.3887944794965</v>
      </c>
      <c r="AJ50" s="14">
        <f t="shared" si="8"/>
        <v>1673.6941270963105</v>
      </c>
    </row>
    <row r="51" spans="1:36" x14ac:dyDescent="0.3">
      <c r="A51" s="3" t="str">
        <f t="shared" si="6"/>
        <v>Vivid_1</v>
      </c>
      <c r="B51" s="34">
        <f t="array" ref="B51">SUM(IF(('W19. Transport total capacity'!$B$48:$B$281=$A51)*(('W19. Transport total capacity'!$D$48:$D$281=B$44)+('W19. Transport total capacity'!$D$48:$D$281=B$45))*('W19. Transport total capacity'!$E$47:$O$47=B$48),'W19. Transport total capacity'!$E$48:$O$281))</f>
        <v>6.1144027199999992E-2</v>
      </c>
      <c r="C51" s="34">
        <f t="array" ref="C51">SUM(IF(('W19. Transport total capacity'!$B$48:$B$281=$A51)*(('W19. Transport total capacity'!$D$48:$D$281=C$44)+('W19. Transport total capacity'!$D$48:$D$281=C$45))*('W19. Transport total capacity'!$E$47:$O$47=C$48),'W19. Transport total capacity'!$E$48:$O$281))</f>
        <v>55.300000000000061</v>
      </c>
      <c r="D51" s="34">
        <f t="array" ref="D51">SUM(IF(('W19. Transport total capacity'!$B$48:$B$281=$A51)*(('W19. Transport total capacity'!$D$48:$D$281=D$44)+('W19. Transport total capacity'!$D$48:$D$281=D$45))*('W19. Transport total capacity'!$E$47:$O$47=D$48),'W19. Transport total capacity'!$E$48:$O$281))</f>
        <v>3552.966478099926</v>
      </c>
      <c r="E51" s="34">
        <f t="array" ref="E51">SUM(IF(('W19. Transport total capacity'!$B$48:$B$281=$A51)*(('W19. Transport total capacity'!$D$48:$D$281=E$44)+('W19. Transport total capacity'!$D$48:$D$281=E$45))*('W19. Transport total capacity'!$E$47:$O$47=E$48),'W19. Transport total capacity'!$E$48:$O$281))</f>
        <v>7709.4588684473865</v>
      </c>
      <c r="F51" s="34">
        <f t="array" ref="F51">SUM(IF(('W19. Transport total capacity'!$B$48:$B$281=$A51)*(('W19. Transport total capacity'!$D$48:$D$281=F$44)+('W19. Transport total capacity'!$D$48:$D$281=F$45))*('W19. Transport total capacity'!$E$47:$O$47=F$48),'W19. Transport total capacity'!$E$48:$O$281))</f>
        <v>15219.955639815207</v>
      </c>
      <c r="G51" s="34">
        <f t="array" ref="G51">SUM(IF(('W19. Transport total capacity'!$B$48:$B$281=$A51)*(('W19.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1" s="34">
        <f t="array" ref="H51">SUM(IF(('W19. Transport total capacity'!$B$48:$B$281=$A51)*(('W19.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1" s="34">
        <f t="array" ref="I51">SUM(IF(('W19. Transport total capacity'!$B$48:$B$281=$A51)*(('W19.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22586.208246614271</v>
      </c>
      <c r="J51" s="34">
        <f t="array" ref="J51">SUM(IF(('W19. Transport total capacity'!$B$48:$B$281=$A51)*(('W19.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18322.628998992484</v>
      </c>
      <c r="K51" s="34">
        <f t="array" ref="K51">SUM(IF(('W19. Transport total capacity'!$B$48:$B$281=$A51)*(('W19.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15011.002241220305</v>
      </c>
      <c r="L51" s="34">
        <f t="array" ref="L51">SUM(IF(('W19. Transport total capacity'!$B$48:$B$281=$A51)*(('W19.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1" s="34">
        <f t="array" ref="M51">SUM(IF(('W19. Transport total capacity'!$B$48:$B$281=$A51)*(('W19.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1" s="34">
        <f t="array" ref="N51">SUM(IF(('W19. Transport total capacity'!$B$48:$B$281=$A51)*(('W19.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2147.2107968402688</v>
      </c>
      <c r="O51" s="34">
        <f t="array" ref="O51">SUM(IF(('W19. Transport total capacity'!$B$48:$B$281=$A51)*(('W19.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3090.8712726181857</v>
      </c>
      <c r="P51" s="34">
        <f t="array" ref="P51">SUM(IF(('W19. Transport total capacity'!$B$48:$B$281=$A51)*(('W19.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4169.1158793172135</v>
      </c>
      <c r="Q51" s="42">
        <f t="shared" si="7"/>
        <v>2.9736971761419417E-3</v>
      </c>
      <c r="R51" s="14">
        <f t="shared" si="7"/>
        <v>2.6894769836267765</v>
      </c>
      <c r="S51" s="14">
        <f t="shared" si="7"/>
        <v>172.79605002617052</v>
      </c>
      <c r="T51" s="14">
        <f t="shared" si="7"/>
        <v>374.94416243953987</v>
      </c>
      <c r="U51" s="14">
        <f t="shared" si="7"/>
        <v>740.2119418644395</v>
      </c>
      <c r="V51" s="14">
        <f t="shared" si="7"/>
        <v>827.29500846404051</v>
      </c>
      <c r="W51" s="14">
        <f t="shared" si="7"/>
        <v>1187.224668266866</v>
      </c>
      <c r="X51" s="14">
        <f t="shared" si="7"/>
        <v>1098.464506811398</v>
      </c>
      <c r="Y51" s="14">
        <f t="shared" si="7"/>
        <v>891.1082996803392</v>
      </c>
      <c r="Z51" s="14">
        <f t="shared" si="7"/>
        <v>730.0496388595285</v>
      </c>
      <c r="AA51" s="14">
        <f t="shared" si="7"/>
        <v>7.6176664454504062</v>
      </c>
      <c r="AB51" s="14">
        <f t="shared" si="7"/>
        <v>58.358135321700885</v>
      </c>
      <c r="AC51" s="14">
        <f t="shared" si="7"/>
        <v>104.42810157498747</v>
      </c>
      <c r="AD51" s="14">
        <f t="shared" si="7"/>
        <v>150.32237155623517</v>
      </c>
      <c r="AE51" s="774">
        <f t="shared" si="7"/>
        <v>202.76204700717076</v>
      </c>
      <c r="AF51" s="14">
        <f t="shared" si="9"/>
        <v>834.91564860666699</v>
      </c>
      <c r="AG51" s="14">
        <f t="shared" si="8"/>
        <v>1248.2722805721937</v>
      </c>
      <c r="AH51" s="14">
        <f t="shared" si="8"/>
        <v>1375.6886584125559</v>
      </c>
      <c r="AI51" s="14">
        <f t="shared" si="8"/>
        <v>1416.3748336761141</v>
      </c>
      <c r="AJ51" s="14">
        <f t="shared" si="8"/>
        <v>1673.023627731139</v>
      </c>
    </row>
    <row r="52" spans="1:36" x14ac:dyDescent="0.3">
      <c r="A52" s="3" t="str">
        <f t="shared" si="6"/>
        <v>Vivid_2</v>
      </c>
      <c r="B52" s="34">
        <f t="array" ref="B52">SUM(IF(('W19. Transport total capacity'!$B$48:$B$281=$A52)*(('W19. Transport total capacity'!$D$48:$D$281=B$44)+('W19. Transport total capacity'!$D$48:$D$281=B$45))*('W19. Transport total capacity'!$E$47:$O$47=B$48),'W19. Transport total capacity'!$E$48:$O$281))</f>
        <v>6.1144027199999992E-2</v>
      </c>
      <c r="C52" s="34">
        <f t="array" ref="C52">SUM(IF(('W19. Transport total capacity'!$B$48:$B$281=$A52)*(('W19. Transport total capacity'!$D$48:$D$281=C$44)+('W19. Transport total capacity'!$D$48:$D$281=C$45))*('W19. Transport total capacity'!$E$47:$O$47=C$48),'W19. Transport total capacity'!$E$48:$O$281))</f>
        <v>55.300000000000061</v>
      </c>
      <c r="D52" s="34">
        <f t="array" ref="D52">SUM(IF(('W19. Transport total capacity'!$B$48:$B$281=$A52)*(('W19. Transport total capacity'!$D$48:$D$281=D$44)+('W19. Transport total capacity'!$D$48:$D$281=D$45))*('W19. Transport total capacity'!$E$47:$O$47=D$48),'W19. Transport total capacity'!$E$48:$O$281))</f>
        <v>3568.1113300340362</v>
      </c>
      <c r="E52" s="34">
        <f t="array" ref="E52">SUM(IF(('W19. Transport total capacity'!$B$48:$B$281=$A52)*(('W19. Transport total capacity'!$D$48:$D$281=E$44)+('W19. Transport total capacity'!$D$48:$D$281=E$45))*('W19. Transport total capacity'!$E$47:$O$47=E$48),'W19. Transport total capacity'!$E$48:$O$281))</f>
        <v>7651.171966072845</v>
      </c>
      <c r="F52" s="34">
        <f t="array" ref="F52">SUM(IF(('W19. Transport total capacity'!$B$48:$B$281=$A52)*(('W19. Transport total capacity'!$D$48:$D$281=F$44)+('W19. Transport total capacity'!$D$48:$D$281=F$45))*('W19. Transport total capacity'!$E$47:$O$47=F$48),'W19. Transport total capacity'!$E$48:$O$281))</f>
        <v>14969.0788360595</v>
      </c>
      <c r="G52" s="34">
        <f t="array" ref="G52">SUM(IF(('W19. Transport total capacity'!$B$48:$B$281=$A52)*(('W19.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2" s="34">
        <f t="array" ref="H52">SUM(IF(('W19. Transport total capacity'!$B$48:$B$281=$A52)*(('W19.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2" s="34">
        <f t="array" ref="I52">SUM(IF(('W19. Transport total capacity'!$B$48:$B$281=$A52)*(('W19.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22353.317599863898</v>
      </c>
      <c r="J52" s="34">
        <f t="array" ref="J52">SUM(IF(('W19. Transport total capacity'!$B$48:$B$281=$A52)*(('W19.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18350.774956442456</v>
      </c>
      <c r="K52" s="34">
        <f t="array" ref="K52">SUM(IF(('W19. Transport total capacity'!$B$48:$B$281=$A52)*(('W19.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15659.770168024614</v>
      </c>
      <c r="L52" s="34">
        <f t="array" ref="L52">SUM(IF(('W19. Transport total capacity'!$B$48:$B$281=$A52)*(('W19.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2" s="34">
        <f t="array" ref="M52">SUM(IF(('W19. Transport total capacity'!$B$48:$B$281=$A52)*(('W19.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2" s="34">
        <f t="array" ref="N52">SUM(IF(('W19. Transport total capacity'!$B$48:$B$281=$A52)*(('W19.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2422.3526401710355</v>
      </c>
      <c r="O52" s="34">
        <f t="array" ref="O52">SUM(IF(('W19. Transport total capacity'!$B$48:$B$281=$A52)*(('W19.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3121.0122175427682</v>
      </c>
      <c r="P52" s="34">
        <f t="array" ref="P52">SUM(IF(('W19. Transport total capacity'!$B$48:$B$281=$A52)*(('W19.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3746.7370287323538</v>
      </c>
      <c r="Q52" s="42">
        <f t="shared" si="7"/>
        <v>2.9736971761419417E-3</v>
      </c>
      <c r="R52" s="14">
        <f t="shared" si="7"/>
        <v>2.6894769836267765</v>
      </c>
      <c r="S52" s="14">
        <f t="shared" si="7"/>
        <v>173.53260935161762</v>
      </c>
      <c r="T52" s="14">
        <f t="shared" si="7"/>
        <v>372.10941953930063</v>
      </c>
      <c r="U52" s="14">
        <f t="shared" si="7"/>
        <v>728.01072324912616</v>
      </c>
      <c r="V52" s="14">
        <f t="shared" si="7"/>
        <v>827.29500846404051</v>
      </c>
      <c r="W52" s="14">
        <f t="shared" si="7"/>
        <v>1187.224668266866</v>
      </c>
      <c r="X52" s="14">
        <f t="shared" si="7"/>
        <v>1087.1380324147058</v>
      </c>
      <c r="Y52" s="14">
        <f t="shared" si="7"/>
        <v>892.47715871729827</v>
      </c>
      <c r="Z52" s="14">
        <f t="shared" si="7"/>
        <v>761.60201511369564</v>
      </c>
      <c r="AA52" s="14">
        <f t="shared" si="7"/>
        <v>7.6176664454504062</v>
      </c>
      <c r="AB52" s="14">
        <f t="shared" si="7"/>
        <v>58.358135321700885</v>
      </c>
      <c r="AC52" s="14">
        <f t="shared" si="7"/>
        <v>117.80943348946741</v>
      </c>
      <c r="AD52" s="14">
        <f t="shared" si="7"/>
        <v>151.78825541951593</v>
      </c>
      <c r="AE52" s="774">
        <f t="shared" si="7"/>
        <v>182.21994579525915</v>
      </c>
      <c r="AF52" s="14">
        <f t="shared" si="9"/>
        <v>834.91564860666699</v>
      </c>
      <c r="AG52" s="14">
        <f t="shared" si="8"/>
        <v>1248.2722805721937</v>
      </c>
      <c r="AH52" s="14">
        <f t="shared" si="8"/>
        <v>1378.4800752557908</v>
      </c>
      <c r="AI52" s="14">
        <f t="shared" si="8"/>
        <v>1416.3748336761148</v>
      </c>
      <c r="AJ52" s="14">
        <f t="shared" si="8"/>
        <v>1671.8326841580811</v>
      </c>
    </row>
    <row r="53" spans="1:36" x14ac:dyDescent="0.3">
      <c r="A53" s="3" t="str">
        <f t="shared" si="6"/>
        <v>Vivid_25</v>
      </c>
      <c r="B53" s="34">
        <f t="array" ref="B53">SUM(IF(('W19. Transport total capacity'!$B$48:$B$281=$A53)*(('W19. Transport total capacity'!$D$48:$D$281=B$44)+('W19. Transport total capacity'!$D$48:$D$281=B$45))*('W19. Transport total capacity'!$E$47:$O$47=B$48),'W19. Transport total capacity'!$E$48:$O$281))</f>
        <v>6.1144027199999992E-2</v>
      </c>
      <c r="C53" s="34">
        <f t="array" ref="C53">SUM(IF(('W19. Transport total capacity'!$B$48:$B$281=$A53)*(('W19. Transport total capacity'!$D$48:$D$281=C$44)+('W19. Transport total capacity'!$D$48:$D$281=C$45))*('W19. Transport total capacity'!$E$47:$O$47=C$48),'W19. Transport total capacity'!$E$48:$O$281))</f>
        <v>55.300000000000061</v>
      </c>
      <c r="D53" s="34">
        <f t="array" ref="D53">SUM(IF(('W19. Transport total capacity'!$B$48:$B$281=$A53)*(('W19. Transport total capacity'!$D$48:$D$281=D$44)+('W19. Transport total capacity'!$D$48:$D$281=D$45))*('W19. Transport total capacity'!$E$47:$O$47=D$48),'W19. Transport total capacity'!$E$48:$O$281))</f>
        <v>3640.0870160665982</v>
      </c>
      <c r="E53" s="34">
        <f t="array" ref="E53">SUM(IF(('W19. Transport total capacity'!$B$48:$B$281=$A53)*(('W19. Transport total capacity'!$D$48:$D$281=E$44)+('W19. Transport total capacity'!$D$48:$D$281=E$45))*('W19. Transport total capacity'!$E$47:$O$47=E$48),'W19. Transport total capacity'!$E$48:$O$281))</f>
        <v>8027.2314650861163</v>
      </c>
      <c r="F53" s="34">
        <f t="array" ref="F53">SUM(IF(('W19. Transport total capacity'!$B$48:$B$281=$A53)*(('W19. Transport total capacity'!$D$48:$D$281=F$44)+('W19. Transport total capacity'!$D$48:$D$281=F$45))*('W19. Transport total capacity'!$E$47:$O$47=F$48),'W19. Transport total capacity'!$E$48:$O$281))</f>
        <v>16016.563172731801</v>
      </c>
      <c r="G53" s="34">
        <f t="array" ref="G53">SUM(IF(('W19. Transport total capacity'!$B$48:$B$281=$A53)*(('W19.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3" s="34">
        <f t="array" ref="H53">SUM(IF(('W19. Transport total capacity'!$B$48:$B$281=$A53)*(('W19.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3" s="34">
        <f t="array" ref="I53">SUM(IF(('W19. Transport total capacity'!$B$48:$B$281=$A53)*(('W19.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22283.253532436382</v>
      </c>
      <c r="J53" s="34">
        <f t="array" ref="J53">SUM(IF(('W19. Transport total capacity'!$B$48:$B$281=$A53)*(('W19.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18493.635432290394</v>
      </c>
      <c r="K53" s="34">
        <f t="array" ref="K53">SUM(IF(('W19. Transport total capacity'!$B$48:$B$281=$A53)*(('W19.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15067.077493478708</v>
      </c>
      <c r="L53" s="34">
        <f t="array" ref="L53">SUM(IF(('W19. Transport total capacity'!$B$48:$B$281=$A53)*(('W19.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3" s="34">
        <f t="array" ref="M53">SUM(IF(('W19. Transport total capacity'!$B$48:$B$281=$A53)*(('W19.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3" s="34">
        <f t="array" ref="N53">SUM(IF(('W19. Transport total capacity'!$B$48:$B$281=$A53)*(('W19.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2030.0699794008378</v>
      </c>
      <c r="O53" s="34">
        <f t="array" ref="O53">SUM(IF(('W19. Transport total capacity'!$B$48:$B$281=$A53)*(('W19.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2522.8406832224787</v>
      </c>
      <c r="P53" s="34">
        <f t="array" ref="P53">SUM(IF(('W19. Transport total capacity'!$B$48:$B$281=$A53)*(('W19.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3008.5704476791484</v>
      </c>
      <c r="Q53" s="42">
        <f t="shared" si="7"/>
        <v>2.9736971761419417E-3</v>
      </c>
      <c r="R53" s="14">
        <f t="shared" si="7"/>
        <v>2.6894769836267765</v>
      </c>
      <c r="S53" s="14">
        <f t="shared" si="7"/>
        <v>177.03309671084588</v>
      </c>
      <c r="T53" s="14">
        <f t="shared" si="7"/>
        <v>390.39881134889214</v>
      </c>
      <c r="U53" s="14">
        <f t="shared" si="7"/>
        <v>778.95439439179734</v>
      </c>
      <c r="V53" s="14">
        <f t="shared" si="7"/>
        <v>827.29500846404051</v>
      </c>
      <c r="W53" s="14">
        <f t="shared" si="7"/>
        <v>1187.224668266866</v>
      </c>
      <c r="X53" s="14">
        <f t="shared" si="7"/>
        <v>1083.7305152948941</v>
      </c>
      <c r="Y53" s="14">
        <f t="shared" si="7"/>
        <v>899.42507845803959</v>
      </c>
      <c r="Z53" s="14">
        <f t="shared" si="7"/>
        <v>732.77681969678054</v>
      </c>
      <c r="AA53" s="14">
        <f t="shared" si="7"/>
        <v>7.6176664454504062</v>
      </c>
      <c r="AB53" s="14">
        <f t="shared" si="7"/>
        <v>58.358135321700885</v>
      </c>
      <c r="AC53" s="14">
        <f t="shared" si="7"/>
        <v>98.731039507237455</v>
      </c>
      <c r="AD53" s="14">
        <f t="shared" si="7"/>
        <v>122.69659947349187</v>
      </c>
      <c r="AE53" s="774">
        <f t="shared" si="7"/>
        <v>146.31972825773539</v>
      </c>
      <c r="AF53" s="14">
        <f t="shared" si="9"/>
        <v>834.91564860666699</v>
      </c>
      <c r="AG53" s="14">
        <f t="shared" si="8"/>
        <v>1248.2722805721937</v>
      </c>
      <c r="AH53" s="14">
        <f t="shared" si="8"/>
        <v>1359.4946515129775</v>
      </c>
      <c r="AI53" s="14">
        <f t="shared" si="8"/>
        <v>1412.5204892804236</v>
      </c>
      <c r="AJ53" s="14">
        <f t="shared" si="8"/>
        <v>1658.0509423463131</v>
      </c>
    </row>
    <row r="54" spans="1:36" x14ac:dyDescent="0.3">
      <c r="A54" s="3" t="str">
        <f t="shared" si="6"/>
        <v>Vivid_3</v>
      </c>
      <c r="B54" s="34">
        <f t="array" ref="B54">SUM(IF(('W19. Transport total capacity'!$B$48:$B$281=$A54)*(('W19. Transport total capacity'!$D$48:$D$281=B$44)+('W19. Transport total capacity'!$D$48:$D$281=B$45))*('W19. Transport total capacity'!$E$47:$O$47=B$48),'W19. Transport total capacity'!$E$48:$O$281))</f>
        <v>6.1144027199999992E-2</v>
      </c>
      <c r="C54" s="34">
        <f t="array" ref="C54">SUM(IF(('W19. Transport total capacity'!$B$48:$B$281=$A54)*(('W19. Transport total capacity'!$D$48:$D$281=C$44)+('W19. Transport total capacity'!$D$48:$D$281=C$45))*('W19. Transport total capacity'!$E$47:$O$47=C$48),'W19. Transport total capacity'!$E$48:$O$281))</f>
        <v>55.300000000000061</v>
      </c>
      <c r="D54" s="34">
        <f t="array" ref="D54">SUM(IF(('W19. Transport total capacity'!$B$48:$B$281=$A54)*(('W19. Transport total capacity'!$D$48:$D$281=D$44)+('W19. Transport total capacity'!$D$48:$D$281=D$45))*('W19. Transport total capacity'!$E$47:$O$47=D$48),'W19. Transport total capacity'!$E$48:$O$281))</f>
        <v>3552.966478099926</v>
      </c>
      <c r="E54" s="34">
        <f t="array" ref="E54">SUM(IF(('W19. Transport total capacity'!$B$48:$B$281=$A54)*(('W19. Transport total capacity'!$D$48:$D$281=E$44)+('W19. Transport total capacity'!$D$48:$D$281=E$45))*('W19. Transport total capacity'!$E$47:$O$47=E$48),'W19. Transport total capacity'!$E$48:$O$281))</f>
        <v>7700.7159583821995</v>
      </c>
      <c r="F54" s="34">
        <f t="array" ref="F54">SUM(IF(('W19. Transport total capacity'!$B$48:$B$281=$A54)*(('W19. Transport total capacity'!$D$48:$D$281=F$44)+('W19. Transport total capacity'!$D$48:$D$281=F$45))*('W19. Transport total capacity'!$E$47:$O$47=F$48),'W19. Transport total capacity'!$E$48:$O$281))</f>
        <v>15213.298628993003</v>
      </c>
      <c r="G54" s="34">
        <f t="array" ref="G54">SUM(IF(('W19. Transport total capacity'!$B$48:$B$281=$A54)*(('W19.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4" s="34">
        <f t="array" ref="H54">SUM(IF(('W19. Transport total capacity'!$B$48:$B$281=$A54)*(('W19.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4" s="34">
        <f t="array" ref="I54">SUM(IF(('W19. Transport total capacity'!$B$48:$B$281=$A54)*(('W19.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22506.688942284283</v>
      </c>
      <c r="J54" s="34">
        <f t="array" ref="J54">SUM(IF(('W19. Transport total capacity'!$B$48:$B$281=$A54)*(('W19.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18304.144701093202</v>
      </c>
      <c r="K54" s="34">
        <f t="array" ref="K54">SUM(IF(('W19. Transport total capacity'!$B$48:$B$281=$A54)*(('W19.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15070.325546798786</v>
      </c>
      <c r="L54" s="34">
        <f t="array" ref="L54">SUM(IF(('W19. Transport total capacity'!$B$48:$B$281=$A54)*(('W19.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4" s="34">
        <f t="array" ref="M54">SUM(IF(('W19. Transport total capacity'!$B$48:$B$281=$A54)*(('W19.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4" s="34">
        <f t="array" ref="N54">SUM(IF(('W19. Transport total capacity'!$B$48:$B$281=$A54)*(('W19.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2231.1386172818966</v>
      </c>
      <c r="O54" s="34">
        <f t="array" ref="O54">SUM(IF(('W19. Transport total capacity'!$B$48:$B$281=$A54)*(('W19.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3118.0984805826565</v>
      </c>
      <c r="P54" s="34">
        <f t="array" ref="P54">SUM(IF(('W19. Transport total capacity'!$B$48:$B$281=$A54)*(('W19.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4116.4495845609445</v>
      </c>
      <c r="Q54" s="42">
        <f t="shared" si="7"/>
        <v>2.9736971761419417E-3</v>
      </c>
      <c r="R54" s="14">
        <f t="shared" si="7"/>
        <v>2.6894769836267765</v>
      </c>
      <c r="S54" s="14">
        <f t="shared" si="7"/>
        <v>172.79605002617052</v>
      </c>
      <c r="T54" s="14">
        <f t="shared" si="7"/>
        <v>374.51895709794422</v>
      </c>
      <c r="U54" s="14">
        <f t="shared" si="7"/>
        <v>739.8881827797004</v>
      </c>
      <c r="V54" s="14">
        <f t="shared" si="7"/>
        <v>827.29500846404051</v>
      </c>
      <c r="W54" s="14">
        <f t="shared" si="7"/>
        <v>1187.224668266866</v>
      </c>
      <c r="X54" s="14">
        <f t="shared" si="7"/>
        <v>1094.597140830394</v>
      </c>
      <c r="Y54" s="14">
        <f t="shared" si="7"/>
        <v>890.20932872629544</v>
      </c>
      <c r="Z54" s="14">
        <f t="shared" si="7"/>
        <v>732.93478650773784</v>
      </c>
      <c r="AA54" s="14">
        <f t="shared" si="7"/>
        <v>7.6176664454504062</v>
      </c>
      <c r="AB54" s="14">
        <f t="shared" si="7"/>
        <v>58.358135321700885</v>
      </c>
      <c r="AC54" s="14">
        <f t="shared" si="7"/>
        <v>108.50987266655561</v>
      </c>
      <c r="AD54" s="14">
        <f t="shared" si="7"/>
        <v>151.64654785187466</v>
      </c>
      <c r="AE54" s="774">
        <f t="shared" si="7"/>
        <v>200.2006584437008</v>
      </c>
      <c r="AF54" s="14">
        <f t="shared" si="9"/>
        <v>834.91564860666699</v>
      </c>
      <c r="AG54" s="14">
        <f t="shared" si="8"/>
        <v>1248.2722805721937</v>
      </c>
      <c r="AH54" s="14">
        <f t="shared" si="8"/>
        <v>1375.9030635231202</v>
      </c>
      <c r="AI54" s="14">
        <f t="shared" si="8"/>
        <v>1416.3748336761143</v>
      </c>
      <c r="AJ54" s="14">
        <f t="shared" si="8"/>
        <v>1673.0236277311392</v>
      </c>
    </row>
    <row r="55" spans="1:36" x14ac:dyDescent="0.3">
      <c r="A55" s="3" t="str">
        <f t="shared" si="6"/>
        <v>Vivid_5v2</v>
      </c>
      <c r="B55" s="34">
        <f t="array" ref="B55">SUM(IF(('W19. Transport total capacity'!$B$48:$B$281=$A55)*(('W19. Transport total capacity'!$D$48:$D$281=B$44)+('W19. Transport total capacity'!$D$48:$D$281=B$45))*('W19. Transport total capacity'!$E$47:$O$47=B$48),'W19. Transport total capacity'!$E$48:$O$281))</f>
        <v>6.1144027199999992E-2</v>
      </c>
      <c r="C55" s="34">
        <f t="array" ref="C55">SUM(IF(('W19. Transport total capacity'!$B$48:$B$281=$A55)*(('W19. Transport total capacity'!$D$48:$D$281=C$44)+('W19. Transport total capacity'!$D$48:$D$281=C$45))*('W19. Transport total capacity'!$E$47:$O$47=C$48),'W19. Transport total capacity'!$E$48:$O$281))</f>
        <v>55.300000000000061</v>
      </c>
      <c r="D55" s="34">
        <f t="array" ref="D55">SUM(IF(('W19. Transport total capacity'!$B$48:$B$281=$A55)*(('W19. Transport total capacity'!$D$48:$D$281=D$44)+('W19. Transport total capacity'!$D$48:$D$281=D$45))*('W19. Transport total capacity'!$E$47:$O$47=D$48),'W19. Transport total capacity'!$E$48:$O$281))</f>
        <v>3658.0074112551802</v>
      </c>
      <c r="E55" s="34">
        <f t="array" ref="E55">SUM(IF(('W19. Transport total capacity'!$B$48:$B$281=$A55)*(('W19. Transport total capacity'!$D$48:$D$281=E$44)+('W19. Transport total capacity'!$D$48:$D$281=E$45))*('W19. Transport total capacity'!$E$47:$O$47=E$48),'W19. Transport total capacity'!$E$48:$O$281))</f>
        <v>7740.6053860948277</v>
      </c>
      <c r="F55" s="34">
        <f t="array" ref="F55">SUM(IF(('W19. Transport total capacity'!$B$48:$B$281=$A55)*(('W19. Transport total capacity'!$D$48:$D$281=F$44)+('W19. Transport total capacity'!$D$48:$D$281=F$45))*('W19. Transport total capacity'!$E$47:$O$47=F$48),'W19. Transport total capacity'!$E$48:$O$281))</f>
        <v>15218.935584221488</v>
      </c>
      <c r="G55" s="34">
        <f t="array" ref="G55">SUM(IF(('W19. Transport total capacity'!$B$48:$B$281=$A55)*(('W19.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5" s="34">
        <f t="array" ref="H55">SUM(IF(('W19. Transport total capacity'!$B$48:$B$281=$A55)*(('W19.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5" s="34">
        <f t="array" ref="I55">SUM(IF(('W19. Transport total capacity'!$B$48:$B$281=$A55)*(('W19.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22483.935736376534</v>
      </c>
      <c r="J55" s="34">
        <f t="array" ref="J55">SUM(IF(('W19. Transport total capacity'!$B$48:$B$281=$A55)*(('W19.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18239.293834131749</v>
      </c>
      <c r="K55" s="34">
        <f t="array" ref="K55">SUM(IF(('W19. Transport total capacity'!$B$48:$B$281=$A55)*(('W19.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14986.302044840682</v>
      </c>
      <c r="L55" s="34">
        <f t="array" ref="L55">SUM(IF(('W19. Transport total capacity'!$B$48:$B$281=$A55)*(('W19.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5" s="34">
        <f t="array" ref="M55">SUM(IF(('W19. Transport total capacity'!$B$48:$B$281=$A55)*(('W19.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5" s="34">
        <f t="array" ref="N55">SUM(IF(('W19. Transport total capacity'!$B$48:$B$281=$A55)*(('W19.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2136.9684433876582</v>
      </c>
      <c r="O55" s="34">
        <f t="array" ref="O55">SUM(IF(('W19. Transport total capacity'!$B$48:$B$281=$A55)*(('W19.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3138.7578800389001</v>
      </c>
      <c r="P55" s="34">
        <f t="array" ref="P55">SUM(IF(('W19. Transport total capacity'!$B$48:$B$281=$A55)*(('W19.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4184.7704086448903</v>
      </c>
      <c r="Q55" s="42">
        <f t="shared" si="7"/>
        <v>2.9736971761419417E-3</v>
      </c>
      <c r="R55" s="14">
        <f t="shared" si="7"/>
        <v>2.6894769836267765</v>
      </c>
      <c r="S55" s="14">
        <f t="shared" si="7"/>
        <v>177.90464264931219</v>
      </c>
      <c r="T55" s="14">
        <f t="shared" si="7"/>
        <v>376.45895163181689</v>
      </c>
      <c r="U55" s="14">
        <f t="shared" si="7"/>
        <v>740.1623321711063</v>
      </c>
      <c r="V55" s="14">
        <f t="shared" si="7"/>
        <v>827.29500846404051</v>
      </c>
      <c r="W55" s="14">
        <f t="shared" si="7"/>
        <v>1187.224668266866</v>
      </c>
      <c r="X55" s="14">
        <f t="shared" si="7"/>
        <v>1093.4905545086469</v>
      </c>
      <c r="Y55" s="14">
        <f t="shared" si="7"/>
        <v>887.055351980164</v>
      </c>
      <c r="Z55" s="14">
        <f t="shared" si="7"/>
        <v>728.84836201225801</v>
      </c>
      <c r="AA55" s="14">
        <f t="shared" si="7"/>
        <v>7.6176664454504062</v>
      </c>
      <c r="AB55" s="14">
        <f t="shared" si="7"/>
        <v>58.358135321700885</v>
      </c>
      <c r="AC55" s="14">
        <f t="shared" si="7"/>
        <v>103.92997184860471</v>
      </c>
      <c r="AD55" s="14">
        <f t="shared" si="7"/>
        <v>152.65130335518603</v>
      </c>
      <c r="AE55" s="774">
        <f t="shared" si="7"/>
        <v>203.52339413766438</v>
      </c>
      <c r="AF55" s="14">
        <f t="shared" si="9"/>
        <v>834.91564860666699</v>
      </c>
      <c r="AG55" s="14">
        <f t="shared" si="8"/>
        <v>1248.2722805721937</v>
      </c>
      <c r="AH55" s="14">
        <f t="shared" si="8"/>
        <v>1375.3251690065638</v>
      </c>
      <c r="AI55" s="14">
        <f t="shared" si="8"/>
        <v>1416.1656069671669</v>
      </c>
      <c r="AJ55" s="14">
        <f t="shared" si="8"/>
        <v>1672.5340883210285</v>
      </c>
    </row>
    <row r="56" spans="1:36" x14ac:dyDescent="0.3">
      <c r="A56" s="3" t="str">
        <f t="shared" si="6"/>
        <v>Vivid_7</v>
      </c>
      <c r="B56" s="34">
        <f t="array" ref="B56">SUM(IF(('W19. Transport total capacity'!$B$48:$B$281=$A56)*(('W19. Transport total capacity'!$D$48:$D$281=B$44)+('W19. Transport total capacity'!$D$48:$D$281=B$45))*('W19. Transport total capacity'!$E$47:$O$47=B$48),'W19. Transport total capacity'!$E$48:$O$281))</f>
        <v>6.1144027199999992E-2</v>
      </c>
      <c r="C56" s="34">
        <f t="array" ref="C56">SUM(IF(('W19. Transport total capacity'!$B$48:$B$281=$A56)*(('W19. Transport total capacity'!$D$48:$D$281=C$44)+('W19. Transport total capacity'!$D$48:$D$281=C$45))*('W19. Transport total capacity'!$E$47:$O$47=C$48),'W19. Transport total capacity'!$E$48:$O$281))</f>
        <v>55.300000000000061</v>
      </c>
      <c r="D56" s="34">
        <f t="array" ref="D56">SUM(IF(('W19. Transport total capacity'!$B$48:$B$281=$A56)*(('W19. Transport total capacity'!$D$48:$D$281=D$44)+('W19. Transport total capacity'!$D$48:$D$281=D$45))*('W19. Transport total capacity'!$E$47:$O$47=D$48),'W19. Transport total capacity'!$E$48:$O$281))</f>
        <v>14383.668695847367</v>
      </c>
      <c r="E56" s="34">
        <f t="array" ref="E56">SUM(IF(('W19. Transport total capacity'!$B$48:$B$281=$A56)*(('W19. Transport total capacity'!$D$48:$D$281=E$44)+('W19. Transport total capacity'!$D$48:$D$281=E$45))*('W19. Transport total capacity'!$E$47:$O$47=E$48),'W19. Transport total capacity'!$E$48:$O$281))</f>
        <v>19414.566471463779</v>
      </c>
      <c r="F56" s="34">
        <f t="array" ref="F56">SUM(IF(('W19. Transport total capacity'!$B$48:$B$281=$A56)*(('W19. Transport total capacity'!$D$48:$D$281=F$44)+('W19. Transport total capacity'!$D$48:$D$281=F$45))*('W19. Transport total capacity'!$E$47:$O$47=F$48),'W19. Transport total capacity'!$E$48:$O$281))</f>
        <v>26676.954958495484</v>
      </c>
      <c r="G56" s="34">
        <f t="array" ref="G56">SUM(IF(('W19. Transport total capacity'!$B$48:$B$281=$A56)*(('W19.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6" s="34">
        <f t="array" ref="H56">SUM(IF(('W19. Transport total capacity'!$B$48:$B$281=$A56)*(('W19.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6" s="34">
        <f t="array" ref="I56">SUM(IF(('W19. Transport total capacity'!$B$48:$B$281=$A56)*(('W19.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13360.794130427472</v>
      </c>
      <c r="J56" s="34">
        <f t="array" ref="J56">SUM(IF(('W19. Transport total capacity'!$B$48:$B$281=$A56)*(('W19.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8342.2078216845402</v>
      </c>
      <c r="K56" s="34">
        <f t="array" ref="K56">SUM(IF(('W19. Transport total capacity'!$B$48:$B$281=$A56)*(('W19.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5129.6660314391675</v>
      </c>
      <c r="L56" s="34">
        <f t="array" ref="L56">SUM(IF(('W19. Transport total capacity'!$B$48:$B$281=$A56)*(('W19.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6" s="34">
        <f t="array" ref="M56">SUM(IF(('W19. Transport total capacity'!$B$48:$B$281=$A56)*(('W19.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6" s="34">
        <f t="array" ref="N56">SUM(IF(('W19. Transport total capacity'!$B$48:$B$281=$A56)*(('W19.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1318.2057452530739</v>
      </c>
      <c r="O56" s="34">
        <f t="array" ref="O56">SUM(IF(('W19. Transport total capacity'!$B$48:$B$281=$A56)*(('W19.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2121.0055333561381</v>
      </c>
      <c r="P56" s="34">
        <f t="array" ref="P56">SUM(IF(('W19. Transport total capacity'!$B$48:$B$281=$A56)*(('W19.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3753.3704807063777</v>
      </c>
      <c r="Q56" s="42">
        <f t="shared" si="7"/>
        <v>2.9736971761419417E-3</v>
      </c>
      <c r="R56" s="14">
        <f t="shared" si="7"/>
        <v>2.6894769836267765</v>
      </c>
      <c r="S56" s="14">
        <f t="shared" si="7"/>
        <v>699.539708817259</v>
      </c>
      <c r="T56" s="14">
        <f t="shared" si="7"/>
        <v>944.21391812104696</v>
      </c>
      <c r="U56" s="14">
        <f t="shared" si="7"/>
        <v>1297.4151239443352</v>
      </c>
      <c r="V56" s="14">
        <f t="shared" si="7"/>
        <v>827.29500846404051</v>
      </c>
      <c r="W56" s="14">
        <f t="shared" si="7"/>
        <v>1187.224668266866</v>
      </c>
      <c r="X56" s="14">
        <f t="shared" si="7"/>
        <v>649.79291675877721</v>
      </c>
      <c r="Y56" s="14">
        <f t="shared" si="7"/>
        <v>405.71746707146139</v>
      </c>
      <c r="Z56" s="14">
        <f t="shared" si="7"/>
        <v>249.47773463377459</v>
      </c>
      <c r="AA56" s="14">
        <f t="shared" si="7"/>
        <v>7.6176664454504062</v>
      </c>
      <c r="AB56" s="14">
        <f t="shared" si="7"/>
        <v>58.358135321700885</v>
      </c>
      <c r="AC56" s="14">
        <f t="shared" si="7"/>
        <v>64.110018291911757</v>
      </c>
      <c r="AD56" s="14">
        <f t="shared" si="7"/>
        <v>103.1536268373664</v>
      </c>
      <c r="AE56" s="774">
        <f t="shared" si="7"/>
        <v>182.54255911182571</v>
      </c>
      <c r="AF56" s="14">
        <f t="shared" si="9"/>
        <v>834.91564860666699</v>
      </c>
      <c r="AG56" s="14">
        <f t="shared" si="8"/>
        <v>1248.2722805721937</v>
      </c>
      <c r="AH56" s="14">
        <f t="shared" si="8"/>
        <v>1413.4426438679479</v>
      </c>
      <c r="AI56" s="14">
        <f t="shared" si="8"/>
        <v>1453.0850120298746</v>
      </c>
      <c r="AJ56" s="14">
        <f t="shared" si="8"/>
        <v>1729.4354176899355</v>
      </c>
    </row>
    <row r="57" spans="1:36" x14ac:dyDescent="0.3">
      <c r="A57" s="3" t="str">
        <f t="shared" si="6"/>
        <v>Vivid_9</v>
      </c>
      <c r="B57" s="34">
        <f t="array" ref="B57">SUM(IF(('W19. Transport total capacity'!$B$48:$B$281=$A57)*(('W19. Transport total capacity'!$D$48:$D$281=B$44)+('W19. Transport total capacity'!$D$48:$D$281=B$45))*('W19. Transport total capacity'!$E$47:$O$47=B$48),'W19. Transport total capacity'!$E$48:$O$281))</f>
        <v>6.1144027199999992E-2</v>
      </c>
      <c r="C57" s="34">
        <f t="array" ref="C57">SUM(IF(('W19. Transport total capacity'!$B$48:$B$281=$A57)*(('W19. Transport total capacity'!$D$48:$D$281=C$44)+('W19. Transport total capacity'!$D$48:$D$281=C$45))*('W19. Transport total capacity'!$E$47:$O$47=C$48),'W19. Transport total capacity'!$E$48:$O$281))</f>
        <v>55.300000000000061</v>
      </c>
      <c r="D57" s="34">
        <f t="array" ref="D57">SUM(IF(('W19. Transport total capacity'!$B$48:$B$281=$A57)*(('W19. Transport total capacity'!$D$48:$D$281=D$44)+('W19. Transport total capacity'!$D$48:$D$281=D$45))*('W19. Transport total capacity'!$E$47:$O$47=D$48),'W19. Transport total capacity'!$E$48:$O$281))</f>
        <v>2532.6816809603438</v>
      </c>
      <c r="E57" s="34">
        <f t="array" ref="E57">SUM(IF(('W19. Transport total capacity'!$B$48:$B$281=$A57)*(('W19. Transport total capacity'!$D$48:$D$281=E$44)+('W19. Transport total capacity'!$D$48:$D$281=E$45))*('W19. Transport total capacity'!$E$47:$O$47=E$48),'W19. Transport total capacity'!$E$48:$O$281))</f>
        <v>6259.9234889873815</v>
      </c>
      <c r="F57" s="34">
        <f t="array" ref="F57">SUM(IF(('W19. Transport total capacity'!$B$48:$B$281=$A57)*(('W19. Transport total capacity'!$D$48:$D$281=F$44)+('W19. Transport total capacity'!$D$48:$D$281=F$45))*('W19. Transport total capacity'!$E$47:$O$47=F$48),'W19. Transport total capacity'!$E$48:$O$281))</f>
        <v>12370.394427984927</v>
      </c>
      <c r="G57" s="34">
        <f t="array" ref="G57">SUM(IF(('W19. Transport total capacity'!$B$48:$B$281=$A57)*(('W19. Transport total capacity'!$D$48:$D$281=G$43)+('W19. Transport total capacity'!$D$48:$D$281=G$44)+('W19. Transport total capacity'!$D$48:$D$281=G$45)+('W19. Transport total capacity'!$D$48:$D$281=G$46))*('W19. Transport total capacity'!$E$47:$O$47=G$48),'W19. Transport total capacity'!$E$48:$O$281))</f>
        <v>17010.52444269968</v>
      </c>
      <c r="H57" s="34">
        <f t="array" ref="H57">SUM(IF(('W19. Transport total capacity'!$B$48:$B$281=$A57)*(('W19. Transport total capacity'!$D$48:$D$281=H$43)+('W19. Transport total capacity'!$D$48:$D$281=H$44)+('W19. Transport total capacity'!$D$48:$D$281=H$45)+('W19. Transport total capacity'!$D$48:$D$281=H$46))*('W19. Transport total capacity'!$E$47:$O$47=H$48),'W19. Transport total capacity'!$E$48:$O$281))</f>
        <v>24411.260834299304</v>
      </c>
      <c r="I57" s="34">
        <f t="array" ref="I57">SUM(IF(('W19. Transport total capacity'!$B$48:$B$281=$A57)*(('W19. Transport total capacity'!$D$48:$D$281=I$43)+('W19. Transport total capacity'!$D$48:$D$281=I$44)+('W19. Transport total capacity'!$D$48:$D$281=I$45)+('W19. Transport total capacity'!$D$48:$D$281=I$46))*('W19. Transport total capacity'!$E$47:$O$47=I$48),'W19. Transport total capacity'!$E$48:$O$281))</f>
        <v>16924.722676114332</v>
      </c>
      <c r="J57" s="34">
        <f t="array" ref="J57">SUM(IF(('W19. Transport total capacity'!$B$48:$B$281=$A57)*(('W19. Transport total capacity'!$D$48:$D$281=J$43)+('W19. Transport total capacity'!$D$48:$D$281=J$44)+('W19. Transport total capacity'!$D$48:$D$281=J$45)+('W19. Transport total capacity'!$D$48:$D$281=J$46))*('W19. Transport total capacity'!$E$47:$O$47=J$48),'W19. Transport total capacity'!$E$48:$O$281))</f>
        <v>15978.052608526164</v>
      </c>
      <c r="K57" s="34">
        <f t="array" ref="K57">SUM(IF(('W19. Transport total capacity'!$B$48:$B$281=$A57)*(('W19. Transport total capacity'!$D$48:$D$281=K$43)+('W19. Transport total capacity'!$D$48:$D$281=K$44)+('W19. Transport total capacity'!$D$48:$D$281=K$45)+('W19. Transport total capacity'!$D$48:$D$281=K$46))*('W19. Transport total capacity'!$E$47:$O$47=K$48),'W19. Transport total capacity'!$E$48:$O$281))</f>
        <v>11912.525427707638</v>
      </c>
      <c r="L57" s="34">
        <f t="array" ref="L57">SUM(IF(('W19. Transport total capacity'!$B$48:$B$281=$A57)*(('W19. Transport total capacity'!$D$48:$D$281=L$43)+('W19. Transport total capacity'!$D$48:$D$281=L$44)+('W19. Transport total capacity'!$D$48:$D$281=L$45)+('W19. Transport total capacity'!$D$48:$D$281=L$46))*('W19. Transport total capacity'!$E$47:$O$47=L$48),'W19. Transport total capacity'!$E$48:$O$281))</f>
        <v>156.6315521560405</v>
      </c>
      <c r="M57" s="34">
        <f t="array" ref="M57">SUM(IF(('W19. Transport total capacity'!$B$48:$B$281=$A57)*(('W19. Transport total capacity'!$D$48:$D$281=M$43)+('W19. Transport total capacity'!$D$48:$D$281=M$44)+('W19. Transport total capacity'!$D$48:$D$281=M$45)+('W19. Transport total capacity'!$D$48:$D$281=M$46))*('W19. Transport total capacity'!$E$47:$O$47=M$48),'W19. Transport total capacity'!$E$48:$O$281))</f>
        <v>1199.9377213253399</v>
      </c>
      <c r="N57" s="34">
        <f t="array" ref="N57">SUM(IF(('W19. Transport total capacity'!$B$48:$B$281=$A57)*(('W19. Transport total capacity'!$D$48:$D$281=N$43)+('W19. Transport total capacity'!$D$48:$D$281=N$44)+('W19. Transport total capacity'!$D$48:$D$281=N$45)+('W19. Transport total capacity'!$D$48:$D$281=N$46))*('W19. Transport total capacity'!$E$47:$O$47=N$48),'W19. Transport total capacity'!$E$48:$O$281))</f>
        <v>1527.307577662719</v>
      </c>
      <c r="O57" s="34">
        <f t="array" ref="O57">SUM(IF(('W19. Transport total capacity'!$B$48:$B$281=$A57)*(('W19. Transport total capacity'!$D$48:$D$281=O$43)+('W19. Transport total capacity'!$D$48:$D$281=O$44)+('W19. Transport total capacity'!$D$48:$D$281=O$45)+('W19. Transport total capacity'!$D$48:$D$281=O$46))*('W19. Transport total capacity'!$E$47:$O$47=O$48),'W19. Transport total capacity'!$E$48:$O$281))</f>
        <v>2656.9459313005364</v>
      </c>
      <c r="P57" s="34">
        <f t="array" ref="P57">SUM(IF(('W19. Transport total capacity'!$B$48:$B$281=$A57)*(('W19. Transport total capacity'!$D$48:$D$281=P$43)+('W19. Transport total capacity'!$D$48:$D$281=P$44)+('W19. Transport total capacity'!$D$48:$D$281=P$45)+('W19. Transport total capacity'!$D$48:$D$281=P$46))*('W19. Transport total capacity'!$E$47:$O$47=P$48),'W19. Transport total capacity'!$E$48:$O$281))</f>
        <v>3945.4755877941725</v>
      </c>
      <c r="Q57" s="42">
        <f t="shared" si="7"/>
        <v>2.9736971761419417E-3</v>
      </c>
      <c r="R57" s="14">
        <f t="shared" si="7"/>
        <v>2.6894769836267765</v>
      </c>
      <c r="S57" s="14">
        <f t="shared" si="7"/>
        <v>123.17520954423168</v>
      </c>
      <c r="T57" s="14">
        <f t="shared" si="7"/>
        <v>304.4470188588819</v>
      </c>
      <c r="U57" s="14">
        <f t="shared" si="7"/>
        <v>601.62551704250177</v>
      </c>
      <c r="V57" s="14">
        <f t="shared" si="7"/>
        <v>827.29500846404051</v>
      </c>
      <c r="W57" s="14">
        <f t="shared" si="7"/>
        <v>1187.224668266866</v>
      </c>
      <c r="X57" s="14">
        <f t="shared" si="7"/>
        <v>823.12209930697338</v>
      </c>
      <c r="Y57" s="14">
        <f t="shared" si="7"/>
        <v>777.08145992421066</v>
      </c>
      <c r="Z57" s="14">
        <f t="shared" si="7"/>
        <v>579.35737711913885</v>
      </c>
      <c r="AA57" s="14">
        <f t="shared" si="7"/>
        <v>7.6176664454504062</v>
      </c>
      <c r="AB57" s="14">
        <f t="shared" si="7"/>
        <v>58.358135321700885</v>
      </c>
      <c r="AC57" s="14">
        <f t="shared" si="7"/>
        <v>74.279540272018878</v>
      </c>
      <c r="AD57" s="14">
        <f t="shared" si="7"/>
        <v>129.2187148096491</v>
      </c>
      <c r="AE57" s="774">
        <f t="shared" si="7"/>
        <v>191.88545719410021</v>
      </c>
      <c r="AF57" s="14">
        <f t="shared" si="9"/>
        <v>834.91564860666699</v>
      </c>
      <c r="AG57" s="14">
        <f t="shared" si="8"/>
        <v>1248.2722805721937</v>
      </c>
      <c r="AH57" s="14">
        <f t="shared" si="8"/>
        <v>1020.576849123224</v>
      </c>
      <c r="AI57" s="14">
        <f t="shared" si="8"/>
        <v>1210.7471935927417</v>
      </c>
      <c r="AJ57" s="14">
        <f t="shared" si="8"/>
        <v>1372.8683513557407</v>
      </c>
    </row>
    <row r="58" spans="1:36" ht="15" thickBot="1" x14ac:dyDescent="0.35"/>
    <row r="59" spans="1:36" s="25" customFormat="1" ht="15" thickBot="1" x14ac:dyDescent="0.35">
      <c r="A59" s="24" t="s">
        <v>377</v>
      </c>
    </row>
    <row r="61" spans="1:36" x14ac:dyDescent="0.3">
      <c r="A61" s="3" t="s">
        <v>8</v>
      </c>
      <c r="B61" s="3" t="s">
        <v>449</v>
      </c>
      <c r="C61" s="3" t="s">
        <v>430</v>
      </c>
      <c r="D61" s="3">
        <v>2015</v>
      </c>
      <c r="E61" s="3">
        <v>2016</v>
      </c>
      <c r="F61" s="3">
        <v>2017</v>
      </c>
      <c r="G61" s="3">
        <v>2020</v>
      </c>
      <c r="H61" s="3">
        <v>2030</v>
      </c>
      <c r="I61" s="3">
        <v>2040</v>
      </c>
      <c r="J61" s="3">
        <v>2050</v>
      </c>
    </row>
    <row r="62" spans="1:36" x14ac:dyDescent="0.3">
      <c r="A62" s="3" t="s">
        <v>450</v>
      </c>
      <c r="B62" s="3" t="s">
        <v>95</v>
      </c>
      <c r="C62" s="3" t="s">
        <v>451</v>
      </c>
      <c r="D62" s="14">
        <f>'R12. EVO 17 hist stock'!L23/10^3</f>
        <v>1.26261</v>
      </c>
      <c r="E62" s="14">
        <f>'R12. EVO 17 hist stock'!M23/10^3</f>
        <v>2.0142199999999999</v>
      </c>
    </row>
    <row r="63" spans="1:36" x14ac:dyDescent="0.3">
      <c r="A63" s="3" t="s">
        <v>452</v>
      </c>
      <c r="B63" s="3" t="s">
        <v>95</v>
      </c>
      <c r="C63" s="3" t="s">
        <v>451</v>
      </c>
      <c r="D63" s="14">
        <f>'R15. EVO 18 hist stock'!L32/10^3</f>
        <v>1.2394499999999999</v>
      </c>
      <c r="E63" s="14">
        <f>'R15. EVO 18 hist stock'!M32/10^3</f>
        <v>1.98204</v>
      </c>
      <c r="F63" s="14">
        <f>'R15. EVO 18 hist stock'!N32/10^3</f>
        <v>3.1090500000000008</v>
      </c>
    </row>
    <row r="64" spans="1:36" x14ac:dyDescent="0.3">
      <c r="A64" s="3" t="s">
        <v>438</v>
      </c>
      <c r="B64" s="3" t="s">
        <v>453</v>
      </c>
      <c r="C64" s="3" t="s">
        <v>451</v>
      </c>
      <c r="G64" s="14">
        <f>INDEX('R14. EVO 17 scenario stock'!$B$11:$H$14,MATCH($B64,'R14. EVO 17 scenario stock'!$A$11:$A$14,0),MATCH(G$61,'R14. EVO 17 scenario stock'!$B$10:$H$10,0))</f>
        <v>9.0164325458953201</v>
      </c>
      <c r="H64" s="14">
        <f>INDEX('R14. EVO 17 scenario stock'!$B$11:$H$14,MATCH($B64,'R14. EVO 17 scenario stock'!$A$11:$A$14,0),MATCH(H$61,'R14. EVO 17 scenario stock'!$B$10:$H$10,0))</f>
        <v>55.540270362869101</v>
      </c>
      <c r="I64" s="44">
        <f>TREND($G64:$H64,$G$61:$H$61,I$61)</f>
        <v>102.06410817984397</v>
      </c>
      <c r="J64" s="44">
        <f>TREND($G64:$H64,$G$61:$H$61,J$61)</f>
        <v>148.58794599681823</v>
      </c>
    </row>
    <row r="65" spans="1:37" x14ac:dyDescent="0.3">
      <c r="A65" s="3" t="s">
        <v>441</v>
      </c>
      <c r="B65" s="3" t="s">
        <v>360</v>
      </c>
      <c r="C65" s="3" t="s">
        <v>451</v>
      </c>
      <c r="G65" s="14">
        <f>INDEX('R14. EVO 17 scenario stock'!$B$11:$H$14,MATCH($B65,'R14. EVO 17 scenario stock'!$A$11:$A$14,0),MATCH(G$61,'R14. EVO 17 scenario stock'!$B$10:$H$10,0))</f>
        <v>19.8361516009697</v>
      </c>
      <c r="H65" s="14">
        <f>INDEX('R14. EVO 17 scenario stock'!$B$11:$H$14,MATCH($B65,'R14. EVO 17 scenario stock'!$A$11:$A$14,0),MATCH(H$61,'R14. EVO 17 scenario stock'!$B$10:$H$10,0))</f>
        <v>113.24543865659901</v>
      </c>
      <c r="I65" s="44">
        <f t="shared" ref="I65:J67" si="10">TREND($G65:$H65,$G$61:$H$61,I$61)</f>
        <v>206.65472571222926</v>
      </c>
      <c r="J65" s="44">
        <f t="shared" si="10"/>
        <v>300.06401276785982</v>
      </c>
    </row>
    <row r="66" spans="1:37" x14ac:dyDescent="0.3">
      <c r="A66" s="3" t="s">
        <v>444</v>
      </c>
      <c r="B66" s="3" t="s">
        <v>102</v>
      </c>
      <c r="C66" s="3" t="s">
        <v>451</v>
      </c>
      <c r="G66" s="14">
        <f>INDEX('R14. EVO 17 scenario stock'!$B$11:$H$14,MATCH($B66,'R14. EVO 17 scenario stock'!$A$11:$A$14,0),MATCH(G$61,'R14. EVO 17 scenario stock'!$B$10:$H$10,0))</f>
        <v>22.7223641355023</v>
      </c>
      <c r="H66" s="14">
        <f>INDEX('R14. EVO 17 scenario stock'!$B$11:$H$14,MATCH($B66,'R14. EVO 17 scenario stock'!$A$11:$A$14,0),MATCH(H$61,'R14. EVO 17 scenario stock'!$B$10:$H$10,0))</f>
        <v>155.804908512917</v>
      </c>
      <c r="I66" s="44">
        <f t="shared" si="10"/>
        <v>288.88745289032886</v>
      </c>
      <c r="J66" s="44">
        <f t="shared" si="10"/>
        <v>421.96999726774447</v>
      </c>
    </row>
    <row r="67" spans="1:37" x14ac:dyDescent="0.3">
      <c r="A67" s="3" t="s">
        <v>454</v>
      </c>
      <c r="B67" s="3" t="s">
        <v>455</v>
      </c>
      <c r="C67" s="3" t="s">
        <v>451</v>
      </c>
      <c r="G67" s="14">
        <f>INDEX('R14. EVO 17 scenario stock'!$B$11:$H$14,MATCH($B67,'R14. EVO 17 scenario stock'!$A$11:$A$14,0),MATCH(G$61,'R14. EVO 17 scenario stock'!$B$10:$H$10,0))</f>
        <v>25.606668430342701</v>
      </c>
      <c r="H67" s="14">
        <f>INDEX('R14. EVO 17 scenario stock'!$B$11:$H$14,MATCH($B67,'R14. EVO 17 scenario stock'!$A$11:$A$14,0),MATCH(H$61,'R14. EVO 17 scenario stock'!$B$10:$H$10,0))</f>
        <v>203.41071823539801</v>
      </c>
      <c r="I67" s="44">
        <f t="shared" si="10"/>
        <v>381.21476804045233</v>
      </c>
      <c r="J67" s="44">
        <f t="shared" si="10"/>
        <v>559.01881784550642</v>
      </c>
    </row>
    <row r="68" spans="1:37" ht="15" thickBot="1" x14ac:dyDescent="0.35"/>
    <row r="69" spans="1:37" s="25" customFormat="1" ht="15" thickBot="1" x14ac:dyDescent="0.35">
      <c r="A69" s="24" t="s">
        <v>1011</v>
      </c>
    </row>
    <row r="70" spans="1:37" x14ac:dyDescent="0.3">
      <c r="C70" s="3" t="s">
        <v>1014</v>
      </c>
      <c r="E70" s="3">
        <f>IF(ISNUMBER(MATCH(E$72,$D$11:$H$11,0)),"N/A",INDEX($D$11:$H$11,MATCH(E$72,$D$11:$H$11,1)+1))</f>
        <v>2020</v>
      </c>
      <c r="F70" s="3">
        <f t="shared" ref="F70:AK70" si="11">IF(ISNUMBER(MATCH(F$72,$D$11:$H$11,0)),"N/A",INDEX($D$11:$H$11,MATCH(F$72,$D$11:$H$11,1)+1))</f>
        <v>2020</v>
      </c>
      <c r="G70" s="3" t="str">
        <f t="shared" si="11"/>
        <v>N/A</v>
      </c>
      <c r="H70" s="3">
        <f t="shared" si="11"/>
        <v>2030</v>
      </c>
      <c r="I70" s="3">
        <f t="shared" si="11"/>
        <v>2030</v>
      </c>
      <c r="J70" s="3">
        <f t="shared" si="11"/>
        <v>2030</v>
      </c>
      <c r="K70" s="3">
        <f t="shared" si="11"/>
        <v>2030</v>
      </c>
      <c r="L70" s="3">
        <f t="shared" si="11"/>
        <v>2030</v>
      </c>
      <c r="M70" s="3">
        <f t="shared" si="11"/>
        <v>2030</v>
      </c>
      <c r="N70" s="3">
        <f t="shared" si="11"/>
        <v>2030</v>
      </c>
      <c r="O70" s="3">
        <f t="shared" si="11"/>
        <v>2030</v>
      </c>
      <c r="P70" s="3">
        <f t="shared" si="11"/>
        <v>2030</v>
      </c>
      <c r="Q70" s="3" t="str">
        <f t="shared" si="11"/>
        <v>N/A</v>
      </c>
      <c r="R70" s="3">
        <f t="shared" si="11"/>
        <v>2040</v>
      </c>
      <c r="S70" s="3">
        <f t="shared" si="11"/>
        <v>2040</v>
      </c>
      <c r="T70" s="3">
        <f t="shared" si="11"/>
        <v>2040</v>
      </c>
      <c r="U70" s="3">
        <f t="shared" si="11"/>
        <v>2040</v>
      </c>
      <c r="V70" s="3">
        <f t="shared" si="11"/>
        <v>2040</v>
      </c>
      <c r="W70" s="3">
        <f t="shared" si="11"/>
        <v>2040</v>
      </c>
      <c r="X70" s="3">
        <f t="shared" si="11"/>
        <v>2040</v>
      </c>
      <c r="Y70" s="3">
        <f t="shared" si="11"/>
        <v>2040</v>
      </c>
      <c r="Z70" s="3">
        <f t="shared" si="11"/>
        <v>2040</v>
      </c>
      <c r="AA70" s="3" t="str">
        <f t="shared" si="11"/>
        <v>N/A</v>
      </c>
      <c r="AB70" s="3">
        <f t="shared" si="11"/>
        <v>2050</v>
      </c>
      <c r="AC70" s="3">
        <f t="shared" si="11"/>
        <v>2050</v>
      </c>
      <c r="AD70" s="3">
        <f t="shared" si="11"/>
        <v>2050</v>
      </c>
      <c r="AE70" s="3">
        <f t="shared" si="11"/>
        <v>2050</v>
      </c>
      <c r="AF70" s="3">
        <f t="shared" si="11"/>
        <v>2050</v>
      </c>
      <c r="AG70" s="3">
        <f t="shared" si="11"/>
        <v>2050</v>
      </c>
      <c r="AH70" s="3">
        <f t="shared" si="11"/>
        <v>2050</v>
      </c>
      <c r="AI70" s="3">
        <f t="shared" si="11"/>
        <v>2050</v>
      </c>
      <c r="AJ70" s="3">
        <f t="shared" si="11"/>
        <v>2050</v>
      </c>
      <c r="AK70" s="3" t="str">
        <f t="shared" si="11"/>
        <v>N/A</v>
      </c>
    </row>
    <row r="71" spans="1:37" x14ac:dyDescent="0.3">
      <c r="C71" s="3" t="s">
        <v>1013</v>
      </c>
      <c r="E71" s="3">
        <f>IF(ISNUMBER(MATCH(E$72,$D$11:$H$11,0)),"N/A",INDEX($D$11:$H$11,MATCH(E$72,$D$11:$H$11,1)))</f>
        <v>2017</v>
      </c>
      <c r="F71" s="3">
        <f t="shared" ref="F71:AK71" si="12">IF(ISNUMBER(MATCH(F$72,$D$11:$H$11,0)),"N/A",INDEX($D$11:$H$11,MATCH(F$72,$D$11:$H$11,1)))</f>
        <v>2017</v>
      </c>
      <c r="G71" s="3" t="str">
        <f t="shared" si="12"/>
        <v>N/A</v>
      </c>
      <c r="H71" s="3">
        <f t="shared" si="12"/>
        <v>2020</v>
      </c>
      <c r="I71" s="3">
        <f t="shared" si="12"/>
        <v>2020</v>
      </c>
      <c r="J71" s="3">
        <f t="shared" si="12"/>
        <v>2020</v>
      </c>
      <c r="K71" s="3">
        <f t="shared" si="12"/>
        <v>2020</v>
      </c>
      <c r="L71" s="3">
        <f t="shared" si="12"/>
        <v>2020</v>
      </c>
      <c r="M71" s="3">
        <f t="shared" si="12"/>
        <v>2020</v>
      </c>
      <c r="N71" s="3">
        <f t="shared" si="12"/>
        <v>2020</v>
      </c>
      <c r="O71" s="3">
        <f t="shared" si="12"/>
        <v>2020</v>
      </c>
      <c r="P71" s="3">
        <f t="shared" si="12"/>
        <v>2020</v>
      </c>
      <c r="Q71" s="3" t="str">
        <f t="shared" si="12"/>
        <v>N/A</v>
      </c>
      <c r="R71" s="3">
        <f t="shared" si="12"/>
        <v>2030</v>
      </c>
      <c r="S71" s="3">
        <f t="shared" si="12"/>
        <v>2030</v>
      </c>
      <c r="T71" s="3">
        <f t="shared" si="12"/>
        <v>2030</v>
      </c>
      <c r="U71" s="3">
        <f t="shared" si="12"/>
        <v>2030</v>
      </c>
      <c r="V71" s="3">
        <f t="shared" si="12"/>
        <v>2030</v>
      </c>
      <c r="W71" s="3">
        <f t="shared" si="12"/>
        <v>2030</v>
      </c>
      <c r="X71" s="3">
        <f t="shared" si="12"/>
        <v>2030</v>
      </c>
      <c r="Y71" s="3">
        <f t="shared" si="12"/>
        <v>2030</v>
      </c>
      <c r="Z71" s="3">
        <f t="shared" si="12"/>
        <v>2030</v>
      </c>
      <c r="AA71" s="3" t="str">
        <f t="shared" si="12"/>
        <v>N/A</v>
      </c>
      <c r="AB71" s="3">
        <f t="shared" si="12"/>
        <v>2040</v>
      </c>
      <c r="AC71" s="3">
        <f t="shared" si="12"/>
        <v>2040</v>
      </c>
      <c r="AD71" s="3">
        <f t="shared" si="12"/>
        <v>2040</v>
      </c>
      <c r="AE71" s="3">
        <f t="shared" si="12"/>
        <v>2040</v>
      </c>
      <c r="AF71" s="3">
        <f t="shared" si="12"/>
        <v>2040</v>
      </c>
      <c r="AG71" s="3">
        <f t="shared" si="12"/>
        <v>2040</v>
      </c>
      <c r="AH71" s="3">
        <f t="shared" si="12"/>
        <v>2040</v>
      </c>
      <c r="AI71" s="3">
        <f t="shared" si="12"/>
        <v>2040</v>
      </c>
      <c r="AJ71" s="3">
        <f t="shared" si="12"/>
        <v>2040</v>
      </c>
      <c r="AK71" s="3" t="str">
        <f t="shared" si="12"/>
        <v>N/A</v>
      </c>
    </row>
    <row r="72" spans="1:37" x14ac:dyDescent="0.3">
      <c r="D72" s="3">
        <v>2017</v>
      </c>
      <c r="E72" s="3">
        <v>2018</v>
      </c>
      <c r="F72" s="3">
        <v>2019</v>
      </c>
      <c r="G72" s="3">
        <v>2020</v>
      </c>
      <c r="H72" s="3">
        <v>2021</v>
      </c>
      <c r="I72" s="3">
        <v>2022</v>
      </c>
      <c r="J72" s="3">
        <v>2023</v>
      </c>
      <c r="K72" s="3">
        <v>2024</v>
      </c>
      <c r="L72" s="3">
        <v>2025</v>
      </c>
      <c r="M72" s="3">
        <v>2026</v>
      </c>
      <c r="N72" s="3">
        <v>2027</v>
      </c>
      <c r="O72" s="3">
        <v>2028</v>
      </c>
      <c r="P72" s="3">
        <v>2029</v>
      </c>
      <c r="Q72" s="3">
        <v>2030</v>
      </c>
      <c r="R72" s="3">
        <v>2031</v>
      </c>
      <c r="S72" s="3">
        <v>2032</v>
      </c>
      <c r="T72" s="3">
        <v>2033</v>
      </c>
      <c r="U72" s="3">
        <v>2034</v>
      </c>
      <c r="V72" s="3">
        <v>2035</v>
      </c>
      <c r="W72" s="3">
        <v>2036</v>
      </c>
      <c r="X72" s="3">
        <v>2037</v>
      </c>
      <c r="Y72" s="3">
        <v>2038</v>
      </c>
      <c r="Z72" s="3">
        <v>2039</v>
      </c>
      <c r="AA72" s="3">
        <v>2040</v>
      </c>
      <c r="AB72" s="3">
        <v>2041</v>
      </c>
      <c r="AC72" s="3">
        <v>2042</v>
      </c>
      <c r="AD72" s="3">
        <v>2043</v>
      </c>
      <c r="AE72" s="3">
        <v>2044</v>
      </c>
      <c r="AF72" s="3">
        <v>2045</v>
      </c>
      <c r="AG72" s="3">
        <v>2046</v>
      </c>
      <c r="AH72" s="3">
        <v>2047</v>
      </c>
      <c r="AI72" s="3">
        <v>2048</v>
      </c>
      <c r="AJ72" s="3">
        <v>2049</v>
      </c>
      <c r="AK72" s="3">
        <v>2050</v>
      </c>
    </row>
    <row r="73" spans="1:37" x14ac:dyDescent="0.3">
      <c r="D73" s="3" t="s">
        <v>1012</v>
      </c>
      <c r="E73" s="3" t="s">
        <v>841</v>
      </c>
      <c r="F73" s="3" t="s">
        <v>841</v>
      </c>
      <c r="G73" s="3" t="s">
        <v>841</v>
      </c>
      <c r="H73" s="3" t="s">
        <v>841</v>
      </c>
      <c r="I73" s="3" t="s">
        <v>841</v>
      </c>
      <c r="J73" s="3" t="s">
        <v>841</v>
      </c>
      <c r="K73" s="3" t="s">
        <v>841</v>
      </c>
      <c r="L73" s="3" t="s">
        <v>841</v>
      </c>
      <c r="M73" s="3" t="s">
        <v>841</v>
      </c>
      <c r="N73" s="3" t="s">
        <v>841</v>
      </c>
      <c r="O73" s="3" t="s">
        <v>841</v>
      </c>
      <c r="P73" s="3" t="s">
        <v>841</v>
      </c>
      <c r="Q73" s="3" t="s">
        <v>841</v>
      </c>
      <c r="R73" s="3" t="s">
        <v>841</v>
      </c>
      <c r="S73" s="3" t="s">
        <v>841</v>
      </c>
      <c r="T73" s="3" t="s">
        <v>841</v>
      </c>
      <c r="U73" s="3" t="s">
        <v>841</v>
      </c>
      <c r="V73" s="3" t="s">
        <v>841</v>
      </c>
      <c r="W73" s="3" t="s">
        <v>841</v>
      </c>
      <c r="X73" s="3" t="s">
        <v>841</v>
      </c>
      <c r="Y73" s="3" t="s">
        <v>841</v>
      </c>
      <c r="Z73" s="3" t="s">
        <v>841</v>
      </c>
      <c r="AA73" s="3" t="s">
        <v>841</v>
      </c>
      <c r="AB73" s="3" t="s">
        <v>841</v>
      </c>
      <c r="AC73" s="3" t="s">
        <v>841</v>
      </c>
      <c r="AD73" s="3" t="s">
        <v>841</v>
      </c>
      <c r="AE73" s="3" t="s">
        <v>841</v>
      </c>
      <c r="AF73" s="3" t="s">
        <v>841</v>
      </c>
      <c r="AG73" s="3" t="s">
        <v>841</v>
      </c>
      <c r="AH73" s="3" t="s">
        <v>841</v>
      </c>
      <c r="AI73" s="3" t="s">
        <v>841</v>
      </c>
      <c r="AJ73" s="3" t="s">
        <v>841</v>
      </c>
      <c r="AK73" s="3" t="s">
        <v>841</v>
      </c>
    </row>
    <row r="75" spans="1:37" x14ac:dyDescent="0.3">
      <c r="A75" s="3" t="s">
        <v>15</v>
      </c>
      <c r="B75" s="3" t="str">
        <f>INDEX('R1. Scenario specifications'!$C$11:$C$60,MATCH($A75,'R1. Scenario specifications'!$A$11:$A$60,0))</f>
        <v>Current 2DS, 2020 start, 'Expect the Unexpected'</v>
      </c>
      <c r="C75" s="3" t="s">
        <v>361</v>
      </c>
      <c r="D75" s="34">
        <f>$D$23</f>
        <v>3.1090500000000008</v>
      </c>
      <c r="E75" s="14">
        <f>IF(E$70="N/A",INDEX($D$12:$H$24,MATCH($A75,$A$12:$A$24,0),MATCH(E$72,$D$11:$H$11,0)),INDEX($D$12:$H$24,MATCH($A75,$A$12:$A$24,0),MATCH(E$71,$D$11:$H$11,0))+(E$72-E$71)*(INDEX($D$12:$H$24,MATCH($A75,$A$12:$A$24,0),MATCH(E$70,$D$11:$H$11,0))-INDEX($D$12:$H$24,MATCH($A75,$A$12:$A$24,0),MATCH(E$71,$D$11:$H$11,0)))/(E$70-E$71))</f>
        <v>8.6847505336565671</v>
      </c>
      <c r="F75" s="14">
        <f t="shared" ref="F75:AK83" si="13">IF(F$70="N/A",INDEX($D$12:$H$24,MATCH($A75,$A$12:$A$24,0),MATCH(F$72,$D$11:$H$11,0)),INDEX($D$12:$H$24,MATCH($A75,$A$12:$A$24,0),MATCH(F$71,$D$11:$H$11,0))+(F$72-F$71)*(INDEX($D$12:$H$24,MATCH($A75,$A$12:$A$24,0),MATCH(F$70,$D$11:$H$11,0))-INDEX($D$12:$H$24,MATCH($A75,$A$12:$A$24,0),MATCH(F$71,$D$11:$H$11,0)))/(F$70-F$71))</f>
        <v>14.260451067313134</v>
      </c>
      <c r="G75" s="14">
        <f t="shared" si="13"/>
        <v>19.8361516009697</v>
      </c>
      <c r="H75" s="14">
        <f t="shared" si="13"/>
        <v>35.132141443489786</v>
      </c>
      <c r="I75" s="14">
        <f t="shared" si="13"/>
        <v>50.428131286009865</v>
      </c>
      <c r="J75" s="14">
        <f t="shared" si="13"/>
        <v>65.724121128529958</v>
      </c>
      <c r="K75" s="14">
        <f t="shared" si="13"/>
        <v>81.02011097105003</v>
      </c>
      <c r="L75" s="14">
        <f t="shared" si="13"/>
        <v>96.316100813570117</v>
      </c>
      <c r="M75" s="14">
        <f t="shared" si="13"/>
        <v>111.6120906560902</v>
      </c>
      <c r="N75" s="14">
        <f t="shared" si="13"/>
        <v>126.90808049861027</v>
      </c>
      <c r="O75" s="14">
        <f t="shared" si="13"/>
        <v>142.20407034113038</v>
      </c>
      <c r="P75" s="14">
        <f t="shared" si="13"/>
        <v>157.50006018365048</v>
      </c>
      <c r="Q75" s="14">
        <f t="shared" si="13"/>
        <v>172.79605002617052</v>
      </c>
      <c r="R75" s="14">
        <f t="shared" si="13"/>
        <v>193.01086126750747</v>
      </c>
      <c r="S75" s="14">
        <f t="shared" si="13"/>
        <v>213.22567250884438</v>
      </c>
      <c r="T75" s="14">
        <f t="shared" si="13"/>
        <v>233.44048375018133</v>
      </c>
      <c r="U75" s="14">
        <f t="shared" si="13"/>
        <v>253.65529499151825</v>
      </c>
      <c r="V75" s="14">
        <f t="shared" si="13"/>
        <v>273.87010623285516</v>
      </c>
      <c r="W75" s="14">
        <f t="shared" si="13"/>
        <v>294.08491747419214</v>
      </c>
      <c r="X75" s="14">
        <f t="shared" si="13"/>
        <v>314.29972871552906</v>
      </c>
      <c r="Y75" s="14">
        <f t="shared" si="13"/>
        <v>334.51453995686597</v>
      </c>
      <c r="Z75" s="14">
        <f t="shared" si="13"/>
        <v>354.72935119820295</v>
      </c>
      <c r="AA75" s="14">
        <f t="shared" si="13"/>
        <v>374.94416243953987</v>
      </c>
      <c r="AB75" s="14">
        <f t="shared" si="13"/>
        <v>411.47094038202982</v>
      </c>
      <c r="AC75" s="14">
        <f t="shared" si="13"/>
        <v>447.99771832451978</v>
      </c>
      <c r="AD75" s="14">
        <f t="shared" si="13"/>
        <v>484.52449626700979</v>
      </c>
      <c r="AE75" s="14">
        <f t="shared" si="13"/>
        <v>521.05127420949975</v>
      </c>
      <c r="AF75" s="14">
        <f t="shared" si="13"/>
        <v>557.57805215198971</v>
      </c>
      <c r="AG75" s="14">
        <f t="shared" si="13"/>
        <v>594.10483009447967</v>
      </c>
      <c r="AH75" s="14">
        <f t="shared" si="13"/>
        <v>630.63160803696962</v>
      </c>
      <c r="AI75" s="14">
        <f t="shared" si="13"/>
        <v>667.15838597945958</v>
      </c>
      <c r="AJ75" s="14">
        <f t="shared" si="13"/>
        <v>703.68516392194954</v>
      </c>
      <c r="AK75" s="14">
        <f t="shared" si="13"/>
        <v>740.2119418644395</v>
      </c>
    </row>
    <row r="76" spans="1:37" x14ac:dyDescent="0.3">
      <c r="A76" s="3" t="s">
        <v>26</v>
      </c>
      <c r="B76" s="3" t="str">
        <f>INDEX('R1. Scenario specifications'!$C$11:$C$60,MATCH($A76,'R1. Scenario specifications'!$A$11:$A$60,0))</f>
        <v>Current 2DS, 2030 start, 'Expect the Unexpected'</v>
      </c>
      <c r="C76" s="3" t="s">
        <v>362</v>
      </c>
      <c r="D76" s="34">
        <f t="shared" ref="D76:D84" si="14">$D$23</f>
        <v>3.1090500000000008</v>
      </c>
      <c r="E76" s="14">
        <f t="shared" ref="E76:T84" si="15">IF(E$70="N/A",INDEX($D$12:$H$24,MATCH($A76,$A$12:$A$24,0),MATCH(E$72,$D$11:$H$11,0)),INDEX($D$12:$H$24,MATCH($A76,$A$12:$A$24,0),MATCH(E$71,$D$11:$H$11,0))+(E$72-E$71)*(INDEX($D$12:$H$24,MATCH($A76,$A$12:$A$24,0),MATCH(E$70,$D$11:$H$11,0))-INDEX($D$12:$H$24,MATCH($A76,$A$12:$A$24,0),MATCH(E$71,$D$11:$H$11,0)))/(E$70-E$71))</f>
        <v>8.6847505336565671</v>
      </c>
      <c r="F76" s="14">
        <f t="shared" si="15"/>
        <v>14.260451067313134</v>
      </c>
      <c r="G76" s="14">
        <f t="shared" si="15"/>
        <v>19.8361516009697</v>
      </c>
      <c r="H76" s="14">
        <f t="shared" si="15"/>
        <v>29.177080306532631</v>
      </c>
      <c r="I76" s="14">
        <f t="shared" si="15"/>
        <v>38.518009012095561</v>
      </c>
      <c r="J76" s="14">
        <f t="shared" si="15"/>
        <v>47.858937717658492</v>
      </c>
      <c r="K76" s="14">
        <f t="shared" si="15"/>
        <v>57.199866423221422</v>
      </c>
      <c r="L76" s="14">
        <f t="shared" si="15"/>
        <v>66.540795128784353</v>
      </c>
      <c r="M76" s="14">
        <f t="shared" si="15"/>
        <v>75.881723834347284</v>
      </c>
      <c r="N76" s="14">
        <f t="shared" si="15"/>
        <v>85.222652539910214</v>
      </c>
      <c r="O76" s="14">
        <f t="shared" si="15"/>
        <v>94.563581245473145</v>
      </c>
      <c r="P76" s="14">
        <f t="shared" si="15"/>
        <v>103.90450995103608</v>
      </c>
      <c r="Q76" s="14">
        <f t="shared" si="15"/>
        <v>113.24543865659901</v>
      </c>
      <c r="R76" s="14">
        <f t="shared" si="15"/>
        <v>139.13183674486916</v>
      </c>
      <c r="S76" s="14">
        <f t="shared" si="15"/>
        <v>165.01823483313933</v>
      </c>
      <c r="T76" s="14">
        <f t="shared" si="15"/>
        <v>190.9046329214095</v>
      </c>
      <c r="U76" s="14">
        <f t="shared" si="13"/>
        <v>216.79103100967967</v>
      </c>
      <c r="V76" s="14">
        <f t="shared" si="13"/>
        <v>242.67742909794981</v>
      </c>
      <c r="W76" s="14">
        <f t="shared" si="13"/>
        <v>268.56382718622001</v>
      </c>
      <c r="X76" s="14">
        <f t="shared" si="13"/>
        <v>294.45022527449015</v>
      </c>
      <c r="Y76" s="14">
        <f t="shared" si="13"/>
        <v>320.33662336276029</v>
      </c>
      <c r="Z76" s="14">
        <f t="shared" si="13"/>
        <v>346.22302145103049</v>
      </c>
      <c r="AA76" s="14">
        <f t="shared" si="13"/>
        <v>372.10941953930063</v>
      </c>
      <c r="AB76" s="14">
        <f t="shared" si="13"/>
        <v>407.69954991028317</v>
      </c>
      <c r="AC76" s="14">
        <f t="shared" si="13"/>
        <v>443.28968028126576</v>
      </c>
      <c r="AD76" s="14">
        <f t="shared" si="13"/>
        <v>478.8798106522483</v>
      </c>
      <c r="AE76" s="14">
        <f t="shared" si="13"/>
        <v>514.46994102323083</v>
      </c>
      <c r="AF76" s="14">
        <f t="shared" si="13"/>
        <v>550.06007139421342</v>
      </c>
      <c r="AG76" s="14">
        <f t="shared" si="13"/>
        <v>585.65020176519602</v>
      </c>
      <c r="AH76" s="14">
        <f t="shared" si="13"/>
        <v>621.24033213617849</v>
      </c>
      <c r="AI76" s="14">
        <f t="shared" si="13"/>
        <v>656.83046250716097</v>
      </c>
      <c r="AJ76" s="14">
        <f t="shared" si="13"/>
        <v>692.42059287814368</v>
      </c>
      <c r="AK76" s="14">
        <f t="shared" si="13"/>
        <v>728.01072324912616</v>
      </c>
    </row>
    <row r="77" spans="1:37" x14ac:dyDescent="0.3">
      <c r="A77" s="3" t="s">
        <v>32</v>
      </c>
      <c r="B77" s="3" t="str">
        <f>INDEX('R1. Scenario specifications'!$C$11:$C$60,MATCH($A77,'R1. Scenario specifications'!$A$11:$A$60,0))</f>
        <v>Current 1.75DS, 2020 start, 'Expect the Unexpected'</v>
      </c>
      <c r="C77" s="3" t="s">
        <v>363</v>
      </c>
      <c r="D77" s="34">
        <f t="shared" si="14"/>
        <v>3.1090500000000008</v>
      </c>
      <c r="E77" s="14">
        <f t="shared" si="15"/>
        <v>8.6847505336565671</v>
      </c>
      <c r="F77" s="14">
        <f t="shared" si="13"/>
        <v>14.260451067313134</v>
      </c>
      <c r="G77" s="14">
        <f t="shared" si="13"/>
        <v>19.8361516009697</v>
      </c>
      <c r="H77" s="14">
        <f t="shared" si="13"/>
        <v>35.555846111957322</v>
      </c>
      <c r="I77" s="14">
        <f t="shared" si="13"/>
        <v>51.275540622944938</v>
      </c>
      <c r="J77" s="14">
        <f t="shared" si="13"/>
        <v>66.995235133932567</v>
      </c>
      <c r="K77" s="14">
        <f t="shared" si="13"/>
        <v>82.714929644920176</v>
      </c>
      <c r="L77" s="14">
        <f t="shared" si="13"/>
        <v>98.434624155907798</v>
      </c>
      <c r="M77" s="14">
        <f t="shared" si="13"/>
        <v>114.15431866689542</v>
      </c>
      <c r="N77" s="14">
        <f t="shared" si="13"/>
        <v>129.87401317788306</v>
      </c>
      <c r="O77" s="14">
        <f t="shared" si="13"/>
        <v>145.59370768887067</v>
      </c>
      <c r="P77" s="14">
        <f t="shared" si="13"/>
        <v>161.31340219985827</v>
      </c>
      <c r="Q77" s="14">
        <f t="shared" si="13"/>
        <v>177.03309671084588</v>
      </c>
      <c r="R77" s="14">
        <f t="shared" si="13"/>
        <v>198.36966817465051</v>
      </c>
      <c r="S77" s="14">
        <f t="shared" si="13"/>
        <v>219.70623963845514</v>
      </c>
      <c r="T77" s="14">
        <f t="shared" si="13"/>
        <v>241.04281110225975</v>
      </c>
      <c r="U77" s="14">
        <f t="shared" si="13"/>
        <v>262.37938256606435</v>
      </c>
      <c r="V77" s="14">
        <f t="shared" si="13"/>
        <v>283.71595402986901</v>
      </c>
      <c r="W77" s="14">
        <f t="shared" si="13"/>
        <v>305.05252549367367</v>
      </c>
      <c r="X77" s="14">
        <f t="shared" si="13"/>
        <v>326.38909695747827</v>
      </c>
      <c r="Y77" s="14">
        <f t="shared" si="13"/>
        <v>347.72566842128288</v>
      </c>
      <c r="Z77" s="14">
        <f t="shared" si="13"/>
        <v>369.06223988508748</v>
      </c>
      <c r="AA77" s="14">
        <f t="shared" si="13"/>
        <v>390.39881134889214</v>
      </c>
      <c r="AB77" s="14">
        <f t="shared" si="13"/>
        <v>429.25436965318266</v>
      </c>
      <c r="AC77" s="14">
        <f t="shared" si="13"/>
        <v>468.10992795747319</v>
      </c>
      <c r="AD77" s="14">
        <f t="shared" si="13"/>
        <v>506.96548626176366</v>
      </c>
      <c r="AE77" s="14">
        <f t="shared" si="13"/>
        <v>545.82104456605418</v>
      </c>
      <c r="AF77" s="14">
        <f t="shared" si="13"/>
        <v>584.67660287034471</v>
      </c>
      <c r="AG77" s="14">
        <f t="shared" si="13"/>
        <v>623.53216117463523</v>
      </c>
      <c r="AH77" s="14">
        <f t="shared" si="13"/>
        <v>662.38771947892576</v>
      </c>
      <c r="AI77" s="14">
        <f t="shared" si="13"/>
        <v>701.24327778321629</v>
      </c>
      <c r="AJ77" s="14">
        <f t="shared" si="13"/>
        <v>740.09883608750681</v>
      </c>
      <c r="AK77" s="14">
        <f t="shared" si="13"/>
        <v>778.95439439179734</v>
      </c>
    </row>
    <row r="78" spans="1:37" x14ac:dyDescent="0.3">
      <c r="A78" s="3" t="s">
        <v>37</v>
      </c>
      <c r="B78" s="3" t="str">
        <f>INDEX('R1. Scenario specifications'!$C$11:$C$60,MATCH($A78,'R1. Scenario specifications'!$A$11:$A$60,0))</f>
        <v>Current 2DS, 2020 start, 'Expect the Unexpected' but with cheap renewables</v>
      </c>
      <c r="C78" s="3" t="s">
        <v>364</v>
      </c>
      <c r="D78" s="34">
        <f t="shared" si="14"/>
        <v>3.1090500000000008</v>
      </c>
      <c r="E78" s="14">
        <f t="shared" si="15"/>
        <v>8.6847505336565671</v>
      </c>
      <c r="F78" s="14">
        <f t="shared" si="13"/>
        <v>14.260451067313134</v>
      </c>
      <c r="G78" s="14">
        <f t="shared" si="13"/>
        <v>19.8361516009697</v>
      </c>
      <c r="H78" s="14">
        <f t="shared" si="13"/>
        <v>35.132141443489786</v>
      </c>
      <c r="I78" s="14">
        <f t="shared" si="13"/>
        <v>50.428131286009865</v>
      </c>
      <c r="J78" s="14">
        <f t="shared" si="13"/>
        <v>65.724121128529958</v>
      </c>
      <c r="K78" s="14">
        <f t="shared" si="13"/>
        <v>81.02011097105003</v>
      </c>
      <c r="L78" s="14">
        <f t="shared" si="13"/>
        <v>96.316100813570117</v>
      </c>
      <c r="M78" s="14">
        <f t="shared" si="13"/>
        <v>111.6120906560902</v>
      </c>
      <c r="N78" s="14">
        <f t="shared" si="13"/>
        <v>126.90808049861027</v>
      </c>
      <c r="O78" s="14">
        <f t="shared" si="13"/>
        <v>142.20407034113038</v>
      </c>
      <c r="P78" s="14">
        <f t="shared" si="13"/>
        <v>157.50006018365048</v>
      </c>
      <c r="Q78" s="14">
        <f t="shared" si="13"/>
        <v>172.79605002617052</v>
      </c>
      <c r="R78" s="14">
        <f t="shared" si="13"/>
        <v>192.9683407333479</v>
      </c>
      <c r="S78" s="14">
        <f t="shared" si="13"/>
        <v>213.14063144052525</v>
      </c>
      <c r="T78" s="14">
        <f t="shared" si="13"/>
        <v>233.31292214770264</v>
      </c>
      <c r="U78" s="14">
        <f t="shared" si="13"/>
        <v>253.48521285487999</v>
      </c>
      <c r="V78" s="14">
        <f t="shared" si="13"/>
        <v>273.6575035620574</v>
      </c>
      <c r="W78" s="14">
        <f t="shared" si="13"/>
        <v>293.82979426923475</v>
      </c>
      <c r="X78" s="14">
        <f t="shared" si="13"/>
        <v>314.00208497641211</v>
      </c>
      <c r="Y78" s="14">
        <f t="shared" si="13"/>
        <v>334.17437568358946</v>
      </c>
      <c r="Z78" s="14">
        <f t="shared" si="13"/>
        <v>354.34666639076687</v>
      </c>
      <c r="AA78" s="14">
        <f t="shared" si="13"/>
        <v>374.51895709794422</v>
      </c>
      <c r="AB78" s="14">
        <f t="shared" si="13"/>
        <v>411.05587966611984</v>
      </c>
      <c r="AC78" s="14">
        <f t="shared" si="13"/>
        <v>447.59280223429545</v>
      </c>
      <c r="AD78" s="14">
        <f t="shared" si="13"/>
        <v>484.12972480247106</v>
      </c>
      <c r="AE78" s="14">
        <f t="shared" si="13"/>
        <v>520.66664737064673</v>
      </c>
      <c r="AF78" s="14">
        <f t="shared" si="13"/>
        <v>557.20356993882228</v>
      </c>
      <c r="AG78" s="14">
        <f t="shared" si="13"/>
        <v>593.74049250699795</v>
      </c>
      <c r="AH78" s="14">
        <f t="shared" si="13"/>
        <v>630.27741507517351</v>
      </c>
      <c r="AI78" s="14">
        <f t="shared" si="13"/>
        <v>666.81433764334918</v>
      </c>
      <c r="AJ78" s="14">
        <f t="shared" si="13"/>
        <v>703.35126021152473</v>
      </c>
      <c r="AK78" s="14">
        <f t="shared" si="13"/>
        <v>739.8881827797004</v>
      </c>
    </row>
    <row r="79" spans="1:37" x14ac:dyDescent="0.3">
      <c r="A79" s="3" t="s">
        <v>1026</v>
      </c>
      <c r="B79" s="3" t="str">
        <f>INDEX('R1. Scenario specifications'!$C$11:$C$60,MATCH($A79,'R1. Scenario specifications'!$A$11:$A$60,0))</f>
        <v>Current 2DS, 2020 start, 'Expect the unexpceted' but with expensive renewables (cheap CCS)</v>
      </c>
      <c r="C79" s="3" t="s">
        <v>365</v>
      </c>
      <c r="D79" s="34">
        <f t="shared" si="14"/>
        <v>3.1090500000000008</v>
      </c>
      <c r="E79" s="14">
        <f t="shared" si="15"/>
        <v>8.6847505336565671</v>
      </c>
      <c r="F79" s="14">
        <f t="shared" si="13"/>
        <v>14.260451067313134</v>
      </c>
      <c r="G79" s="14">
        <f t="shared" si="13"/>
        <v>19.8361516009697</v>
      </c>
      <c r="H79" s="14">
        <f t="shared" si="13"/>
        <v>35.643000705803949</v>
      </c>
      <c r="I79" s="14">
        <f t="shared" si="13"/>
        <v>51.449849810638199</v>
      </c>
      <c r="J79" s="14">
        <f t="shared" si="13"/>
        <v>67.256698915472441</v>
      </c>
      <c r="K79" s="14">
        <f t="shared" si="13"/>
        <v>83.063548020306683</v>
      </c>
      <c r="L79" s="14">
        <f t="shared" si="13"/>
        <v>98.87039712514094</v>
      </c>
      <c r="M79" s="14">
        <f t="shared" si="13"/>
        <v>114.67724622997518</v>
      </c>
      <c r="N79" s="14">
        <f t="shared" si="13"/>
        <v>130.48409533480947</v>
      </c>
      <c r="O79" s="14">
        <f t="shared" si="13"/>
        <v>146.29094443964368</v>
      </c>
      <c r="P79" s="14">
        <f t="shared" si="13"/>
        <v>162.0977935444779</v>
      </c>
      <c r="Q79" s="14">
        <f t="shared" si="13"/>
        <v>177.90464264931219</v>
      </c>
      <c r="R79" s="14">
        <f t="shared" si="13"/>
        <v>197.76007354756265</v>
      </c>
      <c r="S79" s="14">
        <f t="shared" si="13"/>
        <v>217.61550444581314</v>
      </c>
      <c r="T79" s="14">
        <f t="shared" si="13"/>
        <v>237.47093534406361</v>
      </c>
      <c r="U79" s="14">
        <f t="shared" si="13"/>
        <v>257.32636624231407</v>
      </c>
      <c r="V79" s="14">
        <f t="shared" si="13"/>
        <v>277.18179714056453</v>
      </c>
      <c r="W79" s="14">
        <f t="shared" si="13"/>
        <v>297.03722803881499</v>
      </c>
      <c r="X79" s="14">
        <f t="shared" si="13"/>
        <v>316.89265893706545</v>
      </c>
      <c r="Y79" s="14">
        <f t="shared" si="13"/>
        <v>336.74808983531591</v>
      </c>
      <c r="Z79" s="14">
        <f t="shared" si="13"/>
        <v>356.60352073356637</v>
      </c>
      <c r="AA79" s="14">
        <f t="shared" si="13"/>
        <v>376.45895163181689</v>
      </c>
      <c r="AB79" s="14">
        <f t="shared" si="13"/>
        <v>412.82928968574583</v>
      </c>
      <c r="AC79" s="14">
        <f t="shared" si="13"/>
        <v>449.19962773967478</v>
      </c>
      <c r="AD79" s="14">
        <f t="shared" si="13"/>
        <v>485.56996579360373</v>
      </c>
      <c r="AE79" s="14">
        <f t="shared" si="13"/>
        <v>521.94030384753262</v>
      </c>
      <c r="AF79" s="14">
        <f t="shared" si="13"/>
        <v>558.31064190146162</v>
      </c>
      <c r="AG79" s="14">
        <f t="shared" si="13"/>
        <v>594.68097995539051</v>
      </c>
      <c r="AH79" s="14">
        <f t="shared" si="13"/>
        <v>631.05131800931952</v>
      </c>
      <c r="AI79" s="14">
        <f t="shared" si="13"/>
        <v>667.42165606324841</v>
      </c>
      <c r="AJ79" s="14">
        <f t="shared" si="13"/>
        <v>703.79199411717741</v>
      </c>
      <c r="AK79" s="14">
        <f t="shared" si="13"/>
        <v>740.1623321711063</v>
      </c>
    </row>
    <row r="80" spans="1:37" x14ac:dyDescent="0.3">
      <c r="A80" s="3" t="s">
        <v>47</v>
      </c>
      <c r="B80" s="3" t="str">
        <f>INDEX('R1. Scenario specifications'!$C$11:$C$60,MATCH($A80,'R1. Scenario specifications'!$A$11:$A$60,0))</f>
        <v>Current 2DS, 2020 start, 'Expect the Unexpected' but with cheap EVs</v>
      </c>
      <c r="C80" s="3" t="s">
        <v>366</v>
      </c>
      <c r="D80" s="34">
        <f t="shared" si="14"/>
        <v>3.1090500000000008</v>
      </c>
      <c r="E80" s="14">
        <f t="shared" si="15"/>
        <v>8.6847505336565671</v>
      </c>
      <c r="F80" s="14">
        <f t="shared" si="13"/>
        <v>14.260451067313134</v>
      </c>
      <c r="G80" s="14">
        <f t="shared" si="13"/>
        <v>19.8361516009697</v>
      </c>
      <c r="H80" s="14">
        <f t="shared" si="13"/>
        <v>87.80650732259862</v>
      </c>
      <c r="I80" s="14">
        <f t="shared" si="13"/>
        <v>155.77686304422753</v>
      </c>
      <c r="J80" s="14">
        <f t="shared" si="13"/>
        <v>223.74721876585647</v>
      </c>
      <c r="K80" s="14">
        <f t="shared" si="13"/>
        <v>291.71757448748536</v>
      </c>
      <c r="L80" s="14">
        <f t="shared" si="13"/>
        <v>359.68793020911431</v>
      </c>
      <c r="M80" s="14">
        <f t="shared" si="13"/>
        <v>427.65828593074326</v>
      </c>
      <c r="N80" s="14">
        <f t="shared" si="13"/>
        <v>495.62864165237215</v>
      </c>
      <c r="O80" s="14">
        <f t="shared" si="13"/>
        <v>563.5989973740011</v>
      </c>
      <c r="P80" s="14">
        <f t="shared" si="13"/>
        <v>631.56935309563005</v>
      </c>
      <c r="Q80" s="14">
        <f t="shared" si="13"/>
        <v>699.539708817259</v>
      </c>
      <c r="R80" s="14">
        <f t="shared" si="13"/>
        <v>724.0071297476378</v>
      </c>
      <c r="S80" s="14">
        <f t="shared" si="13"/>
        <v>748.47455067801661</v>
      </c>
      <c r="T80" s="14">
        <f t="shared" si="13"/>
        <v>772.94197160839542</v>
      </c>
      <c r="U80" s="14">
        <f t="shared" si="13"/>
        <v>797.40939253877423</v>
      </c>
      <c r="V80" s="14">
        <f t="shared" si="13"/>
        <v>821.87681346915292</v>
      </c>
      <c r="W80" s="14">
        <f t="shared" si="13"/>
        <v>846.34423439953184</v>
      </c>
      <c r="X80" s="14">
        <f t="shared" si="13"/>
        <v>870.81165532991054</v>
      </c>
      <c r="Y80" s="14">
        <f t="shared" si="13"/>
        <v>895.27907626028934</v>
      </c>
      <c r="Z80" s="14">
        <f t="shared" si="13"/>
        <v>919.74649719066815</v>
      </c>
      <c r="AA80" s="14">
        <f t="shared" si="13"/>
        <v>944.21391812104696</v>
      </c>
      <c r="AB80" s="14">
        <f t="shared" si="13"/>
        <v>979.53403870337581</v>
      </c>
      <c r="AC80" s="14">
        <f t="shared" si="13"/>
        <v>1014.8541592857046</v>
      </c>
      <c r="AD80" s="14">
        <f t="shared" si="13"/>
        <v>1050.1742798680334</v>
      </c>
      <c r="AE80" s="14">
        <f t="shared" si="13"/>
        <v>1085.4944004503623</v>
      </c>
      <c r="AF80" s="14">
        <f t="shared" si="13"/>
        <v>1120.8145210326911</v>
      </c>
      <c r="AG80" s="14">
        <f t="shared" si="13"/>
        <v>1156.13464161502</v>
      </c>
      <c r="AH80" s="14">
        <f t="shared" si="13"/>
        <v>1191.4547621973488</v>
      </c>
      <c r="AI80" s="14">
        <f t="shared" si="13"/>
        <v>1226.7748827796775</v>
      </c>
      <c r="AJ80" s="14">
        <f t="shared" si="13"/>
        <v>1262.0950033620063</v>
      </c>
      <c r="AK80" s="14">
        <f t="shared" si="13"/>
        <v>1297.4151239443352</v>
      </c>
    </row>
    <row r="81" spans="1:37" x14ac:dyDescent="0.3">
      <c r="A81" s="3" t="s">
        <v>49</v>
      </c>
      <c r="B81" s="3" t="str">
        <f>INDEX('R1. Scenario specifications'!$C$11:$C$60,MATCH($A81,'R1. Scenario specifications'!$A$11:$A$60,0))</f>
        <v>Current 2DS, 2020 start, 'Expect the Unexpected' but with cheap energy efficiency</v>
      </c>
      <c r="C81" s="3" t="s">
        <v>367</v>
      </c>
      <c r="D81" s="34">
        <f t="shared" si="14"/>
        <v>3.1090500000000008</v>
      </c>
      <c r="E81" s="14">
        <f t="shared" si="15"/>
        <v>8.6847505336565671</v>
      </c>
      <c r="F81" s="14">
        <f t="shared" si="13"/>
        <v>14.260451067313134</v>
      </c>
      <c r="G81" s="14">
        <f t="shared" si="13"/>
        <v>19.8361516009697</v>
      </c>
      <c r="H81" s="14">
        <f t="shared" si="13"/>
        <v>30.170057395295899</v>
      </c>
      <c r="I81" s="14">
        <f t="shared" si="13"/>
        <v>40.503963189622098</v>
      </c>
      <c r="J81" s="14">
        <f t="shared" si="13"/>
        <v>50.83786898394829</v>
      </c>
      <c r="K81" s="14">
        <f t="shared" si="13"/>
        <v>61.171774778274489</v>
      </c>
      <c r="L81" s="14">
        <f t="shared" si="13"/>
        <v>71.505680572600681</v>
      </c>
      <c r="M81" s="14">
        <f t="shared" si="13"/>
        <v>81.839586366926881</v>
      </c>
      <c r="N81" s="14">
        <f t="shared" si="13"/>
        <v>92.17349216125308</v>
      </c>
      <c r="O81" s="14">
        <f t="shared" si="13"/>
        <v>102.50739795557928</v>
      </c>
      <c r="P81" s="14">
        <f t="shared" si="13"/>
        <v>112.84130374990548</v>
      </c>
      <c r="Q81" s="14">
        <f t="shared" si="13"/>
        <v>123.17520954423168</v>
      </c>
      <c r="R81" s="14">
        <f t="shared" si="13"/>
        <v>141.30239047569671</v>
      </c>
      <c r="S81" s="14">
        <f t="shared" si="13"/>
        <v>159.42957140716172</v>
      </c>
      <c r="T81" s="14">
        <f t="shared" si="13"/>
        <v>177.55675233862675</v>
      </c>
      <c r="U81" s="14">
        <f t="shared" si="13"/>
        <v>195.68393327009176</v>
      </c>
      <c r="V81" s="14">
        <f t="shared" si="13"/>
        <v>213.81111420155679</v>
      </c>
      <c r="W81" s="14">
        <f t="shared" si="13"/>
        <v>231.93829513302182</v>
      </c>
      <c r="X81" s="14">
        <f t="shared" si="13"/>
        <v>250.06547606448683</v>
      </c>
      <c r="Y81" s="14">
        <f t="shared" si="13"/>
        <v>268.19265699595189</v>
      </c>
      <c r="Z81" s="14">
        <f t="shared" si="13"/>
        <v>286.31983792741687</v>
      </c>
      <c r="AA81" s="14">
        <f t="shared" si="13"/>
        <v>304.4470188588819</v>
      </c>
      <c r="AB81" s="14">
        <f t="shared" si="13"/>
        <v>334.16486867724387</v>
      </c>
      <c r="AC81" s="14">
        <f t="shared" si="13"/>
        <v>363.8827184956059</v>
      </c>
      <c r="AD81" s="14">
        <f t="shared" si="13"/>
        <v>393.60056831396787</v>
      </c>
      <c r="AE81" s="14">
        <f t="shared" si="13"/>
        <v>423.31841813232984</v>
      </c>
      <c r="AF81" s="14">
        <f t="shared" si="13"/>
        <v>453.03626795069181</v>
      </c>
      <c r="AG81" s="14">
        <f t="shared" si="13"/>
        <v>482.75411776905378</v>
      </c>
      <c r="AH81" s="14">
        <f t="shared" si="13"/>
        <v>512.47196758741575</v>
      </c>
      <c r="AI81" s="14">
        <f t="shared" si="13"/>
        <v>542.18981740577783</v>
      </c>
      <c r="AJ81" s="14">
        <f t="shared" si="13"/>
        <v>571.9076672241398</v>
      </c>
      <c r="AK81" s="14">
        <f t="shared" si="13"/>
        <v>601.62551704250177</v>
      </c>
    </row>
    <row r="82" spans="1:37" x14ac:dyDescent="0.3">
      <c r="A82" s="32" t="s">
        <v>438</v>
      </c>
      <c r="B82" s="32" t="s">
        <v>439</v>
      </c>
      <c r="C82" s="32" t="s">
        <v>440</v>
      </c>
      <c r="D82" s="34">
        <f t="shared" si="14"/>
        <v>3.1090500000000008</v>
      </c>
      <c r="E82" s="14">
        <f t="shared" si="15"/>
        <v>5.0781775152984405</v>
      </c>
      <c r="F82" s="14">
        <f t="shared" si="13"/>
        <v>7.0473050305968803</v>
      </c>
      <c r="G82" s="14">
        <f t="shared" si="13"/>
        <v>9.0164325458953201</v>
      </c>
      <c r="H82" s="14">
        <f t="shared" si="13"/>
        <v>13.668816327592697</v>
      </c>
      <c r="I82" s="14">
        <f t="shared" si="13"/>
        <v>18.321200109290075</v>
      </c>
      <c r="J82" s="14">
        <f t="shared" si="13"/>
        <v>22.973583890987456</v>
      </c>
      <c r="K82" s="14">
        <f t="shared" si="13"/>
        <v>27.625967672684833</v>
      </c>
      <c r="L82" s="14">
        <f t="shared" si="13"/>
        <v>32.278351454382211</v>
      </c>
      <c r="M82" s="14">
        <f t="shared" si="13"/>
        <v>36.930735236079585</v>
      </c>
      <c r="N82" s="14">
        <f t="shared" si="13"/>
        <v>41.583119017776966</v>
      </c>
      <c r="O82" s="14">
        <f t="shared" si="13"/>
        <v>46.235502799474347</v>
      </c>
      <c r="P82" s="14">
        <f t="shared" si="13"/>
        <v>50.887886581171728</v>
      </c>
      <c r="Q82" s="14">
        <f t="shared" si="13"/>
        <v>55.540270362869101</v>
      </c>
      <c r="R82" s="14">
        <f t="shared" si="13"/>
        <v>60.192654144566589</v>
      </c>
      <c r="S82" s="14">
        <f t="shared" si="13"/>
        <v>64.845037926264069</v>
      </c>
      <c r="T82" s="14">
        <f t="shared" si="13"/>
        <v>69.497421707961564</v>
      </c>
      <c r="U82" s="14">
        <f t="shared" si="13"/>
        <v>74.149805489659045</v>
      </c>
      <c r="V82" s="14">
        <f t="shared" si="13"/>
        <v>78.802189271356539</v>
      </c>
      <c r="W82" s="14">
        <f t="shared" si="13"/>
        <v>83.45457305305402</v>
      </c>
      <c r="X82" s="14">
        <f t="shared" si="13"/>
        <v>88.106956834751514</v>
      </c>
      <c r="Y82" s="14">
        <f t="shared" si="13"/>
        <v>92.759340616448995</v>
      </c>
      <c r="Z82" s="14">
        <f t="shared" si="13"/>
        <v>97.411724398146475</v>
      </c>
      <c r="AA82" s="14">
        <f t="shared" si="13"/>
        <v>102.06410817984397</v>
      </c>
      <c r="AB82" s="14">
        <f t="shared" si="13"/>
        <v>106.71649196154139</v>
      </c>
      <c r="AC82" s="14">
        <f t="shared" si="13"/>
        <v>111.36887574323882</v>
      </c>
      <c r="AD82" s="14">
        <f t="shared" si="13"/>
        <v>116.02125952493626</v>
      </c>
      <c r="AE82" s="14">
        <f t="shared" si="13"/>
        <v>120.67364330663368</v>
      </c>
      <c r="AF82" s="14">
        <f t="shared" si="13"/>
        <v>125.3260270883311</v>
      </c>
      <c r="AG82" s="14">
        <f t="shared" si="13"/>
        <v>129.97841087002854</v>
      </c>
      <c r="AH82" s="14">
        <f t="shared" si="13"/>
        <v>134.63079465172595</v>
      </c>
      <c r="AI82" s="14">
        <f t="shared" si="13"/>
        <v>139.28317843342339</v>
      </c>
      <c r="AJ82" s="14">
        <f t="shared" si="13"/>
        <v>143.9355622151208</v>
      </c>
      <c r="AK82" s="14">
        <f t="shared" si="13"/>
        <v>148.58794599681823</v>
      </c>
    </row>
    <row r="83" spans="1:37" x14ac:dyDescent="0.3">
      <c r="A83" s="3" t="s">
        <v>441</v>
      </c>
      <c r="B83" s="3" t="s">
        <v>442</v>
      </c>
      <c r="C83" s="3" t="s">
        <v>443</v>
      </c>
      <c r="D83" s="34">
        <f t="shared" si="14"/>
        <v>3.1090500000000008</v>
      </c>
      <c r="E83" s="14">
        <f t="shared" si="15"/>
        <v>8.6847505336565671</v>
      </c>
      <c r="F83" s="14">
        <f t="shared" si="13"/>
        <v>14.260451067313134</v>
      </c>
      <c r="G83" s="14">
        <f t="shared" si="13"/>
        <v>19.8361516009697</v>
      </c>
      <c r="H83" s="14">
        <f t="shared" si="13"/>
        <v>29.177080306532631</v>
      </c>
      <c r="I83" s="14">
        <f t="shared" si="13"/>
        <v>38.518009012095561</v>
      </c>
      <c r="J83" s="14">
        <f t="shared" si="13"/>
        <v>47.858937717658492</v>
      </c>
      <c r="K83" s="14">
        <f t="shared" si="13"/>
        <v>57.199866423221422</v>
      </c>
      <c r="L83" s="14">
        <f t="shared" si="13"/>
        <v>66.540795128784353</v>
      </c>
      <c r="M83" s="14">
        <f t="shared" si="13"/>
        <v>75.881723834347284</v>
      </c>
      <c r="N83" s="14">
        <f t="shared" si="13"/>
        <v>85.222652539910214</v>
      </c>
      <c r="O83" s="14">
        <f t="shared" si="13"/>
        <v>94.563581245473145</v>
      </c>
      <c r="P83" s="14">
        <f t="shared" si="13"/>
        <v>103.90450995103608</v>
      </c>
      <c r="Q83" s="14">
        <f t="shared" si="13"/>
        <v>113.24543865659901</v>
      </c>
      <c r="R83" s="14">
        <f t="shared" si="13"/>
        <v>122.58636736216204</v>
      </c>
      <c r="S83" s="14">
        <f t="shared" si="13"/>
        <v>131.92729606772505</v>
      </c>
      <c r="T83" s="14">
        <f t="shared" ref="F83:AK84" si="16">IF(T$70="N/A",INDEX($D$12:$H$24,MATCH($A83,$A$12:$A$24,0),MATCH(T$72,$D$11:$H$11,0)),INDEX($D$12:$H$24,MATCH($A83,$A$12:$A$24,0),MATCH(T$71,$D$11:$H$11,0))+(T$72-T$71)*(INDEX($D$12:$H$24,MATCH($A83,$A$12:$A$24,0),MATCH(T$70,$D$11:$H$11,0))-INDEX($D$12:$H$24,MATCH($A83,$A$12:$A$24,0),MATCH(T$71,$D$11:$H$11,0)))/(T$70-T$71))</f>
        <v>141.26822477328807</v>
      </c>
      <c r="U83" s="14">
        <f t="shared" si="16"/>
        <v>150.60915347885111</v>
      </c>
      <c r="V83" s="14">
        <f t="shared" si="16"/>
        <v>159.95008218441413</v>
      </c>
      <c r="W83" s="14">
        <f t="shared" si="16"/>
        <v>169.29101088997714</v>
      </c>
      <c r="X83" s="14">
        <f t="shared" si="16"/>
        <v>178.63193959554019</v>
      </c>
      <c r="Y83" s="14">
        <f t="shared" si="16"/>
        <v>187.97286830110323</v>
      </c>
      <c r="Z83" s="14">
        <f t="shared" si="16"/>
        <v>197.31379700666622</v>
      </c>
      <c r="AA83" s="14">
        <f t="shared" si="16"/>
        <v>206.65472571222926</v>
      </c>
      <c r="AB83" s="14">
        <f t="shared" si="16"/>
        <v>215.99565441779231</v>
      </c>
      <c r="AC83" s="14">
        <f t="shared" si="16"/>
        <v>225.33658312335538</v>
      </c>
      <c r="AD83" s="14">
        <f t="shared" si="16"/>
        <v>234.67751182891843</v>
      </c>
      <c r="AE83" s="14">
        <f t="shared" si="16"/>
        <v>244.0184405344815</v>
      </c>
      <c r="AF83" s="14">
        <f t="shared" si="16"/>
        <v>253.35936924004454</v>
      </c>
      <c r="AG83" s="14">
        <f t="shared" si="16"/>
        <v>262.70029794560759</v>
      </c>
      <c r="AH83" s="14">
        <f t="shared" si="16"/>
        <v>272.04122665117063</v>
      </c>
      <c r="AI83" s="14">
        <f t="shared" si="16"/>
        <v>281.38215535673373</v>
      </c>
      <c r="AJ83" s="14">
        <f t="shared" si="16"/>
        <v>290.72308406229678</v>
      </c>
      <c r="AK83" s="14">
        <f t="shared" si="16"/>
        <v>300.06401276785982</v>
      </c>
    </row>
    <row r="84" spans="1:37" x14ac:dyDescent="0.3">
      <c r="A84" s="3" t="s">
        <v>444</v>
      </c>
      <c r="B84" s="3" t="s">
        <v>445</v>
      </c>
      <c r="C84" s="3" t="s">
        <v>446</v>
      </c>
      <c r="D84" s="34">
        <f t="shared" si="14"/>
        <v>3.1090500000000008</v>
      </c>
      <c r="E84" s="14">
        <f t="shared" si="15"/>
        <v>9.6468213785007677</v>
      </c>
      <c r="F84" s="14">
        <f t="shared" si="16"/>
        <v>16.184592757001536</v>
      </c>
      <c r="G84" s="14">
        <f t="shared" si="16"/>
        <v>22.7223641355023</v>
      </c>
      <c r="H84" s="14">
        <f t="shared" si="16"/>
        <v>36.030618573243771</v>
      </c>
      <c r="I84" s="14">
        <f t="shared" si="16"/>
        <v>49.338873010985239</v>
      </c>
      <c r="J84" s="14">
        <f t="shared" si="16"/>
        <v>62.647127448726707</v>
      </c>
      <c r="K84" s="14">
        <f t="shared" si="16"/>
        <v>75.955381886468189</v>
      </c>
      <c r="L84" s="14">
        <f t="shared" si="16"/>
        <v>89.263636324209656</v>
      </c>
      <c r="M84" s="14">
        <f t="shared" si="16"/>
        <v>102.57189076195112</v>
      </c>
      <c r="N84" s="14">
        <f t="shared" si="16"/>
        <v>115.88014519969259</v>
      </c>
      <c r="O84" s="14">
        <f t="shared" si="16"/>
        <v>129.18839963743406</v>
      </c>
      <c r="P84" s="14">
        <f t="shared" si="16"/>
        <v>142.49665407517554</v>
      </c>
      <c r="Q84" s="14">
        <f t="shared" si="16"/>
        <v>155.804908512917</v>
      </c>
      <c r="R84" s="14">
        <f t="shared" si="16"/>
        <v>169.11316295065819</v>
      </c>
      <c r="S84" s="14">
        <f t="shared" si="16"/>
        <v>182.42141738839936</v>
      </c>
      <c r="T84" s="14">
        <f t="shared" si="16"/>
        <v>195.72967182614056</v>
      </c>
      <c r="U84" s="14">
        <f t="shared" si="16"/>
        <v>209.03792626388173</v>
      </c>
      <c r="V84" s="14">
        <f t="shared" si="16"/>
        <v>222.34618070162293</v>
      </c>
      <c r="W84" s="14">
        <f t="shared" si="16"/>
        <v>235.65443513936413</v>
      </c>
      <c r="X84" s="14">
        <f t="shared" si="16"/>
        <v>248.96268957710529</v>
      </c>
      <c r="Y84" s="14">
        <f t="shared" si="16"/>
        <v>262.27094401484646</v>
      </c>
      <c r="Z84" s="14">
        <f t="shared" si="16"/>
        <v>275.57919845258766</v>
      </c>
      <c r="AA84" s="14">
        <f t="shared" si="16"/>
        <v>288.88745289032886</v>
      </c>
      <c r="AB84" s="14">
        <f t="shared" si="16"/>
        <v>302.1957073280704</v>
      </c>
      <c r="AC84" s="14">
        <f t="shared" si="16"/>
        <v>315.50396176581199</v>
      </c>
      <c r="AD84" s="14">
        <f t="shared" si="16"/>
        <v>328.81221620355353</v>
      </c>
      <c r="AE84" s="14">
        <f t="shared" si="16"/>
        <v>342.12047064129513</v>
      </c>
      <c r="AF84" s="14">
        <f t="shared" si="16"/>
        <v>355.42872507903667</v>
      </c>
      <c r="AG84" s="14">
        <f t="shared" si="16"/>
        <v>368.73697951677821</v>
      </c>
      <c r="AH84" s="14">
        <f t="shared" si="16"/>
        <v>382.0452339545198</v>
      </c>
      <c r="AI84" s="14">
        <f t="shared" si="16"/>
        <v>395.35348839226134</v>
      </c>
      <c r="AJ84" s="14">
        <f t="shared" si="16"/>
        <v>408.66174283000294</v>
      </c>
      <c r="AK84" s="14">
        <f t="shared" si="16"/>
        <v>421.96999726774447</v>
      </c>
    </row>
    <row r="86" spans="1:37" x14ac:dyDescent="0.3">
      <c r="D86" s="3" t="s">
        <v>1015</v>
      </c>
      <c r="E86" s="3" t="s">
        <v>1015</v>
      </c>
      <c r="F86" s="3" t="s">
        <v>1015</v>
      </c>
      <c r="G86" s="3" t="s">
        <v>1015</v>
      </c>
      <c r="H86" s="3" t="s">
        <v>1015</v>
      </c>
      <c r="I86" s="3" t="s">
        <v>1015</v>
      </c>
      <c r="J86" s="3" t="s">
        <v>1015</v>
      </c>
      <c r="K86" s="3" t="s">
        <v>1015</v>
      </c>
      <c r="L86" s="3" t="s">
        <v>1015</v>
      </c>
      <c r="M86" s="3" t="s">
        <v>1015</v>
      </c>
      <c r="N86" s="3" t="s">
        <v>1015</v>
      </c>
      <c r="O86" s="3" t="s">
        <v>1015</v>
      </c>
      <c r="P86" s="3" t="s">
        <v>1015</v>
      </c>
      <c r="Q86" s="3" t="s">
        <v>1015</v>
      </c>
      <c r="R86" s="3" t="s">
        <v>1015</v>
      </c>
      <c r="S86" s="3" t="s">
        <v>1015</v>
      </c>
      <c r="T86" s="3" t="s">
        <v>1015</v>
      </c>
      <c r="U86" s="3" t="s">
        <v>1015</v>
      </c>
      <c r="V86" s="3" t="s">
        <v>1015</v>
      </c>
      <c r="W86" s="3" t="s">
        <v>1015</v>
      </c>
      <c r="X86" s="3" t="s">
        <v>1015</v>
      </c>
      <c r="Y86" s="3" t="s">
        <v>1015</v>
      </c>
      <c r="Z86" s="3" t="s">
        <v>1015</v>
      </c>
      <c r="AA86" s="3" t="s">
        <v>1015</v>
      </c>
      <c r="AB86" s="3" t="s">
        <v>1015</v>
      </c>
      <c r="AC86" s="3" t="s">
        <v>1015</v>
      </c>
      <c r="AD86" s="3" t="s">
        <v>1015</v>
      </c>
      <c r="AE86" s="3" t="s">
        <v>1015</v>
      </c>
      <c r="AF86" s="3" t="s">
        <v>1015</v>
      </c>
      <c r="AG86" s="3" t="s">
        <v>1015</v>
      </c>
      <c r="AH86" s="3" t="s">
        <v>1015</v>
      </c>
      <c r="AI86" s="3" t="s">
        <v>1015</v>
      </c>
      <c r="AJ86" s="3" t="s">
        <v>1015</v>
      </c>
      <c r="AK86" s="3" t="s">
        <v>1015</v>
      </c>
    </row>
    <row r="87" spans="1:37" x14ac:dyDescent="0.3">
      <c r="A87" s="3" t="s">
        <v>15</v>
      </c>
      <c r="B87" s="3" t="str">
        <f>INDEX('R1. Scenario specifications'!$C$11:$C$60,MATCH($A87,'R1. Scenario specifications'!$A$11:$A$60,0))</f>
        <v>Current 2DS, 2020 start, 'Expect the Unexpected'</v>
      </c>
      <c r="C87" s="3" t="s">
        <v>361</v>
      </c>
      <c r="D87" s="34">
        <f>$F$63-$E$63</f>
        <v>1.1270100000000007</v>
      </c>
      <c r="E87" s="14">
        <f>E75-D75</f>
        <v>5.5757005336565664</v>
      </c>
      <c r="F87" s="14">
        <f t="shared" ref="F87:AK95" si="17">F75-E75</f>
        <v>5.5757005336565673</v>
      </c>
      <c r="G87" s="14">
        <f t="shared" si="17"/>
        <v>5.5757005336565655</v>
      </c>
      <c r="H87" s="14">
        <f t="shared" si="17"/>
        <v>15.295989842520086</v>
      </c>
      <c r="I87" s="14">
        <f t="shared" si="17"/>
        <v>15.295989842520079</v>
      </c>
      <c r="J87" s="14">
        <f t="shared" si="17"/>
        <v>15.295989842520093</v>
      </c>
      <c r="K87" s="14">
        <f t="shared" si="17"/>
        <v>15.295989842520072</v>
      </c>
      <c r="L87" s="14">
        <f t="shared" si="17"/>
        <v>15.295989842520086</v>
      </c>
      <c r="M87" s="14">
        <f t="shared" si="17"/>
        <v>15.295989842520086</v>
      </c>
      <c r="N87" s="14">
        <f t="shared" si="17"/>
        <v>15.295989842520072</v>
      </c>
      <c r="O87" s="14">
        <f t="shared" si="17"/>
        <v>15.2959898425201</v>
      </c>
      <c r="P87" s="14">
        <f t="shared" si="17"/>
        <v>15.2959898425201</v>
      </c>
      <c r="Q87" s="14">
        <f t="shared" si="17"/>
        <v>15.295989842520044</v>
      </c>
      <c r="R87" s="14">
        <f t="shared" si="17"/>
        <v>20.214811241336946</v>
      </c>
      <c r="S87" s="14">
        <f t="shared" si="17"/>
        <v>20.214811241336918</v>
      </c>
      <c r="T87" s="14">
        <f t="shared" si="17"/>
        <v>20.214811241336946</v>
      </c>
      <c r="U87" s="14">
        <f t="shared" si="17"/>
        <v>20.214811241336918</v>
      </c>
      <c r="V87" s="14">
        <f t="shared" si="17"/>
        <v>20.214811241336918</v>
      </c>
      <c r="W87" s="14">
        <f t="shared" si="17"/>
        <v>20.214811241336974</v>
      </c>
      <c r="X87" s="14">
        <f t="shared" si="17"/>
        <v>20.214811241336918</v>
      </c>
      <c r="Y87" s="14">
        <f t="shared" si="17"/>
        <v>20.214811241336918</v>
      </c>
      <c r="Z87" s="14">
        <f t="shared" si="17"/>
        <v>20.214811241336974</v>
      </c>
      <c r="AA87" s="14">
        <f t="shared" si="17"/>
        <v>20.214811241336918</v>
      </c>
      <c r="AB87" s="14">
        <f t="shared" si="17"/>
        <v>36.526777942489957</v>
      </c>
      <c r="AC87" s="14">
        <f t="shared" si="17"/>
        <v>36.526777942489957</v>
      </c>
      <c r="AD87" s="14">
        <f t="shared" si="17"/>
        <v>36.526777942490014</v>
      </c>
      <c r="AE87" s="14">
        <f t="shared" si="17"/>
        <v>36.526777942489957</v>
      </c>
      <c r="AF87" s="14">
        <f t="shared" si="17"/>
        <v>36.526777942489957</v>
      </c>
      <c r="AG87" s="14">
        <f t="shared" si="17"/>
        <v>36.526777942489957</v>
      </c>
      <c r="AH87" s="14">
        <f t="shared" si="17"/>
        <v>36.526777942489957</v>
      </c>
      <c r="AI87" s="14">
        <f t="shared" si="17"/>
        <v>36.526777942489957</v>
      </c>
      <c r="AJ87" s="14">
        <f t="shared" si="17"/>
        <v>36.526777942489957</v>
      </c>
      <c r="AK87" s="14">
        <f t="shared" si="17"/>
        <v>36.526777942489957</v>
      </c>
    </row>
    <row r="88" spans="1:37" x14ac:dyDescent="0.3">
      <c r="A88" s="3" t="s">
        <v>26</v>
      </c>
      <c r="B88" s="3" t="str">
        <f>INDEX('R1. Scenario specifications'!$C$11:$C$60,MATCH($A88,'R1. Scenario specifications'!$A$11:$A$60,0))</f>
        <v>Current 2DS, 2030 start, 'Expect the Unexpected'</v>
      </c>
      <c r="C88" s="3" t="s">
        <v>362</v>
      </c>
      <c r="D88" s="34">
        <f t="shared" ref="D88:D96" si="18">$F$63-$E$63</f>
        <v>1.1270100000000007</v>
      </c>
      <c r="E88" s="14">
        <f t="shared" ref="E88:T96" si="19">E76-D76</f>
        <v>5.5757005336565664</v>
      </c>
      <c r="F88" s="14">
        <f t="shared" si="19"/>
        <v>5.5757005336565673</v>
      </c>
      <c r="G88" s="14">
        <f t="shared" si="19"/>
        <v>5.5757005336565655</v>
      </c>
      <c r="H88" s="14">
        <f t="shared" si="19"/>
        <v>9.3409287055629306</v>
      </c>
      <c r="I88" s="14">
        <f t="shared" si="19"/>
        <v>9.3409287055629306</v>
      </c>
      <c r="J88" s="14">
        <f t="shared" si="19"/>
        <v>9.3409287055629306</v>
      </c>
      <c r="K88" s="14">
        <f t="shared" si="19"/>
        <v>9.3409287055629306</v>
      </c>
      <c r="L88" s="14">
        <f t="shared" si="19"/>
        <v>9.3409287055629306</v>
      </c>
      <c r="M88" s="14">
        <f t="shared" si="19"/>
        <v>9.3409287055629306</v>
      </c>
      <c r="N88" s="14">
        <f t="shared" si="19"/>
        <v>9.3409287055629306</v>
      </c>
      <c r="O88" s="14">
        <f t="shared" si="19"/>
        <v>9.3409287055629306</v>
      </c>
      <c r="P88" s="14">
        <f t="shared" si="19"/>
        <v>9.3409287055629306</v>
      </c>
      <c r="Q88" s="14">
        <f t="shared" si="19"/>
        <v>9.3409287055629306</v>
      </c>
      <c r="R88" s="14">
        <f t="shared" si="19"/>
        <v>25.886398088270155</v>
      </c>
      <c r="S88" s="14">
        <f t="shared" si="19"/>
        <v>25.88639808827017</v>
      </c>
      <c r="T88" s="14">
        <f t="shared" si="19"/>
        <v>25.88639808827017</v>
      </c>
      <c r="U88" s="14">
        <f t="shared" si="17"/>
        <v>25.88639808827017</v>
      </c>
      <c r="V88" s="14">
        <f t="shared" si="17"/>
        <v>25.886398088270141</v>
      </c>
      <c r="W88" s="14">
        <f t="shared" si="17"/>
        <v>25.886398088270198</v>
      </c>
      <c r="X88" s="14">
        <f t="shared" si="17"/>
        <v>25.886398088270141</v>
      </c>
      <c r="Y88" s="14">
        <f t="shared" si="17"/>
        <v>25.886398088270141</v>
      </c>
      <c r="Z88" s="14">
        <f t="shared" si="17"/>
        <v>25.886398088270198</v>
      </c>
      <c r="AA88" s="14">
        <f t="shared" si="17"/>
        <v>25.886398088270141</v>
      </c>
      <c r="AB88" s="14">
        <f t="shared" si="17"/>
        <v>35.590130370982536</v>
      </c>
      <c r="AC88" s="14">
        <f t="shared" si="17"/>
        <v>35.590130370982592</v>
      </c>
      <c r="AD88" s="14">
        <f t="shared" si="17"/>
        <v>35.590130370982536</v>
      </c>
      <c r="AE88" s="14">
        <f t="shared" si="17"/>
        <v>35.590130370982536</v>
      </c>
      <c r="AF88" s="14">
        <f t="shared" si="17"/>
        <v>35.590130370982592</v>
      </c>
      <c r="AG88" s="14">
        <f t="shared" si="17"/>
        <v>35.590130370982592</v>
      </c>
      <c r="AH88" s="14">
        <f t="shared" si="17"/>
        <v>35.590130370982479</v>
      </c>
      <c r="AI88" s="14">
        <f t="shared" si="17"/>
        <v>35.590130370982479</v>
      </c>
      <c r="AJ88" s="14">
        <f t="shared" si="17"/>
        <v>35.590130370982706</v>
      </c>
      <c r="AK88" s="14">
        <f t="shared" si="17"/>
        <v>35.590130370982479</v>
      </c>
    </row>
    <row r="89" spans="1:37" x14ac:dyDescent="0.3">
      <c r="A89" s="3" t="s">
        <v>32</v>
      </c>
      <c r="B89" s="3" t="str">
        <f>INDEX('R1. Scenario specifications'!$C$11:$C$60,MATCH($A89,'R1. Scenario specifications'!$A$11:$A$60,0))</f>
        <v>Current 1.75DS, 2020 start, 'Expect the Unexpected'</v>
      </c>
      <c r="C89" s="3" t="s">
        <v>363</v>
      </c>
      <c r="D89" s="34">
        <f t="shared" si="18"/>
        <v>1.1270100000000007</v>
      </c>
      <c r="E89" s="14">
        <f t="shared" si="19"/>
        <v>5.5757005336565664</v>
      </c>
      <c r="F89" s="14">
        <f t="shared" si="17"/>
        <v>5.5757005336565673</v>
      </c>
      <c r="G89" s="14">
        <f t="shared" si="17"/>
        <v>5.5757005336565655</v>
      </c>
      <c r="H89" s="14">
        <f t="shared" si="17"/>
        <v>15.719694510987622</v>
      </c>
      <c r="I89" s="14">
        <f t="shared" si="17"/>
        <v>15.719694510987615</v>
      </c>
      <c r="J89" s="14">
        <f t="shared" si="17"/>
        <v>15.71969451098763</v>
      </c>
      <c r="K89" s="14">
        <f t="shared" si="17"/>
        <v>15.719694510987608</v>
      </c>
      <c r="L89" s="14">
        <f t="shared" si="17"/>
        <v>15.719694510987622</v>
      </c>
      <c r="M89" s="14">
        <f t="shared" si="17"/>
        <v>15.719694510987622</v>
      </c>
      <c r="N89" s="14">
        <f t="shared" si="17"/>
        <v>15.719694510987637</v>
      </c>
      <c r="O89" s="14">
        <f t="shared" si="17"/>
        <v>15.719694510987608</v>
      </c>
      <c r="P89" s="14">
        <f t="shared" si="17"/>
        <v>15.719694510987608</v>
      </c>
      <c r="Q89" s="14">
        <f t="shared" si="17"/>
        <v>15.719694510987608</v>
      </c>
      <c r="R89" s="14">
        <f t="shared" si="17"/>
        <v>21.336571463804631</v>
      </c>
      <c r="S89" s="14">
        <f t="shared" si="17"/>
        <v>21.336571463804631</v>
      </c>
      <c r="T89" s="14">
        <f t="shared" si="17"/>
        <v>21.336571463804603</v>
      </c>
      <c r="U89" s="14">
        <f t="shared" si="17"/>
        <v>21.336571463804603</v>
      </c>
      <c r="V89" s="14">
        <f t="shared" si="17"/>
        <v>21.33657146380466</v>
      </c>
      <c r="W89" s="14">
        <f t="shared" si="17"/>
        <v>21.33657146380466</v>
      </c>
      <c r="X89" s="14">
        <f t="shared" si="17"/>
        <v>21.336571463804603</v>
      </c>
      <c r="Y89" s="14">
        <f t="shared" si="17"/>
        <v>21.336571463804603</v>
      </c>
      <c r="Z89" s="14">
        <f t="shared" si="17"/>
        <v>21.336571463804603</v>
      </c>
      <c r="AA89" s="14">
        <f t="shared" si="17"/>
        <v>21.33657146380466</v>
      </c>
      <c r="AB89" s="14">
        <f t="shared" si="17"/>
        <v>38.855558304290525</v>
      </c>
      <c r="AC89" s="14">
        <f t="shared" si="17"/>
        <v>38.855558304290525</v>
      </c>
      <c r="AD89" s="14">
        <f t="shared" si="17"/>
        <v>38.855558304290469</v>
      </c>
      <c r="AE89" s="14">
        <f t="shared" si="17"/>
        <v>38.855558304290525</v>
      </c>
      <c r="AF89" s="14">
        <f t="shared" si="17"/>
        <v>38.855558304290525</v>
      </c>
      <c r="AG89" s="14">
        <f t="shared" si="17"/>
        <v>38.855558304290525</v>
      </c>
      <c r="AH89" s="14">
        <f t="shared" si="17"/>
        <v>38.855558304290525</v>
      </c>
      <c r="AI89" s="14">
        <f t="shared" si="17"/>
        <v>38.855558304290525</v>
      </c>
      <c r="AJ89" s="14">
        <f t="shared" si="17"/>
        <v>38.855558304290525</v>
      </c>
      <c r="AK89" s="14">
        <f t="shared" si="17"/>
        <v>38.855558304290525</v>
      </c>
    </row>
    <row r="90" spans="1:37" x14ac:dyDescent="0.3">
      <c r="A90" s="3" t="s">
        <v>37</v>
      </c>
      <c r="B90" s="3" t="str">
        <f>INDEX('R1. Scenario specifications'!$C$11:$C$60,MATCH($A90,'R1. Scenario specifications'!$A$11:$A$60,0))</f>
        <v>Current 2DS, 2020 start, 'Expect the Unexpected' but with cheap renewables</v>
      </c>
      <c r="C90" s="3" t="s">
        <v>364</v>
      </c>
      <c r="D90" s="34">
        <f t="shared" si="18"/>
        <v>1.1270100000000007</v>
      </c>
      <c r="E90" s="14">
        <f t="shared" si="19"/>
        <v>5.5757005336565664</v>
      </c>
      <c r="F90" s="14">
        <f t="shared" si="17"/>
        <v>5.5757005336565673</v>
      </c>
      <c r="G90" s="14">
        <f t="shared" si="17"/>
        <v>5.5757005336565655</v>
      </c>
      <c r="H90" s="14">
        <f t="shared" si="17"/>
        <v>15.295989842520086</v>
      </c>
      <c r="I90" s="14">
        <f t="shared" si="17"/>
        <v>15.295989842520079</v>
      </c>
      <c r="J90" s="14">
        <f t="shared" si="17"/>
        <v>15.295989842520093</v>
      </c>
      <c r="K90" s="14">
        <f t="shared" si="17"/>
        <v>15.295989842520072</v>
      </c>
      <c r="L90" s="14">
        <f t="shared" si="17"/>
        <v>15.295989842520086</v>
      </c>
      <c r="M90" s="14">
        <f t="shared" si="17"/>
        <v>15.295989842520086</v>
      </c>
      <c r="N90" s="14">
        <f t="shared" si="17"/>
        <v>15.295989842520072</v>
      </c>
      <c r="O90" s="14">
        <f t="shared" si="17"/>
        <v>15.2959898425201</v>
      </c>
      <c r="P90" s="14">
        <f t="shared" si="17"/>
        <v>15.2959898425201</v>
      </c>
      <c r="Q90" s="14">
        <f t="shared" si="17"/>
        <v>15.295989842520044</v>
      </c>
      <c r="R90" s="14">
        <f t="shared" si="17"/>
        <v>20.172290707177382</v>
      </c>
      <c r="S90" s="14">
        <f t="shared" si="17"/>
        <v>20.172290707177353</v>
      </c>
      <c r="T90" s="14">
        <f t="shared" si="17"/>
        <v>20.172290707177382</v>
      </c>
      <c r="U90" s="14">
        <f t="shared" si="17"/>
        <v>20.172290707177353</v>
      </c>
      <c r="V90" s="14">
        <f t="shared" si="17"/>
        <v>20.17229070717741</v>
      </c>
      <c r="W90" s="14">
        <f t="shared" si="17"/>
        <v>20.172290707177353</v>
      </c>
      <c r="X90" s="14">
        <f t="shared" si="17"/>
        <v>20.172290707177353</v>
      </c>
      <c r="Y90" s="14">
        <f t="shared" si="17"/>
        <v>20.172290707177353</v>
      </c>
      <c r="Z90" s="14">
        <f t="shared" si="17"/>
        <v>20.17229070717741</v>
      </c>
      <c r="AA90" s="14">
        <f t="shared" si="17"/>
        <v>20.172290707177353</v>
      </c>
      <c r="AB90" s="14">
        <f t="shared" si="17"/>
        <v>36.536922568175612</v>
      </c>
      <c r="AC90" s="14">
        <f t="shared" si="17"/>
        <v>36.536922568175612</v>
      </c>
      <c r="AD90" s="14">
        <f t="shared" si="17"/>
        <v>36.536922568175612</v>
      </c>
      <c r="AE90" s="14">
        <f t="shared" si="17"/>
        <v>36.536922568175669</v>
      </c>
      <c r="AF90" s="14">
        <f t="shared" si="17"/>
        <v>36.536922568175555</v>
      </c>
      <c r="AG90" s="14">
        <f t="shared" si="17"/>
        <v>36.536922568175669</v>
      </c>
      <c r="AH90" s="14">
        <f t="shared" si="17"/>
        <v>36.536922568175555</v>
      </c>
      <c r="AI90" s="14">
        <f t="shared" si="17"/>
        <v>36.536922568175669</v>
      </c>
      <c r="AJ90" s="14">
        <f t="shared" si="17"/>
        <v>36.536922568175555</v>
      </c>
      <c r="AK90" s="14">
        <f t="shared" si="17"/>
        <v>36.536922568175669</v>
      </c>
    </row>
    <row r="91" spans="1:37" x14ac:dyDescent="0.3">
      <c r="A91" s="3" t="s">
        <v>1026</v>
      </c>
      <c r="B91" s="3" t="str">
        <f>INDEX('R1. Scenario specifications'!$C$11:$C$60,MATCH($A91,'R1. Scenario specifications'!$A$11:$A$60,0))</f>
        <v>Current 2DS, 2020 start, 'Expect the unexpceted' but with expensive renewables (cheap CCS)</v>
      </c>
      <c r="C91" s="3" t="s">
        <v>365</v>
      </c>
      <c r="D91" s="34">
        <f t="shared" si="18"/>
        <v>1.1270100000000007</v>
      </c>
      <c r="E91" s="14">
        <f t="shared" si="19"/>
        <v>5.5757005336565664</v>
      </c>
      <c r="F91" s="14">
        <f t="shared" si="17"/>
        <v>5.5757005336565673</v>
      </c>
      <c r="G91" s="14">
        <f t="shared" si="17"/>
        <v>5.5757005336565655</v>
      </c>
      <c r="H91" s="14">
        <f t="shared" si="17"/>
        <v>15.806849104834249</v>
      </c>
      <c r="I91" s="14">
        <f t="shared" si="17"/>
        <v>15.806849104834249</v>
      </c>
      <c r="J91" s="14">
        <f t="shared" si="17"/>
        <v>15.806849104834242</v>
      </c>
      <c r="K91" s="14">
        <f t="shared" si="17"/>
        <v>15.806849104834242</v>
      </c>
      <c r="L91" s="14">
        <f t="shared" si="17"/>
        <v>15.806849104834257</v>
      </c>
      <c r="M91" s="14">
        <f t="shared" si="17"/>
        <v>15.806849104834242</v>
      </c>
      <c r="N91" s="14">
        <f t="shared" si="17"/>
        <v>15.806849104834285</v>
      </c>
      <c r="O91" s="14">
        <f t="shared" si="17"/>
        <v>15.806849104834214</v>
      </c>
      <c r="P91" s="14">
        <f t="shared" si="17"/>
        <v>15.806849104834214</v>
      </c>
      <c r="Q91" s="14">
        <f t="shared" si="17"/>
        <v>15.806849104834299</v>
      </c>
      <c r="R91" s="14">
        <f t="shared" si="17"/>
        <v>19.855430898250461</v>
      </c>
      <c r="S91" s="14">
        <f t="shared" si="17"/>
        <v>19.855430898250489</v>
      </c>
      <c r="T91" s="14">
        <f t="shared" si="17"/>
        <v>19.855430898250461</v>
      </c>
      <c r="U91" s="14">
        <f t="shared" si="17"/>
        <v>19.855430898250461</v>
      </c>
      <c r="V91" s="14">
        <f t="shared" si="17"/>
        <v>19.855430898250461</v>
      </c>
      <c r="W91" s="14">
        <f t="shared" si="17"/>
        <v>19.855430898250461</v>
      </c>
      <c r="X91" s="14">
        <f t="shared" si="17"/>
        <v>19.855430898250461</v>
      </c>
      <c r="Y91" s="14">
        <f t="shared" si="17"/>
        <v>19.855430898250461</v>
      </c>
      <c r="Z91" s="14">
        <f t="shared" si="17"/>
        <v>19.855430898250461</v>
      </c>
      <c r="AA91" s="14">
        <f t="shared" si="17"/>
        <v>19.855430898250518</v>
      </c>
      <c r="AB91" s="14">
        <f t="shared" si="17"/>
        <v>36.370338053928947</v>
      </c>
      <c r="AC91" s="14">
        <f t="shared" si="17"/>
        <v>36.370338053928947</v>
      </c>
      <c r="AD91" s="14">
        <f t="shared" si="17"/>
        <v>36.370338053928947</v>
      </c>
      <c r="AE91" s="14">
        <f t="shared" si="17"/>
        <v>36.37033805392889</v>
      </c>
      <c r="AF91" s="14">
        <f t="shared" si="17"/>
        <v>36.370338053929004</v>
      </c>
      <c r="AG91" s="14">
        <f t="shared" si="17"/>
        <v>36.37033805392889</v>
      </c>
      <c r="AH91" s="14">
        <f t="shared" si="17"/>
        <v>36.370338053929004</v>
      </c>
      <c r="AI91" s="14">
        <f t="shared" si="17"/>
        <v>36.37033805392889</v>
      </c>
      <c r="AJ91" s="14">
        <f t="shared" si="17"/>
        <v>36.370338053929004</v>
      </c>
      <c r="AK91" s="14">
        <f t="shared" si="17"/>
        <v>36.37033805392889</v>
      </c>
    </row>
    <row r="92" spans="1:37" x14ac:dyDescent="0.3">
      <c r="A92" s="3" t="s">
        <v>47</v>
      </c>
      <c r="B92" s="3" t="str">
        <f>INDEX('R1. Scenario specifications'!$C$11:$C$60,MATCH($A92,'R1. Scenario specifications'!$A$11:$A$60,0))</f>
        <v>Current 2DS, 2020 start, 'Expect the Unexpected' but with cheap EVs</v>
      </c>
      <c r="C92" s="3" t="s">
        <v>366</v>
      </c>
      <c r="D92" s="34">
        <f t="shared" si="18"/>
        <v>1.1270100000000007</v>
      </c>
      <c r="E92" s="14">
        <f t="shared" si="19"/>
        <v>5.5757005336565664</v>
      </c>
      <c r="F92" s="14">
        <f t="shared" si="17"/>
        <v>5.5757005336565673</v>
      </c>
      <c r="G92" s="14">
        <f t="shared" si="17"/>
        <v>5.5757005336565655</v>
      </c>
      <c r="H92" s="14">
        <f t="shared" si="17"/>
        <v>67.97035572162892</v>
      </c>
      <c r="I92" s="14">
        <f t="shared" si="17"/>
        <v>67.970355721628906</v>
      </c>
      <c r="J92" s="14">
        <f t="shared" si="17"/>
        <v>67.970355721628948</v>
      </c>
      <c r="K92" s="14">
        <f t="shared" si="17"/>
        <v>67.970355721628891</v>
      </c>
      <c r="L92" s="14">
        <f t="shared" si="17"/>
        <v>67.970355721628948</v>
      </c>
      <c r="M92" s="14">
        <f t="shared" si="17"/>
        <v>67.970355721628948</v>
      </c>
      <c r="N92" s="14">
        <f t="shared" si="17"/>
        <v>67.970355721628891</v>
      </c>
      <c r="O92" s="14">
        <f t="shared" si="17"/>
        <v>67.970355721628948</v>
      </c>
      <c r="P92" s="14">
        <f t="shared" si="17"/>
        <v>67.970355721628948</v>
      </c>
      <c r="Q92" s="14">
        <f t="shared" si="17"/>
        <v>67.970355721628948</v>
      </c>
      <c r="R92" s="14">
        <f t="shared" si="17"/>
        <v>24.467420930378807</v>
      </c>
      <c r="S92" s="14">
        <f t="shared" si="17"/>
        <v>24.467420930378807</v>
      </c>
      <c r="T92" s="14">
        <f t="shared" si="17"/>
        <v>24.467420930378807</v>
      </c>
      <c r="U92" s="14">
        <f t="shared" si="17"/>
        <v>24.467420930378807</v>
      </c>
      <c r="V92" s="14">
        <f t="shared" si="17"/>
        <v>24.467420930378694</v>
      </c>
      <c r="W92" s="14">
        <f t="shared" si="17"/>
        <v>24.467420930378921</v>
      </c>
      <c r="X92" s="14">
        <f t="shared" si="17"/>
        <v>24.467420930378694</v>
      </c>
      <c r="Y92" s="14">
        <f t="shared" si="17"/>
        <v>24.467420930378807</v>
      </c>
      <c r="Z92" s="14">
        <f t="shared" si="17"/>
        <v>24.467420930378807</v>
      </c>
      <c r="AA92" s="14">
        <f t="shared" si="17"/>
        <v>24.467420930378807</v>
      </c>
      <c r="AB92" s="14">
        <f t="shared" si="17"/>
        <v>35.320120582328855</v>
      </c>
      <c r="AC92" s="14">
        <f t="shared" si="17"/>
        <v>35.320120582328741</v>
      </c>
      <c r="AD92" s="14">
        <f t="shared" si="17"/>
        <v>35.320120582328855</v>
      </c>
      <c r="AE92" s="14">
        <f t="shared" si="17"/>
        <v>35.320120582328855</v>
      </c>
      <c r="AF92" s="14">
        <f t="shared" si="17"/>
        <v>35.320120582328855</v>
      </c>
      <c r="AG92" s="14">
        <f t="shared" si="17"/>
        <v>35.320120582328855</v>
      </c>
      <c r="AH92" s="14">
        <f t="shared" si="17"/>
        <v>35.320120582328855</v>
      </c>
      <c r="AI92" s="14">
        <f t="shared" si="17"/>
        <v>35.320120582328627</v>
      </c>
      <c r="AJ92" s="14">
        <f t="shared" si="17"/>
        <v>35.320120582328855</v>
      </c>
      <c r="AK92" s="14">
        <f t="shared" si="17"/>
        <v>35.320120582328855</v>
      </c>
    </row>
    <row r="93" spans="1:37" x14ac:dyDescent="0.3">
      <c r="A93" s="3" t="s">
        <v>49</v>
      </c>
      <c r="B93" s="3" t="str">
        <f>INDEX('R1. Scenario specifications'!$C$11:$C$60,MATCH($A93,'R1. Scenario specifications'!$A$11:$A$60,0))</f>
        <v>Current 2DS, 2020 start, 'Expect the Unexpected' but with cheap energy efficiency</v>
      </c>
      <c r="C93" s="3" t="s">
        <v>367</v>
      </c>
      <c r="D93" s="34">
        <f t="shared" si="18"/>
        <v>1.1270100000000007</v>
      </c>
      <c r="E93" s="14">
        <f t="shared" si="19"/>
        <v>5.5757005336565664</v>
      </c>
      <c r="F93" s="14">
        <f t="shared" si="17"/>
        <v>5.5757005336565673</v>
      </c>
      <c r="G93" s="14">
        <f t="shared" si="17"/>
        <v>5.5757005336565655</v>
      </c>
      <c r="H93" s="14">
        <f t="shared" si="17"/>
        <v>10.333905794326199</v>
      </c>
      <c r="I93" s="14">
        <f t="shared" si="17"/>
        <v>10.333905794326199</v>
      </c>
      <c r="J93" s="14">
        <f t="shared" si="17"/>
        <v>10.333905794326192</v>
      </c>
      <c r="K93" s="14">
        <f t="shared" si="17"/>
        <v>10.333905794326199</v>
      </c>
      <c r="L93" s="14">
        <f t="shared" si="17"/>
        <v>10.333905794326192</v>
      </c>
      <c r="M93" s="14">
        <f t="shared" si="17"/>
        <v>10.333905794326199</v>
      </c>
      <c r="N93" s="14">
        <f t="shared" si="17"/>
        <v>10.333905794326199</v>
      </c>
      <c r="O93" s="14">
        <f t="shared" si="17"/>
        <v>10.333905794326199</v>
      </c>
      <c r="P93" s="14">
        <f t="shared" si="17"/>
        <v>10.333905794326199</v>
      </c>
      <c r="Q93" s="14">
        <f t="shared" si="17"/>
        <v>10.333905794326199</v>
      </c>
      <c r="R93" s="14">
        <f t="shared" si="17"/>
        <v>18.127180931465034</v>
      </c>
      <c r="S93" s="14">
        <f t="shared" si="17"/>
        <v>18.127180931465006</v>
      </c>
      <c r="T93" s="14">
        <f t="shared" si="17"/>
        <v>18.127180931465034</v>
      </c>
      <c r="U93" s="14">
        <f t="shared" si="17"/>
        <v>18.127180931465006</v>
      </c>
      <c r="V93" s="14">
        <f t="shared" si="17"/>
        <v>18.127180931465034</v>
      </c>
      <c r="W93" s="14">
        <f t="shared" si="17"/>
        <v>18.127180931465034</v>
      </c>
      <c r="X93" s="14">
        <f t="shared" si="17"/>
        <v>18.127180931465006</v>
      </c>
      <c r="Y93" s="14">
        <f t="shared" si="17"/>
        <v>18.127180931465062</v>
      </c>
      <c r="Z93" s="14">
        <f t="shared" si="17"/>
        <v>18.127180931464977</v>
      </c>
      <c r="AA93" s="14">
        <f t="shared" si="17"/>
        <v>18.127180931465034</v>
      </c>
      <c r="AB93" s="14">
        <f t="shared" si="17"/>
        <v>29.717849818361969</v>
      </c>
      <c r="AC93" s="14">
        <f t="shared" si="17"/>
        <v>29.717849818362026</v>
      </c>
      <c r="AD93" s="14">
        <f t="shared" si="17"/>
        <v>29.717849818361969</v>
      </c>
      <c r="AE93" s="14">
        <f t="shared" si="17"/>
        <v>29.717849818361969</v>
      </c>
      <c r="AF93" s="14">
        <f t="shared" si="17"/>
        <v>29.717849818361969</v>
      </c>
      <c r="AG93" s="14">
        <f t="shared" si="17"/>
        <v>29.717849818361969</v>
      </c>
      <c r="AH93" s="14">
        <f t="shared" si="17"/>
        <v>29.717849818361969</v>
      </c>
      <c r="AI93" s="14">
        <f t="shared" si="17"/>
        <v>29.717849818362083</v>
      </c>
      <c r="AJ93" s="14">
        <f t="shared" si="17"/>
        <v>29.717849818361969</v>
      </c>
      <c r="AK93" s="14">
        <f t="shared" si="17"/>
        <v>29.717849818361969</v>
      </c>
    </row>
    <row r="94" spans="1:37" x14ac:dyDescent="0.3">
      <c r="A94" s="32" t="s">
        <v>438</v>
      </c>
      <c r="B94" s="32" t="s">
        <v>439</v>
      </c>
      <c r="C94" s="32" t="s">
        <v>440</v>
      </c>
      <c r="D94" s="34">
        <f t="shared" si="18"/>
        <v>1.1270100000000007</v>
      </c>
      <c r="E94" s="14">
        <f t="shared" si="19"/>
        <v>1.9691275152984398</v>
      </c>
      <c r="F94" s="14">
        <f t="shared" si="17"/>
        <v>1.9691275152984398</v>
      </c>
      <c r="G94" s="14">
        <f t="shared" si="17"/>
        <v>1.9691275152984398</v>
      </c>
      <c r="H94" s="14">
        <f t="shared" si="17"/>
        <v>4.6523837816973774</v>
      </c>
      <c r="I94" s="14">
        <f t="shared" si="17"/>
        <v>4.6523837816973774</v>
      </c>
      <c r="J94" s="14">
        <f t="shared" si="17"/>
        <v>4.652383781697381</v>
      </c>
      <c r="K94" s="14">
        <f t="shared" si="17"/>
        <v>4.6523837816973774</v>
      </c>
      <c r="L94" s="14">
        <f t="shared" si="17"/>
        <v>4.6523837816973774</v>
      </c>
      <c r="M94" s="14">
        <f t="shared" si="17"/>
        <v>4.6523837816973739</v>
      </c>
      <c r="N94" s="14">
        <f t="shared" si="17"/>
        <v>4.652383781697381</v>
      </c>
      <c r="O94" s="14">
        <f t="shared" si="17"/>
        <v>4.652383781697381</v>
      </c>
      <c r="P94" s="14">
        <f t="shared" si="17"/>
        <v>4.652383781697381</v>
      </c>
      <c r="Q94" s="14">
        <f t="shared" si="17"/>
        <v>4.6523837816973739</v>
      </c>
      <c r="R94" s="14">
        <f t="shared" si="17"/>
        <v>4.6523837816974876</v>
      </c>
      <c r="S94" s="14">
        <f t="shared" si="17"/>
        <v>4.6523837816974805</v>
      </c>
      <c r="T94" s="14">
        <f t="shared" si="17"/>
        <v>4.6523837816974947</v>
      </c>
      <c r="U94" s="14">
        <f t="shared" si="17"/>
        <v>4.6523837816974805</v>
      </c>
      <c r="V94" s="14">
        <f t="shared" si="17"/>
        <v>4.6523837816974947</v>
      </c>
      <c r="W94" s="14">
        <f t="shared" si="17"/>
        <v>4.6523837816974805</v>
      </c>
      <c r="X94" s="14">
        <f t="shared" si="17"/>
        <v>4.6523837816974947</v>
      </c>
      <c r="Y94" s="14">
        <f t="shared" si="17"/>
        <v>4.6523837816974805</v>
      </c>
      <c r="Z94" s="14">
        <f t="shared" si="17"/>
        <v>4.6523837816974805</v>
      </c>
      <c r="AA94" s="14">
        <f t="shared" si="17"/>
        <v>4.6523837816974947</v>
      </c>
      <c r="AB94" s="14">
        <f t="shared" si="17"/>
        <v>4.6523837816974236</v>
      </c>
      <c r="AC94" s="14">
        <f t="shared" si="17"/>
        <v>4.6523837816974236</v>
      </c>
      <c r="AD94" s="14">
        <f t="shared" si="17"/>
        <v>4.6523837816974378</v>
      </c>
      <c r="AE94" s="14">
        <f t="shared" si="17"/>
        <v>4.6523837816974236</v>
      </c>
      <c r="AF94" s="14">
        <f t="shared" si="17"/>
        <v>4.6523837816974236</v>
      </c>
      <c r="AG94" s="14">
        <f t="shared" si="17"/>
        <v>4.6523837816974378</v>
      </c>
      <c r="AH94" s="14">
        <f t="shared" si="17"/>
        <v>4.6523837816974094</v>
      </c>
      <c r="AI94" s="14">
        <f t="shared" si="17"/>
        <v>4.6523837816974378</v>
      </c>
      <c r="AJ94" s="14">
        <f t="shared" si="17"/>
        <v>4.6523837816974094</v>
      </c>
      <c r="AK94" s="14">
        <f t="shared" si="17"/>
        <v>4.6523837816974378</v>
      </c>
    </row>
    <row r="95" spans="1:37" x14ac:dyDescent="0.3">
      <c r="A95" s="3" t="s">
        <v>441</v>
      </c>
      <c r="B95" s="3" t="s">
        <v>442</v>
      </c>
      <c r="C95" s="3" t="s">
        <v>443</v>
      </c>
      <c r="D95" s="34">
        <f t="shared" si="18"/>
        <v>1.1270100000000007</v>
      </c>
      <c r="E95" s="14">
        <f t="shared" si="19"/>
        <v>5.5757005336565664</v>
      </c>
      <c r="F95" s="14">
        <f t="shared" si="17"/>
        <v>5.5757005336565673</v>
      </c>
      <c r="G95" s="14">
        <f t="shared" si="17"/>
        <v>5.5757005336565655</v>
      </c>
      <c r="H95" s="14">
        <f t="shared" si="17"/>
        <v>9.3409287055629306</v>
      </c>
      <c r="I95" s="14">
        <f t="shared" si="17"/>
        <v>9.3409287055629306</v>
      </c>
      <c r="J95" s="14">
        <f t="shared" si="17"/>
        <v>9.3409287055629306</v>
      </c>
      <c r="K95" s="14">
        <f t="shared" si="17"/>
        <v>9.3409287055629306</v>
      </c>
      <c r="L95" s="14">
        <f t="shared" si="17"/>
        <v>9.3409287055629306</v>
      </c>
      <c r="M95" s="14">
        <f t="shared" si="17"/>
        <v>9.3409287055629306</v>
      </c>
      <c r="N95" s="14">
        <f t="shared" si="17"/>
        <v>9.3409287055629306</v>
      </c>
      <c r="O95" s="14">
        <f t="shared" si="17"/>
        <v>9.3409287055629306</v>
      </c>
      <c r="P95" s="14">
        <f t="shared" si="17"/>
        <v>9.3409287055629306</v>
      </c>
      <c r="Q95" s="14">
        <f t="shared" si="17"/>
        <v>9.3409287055629306</v>
      </c>
      <c r="R95" s="14">
        <f t="shared" si="17"/>
        <v>9.3409287055630301</v>
      </c>
      <c r="S95" s="14">
        <f t="shared" si="17"/>
        <v>9.3409287055630159</v>
      </c>
      <c r="T95" s="14">
        <f t="shared" ref="F95:AK96" si="20">T83-S83</f>
        <v>9.3409287055630159</v>
      </c>
      <c r="U95" s="14">
        <f t="shared" si="20"/>
        <v>9.3409287055630443</v>
      </c>
      <c r="V95" s="14">
        <f t="shared" si="20"/>
        <v>9.3409287055630159</v>
      </c>
      <c r="W95" s="14">
        <f t="shared" si="20"/>
        <v>9.3409287055630159</v>
      </c>
      <c r="X95" s="14">
        <f t="shared" si="20"/>
        <v>9.3409287055630443</v>
      </c>
      <c r="Y95" s="14">
        <f t="shared" si="20"/>
        <v>9.3409287055630443</v>
      </c>
      <c r="Z95" s="14">
        <f t="shared" si="20"/>
        <v>9.3409287055629875</v>
      </c>
      <c r="AA95" s="14">
        <f t="shared" si="20"/>
        <v>9.3409287055630443</v>
      </c>
      <c r="AB95" s="14">
        <f t="shared" si="20"/>
        <v>9.3409287055630443</v>
      </c>
      <c r="AC95" s="14">
        <f t="shared" si="20"/>
        <v>9.3409287055630728</v>
      </c>
      <c r="AD95" s="14">
        <f t="shared" si="20"/>
        <v>9.3409287055630443</v>
      </c>
      <c r="AE95" s="14">
        <f t="shared" si="20"/>
        <v>9.3409287055630728</v>
      </c>
      <c r="AF95" s="14">
        <f t="shared" si="20"/>
        <v>9.3409287055630443</v>
      </c>
      <c r="AG95" s="14">
        <f t="shared" si="20"/>
        <v>9.3409287055630443</v>
      </c>
      <c r="AH95" s="14">
        <f t="shared" si="20"/>
        <v>9.3409287055630443</v>
      </c>
      <c r="AI95" s="14">
        <f t="shared" si="20"/>
        <v>9.3409287055631012</v>
      </c>
      <c r="AJ95" s="14">
        <f t="shared" si="20"/>
        <v>9.3409287055630443</v>
      </c>
      <c r="AK95" s="14">
        <f t="shared" si="20"/>
        <v>9.3409287055630443</v>
      </c>
    </row>
    <row r="96" spans="1:37" x14ac:dyDescent="0.3">
      <c r="A96" s="3" t="s">
        <v>444</v>
      </c>
      <c r="B96" s="3" t="s">
        <v>445</v>
      </c>
      <c r="C96" s="3" t="s">
        <v>446</v>
      </c>
      <c r="D96" s="34">
        <f t="shared" si="18"/>
        <v>1.1270100000000007</v>
      </c>
      <c r="E96" s="14">
        <f t="shared" si="19"/>
        <v>6.537771378500767</v>
      </c>
      <c r="F96" s="14">
        <f t="shared" si="20"/>
        <v>6.5377713785007678</v>
      </c>
      <c r="G96" s="14">
        <f t="shared" si="20"/>
        <v>6.5377713785007643</v>
      </c>
      <c r="H96" s="14">
        <f t="shared" si="20"/>
        <v>13.308254437741471</v>
      </c>
      <c r="I96" s="14">
        <f t="shared" si="20"/>
        <v>13.308254437741468</v>
      </c>
      <c r="J96" s="14">
        <f t="shared" si="20"/>
        <v>13.308254437741468</v>
      </c>
      <c r="K96" s="14">
        <f t="shared" si="20"/>
        <v>13.308254437741482</v>
      </c>
      <c r="L96" s="14">
        <f t="shared" si="20"/>
        <v>13.308254437741468</v>
      </c>
      <c r="M96" s="14">
        <f t="shared" si="20"/>
        <v>13.308254437741468</v>
      </c>
      <c r="N96" s="14">
        <f t="shared" si="20"/>
        <v>13.308254437741468</v>
      </c>
      <c r="O96" s="14">
        <f t="shared" si="20"/>
        <v>13.308254437741468</v>
      </c>
      <c r="P96" s="14">
        <f t="shared" si="20"/>
        <v>13.308254437741482</v>
      </c>
      <c r="Q96" s="14">
        <f t="shared" si="20"/>
        <v>13.308254437741454</v>
      </c>
      <c r="R96" s="14">
        <f t="shared" si="20"/>
        <v>13.308254437741198</v>
      </c>
      <c r="S96" s="14">
        <f t="shared" si="20"/>
        <v>13.308254437741169</v>
      </c>
      <c r="T96" s="14">
        <f t="shared" si="20"/>
        <v>13.308254437741198</v>
      </c>
      <c r="U96" s="14">
        <f t="shared" si="20"/>
        <v>13.308254437741169</v>
      </c>
      <c r="V96" s="14">
        <f t="shared" si="20"/>
        <v>13.308254437741198</v>
      </c>
      <c r="W96" s="14">
        <f t="shared" si="20"/>
        <v>13.308254437741198</v>
      </c>
      <c r="X96" s="14">
        <f t="shared" si="20"/>
        <v>13.308254437741169</v>
      </c>
      <c r="Y96" s="14">
        <f t="shared" si="20"/>
        <v>13.308254437741169</v>
      </c>
      <c r="Z96" s="14">
        <f t="shared" si="20"/>
        <v>13.308254437741198</v>
      </c>
      <c r="AA96" s="14">
        <f t="shared" si="20"/>
        <v>13.308254437741198</v>
      </c>
      <c r="AB96" s="14">
        <f t="shared" si="20"/>
        <v>13.308254437741539</v>
      </c>
      <c r="AC96" s="14">
        <f t="shared" si="20"/>
        <v>13.308254437741596</v>
      </c>
      <c r="AD96" s="14">
        <f t="shared" si="20"/>
        <v>13.308254437741539</v>
      </c>
      <c r="AE96" s="14">
        <f t="shared" si="20"/>
        <v>13.308254437741596</v>
      </c>
      <c r="AF96" s="14">
        <f t="shared" si="20"/>
        <v>13.308254437741539</v>
      </c>
      <c r="AG96" s="14">
        <f t="shared" si="20"/>
        <v>13.308254437741539</v>
      </c>
      <c r="AH96" s="14">
        <f t="shared" si="20"/>
        <v>13.308254437741596</v>
      </c>
      <c r="AI96" s="14">
        <f t="shared" si="20"/>
        <v>13.308254437741539</v>
      </c>
      <c r="AJ96" s="14">
        <f t="shared" si="20"/>
        <v>13.308254437741596</v>
      </c>
      <c r="AK96" s="14">
        <f t="shared" si="20"/>
        <v>13.308254437741539</v>
      </c>
    </row>
    <row r="98" spans="1:37" x14ac:dyDescent="0.3">
      <c r="D98" s="3" t="s">
        <v>1016</v>
      </c>
      <c r="E98" s="3" t="s">
        <v>1016</v>
      </c>
      <c r="F98" s="3" t="s">
        <v>1016</v>
      </c>
      <c r="G98" s="3" t="s">
        <v>1016</v>
      </c>
      <c r="H98" s="3" t="s">
        <v>1016</v>
      </c>
      <c r="I98" s="3" t="s">
        <v>1016</v>
      </c>
      <c r="J98" s="3" t="s">
        <v>1016</v>
      </c>
      <c r="K98" s="3" t="s">
        <v>1016</v>
      </c>
      <c r="L98" s="3" t="s">
        <v>1016</v>
      </c>
      <c r="M98" s="3" t="s">
        <v>1016</v>
      </c>
      <c r="N98" s="3" t="s">
        <v>1016</v>
      </c>
      <c r="O98" s="3" t="s">
        <v>1016</v>
      </c>
      <c r="P98" s="3" t="s">
        <v>1016</v>
      </c>
      <c r="Q98" s="3" t="s">
        <v>1016</v>
      </c>
      <c r="R98" s="3" t="s">
        <v>1016</v>
      </c>
      <c r="S98" s="3" t="s">
        <v>1016</v>
      </c>
      <c r="T98" s="3" t="s">
        <v>1016</v>
      </c>
      <c r="U98" s="3" t="s">
        <v>1016</v>
      </c>
      <c r="V98" s="3" t="s">
        <v>1016</v>
      </c>
      <c r="W98" s="3" t="s">
        <v>1016</v>
      </c>
      <c r="X98" s="3" t="s">
        <v>1016</v>
      </c>
      <c r="Y98" s="3" t="s">
        <v>1016</v>
      </c>
      <c r="Z98" s="3" t="s">
        <v>1016</v>
      </c>
      <c r="AA98" s="3" t="s">
        <v>1016</v>
      </c>
      <c r="AB98" s="3" t="s">
        <v>1016</v>
      </c>
      <c r="AC98" s="3" t="s">
        <v>1016</v>
      </c>
      <c r="AD98" s="3" t="s">
        <v>1016</v>
      </c>
      <c r="AE98" s="3" t="s">
        <v>1016</v>
      </c>
      <c r="AF98" s="3" t="s">
        <v>1016</v>
      </c>
      <c r="AG98" s="3" t="s">
        <v>1016</v>
      </c>
      <c r="AH98" s="3" t="s">
        <v>1016</v>
      </c>
      <c r="AI98" s="3" t="s">
        <v>1016</v>
      </c>
      <c r="AJ98" s="3" t="s">
        <v>1016</v>
      </c>
      <c r="AK98" s="3" t="s">
        <v>1016</v>
      </c>
    </row>
    <row r="99" spans="1:37" x14ac:dyDescent="0.3">
      <c r="A99" s="3" t="s">
        <v>15</v>
      </c>
      <c r="B99" s="3" t="str">
        <f>INDEX('R1. Scenario specifications'!$C$11:$C$60,MATCH($A99,'R1. Scenario specifications'!$A$11:$A$60,0))</f>
        <v>Current 2DS, 2020 start, 'Expect the Unexpected'</v>
      </c>
      <c r="C99" s="3" t="s">
        <v>361</v>
      </c>
      <c r="D99" s="44">
        <f>($D75-$D87)/11</f>
        <v>0.18018545454545454</v>
      </c>
      <c r="E99" s="44">
        <f t="shared" ref="E99:N99" si="21">($D75-$D87)/11</f>
        <v>0.18018545454545454</v>
      </c>
      <c r="F99" s="44">
        <f t="shared" si="21"/>
        <v>0.18018545454545454</v>
      </c>
      <c r="G99" s="44">
        <f t="shared" si="21"/>
        <v>0.18018545454545454</v>
      </c>
      <c r="H99" s="44">
        <f t="shared" si="21"/>
        <v>0.18018545454545454</v>
      </c>
      <c r="I99" s="44">
        <f t="shared" si="21"/>
        <v>0.18018545454545454</v>
      </c>
      <c r="J99" s="44">
        <f t="shared" si="21"/>
        <v>0.18018545454545454</v>
      </c>
      <c r="K99" s="44">
        <f t="shared" si="21"/>
        <v>0.18018545454545454</v>
      </c>
      <c r="L99" s="44">
        <f t="shared" si="21"/>
        <v>0.18018545454545454</v>
      </c>
      <c r="M99" s="44">
        <f t="shared" si="21"/>
        <v>0.18018545454545454</v>
      </c>
      <c r="N99" s="44">
        <f t="shared" si="21"/>
        <v>0.18018545454545454</v>
      </c>
      <c r="O99" s="42">
        <f>INDEX($D87:$AK87,O$72-2016-11)</f>
        <v>1.1270100000000007</v>
      </c>
      <c r="P99" s="14">
        <f t="shared" ref="P99:Y99" si="22">INDEX($D87:$AK87,P$72-2016-11)</f>
        <v>5.5757005336565664</v>
      </c>
      <c r="Q99" s="14">
        <f t="shared" si="22"/>
        <v>5.5757005336565673</v>
      </c>
      <c r="R99" s="14">
        <f t="shared" si="22"/>
        <v>5.5757005336565655</v>
      </c>
      <c r="S99" s="14">
        <f t="shared" si="22"/>
        <v>15.295989842520086</v>
      </c>
      <c r="T99" s="14">
        <f t="shared" si="22"/>
        <v>15.295989842520079</v>
      </c>
      <c r="U99" s="14">
        <f t="shared" si="22"/>
        <v>15.295989842520093</v>
      </c>
      <c r="V99" s="14">
        <f t="shared" si="22"/>
        <v>15.295989842520072</v>
      </c>
      <c r="W99" s="14">
        <f t="shared" si="22"/>
        <v>15.295989842520086</v>
      </c>
      <c r="X99" s="14">
        <f t="shared" si="22"/>
        <v>15.295989842520086</v>
      </c>
      <c r="Y99" s="774">
        <f t="shared" si="22"/>
        <v>15.295989842520072</v>
      </c>
      <c r="Z99" s="14">
        <f>INDEX($D87:$AK87,Z$72-2016-11)+INDEX($D87:$AK87,Z$72-2016-22)</f>
        <v>16.422999842520102</v>
      </c>
      <c r="AA99" s="14">
        <f t="shared" ref="AA99:AJ99" si="23">INDEX($D87:$AK87,AA$72-2016-11)+INDEX($D87:$AK87,AA$72-2016-22)</f>
        <v>20.871690376176666</v>
      </c>
      <c r="AB99" s="14">
        <f t="shared" si="23"/>
        <v>20.871690376176609</v>
      </c>
      <c r="AC99" s="14">
        <f t="shared" si="23"/>
        <v>25.790511774993512</v>
      </c>
      <c r="AD99" s="14">
        <f t="shared" si="23"/>
        <v>35.510801083857004</v>
      </c>
      <c r="AE99" s="14">
        <f t="shared" si="23"/>
        <v>35.510801083857025</v>
      </c>
      <c r="AF99" s="14">
        <f t="shared" si="23"/>
        <v>35.510801083857011</v>
      </c>
      <c r="AG99" s="14">
        <f t="shared" si="23"/>
        <v>35.51080108385699</v>
      </c>
      <c r="AH99" s="14">
        <f t="shared" si="23"/>
        <v>35.510801083857061</v>
      </c>
      <c r="AI99" s="14">
        <f t="shared" si="23"/>
        <v>35.510801083857004</v>
      </c>
      <c r="AJ99" s="774">
        <f t="shared" si="23"/>
        <v>35.51080108385699</v>
      </c>
      <c r="AK99" s="774">
        <f>INDEX($D87:$AK87,AK$72-2016-11)+INDEX($D87:$AK87,AK$72-2016-22)+INDEX($D87:$AK87,AK$72-2016-33)</f>
        <v>36.637811083857073</v>
      </c>
    </row>
    <row r="100" spans="1:37" x14ac:dyDescent="0.3">
      <c r="A100" s="3" t="s">
        <v>26</v>
      </c>
      <c r="B100" s="3" t="str">
        <f>INDEX('R1. Scenario specifications'!$C$11:$C$60,MATCH($A100,'R1. Scenario specifications'!$A$11:$A$60,0))</f>
        <v>Current 2DS, 2030 start, 'Expect the Unexpected'</v>
      </c>
      <c r="C100" s="3" t="s">
        <v>362</v>
      </c>
      <c r="D100" s="44">
        <f t="shared" ref="D100:N108" si="24">($D76-$D88)/11</f>
        <v>0.18018545454545454</v>
      </c>
      <c r="E100" s="44">
        <f t="shared" si="24"/>
        <v>0.18018545454545454</v>
      </c>
      <c r="F100" s="44">
        <f t="shared" si="24"/>
        <v>0.18018545454545454</v>
      </c>
      <c r="G100" s="44">
        <f t="shared" si="24"/>
        <v>0.18018545454545454</v>
      </c>
      <c r="H100" s="44">
        <f t="shared" si="24"/>
        <v>0.18018545454545454</v>
      </c>
      <c r="I100" s="44">
        <f t="shared" si="24"/>
        <v>0.18018545454545454</v>
      </c>
      <c r="J100" s="44">
        <f t="shared" si="24"/>
        <v>0.18018545454545454</v>
      </c>
      <c r="K100" s="44">
        <f t="shared" si="24"/>
        <v>0.18018545454545454</v>
      </c>
      <c r="L100" s="44">
        <f t="shared" si="24"/>
        <v>0.18018545454545454</v>
      </c>
      <c r="M100" s="44">
        <f t="shared" si="24"/>
        <v>0.18018545454545454</v>
      </c>
      <c r="N100" s="44">
        <f t="shared" si="24"/>
        <v>0.18018545454545454</v>
      </c>
      <c r="O100" s="42">
        <f t="shared" ref="O100:O108" si="25">INDEX($D88:$AK88,O$72-2016-11)</f>
        <v>1.1270100000000007</v>
      </c>
      <c r="P100" s="14">
        <f t="shared" ref="P100:Y100" si="26">INDEX($D88:$AK88,P$72-2016-11)</f>
        <v>5.5757005336565664</v>
      </c>
      <c r="Q100" s="14">
        <f t="shared" si="26"/>
        <v>5.5757005336565673</v>
      </c>
      <c r="R100" s="14">
        <f t="shared" si="26"/>
        <v>5.5757005336565655</v>
      </c>
      <c r="S100" s="14">
        <f t="shared" si="26"/>
        <v>9.3409287055629306</v>
      </c>
      <c r="T100" s="14">
        <f t="shared" si="26"/>
        <v>9.3409287055629306</v>
      </c>
      <c r="U100" s="14">
        <f t="shared" si="26"/>
        <v>9.3409287055629306</v>
      </c>
      <c r="V100" s="14">
        <f t="shared" si="26"/>
        <v>9.3409287055629306</v>
      </c>
      <c r="W100" s="14">
        <f t="shared" si="26"/>
        <v>9.3409287055629306</v>
      </c>
      <c r="X100" s="14">
        <f t="shared" si="26"/>
        <v>9.3409287055629306</v>
      </c>
      <c r="Y100" s="774">
        <f t="shared" si="26"/>
        <v>9.3409287055629306</v>
      </c>
      <c r="Z100" s="14">
        <f t="shared" ref="Z100:AJ108" si="27">INDEX($D88:$AK88,Z$72-2016-11)+INDEX($D88:$AK88,Z$72-2016-22)</f>
        <v>10.467938705562931</v>
      </c>
      <c r="AA100" s="14">
        <f t="shared" si="27"/>
        <v>14.916629239219496</v>
      </c>
      <c r="AB100" s="14">
        <f t="shared" si="27"/>
        <v>14.916629239219498</v>
      </c>
      <c r="AC100" s="14">
        <f t="shared" si="27"/>
        <v>31.462098621926721</v>
      </c>
      <c r="AD100" s="14">
        <f t="shared" si="27"/>
        <v>35.2273267938331</v>
      </c>
      <c r="AE100" s="14">
        <f t="shared" si="27"/>
        <v>35.2273267938331</v>
      </c>
      <c r="AF100" s="14">
        <f t="shared" si="27"/>
        <v>35.2273267938331</v>
      </c>
      <c r="AG100" s="14">
        <f t="shared" si="27"/>
        <v>35.227326793833072</v>
      </c>
      <c r="AH100" s="14">
        <f t="shared" si="27"/>
        <v>35.227326793833129</v>
      </c>
      <c r="AI100" s="14">
        <f t="shared" si="27"/>
        <v>35.227326793833072</v>
      </c>
      <c r="AJ100" s="774">
        <f t="shared" si="27"/>
        <v>35.227326793833072</v>
      </c>
      <c r="AK100" s="774">
        <f t="shared" ref="AK100:AK108" si="28">INDEX($D88:$AK88,AK$72-2016-11)+INDEX($D88:$AK88,AK$72-2016-22)+INDEX($D88:$AK88,AK$72-2016-33)</f>
        <v>36.354336793833127</v>
      </c>
    </row>
    <row r="101" spans="1:37" x14ac:dyDescent="0.3">
      <c r="A101" s="3" t="s">
        <v>32</v>
      </c>
      <c r="B101" s="3" t="str">
        <f>INDEX('R1. Scenario specifications'!$C$11:$C$60,MATCH($A101,'R1. Scenario specifications'!$A$11:$A$60,0))</f>
        <v>Current 1.75DS, 2020 start, 'Expect the Unexpected'</v>
      </c>
      <c r="C101" s="3" t="s">
        <v>363</v>
      </c>
      <c r="D101" s="44">
        <f t="shared" si="24"/>
        <v>0.18018545454545454</v>
      </c>
      <c r="E101" s="44">
        <f t="shared" si="24"/>
        <v>0.18018545454545454</v>
      </c>
      <c r="F101" s="44">
        <f t="shared" si="24"/>
        <v>0.18018545454545454</v>
      </c>
      <c r="G101" s="44">
        <f t="shared" si="24"/>
        <v>0.18018545454545454</v>
      </c>
      <c r="H101" s="44">
        <f t="shared" si="24"/>
        <v>0.18018545454545454</v>
      </c>
      <c r="I101" s="44">
        <f t="shared" si="24"/>
        <v>0.18018545454545454</v>
      </c>
      <c r="J101" s="44">
        <f t="shared" si="24"/>
        <v>0.18018545454545454</v>
      </c>
      <c r="K101" s="44">
        <f t="shared" si="24"/>
        <v>0.18018545454545454</v>
      </c>
      <c r="L101" s="44">
        <f t="shared" si="24"/>
        <v>0.18018545454545454</v>
      </c>
      <c r="M101" s="44">
        <f t="shared" si="24"/>
        <v>0.18018545454545454</v>
      </c>
      <c r="N101" s="44">
        <f t="shared" si="24"/>
        <v>0.18018545454545454</v>
      </c>
      <c r="O101" s="42">
        <f t="shared" si="25"/>
        <v>1.1270100000000007</v>
      </c>
      <c r="P101" s="14">
        <f t="shared" ref="P101:Y101" si="29">INDEX($D89:$AK89,P$72-2016-11)</f>
        <v>5.5757005336565664</v>
      </c>
      <c r="Q101" s="14">
        <f t="shared" si="29"/>
        <v>5.5757005336565673</v>
      </c>
      <c r="R101" s="14">
        <f t="shared" si="29"/>
        <v>5.5757005336565655</v>
      </c>
      <c r="S101" s="14">
        <f t="shared" si="29"/>
        <v>15.719694510987622</v>
      </c>
      <c r="T101" s="14">
        <f t="shared" si="29"/>
        <v>15.719694510987615</v>
      </c>
      <c r="U101" s="14">
        <f t="shared" si="29"/>
        <v>15.71969451098763</v>
      </c>
      <c r="V101" s="14">
        <f t="shared" si="29"/>
        <v>15.719694510987608</v>
      </c>
      <c r="W101" s="14">
        <f t="shared" si="29"/>
        <v>15.719694510987622</v>
      </c>
      <c r="X101" s="14">
        <f t="shared" si="29"/>
        <v>15.719694510987622</v>
      </c>
      <c r="Y101" s="774">
        <f t="shared" si="29"/>
        <v>15.719694510987637</v>
      </c>
      <c r="Z101" s="14">
        <f t="shared" si="27"/>
        <v>16.84670451098761</v>
      </c>
      <c r="AA101" s="14">
        <f t="shared" si="27"/>
        <v>21.295395044644174</v>
      </c>
      <c r="AB101" s="14">
        <f t="shared" si="27"/>
        <v>21.295395044644174</v>
      </c>
      <c r="AC101" s="14">
        <f t="shared" si="27"/>
        <v>26.912271997461197</v>
      </c>
      <c r="AD101" s="14">
        <f t="shared" si="27"/>
        <v>37.056265974792254</v>
      </c>
      <c r="AE101" s="14">
        <f t="shared" si="27"/>
        <v>37.056265974792218</v>
      </c>
      <c r="AF101" s="14">
        <f t="shared" si="27"/>
        <v>37.056265974792232</v>
      </c>
      <c r="AG101" s="14">
        <f t="shared" si="27"/>
        <v>37.056265974792268</v>
      </c>
      <c r="AH101" s="14">
        <f t="shared" si="27"/>
        <v>37.056265974792282</v>
      </c>
      <c r="AI101" s="14">
        <f t="shared" si="27"/>
        <v>37.056265974792225</v>
      </c>
      <c r="AJ101" s="774">
        <f t="shared" si="27"/>
        <v>37.05626597479224</v>
      </c>
      <c r="AK101" s="774">
        <f t="shared" si="28"/>
        <v>38.18327597479221</v>
      </c>
    </row>
    <row r="102" spans="1:37" x14ac:dyDescent="0.3">
      <c r="A102" s="3" t="s">
        <v>37</v>
      </c>
      <c r="B102" s="3" t="str">
        <f>INDEX('R1. Scenario specifications'!$C$11:$C$60,MATCH($A102,'R1. Scenario specifications'!$A$11:$A$60,0))</f>
        <v>Current 2DS, 2020 start, 'Expect the Unexpected' but with cheap renewables</v>
      </c>
      <c r="C102" s="3" t="s">
        <v>364</v>
      </c>
      <c r="D102" s="44">
        <f t="shared" si="24"/>
        <v>0.18018545454545454</v>
      </c>
      <c r="E102" s="44">
        <f t="shared" si="24"/>
        <v>0.18018545454545454</v>
      </c>
      <c r="F102" s="44">
        <f t="shared" si="24"/>
        <v>0.18018545454545454</v>
      </c>
      <c r="G102" s="44">
        <f t="shared" si="24"/>
        <v>0.18018545454545454</v>
      </c>
      <c r="H102" s="44">
        <f t="shared" si="24"/>
        <v>0.18018545454545454</v>
      </c>
      <c r="I102" s="44">
        <f t="shared" si="24"/>
        <v>0.18018545454545454</v>
      </c>
      <c r="J102" s="44">
        <f t="shared" si="24"/>
        <v>0.18018545454545454</v>
      </c>
      <c r="K102" s="44">
        <f t="shared" si="24"/>
        <v>0.18018545454545454</v>
      </c>
      <c r="L102" s="44">
        <f t="shared" si="24"/>
        <v>0.18018545454545454</v>
      </c>
      <c r="M102" s="44">
        <f t="shared" si="24"/>
        <v>0.18018545454545454</v>
      </c>
      <c r="N102" s="44">
        <f t="shared" si="24"/>
        <v>0.18018545454545454</v>
      </c>
      <c r="O102" s="42">
        <f t="shared" si="25"/>
        <v>1.1270100000000007</v>
      </c>
      <c r="P102" s="14">
        <f t="shared" ref="P102:Y102" si="30">INDEX($D90:$AK90,P$72-2016-11)</f>
        <v>5.5757005336565664</v>
      </c>
      <c r="Q102" s="14">
        <f t="shared" si="30"/>
        <v>5.5757005336565673</v>
      </c>
      <c r="R102" s="14">
        <f t="shared" si="30"/>
        <v>5.5757005336565655</v>
      </c>
      <c r="S102" s="14">
        <f t="shared" si="30"/>
        <v>15.295989842520086</v>
      </c>
      <c r="T102" s="14">
        <f t="shared" si="30"/>
        <v>15.295989842520079</v>
      </c>
      <c r="U102" s="14">
        <f t="shared" si="30"/>
        <v>15.295989842520093</v>
      </c>
      <c r="V102" s="14">
        <f t="shared" si="30"/>
        <v>15.295989842520072</v>
      </c>
      <c r="W102" s="14">
        <f t="shared" si="30"/>
        <v>15.295989842520086</v>
      </c>
      <c r="X102" s="14">
        <f t="shared" si="30"/>
        <v>15.295989842520086</v>
      </c>
      <c r="Y102" s="774">
        <f t="shared" si="30"/>
        <v>15.295989842520072</v>
      </c>
      <c r="Z102" s="14">
        <f t="shared" si="27"/>
        <v>16.422999842520102</v>
      </c>
      <c r="AA102" s="14">
        <f t="shared" si="27"/>
        <v>20.871690376176666</v>
      </c>
      <c r="AB102" s="14">
        <f t="shared" si="27"/>
        <v>20.871690376176609</v>
      </c>
      <c r="AC102" s="14">
        <f t="shared" si="27"/>
        <v>25.747991240833947</v>
      </c>
      <c r="AD102" s="14">
        <f t="shared" si="27"/>
        <v>35.46828054969744</v>
      </c>
      <c r="AE102" s="14">
        <f t="shared" si="27"/>
        <v>35.468280549697461</v>
      </c>
      <c r="AF102" s="14">
        <f t="shared" si="27"/>
        <v>35.468280549697447</v>
      </c>
      <c r="AG102" s="14">
        <f t="shared" si="27"/>
        <v>35.468280549697482</v>
      </c>
      <c r="AH102" s="14">
        <f t="shared" si="27"/>
        <v>35.46828054969744</v>
      </c>
      <c r="AI102" s="14">
        <f t="shared" si="27"/>
        <v>35.46828054969744</v>
      </c>
      <c r="AJ102" s="774">
        <f t="shared" si="27"/>
        <v>35.468280549697425</v>
      </c>
      <c r="AK102" s="774">
        <f t="shared" si="28"/>
        <v>36.595290549697509</v>
      </c>
    </row>
    <row r="103" spans="1:37" x14ac:dyDescent="0.3">
      <c r="A103" s="3" t="s">
        <v>1026</v>
      </c>
      <c r="B103" s="3" t="str">
        <f>INDEX('R1. Scenario specifications'!$C$11:$C$60,MATCH($A103,'R1. Scenario specifications'!$A$11:$A$60,0))</f>
        <v>Current 2DS, 2020 start, 'Expect the unexpceted' but with expensive renewables (cheap CCS)</v>
      </c>
      <c r="C103" s="3" t="s">
        <v>365</v>
      </c>
      <c r="D103" s="44">
        <f t="shared" si="24"/>
        <v>0.18018545454545454</v>
      </c>
      <c r="E103" s="44">
        <f t="shared" si="24"/>
        <v>0.18018545454545454</v>
      </c>
      <c r="F103" s="44">
        <f t="shared" si="24"/>
        <v>0.18018545454545454</v>
      </c>
      <c r="G103" s="44">
        <f t="shared" si="24"/>
        <v>0.18018545454545454</v>
      </c>
      <c r="H103" s="44">
        <f t="shared" si="24"/>
        <v>0.18018545454545454</v>
      </c>
      <c r="I103" s="44">
        <f t="shared" si="24"/>
        <v>0.18018545454545454</v>
      </c>
      <c r="J103" s="44">
        <f t="shared" si="24"/>
        <v>0.18018545454545454</v>
      </c>
      <c r="K103" s="44">
        <f t="shared" si="24"/>
        <v>0.18018545454545454</v>
      </c>
      <c r="L103" s="44">
        <f t="shared" si="24"/>
        <v>0.18018545454545454</v>
      </c>
      <c r="M103" s="44">
        <f t="shared" si="24"/>
        <v>0.18018545454545454</v>
      </c>
      <c r="N103" s="44">
        <f t="shared" si="24"/>
        <v>0.18018545454545454</v>
      </c>
      <c r="O103" s="42">
        <f t="shared" si="25"/>
        <v>1.1270100000000007</v>
      </c>
      <c r="P103" s="14">
        <f t="shared" ref="P103:Y103" si="31">INDEX($D91:$AK91,P$72-2016-11)</f>
        <v>5.5757005336565664</v>
      </c>
      <c r="Q103" s="14">
        <f t="shared" si="31"/>
        <v>5.5757005336565673</v>
      </c>
      <c r="R103" s="14">
        <f t="shared" si="31"/>
        <v>5.5757005336565655</v>
      </c>
      <c r="S103" s="14">
        <f t="shared" si="31"/>
        <v>15.806849104834249</v>
      </c>
      <c r="T103" s="14">
        <f t="shared" si="31"/>
        <v>15.806849104834249</v>
      </c>
      <c r="U103" s="14">
        <f t="shared" si="31"/>
        <v>15.806849104834242</v>
      </c>
      <c r="V103" s="14">
        <f t="shared" si="31"/>
        <v>15.806849104834242</v>
      </c>
      <c r="W103" s="14">
        <f t="shared" si="31"/>
        <v>15.806849104834257</v>
      </c>
      <c r="X103" s="14">
        <f t="shared" si="31"/>
        <v>15.806849104834242</v>
      </c>
      <c r="Y103" s="774">
        <f t="shared" si="31"/>
        <v>15.806849104834285</v>
      </c>
      <c r="Z103" s="14">
        <f t="shared" si="27"/>
        <v>16.933859104834216</v>
      </c>
      <c r="AA103" s="14">
        <f t="shared" si="27"/>
        <v>21.382549638490779</v>
      </c>
      <c r="AB103" s="14">
        <f t="shared" si="27"/>
        <v>21.382549638490865</v>
      </c>
      <c r="AC103" s="14">
        <f t="shared" si="27"/>
        <v>25.431131431907026</v>
      </c>
      <c r="AD103" s="14">
        <f t="shared" si="27"/>
        <v>35.662280003084739</v>
      </c>
      <c r="AE103" s="14">
        <f t="shared" si="27"/>
        <v>35.66228000308471</v>
      </c>
      <c r="AF103" s="14">
        <f t="shared" si="27"/>
        <v>35.662280003084703</v>
      </c>
      <c r="AG103" s="14">
        <f t="shared" si="27"/>
        <v>35.662280003084703</v>
      </c>
      <c r="AH103" s="14">
        <f t="shared" si="27"/>
        <v>35.662280003084717</v>
      </c>
      <c r="AI103" s="14">
        <f t="shared" si="27"/>
        <v>35.662280003084703</v>
      </c>
      <c r="AJ103" s="774">
        <f t="shared" si="27"/>
        <v>35.662280003084746</v>
      </c>
      <c r="AK103" s="774">
        <f t="shared" si="28"/>
        <v>36.789290003084673</v>
      </c>
    </row>
    <row r="104" spans="1:37" x14ac:dyDescent="0.3">
      <c r="A104" s="3" t="s">
        <v>47</v>
      </c>
      <c r="B104" s="3" t="str">
        <f>INDEX('R1. Scenario specifications'!$C$11:$C$60,MATCH($A104,'R1. Scenario specifications'!$A$11:$A$60,0))</f>
        <v>Current 2DS, 2020 start, 'Expect the Unexpected' but with cheap EVs</v>
      </c>
      <c r="C104" s="3" t="s">
        <v>366</v>
      </c>
      <c r="D104" s="44">
        <f t="shared" si="24"/>
        <v>0.18018545454545454</v>
      </c>
      <c r="E104" s="44">
        <f t="shared" si="24"/>
        <v>0.18018545454545454</v>
      </c>
      <c r="F104" s="44">
        <f t="shared" si="24"/>
        <v>0.18018545454545454</v>
      </c>
      <c r="G104" s="44">
        <f t="shared" si="24"/>
        <v>0.18018545454545454</v>
      </c>
      <c r="H104" s="44">
        <f t="shared" si="24"/>
        <v>0.18018545454545454</v>
      </c>
      <c r="I104" s="44">
        <f t="shared" si="24"/>
        <v>0.18018545454545454</v>
      </c>
      <c r="J104" s="44">
        <f t="shared" si="24"/>
        <v>0.18018545454545454</v>
      </c>
      <c r="K104" s="44">
        <f t="shared" si="24"/>
        <v>0.18018545454545454</v>
      </c>
      <c r="L104" s="44">
        <f t="shared" si="24"/>
        <v>0.18018545454545454</v>
      </c>
      <c r="M104" s="44">
        <f t="shared" si="24"/>
        <v>0.18018545454545454</v>
      </c>
      <c r="N104" s="44">
        <f t="shared" si="24"/>
        <v>0.18018545454545454</v>
      </c>
      <c r="O104" s="42">
        <f t="shared" si="25"/>
        <v>1.1270100000000007</v>
      </c>
      <c r="P104" s="14">
        <f t="shared" ref="P104:Y104" si="32">INDEX($D92:$AK92,P$72-2016-11)</f>
        <v>5.5757005336565664</v>
      </c>
      <c r="Q104" s="14">
        <f t="shared" si="32"/>
        <v>5.5757005336565673</v>
      </c>
      <c r="R104" s="14">
        <f t="shared" si="32"/>
        <v>5.5757005336565655</v>
      </c>
      <c r="S104" s="14">
        <f>INDEX($D92:$AK92,S$72-2016-11)</f>
        <v>67.97035572162892</v>
      </c>
      <c r="T104" s="14">
        <f t="shared" si="32"/>
        <v>67.970355721628906</v>
      </c>
      <c r="U104" s="14">
        <f t="shared" si="32"/>
        <v>67.970355721628948</v>
      </c>
      <c r="V104" s="14">
        <f t="shared" si="32"/>
        <v>67.970355721628891</v>
      </c>
      <c r="W104" s="14">
        <f t="shared" si="32"/>
        <v>67.970355721628948</v>
      </c>
      <c r="X104" s="14">
        <f t="shared" si="32"/>
        <v>67.970355721628948</v>
      </c>
      <c r="Y104" s="774">
        <f t="shared" si="32"/>
        <v>67.970355721628891</v>
      </c>
      <c r="Z104" s="14">
        <f t="shared" si="27"/>
        <v>69.097365721628947</v>
      </c>
      <c r="AA104" s="14">
        <f t="shared" si="27"/>
        <v>73.546056255285521</v>
      </c>
      <c r="AB104" s="14">
        <f t="shared" si="27"/>
        <v>73.546056255285521</v>
      </c>
      <c r="AC104" s="14">
        <f t="shared" si="27"/>
        <v>30.043121464035373</v>
      </c>
      <c r="AD104" s="14">
        <f t="shared" si="27"/>
        <v>92.437776652007727</v>
      </c>
      <c r="AE104" s="14">
        <f t="shared" si="27"/>
        <v>92.437776652007713</v>
      </c>
      <c r="AF104" s="14">
        <f t="shared" si="27"/>
        <v>92.437776652007756</v>
      </c>
      <c r="AG104" s="14">
        <f t="shared" si="27"/>
        <v>92.437776652007585</v>
      </c>
      <c r="AH104" s="14">
        <f t="shared" si="27"/>
        <v>92.437776652007869</v>
      </c>
      <c r="AI104" s="14">
        <f t="shared" si="27"/>
        <v>92.437776652007642</v>
      </c>
      <c r="AJ104" s="774">
        <f t="shared" si="27"/>
        <v>92.437776652007699</v>
      </c>
      <c r="AK104" s="774">
        <f t="shared" si="28"/>
        <v>93.564786652007754</v>
      </c>
    </row>
    <row r="105" spans="1:37" x14ac:dyDescent="0.3">
      <c r="A105" s="3" t="s">
        <v>49</v>
      </c>
      <c r="B105" s="3" t="str">
        <f>INDEX('R1. Scenario specifications'!$C$11:$C$60,MATCH($A105,'R1. Scenario specifications'!$A$11:$A$60,0))</f>
        <v>Current 2DS, 2020 start, 'Expect the Unexpected' but with cheap energy efficiency</v>
      </c>
      <c r="C105" s="3" t="s">
        <v>367</v>
      </c>
      <c r="D105" s="44">
        <f t="shared" si="24"/>
        <v>0.18018545454545454</v>
      </c>
      <c r="E105" s="44">
        <f t="shared" si="24"/>
        <v>0.18018545454545454</v>
      </c>
      <c r="F105" s="44">
        <f t="shared" si="24"/>
        <v>0.18018545454545454</v>
      </c>
      <c r="G105" s="44">
        <f t="shared" si="24"/>
        <v>0.18018545454545454</v>
      </c>
      <c r="H105" s="44">
        <f t="shared" si="24"/>
        <v>0.18018545454545454</v>
      </c>
      <c r="I105" s="44">
        <f t="shared" si="24"/>
        <v>0.18018545454545454</v>
      </c>
      <c r="J105" s="44">
        <f t="shared" si="24"/>
        <v>0.18018545454545454</v>
      </c>
      <c r="K105" s="44">
        <f t="shared" si="24"/>
        <v>0.18018545454545454</v>
      </c>
      <c r="L105" s="44">
        <f t="shared" si="24"/>
        <v>0.18018545454545454</v>
      </c>
      <c r="M105" s="44">
        <f t="shared" si="24"/>
        <v>0.18018545454545454</v>
      </c>
      <c r="N105" s="44">
        <f t="shared" si="24"/>
        <v>0.18018545454545454</v>
      </c>
      <c r="O105" s="42">
        <f t="shared" si="25"/>
        <v>1.1270100000000007</v>
      </c>
      <c r="P105" s="14">
        <f t="shared" ref="P105:Y105" si="33">INDEX($D93:$AK93,P$72-2016-11)</f>
        <v>5.5757005336565664</v>
      </c>
      <c r="Q105" s="14">
        <f t="shared" si="33"/>
        <v>5.5757005336565673</v>
      </c>
      <c r="R105" s="14">
        <f t="shared" si="33"/>
        <v>5.5757005336565655</v>
      </c>
      <c r="S105" s="14">
        <f t="shared" si="33"/>
        <v>10.333905794326199</v>
      </c>
      <c r="T105" s="14">
        <f t="shared" si="33"/>
        <v>10.333905794326199</v>
      </c>
      <c r="U105" s="14">
        <f t="shared" si="33"/>
        <v>10.333905794326192</v>
      </c>
      <c r="V105" s="14">
        <f t="shared" si="33"/>
        <v>10.333905794326199</v>
      </c>
      <c r="W105" s="14">
        <f t="shared" si="33"/>
        <v>10.333905794326192</v>
      </c>
      <c r="X105" s="14">
        <f t="shared" si="33"/>
        <v>10.333905794326199</v>
      </c>
      <c r="Y105" s="774">
        <f t="shared" si="33"/>
        <v>10.333905794326199</v>
      </c>
      <c r="Z105" s="14">
        <f t="shared" si="27"/>
        <v>11.460915794326199</v>
      </c>
      <c r="AA105" s="14">
        <f t="shared" si="27"/>
        <v>15.909606327982765</v>
      </c>
      <c r="AB105" s="14">
        <f t="shared" si="27"/>
        <v>15.909606327982766</v>
      </c>
      <c r="AC105" s="14">
        <f t="shared" si="27"/>
        <v>23.7028814651216</v>
      </c>
      <c r="AD105" s="14">
        <f t="shared" si="27"/>
        <v>28.461086725791205</v>
      </c>
      <c r="AE105" s="14">
        <f t="shared" si="27"/>
        <v>28.461086725791233</v>
      </c>
      <c r="AF105" s="14">
        <f t="shared" si="27"/>
        <v>28.461086725791198</v>
      </c>
      <c r="AG105" s="14">
        <f t="shared" si="27"/>
        <v>28.461086725791233</v>
      </c>
      <c r="AH105" s="14">
        <f t="shared" si="27"/>
        <v>28.461086725791226</v>
      </c>
      <c r="AI105" s="14">
        <f t="shared" si="27"/>
        <v>28.461086725791205</v>
      </c>
      <c r="AJ105" s="774">
        <f t="shared" si="27"/>
        <v>28.461086725791262</v>
      </c>
      <c r="AK105" s="774">
        <f t="shared" si="28"/>
        <v>29.588096725791178</v>
      </c>
    </row>
    <row r="106" spans="1:37" x14ac:dyDescent="0.3">
      <c r="A106" s="32" t="s">
        <v>438</v>
      </c>
      <c r="B106" s="32" t="s">
        <v>439</v>
      </c>
      <c r="C106" s="32" t="s">
        <v>440</v>
      </c>
      <c r="D106" s="44">
        <f t="shared" si="24"/>
        <v>0.18018545454545454</v>
      </c>
      <c r="E106" s="44">
        <f t="shared" si="24"/>
        <v>0.18018545454545454</v>
      </c>
      <c r="F106" s="44">
        <f t="shared" si="24"/>
        <v>0.18018545454545454</v>
      </c>
      <c r="G106" s="44">
        <f t="shared" si="24"/>
        <v>0.18018545454545454</v>
      </c>
      <c r="H106" s="44">
        <f t="shared" si="24"/>
        <v>0.18018545454545454</v>
      </c>
      <c r="I106" s="44">
        <f t="shared" si="24"/>
        <v>0.18018545454545454</v>
      </c>
      <c r="J106" s="44">
        <f t="shared" si="24"/>
        <v>0.18018545454545454</v>
      </c>
      <c r="K106" s="44">
        <f t="shared" si="24"/>
        <v>0.18018545454545454</v>
      </c>
      <c r="L106" s="44">
        <f t="shared" si="24"/>
        <v>0.18018545454545454</v>
      </c>
      <c r="M106" s="44">
        <f t="shared" si="24"/>
        <v>0.18018545454545454</v>
      </c>
      <c r="N106" s="44">
        <f t="shared" si="24"/>
        <v>0.18018545454545454</v>
      </c>
      <c r="O106" s="42">
        <f t="shared" si="25"/>
        <v>1.1270100000000007</v>
      </c>
      <c r="P106" s="14">
        <f t="shared" ref="P106:Y106" si="34">INDEX($D94:$AK94,P$72-2016-11)</f>
        <v>1.9691275152984398</v>
      </c>
      <c r="Q106" s="14">
        <f t="shared" si="34"/>
        <v>1.9691275152984398</v>
      </c>
      <c r="R106" s="14">
        <f t="shared" si="34"/>
        <v>1.9691275152984398</v>
      </c>
      <c r="S106" s="14">
        <f t="shared" si="34"/>
        <v>4.6523837816973774</v>
      </c>
      <c r="T106" s="14">
        <f t="shared" si="34"/>
        <v>4.6523837816973774</v>
      </c>
      <c r="U106" s="14">
        <f t="shared" si="34"/>
        <v>4.652383781697381</v>
      </c>
      <c r="V106" s="14">
        <f t="shared" si="34"/>
        <v>4.6523837816973774</v>
      </c>
      <c r="W106" s="14">
        <f t="shared" si="34"/>
        <v>4.6523837816973774</v>
      </c>
      <c r="X106" s="14">
        <f t="shared" si="34"/>
        <v>4.6523837816973739</v>
      </c>
      <c r="Y106" s="774">
        <f t="shared" si="34"/>
        <v>4.652383781697381</v>
      </c>
      <c r="Z106" s="14">
        <f t="shared" si="27"/>
        <v>5.7793937816973813</v>
      </c>
      <c r="AA106" s="14">
        <f t="shared" si="27"/>
        <v>6.6215112969958208</v>
      </c>
      <c r="AB106" s="14">
        <f t="shared" si="27"/>
        <v>6.6215112969958136</v>
      </c>
      <c r="AC106" s="14">
        <f t="shared" si="27"/>
        <v>6.6215112969959273</v>
      </c>
      <c r="AD106" s="14">
        <f t="shared" si="27"/>
        <v>9.3047675633948579</v>
      </c>
      <c r="AE106" s="14">
        <f t="shared" si="27"/>
        <v>9.3047675633948721</v>
      </c>
      <c r="AF106" s="14">
        <f t="shared" si="27"/>
        <v>9.3047675633948614</v>
      </c>
      <c r="AG106" s="14">
        <f t="shared" si="27"/>
        <v>9.3047675633948721</v>
      </c>
      <c r="AH106" s="14">
        <f t="shared" si="27"/>
        <v>9.3047675633948579</v>
      </c>
      <c r="AI106" s="14">
        <f t="shared" si="27"/>
        <v>9.3047675633948685</v>
      </c>
      <c r="AJ106" s="774">
        <f t="shared" si="27"/>
        <v>9.3047675633948614</v>
      </c>
      <c r="AK106" s="774">
        <f t="shared" si="28"/>
        <v>10.431777563394862</v>
      </c>
    </row>
    <row r="107" spans="1:37" x14ac:dyDescent="0.3">
      <c r="A107" s="3" t="s">
        <v>441</v>
      </c>
      <c r="B107" s="3" t="s">
        <v>442</v>
      </c>
      <c r="C107" s="3" t="s">
        <v>443</v>
      </c>
      <c r="D107" s="44">
        <f t="shared" si="24"/>
        <v>0.18018545454545454</v>
      </c>
      <c r="E107" s="44">
        <f t="shared" si="24"/>
        <v>0.18018545454545454</v>
      </c>
      <c r="F107" s="44">
        <f t="shared" si="24"/>
        <v>0.18018545454545454</v>
      </c>
      <c r="G107" s="44">
        <f t="shared" si="24"/>
        <v>0.18018545454545454</v>
      </c>
      <c r="H107" s="44">
        <f t="shared" si="24"/>
        <v>0.18018545454545454</v>
      </c>
      <c r="I107" s="44">
        <f t="shared" si="24"/>
        <v>0.18018545454545454</v>
      </c>
      <c r="J107" s="44">
        <f t="shared" si="24"/>
        <v>0.18018545454545454</v>
      </c>
      <c r="K107" s="44">
        <f t="shared" si="24"/>
        <v>0.18018545454545454</v>
      </c>
      <c r="L107" s="44">
        <f t="shared" si="24"/>
        <v>0.18018545454545454</v>
      </c>
      <c r="M107" s="44">
        <f t="shared" si="24"/>
        <v>0.18018545454545454</v>
      </c>
      <c r="N107" s="44">
        <f t="shared" si="24"/>
        <v>0.18018545454545454</v>
      </c>
      <c r="O107" s="42">
        <f t="shared" si="25"/>
        <v>1.1270100000000007</v>
      </c>
      <c r="P107" s="14">
        <f t="shared" ref="P107:Y107" si="35">INDEX($D95:$AK95,P$72-2016-11)</f>
        <v>5.5757005336565664</v>
      </c>
      <c r="Q107" s="14">
        <f t="shared" si="35"/>
        <v>5.5757005336565673</v>
      </c>
      <c r="R107" s="14">
        <f t="shared" si="35"/>
        <v>5.5757005336565655</v>
      </c>
      <c r="S107" s="14">
        <f t="shared" si="35"/>
        <v>9.3409287055629306</v>
      </c>
      <c r="T107" s="14">
        <f t="shared" si="35"/>
        <v>9.3409287055629306</v>
      </c>
      <c r="U107" s="14">
        <f t="shared" si="35"/>
        <v>9.3409287055629306</v>
      </c>
      <c r="V107" s="14">
        <f t="shared" si="35"/>
        <v>9.3409287055629306</v>
      </c>
      <c r="W107" s="14">
        <f t="shared" si="35"/>
        <v>9.3409287055629306</v>
      </c>
      <c r="X107" s="14">
        <f t="shared" si="35"/>
        <v>9.3409287055629306</v>
      </c>
      <c r="Y107" s="774">
        <f t="shared" si="35"/>
        <v>9.3409287055629306</v>
      </c>
      <c r="Z107" s="14">
        <f t="shared" si="27"/>
        <v>10.467938705562931</v>
      </c>
      <c r="AA107" s="14">
        <f t="shared" si="27"/>
        <v>14.916629239219496</v>
      </c>
      <c r="AB107" s="14">
        <f t="shared" si="27"/>
        <v>14.916629239219498</v>
      </c>
      <c r="AC107" s="14">
        <f t="shared" si="27"/>
        <v>14.916629239219596</v>
      </c>
      <c r="AD107" s="14">
        <f t="shared" si="27"/>
        <v>18.681857411125947</v>
      </c>
      <c r="AE107" s="14">
        <f t="shared" si="27"/>
        <v>18.681857411125947</v>
      </c>
      <c r="AF107" s="14">
        <f t="shared" si="27"/>
        <v>18.681857411125975</v>
      </c>
      <c r="AG107" s="14">
        <f t="shared" si="27"/>
        <v>18.681857411125947</v>
      </c>
      <c r="AH107" s="14">
        <f t="shared" si="27"/>
        <v>18.681857411125947</v>
      </c>
      <c r="AI107" s="14">
        <f t="shared" si="27"/>
        <v>18.681857411125975</v>
      </c>
      <c r="AJ107" s="774">
        <f t="shared" si="27"/>
        <v>18.681857411125975</v>
      </c>
      <c r="AK107" s="774">
        <f t="shared" si="28"/>
        <v>19.80886741112592</v>
      </c>
    </row>
    <row r="108" spans="1:37" x14ac:dyDescent="0.3">
      <c r="A108" s="3" t="s">
        <v>444</v>
      </c>
      <c r="B108" s="3" t="s">
        <v>445</v>
      </c>
      <c r="C108" s="3" t="s">
        <v>446</v>
      </c>
      <c r="D108" s="44">
        <f t="shared" si="24"/>
        <v>0.18018545454545454</v>
      </c>
      <c r="E108" s="44">
        <f t="shared" si="24"/>
        <v>0.18018545454545454</v>
      </c>
      <c r="F108" s="44">
        <f t="shared" si="24"/>
        <v>0.18018545454545454</v>
      </c>
      <c r="G108" s="44">
        <f t="shared" si="24"/>
        <v>0.18018545454545454</v>
      </c>
      <c r="H108" s="44">
        <f t="shared" si="24"/>
        <v>0.18018545454545454</v>
      </c>
      <c r="I108" s="44">
        <f t="shared" si="24"/>
        <v>0.18018545454545454</v>
      </c>
      <c r="J108" s="44">
        <f t="shared" si="24"/>
        <v>0.18018545454545454</v>
      </c>
      <c r="K108" s="44">
        <f t="shared" si="24"/>
        <v>0.18018545454545454</v>
      </c>
      <c r="L108" s="44">
        <f t="shared" si="24"/>
        <v>0.18018545454545454</v>
      </c>
      <c r="M108" s="44">
        <f t="shared" si="24"/>
        <v>0.18018545454545454</v>
      </c>
      <c r="N108" s="44">
        <f t="shared" si="24"/>
        <v>0.18018545454545454</v>
      </c>
      <c r="O108" s="42">
        <f t="shared" si="25"/>
        <v>1.1270100000000007</v>
      </c>
      <c r="P108" s="14">
        <f t="shared" ref="P108:Y108" si="36">INDEX($D96:$AK96,P$72-2016-11)</f>
        <v>6.537771378500767</v>
      </c>
      <c r="Q108" s="14">
        <f t="shared" si="36"/>
        <v>6.5377713785007678</v>
      </c>
      <c r="R108" s="14">
        <f t="shared" si="36"/>
        <v>6.5377713785007643</v>
      </c>
      <c r="S108" s="14">
        <f t="shared" si="36"/>
        <v>13.308254437741471</v>
      </c>
      <c r="T108" s="14">
        <f t="shared" si="36"/>
        <v>13.308254437741468</v>
      </c>
      <c r="U108" s="14">
        <f t="shared" si="36"/>
        <v>13.308254437741468</v>
      </c>
      <c r="V108" s="14">
        <f t="shared" si="36"/>
        <v>13.308254437741482</v>
      </c>
      <c r="W108" s="14">
        <f t="shared" si="36"/>
        <v>13.308254437741468</v>
      </c>
      <c r="X108" s="14">
        <f t="shared" si="36"/>
        <v>13.308254437741468</v>
      </c>
      <c r="Y108" s="774">
        <f t="shared" si="36"/>
        <v>13.308254437741468</v>
      </c>
      <c r="Z108" s="14">
        <f t="shared" si="27"/>
        <v>14.435264437741468</v>
      </c>
      <c r="AA108" s="14">
        <f t="shared" si="27"/>
        <v>19.84602581624225</v>
      </c>
      <c r="AB108" s="14">
        <f t="shared" si="27"/>
        <v>19.846025816242221</v>
      </c>
      <c r="AC108" s="14">
        <f t="shared" si="27"/>
        <v>19.846025816241962</v>
      </c>
      <c r="AD108" s="14">
        <f t="shared" si="27"/>
        <v>26.616508875482641</v>
      </c>
      <c r="AE108" s="14">
        <f t="shared" si="27"/>
        <v>26.616508875482666</v>
      </c>
      <c r="AF108" s="14">
        <f t="shared" si="27"/>
        <v>26.616508875482637</v>
      </c>
      <c r="AG108" s="14">
        <f t="shared" si="27"/>
        <v>26.61650887548268</v>
      </c>
      <c r="AH108" s="14">
        <f t="shared" si="27"/>
        <v>26.616508875482666</v>
      </c>
      <c r="AI108" s="14">
        <f t="shared" si="27"/>
        <v>26.616508875482637</v>
      </c>
      <c r="AJ108" s="774">
        <f t="shared" si="27"/>
        <v>26.616508875482637</v>
      </c>
      <c r="AK108" s="774">
        <f t="shared" si="28"/>
        <v>27.743518875482668</v>
      </c>
    </row>
    <row r="110" spans="1:37" x14ac:dyDescent="0.3">
      <c r="D110" s="3" t="s">
        <v>1017</v>
      </c>
      <c r="E110" s="3" t="s">
        <v>1017</v>
      </c>
      <c r="F110" s="3" t="s">
        <v>1017</v>
      </c>
      <c r="G110" s="3" t="s">
        <v>1017</v>
      </c>
      <c r="H110" s="3" t="s">
        <v>1017</v>
      </c>
      <c r="I110" s="3" t="s">
        <v>1017</v>
      </c>
      <c r="J110" s="3" t="s">
        <v>1017</v>
      </c>
      <c r="K110" s="3" t="s">
        <v>1017</v>
      </c>
      <c r="L110" s="3" t="s">
        <v>1017</v>
      </c>
      <c r="M110" s="3" t="s">
        <v>1017</v>
      </c>
      <c r="N110" s="3" t="s">
        <v>1017</v>
      </c>
      <c r="O110" s="3" t="s">
        <v>1017</v>
      </c>
      <c r="P110" s="3" t="s">
        <v>1017</v>
      </c>
      <c r="Q110" s="3" t="s">
        <v>1017</v>
      </c>
      <c r="R110" s="3" t="s">
        <v>1017</v>
      </c>
      <c r="S110" s="3" t="s">
        <v>1017</v>
      </c>
      <c r="T110" s="3" t="s">
        <v>1017</v>
      </c>
      <c r="U110" s="3" t="s">
        <v>1017</v>
      </c>
      <c r="V110" s="3" t="s">
        <v>1017</v>
      </c>
      <c r="W110" s="3" t="s">
        <v>1017</v>
      </c>
      <c r="X110" s="3" t="s">
        <v>1017</v>
      </c>
      <c r="Y110" s="3" t="s">
        <v>1017</v>
      </c>
      <c r="Z110" s="3" t="s">
        <v>1017</v>
      </c>
      <c r="AA110" s="3" t="s">
        <v>1017</v>
      </c>
      <c r="AB110" s="3" t="s">
        <v>1017</v>
      </c>
      <c r="AC110" s="3" t="s">
        <v>1017</v>
      </c>
      <c r="AD110" s="3" t="s">
        <v>1017</v>
      </c>
      <c r="AE110" s="3" t="s">
        <v>1017</v>
      </c>
      <c r="AF110" s="3" t="s">
        <v>1017</v>
      </c>
      <c r="AG110" s="3" t="s">
        <v>1017</v>
      </c>
      <c r="AH110" s="3" t="s">
        <v>1017</v>
      </c>
      <c r="AI110" s="3" t="s">
        <v>1017</v>
      </c>
      <c r="AJ110" s="3" t="s">
        <v>1017</v>
      </c>
      <c r="AK110" s="3" t="s">
        <v>1017</v>
      </c>
    </row>
    <row r="111" spans="1:37" x14ac:dyDescent="0.3">
      <c r="A111" s="3" t="s">
        <v>15</v>
      </c>
      <c r="B111" s="3" t="str">
        <f>INDEX('R1. Scenario specifications'!$C$11:$C$60,MATCH($A111,'R1. Scenario specifications'!$A$11:$A$60,0))</f>
        <v>Current 2DS, 2020 start, 'Expect the Unexpected'</v>
      </c>
      <c r="C111" s="3" t="s">
        <v>361</v>
      </c>
      <c r="D111" s="34">
        <f>D87+D99</f>
        <v>1.3071954545454552</v>
      </c>
      <c r="E111" s="34">
        <f t="shared" ref="E111:AK119" si="37">E87+E99</f>
        <v>5.7558859882020208</v>
      </c>
      <c r="F111" s="34">
        <f t="shared" si="37"/>
        <v>5.7558859882020217</v>
      </c>
      <c r="G111" s="34">
        <f t="shared" si="37"/>
        <v>5.7558859882020199</v>
      </c>
      <c r="H111" s="34">
        <f t="shared" si="37"/>
        <v>15.476175297065542</v>
      </c>
      <c r="I111" s="34">
        <f t="shared" si="37"/>
        <v>15.476175297065534</v>
      </c>
      <c r="J111" s="34">
        <f t="shared" si="37"/>
        <v>15.476175297065549</v>
      </c>
      <c r="K111" s="34">
        <f t="shared" si="37"/>
        <v>15.476175297065527</v>
      </c>
      <c r="L111" s="34">
        <f t="shared" si="37"/>
        <v>15.476175297065542</v>
      </c>
      <c r="M111" s="34">
        <f t="shared" si="37"/>
        <v>15.476175297065542</v>
      </c>
      <c r="N111" s="34">
        <f t="shared" si="37"/>
        <v>15.476175297065527</v>
      </c>
      <c r="O111" s="34">
        <f t="shared" si="37"/>
        <v>16.422999842520102</v>
      </c>
      <c r="P111" s="34">
        <f t="shared" si="37"/>
        <v>20.871690376176666</v>
      </c>
      <c r="Q111" s="34">
        <f t="shared" si="37"/>
        <v>20.871690376176609</v>
      </c>
      <c r="R111" s="34">
        <f t="shared" si="37"/>
        <v>25.790511774993512</v>
      </c>
      <c r="S111" s="34">
        <f t="shared" si="37"/>
        <v>35.510801083857004</v>
      </c>
      <c r="T111" s="34">
        <f t="shared" si="37"/>
        <v>35.510801083857025</v>
      </c>
      <c r="U111" s="34">
        <f t="shared" si="37"/>
        <v>35.510801083857011</v>
      </c>
      <c r="V111" s="34">
        <f t="shared" si="37"/>
        <v>35.51080108385699</v>
      </c>
      <c r="W111" s="34">
        <f t="shared" si="37"/>
        <v>35.510801083857061</v>
      </c>
      <c r="X111" s="34">
        <f t="shared" si="37"/>
        <v>35.510801083857004</v>
      </c>
      <c r="Y111" s="34">
        <f t="shared" si="37"/>
        <v>35.51080108385699</v>
      </c>
      <c r="Z111" s="34">
        <f t="shared" si="37"/>
        <v>36.637811083857073</v>
      </c>
      <c r="AA111" s="34">
        <f t="shared" si="37"/>
        <v>41.086501617513584</v>
      </c>
      <c r="AB111" s="34">
        <f t="shared" si="37"/>
        <v>57.398468318666566</v>
      </c>
      <c r="AC111" s="34">
        <f t="shared" si="37"/>
        <v>62.317289717483469</v>
      </c>
      <c r="AD111" s="34">
        <f t="shared" si="37"/>
        <v>72.037579026347018</v>
      </c>
      <c r="AE111" s="34">
        <f t="shared" si="37"/>
        <v>72.037579026346975</v>
      </c>
      <c r="AF111" s="34">
        <f t="shared" si="37"/>
        <v>72.037579026346975</v>
      </c>
      <c r="AG111" s="34">
        <f t="shared" si="37"/>
        <v>72.037579026346947</v>
      </c>
      <c r="AH111" s="34">
        <f t="shared" si="37"/>
        <v>72.037579026347018</v>
      </c>
      <c r="AI111" s="34">
        <f t="shared" si="37"/>
        <v>72.037579026346961</v>
      </c>
      <c r="AJ111" s="34">
        <f t="shared" si="37"/>
        <v>72.037579026346947</v>
      </c>
      <c r="AK111" s="34">
        <f t="shared" si="37"/>
        <v>73.164589026347031</v>
      </c>
    </row>
    <row r="112" spans="1:37" x14ac:dyDescent="0.3">
      <c r="A112" s="3" t="s">
        <v>26</v>
      </c>
      <c r="B112" s="3" t="str">
        <f>INDEX('R1. Scenario specifications'!$C$11:$C$60,MATCH($A112,'R1. Scenario specifications'!$A$11:$A$60,0))</f>
        <v>Current 2DS, 2030 start, 'Expect the Unexpected'</v>
      </c>
      <c r="C112" s="3" t="s">
        <v>362</v>
      </c>
      <c r="D112" s="34">
        <f t="shared" ref="D112:S120" si="38">D88+D100</f>
        <v>1.3071954545454552</v>
      </c>
      <c r="E112" s="34">
        <f t="shared" si="38"/>
        <v>5.7558859882020208</v>
      </c>
      <c r="F112" s="34">
        <f t="shared" si="38"/>
        <v>5.7558859882020217</v>
      </c>
      <c r="G112" s="34">
        <f t="shared" si="38"/>
        <v>5.7558859882020199</v>
      </c>
      <c r="H112" s="34">
        <f t="shared" si="38"/>
        <v>9.521114160108386</v>
      </c>
      <c r="I112" s="34">
        <f t="shared" si="38"/>
        <v>9.521114160108386</v>
      </c>
      <c r="J112" s="34">
        <f t="shared" si="38"/>
        <v>9.521114160108386</v>
      </c>
      <c r="K112" s="34">
        <f t="shared" si="38"/>
        <v>9.521114160108386</v>
      </c>
      <c r="L112" s="34">
        <f t="shared" si="38"/>
        <v>9.521114160108386</v>
      </c>
      <c r="M112" s="34">
        <f t="shared" si="38"/>
        <v>9.521114160108386</v>
      </c>
      <c r="N112" s="34">
        <f t="shared" si="38"/>
        <v>9.521114160108386</v>
      </c>
      <c r="O112" s="34">
        <f t="shared" si="38"/>
        <v>10.467938705562931</v>
      </c>
      <c r="P112" s="34">
        <f t="shared" si="38"/>
        <v>14.916629239219496</v>
      </c>
      <c r="Q112" s="34">
        <f t="shared" si="38"/>
        <v>14.916629239219498</v>
      </c>
      <c r="R112" s="34">
        <f t="shared" si="38"/>
        <v>31.462098621926721</v>
      </c>
      <c r="S112" s="34">
        <f t="shared" si="38"/>
        <v>35.2273267938331</v>
      </c>
      <c r="T112" s="34">
        <f t="shared" si="37"/>
        <v>35.2273267938331</v>
      </c>
      <c r="U112" s="34">
        <f t="shared" si="37"/>
        <v>35.2273267938331</v>
      </c>
      <c r="V112" s="34">
        <f t="shared" si="37"/>
        <v>35.227326793833072</v>
      </c>
      <c r="W112" s="34">
        <f t="shared" si="37"/>
        <v>35.227326793833129</v>
      </c>
      <c r="X112" s="34">
        <f t="shared" si="37"/>
        <v>35.227326793833072</v>
      </c>
      <c r="Y112" s="34">
        <f t="shared" si="37"/>
        <v>35.227326793833072</v>
      </c>
      <c r="Z112" s="34">
        <f t="shared" si="37"/>
        <v>36.354336793833127</v>
      </c>
      <c r="AA112" s="34">
        <f t="shared" si="37"/>
        <v>40.803027327489637</v>
      </c>
      <c r="AB112" s="34">
        <f t="shared" si="37"/>
        <v>50.506759610202032</v>
      </c>
      <c r="AC112" s="34">
        <f t="shared" si="37"/>
        <v>67.052228992909306</v>
      </c>
      <c r="AD112" s="34">
        <f t="shared" si="37"/>
        <v>70.817457164815636</v>
      </c>
      <c r="AE112" s="34">
        <f t="shared" si="37"/>
        <v>70.817457164815636</v>
      </c>
      <c r="AF112" s="34">
        <f t="shared" si="37"/>
        <v>70.817457164815693</v>
      </c>
      <c r="AG112" s="34">
        <f t="shared" si="37"/>
        <v>70.817457164815664</v>
      </c>
      <c r="AH112" s="34">
        <f t="shared" si="37"/>
        <v>70.817457164815607</v>
      </c>
      <c r="AI112" s="34">
        <f t="shared" si="37"/>
        <v>70.817457164815551</v>
      </c>
      <c r="AJ112" s="34">
        <f t="shared" si="37"/>
        <v>70.817457164815778</v>
      </c>
      <c r="AK112" s="34">
        <f t="shared" si="37"/>
        <v>71.944467164815606</v>
      </c>
    </row>
    <row r="113" spans="1:37" x14ac:dyDescent="0.3">
      <c r="A113" s="3" t="s">
        <v>32</v>
      </c>
      <c r="B113" s="3" t="str">
        <f>INDEX('R1. Scenario specifications'!$C$11:$C$60,MATCH($A113,'R1. Scenario specifications'!$A$11:$A$60,0))</f>
        <v>Current 1.75DS, 2020 start, 'Expect the Unexpected'</v>
      </c>
      <c r="C113" s="3" t="s">
        <v>363</v>
      </c>
      <c r="D113" s="34">
        <f t="shared" si="38"/>
        <v>1.3071954545454552</v>
      </c>
      <c r="E113" s="34">
        <f t="shared" si="37"/>
        <v>5.7558859882020208</v>
      </c>
      <c r="F113" s="34">
        <f t="shared" si="37"/>
        <v>5.7558859882020217</v>
      </c>
      <c r="G113" s="34">
        <f t="shared" si="37"/>
        <v>5.7558859882020199</v>
      </c>
      <c r="H113" s="34">
        <f t="shared" si="37"/>
        <v>15.899879965533078</v>
      </c>
      <c r="I113" s="34">
        <f t="shared" si="37"/>
        <v>15.899879965533071</v>
      </c>
      <c r="J113" s="34">
        <f t="shared" si="37"/>
        <v>15.899879965533085</v>
      </c>
      <c r="K113" s="34">
        <f t="shared" si="37"/>
        <v>15.899879965533064</v>
      </c>
      <c r="L113" s="34">
        <f t="shared" si="37"/>
        <v>15.899879965533078</v>
      </c>
      <c r="M113" s="34">
        <f t="shared" si="37"/>
        <v>15.899879965533078</v>
      </c>
      <c r="N113" s="34">
        <f t="shared" si="37"/>
        <v>15.899879965533092</v>
      </c>
      <c r="O113" s="34">
        <f t="shared" si="37"/>
        <v>16.84670451098761</v>
      </c>
      <c r="P113" s="34">
        <f t="shared" si="37"/>
        <v>21.295395044644174</v>
      </c>
      <c r="Q113" s="34">
        <f t="shared" si="37"/>
        <v>21.295395044644174</v>
      </c>
      <c r="R113" s="34">
        <f t="shared" si="37"/>
        <v>26.912271997461197</v>
      </c>
      <c r="S113" s="34">
        <f t="shared" si="37"/>
        <v>37.056265974792254</v>
      </c>
      <c r="T113" s="34">
        <f t="shared" si="37"/>
        <v>37.056265974792218</v>
      </c>
      <c r="U113" s="34">
        <f t="shared" si="37"/>
        <v>37.056265974792232</v>
      </c>
      <c r="V113" s="34">
        <f t="shared" si="37"/>
        <v>37.056265974792268</v>
      </c>
      <c r="W113" s="34">
        <f t="shared" si="37"/>
        <v>37.056265974792282</v>
      </c>
      <c r="X113" s="34">
        <f t="shared" si="37"/>
        <v>37.056265974792225</v>
      </c>
      <c r="Y113" s="34">
        <f t="shared" si="37"/>
        <v>37.05626597479224</v>
      </c>
      <c r="Z113" s="34">
        <f t="shared" si="37"/>
        <v>38.18327597479221</v>
      </c>
      <c r="AA113" s="34">
        <f t="shared" si="37"/>
        <v>42.631966508448834</v>
      </c>
      <c r="AB113" s="34">
        <f t="shared" si="37"/>
        <v>60.150953348934699</v>
      </c>
      <c r="AC113" s="34">
        <f t="shared" si="37"/>
        <v>65.767830301751729</v>
      </c>
      <c r="AD113" s="34">
        <f t="shared" si="37"/>
        <v>75.911824279082722</v>
      </c>
      <c r="AE113" s="34">
        <f t="shared" si="37"/>
        <v>75.911824279082737</v>
      </c>
      <c r="AF113" s="34">
        <f t="shared" si="37"/>
        <v>75.911824279082765</v>
      </c>
      <c r="AG113" s="34">
        <f t="shared" si="37"/>
        <v>75.911824279082794</v>
      </c>
      <c r="AH113" s="34">
        <f t="shared" si="37"/>
        <v>75.911824279082808</v>
      </c>
      <c r="AI113" s="34">
        <f t="shared" si="37"/>
        <v>75.911824279082751</v>
      </c>
      <c r="AJ113" s="34">
        <f t="shared" si="37"/>
        <v>75.911824279082765</v>
      </c>
      <c r="AK113" s="34">
        <f t="shared" si="37"/>
        <v>77.038834279082735</v>
      </c>
    </row>
    <row r="114" spans="1:37" x14ac:dyDescent="0.3">
      <c r="A114" s="3" t="s">
        <v>37</v>
      </c>
      <c r="B114" s="3" t="str">
        <f>INDEX('R1. Scenario specifications'!$C$11:$C$60,MATCH($A114,'R1. Scenario specifications'!$A$11:$A$60,0))</f>
        <v>Current 2DS, 2020 start, 'Expect the Unexpected' but with cheap renewables</v>
      </c>
      <c r="C114" s="3" t="s">
        <v>364</v>
      </c>
      <c r="D114" s="34">
        <f t="shared" si="38"/>
        <v>1.3071954545454552</v>
      </c>
      <c r="E114" s="34">
        <f t="shared" si="37"/>
        <v>5.7558859882020208</v>
      </c>
      <c r="F114" s="34">
        <f t="shared" si="37"/>
        <v>5.7558859882020217</v>
      </c>
      <c r="G114" s="34">
        <f t="shared" si="37"/>
        <v>5.7558859882020199</v>
      </c>
      <c r="H114" s="34">
        <f t="shared" si="37"/>
        <v>15.476175297065542</v>
      </c>
      <c r="I114" s="34">
        <f t="shared" si="37"/>
        <v>15.476175297065534</v>
      </c>
      <c r="J114" s="34">
        <f t="shared" si="37"/>
        <v>15.476175297065549</v>
      </c>
      <c r="K114" s="34">
        <f t="shared" si="37"/>
        <v>15.476175297065527</v>
      </c>
      <c r="L114" s="34">
        <f t="shared" si="37"/>
        <v>15.476175297065542</v>
      </c>
      <c r="M114" s="34">
        <f t="shared" si="37"/>
        <v>15.476175297065542</v>
      </c>
      <c r="N114" s="34">
        <f t="shared" si="37"/>
        <v>15.476175297065527</v>
      </c>
      <c r="O114" s="34">
        <f t="shared" si="37"/>
        <v>16.422999842520102</v>
      </c>
      <c r="P114" s="34">
        <f t="shared" si="37"/>
        <v>20.871690376176666</v>
      </c>
      <c r="Q114" s="34">
        <f t="shared" si="37"/>
        <v>20.871690376176609</v>
      </c>
      <c r="R114" s="34">
        <f t="shared" si="37"/>
        <v>25.747991240833947</v>
      </c>
      <c r="S114" s="34">
        <f t="shared" si="37"/>
        <v>35.46828054969744</v>
      </c>
      <c r="T114" s="34">
        <f t="shared" si="37"/>
        <v>35.468280549697461</v>
      </c>
      <c r="U114" s="34">
        <f t="shared" si="37"/>
        <v>35.468280549697447</v>
      </c>
      <c r="V114" s="34">
        <f t="shared" si="37"/>
        <v>35.468280549697482</v>
      </c>
      <c r="W114" s="34">
        <f t="shared" si="37"/>
        <v>35.46828054969744</v>
      </c>
      <c r="X114" s="34">
        <f t="shared" si="37"/>
        <v>35.46828054969744</v>
      </c>
      <c r="Y114" s="34">
        <f t="shared" si="37"/>
        <v>35.468280549697425</v>
      </c>
      <c r="Z114" s="34">
        <f t="shared" si="37"/>
        <v>36.595290549697509</v>
      </c>
      <c r="AA114" s="34">
        <f t="shared" si="37"/>
        <v>41.043981083354019</v>
      </c>
      <c r="AB114" s="34">
        <f t="shared" si="37"/>
        <v>57.408612944352221</v>
      </c>
      <c r="AC114" s="34">
        <f t="shared" si="37"/>
        <v>62.284913809009559</v>
      </c>
      <c r="AD114" s="34">
        <f t="shared" si="37"/>
        <v>72.005203117873052</v>
      </c>
      <c r="AE114" s="34">
        <f t="shared" si="37"/>
        <v>72.005203117873123</v>
      </c>
      <c r="AF114" s="34">
        <f t="shared" si="37"/>
        <v>72.005203117873009</v>
      </c>
      <c r="AG114" s="34">
        <f t="shared" si="37"/>
        <v>72.005203117873151</v>
      </c>
      <c r="AH114" s="34">
        <f t="shared" si="37"/>
        <v>72.005203117872995</v>
      </c>
      <c r="AI114" s="34">
        <f t="shared" si="37"/>
        <v>72.005203117873108</v>
      </c>
      <c r="AJ114" s="34">
        <f t="shared" si="37"/>
        <v>72.005203117872981</v>
      </c>
      <c r="AK114" s="34">
        <f t="shared" si="37"/>
        <v>73.132213117873178</v>
      </c>
    </row>
    <row r="115" spans="1:37" x14ac:dyDescent="0.3">
      <c r="A115" s="3" t="s">
        <v>1026</v>
      </c>
      <c r="B115" s="3" t="str">
        <f>INDEX('R1. Scenario specifications'!$C$11:$C$60,MATCH($A115,'R1. Scenario specifications'!$A$11:$A$60,0))</f>
        <v>Current 2DS, 2020 start, 'Expect the unexpceted' but with expensive renewables (cheap CCS)</v>
      </c>
      <c r="C115" s="3" t="s">
        <v>365</v>
      </c>
      <c r="D115" s="34">
        <f t="shared" si="38"/>
        <v>1.3071954545454552</v>
      </c>
      <c r="E115" s="34">
        <f t="shared" si="37"/>
        <v>5.7558859882020208</v>
      </c>
      <c r="F115" s="34">
        <f t="shared" si="37"/>
        <v>5.7558859882020217</v>
      </c>
      <c r="G115" s="34">
        <f t="shared" si="37"/>
        <v>5.7558859882020199</v>
      </c>
      <c r="H115" s="34">
        <f t="shared" si="37"/>
        <v>15.987034559379705</v>
      </c>
      <c r="I115" s="34">
        <f t="shared" si="37"/>
        <v>15.987034559379705</v>
      </c>
      <c r="J115" s="34">
        <f t="shared" si="37"/>
        <v>15.987034559379698</v>
      </c>
      <c r="K115" s="34">
        <f t="shared" si="37"/>
        <v>15.987034559379698</v>
      </c>
      <c r="L115" s="34">
        <f t="shared" si="37"/>
        <v>15.987034559379712</v>
      </c>
      <c r="M115" s="34">
        <f t="shared" si="37"/>
        <v>15.987034559379698</v>
      </c>
      <c r="N115" s="34">
        <f t="shared" si="37"/>
        <v>15.98703455937974</v>
      </c>
      <c r="O115" s="34">
        <f t="shared" si="37"/>
        <v>16.933859104834216</v>
      </c>
      <c r="P115" s="34">
        <f t="shared" si="37"/>
        <v>21.382549638490779</v>
      </c>
      <c r="Q115" s="34">
        <f t="shared" si="37"/>
        <v>21.382549638490865</v>
      </c>
      <c r="R115" s="34">
        <f t="shared" si="37"/>
        <v>25.431131431907026</v>
      </c>
      <c r="S115" s="34">
        <f t="shared" si="37"/>
        <v>35.662280003084739</v>
      </c>
      <c r="T115" s="34">
        <f t="shared" si="37"/>
        <v>35.66228000308471</v>
      </c>
      <c r="U115" s="34">
        <f t="shared" si="37"/>
        <v>35.662280003084703</v>
      </c>
      <c r="V115" s="34">
        <f t="shared" si="37"/>
        <v>35.662280003084703</v>
      </c>
      <c r="W115" s="34">
        <f t="shared" si="37"/>
        <v>35.662280003084717</v>
      </c>
      <c r="X115" s="34">
        <f t="shared" si="37"/>
        <v>35.662280003084703</v>
      </c>
      <c r="Y115" s="34">
        <f t="shared" si="37"/>
        <v>35.662280003084746</v>
      </c>
      <c r="Z115" s="34">
        <f t="shared" si="37"/>
        <v>36.789290003084673</v>
      </c>
      <c r="AA115" s="34">
        <f t="shared" si="37"/>
        <v>41.237980536741297</v>
      </c>
      <c r="AB115" s="34">
        <f t="shared" si="37"/>
        <v>57.752887692419812</v>
      </c>
      <c r="AC115" s="34">
        <f t="shared" si="37"/>
        <v>61.801469485835973</v>
      </c>
      <c r="AD115" s="34">
        <f t="shared" si="37"/>
        <v>72.032618057013678</v>
      </c>
      <c r="AE115" s="34">
        <f t="shared" si="37"/>
        <v>72.032618057013593</v>
      </c>
      <c r="AF115" s="34">
        <f t="shared" si="37"/>
        <v>72.032618057013707</v>
      </c>
      <c r="AG115" s="34">
        <f t="shared" si="37"/>
        <v>72.032618057013593</v>
      </c>
      <c r="AH115" s="34">
        <f t="shared" si="37"/>
        <v>72.032618057013721</v>
      </c>
      <c r="AI115" s="34">
        <f t="shared" si="37"/>
        <v>72.032618057013593</v>
      </c>
      <c r="AJ115" s="34">
        <f t="shared" si="37"/>
        <v>72.03261805701375</v>
      </c>
      <c r="AK115" s="34">
        <f t="shared" si="37"/>
        <v>73.159628057013563</v>
      </c>
    </row>
    <row r="116" spans="1:37" x14ac:dyDescent="0.3">
      <c r="A116" s="3" t="s">
        <v>47</v>
      </c>
      <c r="B116" s="3" t="str">
        <f>INDEX('R1. Scenario specifications'!$C$11:$C$60,MATCH($A116,'R1. Scenario specifications'!$A$11:$A$60,0))</f>
        <v>Current 2DS, 2020 start, 'Expect the Unexpected' but with cheap EVs</v>
      </c>
      <c r="C116" s="3" t="s">
        <v>366</v>
      </c>
      <c r="D116" s="34">
        <f t="shared" si="38"/>
        <v>1.3071954545454552</v>
      </c>
      <c r="E116" s="34">
        <f t="shared" si="37"/>
        <v>5.7558859882020208</v>
      </c>
      <c r="F116" s="34">
        <f t="shared" si="37"/>
        <v>5.7558859882020217</v>
      </c>
      <c r="G116" s="34">
        <f t="shared" si="37"/>
        <v>5.7558859882020199</v>
      </c>
      <c r="H116" s="34">
        <f t="shared" si="37"/>
        <v>68.150541176174372</v>
      </c>
      <c r="I116" s="34">
        <f t="shared" si="37"/>
        <v>68.150541176174357</v>
      </c>
      <c r="J116" s="34">
        <f t="shared" si="37"/>
        <v>68.1505411761744</v>
      </c>
      <c r="K116" s="34">
        <f t="shared" si="37"/>
        <v>68.150541176174343</v>
      </c>
      <c r="L116" s="34">
        <f t="shared" si="37"/>
        <v>68.1505411761744</v>
      </c>
      <c r="M116" s="34">
        <f t="shared" si="37"/>
        <v>68.1505411761744</v>
      </c>
      <c r="N116" s="34">
        <f t="shared" si="37"/>
        <v>68.150541176174343</v>
      </c>
      <c r="O116" s="34">
        <f t="shared" si="37"/>
        <v>69.097365721628947</v>
      </c>
      <c r="P116" s="34">
        <f t="shared" si="37"/>
        <v>73.546056255285521</v>
      </c>
      <c r="Q116" s="34">
        <f t="shared" si="37"/>
        <v>73.546056255285521</v>
      </c>
      <c r="R116" s="34">
        <f t="shared" si="37"/>
        <v>30.043121464035373</v>
      </c>
      <c r="S116" s="34">
        <f t="shared" si="37"/>
        <v>92.437776652007727</v>
      </c>
      <c r="T116" s="34">
        <f t="shared" si="37"/>
        <v>92.437776652007713</v>
      </c>
      <c r="U116" s="34">
        <f t="shared" si="37"/>
        <v>92.437776652007756</v>
      </c>
      <c r="V116" s="34">
        <f t="shared" si="37"/>
        <v>92.437776652007585</v>
      </c>
      <c r="W116" s="34">
        <f t="shared" si="37"/>
        <v>92.437776652007869</v>
      </c>
      <c r="X116" s="34">
        <f t="shared" si="37"/>
        <v>92.437776652007642</v>
      </c>
      <c r="Y116" s="34">
        <f t="shared" si="37"/>
        <v>92.437776652007699</v>
      </c>
      <c r="Z116" s="34">
        <f t="shared" si="37"/>
        <v>93.564786652007754</v>
      </c>
      <c r="AA116" s="34">
        <f t="shared" si="37"/>
        <v>98.013477185664328</v>
      </c>
      <c r="AB116" s="34">
        <f t="shared" si="37"/>
        <v>108.86617683761438</v>
      </c>
      <c r="AC116" s="34">
        <f t="shared" si="37"/>
        <v>65.363242046364121</v>
      </c>
      <c r="AD116" s="34">
        <f t="shared" si="37"/>
        <v>127.75789723433658</v>
      </c>
      <c r="AE116" s="34">
        <f t="shared" si="37"/>
        <v>127.75789723433657</v>
      </c>
      <c r="AF116" s="34">
        <f t="shared" si="37"/>
        <v>127.75789723433661</v>
      </c>
      <c r="AG116" s="34">
        <f t="shared" si="37"/>
        <v>127.75789723433644</v>
      </c>
      <c r="AH116" s="34">
        <f t="shared" si="37"/>
        <v>127.75789723433672</v>
      </c>
      <c r="AI116" s="34">
        <f t="shared" si="37"/>
        <v>127.75789723433627</v>
      </c>
      <c r="AJ116" s="34">
        <f t="shared" si="37"/>
        <v>127.75789723433655</v>
      </c>
      <c r="AK116" s="34">
        <f t="shared" si="37"/>
        <v>128.88490723433659</v>
      </c>
    </row>
    <row r="117" spans="1:37" x14ac:dyDescent="0.3">
      <c r="A117" s="3" t="s">
        <v>49</v>
      </c>
      <c r="B117" s="3" t="str">
        <f>INDEX('R1. Scenario specifications'!$C$11:$C$60,MATCH($A117,'R1. Scenario specifications'!$A$11:$A$60,0))</f>
        <v>Current 2DS, 2020 start, 'Expect the Unexpected' but with cheap energy efficiency</v>
      </c>
      <c r="C117" s="3" t="s">
        <v>367</v>
      </c>
      <c r="D117" s="34">
        <f t="shared" si="38"/>
        <v>1.3071954545454552</v>
      </c>
      <c r="E117" s="34">
        <f t="shared" si="37"/>
        <v>5.7558859882020208</v>
      </c>
      <c r="F117" s="34">
        <f t="shared" si="37"/>
        <v>5.7558859882020217</v>
      </c>
      <c r="G117" s="34">
        <f t="shared" si="37"/>
        <v>5.7558859882020199</v>
      </c>
      <c r="H117" s="34">
        <f t="shared" si="37"/>
        <v>10.514091248871654</v>
      </c>
      <c r="I117" s="34">
        <f t="shared" si="37"/>
        <v>10.514091248871654</v>
      </c>
      <c r="J117" s="34">
        <f t="shared" si="37"/>
        <v>10.514091248871647</v>
      </c>
      <c r="K117" s="34">
        <f t="shared" si="37"/>
        <v>10.514091248871654</v>
      </c>
      <c r="L117" s="34">
        <f t="shared" si="37"/>
        <v>10.514091248871647</v>
      </c>
      <c r="M117" s="34">
        <f t="shared" si="37"/>
        <v>10.514091248871654</v>
      </c>
      <c r="N117" s="34">
        <f t="shared" si="37"/>
        <v>10.514091248871654</v>
      </c>
      <c r="O117" s="34">
        <f t="shared" si="37"/>
        <v>11.460915794326199</v>
      </c>
      <c r="P117" s="34">
        <f t="shared" si="37"/>
        <v>15.909606327982765</v>
      </c>
      <c r="Q117" s="34">
        <f t="shared" si="37"/>
        <v>15.909606327982766</v>
      </c>
      <c r="R117" s="34">
        <f t="shared" si="37"/>
        <v>23.7028814651216</v>
      </c>
      <c r="S117" s="34">
        <f t="shared" si="37"/>
        <v>28.461086725791205</v>
      </c>
      <c r="T117" s="34">
        <f t="shared" si="37"/>
        <v>28.461086725791233</v>
      </c>
      <c r="U117" s="34">
        <f t="shared" si="37"/>
        <v>28.461086725791198</v>
      </c>
      <c r="V117" s="34">
        <f t="shared" si="37"/>
        <v>28.461086725791233</v>
      </c>
      <c r="W117" s="34">
        <f t="shared" si="37"/>
        <v>28.461086725791226</v>
      </c>
      <c r="X117" s="34">
        <f t="shared" si="37"/>
        <v>28.461086725791205</v>
      </c>
      <c r="Y117" s="34">
        <f t="shared" si="37"/>
        <v>28.461086725791262</v>
      </c>
      <c r="Z117" s="34">
        <f t="shared" si="37"/>
        <v>29.588096725791175</v>
      </c>
      <c r="AA117" s="34">
        <f t="shared" si="37"/>
        <v>34.036787259447799</v>
      </c>
      <c r="AB117" s="34">
        <f t="shared" si="37"/>
        <v>45.627456146344734</v>
      </c>
      <c r="AC117" s="34">
        <f t="shared" si="37"/>
        <v>53.420731283483626</v>
      </c>
      <c r="AD117" s="34">
        <f t="shared" si="37"/>
        <v>58.178936544153174</v>
      </c>
      <c r="AE117" s="34">
        <f t="shared" si="37"/>
        <v>58.178936544153203</v>
      </c>
      <c r="AF117" s="34">
        <f t="shared" si="37"/>
        <v>58.178936544153167</v>
      </c>
      <c r="AG117" s="34">
        <f t="shared" si="37"/>
        <v>58.178936544153203</v>
      </c>
      <c r="AH117" s="34">
        <f t="shared" si="37"/>
        <v>58.178936544153196</v>
      </c>
      <c r="AI117" s="34">
        <f t="shared" si="37"/>
        <v>58.178936544153288</v>
      </c>
      <c r="AJ117" s="34">
        <f t="shared" si="37"/>
        <v>58.178936544153231</v>
      </c>
      <c r="AK117" s="34">
        <f t="shared" si="37"/>
        <v>59.305946544153144</v>
      </c>
    </row>
    <row r="118" spans="1:37" x14ac:dyDescent="0.3">
      <c r="A118" s="32" t="s">
        <v>438</v>
      </c>
      <c r="B118" s="32" t="s">
        <v>439</v>
      </c>
      <c r="C118" s="32" t="s">
        <v>440</v>
      </c>
      <c r="D118" s="34">
        <f t="shared" si="38"/>
        <v>1.3071954545454552</v>
      </c>
      <c r="E118" s="34">
        <f t="shared" si="37"/>
        <v>2.1493129698438942</v>
      </c>
      <c r="F118" s="34">
        <f t="shared" si="37"/>
        <v>2.1493129698438942</v>
      </c>
      <c r="G118" s="34">
        <f t="shared" si="37"/>
        <v>2.1493129698438942</v>
      </c>
      <c r="H118" s="34">
        <f t="shared" si="37"/>
        <v>4.8325692362428319</v>
      </c>
      <c r="I118" s="34">
        <f t="shared" si="37"/>
        <v>4.8325692362428319</v>
      </c>
      <c r="J118" s="34">
        <f t="shared" si="37"/>
        <v>4.8325692362428354</v>
      </c>
      <c r="K118" s="34">
        <f t="shared" si="37"/>
        <v>4.8325692362428319</v>
      </c>
      <c r="L118" s="34">
        <f t="shared" si="37"/>
        <v>4.8325692362428319</v>
      </c>
      <c r="M118" s="34">
        <f t="shared" si="37"/>
        <v>4.8325692362428283</v>
      </c>
      <c r="N118" s="34">
        <f t="shared" si="37"/>
        <v>4.8325692362428354</v>
      </c>
      <c r="O118" s="34">
        <f t="shared" si="37"/>
        <v>5.7793937816973813</v>
      </c>
      <c r="P118" s="34">
        <f t="shared" si="37"/>
        <v>6.6215112969958208</v>
      </c>
      <c r="Q118" s="34">
        <f t="shared" si="37"/>
        <v>6.6215112969958136</v>
      </c>
      <c r="R118" s="34">
        <f t="shared" si="37"/>
        <v>6.6215112969959273</v>
      </c>
      <c r="S118" s="34">
        <f t="shared" si="37"/>
        <v>9.3047675633948579</v>
      </c>
      <c r="T118" s="34">
        <f t="shared" si="37"/>
        <v>9.3047675633948721</v>
      </c>
      <c r="U118" s="34">
        <f t="shared" si="37"/>
        <v>9.3047675633948614</v>
      </c>
      <c r="V118" s="34">
        <f t="shared" si="37"/>
        <v>9.3047675633948721</v>
      </c>
      <c r="W118" s="34">
        <f t="shared" si="37"/>
        <v>9.3047675633948579</v>
      </c>
      <c r="X118" s="34">
        <f t="shared" si="37"/>
        <v>9.3047675633948685</v>
      </c>
      <c r="Y118" s="34">
        <f t="shared" si="37"/>
        <v>9.3047675633948614</v>
      </c>
      <c r="Z118" s="34">
        <f t="shared" si="37"/>
        <v>10.431777563394862</v>
      </c>
      <c r="AA118" s="34">
        <f t="shared" si="37"/>
        <v>11.273895078693315</v>
      </c>
      <c r="AB118" s="34">
        <f t="shared" si="37"/>
        <v>11.273895078693236</v>
      </c>
      <c r="AC118" s="34">
        <f t="shared" si="37"/>
        <v>11.27389507869335</v>
      </c>
      <c r="AD118" s="34">
        <f t="shared" si="37"/>
        <v>13.957151345092296</v>
      </c>
      <c r="AE118" s="34">
        <f t="shared" si="37"/>
        <v>13.957151345092296</v>
      </c>
      <c r="AF118" s="34">
        <f t="shared" si="37"/>
        <v>13.957151345092285</v>
      </c>
      <c r="AG118" s="34">
        <f t="shared" si="37"/>
        <v>13.95715134509231</v>
      </c>
      <c r="AH118" s="34">
        <f t="shared" si="37"/>
        <v>13.957151345092267</v>
      </c>
      <c r="AI118" s="34">
        <f t="shared" si="37"/>
        <v>13.957151345092306</v>
      </c>
      <c r="AJ118" s="34">
        <f t="shared" si="37"/>
        <v>13.957151345092271</v>
      </c>
      <c r="AK118" s="34">
        <f t="shared" si="37"/>
        <v>15.0841613450923</v>
      </c>
    </row>
    <row r="119" spans="1:37" x14ac:dyDescent="0.3">
      <c r="A119" s="3" t="s">
        <v>441</v>
      </c>
      <c r="B119" s="3" t="s">
        <v>442</v>
      </c>
      <c r="C119" s="3" t="s">
        <v>443</v>
      </c>
      <c r="D119" s="34">
        <f t="shared" si="38"/>
        <v>1.3071954545454552</v>
      </c>
      <c r="E119" s="34">
        <f t="shared" si="37"/>
        <v>5.7558859882020208</v>
      </c>
      <c r="F119" s="34">
        <f t="shared" si="37"/>
        <v>5.7558859882020217</v>
      </c>
      <c r="G119" s="34">
        <f t="shared" si="37"/>
        <v>5.7558859882020199</v>
      </c>
      <c r="H119" s="34">
        <f t="shared" si="37"/>
        <v>9.521114160108386</v>
      </c>
      <c r="I119" s="34">
        <f t="shared" si="37"/>
        <v>9.521114160108386</v>
      </c>
      <c r="J119" s="34">
        <f t="shared" si="37"/>
        <v>9.521114160108386</v>
      </c>
      <c r="K119" s="34">
        <f t="shared" ref="E119:AK120" si="39">K95+K107</f>
        <v>9.521114160108386</v>
      </c>
      <c r="L119" s="34">
        <f t="shared" si="39"/>
        <v>9.521114160108386</v>
      </c>
      <c r="M119" s="34">
        <f t="shared" si="39"/>
        <v>9.521114160108386</v>
      </c>
      <c r="N119" s="34">
        <f t="shared" si="39"/>
        <v>9.521114160108386</v>
      </c>
      <c r="O119" s="34">
        <f t="shared" si="39"/>
        <v>10.467938705562931</v>
      </c>
      <c r="P119" s="34">
        <f t="shared" si="39"/>
        <v>14.916629239219496</v>
      </c>
      <c r="Q119" s="34">
        <f t="shared" si="39"/>
        <v>14.916629239219498</v>
      </c>
      <c r="R119" s="34">
        <f t="shared" si="39"/>
        <v>14.916629239219596</v>
      </c>
      <c r="S119" s="34">
        <f t="shared" si="39"/>
        <v>18.681857411125947</v>
      </c>
      <c r="T119" s="34">
        <f t="shared" si="39"/>
        <v>18.681857411125947</v>
      </c>
      <c r="U119" s="34">
        <f t="shared" si="39"/>
        <v>18.681857411125975</v>
      </c>
      <c r="V119" s="34">
        <f t="shared" si="39"/>
        <v>18.681857411125947</v>
      </c>
      <c r="W119" s="34">
        <f t="shared" si="39"/>
        <v>18.681857411125947</v>
      </c>
      <c r="X119" s="34">
        <f t="shared" si="39"/>
        <v>18.681857411125975</v>
      </c>
      <c r="Y119" s="34">
        <f t="shared" si="39"/>
        <v>18.681857411125975</v>
      </c>
      <c r="Z119" s="34">
        <f t="shared" si="39"/>
        <v>19.808867411125917</v>
      </c>
      <c r="AA119" s="34">
        <f t="shared" si="39"/>
        <v>24.25755794478254</v>
      </c>
      <c r="AB119" s="34">
        <f t="shared" si="39"/>
        <v>24.25755794478254</v>
      </c>
      <c r="AC119" s="34">
        <f t="shared" si="39"/>
        <v>24.257557944782668</v>
      </c>
      <c r="AD119" s="34">
        <f t="shared" si="39"/>
        <v>28.022786116688991</v>
      </c>
      <c r="AE119" s="34">
        <f t="shared" si="39"/>
        <v>28.022786116689019</v>
      </c>
      <c r="AF119" s="34">
        <f t="shared" si="39"/>
        <v>28.022786116689019</v>
      </c>
      <c r="AG119" s="34">
        <f t="shared" si="39"/>
        <v>28.022786116688991</v>
      </c>
      <c r="AH119" s="34">
        <f t="shared" si="39"/>
        <v>28.022786116688991</v>
      </c>
      <c r="AI119" s="34">
        <f t="shared" si="39"/>
        <v>28.022786116689076</v>
      </c>
      <c r="AJ119" s="34">
        <f t="shared" si="39"/>
        <v>28.022786116689019</v>
      </c>
      <c r="AK119" s="34">
        <f t="shared" si="39"/>
        <v>29.149796116688965</v>
      </c>
    </row>
    <row r="120" spans="1:37" x14ac:dyDescent="0.3">
      <c r="A120" s="3" t="s">
        <v>444</v>
      </c>
      <c r="B120" s="3" t="s">
        <v>445</v>
      </c>
      <c r="C120" s="3" t="s">
        <v>446</v>
      </c>
      <c r="D120" s="34">
        <f t="shared" si="38"/>
        <v>1.3071954545454552</v>
      </c>
      <c r="E120" s="34">
        <f t="shared" si="39"/>
        <v>6.7179568330462214</v>
      </c>
      <c r="F120" s="34">
        <f t="shared" si="39"/>
        <v>6.7179568330462223</v>
      </c>
      <c r="G120" s="34">
        <f t="shared" si="39"/>
        <v>6.7179568330462187</v>
      </c>
      <c r="H120" s="34">
        <f t="shared" si="39"/>
        <v>13.488439892286927</v>
      </c>
      <c r="I120" s="34">
        <f t="shared" si="39"/>
        <v>13.488439892286923</v>
      </c>
      <c r="J120" s="34">
        <f t="shared" si="39"/>
        <v>13.488439892286923</v>
      </c>
      <c r="K120" s="34">
        <f t="shared" si="39"/>
        <v>13.488439892286937</v>
      </c>
      <c r="L120" s="34">
        <f t="shared" si="39"/>
        <v>13.488439892286923</v>
      </c>
      <c r="M120" s="34">
        <f t="shared" si="39"/>
        <v>13.488439892286923</v>
      </c>
      <c r="N120" s="34">
        <f t="shared" si="39"/>
        <v>13.488439892286923</v>
      </c>
      <c r="O120" s="34">
        <f t="shared" si="39"/>
        <v>14.435264437741468</v>
      </c>
      <c r="P120" s="34">
        <f t="shared" si="39"/>
        <v>19.84602581624225</v>
      </c>
      <c r="Q120" s="34">
        <f t="shared" si="39"/>
        <v>19.846025816242221</v>
      </c>
      <c r="R120" s="34">
        <f t="shared" si="39"/>
        <v>19.846025816241962</v>
      </c>
      <c r="S120" s="34">
        <f t="shared" si="39"/>
        <v>26.616508875482641</v>
      </c>
      <c r="T120" s="34">
        <f t="shared" si="39"/>
        <v>26.616508875482666</v>
      </c>
      <c r="U120" s="34">
        <f t="shared" si="39"/>
        <v>26.616508875482637</v>
      </c>
      <c r="V120" s="34">
        <f t="shared" si="39"/>
        <v>26.61650887548268</v>
      </c>
      <c r="W120" s="34">
        <f t="shared" si="39"/>
        <v>26.616508875482666</v>
      </c>
      <c r="X120" s="34">
        <f t="shared" si="39"/>
        <v>26.616508875482637</v>
      </c>
      <c r="Y120" s="34">
        <f t="shared" si="39"/>
        <v>26.616508875482637</v>
      </c>
      <c r="Z120" s="34">
        <f t="shared" si="39"/>
        <v>27.743518875482664</v>
      </c>
      <c r="AA120" s="34">
        <f t="shared" si="39"/>
        <v>33.154280253983444</v>
      </c>
      <c r="AB120" s="34">
        <f t="shared" si="39"/>
        <v>33.154280253983757</v>
      </c>
      <c r="AC120" s="34">
        <f t="shared" si="39"/>
        <v>33.154280253983558</v>
      </c>
      <c r="AD120" s="34">
        <f t="shared" si="39"/>
        <v>39.924763313224176</v>
      </c>
      <c r="AE120" s="34">
        <f t="shared" si="39"/>
        <v>39.924763313224261</v>
      </c>
      <c r="AF120" s="34">
        <f t="shared" si="39"/>
        <v>39.924763313224176</v>
      </c>
      <c r="AG120" s="34">
        <f t="shared" si="39"/>
        <v>39.924763313224219</v>
      </c>
      <c r="AH120" s="34">
        <f t="shared" si="39"/>
        <v>39.924763313224261</v>
      </c>
      <c r="AI120" s="34">
        <f t="shared" si="39"/>
        <v>39.924763313224176</v>
      </c>
      <c r="AJ120" s="34">
        <f t="shared" si="39"/>
        <v>39.924763313224233</v>
      </c>
      <c r="AK120" s="34">
        <f t="shared" si="39"/>
        <v>41.051773313224203</v>
      </c>
    </row>
  </sheetData>
  <mergeCells count="2">
    <mergeCell ref="V11:AD11"/>
    <mergeCell ref="AE11:AM11"/>
  </mergeCells>
  <conditionalFormatting sqref="A1:XFD4 C6:XFD7 A13 A46:F57 L46:P46 Q47:U57 A45:K45 Q45:XFD45 G49:P57 AF47:XFD47 A5:G5 I5:XFD5 AK48:XFD48 V49:XFD57 V46:XFD46 AT13:XFD13 C13:S13 A8:XFD10 A12:S12 U12 AE11 X12:AD12 A11:T11 AN11:XFD12 T12:T44 A14:S18 U14:XFD44 A58:XFD78 A20:S44 B19:S19 A80:XFD90 B79:XFD79 A92:XFD102 B91:XFD91 A104:XFD114 B103:XFD103 A116:XFD1048576 B115:XFD115">
    <cfRule type="expression" dxfId="164" priority="15">
      <formula>_xlfn.ISFORMULA(A1)</formula>
    </cfRule>
  </conditionalFormatting>
  <conditionalFormatting sqref="A6:B7">
    <cfRule type="expression" dxfId="163" priority="14">
      <formula>_xlfn.ISFORMULA(A6)</formula>
    </cfRule>
  </conditionalFormatting>
  <conditionalFormatting sqref="B13">
    <cfRule type="expression" dxfId="162" priority="13">
      <formula>_xlfn.ISFORMULA(B13)</formula>
    </cfRule>
  </conditionalFormatting>
  <conditionalFormatting sqref="V48:Z48">
    <cfRule type="expression" dxfId="161" priority="12">
      <formula>_xlfn.ISFORMULA(V48)</formula>
    </cfRule>
  </conditionalFormatting>
  <conditionalFormatting sqref="AA48:AE48">
    <cfRule type="expression" dxfId="160" priority="11">
      <formula>_xlfn.ISFORMULA(AA48)</formula>
    </cfRule>
  </conditionalFormatting>
  <conditionalFormatting sqref="AF48:AJ48">
    <cfRule type="expression" dxfId="159" priority="9">
      <formula>_xlfn.ISFORMULA(AF48)</formula>
    </cfRule>
  </conditionalFormatting>
  <conditionalFormatting sqref="H5">
    <cfRule type="expression" dxfId="158" priority="10">
      <formula>_xlfn.ISFORMULA(H5)</formula>
    </cfRule>
  </conditionalFormatting>
  <conditionalFormatting sqref="AG12:AM12">
    <cfRule type="expression" dxfId="157" priority="8">
      <formula>_xlfn.ISFORMULA(AG12)</formula>
    </cfRule>
  </conditionalFormatting>
  <conditionalFormatting sqref="U13 X13:AM13">
    <cfRule type="expression" dxfId="156" priority="7">
      <formula>_xlfn.ISFORMULA(U13)</formula>
    </cfRule>
  </conditionalFormatting>
  <conditionalFormatting sqref="U11">
    <cfRule type="expression" dxfId="155" priority="6">
      <formula>_xlfn.ISFORMULA(U11)</formula>
    </cfRule>
  </conditionalFormatting>
  <conditionalFormatting sqref="A19">
    <cfRule type="expression" dxfId="154" priority="5">
      <formula>_xlfn.ISFORMULA(A19)</formula>
    </cfRule>
  </conditionalFormatting>
  <conditionalFormatting sqref="A79">
    <cfRule type="expression" dxfId="153" priority="4">
      <formula>_xlfn.ISFORMULA(A79)</formula>
    </cfRule>
  </conditionalFormatting>
  <conditionalFormatting sqref="A91">
    <cfRule type="expression" dxfId="152" priority="3">
      <formula>_xlfn.ISFORMULA(A91)</formula>
    </cfRule>
  </conditionalFormatting>
  <conditionalFormatting sqref="A103">
    <cfRule type="expression" dxfId="151" priority="2">
      <formula>_xlfn.ISFORMULA(A103)</formula>
    </cfRule>
  </conditionalFormatting>
  <conditionalFormatting sqref="A115">
    <cfRule type="expression" dxfId="150" priority="1">
      <formula>_xlfn.ISFORMULA(A115)</formula>
    </cfRule>
  </conditionalFormatting>
  <pageMargins left="0.7" right="0.7" top="0.75" bottom="0.75" header="0.3" footer="0.3"/>
  <pageSetup paperSize="9" orientation="portrait" horizontalDpi="4294967294" verticalDpi="4294967294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5408-EE4C-4E3D-A19B-0F448BF70219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192F5-0ECF-4A58-8B7D-31731365A9C3}">
  <sheetPr>
    <tabColor theme="5" tint="0.39997558519241921"/>
  </sheetPr>
  <dimension ref="A1:S76"/>
  <sheetViews>
    <sheetView zoomScale="55" zoomScaleNormal="55" workbookViewId="0">
      <pane ySplit="13" topLeftCell="A14" activePane="bottomLeft" state="frozen"/>
      <selection pane="bottomLeft" activeCell="D28" sqref="D28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206</v>
      </c>
    </row>
    <row r="2" spans="1:9" s="5" customFormat="1" x14ac:dyDescent="0.3">
      <c r="A2" s="5" t="s">
        <v>5</v>
      </c>
      <c r="B2" s="5" t="s">
        <v>199</v>
      </c>
    </row>
    <row r="3" spans="1:9" s="5" customFormat="1" x14ac:dyDescent="0.3">
      <c r="A3" s="5" t="s">
        <v>6</v>
      </c>
      <c r="B3" s="5" t="s">
        <v>183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9</v>
      </c>
      <c r="D7" s="5" t="s">
        <v>1021</v>
      </c>
    </row>
    <row r="8" spans="1:9" s="5" customFormat="1" x14ac:dyDescent="0.3">
      <c r="B8" s="5" t="s">
        <v>190</v>
      </c>
      <c r="C8" s="5" t="s">
        <v>10</v>
      </c>
      <c r="D8" s="5" t="s">
        <v>1022</v>
      </c>
    </row>
    <row r="9" spans="1:9" s="5" customFormat="1" x14ac:dyDescent="0.3">
      <c r="B9" s="5" t="s">
        <v>189</v>
      </c>
      <c r="C9" s="5" t="s">
        <v>192</v>
      </c>
      <c r="D9" s="5" t="s">
        <v>193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$E$8:$O630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241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12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INDEX($D$38:$N$76,MATCH(B$24&amp;$B$22,$B$38:$B$76&amp;$C$38:$C$76,0),MATCH($A25,$D$37:$N$37,0))</f>
        <v>9326.5813623263857</v>
      </c>
      <c r="C25" s="14">
        <f t="array" ref="C25">INDEX($D$38:$N$76,MATCH(C$24&amp;$B$22,$B$38:$B$76&amp;$C$38:$C$76,0),MATCH($A25,$D$37:$N$37,0))</f>
        <v>9330.1855749493734</v>
      </c>
      <c r="D25" s="14">
        <f t="array" ref="D25">INDEX($D$38:$N$76,MATCH(D$24&amp;$B$22,$B$38:$B$76&amp;$C$38:$C$76,0),MATCH($A25,$D$37:$N$37,0))</f>
        <v>9326.5813623263857</v>
      </c>
      <c r="E25" s="14">
        <f t="array" ref="E25">INDEX($D$38:$N$76,MATCH(E$24&amp;$B$22,$B$38:$B$76&amp;$C$38:$C$76,0),MATCH($A25,$D$37:$N$37,0))</f>
        <v>9326.5813623263857</v>
      </c>
      <c r="F25" s="14">
        <f t="array" ref="F25">INDEX($D$38:$N$76,MATCH(F$24&amp;$B$22,$B$38:$B$76&amp;$C$38:$C$76,0),MATCH($A25,$D$37:$N$37,0))</f>
        <v>9326.5813623263857</v>
      </c>
      <c r="G25" s="14">
        <f t="array" ref="G25">INDEX($D$38:$N$76,MATCH(G$24&amp;$B$22,$B$38:$B$76&amp;$C$38:$C$76,0),MATCH($A25,$D$37:$N$37,0))</f>
        <v>9326.5813623263857</v>
      </c>
      <c r="H25" s="14">
        <f t="array" ref="H25">INDEX($D$38:$N$76,MATCH(H$24&amp;$B$22,$B$38:$B$76&amp;$C$38:$C$76,0),MATCH($A25,$D$37:$N$37,0))</f>
        <v>9326.5813623263857</v>
      </c>
      <c r="I25" s="14">
        <f t="array" ref="I25">INDEX($D$38:$N$76,MATCH(I$24&amp;$B$22,$B$38:$B$76&amp;$C$38:$C$76,0),MATCH($A25,$D$37:$N$37,0))</f>
        <v>9326.5813623263857</v>
      </c>
      <c r="J25" s="14">
        <f t="array" ref="J25">INDEX($D$38:$N$76,MATCH(J$24&amp;$B$22,$B$38:$B$76&amp;$C$38:$C$76,0),MATCH($A25,$D$37:$N$37,0))</f>
        <v>9326.5813623263857</v>
      </c>
      <c r="K25" s="14" t="e">
        <f t="array" ref="K25">INDEX($D$38:$N$76,MATCH(K$24&amp;$B$22,$B$38:$B$76&amp;$C$38:$C$76,0),MATCH($A25,$D$37:$N$37,0))</f>
        <v>#N/A</v>
      </c>
      <c r="L25" s="14" t="e">
        <f t="array" ref="L25">INDEX($D$38:$N$76,MATCH(L$24&amp;$B$22,$B$38:$B$76&amp;$C$38:$C$76,0),MATCH($A25,$D$37:$N$37,0))</f>
        <v>#N/A</v>
      </c>
      <c r="M25" s="14" t="e">
        <f t="array" ref="M25">INDEX($D$38:$N$76,MATCH(M$24&amp;$B$22,$B$38:$B$76&amp;$C$38:$C$76,0),MATCH($A25,$D$37:$N$37,0))</f>
        <v>#N/A</v>
      </c>
    </row>
    <row r="26" spans="1:13" x14ac:dyDescent="0.3">
      <c r="A26" s="3">
        <v>2020</v>
      </c>
      <c r="B26" s="14">
        <f t="array" ref="B26">INDEX($D$38:$N$76,MATCH(B$24&amp;$B$22,$B$38:$B$76&amp;$C$38:$C$76,0),MATCH($A26,$D$37:$N$37,0))</f>
        <v>16618.833122363991</v>
      </c>
      <c r="C26" s="14">
        <f t="array" ref="C26">INDEX($D$38:$N$76,MATCH(C$24&amp;$B$22,$B$38:$B$76&amp;$C$38:$C$76,0),MATCH($A26,$D$37:$N$37,0))</f>
        <v>16336.166935038456</v>
      </c>
      <c r="D26" s="14">
        <f t="array" ref="D26">INDEX($D$38:$N$76,MATCH(D$24&amp;$B$22,$B$38:$B$76&amp;$C$38:$C$76,0),MATCH($A26,$D$37:$N$37,0))</f>
        <v>16468.105087610649</v>
      </c>
      <c r="E26" s="14">
        <f t="array" ref="E26">INDEX($D$38:$N$76,MATCH(E$24&amp;$B$22,$B$38:$B$76&amp;$C$38:$C$76,0),MATCH($A26,$D$37:$N$37,0))</f>
        <v>16468.105087610649</v>
      </c>
      <c r="F26" s="14">
        <f t="array" ref="F26">INDEX($D$38:$N$76,MATCH(F$24&amp;$B$22,$B$38:$B$76&amp;$C$38:$C$76,0),MATCH($A26,$D$37:$N$37,0))</f>
        <v>16468.105087610649</v>
      </c>
      <c r="G26" s="14">
        <f t="array" ref="G26">INDEX($D$38:$N$76,MATCH(G$24&amp;$B$22,$B$38:$B$76&amp;$C$38:$C$76,0),MATCH($A26,$D$37:$N$37,0))</f>
        <v>16468.105087610649</v>
      </c>
      <c r="H26" s="14">
        <f t="array" ref="H26">INDEX($D$38:$N$76,MATCH(H$24&amp;$B$22,$B$38:$B$76&amp;$C$38:$C$76,0),MATCH($A26,$D$37:$N$37,0))</f>
        <v>16468.105087610649</v>
      </c>
      <c r="I26" s="14">
        <f t="array" ref="I26">INDEX($D$38:$N$76,MATCH(I$24&amp;$B$22,$B$38:$B$76&amp;$C$38:$C$76,0),MATCH($A26,$D$37:$N$37,0))</f>
        <v>16468.105087610649</v>
      </c>
      <c r="J26" s="14">
        <f t="array" ref="J26">INDEX($D$38:$N$76,MATCH(J$24&amp;$B$22,$B$38:$B$76&amp;$C$38:$C$76,0),MATCH($A26,$D$37:$N$37,0))</f>
        <v>16468.105087610649</v>
      </c>
      <c r="K26" s="14" t="e">
        <f t="array" ref="K26">INDEX($D$38:$N$76,MATCH(K$24&amp;$B$22,$B$38:$B$76&amp;$C$38:$C$76,0),MATCH($A26,$D$37:$N$37,0))</f>
        <v>#N/A</v>
      </c>
      <c r="L26" s="14" t="e">
        <f t="array" ref="L26">INDEX($D$38:$N$76,MATCH(L$24&amp;$B$22,$B$38:$B$76&amp;$C$38:$C$76,0),MATCH($A26,$D$37:$N$37,0))</f>
        <v>#N/A</v>
      </c>
      <c r="M26" s="14" t="e">
        <f t="array" ref="M26">INDEX($D$38:$N$76,MATCH(M$24&amp;$B$22,$B$38:$B$76&amp;$C$38:$C$76,0),MATCH($A26,$D$37:$N$37,0))</f>
        <v>#N/A</v>
      </c>
    </row>
    <row r="27" spans="1:13" x14ac:dyDescent="0.3">
      <c r="A27" s="3">
        <v>2030</v>
      </c>
      <c r="B27" s="14">
        <f t="array" ref="B27">INDEX($D$38:$N$76,MATCH(B$24&amp;$B$22,$B$38:$B$76&amp;$C$38:$C$76,0),MATCH($A27,$D$37:$N$37,0))</f>
        <v>19636.194093658214</v>
      </c>
      <c r="C27" s="14">
        <f t="array" ref="C27">INDEX($D$38:$N$76,MATCH(C$24&amp;$B$22,$B$38:$B$76&amp;$C$38:$C$76,0),MATCH($A27,$D$37:$N$37,0))</f>
        <v>19842.678610732997</v>
      </c>
      <c r="D27" s="14">
        <f t="array" ref="D27">INDEX($D$38:$N$76,MATCH(D$24&amp;$B$22,$B$38:$B$76&amp;$C$38:$C$76,0),MATCH($A27,$D$37:$N$37,0))</f>
        <v>20225.86915635239</v>
      </c>
      <c r="E27" s="14">
        <f t="array" ref="E27">INDEX($D$38:$N$76,MATCH(E$24&amp;$B$22,$B$38:$B$76&amp;$C$38:$C$76,0),MATCH($A27,$D$37:$N$37,0))</f>
        <v>20400.403718968148</v>
      </c>
      <c r="F27" s="14">
        <f t="array" ref="F27">INDEX($D$38:$N$76,MATCH(F$24&amp;$B$22,$B$38:$B$76&amp;$C$38:$C$76,0),MATCH($A27,$D$37:$N$37,0))</f>
        <v>20225.86915635239</v>
      </c>
      <c r="G27" s="14">
        <f t="array" ref="G27">INDEX($D$38:$N$76,MATCH(G$24&amp;$B$22,$B$38:$B$76&amp;$C$38:$C$76,0),MATCH($A27,$D$37:$N$37,0))</f>
        <v>19339.942180576189</v>
      </c>
      <c r="H27" s="14">
        <f t="array" ref="H27">INDEX($D$38:$N$76,MATCH(H$24&amp;$B$22,$B$38:$B$76&amp;$C$38:$C$76,0),MATCH($A27,$D$37:$N$37,0))</f>
        <v>20225.86915635239</v>
      </c>
      <c r="I27" s="14">
        <f t="array" ref="I27">INDEX($D$38:$N$76,MATCH(I$24&amp;$B$22,$B$38:$B$76&amp;$C$38:$C$76,0),MATCH($A27,$D$37:$N$37,0))</f>
        <v>20138.71081275303</v>
      </c>
      <c r="J27" s="14">
        <f t="array" ref="J27">INDEX($D$38:$N$76,MATCH(J$24&amp;$B$22,$B$38:$B$76&amp;$C$38:$C$76,0),MATCH($A27,$D$37:$N$37,0))</f>
        <v>20225.86915635239</v>
      </c>
      <c r="K27" s="14" t="e">
        <f t="array" ref="K27">INDEX($D$38:$N$76,MATCH(K$24&amp;$B$22,$B$38:$B$76&amp;$C$38:$C$76,0),MATCH($A27,$D$37:$N$37,0))</f>
        <v>#N/A</v>
      </c>
      <c r="L27" s="14" t="e">
        <f t="array" ref="L27">INDEX($D$38:$N$76,MATCH(L$24&amp;$B$22,$B$38:$B$76&amp;$C$38:$C$76,0),MATCH($A27,$D$37:$N$37,0))</f>
        <v>#N/A</v>
      </c>
      <c r="M27" s="14" t="e">
        <f t="array" ref="M27">INDEX($D$38:$N$76,MATCH(M$24&amp;$B$22,$B$38:$B$76&amp;$C$38:$C$76,0),MATCH($A27,$D$37:$N$37,0))</f>
        <v>#N/A</v>
      </c>
    </row>
    <row r="28" spans="1:13" x14ac:dyDescent="0.3">
      <c r="A28" s="3">
        <v>2040</v>
      </c>
      <c r="B28" s="14">
        <f t="array" ref="B28">INDEX($D$38:$N$76,MATCH(B$24&amp;$B$22,$B$38:$B$76&amp;$C$38:$C$76,0),MATCH($A28,$D$37:$N$37,0))</f>
        <v>16776.993594856656</v>
      </c>
      <c r="C28" s="14">
        <f t="array" ref="C28">INDEX($D$38:$N$76,MATCH(C$24&amp;$B$22,$B$38:$B$76&amp;$C$38:$C$76,0),MATCH($A28,$D$37:$N$37,0))</f>
        <v>16706.091942393632</v>
      </c>
      <c r="D28" s="14">
        <f t="array" ref="D28">INDEX($D$38:$N$76,MATCH(D$24&amp;$B$22,$B$38:$B$76&amp;$C$38:$C$76,0),MATCH($A28,$D$37:$N$37,0))</f>
        <v>14197.440737814602</v>
      </c>
      <c r="E28" s="14">
        <f t="array" ref="E28">INDEX($D$38:$N$76,MATCH(E$24&amp;$B$22,$B$38:$B$76&amp;$C$38:$C$76,0),MATCH($A28,$D$37:$N$37,0))</f>
        <v>14024.645413766413</v>
      </c>
      <c r="F28" s="14">
        <f t="array" ref="F28">INDEX($D$38:$N$76,MATCH(F$24&amp;$B$22,$B$38:$B$76&amp;$C$38:$C$76,0),MATCH($A28,$D$37:$N$37,0))</f>
        <v>14378.808592092724</v>
      </c>
      <c r="G28" s="14">
        <f t="array" ref="G28">INDEX($D$38:$N$76,MATCH(G$24&amp;$B$22,$B$38:$B$76&amp;$C$38:$C$76,0),MATCH($A28,$D$37:$N$37,0))</f>
        <v>13333.087408053952</v>
      </c>
      <c r="H28" s="14">
        <f t="array" ref="H28">INDEX($D$38:$N$76,MATCH(H$24&amp;$B$22,$B$38:$B$76&amp;$C$38:$C$76,0),MATCH($A28,$D$37:$N$37,0))</f>
        <v>14221.551905487046</v>
      </c>
      <c r="I28" s="14">
        <f t="array" ref="I28">INDEX($D$38:$N$76,MATCH(I$24&amp;$B$22,$B$38:$B$76&amp;$C$38:$C$76,0),MATCH($A28,$D$37:$N$37,0))</f>
        <v>14157.527638803433</v>
      </c>
      <c r="J28" s="14">
        <f t="array" ref="J28">INDEX($D$38:$N$76,MATCH(J$24&amp;$B$22,$B$38:$B$76&amp;$C$38:$C$76,0),MATCH($A28,$D$37:$N$37,0))</f>
        <v>14776.346650436313</v>
      </c>
      <c r="K28" s="14" t="e">
        <f t="array" ref="K28">INDEX($D$38:$N$76,MATCH(K$24&amp;$B$22,$B$38:$B$76&amp;$C$38:$C$76,0),MATCH($A28,$D$37:$N$37,0))</f>
        <v>#N/A</v>
      </c>
      <c r="L28" s="14" t="e">
        <f t="array" ref="L28">INDEX($D$38:$N$76,MATCH(L$24&amp;$B$22,$B$38:$B$76&amp;$C$38:$C$76,0),MATCH($A28,$D$37:$N$37,0))</f>
        <v>#N/A</v>
      </c>
      <c r="M28" s="14" t="e">
        <f t="array" ref="M28">INDEX($D$38:$N$76,MATCH(M$24&amp;$B$22,$B$38:$B$76&amp;$C$38:$C$76,0),MATCH($A28,$D$37:$N$37,0))</f>
        <v>#N/A</v>
      </c>
    </row>
    <row r="29" spans="1:13" x14ac:dyDescent="0.3">
      <c r="A29" s="3">
        <v>2050</v>
      </c>
      <c r="B29" s="14">
        <f t="array" ref="B29">INDEX($D$38:$N$76,MATCH(B$24&amp;$B$22,$B$38:$B$76&amp;$C$38:$C$76,0),MATCH($A29,$D$37:$N$37,0))</f>
        <v>12018.325978796083</v>
      </c>
      <c r="C29" s="14">
        <f t="array" ref="C29">INDEX($D$38:$N$76,MATCH(C$24&amp;$B$22,$B$38:$B$76&amp;$C$38:$C$76,0),MATCH($A29,$D$37:$N$37,0))</f>
        <v>12132.906800318578</v>
      </c>
      <c r="D29" s="14">
        <f t="array" ref="D29">INDEX($D$38:$N$76,MATCH(D$24&amp;$B$22,$B$38:$B$76&amp;$C$38:$C$76,0),MATCH($A29,$D$37:$N$37,0))</f>
        <v>10956.103861789159</v>
      </c>
      <c r="E29" s="14">
        <f t="array" ref="E29">INDEX($D$38:$N$76,MATCH(E$24&amp;$B$22,$B$38:$B$76&amp;$C$38:$C$76,0),MATCH($A29,$D$37:$N$37,0))</f>
        <v>10893.878704765588</v>
      </c>
      <c r="F29" s="14">
        <f t="array" ref="F29">INDEX($D$38:$N$76,MATCH(F$24&amp;$B$22,$B$38:$B$76&amp;$C$38:$C$76,0),MATCH($A29,$D$37:$N$37,0))</f>
        <v>11475.898696623379</v>
      </c>
      <c r="G29" s="14">
        <f t="array" ref="G29">INDEX($D$38:$N$76,MATCH(G$24&amp;$B$22,$B$38:$B$76&amp;$C$38:$C$76,0),MATCH($A29,$D$37:$N$37,0))</f>
        <v>7777.6571356451313</v>
      </c>
      <c r="H29" s="14">
        <f t="array" ref="H29">INDEX($D$38:$N$76,MATCH(H$24&amp;$B$22,$B$38:$B$76&amp;$C$38:$C$76,0),MATCH($A29,$D$37:$N$37,0))</f>
        <v>13629.535473681035</v>
      </c>
      <c r="I29" s="14">
        <f t="array" ref="I29">INDEX($D$38:$N$76,MATCH(I$24&amp;$B$22,$B$38:$B$76&amp;$C$38:$C$76,0),MATCH($A29,$D$37:$N$37,0))</f>
        <v>10742.911837242284</v>
      </c>
      <c r="J29" s="14">
        <f t="array" ref="J29">INDEX($D$38:$N$76,MATCH(J$24&amp;$B$22,$B$38:$B$76&amp;$C$38:$C$76,0),MATCH($A29,$D$37:$N$37,0))</f>
        <v>11624.399868893737</v>
      </c>
      <c r="K29" s="14" t="e">
        <f t="array" ref="K29">INDEX($D$38:$N$76,MATCH(K$24&amp;$B$22,$B$38:$B$76&amp;$C$38:$C$76,0),MATCH($A29,$D$37:$N$37,0))</f>
        <v>#N/A</v>
      </c>
      <c r="L29" s="14" t="e">
        <f t="array" ref="L29">INDEX($D$38:$N$76,MATCH(L$24&amp;$B$22,$B$38:$B$76&amp;$C$38:$C$76,0),MATCH($A29,$D$37:$N$37,0))</f>
        <v>#N/A</v>
      </c>
      <c r="M29" s="14" t="e">
        <f t="array" ref="M29">INDEX($D$38:$N$76,MATCH(M$24&amp;$B$22,$B$38:$B$76&amp;$C$38:$C$76,0),MATCH($A29,$D$37:$N$37,0))</f>
        <v>#N/A</v>
      </c>
    </row>
    <row r="30" spans="1:13" x14ac:dyDescent="0.3">
      <c r="A30" s="3">
        <v>2060</v>
      </c>
      <c r="B30" s="14">
        <f t="array" ref="B30">INDEX($D$38:$N$76,MATCH(B$24&amp;$B$22,$B$38:$B$76&amp;$C$38:$C$76,0),MATCH($A30,$D$37:$N$37,0))</f>
        <v>7824.8122377775708</v>
      </c>
      <c r="C30" s="14">
        <f t="array" ref="C30">INDEX($D$38:$N$76,MATCH(C$24&amp;$B$22,$B$38:$B$76&amp;$C$38:$C$76,0),MATCH($A30,$D$37:$N$37,0))</f>
        <v>7712.1815078977716</v>
      </c>
      <c r="D30" s="14">
        <f t="array" ref="D30">INDEX($D$38:$N$76,MATCH(D$24&amp;$B$22,$B$38:$B$76&amp;$C$38:$C$76,0),MATCH($A30,$D$37:$N$37,0))</f>
        <v>7736.3581356980012</v>
      </c>
      <c r="E30" s="14">
        <f t="array" ref="E30">INDEX($D$38:$N$76,MATCH(E$24&amp;$B$22,$B$38:$B$76&amp;$C$38:$C$76,0),MATCH($A30,$D$37:$N$37,0))</f>
        <v>8169.2750537459551</v>
      </c>
      <c r="F30" s="14">
        <f t="array" ref="F30">INDEX($D$38:$N$76,MATCH(F$24&amp;$B$22,$B$38:$B$76&amp;$C$38:$C$76,0),MATCH($A30,$D$37:$N$37,0))</f>
        <v>8313.4793878522123</v>
      </c>
      <c r="G30" s="14">
        <f t="array" ref="G30">INDEX($D$38:$N$76,MATCH(G$24&amp;$B$22,$B$38:$B$76&amp;$C$38:$C$76,0),MATCH($A30,$D$37:$N$37,0))</f>
        <v>5281.1328435769965</v>
      </c>
      <c r="H30" s="14">
        <f t="array" ref="H30">INDEX($D$38:$N$76,MATCH(H$24&amp;$B$22,$B$38:$B$76&amp;$C$38:$C$76,0),MATCH($A30,$D$37:$N$37,0))</f>
        <v>6229.5636917921356</v>
      </c>
      <c r="I30" s="14">
        <f t="array" ref="I30">INDEX($D$38:$N$76,MATCH(I$24&amp;$B$22,$B$38:$B$76&amp;$C$38:$C$76,0),MATCH($A30,$D$37:$N$37,0))</f>
        <v>8144.0138232048603</v>
      </c>
      <c r="J30" s="14">
        <f t="array" ref="J30">INDEX($D$38:$N$76,MATCH(J$24&amp;$B$22,$B$38:$B$76&amp;$C$38:$C$76,0),MATCH($A30,$D$37:$N$37,0))</f>
        <v>7906.0847153413233</v>
      </c>
      <c r="K30" s="14" t="e">
        <f t="array" ref="K30">INDEX($D$38:$N$76,MATCH(K$24&amp;$B$22,$B$38:$B$76&amp;$C$38:$C$76,0),MATCH($A30,$D$37:$N$37,0))</f>
        <v>#N/A</v>
      </c>
      <c r="L30" s="14" t="e">
        <f t="array" ref="L30">INDEX($D$38:$N$76,MATCH(L$24&amp;$B$22,$B$38:$B$76&amp;$C$38:$C$76,0),MATCH($A30,$D$37:$N$37,0))</f>
        <v>#N/A</v>
      </c>
      <c r="M30" s="14" t="e">
        <f t="array" ref="M30">INDEX($D$38:$N$76,MATCH(M$24&amp;$B$22,$B$38:$B$76&amp;$C$38:$C$76,0),MATCH($A30,$D$37:$N$37,0))</f>
        <v>#N/A</v>
      </c>
    </row>
    <row r="31" spans="1:13" x14ac:dyDescent="0.3">
      <c r="A31" s="3">
        <v>2070</v>
      </c>
      <c r="B31" s="14">
        <f t="array" ref="B31">INDEX($D$38:$N$76,MATCH(B$24&amp;$B$22,$B$38:$B$76&amp;$C$38:$C$76,0),MATCH($A31,$D$37:$N$37,0))</f>
        <v>7843.4001362054478</v>
      </c>
      <c r="C31" s="14">
        <f t="array" ref="C31">INDEX($D$38:$N$76,MATCH(C$24&amp;$B$22,$B$38:$B$76&amp;$C$38:$C$76,0),MATCH($A31,$D$37:$N$37,0))</f>
        <v>7871.3298730291572</v>
      </c>
      <c r="D31" s="14">
        <f t="array" ref="D31">INDEX($D$38:$N$76,MATCH(D$24&amp;$B$22,$B$38:$B$76&amp;$C$38:$C$76,0),MATCH($A31,$D$37:$N$37,0))</f>
        <v>7770.6699905337182</v>
      </c>
      <c r="E31" s="14">
        <f t="array" ref="E31">INDEX($D$38:$N$76,MATCH(E$24&amp;$B$22,$B$38:$B$76&amp;$C$38:$C$76,0),MATCH($A31,$D$37:$N$37,0))</f>
        <v>9047.6435084117493</v>
      </c>
      <c r="F31" s="14">
        <f t="array" ref="F31">INDEX($D$38:$N$76,MATCH(F$24&amp;$B$22,$B$38:$B$76&amp;$C$38:$C$76,0),MATCH($A31,$D$37:$N$37,0))</f>
        <v>8672.2435471836579</v>
      </c>
      <c r="G31" s="14">
        <f t="array" ref="G31">INDEX($D$38:$N$76,MATCH(G$24&amp;$B$22,$B$38:$B$76&amp;$C$38:$C$76,0),MATCH($A31,$D$37:$N$37,0))</f>
        <v>7944.466158045615</v>
      </c>
      <c r="H31" s="14">
        <f t="array" ref="H31">INDEX($D$38:$N$76,MATCH(H$24&amp;$B$22,$B$38:$B$76&amp;$C$38:$C$76,0),MATCH($A31,$D$37:$N$37,0))</f>
        <v>9258.165214162269</v>
      </c>
      <c r="I31" s="14">
        <f t="array" ref="I31">INDEX($D$38:$N$76,MATCH(I$24&amp;$B$22,$B$38:$B$76&amp;$C$38:$C$76,0),MATCH($A31,$D$37:$N$37,0))</f>
        <v>5841.5589683353264</v>
      </c>
      <c r="J31" s="14">
        <f t="array" ref="J31">INDEX($D$38:$N$76,MATCH(J$24&amp;$B$22,$B$38:$B$76&amp;$C$38:$C$76,0),MATCH($A31,$D$37:$N$37,0))</f>
        <v>8160.7199758854249</v>
      </c>
      <c r="K31" s="14" t="e">
        <f t="array" ref="K31">INDEX($D$38:$N$76,MATCH(K$24&amp;$B$22,$B$38:$B$76&amp;$C$38:$C$76,0),MATCH($A31,$D$37:$N$37,0))</f>
        <v>#N/A</v>
      </c>
      <c r="L31" s="14" t="e">
        <f t="array" ref="L31">INDEX($D$38:$N$76,MATCH(L$24&amp;$B$22,$B$38:$B$76&amp;$C$38:$C$76,0),MATCH($A31,$D$37:$N$37,0))</f>
        <v>#N/A</v>
      </c>
      <c r="M31" s="14" t="e">
        <f t="array" ref="M31">INDEX($D$38:$N$76,MATCH(M$24&amp;$B$22,$B$38:$B$76&amp;$C$38:$C$76,0),MATCH($A31,$D$37:$N$37,0))</f>
        <v>#N/A</v>
      </c>
    </row>
    <row r="32" spans="1:13" x14ac:dyDescent="0.3">
      <c r="A32" s="3">
        <v>2080</v>
      </c>
      <c r="B32" s="14">
        <f t="array" ref="B32">INDEX($D$38:$N$76,MATCH(B$24&amp;$B$22,$B$38:$B$76&amp;$C$38:$C$76,0),MATCH($A32,$D$37:$N$37,0))</f>
        <v>7785.6318692320428</v>
      </c>
      <c r="C32" s="14">
        <f t="array" ref="C32">INDEX($D$38:$N$76,MATCH(C$24&amp;$B$22,$B$38:$B$76&amp;$C$38:$C$76,0),MATCH($A32,$D$37:$N$37,0))</f>
        <v>7785.5859221277797</v>
      </c>
      <c r="D32" s="14">
        <f t="array" ref="D32">INDEX($D$38:$N$76,MATCH(D$24&amp;$B$22,$B$38:$B$76&amp;$C$38:$C$76,0),MATCH($A32,$D$37:$N$37,0))</f>
        <v>7933.1584524306381</v>
      </c>
      <c r="E32" s="14">
        <f t="array" ref="E32">INDEX($D$38:$N$76,MATCH(E$24&amp;$B$22,$B$38:$B$76&amp;$C$38:$C$76,0),MATCH($A32,$D$37:$N$37,0))</f>
        <v>7314.661470208719</v>
      </c>
      <c r="F32" s="14">
        <f t="array" ref="F32">INDEX($D$38:$N$76,MATCH(F$24&amp;$B$22,$B$38:$B$76&amp;$C$38:$C$76,0),MATCH($A32,$D$37:$N$37,0))</f>
        <v>6383.1879090308039</v>
      </c>
      <c r="G32" s="14">
        <f t="array" ref="G32">INDEX($D$38:$N$76,MATCH(G$24&amp;$B$22,$B$38:$B$76&amp;$C$38:$C$76,0),MATCH($A32,$D$37:$N$37,0))</f>
        <v>6021.2491967015776</v>
      </c>
      <c r="H32" s="14">
        <f t="array" ref="H32">INDEX($D$38:$N$76,MATCH(H$24&amp;$B$22,$B$38:$B$76&amp;$C$38:$C$76,0),MATCH($A32,$D$37:$N$37,0))</f>
        <v>8080.1618976774835</v>
      </c>
      <c r="I32" s="14">
        <f t="array" ref="I32">INDEX($D$38:$N$76,MATCH(I$24&amp;$B$22,$B$38:$B$76&amp;$C$38:$C$76,0),MATCH($A32,$D$37:$N$37,0))</f>
        <v>4890.0229577575838</v>
      </c>
      <c r="J32" s="14">
        <f t="array" ref="J32">INDEX($D$38:$N$76,MATCH(J$24&amp;$B$22,$B$38:$B$76&amp;$C$38:$C$76,0),MATCH($A32,$D$37:$N$37,0))</f>
        <v>4945.974546383909</v>
      </c>
      <c r="K32" s="14" t="e">
        <f t="array" ref="K32">INDEX($D$38:$N$76,MATCH(K$24&amp;$B$22,$B$38:$B$76&amp;$C$38:$C$76,0),MATCH($A32,$D$37:$N$37,0))</f>
        <v>#N/A</v>
      </c>
      <c r="L32" s="14" t="e">
        <f t="array" ref="L32">INDEX($D$38:$N$76,MATCH(L$24&amp;$B$22,$B$38:$B$76&amp;$C$38:$C$76,0),MATCH($A32,$D$37:$N$37,0))</f>
        <v>#N/A</v>
      </c>
      <c r="M32" s="14" t="e">
        <f t="array" ref="M32">INDEX($D$38:$N$76,MATCH(M$24&amp;$B$22,$B$38:$B$76&amp;$C$38:$C$76,0),MATCH($A32,$D$37:$N$37,0))</f>
        <v>#N/A</v>
      </c>
    </row>
    <row r="33" spans="1:19" x14ac:dyDescent="0.3">
      <c r="A33" s="3">
        <v>2090</v>
      </c>
      <c r="B33" s="14">
        <f t="array" ref="B33">INDEX($D$38:$N$76,MATCH(B$24&amp;$B$22,$B$38:$B$76&amp;$C$38:$C$76,0),MATCH($A33,$D$37:$N$37,0))</f>
        <v>8110.8534596198169</v>
      </c>
      <c r="C33" s="14">
        <f t="array" ref="C33">INDEX($D$38:$N$76,MATCH(C$24&amp;$B$22,$B$38:$B$76&amp;$C$38:$C$76,0),MATCH($A33,$D$37:$N$37,0))</f>
        <v>8132.1630511006551</v>
      </c>
      <c r="D33" s="14">
        <f t="array" ref="D33">INDEX($D$38:$N$76,MATCH(D$24&amp;$B$22,$B$38:$B$76&amp;$C$38:$C$76,0),MATCH($A33,$D$37:$N$37,0))</f>
        <v>8130.0988265003252</v>
      </c>
      <c r="E33" s="14">
        <f t="array" ref="E33">INDEX($D$38:$N$76,MATCH(E$24&amp;$B$22,$B$38:$B$76&amp;$C$38:$C$76,0),MATCH($A33,$D$37:$N$37,0))</f>
        <v>5645.2177791966333</v>
      </c>
      <c r="F33" s="14">
        <f t="array" ref="F33">INDEX($D$38:$N$76,MATCH(F$24&amp;$B$22,$B$38:$B$76&amp;$C$38:$C$76,0),MATCH($A33,$D$37:$N$37,0))</f>
        <v>5538.0105782579903</v>
      </c>
      <c r="G33" s="14">
        <f t="array" ref="G33">INDEX($D$38:$N$76,MATCH(G$24&amp;$B$22,$B$38:$B$76&amp;$C$38:$C$76,0),MATCH($A33,$D$37:$N$37,0))</f>
        <v>5164.1696370958562</v>
      </c>
      <c r="H33" s="14">
        <f t="array" ref="H33">INDEX($D$38:$N$76,MATCH(H$24&amp;$B$22,$B$38:$B$76&amp;$C$38:$C$76,0),MATCH($A33,$D$37:$N$37,0))</f>
        <v>9369.6293047283252</v>
      </c>
      <c r="I33" s="14">
        <f t="array" ref="I33">INDEX($D$38:$N$76,MATCH(I$24&amp;$B$22,$B$38:$B$76&amp;$C$38:$C$76,0),MATCH($A33,$D$37:$N$37,0))</f>
        <v>4328.7524387057892</v>
      </c>
      <c r="J33" s="14">
        <f t="array" ref="J33">INDEX($D$38:$N$76,MATCH(J$24&amp;$B$22,$B$38:$B$76&amp;$C$38:$C$76,0),MATCH($A33,$D$37:$N$37,0))</f>
        <v>4590.252420449172</v>
      </c>
      <c r="K33" s="14" t="e">
        <f t="array" ref="K33">INDEX($D$38:$N$76,MATCH(K$24&amp;$B$22,$B$38:$B$76&amp;$C$38:$C$76,0),MATCH($A33,$D$37:$N$37,0))</f>
        <v>#N/A</v>
      </c>
      <c r="L33" s="14" t="e">
        <f t="array" ref="L33">INDEX($D$38:$N$76,MATCH(L$24&amp;$B$22,$B$38:$B$76&amp;$C$38:$C$76,0),MATCH($A33,$D$37:$N$37,0))</f>
        <v>#N/A</v>
      </c>
      <c r="M33" s="14" t="e">
        <f t="array" ref="M33">INDEX($D$38:$N$76,MATCH(M$24&amp;$B$22,$B$38:$B$76&amp;$C$38:$C$76,0),MATCH($A33,$D$37:$N$37,0))</f>
        <v>#N/A</v>
      </c>
    </row>
    <row r="34" spans="1:19" x14ac:dyDescent="0.3">
      <c r="A34" s="3">
        <v>2100</v>
      </c>
      <c r="B34" s="14">
        <f t="array" ref="B34">INDEX($D$38:$N$76,MATCH(B$24&amp;$B$22,$B$38:$B$76&amp;$C$38:$C$76,0),MATCH($A34,$D$37:$N$37,0))</f>
        <v>6663.6420528202289</v>
      </c>
      <c r="C34" s="14">
        <f t="array" ref="C34">INDEX($D$38:$N$76,MATCH(C$24&amp;$B$22,$B$38:$B$76&amp;$C$38:$C$76,0),MATCH($A34,$D$37:$N$37,0))</f>
        <v>6696.0875897402093</v>
      </c>
      <c r="D34" s="14">
        <f t="array" ref="D34">INDEX($D$38:$N$76,MATCH(D$24&amp;$B$22,$B$38:$B$76&amp;$C$38:$C$76,0),MATCH($A34,$D$37:$N$37,0))</f>
        <v>6697.9467794543089</v>
      </c>
      <c r="E34" s="14">
        <f t="array" ref="E34">INDEX($D$38:$N$76,MATCH(E$24&amp;$B$22,$B$38:$B$76&amp;$C$38:$C$76,0),MATCH($A34,$D$37:$N$37,0))</f>
        <v>4568.9504529775704</v>
      </c>
      <c r="F34" s="14">
        <f t="array" ref="F34">INDEX($D$38:$N$76,MATCH(F$24&amp;$B$22,$B$38:$B$76&amp;$C$38:$C$76,0),MATCH($A34,$D$37:$N$37,0))</f>
        <v>4349.9203552229837</v>
      </c>
      <c r="G34" s="14">
        <f t="array" ref="G34">INDEX($D$38:$N$76,MATCH(G$24&amp;$B$22,$B$38:$B$76&amp;$C$38:$C$76,0),MATCH($A34,$D$37:$N$37,0))</f>
        <v>4148.7020826688013</v>
      </c>
      <c r="H34" s="14">
        <f t="array" ref="H34">INDEX($D$38:$N$76,MATCH(H$24&amp;$B$22,$B$38:$B$76&amp;$C$38:$C$76,0),MATCH($A34,$D$37:$N$37,0))</f>
        <v>9672.4924397201485</v>
      </c>
      <c r="I34" s="14">
        <f t="array" ref="I34">INDEX($D$38:$N$76,MATCH(I$24&amp;$B$22,$B$38:$B$76&amp;$C$38:$C$76,0),MATCH($A34,$D$37:$N$37,0))</f>
        <v>3485.1651417561184</v>
      </c>
      <c r="J34" s="14">
        <f t="array" ref="J34">INDEX($D$38:$N$76,MATCH(J$24&amp;$B$22,$B$38:$B$76&amp;$C$38:$C$76,0),MATCH($A34,$D$37:$N$37,0))</f>
        <v>3777.8344546131161</v>
      </c>
      <c r="K34" s="14" t="e">
        <f t="array" ref="K34">INDEX($D$38:$N$76,MATCH(K$24&amp;$B$22,$B$38:$B$76&amp;$C$38:$C$76,0),MATCH($A34,$D$37:$N$37,0))</f>
        <v>#N/A</v>
      </c>
      <c r="L34" s="14" t="e">
        <f t="array" ref="L34">INDEX($D$38:$N$76,MATCH(L$24&amp;$B$22,$B$38:$B$76&amp;$C$38:$C$76,0),MATCH($A34,$D$37:$N$37,0))</f>
        <v>#N/A</v>
      </c>
      <c r="M34" s="14" t="e">
        <f t="array" ref="M34">INDEX($D$38:$N$76,MATCH(M$24&amp;$B$22,$B$38:$B$76&amp;$C$38:$C$76,0),MATCH($A34,$D$37:$N$37,0))</f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C37" s="3" t="s">
        <v>9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C38" s="3" t="s">
        <v>12</v>
      </c>
      <c r="D38" s="14">
        <v>3713.3499864076566</v>
      </c>
      <c r="E38" s="14">
        <v>9326.5813623263857</v>
      </c>
      <c r="F38" s="14">
        <v>16618.833122363991</v>
      </c>
      <c r="G38" s="14">
        <v>19636.194093658214</v>
      </c>
      <c r="H38" s="14">
        <v>16776.993594856656</v>
      </c>
      <c r="I38" s="14">
        <v>12018.325978796083</v>
      </c>
      <c r="J38" s="14">
        <v>7824.8122377775708</v>
      </c>
      <c r="K38" s="14">
        <v>7843.4001362054478</v>
      </c>
      <c r="L38" s="14">
        <v>7785.6318692320428</v>
      </c>
      <c r="M38" s="14">
        <v>8110.8534596198169</v>
      </c>
      <c r="N38" s="14">
        <v>6663.6420528202289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C39" s="3" t="s">
        <v>12</v>
      </c>
      <c r="D39" s="14">
        <v>3714.1238642586795</v>
      </c>
      <c r="E39" s="14">
        <v>9330.1855749493734</v>
      </c>
      <c r="F39" s="14">
        <v>16336.166935038456</v>
      </c>
      <c r="G39" s="14">
        <v>19842.678610732997</v>
      </c>
      <c r="H39" s="14">
        <v>16706.091942393632</v>
      </c>
      <c r="I39" s="14">
        <v>12132.906800318578</v>
      </c>
      <c r="J39" s="14">
        <v>7712.1815078977716</v>
      </c>
      <c r="K39" s="14">
        <v>7871.3298730291572</v>
      </c>
      <c r="L39" s="14">
        <v>7785.5859221277797</v>
      </c>
      <c r="M39" s="14">
        <v>8132.1630511006551</v>
      </c>
      <c r="N39" s="14">
        <v>6696.0875897402093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C40" s="3" t="s">
        <v>12</v>
      </c>
      <c r="D40" s="14">
        <v>3713.3499864076566</v>
      </c>
      <c r="E40" s="14">
        <v>9326.5813623263857</v>
      </c>
      <c r="F40" s="14">
        <v>16468.105087610649</v>
      </c>
      <c r="G40" s="14">
        <v>20225.86915635239</v>
      </c>
      <c r="H40" s="14">
        <v>14197.440737814602</v>
      </c>
      <c r="I40" s="14">
        <v>10956.103861789159</v>
      </c>
      <c r="J40" s="14">
        <v>7736.3581356980012</v>
      </c>
      <c r="K40" s="14">
        <v>7770.6699905337182</v>
      </c>
      <c r="L40" s="14">
        <v>7933.1584524306381</v>
      </c>
      <c r="M40" s="14">
        <v>8130.0988265003252</v>
      </c>
      <c r="N40" s="14">
        <v>6697.9467794543089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C41" s="3" t="s">
        <v>12</v>
      </c>
      <c r="D41" s="14">
        <v>3713.3499864076566</v>
      </c>
      <c r="E41" s="14">
        <v>9326.5813623263857</v>
      </c>
      <c r="F41" s="14">
        <v>16468.105087610649</v>
      </c>
      <c r="G41" s="14">
        <v>20400.403718968148</v>
      </c>
      <c r="H41" s="14">
        <v>14024.645413766413</v>
      </c>
      <c r="I41" s="14">
        <v>10893.878704765588</v>
      </c>
      <c r="J41" s="14">
        <v>8169.2750537459551</v>
      </c>
      <c r="K41" s="14">
        <v>9047.6435084117493</v>
      </c>
      <c r="L41" s="14">
        <v>7314.661470208719</v>
      </c>
      <c r="M41" s="14">
        <v>5645.2177791966333</v>
      </c>
      <c r="N41" s="14">
        <v>4568.9504529775704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C42" s="3" t="s">
        <v>12</v>
      </c>
      <c r="D42" s="14">
        <v>3713.3499864076566</v>
      </c>
      <c r="E42" s="14">
        <v>9326.5813623263857</v>
      </c>
      <c r="F42" s="14">
        <v>16468.105087610649</v>
      </c>
      <c r="G42" s="14">
        <v>20225.86915635239</v>
      </c>
      <c r="H42" s="14">
        <v>11118.137888639105</v>
      </c>
      <c r="I42" s="14">
        <v>8796.0720470563665</v>
      </c>
      <c r="J42" s="14">
        <v>7418.1870785351339</v>
      </c>
      <c r="K42" s="14">
        <v>8125.3147798296286</v>
      </c>
      <c r="L42" s="14">
        <v>7413.380040056295</v>
      </c>
      <c r="M42" s="14">
        <v>6046.570860460346</v>
      </c>
      <c r="N42" s="14">
        <v>4599.0028925440747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C43" s="3" t="s">
        <v>12</v>
      </c>
      <c r="D43" s="14">
        <v>3713.3499864076566</v>
      </c>
      <c r="E43" s="14">
        <v>9326.5813623263857</v>
      </c>
      <c r="F43" s="14">
        <v>16468.105087610649</v>
      </c>
      <c r="G43" s="14">
        <v>20400.403718968133</v>
      </c>
      <c r="H43" s="14">
        <v>13978.43610022854</v>
      </c>
      <c r="I43" s="14">
        <v>10858.216109990408</v>
      </c>
      <c r="J43" s="14">
        <v>8189.7362718609793</v>
      </c>
      <c r="K43" s="14">
        <v>9170.8418461001966</v>
      </c>
      <c r="L43" s="14">
        <v>7338.5881461601894</v>
      </c>
      <c r="M43" s="14">
        <v>5645.9739226037873</v>
      </c>
      <c r="N43" s="14">
        <v>4570.9143740592135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C44" s="3" t="s">
        <v>12</v>
      </c>
      <c r="D44" s="14">
        <v>3713.3499864076566</v>
      </c>
      <c r="E44" s="14">
        <v>9326.5813623263857</v>
      </c>
      <c r="F44" s="14">
        <v>16468.105087610649</v>
      </c>
      <c r="G44" s="14">
        <v>20225.86915635239</v>
      </c>
      <c r="H44" s="14">
        <v>14376.329334129507</v>
      </c>
      <c r="I44" s="14">
        <v>11481.900640142663</v>
      </c>
      <c r="J44" s="14">
        <v>8346.3228707606759</v>
      </c>
      <c r="K44" s="14">
        <v>8796.1109133136579</v>
      </c>
      <c r="L44" s="14">
        <v>6390.0316122002187</v>
      </c>
      <c r="M44" s="14">
        <v>5483.2439083985173</v>
      </c>
      <c r="N44" s="14">
        <v>4349.0933715476458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C45" s="3" t="s">
        <v>12</v>
      </c>
      <c r="D45" s="14">
        <v>3713.3499864076566</v>
      </c>
      <c r="E45" s="14">
        <v>9326.5813623263857</v>
      </c>
      <c r="F45" s="14">
        <v>16468.105087610649</v>
      </c>
      <c r="G45" s="14">
        <v>19339.942180576189</v>
      </c>
      <c r="H45" s="14">
        <v>13333.087408053952</v>
      </c>
      <c r="I45" s="14">
        <v>7777.6571356451313</v>
      </c>
      <c r="J45" s="14">
        <v>5281.1328435769965</v>
      </c>
      <c r="K45" s="14">
        <v>7944.466158045615</v>
      </c>
      <c r="L45" s="14">
        <v>6021.2491967015776</v>
      </c>
      <c r="M45" s="14">
        <v>5164.1696370958562</v>
      </c>
      <c r="N45" s="14">
        <v>4148.7020826688013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C46" s="3" t="s">
        <v>12</v>
      </c>
      <c r="D46" s="14">
        <v>3713.3499864076566</v>
      </c>
      <c r="E46" s="14">
        <v>9326.5813623263857</v>
      </c>
      <c r="F46" s="14">
        <v>16468.105087610649</v>
      </c>
      <c r="G46" s="14">
        <v>20225.86915635239</v>
      </c>
      <c r="H46" s="14">
        <v>14221.551905487046</v>
      </c>
      <c r="I46" s="14">
        <v>13629.535473681035</v>
      </c>
      <c r="J46" s="14">
        <v>6229.5636917921356</v>
      </c>
      <c r="K46" s="14">
        <v>9258.165214162269</v>
      </c>
      <c r="L46" s="14">
        <v>8080.1618976774835</v>
      </c>
      <c r="M46" s="14">
        <v>9369.6293047283252</v>
      </c>
      <c r="N46" s="14">
        <v>9672.4924397201485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C47" s="3" t="s">
        <v>12</v>
      </c>
      <c r="D47" s="14">
        <v>3713.3499864076566</v>
      </c>
      <c r="E47" s="14">
        <v>9326.5813623263857</v>
      </c>
      <c r="F47" s="14">
        <v>16468.105087610649</v>
      </c>
      <c r="G47" s="14">
        <v>19458.922447177247</v>
      </c>
      <c r="H47" s="14">
        <v>13319.774084146595</v>
      </c>
      <c r="I47" s="14">
        <v>7595.3523792373699</v>
      </c>
      <c r="J47" s="14">
        <v>5408.9108186507774</v>
      </c>
      <c r="K47" s="14">
        <v>7872.3770260058054</v>
      </c>
      <c r="L47" s="14">
        <v>6205.6590840001463</v>
      </c>
      <c r="M47" s="14">
        <v>5199.9636275216235</v>
      </c>
      <c r="N47" s="14">
        <v>4283.254859992976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C48" s="3" t="s">
        <v>12</v>
      </c>
      <c r="D48" s="14">
        <v>3713.3499864076566</v>
      </c>
      <c r="E48" s="14">
        <v>9326.5813623263857</v>
      </c>
      <c r="F48" s="14">
        <v>16468.105087610649</v>
      </c>
      <c r="G48" s="14">
        <v>20225.86915635239</v>
      </c>
      <c r="H48" s="14">
        <v>14267.276678181355</v>
      </c>
      <c r="I48" s="14">
        <v>12342.042404749984</v>
      </c>
      <c r="J48" s="14">
        <v>5568.1314030531712</v>
      </c>
      <c r="K48" s="14">
        <v>9258.0782095382365</v>
      </c>
      <c r="L48" s="14">
        <v>8147.9570734272083</v>
      </c>
      <c r="M48" s="14">
        <v>9406.9177766863759</v>
      </c>
      <c r="N48" s="14">
        <v>9675.6131309900447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C49" s="3" t="s">
        <v>12</v>
      </c>
      <c r="D49" s="14">
        <v>3713.3499864076566</v>
      </c>
      <c r="E49" s="14">
        <v>9326.5813623263857</v>
      </c>
      <c r="F49" s="14">
        <v>16468.105087610649</v>
      </c>
      <c r="G49" s="14">
        <v>19339.942180576189</v>
      </c>
      <c r="H49" s="14">
        <v>13333.087408053952</v>
      </c>
      <c r="I49" s="14">
        <v>7777.6571368007908</v>
      </c>
      <c r="J49" s="14">
        <v>5281.1328435348751</v>
      </c>
      <c r="K49" s="14">
        <v>7944.466165243557</v>
      </c>
      <c r="L49" s="14">
        <v>6021.252497150037</v>
      </c>
      <c r="M49" s="14">
        <v>5164.1697716021963</v>
      </c>
      <c r="N49" s="14">
        <v>4148.7018220791842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C50" s="3" t="s">
        <v>12</v>
      </c>
      <c r="D50" s="14">
        <v>3713.3499864076566</v>
      </c>
      <c r="E50" s="14">
        <v>9326.5813623263857</v>
      </c>
      <c r="F50" s="14">
        <v>16468.105087610649</v>
      </c>
      <c r="G50" s="14">
        <v>20225.86915635239</v>
      </c>
      <c r="H50" s="14">
        <v>14221.551905487046</v>
      </c>
      <c r="I50" s="14">
        <v>13629.535473681035</v>
      </c>
      <c r="J50" s="14">
        <v>6229.5636917921356</v>
      </c>
      <c r="K50" s="14">
        <v>9258.1652141623017</v>
      </c>
      <c r="L50" s="14">
        <v>8080.1618976774807</v>
      </c>
      <c r="M50" s="14">
        <v>9369.6293047283252</v>
      </c>
      <c r="N50" s="14">
        <v>9672.4924397200539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C51" s="3" t="s">
        <v>12</v>
      </c>
      <c r="D51" s="14">
        <v>3713.3499864076566</v>
      </c>
      <c r="E51" s="14">
        <v>9326.5813623263857</v>
      </c>
      <c r="F51" s="14">
        <v>16468.105087610649</v>
      </c>
      <c r="G51" s="14">
        <v>21056.230439941635</v>
      </c>
      <c r="H51" s="14">
        <v>13713.656057592823</v>
      </c>
      <c r="I51" s="14">
        <v>9098.9216377844805</v>
      </c>
      <c r="J51" s="14">
        <v>5555.4140520838882</v>
      </c>
      <c r="K51" s="14">
        <v>5947.0026822951868</v>
      </c>
      <c r="L51" s="14">
        <v>5158.8095789980225</v>
      </c>
      <c r="M51" s="14">
        <v>5109.4033320088038</v>
      </c>
      <c r="N51" s="14">
        <v>4074.0951660812625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C52" s="3" t="s">
        <v>12</v>
      </c>
      <c r="D52" s="14">
        <v>3713.3499864076566</v>
      </c>
      <c r="E52" s="14">
        <v>9326.5813623263857</v>
      </c>
      <c r="F52" s="14">
        <v>16468.105087610649</v>
      </c>
      <c r="G52" s="14">
        <v>20225.86915635239</v>
      </c>
      <c r="H52" s="14">
        <v>14378.808592092724</v>
      </c>
      <c r="I52" s="14">
        <v>11475.898696623379</v>
      </c>
      <c r="J52" s="14">
        <v>8313.4793878522123</v>
      </c>
      <c r="K52" s="14">
        <v>8672.2435471836579</v>
      </c>
      <c r="L52" s="14">
        <v>6383.1879090308039</v>
      </c>
      <c r="M52" s="14">
        <v>5538.0105782579903</v>
      </c>
      <c r="N52" s="14">
        <v>4349.9203552229837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C53" s="3" t="s">
        <v>12</v>
      </c>
      <c r="D53" s="14">
        <v>3713.3499864076566</v>
      </c>
      <c r="E53" s="14">
        <v>9326.5813623263857</v>
      </c>
      <c r="F53" s="14">
        <v>16468.105087610649</v>
      </c>
      <c r="G53" s="14">
        <v>20225.86915635239</v>
      </c>
      <c r="H53" s="14">
        <v>15310.830122502373</v>
      </c>
      <c r="I53" s="14">
        <v>13990.297470260253</v>
      </c>
      <c r="J53" s="14">
        <v>6016.2694700969814</v>
      </c>
      <c r="K53" s="14">
        <v>5941.5112766903112</v>
      </c>
      <c r="L53" s="14">
        <v>4442.1658961633248</v>
      </c>
      <c r="M53" s="14">
        <v>5376.0579975151413</v>
      </c>
      <c r="N53" s="14">
        <v>5004.0868040763689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C54" s="3" t="s">
        <v>12</v>
      </c>
      <c r="D54" s="14">
        <v>3713.3499864076566</v>
      </c>
      <c r="E54" s="14">
        <v>9326.5813623263857</v>
      </c>
      <c r="F54" s="14">
        <v>16468.105087610649</v>
      </c>
      <c r="G54" s="14">
        <v>12992.571284812469</v>
      </c>
      <c r="H54" s="14">
        <v>12341.357551429241</v>
      </c>
      <c r="I54" s="14">
        <v>6409.1487377526901</v>
      </c>
      <c r="J54" s="14">
        <v>4735.0093535251781</v>
      </c>
      <c r="K54" s="14">
        <v>7650.2840620193019</v>
      </c>
      <c r="L54" s="14">
        <v>6708.4833944344318</v>
      </c>
      <c r="M54" s="14">
        <v>5079.9093918709441</v>
      </c>
      <c r="N54" s="14">
        <v>4221.7022066088248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C55" s="3" t="s">
        <v>12</v>
      </c>
      <c r="D55" s="14">
        <v>3713.3499864076566</v>
      </c>
      <c r="E55" s="14">
        <v>9326.5813623263857</v>
      </c>
      <c r="F55" s="14">
        <v>16468.105087610649</v>
      </c>
      <c r="G55" s="14">
        <v>20225.86915635239</v>
      </c>
      <c r="H55" s="14">
        <v>11424.922505919047</v>
      </c>
      <c r="I55" s="14">
        <v>11084.979081131463</v>
      </c>
      <c r="J55" s="14">
        <v>5121.8268337185173</v>
      </c>
      <c r="K55" s="14">
        <v>8143.8654277560063</v>
      </c>
      <c r="L55" s="14">
        <v>7111.4705398057176</v>
      </c>
      <c r="M55" s="14">
        <v>8774.1988280915321</v>
      </c>
      <c r="N55" s="14">
        <v>8480.5880283126062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C56" s="3" t="s">
        <v>12</v>
      </c>
      <c r="D56" s="14">
        <v>3713.3499864076566</v>
      </c>
      <c r="E56" s="14">
        <v>9326.5813623263857</v>
      </c>
      <c r="F56" s="14">
        <v>16468.105087610649</v>
      </c>
      <c r="G56" s="14">
        <v>19323.711756216533</v>
      </c>
      <c r="H56" s="14">
        <v>13485.665082749456</v>
      </c>
      <c r="I56" s="14">
        <v>7795.3720556569897</v>
      </c>
      <c r="J56" s="14">
        <v>5487.6741821839387</v>
      </c>
      <c r="K56" s="14">
        <v>7800.8424186874845</v>
      </c>
      <c r="L56" s="14">
        <v>7092.9533324740787</v>
      </c>
      <c r="M56" s="14">
        <v>5317.8573185960831</v>
      </c>
      <c r="N56" s="14">
        <v>4288.3815018186524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C57" s="3" t="s">
        <v>12</v>
      </c>
      <c r="D57" s="14">
        <v>3713.3499864076566</v>
      </c>
      <c r="E57" s="14">
        <v>9326.5813623263857</v>
      </c>
      <c r="F57" s="14">
        <v>16468.105087610649</v>
      </c>
      <c r="G57" s="14">
        <v>20225.86915635239</v>
      </c>
      <c r="H57" s="14">
        <v>14220.217489237224</v>
      </c>
      <c r="I57" s="14">
        <v>12242.845477250405</v>
      </c>
      <c r="J57" s="14">
        <v>6243.5314225426882</v>
      </c>
      <c r="K57" s="14">
        <v>9275.8314843304488</v>
      </c>
      <c r="L57" s="14">
        <v>7976.7244025263899</v>
      </c>
      <c r="M57" s="14">
        <v>9411.2376975116385</v>
      </c>
      <c r="N57" s="14">
        <v>9630.5257474145146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C58" s="3" t="s">
        <v>12</v>
      </c>
      <c r="D58" s="14">
        <v>3713.3499864076566</v>
      </c>
      <c r="E58" s="14">
        <v>9326.5813623263857</v>
      </c>
      <c r="F58" s="14">
        <v>16468.105087610649</v>
      </c>
      <c r="G58" s="14">
        <v>20138.71081275303</v>
      </c>
      <c r="H58" s="14">
        <v>14157.527638803433</v>
      </c>
      <c r="I58" s="14">
        <v>10742.911837242284</v>
      </c>
      <c r="J58" s="14">
        <v>8144.0138232048603</v>
      </c>
      <c r="K58" s="14">
        <v>5841.5589683353264</v>
      </c>
      <c r="L58" s="14">
        <v>4890.0229577575838</v>
      </c>
      <c r="M58" s="14">
        <v>4328.7524387057892</v>
      </c>
      <c r="N58" s="14">
        <v>3485.1651417561184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C59" s="3" t="s">
        <v>12</v>
      </c>
      <c r="D59" s="14">
        <v>3713.3499864076566</v>
      </c>
      <c r="E59" s="14">
        <v>9326.5813623263857</v>
      </c>
      <c r="F59" s="14">
        <v>16468.105087610649</v>
      </c>
      <c r="G59" s="14">
        <v>20225.86915635239</v>
      </c>
      <c r="H59" s="14">
        <v>14776.346650436313</v>
      </c>
      <c r="I59" s="14">
        <v>11624.399868893737</v>
      </c>
      <c r="J59" s="14">
        <v>7906.0847153413233</v>
      </c>
      <c r="K59" s="14">
        <v>8160.7199758854249</v>
      </c>
      <c r="L59" s="14">
        <v>4945.974546383909</v>
      </c>
      <c r="M59" s="14">
        <v>4590.252420449172</v>
      </c>
      <c r="N59" s="14">
        <v>3777.8344546131161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C60" s="3" t="s">
        <v>12</v>
      </c>
      <c r="D60" s="14">
        <v>3713.3499864076566</v>
      </c>
      <c r="E60" s="14">
        <v>9326.5813623263857</v>
      </c>
      <c r="F60" s="14">
        <v>16468.105087610649</v>
      </c>
      <c r="G60" s="14">
        <v>20134.978863886048</v>
      </c>
      <c r="H60" s="14">
        <v>14215.614764562699</v>
      </c>
      <c r="I60" s="14">
        <v>10852.348982943047</v>
      </c>
      <c r="J60" s="14">
        <v>8161.0906689392177</v>
      </c>
      <c r="K60" s="14">
        <v>5925.2609794134614</v>
      </c>
      <c r="L60" s="14">
        <v>4878.3399327431607</v>
      </c>
      <c r="M60" s="14">
        <v>4330.6558865514016</v>
      </c>
      <c r="N60" s="14">
        <v>3497.8988804004116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C61" s="3" t="s">
        <v>12</v>
      </c>
      <c r="D61" s="14">
        <v>3713.3499864076566</v>
      </c>
      <c r="E61" s="14">
        <v>9326.5813623263857</v>
      </c>
      <c r="F61" s="14">
        <v>16468.105087610649</v>
      </c>
      <c r="G61" s="14">
        <v>20225.86915635239</v>
      </c>
      <c r="H61" s="14">
        <v>14683.729057512926</v>
      </c>
      <c r="I61" s="14">
        <v>11794.606768803749</v>
      </c>
      <c r="J61" s="14">
        <v>7902.4785429088752</v>
      </c>
      <c r="K61" s="14">
        <v>8122.7602650681447</v>
      </c>
      <c r="L61" s="14">
        <v>4936.0481978304942</v>
      </c>
      <c r="M61" s="14">
        <v>4607.6545975661638</v>
      </c>
      <c r="N61" s="14">
        <v>3769.4309546332224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C62" s="3" t="s">
        <v>12</v>
      </c>
      <c r="D62" s="14">
        <v>3713.3499864076566</v>
      </c>
      <c r="E62" s="14">
        <v>9326.5813623263857</v>
      </c>
      <c r="F62" s="14">
        <v>16468.105087610649</v>
      </c>
      <c r="G62" s="14">
        <v>20138.710812753023</v>
      </c>
      <c r="H62" s="14">
        <v>14157.52763880344</v>
      </c>
      <c r="I62" s="14">
        <v>10742.911837240745</v>
      </c>
      <c r="J62" s="14">
        <v>8144.0138232050149</v>
      </c>
      <c r="K62" s="14">
        <v>5841.5589683350918</v>
      </c>
      <c r="L62" s="14">
        <v>4890.0229577578466</v>
      </c>
      <c r="M62" s="14">
        <v>4328.7524387057883</v>
      </c>
      <c r="N62" s="14">
        <v>3485.1651417565045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C63" s="3" t="s">
        <v>12</v>
      </c>
      <c r="D63" s="14">
        <v>3713.3499864076566</v>
      </c>
      <c r="E63" s="14">
        <v>9326.5813623263857</v>
      </c>
      <c r="F63" s="14">
        <v>16468.105087610649</v>
      </c>
      <c r="G63" s="14">
        <v>20320.884414638156</v>
      </c>
      <c r="H63" s="14">
        <v>14025.279280281524</v>
      </c>
      <c r="I63" s="14">
        <v>10944.722467029584</v>
      </c>
      <c r="J63" s="14">
        <v>8204.6997793626197</v>
      </c>
      <c r="K63" s="14">
        <v>8901.9785629736489</v>
      </c>
      <c r="L63" s="14">
        <v>7453.273040590866</v>
      </c>
      <c r="M63" s="14">
        <v>5660.708644123838</v>
      </c>
      <c r="N63" s="14">
        <v>4571.7349652399944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C64" s="3" t="s">
        <v>12</v>
      </c>
      <c r="D64" s="14">
        <v>3713.3499864076566</v>
      </c>
      <c r="E64" s="14">
        <v>9326.5813623263857</v>
      </c>
      <c r="F64" s="14">
        <v>16468.105087610649</v>
      </c>
      <c r="G64" s="14">
        <v>20225.86915635239</v>
      </c>
      <c r="H64" s="14">
        <v>14776.346650888747</v>
      </c>
      <c r="I64" s="14">
        <v>11624.399868893508</v>
      </c>
      <c r="J64" s="14">
        <v>7906.084715341306</v>
      </c>
      <c r="K64" s="14">
        <v>8160.7199758834849</v>
      </c>
      <c r="L64" s="14">
        <v>4945.9745463847403</v>
      </c>
      <c r="M64" s="14">
        <v>4590.2524204491665</v>
      </c>
      <c r="N64" s="14">
        <v>3777.8344546132316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C65" s="3" t="s">
        <v>12</v>
      </c>
      <c r="D65" s="14">
        <v>3713.3499864076566</v>
      </c>
      <c r="E65" s="14">
        <v>9326.5813623263857</v>
      </c>
      <c r="F65" s="14">
        <v>16468.105087610649</v>
      </c>
      <c r="G65" s="14">
        <v>21570.256061864427</v>
      </c>
      <c r="H65" s="14">
        <v>14714.045632770054</v>
      </c>
      <c r="I65" s="14">
        <v>10735.093527289695</v>
      </c>
      <c r="J65" s="14">
        <v>6659.3843208219705</v>
      </c>
      <c r="K65" s="14">
        <v>4862.8163556542859</v>
      </c>
      <c r="L65" s="14">
        <v>4928.9290288574603</v>
      </c>
      <c r="M65" s="14">
        <v>4247.7606218600404</v>
      </c>
      <c r="N65" s="14">
        <v>3496.5670246661002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C66" s="3" t="s">
        <v>12</v>
      </c>
      <c r="D66" s="14">
        <v>3713.3499864076566</v>
      </c>
      <c r="E66" s="14">
        <v>9326.5813623263857</v>
      </c>
      <c r="F66" s="14">
        <v>16468.105087610649</v>
      </c>
      <c r="G66" s="14">
        <v>20225.86915635239</v>
      </c>
      <c r="H66" s="14">
        <v>15520.807137328462</v>
      </c>
      <c r="I66" s="14">
        <v>11761.740137275339</v>
      </c>
      <c r="J66" s="14">
        <v>7213.800766304993</v>
      </c>
      <c r="K66" s="14">
        <v>7159.2191392761315</v>
      </c>
      <c r="L66" s="14">
        <v>4925.5784862868222</v>
      </c>
      <c r="M66" s="14">
        <v>4522.2551732719994</v>
      </c>
      <c r="N66" s="14">
        <v>3779.6592468656645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C67" s="3" t="s">
        <v>12</v>
      </c>
      <c r="D67" s="14">
        <v>3713.3499864076566</v>
      </c>
      <c r="E67" s="14">
        <v>9326.5813623263857</v>
      </c>
      <c r="F67" s="14">
        <v>16468.105087610649</v>
      </c>
      <c r="G67" s="14">
        <v>13705.870397588265</v>
      </c>
      <c r="H67" s="14">
        <v>13056.917709872321</v>
      </c>
      <c r="I67" s="14">
        <v>7784.0771588214302</v>
      </c>
      <c r="J67" s="14">
        <v>7611.0470236566671</v>
      </c>
      <c r="K67" s="14">
        <v>6591.269768103346</v>
      </c>
      <c r="L67" s="14">
        <v>5019.0210914943127</v>
      </c>
      <c r="M67" s="14">
        <v>4580.6614292516761</v>
      </c>
      <c r="N67" s="14">
        <v>3586.9726846469275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C68" s="3" t="s">
        <v>12</v>
      </c>
      <c r="D68" s="14">
        <v>3713.3499864076566</v>
      </c>
      <c r="E68" s="14">
        <v>9326.5813623263857</v>
      </c>
      <c r="F68" s="14">
        <v>16468.105087610649</v>
      </c>
      <c r="G68" s="14">
        <v>20225.86915635239</v>
      </c>
      <c r="H68" s="14">
        <v>11416.592882777726</v>
      </c>
      <c r="I68" s="14">
        <v>9511.1973285557451</v>
      </c>
      <c r="J68" s="14">
        <v>7568.1742153471223</v>
      </c>
      <c r="K68" s="14">
        <v>7008.674580506472</v>
      </c>
      <c r="L68" s="14">
        <v>5231.5189283070449</v>
      </c>
      <c r="M68" s="14">
        <v>5031.5175800806919</v>
      </c>
      <c r="N68" s="14">
        <v>4002.3341447883577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C69" s="3" t="s">
        <v>12</v>
      </c>
      <c r="D69" s="14">
        <v>3713.3499864076566</v>
      </c>
      <c r="E69" s="14">
        <v>9326.5813623263857</v>
      </c>
      <c r="F69" s="14">
        <v>16468.105087610649</v>
      </c>
      <c r="G69" s="14">
        <v>20125.102944862418</v>
      </c>
      <c r="H69" s="14">
        <v>14152.540289271445</v>
      </c>
      <c r="I69" s="14">
        <v>10888.665522757876</v>
      </c>
      <c r="J69" s="14">
        <v>8272.1222524549157</v>
      </c>
      <c r="K69" s="14">
        <v>5852.713147523833</v>
      </c>
      <c r="L69" s="14">
        <v>4919.7769156616969</v>
      </c>
      <c r="M69" s="14">
        <v>4320.3559663732631</v>
      </c>
      <c r="N69" s="14">
        <v>3488.6100057325998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C70" s="3" t="s">
        <v>12</v>
      </c>
      <c r="D70" s="14">
        <v>3713.3499864076566</v>
      </c>
      <c r="E70" s="14">
        <v>9326.5813623263857</v>
      </c>
      <c r="F70" s="14">
        <v>16468.105087610649</v>
      </c>
      <c r="G70" s="14">
        <v>20403.193650209461</v>
      </c>
      <c r="H70" s="14">
        <v>13974.739412637227</v>
      </c>
      <c r="I70" s="14">
        <v>10895.910398941072</v>
      </c>
      <c r="J70" s="14">
        <v>7926.9929156310327</v>
      </c>
      <c r="K70" s="14">
        <v>8207.9047236292954</v>
      </c>
      <c r="L70" s="14">
        <v>5192.5919886828842</v>
      </c>
      <c r="M70" s="14">
        <v>5134.9755270470077</v>
      </c>
      <c r="N70" s="14">
        <v>4031.5337301208165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C71" s="3" t="s">
        <v>12</v>
      </c>
      <c r="D71" s="14">
        <v>3713.3499864076566</v>
      </c>
      <c r="E71" s="14">
        <v>9326.5813623263857</v>
      </c>
      <c r="F71" s="14">
        <v>16468.105087610649</v>
      </c>
      <c r="G71" s="14">
        <v>20225.86915635239</v>
      </c>
      <c r="H71" s="14">
        <v>14379.615975603398</v>
      </c>
      <c r="I71" s="14">
        <v>11483.342745631084</v>
      </c>
      <c r="J71" s="14">
        <v>8400.8831926579223</v>
      </c>
      <c r="K71" s="14">
        <v>8792.4893421692832</v>
      </c>
      <c r="L71" s="14">
        <v>6722.9612347293578</v>
      </c>
      <c r="M71" s="14">
        <v>5542.277851250954</v>
      </c>
      <c r="N71" s="14">
        <v>4375.2184224384364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C72" s="3" t="s">
        <v>12</v>
      </c>
      <c r="D72" s="14">
        <v>3713.3499864076566</v>
      </c>
      <c r="E72" s="14">
        <v>9326.5813623263857</v>
      </c>
      <c r="F72" s="14">
        <v>16468.105087610649</v>
      </c>
      <c r="G72" s="14">
        <v>20400.403712967302</v>
      </c>
      <c r="H72" s="14">
        <v>14023.201659269896</v>
      </c>
      <c r="I72" s="14">
        <v>10898.184892432908</v>
      </c>
      <c r="J72" s="14">
        <v>8215.6028650086628</v>
      </c>
      <c r="K72" s="14">
        <v>8995.269321455884</v>
      </c>
      <c r="L72" s="14">
        <v>7301.5068812086975</v>
      </c>
      <c r="M72" s="14">
        <v>5685.0480538795973</v>
      </c>
      <c r="N72" s="14">
        <v>4568.8207725131533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C73" s="3" t="s">
        <v>12</v>
      </c>
      <c r="D73" s="14">
        <v>3713.3499864076566</v>
      </c>
      <c r="E73" s="14">
        <v>9326.5813623263857</v>
      </c>
      <c r="F73" s="14">
        <v>16468.105087610649</v>
      </c>
      <c r="G73" s="14">
        <v>20225.86915635239</v>
      </c>
      <c r="H73" s="14">
        <v>14378.808592092724</v>
      </c>
      <c r="I73" s="14">
        <v>11475.898696623381</v>
      </c>
      <c r="J73" s="14">
        <v>8313.4793878473574</v>
      </c>
      <c r="K73" s="14">
        <v>8672.2435471759509</v>
      </c>
      <c r="L73" s="14">
        <v>6383.1879090238444</v>
      </c>
      <c r="M73" s="14">
        <v>5538.0105782941946</v>
      </c>
      <c r="N73" s="14">
        <v>4349.920355224479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C74" s="3" t="s">
        <v>12</v>
      </c>
      <c r="D74" s="14">
        <v>3713.3499864076566</v>
      </c>
      <c r="E74" s="14">
        <v>9326.5813623263857</v>
      </c>
      <c r="F74" s="14">
        <v>16468.105087610649</v>
      </c>
      <c r="G74" s="14">
        <v>22004.019714590657</v>
      </c>
      <c r="H74" s="14">
        <v>15122.933667051169</v>
      </c>
      <c r="I74" s="14">
        <v>11142.957134649459</v>
      </c>
      <c r="J74" s="14">
        <v>6637.2206537739457</v>
      </c>
      <c r="K74" s="14">
        <v>5293.3036103595632</v>
      </c>
      <c r="L74" s="14">
        <v>5444.8278279768474</v>
      </c>
      <c r="M74" s="14">
        <v>5286.529008476843</v>
      </c>
      <c r="N74" s="14">
        <v>4635.6258301206408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C75" s="3" t="s">
        <v>12</v>
      </c>
      <c r="D75" s="14">
        <v>3713.3499864076566</v>
      </c>
      <c r="E75" s="14">
        <v>9326.5813623263857</v>
      </c>
      <c r="F75" s="14">
        <v>16468.105087610649</v>
      </c>
      <c r="G75" s="14">
        <v>20225.86915635239</v>
      </c>
      <c r="H75" s="14">
        <v>15324.711654473169</v>
      </c>
      <c r="I75" s="14">
        <v>11637.166397862326</v>
      </c>
      <c r="J75" s="14">
        <v>8277.3640951199304</v>
      </c>
      <c r="K75" s="14">
        <v>7459.4174772138804</v>
      </c>
      <c r="L75" s="14">
        <v>5362.2065100746977</v>
      </c>
      <c r="M75" s="14">
        <v>5208.0357651779996</v>
      </c>
      <c r="N75" s="14">
        <v>4395.345859342915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C76" s="3" t="s">
        <v>12</v>
      </c>
      <c r="D76" s="14">
        <v>3713.3499864076566</v>
      </c>
      <c r="E76" s="14">
        <v>9326.5813623263857</v>
      </c>
      <c r="F76" s="14">
        <v>16468.105087610649</v>
      </c>
      <c r="G76" s="14">
        <v>13719.171445765114</v>
      </c>
      <c r="H76" s="14">
        <v>12829.322835475494</v>
      </c>
      <c r="I76" s="14">
        <v>8002.5237152699419</v>
      </c>
      <c r="J76" s="14">
        <v>7022.2583663866972</v>
      </c>
      <c r="K76" s="14">
        <v>8164.7845816732288</v>
      </c>
      <c r="L76" s="14">
        <v>7894.5421577195675</v>
      </c>
      <c r="M76" s="14">
        <v>6650.9622720793996</v>
      </c>
      <c r="N76" s="14">
        <v>4691.5925714633395</v>
      </c>
    </row>
  </sheetData>
  <conditionalFormatting sqref="A1:XFD18 A20:XFD1048576 N19:XFD19">
    <cfRule type="expression" dxfId="149" priority="5">
      <formula>_xlfn.ISFORMULA(A1)</formula>
    </cfRule>
  </conditionalFormatting>
  <conditionalFormatting sqref="A19:M19">
    <cfRule type="expression" dxfId="148" priority="1">
      <formula>_xlfn.ISFORMULA(A19)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1A5536D-E4AE-4160-A5DE-7C5EF71DAA80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6C560-2A5F-40DF-8AF4-99AEC5113535}">
  <sheetPr>
    <tabColor theme="5" tint="0.39997558519241921"/>
  </sheetPr>
  <dimension ref="A1:S76"/>
  <sheetViews>
    <sheetView zoomScale="55" zoomScaleNormal="55" workbookViewId="0">
      <pane ySplit="13" topLeftCell="A14" activePane="bottomLeft" state="frozen"/>
      <selection pane="bottomLeft" activeCell="D14" sqref="D14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205</v>
      </c>
    </row>
    <row r="2" spans="1:9" s="5" customFormat="1" x14ac:dyDescent="0.3">
      <c r="A2" s="5" t="s">
        <v>5</v>
      </c>
      <c r="B2" s="5" t="s">
        <v>203</v>
      </c>
    </row>
    <row r="3" spans="1:9" s="5" customFormat="1" x14ac:dyDescent="0.3">
      <c r="A3" s="5" t="s">
        <v>6</v>
      </c>
      <c r="B3" s="5" t="s">
        <v>202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1031</v>
      </c>
    </row>
    <row r="7" spans="1:9" s="5" customFormat="1" x14ac:dyDescent="0.3">
      <c r="B7" s="5" t="s">
        <v>188</v>
      </c>
      <c r="C7" s="5" t="s">
        <v>10</v>
      </c>
      <c r="D7" s="5" t="s">
        <v>1032</v>
      </c>
    </row>
    <row r="8" spans="1:9" s="5" customFormat="1" x14ac:dyDescent="0.3">
      <c r="B8" s="5" t="s">
        <v>190</v>
      </c>
    </row>
    <row r="9" spans="1:9" s="5" customFormat="1" x14ac:dyDescent="0.3">
      <c r="B9" s="5" t="s">
        <v>189</v>
      </c>
      <c r="C9" s="5" t="s">
        <v>192</v>
      </c>
      <c r="D9" s="5" t="s">
        <v>204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$D$8:$O700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268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3" t="s">
        <v>81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INDEX($D$38:$N$76,MATCH(B$24,$B$38:$B$76,0),MATCH($A25,$D$37:$N$37,0))</f>
        <v>34.3182323176623</v>
      </c>
      <c r="C25" s="14">
        <f t="array" ref="C25">INDEX($D$38:$N$76,MATCH(C$24,$B$38:$B$76,0),MATCH($A25,$D$37:$N$37,0))</f>
        <v>32.989144179970019</v>
      </c>
      <c r="D25" s="14">
        <f t="array" ref="D25">INDEX($D$38:$N$76,MATCH(D$24,$B$38:$B$76,0),MATCH($A25,$D$37:$N$37,0))</f>
        <v>34.3182323176623</v>
      </c>
      <c r="E25" s="14">
        <f t="array" ref="E25">INDEX($D$38:$N$76,MATCH(E$24,$B$38:$B$76,0),MATCH($A25,$D$37:$N$37,0))</f>
        <v>34.3182323176623</v>
      </c>
      <c r="F25" s="14">
        <f t="array" ref="F25">INDEX($D$38:$N$76,MATCH(F$24,$B$38:$B$76,0),MATCH($A25,$D$37:$N$37,0))</f>
        <v>34.3182323176623</v>
      </c>
      <c r="G25" s="14">
        <f t="array" ref="G25">INDEX($D$38:$N$76,MATCH(G$24,$B$38:$B$76,0),MATCH($A25,$D$37:$N$37,0))</f>
        <v>34.3182323176623</v>
      </c>
      <c r="H25" s="14">
        <f t="array" ref="H25">INDEX($D$38:$N$76,MATCH(H$24,$B$38:$B$76,0),MATCH($A25,$D$37:$N$37,0))</f>
        <v>34.3182323176623</v>
      </c>
      <c r="I25" s="14">
        <f t="array" ref="I25">INDEX($D$38:$N$76,MATCH(I$24,$B$38:$B$76,0),MATCH($A25,$D$37:$N$37,0))</f>
        <v>34.3182323176623</v>
      </c>
      <c r="J25" s="14">
        <f t="array" ref="J25">INDEX($D$38:$N$76,MATCH(J$24,$B$38:$B$76,0),MATCH($A25,$D$37:$N$37,0))</f>
        <v>34.3182323176623</v>
      </c>
      <c r="K25" s="14" t="e">
        <f t="array" ref="K25">INDEX($D$38:$N$76,MATCH(K$24,$B$38:$B$76,0),MATCH($A25,$D$37:$N$37,0))</f>
        <v>#N/A</v>
      </c>
      <c r="L25" s="14" t="e">
        <f t="array" ref="L25">INDEX($D$38:$N$76,MATCH(L$24,$B$38:$B$76,0),MATCH($A25,$D$37:$N$37,0))</f>
        <v>#N/A</v>
      </c>
      <c r="M25" s="14" t="e">
        <f t="array" ref="M25">INDEX($D$38:$N$76,MATCH(M$24,$B$38:$B$76,0),MATCH($A25,$D$37:$N$37,0))</f>
        <v>#N/A</v>
      </c>
    </row>
    <row r="26" spans="1:13" x14ac:dyDescent="0.3">
      <c r="A26" s="3">
        <v>2020</v>
      </c>
      <c r="B26" s="14">
        <f t="array" ref="B26">INDEX($D$38:$N$76,MATCH(B$24,$B$38:$B$76,0),MATCH($A26,$D$37:$N$37,0))</f>
        <v>39.196345708952393</v>
      </c>
      <c r="C26" s="14">
        <f t="array" ref="C26">INDEX($D$38:$N$76,MATCH(C$24,$B$38:$B$76,0),MATCH($A26,$D$37:$N$37,0))</f>
        <v>33.657750000000028</v>
      </c>
      <c r="D26" s="14">
        <f t="array" ref="D26">INDEX($D$38:$N$76,MATCH(D$24,$B$38:$B$76,0),MATCH($A26,$D$37:$N$37,0))</f>
        <v>33.080000000000048</v>
      </c>
      <c r="E26" s="14">
        <f t="array" ref="E26">INDEX($D$38:$N$76,MATCH(E$24,$B$38:$B$76,0),MATCH($A26,$D$37:$N$37,0))</f>
        <v>33.080000000000048</v>
      </c>
      <c r="F26" s="14">
        <f t="array" ref="F26">INDEX($D$38:$N$76,MATCH(F$24,$B$38:$B$76,0),MATCH($A26,$D$37:$N$37,0))</f>
        <v>33.080000000000048</v>
      </c>
      <c r="G26" s="14">
        <f t="array" ref="G26">INDEX($D$38:$N$76,MATCH(G$24,$B$38:$B$76,0),MATCH($A26,$D$37:$N$37,0))</f>
        <v>33.080000000000048</v>
      </c>
      <c r="H26" s="14">
        <f t="array" ref="H26">INDEX($D$38:$N$76,MATCH(H$24,$B$38:$B$76,0),MATCH($A26,$D$37:$N$37,0))</f>
        <v>33.080000000000048</v>
      </c>
      <c r="I26" s="14">
        <f t="array" ref="I26">INDEX($D$38:$N$76,MATCH(I$24,$B$38:$B$76,0),MATCH($A26,$D$37:$N$37,0))</f>
        <v>33.080000000000048</v>
      </c>
      <c r="J26" s="14">
        <f t="array" ref="J26">INDEX($D$38:$N$76,MATCH(J$24,$B$38:$B$76,0),MATCH($A26,$D$37:$N$37,0))</f>
        <v>33.080000000000048</v>
      </c>
      <c r="K26" s="14" t="e">
        <f t="array" ref="K26">INDEX($D$38:$N$76,MATCH(K$24,$B$38:$B$76,0),MATCH($A26,$D$37:$N$37,0))</f>
        <v>#N/A</v>
      </c>
      <c r="L26" s="14" t="e">
        <f t="array" ref="L26">INDEX($D$38:$N$76,MATCH(L$24,$B$38:$B$76,0),MATCH($A26,$D$37:$N$37,0))</f>
        <v>#N/A</v>
      </c>
      <c r="M26" s="14" t="e">
        <f t="array" ref="M26">INDEX($D$38:$N$76,MATCH(M$24,$B$38:$B$76,0),MATCH($A26,$D$37:$N$37,0))</f>
        <v>#N/A</v>
      </c>
    </row>
    <row r="27" spans="1:13" x14ac:dyDescent="0.3">
      <c r="A27" s="3">
        <v>2030</v>
      </c>
      <c r="B27" s="14">
        <f t="array" ref="B27">INDEX($D$38:$N$76,MATCH(B$24,$B$38:$B$76,0),MATCH($A27,$D$37:$N$37,0))</f>
        <v>41.136825518245971</v>
      </c>
      <c r="C27" s="14">
        <f t="array" ref="C27">INDEX($D$38:$N$76,MATCH(C$24,$B$38:$B$76,0),MATCH($A27,$D$37:$N$37,0))</f>
        <v>37.747999999999969</v>
      </c>
      <c r="D27" s="14">
        <f t="array" ref="D27">INDEX($D$38:$N$76,MATCH(D$24,$B$38:$B$76,0),MATCH($A27,$D$37:$N$37,0))</f>
        <v>34.580000000000048</v>
      </c>
      <c r="E27" s="14">
        <f t="array" ref="E27">INDEX($D$38:$N$76,MATCH(E$24,$B$38:$B$76,0),MATCH($A27,$D$37:$N$37,0))</f>
        <v>30.61182926829283</v>
      </c>
      <c r="F27" s="14">
        <f t="array" ref="F27">INDEX($D$38:$N$76,MATCH(F$24,$B$38:$B$76,0),MATCH($A27,$D$37:$N$37,0))</f>
        <v>34.580000000000048</v>
      </c>
      <c r="G27" s="14">
        <f t="array" ref="G27">INDEX($D$38:$N$76,MATCH(G$24,$B$38:$B$76,0),MATCH($A27,$D$37:$N$37,0))</f>
        <v>20.631024083544993</v>
      </c>
      <c r="H27" s="14">
        <f t="array" ref="H27">INDEX($D$38:$N$76,MATCH(H$24,$B$38:$B$76,0),MATCH($A27,$D$37:$N$37,0))</f>
        <v>34.580000000000048</v>
      </c>
      <c r="I27" s="14">
        <f t="array" ref="I27">INDEX($D$38:$N$76,MATCH(I$24,$B$38:$B$76,0),MATCH($A27,$D$37:$N$37,0))</f>
        <v>27.936951219512572</v>
      </c>
      <c r="J27" s="14">
        <f t="array" ref="J27">INDEX($D$38:$N$76,MATCH(J$24,$B$38:$B$76,0),MATCH($A27,$D$37:$N$37,0))</f>
        <v>34.580000000000048</v>
      </c>
      <c r="K27" s="14" t="e">
        <f t="array" ref="K27">INDEX($D$38:$N$76,MATCH(K$24,$B$38:$B$76,0),MATCH($A27,$D$37:$N$37,0))</f>
        <v>#N/A</v>
      </c>
      <c r="L27" s="14" t="e">
        <f t="array" ref="L27">INDEX($D$38:$N$76,MATCH(L$24,$B$38:$B$76,0),MATCH($A27,$D$37:$N$37,0))</f>
        <v>#N/A</v>
      </c>
      <c r="M27" s="14" t="e">
        <f t="array" ref="M27">INDEX($D$38:$N$76,MATCH(M$24,$B$38:$B$76,0),MATCH($A27,$D$37:$N$37,0))</f>
        <v>#N/A</v>
      </c>
    </row>
    <row r="28" spans="1:13" x14ac:dyDescent="0.3">
      <c r="A28" s="3">
        <v>2040</v>
      </c>
      <c r="B28" s="14">
        <f t="array" ref="B28">INDEX($D$38:$N$76,MATCH(B$24,$B$38:$B$76,0),MATCH($A28,$D$37:$N$37,0))</f>
        <v>40.096217884871649</v>
      </c>
      <c r="C28" s="14">
        <f t="array" ref="C28">INDEX($D$38:$N$76,MATCH(C$24,$B$38:$B$76,0),MATCH($A28,$D$37:$N$37,0))</f>
        <v>38.300761627550749</v>
      </c>
      <c r="D28" s="14">
        <f t="array" ref="D28">INDEX($D$38:$N$76,MATCH(D$24,$B$38:$B$76,0),MATCH($A28,$D$37:$N$37,0))</f>
        <v>35.879999999999974</v>
      </c>
      <c r="E28" s="14">
        <f t="array" ref="E28">INDEX($D$38:$N$76,MATCH(E$24,$B$38:$B$76,0),MATCH($A28,$D$37:$N$37,0))</f>
        <v>28.147908536585398</v>
      </c>
      <c r="F28" s="14">
        <f t="array" ref="F28">INDEX($D$38:$N$76,MATCH(F$24,$B$38:$B$76,0),MATCH($A28,$D$37:$N$37,0))</f>
        <v>29.077483870967889</v>
      </c>
      <c r="G28" s="14">
        <f t="array" ref="G28">INDEX($D$38:$N$76,MATCH(G$24,$B$38:$B$76,0),MATCH($A28,$D$37:$N$37,0))</f>
        <v>8.4321871156761219</v>
      </c>
      <c r="H28" s="14">
        <f t="array" ref="H28">INDEX($D$38:$N$76,MATCH(H$24,$B$38:$B$76,0),MATCH($A28,$D$37:$N$37,0))</f>
        <v>13.196779342034992</v>
      </c>
      <c r="I28" s="14">
        <f t="array" ref="I28">INDEX($D$38:$N$76,MATCH(I$24,$B$38:$B$76,0),MATCH($A28,$D$37:$N$37,0))</f>
        <v>22.798152439024818</v>
      </c>
      <c r="J28" s="14">
        <f t="array" ref="J28">INDEX($D$38:$N$76,MATCH(J$24,$B$38:$B$76,0),MATCH($A28,$D$37:$N$37,0))</f>
        <v>24.3604946236565</v>
      </c>
      <c r="K28" s="14" t="e">
        <f t="array" ref="K28">INDEX($D$38:$N$76,MATCH(K$24,$B$38:$B$76,0),MATCH($A28,$D$37:$N$37,0))</f>
        <v>#N/A</v>
      </c>
      <c r="L28" s="14" t="e">
        <f t="array" ref="L28">INDEX($D$38:$N$76,MATCH(L$24,$B$38:$B$76,0),MATCH($A28,$D$37:$N$37,0))</f>
        <v>#N/A</v>
      </c>
      <c r="M28" s="14" t="e">
        <f t="array" ref="M28">INDEX($D$38:$N$76,MATCH(M$24,$B$38:$B$76,0),MATCH($A28,$D$37:$N$37,0))</f>
        <v>#N/A</v>
      </c>
    </row>
    <row r="29" spans="1:13" x14ac:dyDescent="0.3">
      <c r="A29" s="3">
        <v>2050</v>
      </c>
      <c r="B29" s="14">
        <f t="array" ref="B29">INDEX($D$38:$N$76,MATCH(B$24,$B$38:$B$76,0),MATCH($A29,$D$37:$N$37,0))</f>
        <v>42.275493532359988</v>
      </c>
      <c r="C29" s="14">
        <f t="array" ref="C29">INDEX($D$38:$N$76,MATCH(C$24,$B$38:$B$76,0),MATCH($A29,$D$37:$N$37,0))</f>
        <v>40.979487084494274</v>
      </c>
      <c r="D29" s="14">
        <f t="array" ref="D29">INDEX($D$38:$N$76,MATCH(D$24,$B$38:$B$76,0),MATCH($A29,$D$37:$N$37,0))</f>
        <v>37.330000000000055</v>
      </c>
      <c r="E29" s="14">
        <f t="array" ref="E29">INDEX($D$38:$N$76,MATCH(E$24,$B$38:$B$76,0),MATCH($A29,$D$37:$N$37,0))</f>
        <v>24.680188246818059</v>
      </c>
      <c r="F29" s="14">
        <f t="array" ref="F29">INDEX($D$38:$N$76,MATCH(F$24,$B$38:$B$76,0),MATCH($A29,$D$37:$N$37,0))</f>
        <v>23.578967741935212</v>
      </c>
      <c r="G29" s="14">
        <f t="array" ref="G29">INDEX($D$38:$N$76,MATCH(G$24,$B$38:$B$76,0),MATCH($A29,$D$37:$N$37,0))</f>
        <v>2.0036968501614729</v>
      </c>
      <c r="H29" s="14">
        <f t="array" ref="H29">INDEX($D$38:$N$76,MATCH(H$24,$B$38:$B$76,0),MATCH($A29,$D$37:$N$37,0))</f>
        <v>-7.7600202739192428</v>
      </c>
      <c r="I29" s="14">
        <f t="array" ref="I29">INDEX($D$38:$N$76,MATCH(I$24,$B$38:$B$76,0),MATCH($A29,$D$37:$N$37,0))</f>
        <v>17.659353658536904</v>
      </c>
      <c r="J29" s="14">
        <f t="array" ref="J29">INDEX($D$38:$N$76,MATCH(J$24,$B$38:$B$76,0),MATCH($A29,$D$37:$N$37,0))</f>
        <v>14.144989247311511</v>
      </c>
      <c r="K29" s="14" t="e">
        <f t="array" ref="K29">INDEX($D$38:$N$76,MATCH(K$24,$B$38:$B$76,0),MATCH($A29,$D$37:$N$37,0))</f>
        <v>#N/A</v>
      </c>
      <c r="L29" s="14" t="e">
        <f t="array" ref="L29">INDEX($D$38:$N$76,MATCH(L$24,$B$38:$B$76,0),MATCH($A29,$D$37:$N$37,0))</f>
        <v>#N/A</v>
      </c>
      <c r="M29" s="14" t="e">
        <f t="array" ref="M29">INDEX($D$38:$N$76,MATCH(M$24,$B$38:$B$76,0),MATCH($A29,$D$37:$N$37,0))</f>
        <v>#N/A</v>
      </c>
    </row>
    <row r="30" spans="1:13" x14ac:dyDescent="0.3">
      <c r="A30" s="3">
        <v>2060</v>
      </c>
      <c r="B30" s="14">
        <f t="array" ref="B30">INDEX($D$38:$N$76,MATCH(B$24,$B$38:$B$76,0),MATCH($A30,$D$37:$N$37,0))</f>
        <v>45.875339188577662</v>
      </c>
      <c r="C30" s="14">
        <f t="array" ref="C30">INDEX($D$38:$N$76,MATCH(C$24,$B$38:$B$76,0),MATCH($A30,$D$37:$N$37,0))</f>
        <v>44.302193051611518</v>
      </c>
      <c r="D30" s="14">
        <f t="array" ref="D30">INDEX($D$38:$N$76,MATCH(D$24,$B$38:$B$76,0),MATCH($A30,$D$37:$N$37,0))</f>
        <v>38.780000000000037</v>
      </c>
      <c r="E30" s="14">
        <f t="array" ref="E30">INDEX($D$38:$N$76,MATCH(E$24,$B$38:$B$76,0),MATCH($A30,$D$37:$N$37,0))</f>
        <v>19.83893340280482</v>
      </c>
      <c r="F30" s="14">
        <f t="array" ref="F30">INDEX($D$38:$N$76,MATCH(F$24,$B$38:$B$76,0),MATCH($A30,$D$37:$N$37,0))</f>
        <v>18.080451612902618</v>
      </c>
      <c r="G30" s="14">
        <f t="array" ref="G30">INDEX($D$38:$N$76,MATCH(G$24,$B$38:$B$76,0),MATCH($A30,$D$37:$N$37,0))</f>
        <v>-2.469355544331918</v>
      </c>
      <c r="H30" s="14">
        <f t="array" ref="H30">INDEX($D$38:$N$76,MATCH(H$24,$B$38:$B$76,0),MATCH($A30,$D$37:$N$37,0))</f>
        <v>-18.80374376021145</v>
      </c>
      <c r="I30" s="14">
        <f t="array" ref="I30">INDEX($D$38:$N$76,MATCH(I$24,$B$38:$B$76,0),MATCH($A30,$D$37:$N$37,0))</f>
        <v>10.836435505229399</v>
      </c>
      <c r="J30" s="14">
        <f t="array" ref="J30">INDEX($D$38:$N$76,MATCH(J$24,$B$38:$B$76,0),MATCH($A30,$D$37:$N$37,0))</f>
        <v>3.929483870967025</v>
      </c>
      <c r="K30" s="14" t="e">
        <f t="array" ref="K30">INDEX($D$38:$N$76,MATCH(K$24,$B$38:$B$76,0),MATCH($A30,$D$37:$N$37,0))</f>
        <v>#N/A</v>
      </c>
      <c r="L30" s="14" t="e">
        <f t="array" ref="L30">INDEX($D$38:$N$76,MATCH(L$24,$B$38:$B$76,0),MATCH($A30,$D$37:$N$37,0))</f>
        <v>#N/A</v>
      </c>
      <c r="M30" s="14" t="e">
        <f t="array" ref="M30">INDEX($D$38:$N$76,MATCH(M$24,$B$38:$B$76,0),MATCH($A30,$D$37:$N$37,0))</f>
        <v>#N/A</v>
      </c>
    </row>
    <row r="31" spans="1:13" x14ac:dyDescent="0.3">
      <c r="A31" s="3">
        <v>2070</v>
      </c>
      <c r="B31" s="14">
        <f t="array" ref="B31">INDEX($D$38:$N$76,MATCH(B$24,$B$38:$B$76,0),MATCH($A31,$D$37:$N$37,0))</f>
        <v>48.62368469765714</v>
      </c>
      <c r="C31" s="14">
        <f t="array" ref="C31">INDEX($D$38:$N$76,MATCH(C$24,$B$38:$B$76,0),MATCH($A31,$D$37:$N$37,0))</f>
        <v>46.818778602746612</v>
      </c>
      <c r="D31" s="14">
        <f t="array" ref="D31">INDEX($D$38:$N$76,MATCH(D$24,$B$38:$B$76,0),MATCH($A31,$D$37:$N$37,0))</f>
        <v>45.678586288721142</v>
      </c>
      <c r="E31" s="14">
        <f t="array" ref="E31">INDEX($D$38:$N$76,MATCH(E$24,$B$38:$B$76,0),MATCH($A31,$D$37:$N$37,0))</f>
        <v>11.643648601441649</v>
      </c>
      <c r="F31" s="14">
        <f t="array" ref="F31">INDEX($D$38:$N$76,MATCH(F$24,$B$38:$B$76,0),MATCH($A31,$D$37:$N$37,0))</f>
        <v>11.563333768287912</v>
      </c>
      <c r="G31" s="14">
        <f t="array" ref="G31">INDEX($D$38:$N$76,MATCH(G$24,$B$38:$B$76,0),MATCH($A31,$D$37:$N$37,0))</f>
        <v>3.1391886678677197</v>
      </c>
      <c r="H31" s="14">
        <f t="array" ref="H31">INDEX($D$38:$N$76,MATCH(H$24,$B$38:$B$76,0),MATCH($A31,$D$37:$N$37,0))</f>
        <v>3.5129631216457673</v>
      </c>
      <c r="I31" s="14">
        <f t="array" ref="I31">INDEX($D$38:$N$76,MATCH(I$24,$B$38:$B$76,0),MATCH($A31,$D$37:$N$37,0))</f>
        <v>4.0452863672929906</v>
      </c>
      <c r="J31" s="14">
        <f t="array" ref="J31">INDEX($D$38:$N$76,MATCH(J$24,$B$38:$B$76,0),MATCH($A31,$D$37:$N$37,0))</f>
        <v>3.434538621864148</v>
      </c>
      <c r="K31" s="14" t="e">
        <f t="array" ref="K31">INDEX($D$38:$N$76,MATCH(K$24,$B$38:$B$76,0),MATCH($A31,$D$37:$N$37,0))</f>
        <v>#N/A</v>
      </c>
      <c r="L31" s="14" t="e">
        <f t="array" ref="L31">INDEX($D$38:$N$76,MATCH(L$24,$B$38:$B$76,0),MATCH($A31,$D$37:$N$37,0))</f>
        <v>#N/A</v>
      </c>
      <c r="M31" s="14" t="e">
        <f t="array" ref="M31">INDEX($D$38:$N$76,MATCH(M$24,$B$38:$B$76,0),MATCH($A31,$D$37:$N$37,0))</f>
        <v>#N/A</v>
      </c>
    </row>
    <row r="32" spans="1:13" x14ac:dyDescent="0.3">
      <c r="A32" s="3">
        <v>2080</v>
      </c>
      <c r="B32" s="14">
        <f t="array" ref="B32">INDEX($D$38:$N$76,MATCH(B$24,$B$38:$B$76,0),MATCH($A32,$D$37:$N$37,0))</f>
        <v>52.292560017447521</v>
      </c>
      <c r="C32" s="14">
        <f t="array" ref="C32">INDEX($D$38:$N$76,MATCH(C$24,$B$38:$B$76,0),MATCH($A32,$D$37:$N$37,0))</f>
        <v>50.25706604280257</v>
      </c>
      <c r="D32" s="14">
        <f t="array" ref="D32">INDEX($D$38:$N$76,MATCH(D$24,$B$38:$B$76,0),MATCH($A32,$D$37:$N$37,0))</f>
        <v>50.169927587723315</v>
      </c>
      <c r="E32" s="14">
        <f t="array" ref="E32">INDEX($D$38:$N$76,MATCH(E$24,$B$38:$B$76,0),MATCH($A32,$D$37:$N$37,0))</f>
        <v>4.9808164848910899</v>
      </c>
      <c r="F32" s="14">
        <f t="array" ref="F32">INDEX($D$38:$N$76,MATCH(F$24,$B$38:$B$76,0),MATCH($A32,$D$37:$N$37,0))</f>
        <v>4.0418930053039457</v>
      </c>
      <c r="G32" s="14">
        <f t="array" ref="G32">INDEX($D$38:$N$76,MATCH(G$24,$B$38:$B$76,0),MATCH($A32,$D$37:$N$37,0))</f>
        <v>-5.428163102934274E-2</v>
      </c>
      <c r="H32" s="14">
        <f t="array" ref="H32">INDEX($D$38:$N$76,MATCH(H$24,$B$38:$B$76,0),MATCH($A32,$D$37:$N$37,0))</f>
        <v>3.9456463961090669</v>
      </c>
      <c r="I32" s="14">
        <f t="array" ref="I32">INDEX($D$38:$N$76,MATCH(I$24,$B$38:$B$76,0),MATCH($A32,$D$37:$N$37,0))</f>
        <v>-2.3143904054595055</v>
      </c>
      <c r="J32" s="14">
        <f t="array" ref="J32">INDEX($D$38:$N$76,MATCH(J$24,$B$38:$B$76,0),MATCH($A32,$D$37:$N$37,0))</f>
        <v>-1.0939087311181106</v>
      </c>
      <c r="K32" s="14" t="e">
        <f t="array" ref="K32">INDEX($D$38:$N$76,MATCH(K$24,$B$38:$B$76,0),MATCH($A32,$D$37:$N$37,0))</f>
        <v>#N/A</v>
      </c>
      <c r="L32" s="14" t="e">
        <f t="array" ref="L32">INDEX($D$38:$N$76,MATCH(L$24,$B$38:$B$76,0),MATCH($A32,$D$37:$N$37,0))</f>
        <v>#N/A</v>
      </c>
      <c r="M32" s="14" t="e">
        <f t="array" ref="M32">INDEX($D$38:$N$76,MATCH(M$24,$B$38:$B$76,0),MATCH($A32,$D$37:$N$37,0))</f>
        <v>#N/A</v>
      </c>
    </row>
    <row r="33" spans="1:19" x14ac:dyDescent="0.3">
      <c r="A33" s="3">
        <v>2090</v>
      </c>
      <c r="B33" s="14">
        <f t="array" ref="B33">INDEX($D$38:$N$76,MATCH(B$24,$B$38:$B$76,0),MATCH($A33,$D$37:$N$37,0))</f>
        <v>54.741873751745629</v>
      </c>
      <c r="C33" s="14">
        <f t="array" ref="C33">INDEX($D$38:$N$76,MATCH(C$24,$B$38:$B$76,0),MATCH($A33,$D$37:$N$37,0))</f>
        <v>52.761205126347207</v>
      </c>
      <c r="D33" s="14">
        <f t="array" ref="D33">INDEX($D$38:$N$76,MATCH(D$24,$B$38:$B$76,0),MATCH($A33,$D$37:$N$37,0))</f>
        <v>53.060185181321103</v>
      </c>
      <c r="E33" s="14">
        <f t="array" ref="E33">INDEX($D$38:$N$76,MATCH(E$24,$B$38:$B$76,0),MATCH($A33,$D$37:$N$37,0))</f>
        <v>-2.1021393964163901</v>
      </c>
      <c r="F33" s="14">
        <f t="array" ref="F33">INDEX($D$38:$N$76,MATCH(F$24,$B$38:$B$76,0),MATCH($A33,$D$37:$N$37,0))</f>
        <v>-2.7641763016812484</v>
      </c>
      <c r="G33" s="14">
        <f t="array" ref="G33">INDEX($D$38:$N$76,MATCH(G$24,$B$38:$B$76,0),MATCH($A33,$D$37:$N$37,0))</f>
        <v>-4.0253264889034259</v>
      </c>
      <c r="H33" s="14">
        <f t="array" ref="H33">INDEX($D$38:$N$76,MATCH(H$24,$B$38:$B$76,0),MATCH($A33,$D$37:$N$37,0))</f>
        <v>-0.55072564402008739</v>
      </c>
      <c r="I33" s="14">
        <f t="array" ref="I33">INDEX($D$38:$N$76,MATCH(I$24,$B$38:$B$76,0),MATCH($A33,$D$37:$N$37,0))</f>
        <v>-6.1132749546329865</v>
      </c>
      <c r="J33" s="14">
        <f t="array" ref="J33">INDEX($D$38:$N$76,MATCH(J$24,$B$38:$B$76,0),MATCH($A33,$D$37:$N$37,0))</f>
        <v>-5.0603006294409436</v>
      </c>
      <c r="K33" s="14" t="e">
        <f t="array" ref="K33">INDEX($D$38:$N$76,MATCH(K$24,$B$38:$B$76,0),MATCH($A33,$D$37:$N$37,0))</f>
        <v>#N/A</v>
      </c>
      <c r="L33" s="14" t="e">
        <f t="array" ref="L33">INDEX($D$38:$N$76,MATCH(L$24,$B$38:$B$76,0),MATCH($A33,$D$37:$N$37,0))</f>
        <v>#N/A</v>
      </c>
      <c r="M33" s="14" t="e">
        <f t="array" ref="M33">INDEX($D$38:$N$76,MATCH(M$24,$B$38:$B$76,0),MATCH($A33,$D$37:$N$37,0))</f>
        <v>#N/A</v>
      </c>
    </row>
    <row r="34" spans="1:19" x14ac:dyDescent="0.3">
      <c r="A34" s="3">
        <v>2100</v>
      </c>
      <c r="B34" s="14">
        <f t="array" ref="B34">INDEX($D$38:$N$76,MATCH(B$24,$B$38:$B$76,0),MATCH($A34,$D$37:$N$37,0))</f>
        <v>56.835507145814184</v>
      </c>
      <c r="C34" s="14">
        <f t="array" ref="C34">INDEX($D$38:$N$76,MATCH(C$24,$B$38:$B$76,0),MATCH($A34,$D$37:$N$37,0))</f>
        <v>54.905482760375612</v>
      </c>
      <c r="D34" s="14">
        <f t="array" ref="D34">INDEX($D$38:$N$76,MATCH(D$24,$B$38:$B$76,0),MATCH($A34,$D$37:$N$37,0))</f>
        <v>55.157453912890645</v>
      </c>
      <c r="E34" s="14">
        <f t="array" ref="E34">INDEX($D$38:$N$76,MATCH(E$24,$B$38:$B$76,0),MATCH($A34,$D$37:$N$37,0))</f>
        <v>-6.0902745824729152</v>
      </c>
      <c r="F34" s="14">
        <f t="array" ref="F34">INDEX($D$38:$N$76,MATCH(F$24,$B$38:$B$76,0),MATCH($A34,$D$37:$N$37,0))</f>
        <v>-6.4470431357718079</v>
      </c>
      <c r="G34" s="14">
        <f t="array" ref="G34">INDEX($D$38:$N$76,MATCH(G$24,$B$38:$B$76,0),MATCH($A34,$D$37:$N$37,0))</f>
        <v>-7.9464984910408623</v>
      </c>
      <c r="H34" s="14">
        <f t="array" ref="H34">INDEX($D$38:$N$76,MATCH(H$24,$B$38:$B$76,0),MATCH($A34,$D$37:$N$37,0))</f>
        <v>-8.4102646196943862</v>
      </c>
      <c r="I34" s="14">
        <f t="array" ref="I34">INDEX($D$38:$N$76,MATCH(I$24,$B$38:$B$76,0),MATCH($A34,$D$37:$N$37,0))</f>
        <v>-9.1377412675594201</v>
      </c>
      <c r="J34" s="14">
        <f t="array" ref="J34">INDEX($D$38:$N$76,MATCH(J$24,$B$38:$B$76,0),MATCH($A34,$D$37:$N$37,0))</f>
        <v>-8.5845244412953736</v>
      </c>
      <c r="K34" s="14" t="e">
        <f t="array" ref="K34">INDEX($D$38:$N$76,MATCH(K$24,$B$38:$B$76,0),MATCH($A34,$D$37:$N$37,0))</f>
        <v>#N/A</v>
      </c>
      <c r="L34" s="14" t="e">
        <f t="array" ref="L34">INDEX($D$38:$N$76,MATCH(L$24,$B$38:$B$76,0),MATCH($A34,$D$37:$N$37,0))</f>
        <v>#N/A</v>
      </c>
      <c r="M34" s="14" t="e">
        <f t="array" ref="M34">INDEX($D$38:$N$76,MATCH(M$24,$B$38:$B$76,0),MATCH($A34,$D$37:$N$37,0))</f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D38" s="14">
        <v>30.042418702528597</v>
      </c>
      <c r="E38" s="14">
        <v>34.3182323176623</v>
      </c>
      <c r="F38" s="14">
        <v>39.196345708952393</v>
      </c>
      <c r="G38" s="14">
        <v>41.136825518245971</v>
      </c>
      <c r="H38" s="14">
        <v>40.096217884871649</v>
      </c>
      <c r="I38" s="14">
        <v>42.275493532359988</v>
      </c>
      <c r="J38" s="14">
        <v>45.875339188577662</v>
      </c>
      <c r="K38" s="14">
        <v>48.62368469765714</v>
      </c>
      <c r="L38" s="14">
        <v>52.292560017447521</v>
      </c>
      <c r="M38" s="14">
        <v>54.741873751745629</v>
      </c>
      <c r="N38" s="14">
        <v>56.835507145814184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D39" s="14">
        <v>30.054639109921489</v>
      </c>
      <c r="E39" s="14">
        <v>32.989144179970019</v>
      </c>
      <c r="F39" s="14">
        <v>33.657750000000028</v>
      </c>
      <c r="G39" s="14">
        <v>37.747999999999969</v>
      </c>
      <c r="H39" s="14">
        <v>38.300761627550749</v>
      </c>
      <c r="I39" s="14">
        <v>40.979487084494274</v>
      </c>
      <c r="J39" s="14">
        <v>44.302193051611518</v>
      </c>
      <c r="K39" s="14">
        <v>46.818778602746612</v>
      </c>
      <c r="L39" s="14">
        <v>50.25706604280257</v>
      </c>
      <c r="M39" s="14">
        <v>52.761205126347207</v>
      </c>
      <c r="N39" s="14">
        <v>54.905482760375612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D40" s="14">
        <v>30.042418702528597</v>
      </c>
      <c r="E40" s="14">
        <v>34.3182323176623</v>
      </c>
      <c r="F40" s="14">
        <v>33.080000000000048</v>
      </c>
      <c r="G40" s="14">
        <v>34.580000000000048</v>
      </c>
      <c r="H40" s="14">
        <v>35.879999999999974</v>
      </c>
      <c r="I40" s="14">
        <v>37.330000000000055</v>
      </c>
      <c r="J40" s="14">
        <v>38.780000000000037</v>
      </c>
      <c r="K40" s="14">
        <v>45.678586288721142</v>
      </c>
      <c r="L40" s="14">
        <v>50.169927587723315</v>
      </c>
      <c r="M40" s="14">
        <v>53.060185181321103</v>
      </c>
      <c r="N40" s="14">
        <v>55.157453912890645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D41" s="14">
        <v>30.042418702528597</v>
      </c>
      <c r="E41" s="14">
        <v>34.3182323176623</v>
      </c>
      <c r="F41" s="14">
        <v>33.080000000000048</v>
      </c>
      <c r="G41" s="14">
        <v>30.61182926829283</v>
      </c>
      <c r="H41" s="14">
        <v>28.147908536585398</v>
      </c>
      <c r="I41" s="14">
        <v>24.680188246818059</v>
      </c>
      <c r="J41" s="14">
        <v>19.83893340280482</v>
      </c>
      <c r="K41" s="14">
        <v>11.643648601441649</v>
      </c>
      <c r="L41" s="14">
        <v>4.9808164848910899</v>
      </c>
      <c r="M41" s="14">
        <v>-2.1021393964163901</v>
      </c>
      <c r="N41" s="14">
        <v>-6.0902745824729152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D42" s="14">
        <v>30.042418702528597</v>
      </c>
      <c r="E42" s="14">
        <v>34.3182323176623</v>
      </c>
      <c r="F42" s="14">
        <v>33.080000000000048</v>
      </c>
      <c r="G42" s="14">
        <v>34.580000000000048</v>
      </c>
      <c r="H42" s="14">
        <v>29.077483870967914</v>
      </c>
      <c r="I42" s="14">
        <v>22.754646811319507</v>
      </c>
      <c r="J42" s="14">
        <v>18.080451612902593</v>
      </c>
      <c r="K42" s="14">
        <v>11.275552347505517</v>
      </c>
      <c r="L42" s="14">
        <v>4.4371244508400158</v>
      </c>
      <c r="M42" s="14">
        <v>-1.5951663178682312</v>
      </c>
      <c r="N42" s="14">
        <v>-6.8991822137227041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D43" s="14">
        <v>30.042418702528597</v>
      </c>
      <c r="E43" s="14">
        <v>34.3182323176623</v>
      </c>
      <c r="F43" s="14">
        <v>33.080000000000048</v>
      </c>
      <c r="G43" s="14">
        <v>30.611829268292773</v>
      </c>
      <c r="H43" s="14">
        <v>28.147908536585394</v>
      </c>
      <c r="I43" s="14">
        <v>24.853114966529439</v>
      </c>
      <c r="J43" s="14">
        <v>19.840419265231947</v>
      </c>
      <c r="K43" s="14">
        <v>11.584522286489717</v>
      </c>
      <c r="L43" s="14">
        <v>4.9411556295830437</v>
      </c>
      <c r="M43" s="14">
        <v>-2.1655218958228657</v>
      </c>
      <c r="N43" s="14">
        <v>-6.1025174949449346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D44" s="14">
        <v>30.042418702528597</v>
      </c>
      <c r="E44" s="14">
        <v>34.3182323176623</v>
      </c>
      <c r="F44" s="14">
        <v>33.080000000000048</v>
      </c>
      <c r="G44" s="14">
        <v>34.580000000000048</v>
      </c>
      <c r="H44" s="14">
        <v>29.077483870967896</v>
      </c>
      <c r="I44" s="14">
        <v>23.578967741935205</v>
      </c>
      <c r="J44" s="14">
        <v>18.080451612902607</v>
      </c>
      <c r="K44" s="14">
        <v>11.511318742217957</v>
      </c>
      <c r="L44" s="14">
        <v>4.0758371545523202</v>
      </c>
      <c r="M44" s="14">
        <v>-2.7293810555588784</v>
      </c>
      <c r="N44" s="14">
        <v>-6.4637675050725569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D45" s="14">
        <v>30.042418702528597</v>
      </c>
      <c r="E45" s="14">
        <v>34.3182323176623</v>
      </c>
      <c r="F45" s="14">
        <v>33.080000000000048</v>
      </c>
      <c r="G45" s="14">
        <v>20.631024083544993</v>
      </c>
      <c r="H45" s="14">
        <v>8.4321871156761219</v>
      </c>
      <c r="I45" s="14">
        <v>2.0036968501614729</v>
      </c>
      <c r="J45" s="14">
        <v>-2.469355544331918</v>
      </c>
      <c r="K45" s="14">
        <v>3.1391886678677197</v>
      </c>
      <c r="L45" s="14">
        <v>-5.428163102934274E-2</v>
      </c>
      <c r="M45" s="14">
        <v>-4.0253264889034259</v>
      </c>
      <c r="N45" s="14">
        <v>-7.9464984910408623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D46" s="14">
        <v>30.042418702528597</v>
      </c>
      <c r="E46" s="14">
        <v>34.3182323176623</v>
      </c>
      <c r="F46" s="14">
        <v>33.080000000000048</v>
      </c>
      <c r="G46" s="14">
        <v>34.580000000000048</v>
      </c>
      <c r="H46" s="14">
        <v>13.196779342034992</v>
      </c>
      <c r="I46" s="14">
        <v>-7.7600202739192428</v>
      </c>
      <c r="J46" s="14">
        <v>-18.80374376021145</v>
      </c>
      <c r="K46" s="14">
        <v>3.5129631216457673</v>
      </c>
      <c r="L46" s="14">
        <v>3.9456463961090669</v>
      </c>
      <c r="M46" s="14">
        <v>-0.55072564402008739</v>
      </c>
      <c r="N46" s="14">
        <v>-8.4102646196943862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D47" s="14">
        <v>30.042418702528597</v>
      </c>
      <c r="E47" s="14">
        <v>34.3182323176623</v>
      </c>
      <c r="F47" s="14">
        <v>33.080000000000048</v>
      </c>
      <c r="G47" s="14">
        <v>20.631024083545</v>
      </c>
      <c r="H47" s="14">
        <v>8.4321871156761166</v>
      </c>
      <c r="I47" s="14">
        <v>2.0036968501614818</v>
      </c>
      <c r="J47" s="14">
        <v>-2.4693555443319144</v>
      </c>
      <c r="K47" s="14">
        <v>2.7692935513054859</v>
      </c>
      <c r="L47" s="14">
        <v>-1.8810700003353588E-2</v>
      </c>
      <c r="M47" s="14">
        <v>-3.9834077050829464</v>
      </c>
      <c r="N47" s="14">
        <v>-7.6539930893251071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D48" s="14">
        <v>30.042418702528597</v>
      </c>
      <c r="E48" s="14">
        <v>34.3182323176623</v>
      </c>
      <c r="F48" s="14">
        <v>33.080000000000048</v>
      </c>
      <c r="G48" s="14">
        <v>34.580000000000048</v>
      </c>
      <c r="H48" s="14">
        <v>13.196779342034999</v>
      </c>
      <c r="I48" s="14">
        <v>-7.7600202739192525</v>
      </c>
      <c r="J48" s="14">
        <v>-18.803743760211429</v>
      </c>
      <c r="K48" s="14">
        <v>3.4950774304757064</v>
      </c>
      <c r="L48" s="14">
        <v>3.769005819035578</v>
      </c>
      <c r="M48" s="14">
        <v>-0.6369475165374574</v>
      </c>
      <c r="N48" s="14">
        <v>-8.1295164789334731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D49" s="14">
        <v>30.042418702528597</v>
      </c>
      <c r="E49" s="14">
        <v>34.3182323176623</v>
      </c>
      <c r="F49" s="14">
        <v>33.080000000000048</v>
      </c>
      <c r="G49" s="14">
        <v>20.631024083545011</v>
      </c>
      <c r="H49" s="14">
        <v>8.4321871156761201</v>
      </c>
      <c r="I49" s="14">
        <v>2.0036968501614782</v>
      </c>
      <c r="J49" s="14">
        <v>-2.46935554433191</v>
      </c>
      <c r="K49" s="14">
        <v>3.1391878327282123</v>
      </c>
      <c r="L49" s="14">
        <v>-5.4280893476927695E-2</v>
      </c>
      <c r="M49" s="14">
        <v>-4.0253265308250867</v>
      </c>
      <c r="N49" s="14">
        <v>-7.9464983515321332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D50" s="14">
        <v>30.042418702528597</v>
      </c>
      <c r="E50" s="14">
        <v>34.3182323176623</v>
      </c>
      <c r="F50" s="14">
        <v>33.080000000000048</v>
      </c>
      <c r="G50" s="14">
        <v>34.580000000000048</v>
      </c>
      <c r="H50" s="14">
        <v>13.196779342035013</v>
      </c>
      <c r="I50" s="14">
        <v>-7.7600202739191815</v>
      </c>
      <c r="J50" s="14">
        <v>-18.803743760211454</v>
      </c>
      <c r="K50" s="14">
        <v>3.5129631154403236</v>
      </c>
      <c r="L50" s="14">
        <v>3.9456464027166693</v>
      </c>
      <c r="M50" s="14">
        <v>-0.55072564091216003</v>
      </c>
      <c r="N50" s="14">
        <v>-8.4102646232044176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D51" s="14">
        <v>30.042418702528597</v>
      </c>
      <c r="E51" s="14">
        <v>34.3182323176623</v>
      </c>
      <c r="F51" s="14">
        <v>33.080000000000048</v>
      </c>
      <c r="G51" s="14">
        <v>20.631024083545007</v>
      </c>
      <c r="H51" s="14">
        <v>8.4321871156761219</v>
      </c>
      <c r="I51" s="14">
        <v>2.0036968501614889</v>
      </c>
      <c r="J51" s="14">
        <v>-2.4693555443319148</v>
      </c>
      <c r="K51" s="14">
        <v>3.2146414455363628</v>
      </c>
      <c r="L51" s="14">
        <v>3.3851671258961637E-2</v>
      </c>
      <c r="M51" s="14">
        <v>-4.1267528787119669</v>
      </c>
      <c r="N51" s="14">
        <v>-8.0086581811892739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D52" s="14">
        <v>30.042418702528597</v>
      </c>
      <c r="E52" s="14">
        <v>34.3182323176623</v>
      </c>
      <c r="F52" s="14">
        <v>33.080000000000048</v>
      </c>
      <c r="G52" s="14">
        <v>34.580000000000048</v>
      </c>
      <c r="H52" s="14">
        <v>29.077483870967889</v>
      </c>
      <c r="I52" s="14">
        <v>23.578967741935212</v>
      </c>
      <c r="J52" s="14">
        <v>18.080451612902618</v>
      </c>
      <c r="K52" s="14">
        <v>11.563333768287912</v>
      </c>
      <c r="L52" s="14">
        <v>4.0418930053039457</v>
      </c>
      <c r="M52" s="14">
        <v>-2.7641763016812484</v>
      </c>
      <c r="N52" s="14">
        <v>-6.4470431357718079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D53" s="14">
        <v>30.042418702528597</v>
      </c>
      <c r="E53" s="14">
        <v>34.3182323176623</v>
      </c>
      <c r="F53" s="14">
        <v>33.080000000000048</v>
      </c>
      <c r="G53" s="14">
        <v>34.580000000000048</v>
      </c>
      <c r="H53" s="14">
        <v>13.196779342034999</v>
      </c>
      <c r="I53" s="14">
        <v>-7.7600202739191877</v>
      </c>
      <c r="J53" s="14">
        <v>-18.803743760211368</v>
      </c>
      <c r="K53" s="14">
        <v>3.3291868389047243</v>
      </c>
      <c r="L53" s="14">
        <v>3.5426781223981654</v>
      </c>
      <c r="M53" s="14">
        <v>-5.714509645665402E-2</v>
      </c>
      <c r="N53" s="14">
        <v>-8.3171006108059107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D54" s="14">
        <v>30.042418702528597</v>
      </c>
      <c r="E54" s="14">
        <v>34.3182323176623</v>
      </c>
      <c r="F54" s="14">
        <v>33.080000000000048</v>
      </c>
      <c r="G54" s="14">
        <v>20.631024083545</v>
      </c>
      <c r="H54" s="14">
        <v>8.4321871156761201</v>
      </c>
      <c r="I54" s="14">
        <v>2.0036968501614876</v>
      </c>
      <c r="J54" s="14">
        <v>-2.4693555443319153</v>
      </c>
      <c r="K54" s="14">
        <v>2.8705043554651972</v>
      </c>
      <c r="L54" s="14">
        <v>0.69747541691970705</v>
      </c>
      <c r="M54" s="14">
        <v>-4.4465212838432109</v>
      </c>
      <c r="N54" s="14">
        <v>-8.008376431647596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D55" s="14">
        <v>30.042418702528597</v>
      </c>
      <c r="E55" s="14">
        <v>34.3182323176623</v>
      </c>
      <c r="F55" s="14">
        <v>33.080000000000048</v>
      </c>
      <c r="G55" s="14">
        <v>34.580000000000048</v>
      </c>
      <c r="H55" s="14">
        <v>13.196779342034999</v>
      </c>
      <c r="I55" s="14">
        <v>-7.7600202739192188</v>
      </c>
      <c r="J55" s="14">
        <v>-18.803743760211379</v>
      </c>
      <c r="K55" s="14">
        <v>2.8295240952772014</v>
      </c>
      <c r="L55" s="14">
        <v>3.7178194961556921</v>
      </c>
      <c r="M55" s="14">
        <v>0.4062914162259707</v>
      </c>
      <c r="N55" s="14">
        <v>-8.4560157536184999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D56" s="14">
        <v>30.042418702528597</v>
      </c>
      <c r="E56" s="14">
        <v>34.3182323176623</v>
      </c>
      <c r="F56" s="14">
        <v>33.080000000000048</v>
      </c>
      <c r="G56" s="14">
        <v>20.631024083544997</v>
      </c>
      <c r="H56" s="14">
        <v>8.4321871156761237</v>
      </c>
      <c r="I56" s="14">
        <v>2.003696850161476</v>
      </c>
      <c r="J56" s="14">
        <v>-2.4693555443319073</v>
      </c>
      <c r="K56" s="14">
        <v>3.2257677669486933</v>
      </c>
      <c r="L56" s="14">
        <v>0.66844991780382002</v>
      </c>
      <c r="M56" s="14">
        <v>-4.5171642957559364</v>
      </c>
      <c r="N56" s="14">
        <v>-8.263971332102523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D57" s="14">
        <v>30.042418702528597</v>
      </c>
      <c r="E57" s="14">
        <v>34.3182323176623</v>
      </c>
      <c r="F57" s="14">
        <v>33.080000000000048</v>
      </c>
      <c r="G57" s="14">
        <v>34.580000000000048</v>
      </c>
      <c r="H57" s="14">
        <v>13.196779342034999</v>
      </c>
      <c r="I57" s="14">
        <v>-7.7600202739192374</v>
      </c>
      <c r="J57" s="14">
        <v>-18.803743760211429</v>
      </c>
      <c r="K57" s="14">
        <v>3.4408379990201006</v>
      </c>
      <c r="L57" s="14">
        <v>3.7947692337078247</v>
      </c>
      <c r="M57" s="14">
        <v>-0.92682219913961905</v>
      </c>
      <c r="N57" s="14">
        <v>-7.8111657795479621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D58" s="14">
        <v>30.042418702528597</v>
      </c>
      <c r="E58" s="14">
        <v>34.3182323176623</v>
      </c>
      <c r="F58" s="14">
        <v>33.080000000000048</v>
      </c>
      <c r="G58" s="14">
        <v>27.936951219512572</v>
      </c>
      <c r="H58" s="14">
        <v>22.798152439024818</v>
      </c>
      <c r="I58" s="14">
        <v>17.659353658536904</v>
      </c>
      <c r="J58" s="14">
        <v>10.836435505229399</v>
      </c>
      <c r="K58" s="14">
        <v>4.0452863672929906</v>
      </c>
      <c r="L58" s="14">
        <v>-2.3143904054595055</v>
      </c>
      <c r="M58" s="14">
        <v>-6.1132749546329865</v>
      </c>
      <c r="N58" s="14">
        <v>-9.1377412675594201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D59" s="14">
        <v>30.042418702528597</v>
      </c>
      <c r="E59" s="14">
        <v>34.3182323176623</v>
      </c>
      <c r="F59" s="14">
        <v>33.080000000000048</v>
      </c>
      <c r="G59" s="14">
        <v>34.580000000000048</v>
      </c>
      <c r="H59" s="14">
        <v>24.3604946236565</v>
      </c>
      <c r="I59" s="14">
        <v>14.144989247311511</v>
      </c>
      <c r="J59" s="14">
        <v>3.929483870967025</v>
      </c>
      <c r="K59" s="14">
        <v>3.434538621864148</v>
      </c>
      <c r="L59" s="14">
        <v>-1.0939087311181106</v>
      </c>
      <c r="M59" s="14">
        <v>-5.0603006294409436</v>
      </c>
      <c r="N59" s="14">
        <v>-8.5845244412953736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D60" s="14">
        <v>30.042418702528597</v>
      </c>
      <c r="E60" s="14">
        <v>34.3182323176623</v>
      </c>
      <c r="F60" s="14">
        <v>33.080000000000048</v>
      </c>
      <c r="G60" s="14">
        <v>27.936951219512615</v>
      </c>
      <c r="H60" s="14">
        <v>22.798152439024804</v>
      </c>
      <c r="I60" s="14">
        <v>17.659353658536904</v>
      </c>
      <c r="J60" s="14">
        <v>10.900574239184007</v>
      </c>
      <c r="K60" s="14">
        <v>3.8822509465660713</v>
      </c>
      <c r="L60" s="14">
        <v>-2.3588382885820298</v>
      </c>
      <c r="M60" s="14">
        <v>-5.9853787904947131</v>
      </c>
      <c r="N60" s="14">
        <v>-9.1222928618028973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D61" s="14">
        <v>30.042418702528597</v>
      </c>
      <c r="E61" s="14">
        <v>34.3182323176623</v>
      </c>
      <c r="F61" s="14">
        <v>33.080000000000048</v>
      </c>
      <c r="G61" s="14">
        <v>34.580000000000048</v>
      </c>
      <c r="H61" s="14">
        <v>24.360494623656503</v>
      </c>
      <c r="I61" s="14">
        <v>14.144989247311514</v>
      </c>
      <c r="J61" s="14">
        <v>3.9294838709670361</v>
      </c>
      <c r="K61" s="14">
        <v>3.4024254282412341</v>
      </c>
      <c r="L61" s="14">
        <v>-1.2196775832678239</v>
      </c>
      <c r="M61" s="14">
        <v>-4.9699107956015824</v>
      </c>
      <c r="N61" s="14">
        <v>-8.5170322293621066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D62" s="14">
        <v>30.042418702528597</v>
      </c>
      <c r="E62" s="14">
        <v>34.3182323176623</v>
      </c>
      <c r="F62" s="14">
        <v>33.080000000000048</v>
      </c>
      <c r="G62" s="14">
        <v>27.936951219512576</v>
      </c>
      <c r="H62" s="14">
        <v>22.798152439024808</v>
      </c>
      <c r="I62" s="14">
        <v>17.659353658536912</v>
      </c>
      <c r="J62" s="14">
        <v>10.836435505237462</v>
      </c>
      <c r="K62" s="14">
        <v>4.0452863672509842</v>
      </c>
      <c r="L62" s="14">
        <v>-2.314390405438445</v>
      </c>
      <c r="M62" s="14">
        <v>-6.1132749546215637</v>
      </c>
      <c r="N62" s="14">
        <v>-9.1377412675579439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D63" s="14">
        <v>30.042418702528597</v>
      </c>
      <c r="E63" s="14">
        <v>34.3182323176623</v>
      </c>
      <c r="F63" s="14">
        <v>33.080000000000048</v>
      </c>
      <c r="G63" s="14">
        <v>30.611829268292777</v>
      </c>
      <c r="H63" s="14">
        <v>28.147908536585401</v>
      </c>
      <c r="I63" s="14">
        <v>24.777998290182499</v>
      </c>
      <c r="J63" s="14">
        <v>20.233991221240572</v>
      </c>
      <c r="K63" s="14">
        <v>11.796579570074112</v>
      </c>
      <c r="L63" s="14">
        <v>4.6601726914164692</v>
      </c>
      <c r="M63" s="14">
        <v>-2.3168102357829921</v>
      </c>
      <c r="N63" s="14">
        <v>-6.200758780064346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D64" s="14">
        <v>30.042418702528597</v>
      </c>
      <c r="E64" s="14">
        <v>34.3182323176623</v>
      </c>
      <c r="F64" s="14">
        <v>33.080000000000048</v>
      </c>
      <c r="G64" s="14">
        <v>34.580000000000048</v>
      </c>
      <c r="H64" s="14">
        <v>24.360494623656507</v>
      </c>
      <c r="I64" s="14">
        <v>14.1449892473115</v>
      </c>
      <c r="J64" s="14">
        <v>3.9294838709670294</v>
      </c>
      <c r="K64" s="14">
        <v>3.4345386232896109</v>
      </c>
      <c r="L64" s="14">
        <v>-1.0939087304086945</v>
      </c>
      <c r="M64" s="14">
        <v>-5.0603006304024296</v>
      </c>
      <c r="N64" s="14">
        <v>-8.5845244424687799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D65" s="14">
        <v>30.042418702528597</v>
      </c>
      <c r="E65" s="14">
        <v>34.3182323176623</v>
      </c>
      <c r="F65" s="14">
        <v>33.080000000000048</v>
      </c>
      <c r="G65" s="14">
        <v>27.93695121951259</v>
      </c>
      <c r="H65" s="14">
        <v>22.798152439024793</v>
      </c>
      <c r="I65" s="14">
        <v>17.65935365853689</v>
      </c>
      <c r="J65" s="14">
        <v>10.741829569491582</v>
      </c>
      <c r="K65" s="14">
        <v>3.9933086103781106</v>
      </c>
      <c r="L65" s="14">
        <v>-2.3118676812337302</v>
      </c>
      <c r="M65" s="14">
        <v>-6.0002716933841533</v>
      </c>
      <c r="N65" s="14">
        <v>-9.1066835603813168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D66" s="14">
        <v>30.042418702528597</v>
      </c>
      <c r="E66" s="14">
        <v>34.3182323176623</v>
      </c>
      <c r="F66" s="14">
        <v>33.080000000000048</v>
      </c>
      <c r="G66" s="14">
        <v>34.580000000000048</v>
      </c>
      <c r="H66" s="14">
        <v>24.360494623656507</v>
      </c>
      <c r="I66" s="14">
        <v>14.144989247311507</v>
      </c>
      <c r="J66" s="14">
        <v>3.9294838709670277</v>
      </c>
      <c r="K66" s="14">
        <v>3.1845853468892207</v>
      </c>
      <c r="L66" s="14">
        <v>-1.1224548103634675</v>
      </c>
      <c r="M66" s="14">
        <v>-4.9063672000124754</v>
      </c>
      <c r="N66" s="14">
        <v>-8.4599585165035265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D67" s="14">
        <v>30.042418702528597</v>
      </c>
      <c r="E67" s="14">
        <v>34.3182323176623</v>
      </c>
      <c r="F67" s="14">
        <v>33.080000000000048</v>
      </c>
      <c r="G67" s="14">
        <v>27.936951219512618</v>
      </c>
      <c r="H67" s="14">
        <v>22.798152439024797</v>
      </c>
      <c r="I67" s="14">
        <v>17.555180330703049</v>
      </c>
      <c r="J67" s="14">
        <v>11.06526618596895</v>
      </c>
      <c r="K67" s="14">
        <v>3.8610821518264951</v>
      </c>
      <c r="L67" s="14">
        <v>-2.1044824078450763</v>
      </c>
      <c r="M67" s="14">
        <v>-5.9477558179472547</v>
      </c>
      <c r="N67" s="14">
        <v>-9.4536215392988261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D68" s="14">
        <v>30.042418702528597</v>
      </c>
      <c r="E68" s="14">
        <v>34.3182323176623</v>
      </c>
      <c r="F68" s="14">
        <v>33.080000000000048</v>
      </c>
      <c r="G68" s="14">
        <v>34.580000000000048</v>
      </c>
      <c r="H68" s="14">
        <v>24.360494623656496</v>
      </c>
      <c r="I68" s="14">
        <v>14.144989247311512</v>
      </c>
      <c r="J68" s="14">
        <v>3.9294838709670388</v>
      </c>
      <c r="K68" s="14">
        <v>3.1006911003869204</v>
      </c>
      <c r="L68" s="14">
        <v>-0.61253159875049212</v>
      </c>
      <c r="M68" s="14">
        <v>-5.1245802370213687</v>
      </c>
      <c r="N68" s="14">
        <v>-8.6677744446053246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D69" s="14">
        <v>30.042418702528597</v>
      </c>
      <c r="E69" s="14">
        <v>34.3182323176623</v>
      </c>
      <c r="F69" s="14">
        <v>33.080000000000048</v>
      </c>
      <c r="G69" s="14">
        <v>27.936951219512583</v>
      </c>
      <c r="H69" s="14">
        <v>22.79815243902479</v>
      </c>
      <c r="I69" s="14">
        <v>17.659353658536897</v>
      </c>
      <c r="J69" s="14">
        <v>10.918078287217325</v>
      </c>
      <c r="K69" s="14">
        <v>3.9325920634069198</v>
      </c>
      <c r="L69" s="14">
        <v>-2.3217998497388801</v>
      </c>
      <c r="M69" s="14">
        <v>-6.0741369503514298</v>
      </c>
      <c r="N69" s="14">
        <v>-9.1384183056634942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D70" s="14">
        <v>30.042418702528597</v>
      </c>
      <c r="E70" s="14">
        <v>34.3182323176623</v>
      </c>
      <c r="F70" s="14">
        <v>33.080000000000048</v>
      </c>
      <c r="G70" s="14">
        <v>30.611829268292812</v>
      </c>
      <c r="H70" s="14">
        <v>28.14790853658539</v>
      </c>
      <c r="I70" s="14">
        <v>25.436551745099901</v>
      </c>
      <c r="J70" s="14">
        <v>17.962196675527871</v>
      </c>
      <c r="K70" s="14">
        <v>10.217783516679567</v>
      </c>
      <c r="L70" s="14">
        <v>5.7562486841878053</v>
      </c>
      <c r="M70" s="14">
        <v>-0.14277931845410965</v>
      </c>
      <c r="N70" s="14">
        <v>-6.27882854597466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D71" s="14">
        <v>30.042418702528597</v>
      </c>
      <c r="E71" s="14">
        <v>34.3182323176623</v>
      </c>
      <c r="F71" s="14">
        <v>33.080000000000048</v>
      </c>
      <c r="G71" s="14">
        <v>34.580000000000048</v>
      </c>
      <c r="H71" s="14">
        <v>29.0774838709679</v>
      </c>
      <c r="I71" s="14">
        <v>23.578967741935212</v>
      </c>
      <c r="J71" s="14">
        <v>18.080451612902593</v>
      </c>
      <c r="K71" s="14">
        <v>11.509169678376322</v>
      </c>
      <c r="L71" s="14">
        <v>4.0193027320076338</v>
      </c>
      <c r="M71" s="14">
        <v>-2.7657126847016458</v>
      </c>
      <c r="N71" s="14">
        <v>-6.3687523895434666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D72" s="14">
        <v>30.042418702528597</v>
      </c>
      <c r="E72" s="14">
        <v>34.3182323176623</v>
      </c>
      <c r="F72" s="14">
        <v>33.080000000000048</v>
      </c>
      <c r="G72" s="14">
        <v>30.611829268292762</v>
      </c>
      <c r="H72" s="14">
        <v>28.147908536585401</v>
      </c>
      <c r="I72" s="14">
        <v>24.61179965342922</v>
      </c>
      <c r="J72" s="14">
        <v>19.805652279200881</v>
      </c>
      <c r="K72" s="14">
        <v>11.654390341572322</v>
      </c>
      <c r="L72" s="14">
        <v>5.0229034395906824</v>
      </c>
      <c r="M72" s="14">
        <v>-2.068556227501237</v>
      </c>
      <c r="N72" s="14">
        <v>-6.0750167292255188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D73" s="14">
        <v>30.042418702528597</v>
      </c>
      <c r="E73" s="14">
        <v>34.3182323176623</v>
      </c>
      <c r="F73" s="14">
        <v>33.080000000000048</v>
      </c>
      <c r="G73" s="14">
        <v>34.580000000000048</v>
      </c>
      <c r="H73" s="14">
        <v>29.0774838709679</v>
      </c>
      <c r="I73" s="14">
        <v>23.578967741935216</v>
      </c>
      <c r="J73" s="14">
        <v>18.080451612902593</v>
      </c>
      <c r="K73" s="14">
        <v>11.563333768095957</v>
      </c>
      <c r="L73" s="14">
        <v>4.041893005286024</v>
      </c>
      <c r="M73" s="14">
        <v>-2.7641763014703362</v>
      </c>
      <c r="N73" s="14">
        <v>-6.447043135772816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D74" s="14">
        <v>30.042418702528597</v>
      </c>
      <c r="E74" s="14">
        <v>34.3182323176623</v>
      </c>
      <c r="F74" s="14">
        <v>33.080000000000048</v>
      </c>
      <c r="G74" s="14">
        <v>30.611829268292841</v>
      </c>
      <c r="H74" s="14">
        <v>28.147908536585408</v>
      </c>
      <c r="I74" s="14">
        <v>24.018838203189478</v>
      </c>
      <c r="J74" s="14">
        <v>20.062901338363471</v>
      </c>
      <c r="K74" s="14">
        <v>11.40915789274632</v>
      </c>
      <c r="L74" s="14">
        <v>5.1107142209303262</v>
      </c>
      <c r="M74" s="14">
        <v>-1.7031609995738193</v>
      </c>
      <c r="N74" s="14">
        <v>-5.9472778985893751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D75" s="14">
        <v>30.042418702528597</v>
      </c>
      <c r="E75" s="14">
        <v>34.3182323176623</v>
      </c>
      <c r="F75" s="14">
        <v>33.080000000000048</v>
      </c>
      <c r="G75" s="14">
        <v>34.580000000000048</v>
      </c>
      <c r="H75" s="14">
        <v>29.077483870967903</v>
      </c>
      <c r="I75" s="14">
        <v>23.578967741935202</v>
      </c>
      <c r="J75" s="14">
        <v>18.080451612902603</v>
      </c>
      <c r="K75" s="14">
        <v>11.474636636115626</v>
      </c>
      <c r="L75" s="14">
        <v>4.0523245536876118</v>
      </c>
      <c r="M75" s="14">
        <v>-2.6665449143517899</v>
      </c>
      <c r="N75" s="14">
        <v>-6.466408939312589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D76" s="14">
        <v>30.042418702528597</v>
      </c>
      <c r="E76" s="14">
        <v>34.3182323176623</v>
      </c>
      <c r="F76" s="14">
        <v>33.080000000000048</v>
      </c>
      <c r="G76" s="14">
        <v>30.611829268292816</v>
      </c>
      <c r="H76" s="14">
        <v>28.147908536585401</v>
      </c>
      <c r="I76" s="14">
        <v>22.494733511300115</v>
      </c>
      <c r="J76" s="14">
        <v>19.751644569181231</v>
      </c>
      <c r="K76" s="14">
        <v>12.43728537113323</v>
      </c>
      <c r="L76" s="14">
        <v>5.322409010539551</v>
      </c>
      <c r="M76" s="14">
        <v>-0.37365606106801486</v>
      </c>
      <c r="N76" s="14">
        <v>-6.6812436440197782</v>
      </c>
    </row>
  </sheetData>
  <conditionalFormatting sqref="A1:XFD12 A20:XFD1048576 N19:XFD19 A14:XFD18 A13:E13 J13:XFD13">
    <cfRule type="expression" dxfId="147" priority="3">
      <formula>_xlfn.ISFORMULA(A1)</formula>
    </cfRule>
  </conditionalFormatting>
  <conditionalFormatting sqref="A19:M19">
    <cfRule type="expression" dxfId="146" priority="2">
      <formula>_xlfn.ISFORMULA(A19)</formula>
    </cfRule>
  </conditionalFormatting>
  <conditionalFormatting sqref="F13:I13">
    <cfRule type="expression" dxfId="145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B39796-53FD-47B7-B47B-42AF7CAC011A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E508-18B0-4B7D-8789-D77074414388}">
  <sheetPr>
    <tabColor theme="5" tint="0.39997558519241921"/>
  </sheetPr>
  <dimension ref="A1:S193"/>
  <sheetViews>
    <sheetView zoomScale="55" zoomScaleNormal="55" workbookViewId="0">
      <selection activeCell="D39" sqref="D39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210</v>
      </c>
    </row>
    <row r="2" spans="1:9" s="5" customFormat="1" x14ac:dyDescent="0.3">
      <c r="A2" s="5" t="s">
        <v>5</v>
      </c>
      <c r="B2" s="5" t="s">
        <v>213</v>
      </c>
    </row>
    <row r="3" spans="1:9" s="5" customFormat="1" x14ac:dyDescent="0.3">
      <c r="A3" s="5" t="s">
        <v>6</v>
      </c>
      <c r="B3" s="5" t="s">
        <v>207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269</v>
      </c>
    </row>
    <row r="7" spans="1:9" s="5" customFormat="1" x14ac:dyDescent="0.3">
      <c r="B7" s="5" t="s">
        <v>188</v>
      </c>
      <c r="C7" s="5" t="s">
        <v>50</v>
      </c>
      <c r="D7" s="5" t="s">
        <v>270</v>
      </c>
    </row>
    <row r="8" spans="1:9" s="5" customFormat="1" x14ac:dyDescent="0.3">
      <c r="B8" s="5" t="s">
        <v>190</v>
      </c>
      <c r="C8" s="5" t="s">
        <v>10</v>
      </c>
      <c r="D8" s="5" t="s">
        <v>271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$E$8:$P3000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272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50</v>
      </c>
      <c r="B22" s="17" t="s">
        <v>51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INDEX($D$38:$N$193,MATCH(B$24&amp;$B$22,$B$38:$B$193&amp;$C$38:$C$193,0),MATCH($A25,$D$37:$N$37,0))</f>
        <v>24726.384098969917</v>
      </c>
      <c r="C25" s="14">
        <f t="array" ref="C25">INDEX($D$38:$N$193,MATCH(C$24&amp;$B$22,$B$38:$B$193&amp;$C$38:$C$193,0),MATCH($A25,$D$37:$N$37,0))</f>
        <v>24314.326473339901</v>
      </c>
      <c r="D25" s="14">
        <f t="array" ref="D25">INDEX($D$38:$N$193,MATCH(D$24&amp;$B$22,$B$38:$B$193&amp;$C$38:$C$193,0),MATCH($A25,$D$37:$N$37,0))</f>
        <v>24726.384098969917</v>
      </c>
      <c r="E25" s="14">
        <f t="array" ref="E25">INDEX($D$38:$N$193,MATCH(E$24&amp;$B$22,$B$38:$B$193&amp;$C$38:$C$193,0),MATCH($A25,$D$37:$N$37,0))</f>
        <v>24726.384098969917</v>
      </c>
      <c r="F25" s="14">
        <f t="array" ref="F25">INDEX($D$38:$N$193,MATCH(F$24&amp;$B$22,$B$38:$B$193&amp;$C$38:$C$193,0),MATCH($A25,$D$37:$N$37,0))</f>
        <v>24726.384098969917</v>
      </c>
      <c r="G25" s="14">
        <f t="array" ref="G25">INDEX($D$38:$N$193,MATCH(G$24&amp;$B$22,$B$38:$B$193&amp;$C$38:$C$193,0),MATCH($A25,$D$37:$N$37,0))</f>
        <v>24726.384098969917</v>
      </c>
      <c r="H25" s="14">
        <f t="array" ref="H25">INDEX($D$38:$N$193,MATCH(H$24&amp;$B$22,$B$38:$B$193&amp;$C$38:$C$193,0),MATCH($A25,$D$37:$N$37,0))</f>
        <v>24726.384098969917</v>
      </c>
      <c r="I25" s="14">
        <f t="array" ref="I25">INDEX($D$38:$N$193,MATCH(I$24&amp;$B$22,$B$38:$B$193&amp;$C$38:$C$193,0),MATCH($A25,$D$37:$N$37,0))</f>
        <v>24726.384098969917</v>
      </c>
      <c r="J25" s="14">
        <f t="array" ref="J25">INDEX($D$38:$N$193,MATCH(J$24&amp;$B$22,$B$38:$B$193&amp;$C$38:$C$193,0),MATCH($A25,$D$37:$N$37,0))</f>
        <v>24726.384098969917</v>
      </c>
      <c r="K25" s="14" t="e">
        <f t="array" ref="K25">INDEX($D$38:$N$193,MATCH(K$24&amp;$B$22,$B$38:$B$193&amp;$C$38:$C$193,0),MATCH($A25,$D$37:$N$37,0))</f>
        <v>#N/A</v>
      </c>
      <c r="L25" s="14" t="e">
        <f t="array" ref="L25">INDEX($D$38:$N$193,MATCH(L$24&amp;$B$22,$B$38:$B$193&amp;$C$38:$C$193,0),MATCH($A25,$D$37:$N$37,0))</f>
        <v>#N/A</v>
      </c>
      <c r="M25" s="14" t="e">
        <f t="array" ref="M25">INDEX($D$38:$N$193,MATCH(M$24&amp;$B$22,$B$38:$B$193&amp;$C$38:$C$193,0),MATCH($A25,$D$37:$N$37,0))</f>
        <v>#N/A</v>
      </c>
    </row>
    <row r="26" spans="1:13" x14ac:dyDescent="0.3">
      <c r="A26" s="3">
        <v>2020</v>
      </c>
      <c r="B26" s="14">
        <f t="array" ref="B26">INDEX($D$38:$N$193,MATCH(B$24&amp;$B$22,$B$38:$B$193&amp;$C$38:$C$193,0),MATCH($A26,$D$37:$N$37,0))</f>
        <v>21039.05263430543</v>
      </c>
      <c r="C26" s="14">
        <f t="array" ref="C26">INDEX($D$38:$N$193,MATCH(C$24&amp;$B$22,$B$38:$B$193&amp;$C$38:$C$193,0),MATCH($A26,$D$37:$N$37,0))</f>
        <v>20224.388400919761</v>
      </c>
      <c r="D26" s="14">
        <f t="array" ref="D26">INDEX($D$38:$N$193,MATCH(D$24&amp;$B$22,$B$38:$B$193&amp;$C$38:$C$193,0),MATCH($A26,$D$37:$N$37,0))</f>
        <v>20023.092920446408</v>
      </c>
      <c r="E26" s="14">
        <f t="array" ref="E26">INDEX($D$38:$N$193,MATCH(E$24&amp;$B$22,$B$38:$B$193&amp;$C$38:$C$193,0),MATCH($A26,$D$37:$N$37,0))</f>
        <v>20023.092920446408</v>
      </c>
      <c r="F26" s="14">
        <f t="array" ref="F26">INDEX($D$38:$N$193,MATCH(F$24&amp;$B$22,$B$38:$B$193&amp;$C$38:$C$193,0),MATCH($A26,$D$37:$N$37,0))</f>
        <v>20023.092920446408</v>
      </c>
      <c r="G26" s="14">
        <f t="array" ref="G26">INDEX($D$38:$N$193,MATCH(G$24&amp;$B$22,$B$38:$B$193&amp;$C$38:$C$193,0),MATCH($A26,$D$37:$N$37,0))</f>
        <v>20023.092920446408</v>
      </c>
      <c r="H26" s="14">
        <f t="array" ref="H26">INDEX($D$38:$N$193,MATCH(H$24&amp;$B$22,$B$38:$B$193&amp;$C$38:$C$193,0),MATCH($A26,$D$37:$N$37,0))</f>
        <v>20023.092920446408</v>
      </c>
      <c r="I26" s="14">
        <f t="array" ref="I26">INDEX($D$38:$N$193,MATCH(I$24&amp;$B$22,$B$38:$B$193&amp;$C$38:$C$193,0),MATCH($A26,$D$37:$N$37,0))</f>
        <v>20023.092920446408</v>
      </c>
      <c r="J26" s="14">
        <f t="array" ref="J26">INDEX($D$38:$N$193,MATCH(J$24&amp;$B$22,$B$38:$B$193&amp;$C$38:$C$193,0),MATCH($A26,$D$37:$N$37,0))</f>
        <v>20023.092920446408</v>
      </c>
      <c r="K26" s="14" t="e">
        <f t="array" ref="K26">INDEX($D$38:$N$193,MATCH(K$24&amp;$B$22,$B$38:$B$193&amp;$C$38:$C$193,0),MATCH($A26,$D$37:$N$37,0))</f>
        <v>#N/A</v>
      </c>
      <c r="L26" s="14" t="e">
        <f t="array" ref="L26">INDEX($D$38:$N$193,MATCH(L$24&amp;$B$22,$B$38:$B$193&amp;$C$38:$C$193,0),MATCH($A26,$D$37:$N$37,0))</f>
        <v>#N/A</v>
      </c>
      <c r="M26" s="14" t="e">
        <f t="array" ref="M26">INDEX($D$38:$N$193,MATCH(M$24&amp;$B$22,$B$38:$B$193&amp;$C$38:$C$193,0),MATCH($A26,$D$37:$N$37,0))</f>
        <v>#N/A</v>
      </c>
    </row>
    <row r="27" spans="1:13" x14ac:dyDescent="0.3">
      <c r="A27" s="3">
        <v>2030</v>
      </c>
      <c r="B27" s="14">
        <f t="array" ref="B27">INDEX($D$38:$N$193,MATCH(B$24&amp;$B$22,$B$38:$B$193&amp;$C$38:$C$193,0),MATCH($A27,$D$37:$N$37,0))</f>
        <v>26111.353059062836</v>
      </c>
      <c r="C27" s="14">
        <f t="array" ref="C27">INDEX($D$38:$N$193,MATCH(C$24&amp;$B$22,$B$38:$B$193&amp;$C$38:$C$193,0),MATCH($A27,$D$37:$N$37,0))</f>
        <v>26261.692097329367</v>
      </c>
      <c r="D27" s="14">
        <f t="array" ref="D27">INDEX($D$38:$N$193,MATCH(D$24&amp;$B$22,$B$38:$B$193&amp;$C$38:$C$193,0),MATCH($A27,$D$37:$N$37,0))</f>
        <v>26227.564065710481</v>
      </c>
      <c r="E27" s="14">
        <f t="array" ref="E27">INDEX($D$38:$N$193,MATCH(E$24&amp;$B$22,$B$38:$B$193&amp;$C$38:$C$193,0),MATCH($A27,$D$37:$N$37,0))</f>
        <v>25751.973362970708</v>
      </c>
      <c r="F27" s="14">
        <f t="array" ref="F27">INDEX($D$38:$N$193,MATCH(F$24&amp;$B$22,$B$38:$B$193&amp;$C$38:$C$193,0),MATCH($A27,$D$37:$N$37,0))</f>
        <v>26227.564065710481</v>
      </c>
      <c r="G27" s="14">
        <f t="array" ref="G27">INDEX($D$38:$N$193,MATCH(G$24&amp;$B$22,$B$38:$B$193&amp;$C$38:$C$193,0),MATCH($A27,$D$37:$N$37,0))</f>
        <v>15241.794989838872</v>
      </c>
      <c r="H27" s="14">
        <f t="array" ref="H27">INDEX($D$38:$N$193,MATCH(H$24&amp;$B$22,$B$38:$B$193&amp;$C$38:$C$193,0),MATCH($A27,$D$37:$N$37,0))</f>
        <v>26227.564065710481</v>
      </c>
      <c r="I27" s="14">
        <f t="array" ref="I27">INDEX($D$38:$N$193,MATCH(I$24&amp;$B$22,$B$38:$B$193&amp;$C$38:$C$193,0),MATCH($A27,$D$37:$N$37,0))</f>
        <v>25608.822442657802</v>
      </c>
      <c r="J27" s="14">
        <f t="array" ref="J27">INDEX($D$38:$N$193,MATCH(J$24&amp;$B$22,$B$38:$B$193&amp;$C$38:$C$193,0),MATCH($A27,$D$37:$N$37,0))</f>
        <v>26227.564065710481</v>
      </c>
      <c r="K27" s="14" t="e">
        <f t="array" ref="K27">INDEX($D$38:$N$193,MATCH(K$24&amp;$B$22,$B$38:$B$193&amp;$C$38:$C$193,0),MATCH($A27,$D$37:$N$37,0))</f>
        <v>#N/A</v>
      </c>
      <c r="L27" s="14" t="e">
        <f t="array" ref="L27">INDEX($D$38:$N$193,MATCH(L$24&amp;$B$22,$B$38:$B$193&amp;$C$38:$C$193,0),MATCH($A27,$D$37:$N$37,0))</f>
        <v>#N/A</v>
      </c>
      <c r="M27" s="14" t="e">
        <f t="array" ref="M27">INDEX($D$38:$N$193,MATCH(M$24&amp;$B$22,$B$38:$B$193&amp;$C$38:$C$193,0),MATCH($A27,$D$37:$N$37,0))</f>
        <v>#N/A</v>
      </c>
    </row>
    <row r="28" spans="1:13" x14ac:dyDescent="0.3">
      <c r="A28" s="3">
        <v>2040</v>
      </c>
      <c r="B28" s="14">
        <f t="array" ref="B28">INDEX($D$38:$N$193,MATCH(B$24&amp;$B$22,$B$38:$B$193&amp;$C$38:$C$193,0),MATCH($A28,$D$37:$N$37,0))</f>
        <v>44009.88146318691</v>
      </c>
      <c r="C28" s="14">
        <f t="array" ref="C28">INDEX($D$38:$N$193,MATCH(C$24&amp;$B$22,$B$38:$B$193&amp;$C$38:$C$193,0),MATCH($A28,$D$37:$N$37,0))</f>
        <v>43735.547866259585</v>
      </c>
      <c r="D28" s="14">
        <f t="array" ref="D28">INDEX($D$38:$N$193,MATCH(D$24&amp;$B$22,$B$38:$B$193&amp;$C$38:$C$193,0),MATCH($A28,$D$37:$N$37,0))</f>
        <v>43541.290085667431</v>
      </c>
      <c r="E28" s="14">
        <f t="array" ref="E28">INDEX($D$38:$N$193,MATCH(E$24&amp;$B$22,$B$38:$B$193&amp;$C$38:$C$193,0),MATCH($A28,$D$37:$N$37,0))</f>
        <v>42886.792531924242</v>
      </c>
      <c r="F28" s="14">
        <f t="array" ref="F28">INDEX($D$38:$N$193,MATCH(F$24&amp;$B$22,$B$38:$B$193&amp;$C$38:$C$193,0),MATCH($A28,$D$37:$N$37,0))</f>
        <v>42894.831702591669</v>
      </c>
      <c r="G28" s="14">
        <f t="array" ref="G28">INDEX($D$38:$N$193,MATCH(G$24&amp;$B$22,$B$38:$B$193&amp;$C$38:$C$193,0),MATCH($A28,$D$37:$N$37,0))</f>
        <v>12173.824872690442</v>
      </c>
      <c r="H28" s="14">
        <f t="array" ref="H28">INDEX($D$38:$N$193,MATCH(H$24&amp;$B$22,$B$38:$B$193&amp;$C$38:$C$193,0),MATCH($A28,$D$37:$N$37,0))</f>
        <v>15425.681231690936</v>
      </c>
      <c r="I28" s="14">
        <f t="array" ref="I28">INDEX($D$38:$N$193,MATCH(I$24&amp;$B$22,$B$38:$B$193&amp;$C$38:$C$193,0),MATCH($A28,$D$37:$N$37,0))</f>
        <v>43089.555106222237</v>
      </c>
      <c r="J28" s="14">
        <f t="array" ref="J28">INDEX($D$38:$N$193,MATCH(J$24&amp;$B$22,$B$38:$B$193&amp;$C$38:$C$193,0),MATCH($A28,$D$37:$N$37,0))</f>
        <v>44987.470385932087</v>
      </c>
      <c r="K28" s="14" t="e">
        <f t="array" ref="K28">INDEX($D$38:$N$193,MATCH(K$24&amp;$B$22,$B$38:$B$193&amp;$C$38:$C$193,0),MATCH($A28,$D$37:$N$37,0))</f>
        <v>#N/A</v>
      </c>
      <c r="L28" s="14" t="e">
        <f t="array" ref="L28">INDEX($D$38:$N$193,MATCH(L$24&amp;$B$22,$B$38:$B$193&amp;$C$38:$C$193,0),MATCH($A28,$D$37:$N$37,0))</f>
        <v>#N/A</v>
      </c>
      <c r="M28" s="14" t="e">
        <f t="array" ref="M28">INDEX($D$38:$N$193,MATCH(M$24&amp;$B$22,$B$38:$B$193&amp;$C$38:$C$193,0),MATCH($A28,$D$37:$N$37,0))</f>
        <v>#N/A</v>
      </c>
    </row>
    <row r="29" spans="1:13" x14ac:dyDescent="0.3">
      <c r="A29" s="3">
        <v>2050</v>
      </c>
      <c r="B29" s="14">
        <f t="array" ref="B29">INDEX($D$38:$N$193,MATCH(B$24&amp;$B$22,$B$38:$B$193&amp;$C$38:$C$193,0),MATCH($A29,$D$37:$N$37,0))</f>
        <v>29454.0057998179</v>
      </c>
      <c r="C29" s="14">
        <f t="array" ref="C29">INDEX($D$38:$N$193,MATCH(C$24&amp;$B$22,$B$38:$B$193&amp;$C$38:$C$193,0),MATCH($A29,$D$37:$N$37,0))</f>
        <v>29647.436973951644</v>
      </c>
      <c r="D29" s="14">
        <f t="array" ref="D29">INDEX($D$38:$N$193,MATCH(D$24&amp;$B$22,$B$38:$B$193&amp;$C$38:$C$193,0),MATCH($A29,$D$37:$N$37,0))</f>
        <v>29263.695907534551</v>
      </c>
      <c r="E29" s="14">
        <f t="array" ref="E29">INDEX($D$38:$N$193,MATCH(E$24&amp;$B$22,$B$38:$B$193&amp;$C$38:$C$193,0),MATCH($A29,$D$37:$N$37,0))</f>
        <v>24565.49330485244</v>
      </c>
      <c r="F29" s="14">
        <f t="array" ref="F29">INDEX($D$38:$N$193,MATCH(F$24&amp;$B$22,$B$38:$B$193&amp;$C$38:$C$193,0),MATCH($A29,$D$37:$N$37,0))</f>
        <v>26802.913172730827</v>
      </c>
      <c r="G29" s="14">
        <f t="array" ref="G29">INDEX($D$38:$N$193,MATCH(G$24&amp;$B$22,$B$38:$B$193&amp;$C$38:$C$193,0),MATCH($A29,$D$37:$N$37,0))</f>
        <v>12070.190366367791</v>
      </c>
      <c r="H29" s="14">
        <f t="array" ref="H29">INDEX($D$38:$N$193,MATCH(H$24&amp;$B$22,$B$38:$B$193&amp;$C$38:$C$193,0),MATCH($A29,$D$37:$N$37,0))</f>
        <v>8105.3605655448646</v>
      </c>
      <c r="I29" s="14">
        <f t="array" ref="I29">INDEX($D$38:$N$193,MATCH(I$24&amp;$B$22,$B$38:$B$193&amp;$C$38:$C$193,0),MATCH($A29,$D$37:$N$37,0))</f>
        <v>31022.74646031842</v>
      </c>
      <c r="J29" s="14">
        <f t="array" ref="J29">INDEX($D$38:$N$193,MATCH(J$24&amp;$B$22,$B$38:$B$193&amp;$C$38:$C$193,0),MATCH($A29,$D$37:$N$37,0))</f>
        <v>26342.09763145219</v>
      </c>
      <c r="K29" s="14" t="e">
        <f t="array" ref="K29">INDEX($D$38:$N$193,MATCH(K$24&amp;$B$22,$B$38:$B$193&amp;$C$38:$C$193,0),MATCH($A29,$D$37:$N$37,0))</f>
        <v>#N/A</v>
      </c>
      <c r="L29" s="14" t="e">
        <f t="array" ref="L29">INDEX($D$38:$N$193,MATCH(L$24&amp;$B$22,$B$38:$B$193&amp;$C$38:$C$193,0),MATCH($A29,$D$37:$N$37,0))</f>
        <v>#N/A</v>
      </c>
      <c r="M29" s="14" t="e">
        <f t="array" ref="M29">INDEX($D$38:$N$193,MATCH(M$24&amp;$B$22,$B$38:$B$193&amp;$C$38:$C$193,0),MATCH($A29,$D$37:$N$37,0))</f>
        <v>#N/A</v>
      </c>
    </row>
    <row r="30" spans="1:13" x14ac:dyDescent="0.3">
      <c r="A30" s="3">
        <v>2060</v>
      </c>
      <c r="B30" s="14">
        <f t="array" ref="B30">INDEX($D$38:$N$193,MATCH(B$24&amp;$B$22,$B$38:$B$193&amp;$C$38:$C$193,0),MATCH($A30,$D$37:$N$37,0))</f>
        <v>28670.031287993308</v>
      </c>
      <c r="C30" s="14">
        <f t="array" ref="C30">INDEX($D$38:$N$193,MATCH(C$24&amp;$B$22,$B$38:$B$193&amp;$C$38:$C$193,0),MATCH($A30,$D$37:$N$37,0))</f>
        <v>28814.668207243489</v>
      </c>
      <c r="D30" s="14">
        <f t="array" ref="D30">INDEX($D$38:$N$193,MATCH(D$24&amp;$B$22,$B$38:$B$193&amp;$C$38:$C$193,0),MATCH($A30,$D$37:$N$37,0))</f>
        <v>27755.325913195767</v>
      </c>
      <c r="E30" s="14">
        <f t="array" ref="E30">INDEX($D$38:$N$193,MATCH(E$24&amp;$B$22,$B$38:$B$193&amp;$C$38:$C$193,0),MATCH($A30,$D$37:$N$37,0))</f>
        <v>26539.866893664064</v>
      </c>
      <c r="F30" s="14">
        <f t="array" ref="F30">INDEX($D$38:$N$193,MATCH(F$24&amp;$B$22,$B$38:$B$193&amp;$C$38:$C$193,0),MATCH($A30,$D$37:$N$37,0))</f>
        <v>27233.539569664925</v>
      </c>
      <c r="G30" s="14">
        <f t="array" ref="G30">INDEX($D$38:$N$193,MATCH(G$24&amp;$B$22,$B$38:$B$193&amp;$C$38:$C$193,0),MATCH($A30,$D$37:$N$37,0))</f>
        <v>21868.797666487913</v>
      </c>
      <c r="H30" s="14">
        <f t="array" ref="H30">INDEX($D$38:$N$193,MATCH(H$24&amp;$B$22,$B$38:$B$193&amp;$C$38:$C$193,0),MATCH($A30,$D$37:$N$37,0))</f>
        <v>13725.361658272255</v>
      </c>
      <c r="I30" s="14">
        <f t="array" ref="I30">INDEX($D$38:$N$193,MATCH(I$24&amp;$B$22,$B$38:$B$193&amp;$C$38:$C$193,0),MATCH($A30,$D$37:$N$37,0))</f>
        <v>31624.063317894354</v>
      </c>
      <c r="J30" s="14">
        <f t="array" ref="J30">INDEX($D$38:$N$193,MATCH(J$24&amp;$B$22,$B$38:$B$193&amp;$C$38:$C$193,0),MATCH($A30,$D$37:$N$37,0))</f>
        <v>22642.138409391588</v>
      </c>
      <c r="K30" s="14" t="e">
        <f t="array" ref="K30">INDEX($D$38:$N$193,MATCH(K$24&amp;$B$22,$B$38:$B$193&amp;$C$38:$C$193,0),MATCH($A30,$D$37:$N$37,0))</f>
        <v>#N/A</v>
      </c>
      <c r="L30" s="14" t="e">
        <f t="array" ref="L30">INDEX($D$38:$N$193,MATCH(L$24&amp;$B$22,$B$38:$B$193&amp;$C$38:$C$193,0),MATCH($A30,$D$37:$N$37,0))</f>
        <v>#N/A</v>
      </c>
      <c r="M30" s="14" t="e">
        <f t="array" ref="M30">INDEX($D$38:$N$193,MATCH(M$24&amp;$B$22,$B$38:$B$193&amp;$C$38:$C$193,0),MATCH($A30,$D$37:$N$37,0))</f>
        <v>#N/A</v>
      </c>
    </row>
    <row r="31" spans="1:13" x14ac:dyDescent="0.3">
      <c r="A31" s="3">
        <v>2070</v>
      </c>
      <c r="B31" s="14">
        <f t="array" ref="B31">INDEX($D$38:$N$193,MATCH(B$24&amp;$B$22,$B$38:$B$193&amp;$C$38:$C$193,0),MATCH($A31,$D$37:$N$37,0))</f>
        <v>30018.134679977786</v>
      </c>
      <c r="C31" s="14">
        <f t="array" ref="C31">INDEX($D$38:$N$193,MATCH(C$24&amp;$B$22,$B$38:$B$193&amp;$C$38:$C$193,0),MATCH($A31,$D$37:$N$37,0))</f>
        <v>30069.038904505207</v>
      </c>
      <c r="D31" s="14">
        <f t="array" ref="D31">INDEX($D$38:$N$193,MATCH(D$24&amp;$B$22,$B$38:$B$193&amp;$C$38:$C$193,0),MATCH($A31,$D$37:$N$37,0))</f>
        <v>29750.072698086729</v>
      </c>
      <c r="E31" s="14">
        <f t="array" ref="E31">INDEX($D$38:$N$193,MATCH(E$24&amp;$B$22,$B$38:$B$193&amp;$C$38:$C$193,0),MATCH($A31,$D$37:$N$37,0))</f>
        <v>29080.401012174982</v>
      </c>
      <c r="F31" s="14">
        <f t="array" ref="F31">INDEX($D$38:$N$193,MATCH(F$24&amp;$B$22,$B$38:$B$193&amp;$C$38:$C$193,0),MATCH($A31,$D$37:$N$37,0))</f>
        <v>29525.070821758323</v>
      </c>
      <c r="G31" s="14">
        <f t="array" ref="G31">INDEX($D$38:$N$193,MATCH(G$24&amp;$B$22,$B$38:$B$193&amp;$C$38:$C$193,0),MATCH($A31,$D$37:$N$37,0))</f>
        <v>33795.753408279292</v>
      </c>
      <c r="H31" s="14">
        <f t="array" ref="H31">INDEX($D$38:$N$193,MATCH(H$24&amp;$B$22,$B$38:$B$193&amp;$C$38:$C$193,0),MATCH($A31,$D$37:$N$37,0))</f>
        <v>34960.317454184369</v>
      </c>
      <c r="I31" s="14">
        <f t="array" ref="I31">INDEX($D$38:$N$193,MATCH(I$24&amp;$B$22,$B$38:$B$193&amp;$C$38:$C$193,0),MATCH($A31,$D$37:$N$37,0))</f>
        <v>32420.904265161491</v>
      </c>
      <c r="J31" s="14">
        <f t="array" ref="J31">INDEX($D$38:$N$193,MATCH(J$24&amp;$B$22,$B$38:$B$193&amp;$C$38:$C$193,0),MATCH($A31,$D$37:$N$37,0))</f>
        <v>32645.67178642724</v>
      </c>
      <c r="K31" s="14" t="e">
        <f t="array" ref="K31">INDEX($D$38:$N$193,MATCH(K$24&amp;$B$22,$B$38:$B$193&amp;$C$38:$C$193,0),MATCH($A31,$D$37:$N$37,0))</f>
        <v>#N/A</v>
      </c>
      <c r="L31" s="14" t="e">
        <f t="array" ref="L31">INDEX($D$38:$N$193,MATCH(L$24&amp;$B$22,$B$38:$B$193&amp;$C$38:$C$193,0),MATCH($A31,$D$37:$N$37,0))</f>
        <v>#N/A</v>
      </c>
      <c r="M31" s="14" t="e">
        <f t="array" ref="M31">INDEX($D$38:$N$193,MATCH(M$24&amp;$B$22,$B$38:$B$193&amp;$C$38:$C$193,0),MATCH($A31,$D$37:$N$37,0))</f>
        <v>#N/A</v>
      </c>
    </row>
    <row r="32" spans="1:13" x14ac:dyDescent="0.3">
      <c r="A32" s="3">
        <v>2080</v>
      </c>
      <c r="B32" s="14">
        <f t="array" ref="B32">INDEX($D$38:$N$193,MATCH(B$24&amp;$B$22,$B$38:$B$193&amp;$C$38:$C$193,0),MATCH($A32,$D$37:$N$37,0))</f>
        <v>31638.338492976382</v>
      </c>
      <c r="C32" s="14">
        <f t="array" ref="C32">INDEX($D$38:$N$193,MATCH(C$24&amp;$B$22,$B$38:$B$193&amp;$C$38:$C$193,0),MATCH($A32,$D$37:$N$37,0))</f>
        <v>31560.63466602562</v>
      </c>
      <c r="D32" s="14">
        <f t="array" ref="D32">INDEX($D$38:$N$193,MATCH(D$24&amp;$B$22,$B$38:$B$193&amp;$C$38:$C$193,0),MATCH($A32,$D$37:$N$37,0))</f>
        <v>31678.866680709412</v>
      </c>
      <c r="E32" s="14">
        <f t="array" ref="E32">INDEX($D$38:$N$193,MATCH(E$24&amp;$B$22,$B$38:$B$193&amp;$C$38:$C$193,0),MATCH($A32,$D$37:$N$37,0))</f>
        <v>29811.395672422026</v>
      </c>
      <c r="F32" s="14">
        <f t="array" ref="F32">INDEX($D$38:$N$193,MATCH(F$24&amp;$B$22,$B$38:$B$193&amp;$C$38:$C$193,0),MATCH($A32,$D$37:$N$37,0))</f>
        <v>29363.07995455842</v>
      </c>
      <c r="G32" s="14">
        <f t="array" ref="G32">INDEX($D$38:$N$193,MATCH(G$24&amp;$B$22,$B$38:$B$193&amp;$C$38:$C$193,0),MATCH($A32,$D$37:$N$37,0))</f>
        <v>30622.804973313199</v>
      </c>
      <c r="H32" s="14">
        <f t="array" ref="H32">INDEX($D$38:$N$193,MATCH(H$24&amp;$B$22,$B$38:$B$193&amp;$C$38:$C$193,0),MATCH($A32,$D$37:$N$37,0))</f>
        <v>35467.181671619241</v>
      </c>
      <c r="I32" s="14">
        <f t="array" ref="I32">INDEX($D$38:$N$193,MATCH(I$24&amp;$B$22,$B$38:$B$193&amp;$C$38:$C$193,0),MATCH($A32,$D$37:$N$37,0))</f>
        <v>27847.649820516323</v>
      </c>
      <c r="J32" s="14">
        <f t="array" ref="J32">INDEX($D$38:$N$193,MATCH(J$24&amp;$B$22,$B$38:$B$193&amp;$C$38:$C$193,0),MATCH($A32,$D$37:$N$37,0))</f>
        <v>29855.503893621499</v>
      </c>
      <c r="K32" s="14" t="e">
        <f t="array" ref="K32">INDEX($D$38:$N$193,MATCH(K$24&amp;$B$22,$B$38:$B$193&amp;$C$38:$C$193,0),MATCH($A32,$D$37:$N$37,0))</f>
        <v>#N/A</v>
      </c>
      <c r="L32" s="14" t="e">
        <f t="array" ref="L32">INDEX($D$38:$N$193,MATCH(L$24&amp;$B$22,$B$38:$B$193&amp;$C$38:$C$193,0),MATCH($A32,$D$37:$N$37,0))</f>
        <v>#N/A</v>
      </c>
      <c r="M32" s="14" t="e">
        <f t="array" ref="M32">INDEX($D$38:$N$193,MATCH(M$24&amp;$B$22,$B$38:$B$193&amp;$C$38:$C$193,0),MATCH($A32,$D$37:$N$37,0))</f>
        <v>#N/A</v>
      </c>
    </row>
    <row r="33" spans="1:19" x14ac:dyDescent="0.3">
      <c r="A33" s="3">
        <v>2090</v>
      </c>
      <c r="B33" s="14">
        <f t="array" ref="B33">INDEX($D$38:$N$193,MATCH(B$24&amp;$B$22,$B$38:$B$193&amp;$C$38:$C$193,0),MATCH($A33,$D$37:$N$37,0))</f>
        <v>33980.6489961201</v>
      </c>
      <c r="C33" s="14">
        <f t="array" ref="C33">INDEX($D$38:$N$193,MATCH(C$24&amp;$B$22,$B$38:$B$193&amp;$C$38:$C$193,0),MATCH($A33,$D$37:$N$37,0))</f>
        <v>33963.084715078738</v>
      </c>
      <c r="D33" s="14">
        <f t="array" ref="D33">INDEX($D$38:$N$193,MATCH(D$24&amp;$B$22,$B$38:$B$193&amp;$C$38:$C$193,0),MATCH($A33,$D$37:$N$37,0))</f>
        <v>33150.453589348173</v>
      </c>
      <c r="E33" s="14">
        <f t="array" ref="E33">INDEX($D$38:$N$193,MATCH(E$24&amp;$B$22,$B$38:$B$193&amp;$C$38:$C$193,0),MATCH($A33,$D$37:$N$37,0))</f>
        <v>27481.8478715458</v>
      </c>
      <c r="F33" s="14">
        <f t="array" ref="F33">INDEX($D$38:$N$193,MATCH(F$24&amp;$B$22,$B$38:$B$193&amp;$C$38:$C$193,0),MATCH($A33,$D$37:$N$37,0))</f>
        <v>27132.104541879693</v>
      </c>
      <c r="G33" s="14">
        <f t="array" ref="G33">INDEX($D$38:$N$193,MATCH(G$24&amp;$B$22,$B$38:$B$193&amp;$C$38:$C$193,0),MATCH($A33,$D$37:$N$37,0))</f>
        <v>27045.283405619255</v>
      </c>
      <c r="H33" s="14">
        <f t="array" ref="H33">INDEX($D$38:$N$193,MATCH(H$24&amp;$B$22,$B$38:$B$193&amp;$C$38:$C$193,0),MATCH($A33,$D$37:$N$37,0))</f>
        <v>36682.491312838749</v>
      </c>
      <c r="I33" s="14">
        <f t="array" ref="I33">INDEX($D$38:$N$193,MATCH(I$24&amp;$B$22,$B$38:$B$193&amp;$C$38:$C$193,0),MATCH($A33,$D$37:$N$37,0))</f>
        <v>22494.676425234549</v>
      </c>
      <c r="J33" s="14">
        <f t="array" ref="J33">INDEX($D$38:$N$193,MATCH(J$24&amp;$B$22,$B$38:$B$193&amp;$C$38:$C$193,0),MATCH($A33,$D$37:$N$37,0))</f>
        <v>23149.280108186653</v>
      </c>
      <c r="K33" s="14" t="e">
        <f t="array" ref="K33">INDEX($D$38:$N$193,MATCH(K$24&amp;$B$22,$B$38:$B$193&amp;$C$38:$C$193,0),MATCH($A33,$D$37:$N$37,0))</f>
        <v>#N/A</v>
      </c>
      <c r="L33" s="14" t="e">
        <f t="array" ref="L33">INDEX($D$38:$N$193,MATCH(L$24&amp;$B$22,$B$38:$B$193&amp;$C$38:$C$193,0),MATCH($A33,$D$37:$N$37,0))</f>
        <v>#N/A</v>
      </c>
      <c r="M33" s="14" t="e">
        <f t="array" ref="M33">INDEX($D$38:$N$193,MATCH(M$24&amp;$B$22,$B$38:$B$193&amp;$C$38:$C$193,0),MATCH($A33,$D$37:$N$37,0))</f>
        <v>#N/A</v>
      </c>
    </row>
    <row r="34" spans="1:19" x14ac:dyDescent="0.3">
      <c r="A34" s="3">
        <v>2100</v>
      </c>
      <c r="B34" s="14">
        <f t="array" ref="B34">INDEX($D$38:$N$193,MATCH(B$24&amp;$B$22,$B$38:$B$193&amp;$C$38:$C$193,0),MATCH($A34,$D$37:$N$37,0))</f>
        <v>20088.441747530676</v>
      </c>
      <c r="C34" s="14">
        <f t="array" ref="C34">INDEX($D$38:$N$193,MATCH(C$24&amp;$B$22,$B$38:$B$193&amp;$C$38:$C$193,0),MATCH($A34,$D$37:$N$37,0))</f>
        <v>20058.650738304008</v>
      </c>
      <c r="D34" s="14">
        <f t="array" ref="D34">INDEX($D$38:$N$193,MATCH(D$24&amp;$B$22,$B$38:$B$193&amp;$C$38:$C$193,0),MATCH($A34,$D$37:$N$37,0))</f>
        <v>19412.586027210098</v>
      </c>
      <c r="E34" s="14">
        <f t="array" ref="E34">INDEX($D$38:$N$193,MATCH(E$24&amp;$B$22,$B$38:$B$193&amp;$C$38:$C$193,0),MATCH($A34,$D$37:$N$37,0))</f>
        <v>19293.368705681925</v>
      </c>
      <c r="F34" s="14">
        <f t="array" ref="F34">INDEX($D$38:$N$193,MATCH(F$24&amp;$B$22,$B$38:$B$193&amp;$C$38:$C$193,0),MATCH($A34,$D$37:$N$37,0))</f>
        <v>18364.078433167906</v>
      </c>
      <c r="G34" s="14">
        <f t="array" ref="G34">INDEX($D$38:$N$193,MATCH(G$24&amp;$B$22,$B$38:$B$193&amp;$C$38:$C$193,0),MATCH($A34,$D$37:$N$37,0))</f>
        <v>16888.477987045884</v>
      </c>
      <c r="H34" s="14">
        <f t="array" ref="H34">INDEX($D$38:$N$193,MATCH(H$24&amp;$B$22,$B$38:$B$193&amp;$C$38:$C$193,0),MATCH($A34,$D$37:$N$37,0))</f>
        <v>21819.753731530407</v>
      </c>
      <c r="I34" s="14">
        <f t="array" ref="I34">INDEX($D$38:$N$193,MATCH(I$24&amp;$B$22,$B$38:$B$193&amp;$C$38:$C$193,0),MATCH($A34,$D$37:$N$37,0))</f>
        <v>12374.312617410655</v>
      </c>
      <c r="J34" s="14">
        <f t="array" ref="J34">INDEX($D$38:$N$193,MATCH(J$24&amp;$B$22,$B$38:$B$193&amp;$C$38:$C$193,0),MATCH($A34,$D$37:$N$37,0))</f>
        <v>13908.909146756332</v>
      </c>
      <c r="K34" s="14" t="e">
        <f t="array" ref="K34">INDEX($D$38:$N$193,MATCH(K$24&amp;$B$22,$B$38:$B$193&amp;$C$38:$C$193,0),MATCH($A34,$D$37:$N$37,0))</f>
        <v>#N/A</v>
      </c>
      <c r="L34" s="14" t="e">
        <f t="array" ref="L34">INDEX($D$38:$N$193,MATCH(L$24&amp;$B$22,$B$38:$B$193&amp;$C$38:$C$193,0),MATCH($A34,$D$37:$N$37,0))</f>
        <v>#N/A</v>
      </c>
      <c r="M34" s="14" t="e">
        <f t="array" ref="M34">INDEX($D$38:$N$193,MATCH(M$24&amp;$B$22,$B$38:$B$193&amp;$C$38:$C$193,0),MATCH($A34,$D$37:$N$37,0))</f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C37" s="3" t="s">
        <v>50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C38" s="3" t="s">
        <v>51</v>
      </c>
      <c r="D38" s="14">
        <v>26912.5913850857</v>
      </c>
      <c r="E38" s="14">
        <v>24726.384098969917</v>
      </c>
      <c r="F38" s="14">
        <v>21039.05263430543</v>
      </c>
      <c r="G38" s="14">
        <v>26111.353059062836</v>
      </c>
      <c r="H38" s="14">
        <v>44009.88146318691</v>
      </c>
      <c r="I38" s="14">
        <v>29454.0057998179</v>
      </c>
      <c r="J38" s="14">
        <v>28670.031287993308</v>
      </c>
      <c r="K38" s="14">
        <v>30018.134679977786</v>
      </c>
      <c r="L38" s="14">
        <v>31638.338492976382</v>
      </c>
      <c r="M38" s="14">
        <v>33980.6489961201</v>
      </c>
      <c r="N38" s="14">
        <v>20088.441747530676</v>
      </c>
    </row>
    <row r="39" spans="1:19" x14ac:dyDescent="0.3">
      <c r="A39" s="3" t="str">
        <f>INDEX('R1. Scenario specifications'!$C$11:$C$49,MATCH($B39,'R1. Scenario specifications'!$A$11:$A$49,0))</f>
        <v>TIAM BAU - No Policy Action</v>
      </c>
      <c r="B39" s="3" t="s">
        <v>11</v>
      </c>
      <c r="C39" s="3" t="s">
        <v>52</v>
      </c>
      <c r="D39" s="14">
        <v>47506.40120156738</v>
      </c>
      <c r="E39" s="14">
        <v>51400.759098340677</v>
      </c>
      <c r="F39" s="14">
        <v>64486.198839169563</v>
      </c>
      <c r="G39" s="14">
        <v>46830.174496657928</v>
      </c>
      <c r="H39" s="14">
        <v>17676.494088933599</v>
      </c>
      <c r="I39" s="14">
        <v>10730.940333592629</v>
      </c>
      <c r="J39" s="14">
        <v>6954.2647641900494</v>
      </c>
      <c r="K39" s="14">
        <v>7414.5984418380049</v>
      </c>
      <c r="L39" s="14">
        <v>6293.927367251431</v>
      </c>
      <c r="M39" s="14">
        <v>4121.2575817862589</v>
      </c>
      <c r="N39" s="14">
        <v>1796.7195248369596</v>
      </c>
    </row>
    <row r="40" spans="1:19" x14ac:dyDescent="0.3">
      <c r="A40" s="3" t="str">
        <f>INDEX('R1. Scenario specifications'!$C$11:$C$49,MATCH($B40,'R1. Scenario specifications'!$A$11:$A$49,0))</f>
        <v>TIAM BAU - No Policy Action</v>
      </c>
      <c r="B40" s="3" t="s">
        <v>11</v>
      </c>
      <c r="C40" s="3" t="s">
        <v>53</v>
      </c>
      <c r="D40" s="14">
        <v>703.55932605471685</v>
      </c>
      <c r="E40" s="14">
        <v>336.28891863781013</v>
      </c>
      <c r="F40" s="14">
        <v>583.33365969460704</v>
      </c>
      <c r="G40" s="14">
        <v>1212.7523692798161</v>
      </c>
      <c r="H40" s="14">
        <v>1119.483645664212</v>
      </c>
      <c r="I40" s="14">
        <v>662.10248587389265</v>
      </c>
      <c r="J40" s="14">
        <v>1137.6217020931435</v>
      </c>
      <c r="K40" s="14">
        <v>1205.9025026629974</v>
      </c>
      <c r="L40" s="14">
        <v>1305.723966600302</v>
      </c>
      <c r="M40" s="14">
        <v>1444.3989374166968</v>
      </c>
      <c r="N40" s="14">
        <v>1603.4991834132095</v>
      </c>
    </row>
    <row r="41" spans="1:19" x14ac:dyDescent="0.3">
      <c r="A41" s="3" t="str">
        <f>INDEX('R1. Scenario specifications'!$C$11:$C$49,MATCH($B41,'R1. Scenario specifications'!$A$11:$A$49,0))</f>
        <v>TIAM BAU - No Policy Action</v>
      </c>
      <c r="B41" s="3" t="s">
        <v>11</v>
      </c>
      <c r="C41" s="3" t="s">
        <v>54</v>
      </c>
      <c r="D41" s="14">
        <v>396.62220438997127</v>
      </c>
      <c r="E41" s="14">
        <v>176.86416189251261</v>
      </c>
      <c r="F41" s="14">
        <v>2582.2505136648138</v>
      </c>
      <c r="G41" s="14">
        <v>4278.1897467681283</v>
      </c>
      <c r="H41" s="14">
        <v>11785.804913291113</v>
      </c>
      <c r="I41" s="14">
        <v>23337.832320109726</v>
      </c>
      <c r="J41" s="14">
        <v>19087.410668517943</v>
      </c>
      <c r="K41" s="14">
        <v>16320.187466689724</v>
      </c>
      <c r="L41" s="14">
        <v>17719.240232884487</v>
      </c>
      <c r="M41" s="14">
        <v>17192.510210612898</v>
      </c>
      <c r="N41" s="14">
        <v>19003.495585918728</v>
      </c>
    </row>
    <row r="42" spans="1:19" x14ac:dyDescent="0.3">
      <c r="A42" s="3" t="str">
        <f>INDEX('R1. Scenario specifications'!$C$11:$C$49,MATCH($B42,'R1. Scenario specifications'!$A$11:$A$49,0))</f>
        <v>Vivid BAU - WEO Current Policies Scenario emissions pathway run through TIAM</v>
      </c>
      <c r="B42" s="3" t="s">
        <v>13</v>
      </c>
      <c r="C42" s="3" t="s">
        <v>51</v>
      </c>
      <c r="D42" s="14">
        <v>26794.662038432027</v>
      </c>
      <c r="E42" s="14">
        <v>24314.326473339901</v>
      </c>
      <c r="F42" s="14">
        <v>20224.388400919761</v>
      </c>
      <c r="G42" s="14">
        <v>26261.692097329367</v>
      </c>
      <c r="H42" s="14">
        <v>43735.547866259585</v>
      </c>
      <c r="I42" s="14">
        <v>29647.436973951644</v>
      </c>
      <c r="J42" s="14">
        <v>28814.668207243489</v>
      </c>
      <c r="K42" s="14">
        <v>30069.038904505207</v>
      </c>
      <c r="L42" s="14">
        <v>31560.63466602562</v>
      </c>
      <c r="M42" s="14">
        <v>33963.084715078738</v>
      </c>
      <c r="N42" s="14">
        <v>20058.650738304008</v>
      </c>
    </row>
    <row r="43" spans="1:19" x14ac:dyDescent="0.3">
      <c r="A43" s="3" t="str">
        <f>INDEX('R1. Scenario specifications'!$C$11:$C$49,MATCH($B43,'R1. Scenario specifications'!$A$11:$A$49,0))</f>
        <v>Vivid BAU - WEO Current Policies Scenario emissions pathway run through TIAM</v>
      </c>
      <c r="B43" s="3" t="s">
        <v>13</v>
      </c>
      <c r="C43" s="3" t="s">
        <v>52</v>
      </c>
      <c r="D43" s="14">
        <v>47508.324267550692</v>
      </c>
      <c r="E43" s="14">
        <v>51414.786795508677</v>
      </c>
      <c r="F43" s="14">
        <v>61964.434445701627</v>
      </c>
      <c r="G43" s="14">
        <v>46001.243758895187</v>
      </c>
      <c r="H43" s="14">
        <v>17527.745488691216</v>
      </c>
      <c r="I43" s="14">
        <v>10679.116687185824</v>
      </c>
      <c r="J43" s="14">
        <v>6982.6766429053623</v>
      </c>
      <c r="K43" s="14">
        <v>7424.4775002974084</v>
      </c>
      <c r="L43" s="14">
        <v>6376.6631543251879</v>
      </c>
      <c r="M43" s="14">
        <v>4134.7791720580744</v>
      </c>
      <c r="N43" s="14">
        <v>1777.6026799196443</v>
      </c>
    </row>
    <row r="44" spans="1:19" x14ac:dyDescent="0.3">
      <c r="A44" s="3" t="str">
        <f>INDEX('R1. Scenario specifications'!$C$11:$C$49,MATCH($B44,'R1. Scenario specifications'!$A$11:$A$49,0))</f>
        <v>Vivid BAU - WEO Current Policies Scenario emissions pathway run through TIAM</v>
      </c>
      <c r="B44" s="3" t="s">
        <v>13</v>
      </c>
      <c r="C44" s="3" t="s">
        <v>53</v>
      </c>
      <c r="D44" s="14">
        <v>701.71044106117211</v>
      </c>
      <c r="E44" s="14">
        <v>335.89869295391009</v>
      </c>
      <c r="F44" s="14">
        <v>662.79575791232651</v>
      </c>
      <c r="G44" s="14">
        <v>1185.840330326467</v>
      </c>
      <c r="H44" s="14">
        <v>1116.0246256625881</v>
      </c>
      <c r="I44" s="14">
        <v>658.39019522914998</v>
      </c>
      <c r="J44" s="14">
        <v>1126.6184636668606</v>
      </c>
      <c r="K44" s="14">
        <v>1204.2064097401189</v>
      </c>
      <c r="L44" s="14">
        <v>1307.0825485766647</v>
      </c>
      <c r="M44" s="14">
        <v>1445.7575193930606</v>
      </c>
      <c r="N44" s="14">
        <v>1604.8577653895725</v>
      </c>
    </row>
    <row r="45" spans="1:19" x14ac:dyDescent="0.3">
      <c r="A45" s="3" t="str">
        <f>INDEX('R1. Scenario specifications'!$C$11:$C$49,MATCH($B45,'R1. Scenario specifications'!$A$11:$A$49,0))</f>
        <v>Vivid BAU - WEO Current Policies Scenario emissions pathway run through TIAM</v>
      </c>
      <c r="B45" s="3" t="s">
        <v>13</v>
      </c>
      <c r="C45" s="3" t="s">
        <v>54</v>
      </c>
      <c r="D45" s="14">
        <v>395.53466572905853</v>
      </c>
      <c r="E45" s="14">
        <v>176.24736951683886</v>
      </c>
      <c r="F45" s="14">
        <v>2414.842892936565</v>
      </c>
      <c r="G45" s="14">
        <v>4764.7005480332382</v>
      </c>
      <c r="H45" s="14">
        <v>12339.592327217895</v>
      </c>
      <c r="I45" s="14">
        <v>23435.939702833402</v>
      </c>
      <c r="J45" s="14">
        <v>19164.631760570559</v>
      </c>
      <c r="K45" s="14">
        <v>16264.327132000064</v>
      </c>
      <c r="L45" s="14">
        <v>17667.916434342609</v>
      </c>
      <c r="M45" s="14">
        <v>17146.389582257598</v>
      </c>
      <c r="N45" s="14">
        <v>18688.575615724323</v>
      </c>
    </row>
    <row r="46" spans="1:19" x14ac:dyDescent="0.3">
      <c r="A46" s="3" t="str">
        <f>INDEX('R1. Scenario specifications'!$C$11:$C$49,MATCH($B46,'R1. Scenario specifications'!$A$11:$A$49,0))</f>
        <v>Vivid Paris NDCs - WEO New Policies Scenario emissions pathway run through TIAM</v>
      </c>
      <c r="B46" s="3" t="s">
        <v>14</v>
      </c>
      <c r="C46" s="3" t="s">
        <v>51</v>
      </c>
      <c r="D46" s="14">
        <v>26912.591385085678</v>
      </c>
      <c r="E46" s="14">
        <v>24726.384098969917</v>
      </c>
      <c r="F46" s="14">
        <v>20023.092920446408</v>
      </c>
      <c r="G46" s="14">
        <v>26227.564065710481</v>
      </c>
      <c r="H46" s="14">
        <v>43541.290085667431</v>
      </c>
      <c r="I46" s="14">
        <v>29263.695907534551</v>
      </c>
      <c r="J46" s="14">
        <v>27755.325913195767</v>
      </c>
      <c r="K46" s="14">
        <v>29750.072698086729</v>
      </c>
      <c r="L46" s="14">
        <v>31678.866680709412</v>
      </c>
      <c r="M46" s="14">
        <v>33150.453589348173</v>
      </c>
      <c r="N46" s="14">
        <v>19412.586027210098</v>
      </c>
    </row>
    <row r="47" spans="1:19" x14ac:dyDescent="0.3">
      <c r="A47" s="3" t="str">
        <f>INDEX('R1. Scenario specifications'!$C$11:$C$49,MATCH($B47,'R1. Scenario specifications'!$A$11:$A$49,0))</f>
        <v>Vivid Paris NDCs - WEO New Policies Scenario emissions pathway run through TIAM</v>
      </c>
      <c r="B47" s="3" t="s">
        <v>14</v>
      </c>
      <c r="C47" s="3" t="s">
        <v>52</v>
      </c>
      <c r="D47" s="14">
        <v>47506.40120156738</v>
      </c>
      <c r="E47" s="14">
        <v>51400.759098340677</v>
      </c>
      <c r="F47" s="14">
        <v>62205.547314401418</v>
      </c>
      <c r="G47" s="14">
        <v>44368.574800589129</v>
      </c>
      <c r="H47" s="14">
        <v>15181.179021028536</v>
      </c>
      <c r="I47" s="14">
        <v>9374.7135444465239</v>
      </c>
      <c r="J47" s="14">
        <v>7241.819776490197</v>
      </c>
      <c r="K47" s="14">
        <v>7447.4275511429369</v>
      </c>
      <c r="L47" s="14">
        <v>5943.1059072742573</v>
      </c>
      <c r="M47" s="14">
        <v>4674.7552224473975</v>
      </c>
      <c r="N47" s="14">
        <v>2199.3001021579917</v>
      </c>
    </row>
    <row r="48" spans="1:19" x14ac:dyDescent="0.3">
      <c r="A48" s="3" t="str">
        <f>INDEX('R1. Scenario specifications'!$C$11:$C$49,MATCH($B48,'R1. Scenario specifications'!$A$11:$A$49,0))</f>
        <v>Vivid Paris NDCs - WEO New Policies Scenario emissions pathway run through TIAM</v>
      </c>
      <c r="B48" s="3" t="s">
        <v>14</v>
      </c>
      <c r="C48" s="3" t="s">
        <v>53</v>
      </c>
      <c r="D48" s="14">
        <v>703.55932605471685</v>
      </c>
      <c r="E48" s="14">
        <v>336.28891863781013</v>
      </c>
      <c r="F48" s="14">
        <v>879.49041101293551</v>
      </c>
      <c r="G48" s="14">
        <v>1203.2907539892126</v>
      </c>
      <c r="H48" s="14">
        <v>1134.0185533439583</v>
      </c>
      <c r="I48" s="14">
        <v>748.26553362211143</v>
      </c>
      <c r="J48" s="14">
        <v>1146.3976464739121</v>
      </c>
      <c r="K48" s="14">
        <v>1215.8359639484017</v>
      </c>
      <c r="L48" s="14">
        <v>1330.9083647093371</v>
      </c>
      <c r="M48" s="14">
        <v>1469.5833355257319</v>
      </c>
      <c r="N48" s="14">
        <v>1616.1971766539366</v>
      </c>
    </row>
    <row r="49" spans="1:14" x14ac:dyDescent="0.3">
      <c r="A49" s="3" t="str">
        <f>INDEX('R1. Scenario specifications'!$C$11:$C$49,MATCH($B49,'R1. Scenario specifications'!$A$11:$A$49,0))</f>
        <v>Vivid Paris NDCs - WEO New Policies Scenario emissions pathway run through TIAM</v>
      </c>
      <c r="B49" s="3" t="s">
        <v>14</v>
      </c>
      <c r="C49" s="3" t="s">
        <v>54</v>
      </c>
      <c r="D49" s="14">
        <v>396.62220438997127</v>
      </c>
      <c r="E49" s="14">
        <v>176.86416189251261</v>
      </c>
      <c r="F49" s="14">
        <v>1833.16729548234</v>
      </c>
      <c r="G49" s="14">
        <v>5667.8396467895318</v>
      </c>
      <c r="H49" s="14">
        <v>12440.354125044485</v>
      </c>
      <c r="I49" s="14">
        <v>22036.802911743591</v>
      </c>
      <c r="J49" s="14">
        <v>18458.494224656766</v>
      </c>
      <c r="K49" s="14">
        <v>16271.375248497903</v>
      </c>
      <c r="L49" s="14">
        <v>16690.04564132596</v>
      </c>
      <c r="M49" s="14">
        <v>16069.68943387736</v>
      </c>
      <c r="N49" s="14">
        <v>18483.771433491369</v>
      </c>
    </row>
    <row r="50" spans="1:14" x14ac:dyDescent="0.3">
      <c r="A50" s="3" t="str">
        <f>INDEX('R1. Scenario specifications'!$C$11:$C$49,MATCH($B50,'R1. Scenario specifications'!$A$11:$A$49,0))</f>
        <v>Current 2DS, 2020 start, 'Expect the Unexpected'</v>
      </c>
      <c r="B50" s="3" t="s">
        <v>15</v>
      </c>
      <c r="C50" s="3" t="s">
        <v>51</v>
      </c>
      <c r="D50" s="14">
        <v>26912.591385085678</v>
      </c>
      <c r="E50" s="14">
        <v>24726.384098969917</v>
      </c>
      <c r="F50" s="14">
        <v>20023.092920446408</v>
      </c>
      <c r="G50" s="14">
        <v>25751.973362970708</v>
      </c>
      <c r="H50" s="14">
        <v>42886.792531924242</v>
      </c>
      <c r="I50" s="14">
        <v>24565.49330485244</v>
      </c>
      <c r="J50" s="14">
        <v>26539.866893664064</v>
      </c>
      <c r="K50" s="14">
        <v>29080.401012174982</v>
      </c>
      <c r="L50" s="14">
        <v>29811.395672422026</v>
      </c>
      <c r="M50" s="14">
        <v>27481.8478715458</v>
      </c>
      <c r="N50" s="14">
        <v>19293.368705681925</v>
      </c>
    </row>
    <row r="51" spans="1:14" x14ac:dyDescent="0.3">
      <c r="A51" s="3" t="str">
        <f>INDEX('R1. Scenario specifications'!$C$11:$C$49,MATCH($B51,'R1. Scenario specifications'!$A$11:$A$49,0))</f>
        <v>Current 2DS, 2020 start, 'Expect the Unexpected'</v>
      </c>
      <c r="B51" s="3" t="s">
        <v>15</v>
      </c>
      <c r="C51" s="3" t="s">
        <v>52</v>
      </c>
      <c r="D51" s="14">
        <v>47506.40120156738</v>
      </c>
      <c r="E51" s="14">
        <v>51400.759098340677</v>
      </c>
      <c r="F51" s="14">
        <v>62205.547314401418</v>
      </c>
      <c r="G51" s="14">
        <v>43636.900621176181</v>
      </c>
      <c r="H51" s="14">
        <v>13371.095582004571</v>
      </c>
      <c r="I51" s="14">
        <v>12343.211176127728</v>
      </c>
      <c r="J51" s="14">
        <v>6689.0382096777375</v>
      </c>
      <c r="K51" s="14">
        <v>3384.1159966592618</v>
      </c>
      <c r="L51" s="14">
        <v>1711.0060501378598</v>
      </c>
      <c r="M51" s="14">
        <v>1072.4666240668535</v>
      </c>
      <c r="N51" s="14">
        <v>913.11681505085949</v>
      </c>
    </row>
    <row r="52" spans="1:14" x14ac:dyDescent="0.3">
      <c r="A52" s="3" t="str">
        <f>INDEX('R1. Scenario specifications'!$C$11:$C$49,MATCH($B52,'R1. Scenario specifications'!$A$11:$A$49,0))</f>
        <v>Current 2DS, 2020 start, 'Expect the Unexpected'</v>
      </c>
      <c r="B52" s="3" t="s">
        <v>15</v>
      </c>
      <c r="C52" s="3" t="s">
        <v>53</v>
      </c>
      <c r="D52" s="14">
        <v>703.55932605471685</v>
      </c>
      <c r="E52" s="14">
        <v>336.28891863781013</v>
      </c>
      <c r="F52" s="14">
        <v>879.49041101293551</v>
      </c>
      <c r="G52" s="14">
        <v>1222.1932445416369</v>
      </c>
      <c r="H52" s="14">
        <v>1155.8712086890555</v>
      </c>
      <c r="I52" s="14">
        <v>799.36237736514738</v>
      </c>
      <c r="J52" s="14">
        <v>1161.355343224016</v>
      </c>
      <c r="K52" s="14">
        <v>1292.4350674792481</v>
      </c>
      <c r="L52" s="14">
        <v>1263.6117466482247</v>
      </c>
      <c r="M52" s="14">
        <v>4103.1876199205699</v>
      </c>
      <c r="N52" s="14">
        <v>4647.3537482938509</v>
      </c>
    </row>
    <row r="53" spans="1:14" x14ac:dyDescent="0.3">
      <c r="A53" s="3" t="str">
        <f>INDEX('R1. Scenario specifications'!$C$11:$C$49,MATCH($B53,'R1. Scenario specifications'!$A$11:$A$49,0))</f>
        <v>Current 2DS, 2020 start, 'Expect the Unexpected'</v>
      </c>
      <c r="B53" s="3" t="s">
        <v>15</v>
      </c>
      <c r="C53" s="3" t="s">
        <v>54</v>
      </c>
      <c r="D53" s="14">
        <v>396.62220438997127</v>
      </c>
      <c r="E53" s="14">
        <v>176.86416189251261</v>
      </c>
      <c r="F53" s="14">
        <v>1833.16729548234</v>
      </c>
      <c r="G53" s="14">
        <v>4653.5820837462752</v>
      </c>
      <c r="H53" s="14">
        <v>9359.1911126288451</v>
      </c>
      <c r="I53" s="14">
        <v>17258.491615155926</v>
      </c>
      <c r="J53" s="14">
        <v>11588.375909181328</v>
      </c>
      <c r="K53" s="14">
        <v>3577.7519147427552</v>
      </c>
      <c r="L53" s="14">
        <v>1314.7826809857017</v>
      </c>
      <c r="M53" s="14">
        <v>934.18450422491901</v>
      </c>
      <c r="N53" s="14">
        <v>5746.779667888105</v>
      </c>
    </row>
    <row r="54" spans="1:14" x14ac:dyDescent="0.3">
      <c r="A54" s="3" t="str">
        <f>INDEX('R1. Scenario specifications'!$C$11:$C$49,MATCH($B54,'R1. Scenario specifications'!$A$11:$A$49,0))</f>
        <v>Current 2DS, 2030 start, 'Expect the Unexpected' but with cheap energy efficiency</v>
      </c>
      <c r="B54" s="3" t="s">
        <v>16</v>
      </c>
      <c r="C54" s="3" t="s">
        <v>51</v>
      </c>
      <c r="D54" s="14">
        <v>26912.591385085678</v>
      </c>
      <c r="E54" s="14">
        <v>24726.384098969917</v>
      </c>
      <c r="F54" s="14">
        <v>20023.092920446408</v>
      </c>
      <c r="G54" s="14">
        <v>26227.564065710481</v>
      </c>
      <c r="H54" s="14">
        <v>37302.681982234848</v>
      </c>
      <c r="I54" s="14">
        <v>22591.587180152113</v>
      </c>
      <c r="J54" s="14">
        <v>23913.831258921884</v>
      </c>
      <c r="K54" s="14">
        <v>26877.837309835722</v>
      </c>
      <c r="L54" s="14">
        <v>27053.183630939391</v>
      </c>
      <c r="M54" s="14">
        <v>26726.774421834427</v>
      </c>
      <c r="N54" s="14">
        <v>20030.331050552028</v>
      </c>
    </row>
    <row r="55" spans="1:14" x14ac:dyDescent="0.3">
      <c r="A55" s="3" t="str">
        <f>INDEX('R1. Scenario specifications'!$C$11:$C$49,MATCH($B55,'R1. Scenario specifications'!$A$11:$A$49,0))</f>
        <v>Current 2DS, 2030 start, 'Expect the Unexpected' but with cheap energy efficiency</v>
      </c>
      <c r="B55" s="3" t="s">
        <v>16</v>
      </c>
      <c r="C55" s="3" t="s">
        <v>52</v>
      </c>
      <c r="D55" s="14">
        <v>47506.40120156738</v>
      </c>
      <c r="E55" s="14">
        <v>51400.759098340677</v>
      </c>
      <c r="F55" s="14">
        <v>62205.547314401418</v>
      </c>
      <c r="G55" s="14">
        <v>44368.574800589129</v>
      </c>
      <c r="H55" s="14">
        <v>14962.20963815401</v>
      </c>
      <c r="I55" s="14">
        <v>11342.312295101252</v>
      </c>
      <c r="J55" s="14">
        <v>8027.2574304520404</v>
      </c>
      <c r="K55" s="14">
        <v>4717.0468021035358</v>
      </c>
      <c r="L55" s="14">
        <v>2764.2427688078274</v>
      </c>
      <c r="M55" s="14">
        <v>1514.7038983551427</v>
      </c>
      <c r="N55" s="14">
        <v>905.79855393488606</v>
      </c>
    </row>
    <row r="56" spans="1:14" x14ac:dyDescent="0.3">
      <c r="A56" s="3" t="str">
        <f>INDEX('R1. Scenario specifications'!$C$11:$C$49,MATCH($B56,'R1. Scenario specifications'!$A$11:$A$49,0))</f>
        <v>Current 2DS, 2030 start, 'Expect the Unexpected' but with cheap energy efficiency</v>
      </c>
      <c r="B56" s="3" t="s">
        <v>16</v>
      </c>
      <c r="C56" s="3" t="s">
        <v>53</v>
      </c>
      <c r="D56" s="14">
        <v>703.55932605471685</v>
      </c>
      <c r="E56" s="14">
        <v>336.28891863781013</v>
      </c>
      <c r="F56" s="14">
        <v>879.49041101293551</v>
      </c>
      <c r="G56" s="14">
        <v>1203.2907539892126</v>
      </c>
      <c r="H56" s="14">
        <v>1160.789642894503</v>
      </c>
      <c r="I56" s="14">
        <v>856.2950683235041</v>
      </c>
      <c r="J56" s="14">
        <v>1128.043312796895</v>
      </c>
      <c r="K56" s="14">
        <v>1258.5295854913641</v>
      </c>
      <c r="L56" s="14">
        <v>1521.9194923874318</v>
      </c>
      <c r="M56" s="14">
        <v>4122.551659466837</v>
      </c>
      <c r="N56" s="14">
        <v>4712.7516731115202</v>
      </c>
    </row>
    <row r="57" spans="1:14" x14ac:dyDescent="0.3">
      <c r="A57" s="3" t="str">
        <f>INDEX('R1. Scenario specifications'!$C$11:$C$49,MATCH($B57,'R1. Scenario specifications'!$A$11:$A$49,0))</f>
        <v>Current 2DS, 2030 start, 'Expect the Unexpected' but with cheap energy efficiency</v>
      </c>
      <c r="B57" s="3" t="s">
        <v>16</v>
      </c>
      <c r="C57" s="3" t="s">
        <v>54</v>
      </c>
      <c r="D57" s="14">
        <v>396.62220438997127</v>
      </c>
      <c r="E57" s="14">
        <v>176.86416189251261</v>
      </c>
      <c r="F57" s="14">
        <v>1833.16729548234</v>
      </c>
      <c r="G57" s="14">
        <v>5667.8396467895318</v>
      </c>
      <c r="H57" s="14">
        <v>9104.2957397735354</v>
      </c>
      <c r="I57" s="14">
        <v>16301.3811841797</v>
      </c>
      <c r="J57" s="14">
        <v>10585.543207004723</v>
      </c>
      <c r="K57" s="14">
        <v>2893.7127024743413</v>
      </c>
      <c r="L57" s="14">
        <v>1295.9695070510261</v>
      </c>
      <c r="M57" s="14">
        <v>1097.6016226220863</v>
      </c>
      <c r="N57" s="14">
        <v>5753.3174041137381</v>
      </c>
    </row>
    <row r="58" spans="1:14" x14ac:dyDescent="0.3">
      <c r="A58" s="3" t="str">
        <f>INDEX('R1. Scenario specifications'!$C$11:$C$49,MATCH($B58,'R1. Scenario specifications'!$A$11:$A$49,0))</f>
        <v>Current 2DS, 2020 start, 'Expect the Unexpected' but with most conservative biomass CCS / NET technology cost assumptions</v>
      </c>
      <c r="B58" s="3" t="s">
        <v>17</v>
      </c>
      <c r="C58" s="3" t="s">
        <v>51</v>
      </c>
      <c r="D58" s="14">
        <v>26912.591385085678</v>
      </c>
      <c r="E58" s="14">
        <v>24726.384098969917</v>
      </c>
      <c r="F58" s="14">
        <v>20023.092920446408</v>
      </c>
      <c r="G58" s="14">
        <v>25751.973362970653</v>
      </c>
      <c r="H58" s="14">
        <v>42881.025004181865</v>
      </c>
      <c r="I58" s="14">
        <v>24644.419029907513</v>
      </c>
      <c r="J58" s="14">
        <v>26589.906713381693</v>
      </c>
      <c r="K58" s="14">
        <v>29005.205823607481</v>
      </c>
      <c r="L58" s="14">
        <v>29689.478724371245</v>
      </c>
      <c r="M58" s="14">
        <v>27444.734798362955</v>
      </c>
      <c r="N58" s="14">
        <v>19465.585639076631</v>
      </c>
    </row>
    <row r="59" spans="1:14" x14ac:dyDescent="0.3">
      <c r="A59" s="3" t="str">
        <f>INDEX('R1. Scenario specifications'!$C$11:$C$49,MATCH($B59,'R1. Scenario specifications'!$A$11:$A$49,0))</f>
        <v>Current 2DS, 2020 start, 'Expect the Unexpected' but with most conservative biomass CCS / NET technology cost assumptions</v>
      </c>
      <c r="B59" s="3" t="s">
        <v>17</v>
      </c>
      <c r="C59" s="3" t="s">
        <v>52</v>
      </c>
      <c r="D59" s="14">
        <v>47506.40120156738</v>
      </c>
      <c r="E59" s="14">
        <v>51400.759098340677</v>
      </c>
      <c r="F59" s="14">
        <v>62205.547314401418</v>
      </c>
      <c r="G59" s="14">
        <v>43636.900621176181</v>
      </c>
      <c r="H59" s="14">
        <v>13371.095582004571</v>
      </c>
      <c r="I59" s="14">
        <v>12259.372365097051</v>
      </c>
      <c r="J59" s="14">
        <v>6637.9406656590636</v>
      </c>
      <c r="K59" s="14">
        <v>3520.5603353914266</v>
      </c>
      <c r="L59" s="14">
        <v>1752.7432385773436</v>
      </c>
      <c r="M59" s="14">
        <v>1070.724221675285</v>
      </c>
      <c r="N59" s="14">
        <v>912.7722136134754</v>
      </c>
    </row>
    <row r="60" spans="1:14" x14ac:dyDescent="0.3">
      <c r="A60" s="3" t="str">
        <f>INDEX('R1. Scenario specifications'!$C$11:$C$49,MATCH($B60,'R1. Scenario specifications'!$A$11:$A$49,0))</f>
        <v>Current 2DS, 2020 start, 'Expect the Unexpected' but with most conservative biomass CCS / NET technology cost assumptions</v>
      </c>
      <c r="B60" s="3" t="s">
        <v>17</v>
      </c>
      <c r="C60" s="3" t="s">
        <v>53</v>
      </c>
      <c r="D60" s="14">
        <v>703.55932605471685</v>
      </c>
      <c r="E60" s="14">
        <v>336.28891863781013</v>
      </c>
      <c r="F60" s="14">
        <v>879.49041101293551</v>
      </c>
      <c r="G60" s="14">
        <v>1222.1932445416546</v>
      </c>
      <c r="H60" s="14">
        <v>1155.8715710342319</v>
      </c>
      <c r="I60" s="14">
        <v>799.36305007268948</v>
      </c>
      <c r="J60" s="14">
        <v>1161.2197810476639</v>
      </c>
      <c r="K60" s="14">
        <v>1292.9950463525781</v>
      </c>
      <c r="L60" s="14">
        <v>1264.2262017548669</v>
      </c>
      <c r="M60" s="14">
        <v>4101.4535338674832</v>
      </c>
      <c r="N60" s="14">
        <v>4648.0037548759419</v>
      </c>
    </row>
    <row r="61" spans="1:14" x14ac:dyDescent="0.3">
      <c r="A61" s="3" t="str">
        <f>INDEX('R1. Scenario specifications'!$C$11:$C$49,MATCH($B61,'R1. Scenario specifications'!$A$11:$A$49,0))</f>
        <v>Current 2DS, 2020 start, 'Expect the Unexpected' but with most conservative biomass CCS / NET technology cost assumptions</v>
      </c>
      <c r="B61" s="3" t="s">
        <v>17</v>
      </c>
      <c r="C61" s="3" t="s">
        <v>54</v>
      </c>
      <c r="D61" s="14">
        <v>396.62220438997127</v>
      </c>
      <c r="E61" s="14">
        <v>176.86416189251261</v>
      </c>
      <c r="F61" s="14">
        <v>1833.16729548234</v>
      </c>
      <c r="G61" s="14">
        <v>4653.582083746337</v>
      </c>
      <c r="H61" s="14">
        <v>9432.5176931580445</v>
      </c>
      <c r="I61" s="14">
        <v>17381.170899556371</v>
      </c>
      <c r="J61" s="14">
        <v>11641.536576489942</v>
      </c>
      <c r="K61" s="14">
        <v>3386.9679533032131</v>
      </c>
      <c r="L61" s="14">
        <v>1094.9810143761827</v>
      </c>
      <c r="M61" s="14">
        <v>933.94333186929703</v>
      </c>
      <c r="N61" s="14">
        <v>5746.5544432136821</v>
      </c>
    </row>
    <row r="62" spans="1:14" x14ac:dyDescent="0.3">
      <c r="A62" s="3" t="str">
        <f>INDEX('R1. Scenario specifications'!$C$11:$C$49,MATCH($B62,'R1. Scenario specifications'!$A$11:$A$49,0))</f>
        <v>Current 2DS, 2030 start, 'Expect the Unexpected' but with most conservative biomass CCS / NET technology cost assumptions</v>
      </c>
      <c r="B62" s="3" t="s">
        <v>18</v>
      </c>
      <c r="C62" s="3" t="s">
        <v>51</v>
      </c>
      <c r="D62" s="14">
        <v>26912.591385085678</v>
      </c>
      <c r="E62" s="14">
        <v>24726.384098969917</v>
      </c>
      <c r="F62" s="14">
        <v>20023.092920446408</v>
      </c>
      <c r="G62" s="14">
        <v>26227.564065710481</v>
      </c>
      <c r="H62" s="14">
        <v>42623.967870673434</v>
      </c>
      <c r="I62" s="14">
        <v>27174.928797266781</v>
      </c>
      <c r="J62" s="14">
        <v>27218.781446154797</v>
      </c>
      <c r="K62" s="14">
        <v>29548.99527036669</v>
      </c>
      <c r="L62" s="14">
        <v>29382.426243315411</v>
      </c>
      <c r="M62" s="14">
        <v>27086.97398456552</v>
      </c>
      <c r="N62" s="14">
        <v>18369.251104603863</v>
      </c>
    </row>
    <row r="63" spans="1:14" x14ac:dyDescent="0.3">
      <c r="A63" s="3" t="str">
        <f>INDEX('R1. Scenario specifications'!$C$11:$C$49,MATCH($B63,'R1. Scenario specifications'!$A$11:$A$49,0))</f>
        <v>Current 2DS, 2030 start, 'Expect the Unexpected' but with most conservative biomass CCS / NET technology cost assumptions</v>
      </c>
      <c r="B63" s="3" t="s">
        <v>18</v>
      </c>
      <c r="C63" s="3" t="s">
        <v>52</v>
      </c>
      <c r="D63" s="14">
        <v>47506.40120156738</v>
      </c>
      <c r="E63" s="14">
        <v>51400.759098340677</v>
      </c>
      <c r="F63" s="14">
        <v>62205.547314401418</v>
      </c>
      <c r="G63" s="14">
        <v>44368.574800589129</v>
      </c>
      <c r="H63" s="14">
        <v>13763.276456269834</v>
      </c>
      <c r="I63" s="14">
        <v>11477.520044337964</v>
      </c>
      <c r="J63" s="14">
        <v>6750.6408718414968</v>
      </c>
      <c r="K63" s="14">
        <v>3585.0724491932574</v>
      </c>
      <c r="L63" s="14">
        <v>1818.1428472679065</v>
      </c>
      <c r="M63" s="14">
        <v>1016.5240561470123</v>
      </c>
      <c r="N63" s="14">
        <v>896.74381319625513</v>
      </c>
    </row>
    <row r="64" spans="1:14" x14ac:dyDescent="0.3">
      <c r="A64" s="3" t="str">
        <f>INDEX('R1. Scenario specifications'!$C$11:$C$49,MATCH($B64,'R1. Scenario specifications'!$A$11:$A$49,0))</f>
        <v>Current 2DS, 2030 start, 'Expect the Unexpected' but with most conservative biomass CCS / NET technology cost assumptions</v>
      </c>
      <c r="B64" s="3" t="s">
        <v>18</v>
      </c>
      <c r="C64" s="3" t="s">
        <v>53</v>
      </c>
      <c r="D64" s="14">
        <v>703.55932605471685</v>
      </c>
      <c r="E64" s="14">
        <v>336.28891863781013</v>
      </c>
      <c r="F64" s="14">
        <v>879.49041101293551</v>
      </c>
      <c r="G64" s="14">
        <v>1203.2907539892126</v>
      </c>
      <c r="H64" s="14">
        <v>1155.8301379720608</v>
      </c>
      <c r="I64" s="14">
        <v>855.89208118399767</v>
      </c>
      <c r="J64" s="14">
        <v>1220.1384341168921</v>
      </c>
      <c r="K64" s="14">
        <v>1423.8823553661689</v>
      </c>
      <c r="L64" s="14">
        <v>2333.6064224451356</v>
      </c>
      <c r="M64" s="14">
        <v>4776.9573588814792</v>
      </c>
      <c r="N64" s="14">
        <v>5801.4369329799447</v>
      </c>
    </row>
    <row r="65" spans="1:14" x14ac:dyDescent="0.3">
      <c r="A65" s="3" t="str">
        <f>INDEX('R1. Scenario specifications'!$C$11:$C$49,MATCH($B65,'R1. Scenario specifications'!$A$11:$A$49,0))</f>
        <v>Current 2DS, 2030 start, 'Expect the Unexpected' but with most conservative biomass CCS / NET technology cost assumptions</v>
      </c>
      <c r="B65" s="3" t="s">
        <v>18</v>
      </c>
      <c r="C65" s="3" t="s">
        <v>54</v>
      </c>
      <c r="D65" s="14">
        <v>396.62220438997127</v>
      </c>
      <c r="E65" s="14">
        <v>176.86416189251261</v>
      </c>
      <c r="F65" s="14">
        <v>1833.16729548234</v>
      </c>
      <c r="G65" s="14">
        <v>5667.8396467895318</v>
      </c>
      <c r="H65" s="14">
        <v>9136.1552576133708</v>
      </c>
      <c r="I65" s="14">
        <v>14718.015822025765</v>
      </c>
      <c r="J65" s="14">
        <v>9406.7979625116404</v>
      </c>
      <c r="K65" s="14">
        <v>3105.2639138910481</v>
      </c>
      <c r="L65" s="14">
        <v>1184.3615611399778</v>
      </c>
      <c r="M65" s="14">
        <v>934.13541154876202</v>
      </c>
      <c r="N65" s="14">
        <v>5509.29870412747</v>
      </c>
    </row>
    <row r="66" spans="1:14" x14ac:dyDescent="0.3">
      <c r="A66" s="3" t="str">
        <f>INDEX('R1. Scenario specifications'!$C$11:$C$49,MATCH($B66,'R1. Scenario specifications'!$A$11:$A$49,0))</f>
        <v>Current 1.5DS, 2020 start, 'Expect the Unexpected'</v>
      </c>
      <c r="B66" s="3" t="s">
        <v>19</v>
      </c>
      <c r="C66" s="3" t="s">
        <v>51</v>
      </c>
      <c r="D66" s="14">
        <v>26912.591385085678</v>
      </c>
      <c r="E66" s="14">
        <v>24726.384098969917</v>
      </c>
      <c r="F66" s="14">
        <v>20023.092920446408</v>
      </c>
      <c r="G66" s="14">
        <v>15241.794989838872</v>
      </c>
      <c r="H66" s="14">
        <v>12173.824872690442</v>
      </c>
      <c r="I66" s="14">
        <v>12070.190366367791</v>
      </c>
      <c r="J66" s="14">
        <v>21868.797666487913</v>
      </c>
      <c r="K66" s="14">
        <v>33795.753408279292</v>
      </c>
      <c r="L66" s="14">
        <v>30622.804973313199</v>
      </c>
      <c r="M66" s="14">
        <v>27045.283405619255</v>
      </c>
      <c r="N66" s="14">
        <v>16888.477987045884</v>
      </c>
    </row>
    <row r="67" spans="1:14" x14ac:dyDescent="0.3">
      <c r="A67" s="3" t="str">
        <f>INDEX('R1. Scenario specifications'!$C$11:$C$49,MATCH($B67,'R1. Scenario specifications'!$A$11:$A$49,0))</f>
        <v>Current 1.5DS, 2020 start, 'Expect the Unexpected'</v>
      </c>
      <c r="B67" s="3" t="s">
        <v>19</v>
      </c>
      <c r="C67" s="3" t="s">
        <v>52</v>
      </c>
      <c r="D67" s="14">
        <v>47506.40120156738</v>
      </c>
      <c r="E67" s="14">
        <v>51400.759098340677</v>
      </c>
      <c r="F67" s="14">
        <v>62205.547314401418</v>
      </c>
      <c r="G67" s="14">
        <v>32836.551382258731</v>
      </c>
      <c r="H67" s="14">
        <v>14338.097884258801</v>
      </c>
      <c r="I67" s="14">
        <v>4949.1789875815684</v>
      </c>
      <c r="J67" s="14">
        <v>1813.6021408318629</v>
      </c>
      <c r="K67" s="14">
        <v>1980.5317855848707</v>
      </c>
      <c r="L67" s="14">
        <v>1591.4995730551043</v>
      </c>
      <c r="M67" s="14">
        <v>967.84017718627649</v>
      </c>
      <c r="N67" s="14">
        <v>880.27188959819921</v>
      </c>
    </row>
    <row r="68" spans="1:14" x14ac:dyDescent="0.3">
      <c r="A68" s="3" t="str">
        <f>INDEX('R1. Scenario specifications'!$C$11:$C$49,MATCH($B68,'R1. Scenario specifications'!$A$11:$A$49,0))</f>
        <v>Current 1.5DS, 2020 start, 'Expect the Unexpected'</v>
      </c>
      <c r="B68" s="3" t="s">
        <v>19</v>
      </c>
      <c r="C68" s="3" t="s">
        <v>53</v>
      </c>
      <c r="D68" s="14">
        <v>703.55932605471685</v>
      </c>
      <c r="E68" s="14">
        <v>336.28891863781013</v>
      </c>
      <c r="F68" s="14">
        <v>879.49041101293551</v>
      </c>
      <c r="G68" s="14">
        <v>5579.9270734302618</v>
      </c>
      <c r="H68" s="14">
        <v>8234.6286308687286</v>
      </c>
      <c r="I68" s="14">
        <v>10107.276501372218</v>
      </c>
      <c r="J68" s="14">
        <v>12737.42825098976</v>
      </c>
      <c r="K68" s="14">
        <v>5512.8851402512064</v>
      </c>
      <c r="L68" s="14">
        <v>3931.7778573500391</v>
      </c>
      <c r="M68" s="14">
        <v>6130.6383540015086</v>
      </c>
      <c r="N68" s="14">
        <v>7455.0277521883891</v>
      </c>
    </row>
    <row r="69" spans="1:14" x14ac:dyDescent="0.3">
      <c r="A69" s="3" t="str">
        <f>INDEX('R1. Scenario specifications'!$C$11:$C$49,MATCH($B69,'R1. Scenario specifications'!$A$11:$A$49,0))</f>
        <v>Current 1.5DS, 2020 start, 'Expect the Unexpected'</v>
      </c>
      <c r="B69" s="3" t="s">
        <v>19</v>
      </c>
      <c r="C69" s="3" t="s">
        <v>54</v>
      </c>
      <c r="D69" s="14">
        <v>396.62220438997127</v>
      </c>
      <c r="E69" s="14">
        <v>176.86416189251261</v>
      </c>
      <c r="F69" s="14">
        <v>1833.16729548234</v>
      </c>
      <c r="G69" s="14">
        <v>1220.9986653371425</v>
      </c>
      <c r="H69" s="14">
        <v>306.37153542292515</v>
      </c>
      <c r="I69" s="14">
        <v>690.56282252351525</v>
      </c>
      <c r="J69" s="14">
        <v>523.69449769558696</v>
      </c>
      <c r="K69" s="14">
        <v>772.93370556639593</v>
      </c>
      <c r="L69" s="14">
        <v>891.67405813530502</v>
      </c>
      <c r="M69" s="14">
        <v>893.41992074745599</v>
      </c>
      <c r="N69" s="14">
        <v>5382.2293257293795</v>
      </c>
    </row>
    <row r="70" spans="1:14" x14ac:dyDescent="0.3">
      <c r="A70" s="3" t="str">
        <f>INDEX('R1. Scenario specifications'!$C$11:$C$49,MATCH($B70,'R1. Scenario specifications'!$A$11:$A$49,0))</f>
        <v>Current 1.5DS, 2030 start, 'Expect the Unexpected'</v>
      </c>
      <c r="B70" s="3" t="s">
        <v>20</v>
      </c>
      <c r="C70" s="3" t="s">
        <v>51</v>
      </c>
      <c r="D70" s="14">
        <v>26912.591385085678</v>
      </c>
      <c r="E70" s="14">
        <v>24726.384098969917</v>
      </c>
      <c r="F70" s="14">
        <v>20023.092920446408</v>
      </c>
      <c r="G70" s="14">
        <v>26227.564065710481</v>
      </c>
      <c r="H70" s="14">
        <v>15425.681231690936</v>
      </c>
      <c r="I70" s="14">
        <v>8105.3605655448646</v>
      </c>
      <c r="J70" s="14">
        <v>13725.361658272255</v>
      </c>
      <c r="K70" s="14">
        <v>34960.317454184369</v>
      </c>
      <c r="L70" s="14">
        <v>35467.181671619241</v>
      </c>
      <c r="M70" s="14">
        <v>36682.491312838749</v>
      </c>
      <c r="N70" s="14">
        <v>21819.753731530407</v>
      </c>
    </row>
    <row r="71" spans="1:14" x14ac:dyDescent="0.3">
      <c r="A71" s="3" t="str">
        <f>INDEX('R1. Scenario specifications'!$C$11:$C$49,MATCH($B71,'R1. Scenario specifications'!$A$11:$A$49,0))</f>
        <v>Current 1.5DS, 2030 start, 'Expect the Unexpected'</v>
      </c>
      <c r="B71" s="3" t="s">
        <v>20</v>
      </c>
      <c r="C71" s="3" t="s">
        <v>52</v>
      </c>
      <c r="D71" s="14">
        <v>47506.40120156738</v>
      </c>
      <c r="E71" s="14">
        <v>51400.759098340677</v>
      </c>
      <c r="F71" s="14">
        <v>62205.547314401418</v>
      </c>
      <c r="G71" s="14">
        <v>44368.574800589129</v>
      </c>
      <c r="H71" s="14">
        <v>19454.135640253164</v>
      </c>
      <c r="I71" s="14">
        <v>9143.9110010450331</v>
      </c>
      <c r="J71" s="14">
        <v>4400.0001295465427</v>
      </c>
      <c r="K71" s="14">
        <v>5249.2751129270764</v>
      </c>
      <c r="L71" s="14">
        <v>5007.0361966868932</v>
      </c>
      <c r="M71" s="14">
        <v>3514.8134358875245</v>
      </c>
      <c r="N71" s="14">
        <v>3104.1086534306482</v>
      </c>
    </row>
    <row r="72" spans="1:14" x14ac:dyDescent="0.3">
      <c r="A72" s="3" t="str">
        <f>INDEX('R1. Scenario specifications'!$C$11:$C$49,MATCH($B72,'R1. Scenario specifications'!$A$11:$A$49,0))</f>
        <v>Current 1.5DS, 2030 start, 'Expect the Unexpected'</v>
      </c>
      <c r="B72" s="3" t="s">
        <v>20</v>
      </c>
      <c r="C72" s="3" t="s">
        <v>53</v>
      </c>
      <c r="D72" s="14">
        <v>703.55932605471685</v>
      </c>
      <c r="E72" s="14">
        <v>336.28891863781013</v>
      </c>
      <c r="F72" s="14">
        <v>879.49041101293551</v>
      </c>
      <c r="G72" s="14">
        <v>1203.2907539892126</v>
      </c>
      <c r="H72" s="14">
        <v>7650.4021480794781</v>
      </c>
      <c r="I72" s="14">
        <v>12080.038576400813</v>
      </c>
      <c r="J72" s="14">
        <v>11042.588533819951</v>
      </c>
      <c r="K72" s="14">
        <v>4414.629859208334</v>
      </c>
      <c r="L72" s="14">
        <v>1357.9114980732504</v>
      </c>
      <c r="M72" s="14">
        <v>1920.2517931765219</v>
      </c>
      <c r="N72" s="14">
        <v>1045.7519579563052</v>
      </c>
    </row>
    <row r="73" spans="1:14" x14ac:dyDescent="0.3">
      <c r="A73" s="3" t="str">
        <f>INDEX('R1. Scenario specifications'!$C$11:$C$49,MATCH($B73,'R1. Scenario specifications'!$A$11:$A$49,0))</f>
        <v>Current 1.5DS, 2030 start, 'Expect the Unexpected'</v>
      </c>
      <c r="B73" s="3" t="s">
        <v>20</v>
      </c>
      <c r="C73" s="3" t="s">
        <v>54</v>
      </c>
      <c r="D73" s="14">
        <v>396.62220438997127</v>
      </c>
      <c r="E73" s="14">
        <v>176.86416189251261</v>
      </c>
      <c r="F73" s="14">
        <v>1833.16729548234</v>
      </c>
      <c r="G73" s="14">
        <v>5667.8396467895318</v>
      </c>
      <c r="H73" s="14">
        <v>2739.3001998096543</v>
      </c>
      <c r="I73" s="14">
        <v>982.78003937993628</v>
      </c>
      <c r="J73" s="14">
        <v>510.80123594585905</v>
      </c>
      <c r="K73" s="14">
        <v>6238.0076156975028</v>
      </c>
      <c r="L73" s="14">
        <v>8576.8544273599946</v>
      </c>
      <c r="M73" s="14">
        <v>7227.2976509290911</v>
      </c>
      <c r="N73" s="14">
        <v>8577.2454660950043</v>
      </c>
    </row>
    <row r="74" spans="1:14" x14ac:dyDescent="0.3">
      <c r="A74" s="3" t="str">
        <f>INDEX('R1. Scenario specifications'!$C$11:$C$49,MATCH($B74,'R1. Scenario specifications'!$A$11:$A$49,0))</f>
        <v>Current 1.5DS, 2020 start, 'Expect the Unexpected' but with cheap renewables</v>
      </c>
      <c r="B74" s="3" t="s">
        <v>21</v>
      </c>
      <c r="C74" s="3" t="s">
        <v>51</v>
      </c>
      <c r="D74" s="14">
        <v>26912.591385085678</v>
      </c>
      <c r="E74" s="14">
        <v>24726.384098969917</v>
      </c>
      <c r="F74" s="14">
        <v>20023.092920446408</v>
      </c>
      <c r="G74" s="14">
        <v>15624.398206859889</v>
      </c>
      <c r="H74" s="14">
        <v>12417.506237180427</v>
      </c>
      <c r="I74" s="14">
        <v>12205.649850999611</v>
      </c>
      <c r="J74" s="14">
        <v>22123.477482640366</v>
      </c>
      <c r="K74" s="14">
        <v>33857.429274897404</v>
      </c>
      <c r="L74" s="14">
        <v>31467.585788530301</v>
      </c>
      <c r="M74" s="14">
        <v>27551.607573261677</v>
      </c>
      <c r="N74" s="14">
        <v>17697.088975159775</v>
      </c>
    </row>
    <row r="75" spans="1:14" x14ac:dyDescent="0.3">
      <c r="A75" s="3" t="str">
        <f>INDEX('R1. Scenario specifications'!$C$11:$C$49,MATCH($B75,'R1. Scenario specifications'!$A$11:$A$49,0))</f>
        <v>Current 1.5DS, 2020 start, 'Expect the Unexpected' but with cheap renewables</v>
      </c>
      <c r="B75" s="3" t="s">
        <v>21</v>
      </c>
      <c r="C75" s="3" t="s">
        <v>52</v>
      </c>
      <c r="D75" s="14">
        <v>47506.40120156738</v>
      </c>
      <c r="E75" s="14">
        <v>51400.759098340677</v>
      </c>
      <c r="F75" s="14">
        <v>62205.547314401418</v>
      </c>
      <c r="G75" s="14">
        <v>32912.223797519931</v>
      </c>
      <c r="H75" s="14">
        <v>14369.811400859422</v>
      </c>
      <c r="I75" s="14">
        <v>4859.3236908668314</v>
      </c>
      <c r="J75" s="14">
        <v>1797.0973166992853</v>
      </c>
      <c r="K75" s="14">
        <v>1981.8837599682633</v>
      </c>
      <c r="L75" s="14">
        <v>1589.7559798273091</v>
      </c>
      <c r="M75" s="14">
        <v>967.84017718627649</v>
      </c>
      <c r="N75" s="14">
        <v>880.27188959819921</v>
      </c>
    </row>
    <row r="76" spans="1:14" x14ac:dyDescent="0.3">
      <c r="A76" s="3" t="str">
        <f>INDEX('R1. Scenario specifications'!$C$11:$C$49,MATCH($B76,'R1. Scenario specifications'!$A$11:$A$49,0))</f>
        <v>Current 1.5DS, 2020 start, 'Expect the Unexpected' but with cheap renewables</v>
      </c>
      <c r="B76" s="3" t="s">
        <v>21</v>
      </c>
      <c r="C76" s="3" t="s">
        <v>53</v>
      </c>
      <c r="D76" s="14">
        <v>703.55932605471685</v>
      </c>
      <c r="E76" s="14">
        <v>336.28891863781013</v>
      </c>
      <c r="F76" s="14">
        <v>879.49041101293551</v>
      </c>
      <c r="G76" s="14">
        <v>5603.7003218305617</v>
      </c>
      <c r="H76" s="14">
        <v>8215.5061866567175</v>
      </c>
      <c r="I76" s="14">
        <v>10129.350303371089</v>
      </c>
      <c r="J76" s="14">
        <v>12701.709133763339</v>
      </c>
      <c r="K76" s="14">
        <v>5743.0882864529076</v>
      </c>
      <c r="L76" s="14">
        <v>3102.4932408695026</v>
      </c>
      <c r="M76" s="14">
        <v>5475.4691696276359</v>
      </c>
      <c r="N76" s="14">
        <v>6606.3201402766681</v>
      </c>
    </row>
    <row r="77" spans="1:14" x14ac:dyDescent="0.3">
      <c r="A77" s="3" t="str">
        <f>INDEX('R1. Scenario specifications'!$C$11:$C$49,MATCH($B77,'R1. Scenario specifications'!$A$11:$A$49,0))</f>
        <v>Current 1.5DS, 2020 start, 'Expect the Unexpected' but with cheap renewables</v>
      </c>
      <c r="B77" s="3" t="s">
        <v>21</v>
      </c>
      <c r="C77" s="3" t="s">
        <v>54</v>
      </c>
      <c r="D77" s="14">
        <v>396.62220438997127</v>
      </c>
      <c r="E77" s="14">
        <v>176.86416189251261</v>
      </c>
      <c r="F77" s="14">
        <v>1833.16729548234</v>
      </c>
      <c r="G77" s="14">
        <v>1237.4872484206264</v>
      </c>
      <c r="H77" s="14">
        <v>307.89680012613991</v>
      </c>
      <c r="I77" s="14">
        <v>688.3002803237564</v>
      </c>
      <c r="J77" s="14">
        <v>598.50172353207802</v>
      </c>
      <c r="K77" s="14">
        <v>599.92994336667698</v>
      </c>
      <c r="L77" s="14">
        <v>777.38912311194304</v>
      </c>
      <c r="M77" s="14">
        <v>907.22743272604794</v>
      </c>
      <c r="N77" s="14">
        <v>5410.5940322830193</v>
      </c>
    </row>
    <row r="78" spans="1:14" x14ac:dyDescent="0.3">
      <c r="A78" s="3" t="str">
        <f>INDEX('R1. Scenario specifications'!$C$11:$C$49,MATCH($B78,'R1. Scenario specifications'!$A$11:$A$49,0))</f>
        <v>Current 1.5DS, 2030 start, 'Expect the Unexpected' but with cheap renewables</v>
      </c>
      <c r="B78" s="3" t="s">
        <v>22</v>
      </c>
      <c r="C78" s="3" t="s">
        <v>51</v>
      </c>
      <c r="D78" s="14">
        <v>26912.591385085678</v>
      </c>
      <c r="E78" s="14">
        <v>24726.384098969917</v>
      </c>
      <c r="F78" s="14">
        <v>20023.092920446408</v>
      </c>
      <c r="G78" s="14">
        <v>26227.564065710481</v>
      </c>
      <c r="H78" s="14">
        <v>15443.534969489818</v>
      </c>
      <c r="I78" s="14">
        <v>7560.0899741989788</v>
      </c>
      <c r="J78" s="14">
        <v>14394.643709826965</v>
      </c>
      <c r="K78" s="14">
        <v>35338.370317582987</v>
      </c>
      <c r="L78" s="14">
        <v>36505.411751197535</v>
      </c>
      <c r="M78" s="14">
        <v>36636.670313406888</v>
      </c>
      <c r="N78" s="14">
        <v>21777.140311910884</v>
      </c>
    </row>
    <row r="79" spans="1:14" x14ac:dyDescent="0.3">
      <c r="A79" s="3" t="str">
        <f>INDEX('R1. Scenario specifications'!$C$11:$C$49,MATCH($B79,'R1. Scenario specifications'!$A$11:$A$49,0))</f>
        <v>Current 1.5DS, 2030 start, 'Expect the Unexpected' but with cheap renewables</v>
      </c>
      <c r="B79" s="3" t="s">
        <v>22</v>
      </c>
      <c r="C79" s="3" t="s">
        <v>52</v>
      </c>
      <c r="D79" s="14">
        <v>47506.40120156738</v>
      </c>
      <c r="E79" s="14">
        <v>51400.759098340677</v>
      </c>
      <c r="F79" s="14">
        <v>62205.547314401418</v>
      </c>
      <c r="G79" s="14">
        <v>44368.574800589129</v>
      </c>
      <c r="H79" s="14">
        <v>19473.450933399832</v>
      </c>
      <c r="I79" s="14">
        <v>8069.5168129515114</v>
      </c>
      <c r="J79" s="14">
        <v>3902.6992080658697</v>
      </c>
      <c r="K79" s="14">
        <v>5175.5782289978333</v>
      </c>
      <c r="L79" s="14">
        <v>5200.9885390699064</v>
      </c>
      <c r="M79" s="14">
        <v>3614.9313616241529</v>
      </c>
      <c r="N79" s="14">
        <v>3103.0436041440403</v>
      </c>
    </row>
    <row r="80" spans="1:14" x14ac:dyDescent="0.3">
      <c r="A80" s="3" t="str">
        <f>INDEX('R1. Scenario specifications'!$C$11:$C$49,MATCH($B80,'R1. Scenario specifications'!$A$11:$A$49,0))</f>
        <v>Current 1.5DS, 2030 start, 'Expect the Unexpected' but with cheap renewables</v>
      </c>
      <c r="B80" s="3" t="s">
        <v>22</v>
      </c>
      <c r="C80" s="3" t="s">
        <v>53</v>
      </c>
      <c r="D80" s="14">
        <v>703.55932605471685</v>
      </c>
      <c r="E80" s="14">
        <v>336.28891863781013</v>
      </c>
      <c r="F80" s="14">
        <v>879.49041101293551</v>
      </c>
      <c r="G80" s="14">
        <v>1203.2907539892126</v>
      </c>
      <c r="H80" s="14">
        <v>7616.6373055870381</v>
      </c>
      <c r="I80" s="14">
        <v>12079.914128303324</v>
      </c>
      <c r="J80" s="14">
        <v>10651.997333229214</v>
      </c>
      <c r="K80" s="14">
        <v>4190.1909227192509</v>
      </c>
      <c r="L80" s="14">
        <v>1355.5384349349611</v>
      </c>
      <c r="M80" s="14">
        <v>1918.945887926367</v>
      </c>
      <c r="N80" s="14">
        <v>1046.1541050573392</v>
      </c>
    </row>
    <row r="81" spans="1:14" x14ac:dyDescent="0.3">
      <c r="A81" s="3" t="str">
        <f>INDEX('R1. Scenario specifications'!$C$11:$C$49,MATCH($B81,'R1. Scenario specifications'!$A$11:$A$49,0))</f>
        <v>Current 1.5DS, 2030 start, 'Expect the Unexpected' but with cheap renewables</v>
      </c>
      <c r="B81" s="3" t="s">
        <v>22</v>
      </c>
      <c r="C81" s="3" t="s">
        <v>54</v>
      </c>
      <c r="D81" s="14">
        <v>396.62220438997127</v>
      </c>
      <c r="E81" s="14">
        <v>176.86416189251261</v>
      </c>
      <c r="F81" s="14">
        <v>1833.16729548234</v>
      </c>
      <c r="G81" s="14">
        <v>5667.8396467895318</v>
      </c>
      <c r="H81" s="14">
        <v>2751.6741705360464</v>
      </c>
      <c r="I81" s="14">
        <v>982.78081683562573</v>
      </c>
      <c r="J81" s="14">
        <v>506.91166726092206</v>
      </c>
      <c r="K81" s="14">
        <v>6300.0087006199965</v>
      </c>
      <c r="L81" s="14">
        <v>8023.8996651818061</v>
      </c>
      <c r="M81" s="14">
        <v>6751.4610329358093</v>
      </c>
      <c r="N81" s="14">
        <v>8561.6500568904485</v>
      </c>
    </row>
    <row r="82" spans="1:14" x14ac:dyDescent="0.3">
      <c r="A82" s="3" t="str">
        <f>INDEX('R1. Scenario specifications'!$C$11:$C$49,MATCH($B82,'R1. Scenario specifications'!$A$11:$A$49,0))</f>
        <v>Current 1.5DS, 2020 start, 'Expect the Unexpected' but with cheap CCS</v>
      </c>
      <c r="B82" s="3" t="s">
        <v>23</v>
      </c>
      <c r="C82" s="3" t="s">
        <v>51</v>
      </c>
      <c r="D82" s="14">
        <v>26912.591385085678</v>
      </c>
      <c r="E82" s="14">
        <v>24726.384098969917</v>
      </c>
      <c r="F82" s="14">
        <v>20023.092920446408</v>
      </c>
      <c r="G82" s="14">
        <v>15241.794989838872</v>
      </c>
      <c r="H82" s="14">
        <v>12173.824872690442</v>
      </c>
      <c r="I82" s="14">
        <v>12070.190365794544</v>
      </c>
      <c r="J82" s="14">
        <v>21868.79766633124</v>
      </c>
      <c r="K82" s="14">
        <v>33795.753448767508</v>
      </c>
      <c r="L82" s="14">
        <v>30622.807380533464</v>
      </c>
      <c r="M82" s="14">
        <v>27045.282922886039</v>
      </c>
      <c r="N82" s="14">
        <v>16888.476879466376</v>
      </c>
    </row>
    <row r="83" spans="1:14" x14ac:dyDescent="0.3">
      <c r="A83" s="3" t="str">
        <f>INDEX('R1. Scenario specifications'!$C$11:$C$49,MATCH($B83,'R1. Scenario specifications'!$A$11:$A$49,0))</f>
        <v>Current 1.5DS, 2020 start, 'Expect the Unexpected' but with cheap CCS</v>
      </c>
      <c r="B83" s="3" t="s">
        <v>23</v>
      </c>
      <c r="C83" s="3" t="s">
        <v>52</v>
      </c>
      <c r="D83" s="14">
        <v>47506.40120156738</v>
      </c>
      <c r="E83" s="14">
        <v>51400.759098340677</v>
      </c>
      <c r="F83" s="14">
        <v>62205.547314401418</v>
      </c>
      <c r="G83" s="14">
        <v>32836.551382258724</v>
      </c>
      <c r="H83" s="14">
        <v>14338.097884258801</v>
      </c>
      <c r="I83" s="14">
        <v>4949.1789881548129</v>
      </c>
      <c r="J83" s="14">
        <v>1813.6021410023577</v>
      </c>
      <c r="K83" s="14">
        <v>1980.5317855848712</v>
      </c>
      <c r="L83" s="14">
        <v>1591.4995730551043</v>
      </c>
      <c r="M83" s="14">
        <v>967.84017718627649</v>
      </c>
      <c r="N83" s="14">
        <v>880.27188959819921</v>
      </c>
    </row>
    <row r="84" spans="1:14" x14ac:dyDescent="0.3">
      <c r="A84" s="3" t="str">
        <f>INDEX('R1. Scenario specifications'!$C$11:$C$49,MATCH($B84,'R1. Scenario specifications'!$A$11:$A$49,0))</f>
        <v>Current 1.5DS, 2020 start, 'Expect the Unexpected' but with cheap CCS</v>
      </c>
      <c r="B84" s="3" t="s">
        <v>23</v>
      </c>
      <c r="C84" s="3" t="s">
        <v>53</v>
      </c>
      <c r="D84" s="14">
        <v>703.55932605471685</v>
      </c>
      <c r="E84" s="14">
        <v>336.28891863781013</v>
      </c>
      <c r="F84" s="14">
        <v>879.49041101293551</v>
      </c>
      <c r="G84" s="14">
        <v>5579.9270734302618</v>
      </c>
      <c r="H84" s="14">
        <v>8234.6286308687286</v>
      </c>
      <c r="I84" s="14">
        <v>10107.276501372218</v>
      </c>
      <c r="J84" s="14">
        <v>12737.42825098976</v>
      </c>
      <c r="K84" s="14">
        <v>5512.8850966691498</v>
      </c>
      <c r="L84" s="14">
        <v>3931.7778572938601</v>
      </c>
      <c r="M84" s="14">
        <v>6130.6375251161298</v>
      </c>
      <c r="N84" s="14">
        <v>7455.0289110144786</v>
      </c>
    </row>
    <row r="85" spans="1:14" x14ac:dyDescent="0.3">
      <c r="A85" s="3" t="str">
        <f>INDEX('R1. Scenario specifications'!$C$11:$C$49,MATCH($B85,'R1. Scenario specifications'!$A$11:$A$49,0))</f>
        <v>Current 1.5DS, 2020 start, 'Expect the Unexpected' but with cheap CCS</v>
      </c>
      <c r="B85" s="3" t="s">
        <v>23</v>
      </c>
      <c r="C85" s="3" t="s">
        <v>54</v>
      </c>
      <c r="D85" s="14">
        <v>396.62220438997127</v>
      </c>
      <c r="E85" s="14">
        <v>176.86416189251261</v>
      </c>
      <c r="F85" s="14">
        <v>1833.16729548234</v>
      </c>
      <c r="G85" s="14">
        <v>1220.9986653371452</v>
      </c>
      <c r="H85" s="14">
        <v>306.3715354229239</v>
      </c>
      <c r="I85" s="14">
        <v>690.56282252351366</v>
      </c>
      <c r="J85" s="14">
        <v>523.69449769558696</v>
      </c>
      <c r="K85" s="14">
        <v>772.93370453511193</v>
      </c>
      <c r="L85" s="14">
        <v>891.67405813530593</v>
      </c>
      <c r="M85" s="14">
        <v>893.41992114210188</v>
      </c>
      <c r="N85" s="14">
        <v>5382.2293257291221</v>
      </c>
    </row>
    <row r="86" spans="1:14" x14ac:dyDescent="0.3">
      <c r="A86" s="3" t="str">
        <f>INDEX('R1. Scenario specifications'!$C$11:$C$49,MATCH($B86,'R1. Scenario specifications'!$A$11:$A$49,0))</f>
        <v>Current 1.5DS, 2030 start, 'Expect the Unexpected' but with cheap CCS</v>
      </c>
      <c r="B86" s="3" t="s">
        <v>24</v>
      </c>
      <c r="C86" s="3" t="s">
        <v>51</v>
      </c>
      <c r="D86" s="14">
        <v>26912.591385085678</v>
      </c>
      <c r="E86" s="14">
        <v>24726.384098969917</v>
      </c>
      <c r="F86" s="14">
        <v>20023.092920446408</v>
      </c>
      <c r="G86" s="14">
        <v>26227.564065710481</v>
      </c>
      <c r="H86" s="14">
        <v>15425.681231690936</v>
      </c>
      <c r="I86" s="14">
        <v>8105.36056554487</v>
      </c>
      <c r="J86" s="14">
        <v>13725.361658272255</v>
      </c>
      <c r="K86" s="14">
        <v>34960.317454184558</v>
      </c>
      <c r="L86" s="14">
        <v>35467.181671617087</v>
      </c>
      <c r="M86" s="14">
        <v>36682.49131283749</v>
      </c>
      <c r="N86" s="14">
        <v>21819.753731529781</v>
      </c>
    </row>
    <row r="87" spans="1:14" x14ac:dyDescent="0.3">
      <c r="A87" s="3" t="str">
        <f>INDEX('R1. Scenario specifications'!$C$11:$C$49,MATCH($B87,'R1. Scenario specifications'!$A$11:$A$49,0))</f>
        <v>Current 1.5DS, 2030 start, 'Expect the Unexpected' but with cheap CCS</v>
      </c>
      <c r="B87" s="3" t="s">
        <v>24</v>
      </c>
      <c r="C87" s="3" t="s">
        <v>52</v>
      </c>
      <c r="D87" s="14">
        <v>47506.40120156738</v>
      </c>
      <c r="E87" s="14">
        <v>51400.759098340677</v>
      </c>
      <c r="F87" s="14">
        <v>62205.547314401418</v>
      </c>
      <c r="G87" s="14">
        <v>44368.574800589129</v>
      </c>
      <c r="H87" s="14">
        <v>19454.135640253164</v>
      </c>
      <c r="I87" s="14">
        <v>9143.9110010450331</v>
      </c>
      <c r="J87" s="14">
        <v>4400.0001295465436</v>
      </c>
      <c r="K87" s="14">
        <v>5249.2751129270737</v>
      </c>
      <c r="L87" s="14">
        <v>5007.0361966895134</v>
      </c>
      <c r="M87" s="14">
        <v>3514.8134358889934</v>
      </c>
      <c r="N87" s="14">
        <v>3104.1086534306482</v>
      </c>
    </row>
    <row r="88" spans="1:14" x14ac:dyDescent="0.3">
      <c r="A88" s="3" t="str">
        <f>INDEX('R1. Scenario specifications'!$C$11:$C$49,MATCH($B88,'R1. Scenario specifications'!$A$11:$A$49,0))</f>
        <v>Current 1.5DS, 2030 start, 'Expect the Unexpected' but with cheap CCS</v>
      </c>
      <c r="B88" s="3" t="s">
        <v>24</v>
      </c>
      <c r="C88" s="3" t="s">
        <v>53</v>
      </c>
      <c r="D88" s="14">
        <v>703.55932605471685</v>
      </c>
      <c r="E88" s="14">
        <v>336.28891863781013</v>
      </c>
      <c r="F88" s="14">
        <v>879.49041101293551</v>
      </c>
      <c r="G88" s="14">
        <v>1203.2907539892126</v>
      </c>
      <c r="H88" s="14">
        <v>7650.4021480794781</v>
      </c>
      <c r="I88" s="14">
        <v>12080.038576400813</v>
      </c>
      <c r="J88" s="14">
        <v>11042.588533819951</v>
      </c>
      <c r="K88" s="14">
        <v>4414.6298592081293</v>
      </c>
      <c r="L88" s="14">
        <v>1357.9114980731615</v>
      </c>
      <c r="M88" s="14">
        <v>1920.2517931765376</v>
      </c>
      <c r="N88" s="14">
        <v>1045.7519579569673</v>
      </c>
    </row>
    <row r="89" spans="1:14" x14ac:dyDescent="0.3">
      <c r="A89" s="3" t="str">
        <f>INDEX('R1. Scenario specifications'!$C$11:$C$49,MATCH($B89,'R1. Scenario specifications'!$A$11:$A$49,0))</f>
        <v>Current 1.5DS, 2030 start, 'Expect the Unexpected' but with cheap CCS</v>
      </c>
      <c r="B89" s="3" t="s">
        <v>24</v>
      </c>
      <c r="C89" s="3" t="s">
        <v>54</v>
      </c>
      <c r="D89" s="14">
        <v>396.62220438997127</v>
      </c>
      <c r="E89" s="14">
        <v>176.86416189251261</v>
      </c>
      <c r="F89" s="14">
        <v>1833.16729548234</v>
      </c>
      <c r="G89" s="14">
        <v>5667.8396467895318</v>
      </c>
      <c r="H89" s="14">
        <v>2739.3001998096543</v>
      </c>
      <c r="I89" s="14">
        <v>982.78003937993628</v>
      </c>
      <c r="J89" s="14">
        <v>510.80123594585905</v>
      </c>
      <c r="K89" s="14">
        <v>6238.0076156975056</v>
      </c>
      <c r="L89" s="14">
        <v>8576.8544273599964</v>
      </c>
      <c r="M89" s="14">
        <v>7227.2976509290838</v>
      </c>
      <c r="N89" s="14">
        <v>8577.2454660950443</v>
      </c>
    </row>
    <row r="90" spans="1:14" x14ac:dyDescent="0.3">
      <c r="A90" s="3" t="str">
        <f>INDEX('R1. Scenario specifications'!$C$11:$C$49,MATCH($B90,'R1. Scenario specifications'!$A$11:$A$49,0))</f>
        <v>Current 1.5DS, 2020 start, 'Expect the Unexpected' but with cheap EVs</v>
      </c>
      <c r="B90" s="3" t="s">
        <v>25</v>
      </c>
      <c r="C90" s="3" t="s">
        <v>51</v>
      </c>
      <c r="D90" s="14">
        <v>26912.591385085678</v>
      </c>
      <c r="E90" s="14">
        <v>24726.384098969917</v>
      </c>
      <c r="F90" s="14">
        <v>20023.092920446408</v>
      </c>
      <c r="G90" s="14">
        <v>15271.960389603282</v>
      </c>
      <c r="H90" s="14">
        <v>12591.275008604256</v>
      </c>
      <c r="I90" s="14">
        <v>11513.817737463718</v>
      </c>
      <c r="J90" s="14">
        <v>19298.029376845549</v>
      </c>
      <c r="K90" s="14">
        <v>27894.908853172034</v>
      </c>
      <c r="L90" s="14">
        <v>27613.923163951891</v>
      </c>
      <c r="M90" s="14">
        <v>26831.739133854349</v>
      </c>
      <c r="N90" s="14">
        <v>16847.893690334702</v>
      </c>
    </row>
    <row r="91" spans="1:14" x14ac:dyDescent="0.3">
      <c r="A91" s="3" t="str">
        <f>INDEX('R1. Scenario specifications'!$C$11:$C$49,MATCH($B91,'R1. Scenario specifications'!$A$11:$A$49,0))</f>
        <v>Current 1.5DS, 2020 start, 'Expect the Unexpected' but with cheap EVs</v>
      </c>
      <c r="B91" s="3" t="s">
        <v>25</v>
      </c>
      <c r="C91" s="3" t="s">
        <v>52</v>
      </c>
      <c r="D91" s="14">
        <v>47506.40120156738</v>
      </c>
      <c r="E91" s="14">
        <v>51400.759098340677</v>
      </c>
      <c r="F91" s="14">
        <v>62205.547314401418</v>
      </c>
      <c r="G91" s="14">
        <v>27932.442002162246</v>
      </c>
      <c r="H91" s="14">
        <v>12893.332902521403</v>
      </c>
      <c r="I91" s="14">
        <v>5634.2082415873028</v>
      </c>
      <c r="J91" s="14">
        <v>2947.4850906510396</v>
      </c>
      <c r="K91" s="14">
        <v>6482.4708717478625</v>
      </c>
      <c r="L91" s="14">
        <v>4561.1135722037234</v>
      </c>
      <c r="M91" s="14">
        <v>1566.6474074082898</v>
      </c>
      <c r="N91" s="14">
        <v>1008.8650323923102</v>
      </c>
    </row>
    <row r="92" spans="1:14" x14ac:dyDescent="0.3">
      <c r="A92" s="3" t="str">
        <f>INDEX('R1. Scenario specifications'!$C$11:$C$49,MATCH($B92,'R1. Scenario specifications'!$A$11:$A$49,0))</f>
        <v>Current 1.5DS, 2020 start, 'Expect the Unexpected' but with cheap EVs</v>
      </c>
      <c r="B92" s="3" t="s">
        <v>25</v>
      </c>
      <c r="C92" s="3" t="s">
        <v>53</v>
      </c>
      <c r="D92" s="14">
        <v>703.55932605471685</v>
      </c>
      <c r="E92" s="14">
        <v>336.28891863781013</v>
      </c>
      <c r="F92" s="14">
        <v>879.49041101293551</v>
      </c>
      <c r="G92" s="14">
        <v>5603.7003218305617</v>
      </c>
      <c r="H92" s="14">
        <v>8235.199156836823</v>
      </c>
      <c r="I92" s="14">
        <v>10061.964258923557</v>
      </c>
      <c r="J92" s="14">
        <v>13978.474973815693</v>
      </c>
      <c r="K92" s="14">
        <v>6163.8153401522668</v>
      </c>
      <c r="L92" s="14">
        <v>3444.7121112327341</v>
      </c>
      <c r="M92" s="14">
        <v>5772.2643817644666</v>
      </c>
      <c r="N92" s="14">
        <v>8043.4159993838239</v>
      </c>
    </row>
    <row r="93" spans="1:14" x14ac:dyDescent="0.3">
      <c r="A93" s="3" t="str">
        <f>INDEX('R1. Scenario specifications'!$C$11:$C$49,MATCH($B93,'R1. Scenario specifications'!$A$11:$A$49,0))</f>
        <v>Current 1.5DS, 2020 start, 'Expect the Unexpected' but with cheap EVs</v>
      </c>
      <c r="B93" s="3" t="s">
        <v>25</v>
      </c>
      <c r="C93" s="3" t="s">
        <v>54</v>
      </c>
      <c r="D93" s="14">
        <v>396.62220438997127</v>
      </c>
      <c r="E93" s="14">
        <v>176.86416189251261</v>
      </c>
      <c r="F93" s="14">
        <v>1833.16729548234</v>
      </c>
      <c r="G93" s="14">
        <v>1223.8570443568537</v>
      </c>
      <c r="H93" s="14">
        <v>216.99321372118811</v>
      </c>
      <c r="I93" s="14">
        <v>623.10605678433274</v>
      </c>
      <c r="J93" s="14">
        <v>454.40208887059504</v>
      </c>
      <c r="K93" s="14">
        <v>607.92294681993894</v>
      </c>
      <c r="L93" s="14">
        <v>754.3254444240996</v>
      </c>
      <c r="M93" s="14">
        <v>822.93423458517498</v>
      </c>
      <c r="N93" s="14">
        <v>5132.5257680846726</v>
      </c>
    </row>
    <row r="94" spans="1:14" x14ac:dyDescent="0.3">
      <c r="A94" s="3" t="str">
        <f>INDEX('R1. Scenario specifications'!$C$11:$C$49,MATCH($B94,'R1. Scenario specifications'!$A$11:$A$49,0))</f>
        <v>Current 2DS, 2030 start, 'Expect the Unexpected'</v>
      </c>
      <c r="B94" s="3" t="s">
        <v>26</v>
      </c>
      <c r="C94" s="3" t="s">
        <v>51</v>
      </c>
      <c r="D94" s="14">
        <v>26912.591385085678</v>
      </c>
      <c r="E94" s="14">
        <v>24726.384098969917</v>
      </c>
      <c r="F94" s="14">
        <v>20023.092920446408</v>
      </c>
      <c r="G94" s="14">
        <v>26227.564065710481</v>
      </c>
      <c r="H94" s="14">
        <v>42894.831702591669</v>
      </c>
      <c r="I94" s="14">
        <v>26802.913172730827</v>
      </c>
      <c r="J94" s="14">
        <v>27233.539569664925</v>
      </c>
      <c r="K94" s="14">
        <v>29525.070821758323</v>
      </c>
      <c r="L94" s="14">
        <v>29363.07995455842</v>
      </c>
      <c r="M94" s="14">
        <v>27132.104541879693</v>
      </c>
      <c r="N94" s="14">
        <v>18364.078433167906</v>
      </c>
    </row>
    <row r="95" spans="1:14" x14ac:dyDescent="0.3">
      <c r="A95" s="3" t="str">
        <f>INDEX('R1. Scenario specifications'!$C$11:$C$49,MATCH($B95,'R1. Scenario specifications'!$A$11:$A$49,0))</f>
        <v>Current 2DS, 2030 start, 'Expect the Unexpected'</v>
      </c>
      <c r="B95" s="3" t="s">
        <v>26</v>
      </c>
      <c r="C95" s="3" t="s">
        <v>52</v>
      </c>
      <c r="D95" s="14">
        <v>47506.40120156738</v>
      </c>
      <c r="E95" s="14">
        <v>51400.759098340677</v>
      </c>
      <c r="F95" s="14">
        <v>62205.547314401418</v>
      </c>
      <c r="G95" s="14">
        <v>44368.574800589129</v>
      </c>
      <c r="H95" s="14">
        <v>13763.276456269834</v>
      </c>
      <c r="I95" s="14">
        <v>11770.558296988615</v>
      </c>
      <c r="J95" s="14">
        <v>6761.0322720526674</v>
      </c>
      <c r="K95" s="14">
        <v>3548.1857190238843</v>
      </c>
      <c r="L95" s="14">
        <v>1830.1086802133464</v>
      </c>
      <c r="M95" s="14">
        <v>1023.0683385884226</v>
      </c>
      <c r="N95" s="14">
        <v>897.02260386070418</v>
      </c>
    </row>
    <row r="96" spans="1:14" x14ac:dyDescent="0.3">
      <c r="A96" s="3" t="str">
        <f>INDEX('R1. Scenario specifications'!$C$11:$C$49,MATCH($B96,'R1. Scenario specifications'!$A$11:$A$49,0))</f>
        <v>Current 2DS, 2030 start, 'Expect the Unexpected'</v>
      </c>
      <c r="B96" s="3" t="s">
        <v>26</v>
      </c>
      <c r="C96" s="3" t="s">
        <v>53</v>
      </c>
      <c r="D96" s="14">
        <v>703.55932605471685</v>
      </c>
      <c r="E96" s="14">
        <v>336.28891863781013</v>
      </c>
      <c r="F96" s="14">
        <v>879.49041101293551</v>
      </c>
      <c r="G96" s="14">
        <v>1203.2907539892126</v>
      </c>
      <c r="H96" s="14">
        <v>1155.8301379720515</v>
      </c>
      <c r="I96" s="14">
        <v>855.89169978865198</v>
      </c>
      <c r="J96" s="14">
        <v>1220.1384341164062</v>
      </c>
      <c r="K96" s="14">
        <v>1383.5186824692573</v>
      </c>
      <c r="L96" s="14">
        <v>2325.2842061691263</v>
      </c>
      <c r="M96" s="14">
        <v>4784.9756019300739</v>
      </c>
      <c r="N96" s="14">
        <v>5801.249693601987</v>
      </c>
    </row>
    <row r="97" spans="1:14" x14ac:dyDescent="0.3">
      <c r="A97" s="3" t="str">
        <f>INDEX('R1. Scenario specifications'!$C$11:$C$49,MATCH($B97,'R1. Scenario specifications'!$A$11:$A$49,0))</f>
        <v>Current 2DS, 2030 start, 'Expect the Unexpected'</v>
      </c>
      <c r="B97" s="3" t="s">
        <v>26</v>
      </c>
      <c r="C97" s="3" t="s">
        <v>54</v>
      </c>
      <c r="D97" s="14">
        <v>396.62220438997127</v>
      </c>
      <c r="E97" s="14">
        <v>176.86416189251261</v>
      </c>
      <c r="F97" s="14">
        <v>1833.16729548234</v>
      </c>
      <c r="G97" s="14">
        <v>5667.8396467895318</v>
      </c>
      <c r="H97" s="14">
        <v>9124.7919567038207</v>
      </c>
      <c r="I97" s="14">
        <v>14726.779553738161</v>
      </c>
      <c r="J97" s="14">
        <v>9765.2140679960703</v>
      </c>
      <c r="K97" s="14">
        <v>3807.7998008923137</v>
      </c>
      <c r="L97" s="14">
        <v>1520.2903235805538</v>
      </c>
      <c r="M97" s="14">
        <v>934.61304202350993</v>
      </c>
      <c r="N97" s="14">
        <v>5509.411079154188</v>
      </c>
    </row>
    <row r="98" spans="1:14" x14ac:dyDescent="0.3">
      <c r="A98" s="3" t="str">
        <f>INDEX('R1. Scenario specifications'!$C$11:$C$49,MATCH($B98,'R1. Scenario specifications'!$A$11:$A$49,0))</f>
        <v>Current 1.5DS, 2030 start, 'Expect the Unexpected' but with cheap EVs</v>
      </c>
      <c r="B98" s="3" t="s">
        <v>27</v>
      </c>
      <c r="C98" s="3" t="s">
        <v>51</v>
      </c>
      <c r="D98" s="14">
        <v>26912.591385085678</v>
      </c>
      <c r="E98" s="14">
        <v>24726.384098969917</v>
      </c>
      <c r="F98" s="14">
        <v>20023.092920446408</v>
      </c>
      <c r="G98" s="14">
        <v>26227.564065710481</v>
      </c>
      <c r="H98" s="14">
        <v>15672.013652587329</v>
      </c>
      <c r="I98" s="14">
        <v>8557.4410246118787</v>
      </c>
      <c r="J98" s="14">
        <v>13707.338337516978</v>
      </c>
      <c r="K98" s="14">
        <v>28300.420265558929</v>
      </c>
      <c r="L98" s="14">
        <v>28006.852853199514</v>
      </c>
      <c r="M98" s="14">
        <v>28541.033014477271</v>
      </c>
      <c r="N98" s="14">
        <v>16840.167165375013</v>
      </c>
    </row>
    <row r="99" spans="1:14" x14ac:dyDescent="0.3">
      <c r="A99" s="3" t="str">
        <f>INDEX('R1. Scenario specifications'!$C$11:$C$49,MATCH($B99,'R1. Scenario specifications'!$A$11:$A$49,0))</f>
        <v>Current 1.5DS, 2030 start, 'Expect the Unexpected' but with cheap EVs</v>
      </c>
      <c r="B99" s="3" t="s">
        <v>27</v>
      </c>
      <c r="C99" s="3" t="s">
        <v>52</v>
      </c>
      <c r="D99" s="14">
        <v>47506.40120156738</v>
      </c>
      <c r="E99" s="14">
        <v>51400.759098340677</v>
      </c>
      <c r="F99" s="14">
        <v>62205.547314401418</v>
      </c>
      <c r="G99" s="14">
        <v>44368.574800589129</v>
      </c>
      <c r="H99" s="14">
        <v>19852.468323978181</v>
      </c>
      <c r="I99" s="14">
        <v>8547.2311122958345</v>
      </c>
      <c r="J99" s="14">
        <v>4188.6018191174571</v>
      </c>
      <c r="K99" s="14">
        <v>7450.6959597773412</v>
      </c>
      <c r="L99" s="14">
        <v>6817.8840308276376</v>
      </c>
      <c r="M99" s="14">
        <v>3507.9318548320371</v>
      </c>
      <c r="N99" s="14">
        <v>2398.3101598444368</v>
      </c>
    </row>
    <row r="100" spans="1:14" x14ac:dyDescent="0.3">
      <c r="A100" s="3" t="str">
        <f>INDEX('R1. Scenario specifications'!$C$11:$C$49,MATCH($B100,'R1. Scenario specifications'!$A$11:$A$49,0))</f>
        <v>Current 1.5DS, 2030 start, 'Expect the Unexpected' but with cheap EVs</v>
      </c>
      <c r="B100" s="3" t="s">
        <v>27</v>
      </c>
      <c r="C100" s="3" t="s">
        <v>53</v>
      </c>
      <c r="D100" s="14">
        <v>703.55932605471685</v>
      </c>
      <c r="E100" s="14">
        <v>336.28891863781013</v>
      </c>
      <c r="F100" s="14">
        <v>879.49041101293551</v>
      </c>
      <c r="G100" s="14">
        <v>1203.2907539892126</v>
      </c>
      <c r="H100" s="14">
        <v>7623.9451750740227</v>
      </c>
      <c r="I100" s="14">
        <v>12092.044707567486</v>
      </c>
      <c r="J100" s="14">
        <v>11153.496811331861</v>
      </c>
      <c r="K100" s="14">
        <v>4467.7777790804994</v>
      </c>
      <c r="L100" s="14">
        <v>1360.4209943886362</v>
      </c>
      <c r="M100" s="14">
        <v>1922.8490223678618</v>
      </c>
      <c r="N100" s="14">
        <v>1052.0668436582926</v>
      </c>
    </row>
    <row r="101" spans="1:14" x14ac:dyDescent="0.3">
      <c r="A101" s="3" t="str">
        <f>INDEX('R1. Scenario specifications'!$C$11:$C$49,MATCH($B101,'R1. Scenario specifications'!$A$11:$A$49,0))</f>
        <v>Current 1.5DS, 2030 start, 'Expect the Unexpected' but with cheap EVs</v>
      </c>
      <c r="B101" s="3" t="s">
        <v>27</v>
      </c>
      <c r="C101" s="3" t="s">
        <v>54</v>
      </c>
      <c r="D101" s="14">
        <v>396.62220438997127</v>
      </c>
      <c r="E101" s="14">
        <v>176.86416189251261</v>
      </c>
      <c r="F101" s="14">
        <v>1833.16729548234</v>
      </c>
      <c r="G101" s="14">
        <v>5667.8396467895318</v>
      </c>
      <c r="H101" s="14">
        <v>2713.1925639122173</v>
      </c>
      <c r="I101" s="14">
        <v>855.45037754123689</v>
      </c>
      <c r="J101" s="14">
        <v>447.6166014595442</v>
      </c>
      <c r="K101" s="14">
        <v>2943.6919024710814</v>
      </c>
      <c r="L101" s="14">
        <v>4407.463699122347</v>
      </c>
      <c r="M101" s="14">
        <v>4050.8430028314215</v>
      </c>
      <c r="N101" s="14">
        <v>7418.1691945426401</v>
      </c>
    </row>
    <row r="102" spans="1:14" x14ac:dyDescent="0.3">
      <c r="A102" s="3" t="str">
        <f>INDEX('R1. Scenario specifications'!$C$11:$C$49,MATCH($B102,'R1. Scenario specifications'!$A$11:$A$49,0))</f>
        <v>Current 1.5DS, 2020 start, 'Expect the Unexpected' but with cheap energy efficiency</v>
      </c>
      <c r="B102" s="3" t="s">
        <v>28</v>
      </c>
      <c r="C102" s="3" t="s">
        <v>51</v>
      </c>
      <c r="D102" s="14">
        <v>26912.591385085678</v>
      </c>
      <c r="E102" s="14">
        <v>24726.384098969917</v>
      </c>
      <c r="F102" s="14">
        <v>20023.092920446408</v>
      </c>
      <c r="G102" s="14">
        <v>15904.602774091989</v>
      </c>
      <c r="H102" s="14">
        <v>13183.086017187792</v>
      </c>
      <c r="I102" s="14">
        <v>14238.540587954496</v>
      </c>
      <c r="J102" s="14">
        <v>21519.019444359943</v>
      </c>
      <c r="K102" s="14">
        <v>33686.376769876617</v>
      </c>
      <c r="L102" s="14">
        <v>30768.222067138231</v>
      </c>
      <c r="M102" s="14">
        <v>26917.388738255031</v>
      </c>
      <c r="N102" s="14">
        <v>18294.500578085223</v>
      </c>
    </row>
    <row r="103" spans="1:14" x14ac:dyDescent="0.3">
      <c r="A103" s="3" t="str">
        <f>INDEX('R1. Scenario specifications'!$C$11:$C$49,MATCH($B103,'R1. Scenario specifications'!$A$11:$A$49,0))</f>
        <v>Current 1.5DS, 2020 start, 'Expect the Unexpected' but with cheap energy efficiency</v>
      </c>
      <c r="B103" s="3" t="s">
        <v>28</v>
      </c>
      <c r="C103" s="3" t="s">
        <v>52</v>
      </c>
      <c r="D103" s="14">
        <v>47506.40120156738</v>
      </c>
      <c r="E103" s="14">
        <v>51400.759098340677</v>
      </c>
      <c r="F103" s="14">
        <v>62205.547314401418</v>
      </c>
      <c r="G103" s="14">
        <v>24328.865736390126</v>
      </c>
      <c r="H103" s="14">
        <v>11359.654502099393</v>
      </c>
      <c r="I103" s="14">
        <v>4156.7493977551967</v>
      </c>
      <c r="J103" s="14">
        <v>1562.5954414484661</v>
      </c>
      <c r="K103" s="14">
        <v>1996.6434261207742</v>
      </c>
      <c r="L103" s="14">
        <v>2518.1999357283053</v>
      </c>
      <c r="M103" s="14">
        <v>1497.9397418643578</v>
      </c>
      <c r="N103" s="14">
        <v>889.36217939460994</v>
      </c>
    </row>
    <row r="104" spans="1:14" x14ac:dyDescent="0.3">
      <c r="A104" s="3" t="str">
        <f>INDEX('R1. Scenario specifications'!$C$11:$C$49,MATCH($B104,'R1. Scenario specifications'!$A$11:$A$49,0))</f>
        <v>Current 1.5DS, 2020 start, 'Expect the Unexpected' but with cheap energy efficiency</v>
      </c>
      <c r="B104" s="3" t="s">
        <v>28</v>
      </c>
      <c r="C104" s="3" t="s">
        <v>53</v>
      </c>
      <c r="D104" s="14">
        <v>703.55932605471685</v>
      </c>
      <c r="E104" s="14">
        <v>336.28891863781013</v>
      </c>
      <c r="F104" s="14">
        <v>879.49041101293551</v>
      </c>
      <c r="G104" s="14">
        <v>5647.0249204624424</v>
      </c>
      <c r="H104" s="14">
        <v>8895.2609384350817</v>
      </c>
      <c r="I104" s="14">
        <v>11296.494378167934</v>
      </c>
      <c r="J104" s="14">
        <v>13022.93936696295</v>
      </c>
      <c r="K104" s="14">
        <v>5677.0311542904965</v>
      </c>
      <c r="L104" s="14">
        <v>3396.6490599179047</v>
      </c>
      <c r="M104" s="14">
        <v>5595.9705945494552</v>
      </c>
      <c r="N104" s="14">
        <v>6690.4821199434582</v>
      </c>
    </row>
    <row r="105" spans="1:14" x14ac:dyDescent="0.3">
      <c r="A105" s="3" t="str">
        <f>INDEX('R1. Scenario specifications'!$C$11:$C$49,MATCH($B105,'R1. Scenario specifications'!$A$11:$A$49,0))</f>
        <v>Current 1.5DS, 2020 start, 'Expect the Unexpected' but with cheap energy efficiency</v>
      </c>
      <c r="B105" s="3" t="s">
        <v>28</v>
      </c>
      <c r="C105" s="3" t="s">
        <v>54</v>
      </c>
      <c r="D105" s="14">
        <v>396.62220438997127</v>
      </c>
      <c r="E105" s="14">
        <v>176.86416189251261</v>
      </c>
      <c r="F105" s="14">
        <v>1833.16729548234</v>
      </c>
      <c r="G105" s="14">
        <v>1269.8912200644072</v>
      </c>
      <c r="H105" s="14">
        <v>320.5852397799203</v>
      </c>
      <c r="I105" s="14">
        <v>749.53652464507468</v>
      </c>
      <c r="J105" s="14">
        <v>668.12857444984104</v>
      </c>
      <c r="K105" s="14">
        <v>960.79717497805007</v>
      </c>
      <c r="L105" s="14">
        <v>1071.237590466779</v>
      </c>
      <c r="M105" s="14">
        <v>1088.3714121308888</v>
      </c>
      <c r="N105" s="14">
        <v>5322.4831847559954</v>
      </c>
    </row>
    <row r="106" spans="1:14" x14ac:dyDescent="0.3">
      <c r="A106" s="3" t="str">
        <f>INDEX('R1. Scenario specifications'!$C$11:$C$49,MATCH($B106,'R1. Scenario specifications'!$A$11:$A$49,0))</f>
        <v>Current 1.5DS, 2030 start, 'Expect the Unexpected' but with cheap energy efficiency</v>
      </c>
      <c r="B106" s="3" t="s">
        <v>29</v>
      </c>
      <c r="C106" s="3" t="s">
        <v>51</v>
      </c>
      <c r="D106" s="14">
        <v>26912.591385085678</v>
      </c>
      <c r="E106" s="14">
        <v>24726.384098969917</v>
      </c>
      <c r="F106" s="14">
        <v>20023.092920446408</v>
      </c>
      <c r="G106" s="14">
        <v>26227.564065710481</v>
      </c>
      <c r="H106" s="14">
        <v>16321.409843331217</v>
      </c>
      <c r="I106" s="14">
        <v>8597.3004671569797</v>
      </c>
      <c r="J106" s="14">
        <v>13316.182941520647</v>
      </c>
      <c r="K106" s="14">
        <v>32150.977506855172</v>
      </c>
      <c r="L106" s="14">
        <v>33753.46756992169</v>
      </c>
      <c r="M106" s="14">
        <v>33265.946730966774</v>
      </c>
      <c r="N106" s="14">
        <v>20135.031544849113</v>
      </c>
    </row>
    <row r="107" spans="1:14" x14ac:dyDescent="0.3">
      <c r="A107" s="3" t="str">
        <f>INDEX('R1. Scenario specifications'!$C$11:$C$49,MATCH($B107,'R1. Scenario specifications'!$A$11:$A$49,0))</f>
        <v>Current 1.5DS, 2030 start, 'Expect the Unexpected' but with cheap energy efficiency</v>
      </c>
      <c r="B107" s="3" t="s">
        <v>29</v>
      </c>
      <c r="C107" s="3" t="s">
        <v>52</v>
      </c>
      <c r="D107" s="14">
        <v>47506.40120156738</v>
      </c>
      <c r="E107" s="14">
        <v>51400.759098340677</v>
      </c>
      <c r="F107" s="14">
        <v>62205.547314401418</v>
      </c>
      <c r="G107" s="14">
        <v>44368.574800589129</v>
      </c>
      <c r="H107" s="14">
        <v>17617.338052962645</v>
      </c>
      <c r="I107" s="14">
        <v>7399.0002457396022</v>
      </c>
      <c r="J107" s="14">
        <v>3517.5222215542185</v>
      </c>
      <c r="K107" s="14">
        <v>5936.1887276037287</v>
      </c>
      <c r="L107" s="14">
        <v>5976.484692537676</v>
      </c>
      <c r="M107" s="14">
        <v>5524.5284544862388</v>
      </c>
      <c r="N107" s="14">
        <v>4533.9426924624941</v>
      </c>
    </row>
    <row r="108" spans="1:14" x14ac:dyDescent="0.3">
      <c r="A108" s="3" t="str">
        <f>INDEX('R1. Scenario specifications'!$C$11:$C$49,MATCH($B108,'R1. Scenario specifications'!$A$11:$A$49,0))</f>
        <v>Current 1.5DS, 2030 start, 'Expect the Unexpected' but with cheap energy efficiency</v>
      </c>
      <c r="B108" s="3" t="s">
        <v>29</v>
      </c>
      <c r="C108" s="3" t="s">
        <v>53</v>
      </c>
      <c r="D108" s="14">
        <v>703.55932605471685</v>
      </c>
      <c r="E108" s="14">
        <v>336.28891863781013</v>
      </c>
      <c r="F108" s="14">
        <v>879.49041101293551</v>
      </c>
      <c r="G108" s="14">
        <v>1203.2907539892126</v>
      </c>
      <c r="H108" s="14">
        <v>7879.4459278086915</v>
      </c>
      <c r="I108" s="14">
        <v>12140.200558482815</v>
      </c>
      <c r="J108" s="14">
        <v>12203.658159420236</v>
      </c>
      <c r="K108" s="14">
        <v>5113.6052091614947</v>
      </c>
      <c r="L108" s="14">
        <v>1397.2515233189911</v>
      </c>
      <c r="M108" s="14">
        <v>1938.125453133041</v>
      </c>
      <c r="N108" s="14">
        <v>1255.4769329368735</v>
      </c>
    </row>
    <row r="109" spans="1:14" x14ac:dyDescent="0.3">
      <c r="A109" s="3" t="str">
        <f>INDEX('R1. Scenario specifications'!$C$11:$C$49,MATCH($B109,'R1. Scenario specifications'!$A$11:$A$49,0))</f>
        <v>Current 1.5DS, 2030 start, 'Expect the Unexpected' but with cheap energy efficiency</v>
      </c>
      <c r="B109" s="3" t="s">
        <v>29</v>
      </c>
      <c r="C109" s="3" t="s">
        <v>54</v>
      </c>
      <c r="D109" s="14">
        <v>396.62220438997127</v>
      </c>
      <c r="E109" s="14">
        <v>176.86416189251261</v>
      </c>
      <c r="F109" s="14">
        <v>1833.16729548234</v>
      </c>
      <c r="G109" s="14">
        <v>5667.8396467895318</v>
      </c>
      <c r="H109" s="14">
        <v>2804.1321747764155</v>
      </c>
      <c r="I109" s="14">
        <v>973.46408321153649</v>
      </c>
      <c r="J109" s="14">
        <v>485.1966751739684</v>
      </c>
      <c r="K109" s="14">
        <v>5828.7349111319727</v>
      </c>
      <c r="L109" s="14">
        <v>7610.2623429974965</v>
      </c>
      <c r="M109" s="14">
        <v>4068.9106175516872</v>
      </c>
      <c r="N109" s="14">
        <v>7303.1669798563062</v>
      </c>
    </row>
    <row r="110" spans="1:14" x14ac:dyDescent="0.3">
      <c r="A110" s="3" t="str">
        <f>INDEX('R1. Scenario specifications'!$C$11:$C$49,MATCH($B110,'R1. Scenario specifications'!$A$11:$A$49,0))</f>
        <v>Current 1.5DS, 2020 start, 'Expect the Unexpected' but with most conservative biomass CCS / NET technology cost assumptions</v>
      </c>
      <c r="B110" s="3" t="s">
        <v>30</v>
      </c>
      <c r="C110" s="3" t="s">
        <v>51</v>
      </c>
      <c r="D110" s="14">
        <v>26912.591385085678</v>
      </c>
      <c r="E110" s="14">
        <v>24726.384098969917</v>
      </c>
      <c r="F110" s="14">
        <v>20023.092920446408</v>
      </c>
      <c r="G110" s="14">
        <v>15169.55041497499</v>
      </c>
      <c r="H110" s="14">
        <v>12714.284414486268</v>
      </c>
      <c r="I110" s="14">
        <v>13458.968164989868</v>
      </c>
      <c r="J110" s="14">
        <v>22979.690756550342</v>
      </c>
      <c r="K110" s="14">
        <v>33649.646649786533</v>
      </c>
      <c r="L110" s="14">
        <v>31894.463216238179</v>
      </c>
      <c r="M110" s="14">
        <v>27935.419984073644</v>
      </c>
      <c r="N110" s="14">
        <v>17733.535455142919</v>
      </c>
    </row>
    <row r="111" spans="1:14" x14ac:dyDescent="0.3">
      <c r="A111" s="3" t="str">
        <f>INDEX('R1. Scenario specifications'!$C$11:$C$49,MATCH($B111,'R1. Scenario specifications'!$A$11:$A$49,0))</f>
        <v>Current 1.5DS, 2020 start, 'Expect the Unexpected' but with most conservative biomass CCS / NET technology cost assumptions</v>
      </c>
      <c r="B111" s="3" t="s">
        <v>30</v>
      </c>
      <c r="C111" s="3" t="s">
        <v>52</v>
      </c>
      <c r="D111" s="14">
        <v>47506.40120156738</v>
      </c>
      <c r="E111" s="14">
        <v>51400.759098340677</v>
      </c>
      <c r="F111" s="14">
        <v>62205.547314401418</v>
      </c>
      <c r="G111" s="14">
        <v>32825.789452669662</v>
      </c>
      <c r="H111" s="14">
        <v>14336.579031378022</v>
      </c>
      <c r="I111" s="14">
        <v>4864.0242366856182</v>
      </c>
      <c r="J111" s="14">
        <v>1808.7734356356043</v>
      </c>
      <c r="K111" s="14">
        <v>1978.3116677504531</v>
      </c>
      <c r="L111" s="14">
        <v>1715.7994474598961</v>
      </c>
      <c r="M111" s="14">
        <v>1063.6170263016077</v>
      </c>
      <c r="N111" s="14">
        <v>889.92426480912798</v>
      </c>
    </row>
    <row r="112" spans="1:14" x14ac:dyDescent="0.3">
      <c r="A112" s="3" t="str">
        <f>INDEX('R1. Scenario specifications'!$C$11:$C$49,MATCH($B112,'R1. Scenario specifications'!$A$11:$A$49,0))</f>
        <v>Current 1.5DS, 2020 start, 'Expect the Unexpected' but with most conservative biomass CCS / NET technology cost assumptions</v>
      </c>
      <c r="B112" s="3" t="s">
        <v>30</v>
      </c>
      <c r="C112" s="3" t="s">
        <v>53</v>
      </c>
      <c r="D112" s="14">
        <v>703.55932605471685</v>
      </c>
      <c r="E112" s="14">
        <v>336.28891863781013</v>
      </c>
      <c r="F112" s="14">
        <v>879.49041101293551</v>
      </c>
      <c r="G112" s="14">
        <v>5534.021999788758</v>
      </c>
      <c r="H112" s="14">
        <v>7549.2968804015363</v>
      </c>
      <c r="I112" s="14">
        <v>8843.5956581826194</v>
      </c>
      <c r="J112" s="14">
        <v>12386.011872006404</v>
      </c>
      <c r="K112" s="14">
        <v>5941.1123541210327</v>
      </c>
      <c r="L112" s="14">
        <v>2994.3093055729946</v>
      </c>
      <c r="M112" s="14">
        <v>5098.6127452735946</v>
      </c>
      <c r="N112" s="14">
        <v>6488.3763728386357</v>
      </c>
    </row>
    <row r="113" spans="1:14" x14ac:dyDescent="0.3">
      <c r="A113" s="3" t="str">
        <f>INDEX('R1. Scenario specifications'!$C$11:$C$49,MATCH($B113,'R1. Scenario specifications'!$A$11:$A$49,0))</f>
        <v>Current 1.5DS, 2020 start, 'Expect the Unexpected' but with most conservative biomass CCS / NET technology cost assumptions</v>
      </c>
      <c r="B113" s="3" t="s">
        <v>30</v>
      </c>
      <c r="C113" s="3" t="s">
        <v>54</v>
      </c>
      <c r="D113" s="14">
        <v>396.62220438997127</v>
      </c>
      <c r="E113" s="14">
        <v>176.86416189251261</v>
      </c>
      <c r="F113" s="14">
        <v>1833.16729548234</v>
      </c>
      <c r="G113" s="14">
        <v>1222.2674083859936</v>
      </c>
      <c r="H113" s="14">
        <v>306.38820191954835</v>
      </c>
      <c r="I113" s="14">
        <v>690.17331251962446</v>
      </c>
      <c r="J113" s="14">
        <v>580.38410242500606</v>
      </c>
      <c r="K113" s="14">
        <v>624.30934131500703</v>
      </c>
      <c r="L113" s="14">
        <v>797.10992109234007</v>
      </c>
      <c r="M113" s="14">
        <v>933.83746181074707</v>
      </c>
      <c r="N113" s="14">
        <v>5515.579291492465</v>
      </c>
    </row>
    <row r="114" spans="1:14" x14ac:dyDescent="0.3">
      <c r="A114" s="3" t="str">
        <f>INDEX('R1. Scenario specifications'!$C$11:$C$49,MATCH($B114,'R1. Scenario specifications'!$A$11:$A$49,0))</f>
        <v>Current 1.5DS, 2030 start, 'Expect the Unexpected' but with most conservative biomass CCS / NET technology cost assumptions</v>
      </c>
      <c r="B114" s="3" t="s">
        <v>31</v>
      </c>
      <c r="C114" s="3" t="s">
        <v>51</v>
      </c>
      <c r="D114" s="14">
        <v>26912.591385085678</v>
      </c>
      <c r="E114" s="14">
        <v>24726.384098969917</v>
      </c>
      <c r="F114" s="14">
        <v>20023.092920446408</v>
      </c>
      <c r="G114" s="14">
        <v>26227.564065710481</v>
      </c>
      <c r="H114" s="14">
        <v>15500.07886796192</v>
      </c>
      <c r="I114" s="14">
        <v>7373.10571150131</v>
      </c>
      <c r="J114" s="14">
        <v>13709.903456644572</v>
      </c>
      <c r="K114" s="14">
        <v>35116.863425271622</v>
      </c>
      <c r="L114" s="14">
        <v>35591.106253666352</v>
      </c>
      <c r="M114" s="14">
        <v>36438.115153644816</v>
      </c>
      <c r="N114" s="14">
        <v>21717.929365071963</v>
      </c>
    </row>
    <row r="115" spans="1:14" x14ac:dyDescent="0.3">
      <c r="A115" s="3" t="str">
        <f>INDEX('R1. Scenario specifications'!$C$11:$C$49,MATCH($B115,'R1. Scenario specifications'!$A$11:$A$49,0))</f>
        <v>Current 1.5DS, 2030 start, 'Expect the Unexpected' but with most conservative biomass CCS / NET technology cost assumptions</v>
      </c>
      <c r="B115" s="3" t="s">
        <v>31</v>
      </c>
      <c r="C115" s="3" t="s">
        <v>52</v>
      </c>
      <c r="D115" s="14">
        <v>47506.40120156738</v>
      </c>
      <c r="E115" s="14">
        <v>51400.759098340677</v>
      </c>
      <c r="F115" s="14">
        <v>62205.547314401418</v>
      </c>
      <c r="G115" s="14">
        <v>44368.574800589129</v>
      </c>
      <c r="H115" s="14">
        <v>19437.114971254014</v>
      </c>
      <c r="I115" s="14">
        <v>8445.0293584257633</v>
      </c>
      <c r="J115" s="14">
        <v>4254.2106614528684</v>
      </c>
      <c r="K115" s="14">
        <v>5101.276528497322</v>
      </c>
      <c r="L115" s="14">
        <v>5100.1942197914714</v>
      </c>
      <c r="M115" s="14">
        <v>3614.94399434359</v>
      </c>
      <c r="N115" s="14">
        <v>3104.5250199131165</v>
      </c>
    </row>
    <row r="116" spans="1:14" x14ac:dyDescent="0.3">
      <c r="A116" s="3" t="str">
        <f>INDEX('R1. Scenario specifications'!$C$11:$C$49,MATCH($B116,'R1. Scenario specifications'!$A$11:$A$49,0))</f>
        <v>Current 1.5DS, 2030 start, 'Expect the Unexpected' but with most conservative biomass CCS / NET technology cost assumptions</v>
      </c>
      <c r="B116" s="3" t="s">
        <v>31</v>
      </c>
      <c r="C116" s="3" t="s">
        <v>53</v>
      </c>
      <c r="D116" s="14">
        <v>703.55932605471685</v>
      </c>
      <c r="E116" s="14">
        <v>336.28891863781013</v>
      </c>
      <c r="F116" s="14">
        <v>879.49041101293551</v>
      </c>
      <c r="G116" s="14">
        <v>1203.2907539892126</v>
      </c>
      <c r="H116" s="14">
        <v>7501.6253013455862</v>
      </c>
      <c r="I116" s="14">
        <v>12014.950041716233</v>
      </c>
      <c r="J116" s="14">
        <v>11132.434603921718</v>
      </c>
      <c r="K116" s="14">
        <v>4459.2512046199399</v>
      </c>
      <c r="L116" s="14">
        <v>1355.7029085798167</v>
      </c>
      <c r="M116" s="14">
        <v>1920.028684907204</v>
      </c>
      <c r="N116" s="14">
        <v>1045.9013565881653</v>
      </c>
    </row>
    <row r="117" spans="1:14" x14ac:dyDescent="0.3">
      <c r="A117" s="3" t="str">
        <f>INDEX('R1. Scenario specifications'!$C$11:$C$49,MATCH($B117,'R1. Scenario specifications'!$A$11:$A$49,0))</f>
        <v>Current 1.5DS, 2030 start, 'Expect the Unexpected' but with most conservative biomass CCS / NET technology cost assumptions</v>
      </c>
      <c r="B117" s="3" t="s">
        <v>31</v>
      </c>
      <c r="C117" s="3" t="s">
        <v>54</v>
      </c>
      <c r="D117" s="14">
        <v>396.62220438997127</v>
      </c>
      <c r="E117" s="14">
        <v>176.86416189251261</v>
      </c>
      <c r="F117" s="14">
        <v>1833.16729548234</v>
      </c>
      <c r="G117" s="14">
        <v>5667.8396467895318</v>
      </c>
      <c r="H117" s="14">
        <v>2744.2543602968676</v>
      </c>
      <c r="I117" s="14">
        <v>944.96480481944332</v>
      </c>
      <c r="J117" s="14">
        <v>488.04128494708891</v>
      </c>
      <c r="K117" s="14">
        <v>6505.501973160669</v>
      </c>
      <c r="L117" s="14">
        <v>9259.9283841259803</v>
      </c>
      <c r="M117" s="14">
        <v>7366.069109509006</v>
      </c>
      <c r="N117" s="14">
        <v>8743.3396325790618</v>
      </c>
    </row>
    <row r="118" spans="1:14" x14ac:dyDescent="0.3">
      <c r="A118" s="3" t="str">
        <f>INDEX('R1. Scenario specifications'!$C$11:$C$49,MATCH($B118,'R1. Scenario specifications'!$A$11:$A$49,0))</f>
        <v>Current 1.75DS, 2020 start, 'Expect the Unexpected'</v>
      </c>
      <c r="B118" s="3" t="s">
        <v>32</v>
      </c>
      <c r="C118" s="3" t="s">
        <v>51</v>
      </c>
      <c r="D118" s="14">
        <v>26912.591385085678</v>
      </c>
      <c r="E118" s="14">
        <v>24726.384098969917</v>
      </c>
      <c r="F118" s="14">
        <v>20023.092920446408</v>
      </c>
      <c r="G118" s="14">
        <v>25608.822442657802</v>
      </c>
      <c r="H118" s="14">
        <v>43089.555106222237</v>
      </c>
      <c r="I118" s="14">
        <v>31022.74646031842</v>
      </c>
      <c r="J118" s="14">
        <v>31624.063317894354</v>
      </c>
      <c r="K118" s="14">
        <v>32420.904265161491</v>
      </c>
      <c r="L118" s="14">
        <v>27847.649820516323</v>
      </c>
      <c r="M118" s="14">
        <v>22494.676425234549</v>
      </c>
      <c r="N118" s="14">
        <v>12374.312617410655</v>
      </c>
    </row>
    <row r="119" spans="1:14" x14ac:dyDescent="0.3">
      <c r="A119" s="3" t="str">
        <f>INDEX('R1. Scenario specifications'!$C$11:$C$49,MATCH($B119,'R1. Scenario specifications'!$A$11:$A$49,0))</f>
        <v>Current 1.75DS, 2020 start, 'Expect the Unexpected'</v>
      </c>
      <c r="B119" s="3" t="s">
        <v>32</v>
      </c>
      <c r="C119" s="3" t="s">
        <v>52</v>
      </c>
      <c r="D119" s="14">
        <v>47506.40120156738</v>
      </c>
      <c r="E119" s="14">
        <v>51400.759098340677</v>
      </c>
      <c r="F119" s="14">
        <v>62205.547314401418</v>
      </c>
      <c r="G119" s="14">
        <v>40576.983455799018</v>
      </c>
      <c r="H119" s="14">
        <v>12445.193467390212</v>
      </c>
      <c r="I119" s="14">
        <v>9427.7088493978808</v>
      </c>
      <c r="J119" s="14">
        <v>4464.253793976588</v>
      </c>
      <c r="K119" s="14">
        <v>1690.2327781705378</v>
      </c>
      <c r="L119" s="14">
        <v>1061.5025470474295</v>
      </c>
      <c r="M119" s="14">
        <v>930.24275249204959</v>
      </c>
      <c r="N119" s="14">
        <v>867.40189020230594</v>
      </c>
    </row>
    <row r="120" spans="1:14" x14ac:dyDescent="0.3">
      <c r="A120" s="3" t="str">
        <f>INDEX('R1. Scenario specifications'!$C$11:$C$49,MATCH($B120,'R1. Scenario specifications'!$A$11:$A$49,0))</f>
        <v>Current 1.75DS, 2020 start, 'Expect the Unexpected'</v>
      </c>
      <c r="B120" s="3" t="s">
        <v>32</v>
      </c>
      <c r="C120" s="3" t="s">
        <v>53</v>
      </c>
      <c r="D120" s="14">
        <v>703.55932605471685</v>
      </c>
      <c r="E120" s="14">
        <v>336.28891863781013</v>
      </c>
      <c r="F120" s="14">
        <v>879.49041101293551</v>
      </c>
      <c r="G120" s="14">
        <v>1223.6964136737179</v>
      </c>
      <c r="H120" s="14">
        <v>1155.9240428758874</v>
      </c>
      <c r="I120" s="14">
        <v>923.78792596646235</v>
      </c>
      <c r="J120" s="14">
        <v>1143.9183524122298</v>
      </c>
      <c r="K120" s="14">
        <v>3888.9587664956043</v>
      </c>
      <c r="L120" s="14">
        <v>5494.7889729236558</v>
      </c>
      <c r="M120" s="14">
        <v>10424.656854532572</v>
      </c>
      <c r="N120" s="14">
        <v>12496.579108270429</v>
      </c>
    </row>
    <row r="121" spans="1:14" x14ac:dyDescent="0.3">
      <c r="A121" s="3" t="str">
        <f>INDEX('R1. Scenario specifications'!$C$11:$C$49,MATCH($B121,'R1. Scenario specifications'!$A$11:$A$49,0))</f>
        <v>Current 1.75DS, 2020 start, 'Expect the Unexpected'</v>
      </c>
      <c r="B121" s="3" t="s">
        <v>32</v>
      </c>
      <c r="C121" s="3" t="s">
        <v>54</v>
      </c>
      <c r="D121" s="14">
        <v>396.62220438997127</v>
      </c>
      <c r="E121" s="14">
        <v>176.86416189251261</v>
      </c>
      <c r="F121" s="14">
        <v>1833.16729548234</v>
      </c>
      <c r="G121" s="14">
        <v>4105.6831496768718</v>
      </c>
      <c r="H121" s="14">
        <v>5406.5726238454909</v>
      </c>
      <c r="I121" s="14">
        <v>9182.1538890326774</v>
      </c>
      <c r="J121" s="14">
        <v>5604.4984440372127</v>
      </c>
      <c r="K121" s="14">
        <v>1258.6837095014271</v>
      </c>
      <c r="L121" s="14">
        <v>693.16007013943397</v>
      </c>
      <c r="M121" s="14">
        <v>764.938068905725</v>
      </c>
      <c r="N121" s="14">
        <v>5104.7233701131618</v>
      </c>
    </row>
    <row r="122" spans="1:14" x14ac:dyDescent="0.3">
      <c r="A122" s="3" t="str">
        <f>INDEX('R1. Scenario specifications'!$C$11:$C$49,MATCH($B122,'R1. Scenario specifications'!$A$11:$A$49,0))</f>
        <v>Current 1.75DS, 2030 start, 'Expect the Unexpected'</v>
      </c>
      <c r="B122" s="3" t="s">
        <v>33</v>
      </c>
      <c r="C122" s="3" t="s">
        <v>51</v>
      </c>
      <c r="D122" s="14">
        <v>26912.591385085678</v>
      </c>
      <c r="E122" s="14">
        <v>24726.384098969917</v>
      </c>
      <c r="F122" s="14">
        <v>20023.092920446408</v>
      </c>
      <c r="G122" s="14">
        <v>26227.564065710481</v>
      </c>
      <c r="H122" s="14">
        <v>44987.470385932087</v>
      </c>
      <c r="I122" s="14">
        <v>26342.09763145219</v>
      </c>
      <c r="J122" s="14">
        <v>22642.138409391588</v>
      </c>
      <c r="K122" s="14">
        <v>32645.67178642724</v>
      </c>
      <c r="L122" s="14">
        <v>29855.503893621499</v>
      </c>
      <c r="M122" s="14">
        <v>23149.280108186653</v>
      </c>
      <c r="N122" s="14">
        <v>13908.909146756332</v>
      </c>
    </row>
    <row r="123" spans="1:14" x14ac:dyDescent="0.3">
      <c r="A123" s="3" t="str">
        <f>INDEX('R1. Scenario specifications'!$C$11:$C$49,MATCH($B123,'R1. Scenario specifications'!$A$11:$A$49,0))</f>
        <v>Current 1.75DS, 2030 start, 'Expect the Unexpected'</v>
      </c>
      <c r="B123" s="3" t="s">
        <v>33</v>
      </c>
      <c r="C123" s="3" t="s">
        <v>52</v>
      </c>
      <c r="D123" s="14">
        <v>47506.40120156738</v>
      </c>
      <c r="E123" s="14">
        <v>51400.759098340677</v>
      </c>
      <c r="F123" s="14">
        <v>62205.547314401418</v>
      </c>
      <c r="G123" s="14">
        <v>44368.574800589129</v>
      </c>
      <c r="H123" s="14">
        <v>13327.910201472389</v>
      </c>
      <c r="I123" s="14">
        <v>9098.5851448080157</v>
      </c>
      <c r="J123" s="14">
        <v>3649.5864956856576</v>
      </c>
      <c r="K123" s="14">
        <v>2099.9301942314178</v>
      </c>
      <c r="L123" s="14">
        <v>1560.3582012178824</v>
      </c>
      <c r="M123" s="14">
        <v>949.62878303203252</v>
      </c>
      <c r="N123" s="14">
        <v>868.70467624524815</v>
      </c>
    </row>
    <row r="124" spans="1:14" x14ac:dyDescent="0.3">
      <c r="A124" s="3" t="str">
        <f>INDEX('R1. Scenario specifications'!$C$11:$C$49,MATCH($B124,'R1. Scenario specifications'!$A$11:$A$49,0))</f>
        <v>Current 1.75DS, 2030 start, 'Expect the Unexpected'</v>
      </c>
      <c r="B124" s="3" t="s">
        <v>33</v>
      </c>
      <c r="C124" s="3" t="s">
        <v>53</v>
      </c>
      <c r="D124" s="14">
        <v>703.55932605471685</v>
      </c>
      <c r="E124" s="14">
        <v>336.28891863781013</v>
      </c>
      <c r="F124" s="14">
        <v>879.49041101293551</v>
      </c>
      <c r="G124" s="14">
        <v>1203.2907539892126</v>
      </c>
      <c r="H124" s="14">
        <v>1208.2904944277223</v>
      </c>
      <c r="I124" s="14">
        <v>6232.5163150146836</v>
      </c>
      <c r="J124" s="14">
        <v>11872.975521594264</v>
      </c>
      <c r="K124" s="14">
        <v>6967.6267573279583</v>
      </c>
      <c r="L124" s="14">
        <v>4856.1735122786686</v>
      </c>
      <c r="M124" s="14">
        <v>10038.079517979841</v>
      </c>
      <c r="N124" s="14">
        <v>10850.867741471409</v>
      </c>
    </row>
    <row r="125" spans="1:14" x14ac:dyDescent="0.3">
      <c r="A125" s="3" t="str">
        <f>INDEX('R1. Scenario specifications'!$C$11:$C$49,MATCH($B125,'R1. Scenario specifications'!$A$11:$A$49,0))</f>
        <v>Current 1.75DS, 2030 start, 'Expect the Unexpected'</v>
      </c>
      <c r="B125" s="3" t="s">
        <v>33</v>
      </c>
      <c r="C125" s="3" t="s">
        <v>54</v>
      </c>
      <c r="D125" s="14">
        <v>396.62220438997127</v>
      </c>
      <c r="E125" s="14">
        <v>176.86416189251261</v>
      </c>
      <c r="F125" s="14">
        <v>1833.16729548234</v>
      </c>
      <c r="G125" s="14">
        <v>5667.8396467895318</v>
      </c>
      <c r="H125" s="14">
        <v>4110.7298282168831</v>
      </c>
      <c r="I125" s="14">
        <v>2099.7233326958094</v>
      </c>
      <c r="J125" s="14">
        <v>880.39143101349237</v>
      </c>
      <c r="K125" s="14">
        <v>661.44760776537191</v>
      </c>
      <c r="L125" s="14">
        <v>765.37605117369299</v>
      </c>
      <c r="M125" s="14">
        <v>814.84381185114989</v>
      </c>
      <c r="N125" s="14">
        <v>5175.7891647637807</v>
      </c>
    </row>
    <row r="126" spans="1:14" x14ac:dyDescent="0.3">
      <c r="A126" s="3" t="str">
        <f>INDEX('R1. Scenario specifications'!$C$11:$C$49,MATCH($B126,'R1. Scenario specifications'!$A$11:$A$49,0))</f>
        <v>Current 1.75DS, 2020 start, 'Expect the Unexpected' but with cheap renewables</v>
      </c>
      <c r="B126" s="3" t="s">
        <v>34</v>
      </c>
      <c r="C126" s="3" t="s">
        <v>51</v>
      </c>
      <c r="D126" s="14">
        <v>26912.591385085678</v>
      </c>
      <c r="E126" s="14">
        <v>24726.384098969917</v>
      </c>
      <c r="F126" s="14">
        <v>20023.092920446408</v>
      </c>
      <c r="G126" s="14">
        <v>25688.973621706322</v>
      </c>
      <c r="H126" s="14">
        <v>43047.804237256605</v>
      </c>
      <c r="I126" s="14">
        <v>29107.762973906367</v>
      </c>
      <c r="J126" s="14">
        <v>29710.521040567612</v>
      </c>
      <c r="K126" s="14">
        <v>31608.537327362741</v>
      </c>
      <c r="L126" s="14">
        <v>27897.051835648628</v>
      </c>
      <c r="M126" s="14">
        <v>22376.959429513099</v>
      </c>
      <c r="N126" s="14">
        <v>12345.628485967316</v>
      </c>
    </row>
    <row r="127" spans="1:14" x14ac:dyDescent="0.3">
      <c r="A127" s="3" t="str">
        <f>INDEX('R1. Scenario specifications'!$C$11:$C$49,MATCH($B127,'R1. Scenario specifications'!$A$11:$A$49,0))</f>
        <v>Current 1.75DS, 2020 start, 'Expect the Unexpected' but with cheap renewables</v>
      </c>
      <c r="B127" s="3" t="s">
        <v>34</v>
      </c>
      <c r="C127" s="3" t="s">
        <v>52</v>
      </c>
      <c r="D127" s="14">
        <v>47506.40120156738</v>
      </c>
      <c r="E127" s="14">
        <v>51400.759098340677</v>
      </c>
      <c r="F127" s="14">
        <v>62205.547314401418</v>
      </c>
      <c r="G127" s="14">
        <v>40441.551230196361</v>
      </c>
      <c r="H127" s="14">
        <v>12608.979001645224</v>
      </c>
      <c r="I127" s="14">
        <v>10229.865776570135</v>
      </c>
      <c r="J127" s="14">
        <v>4845.1950186512786</v>
      </c>
      <c r="K127" s="14">
        <v>1679.5898507083277</v>
      </c>
      <c r="L127" s="14">
        <v>1062.0841087588153</v>
      </c>
      <c r="M127" s="14">
        <v>943.94638553527454</v>
      </c>
      <c r="N127" s="14">
        <v>868.70467624524815</v>
      </c>
    </row>
    <row r="128" spans="1:14" x14ac:dyDescent="0.3">
      <c r="A128" s="3" t="str">
        <f>INDEX('R1. Scenario specifications'!$C$11:$C$49,MATCH($B128,'R1. Scenario specifications'!$A$11:$A$49,0))</f>
        <v>Current 1.75DS, 2020 start, 'Expect the Unexpected' but with cheap renewables</v>
      </c>
      <c r="B128" s="3" t="s">
        <v>34</v>
      </c>
      <c r="C128" s="3" t="s">
        <v>53</v>
      </c>
      <c r="D128" s="14">
        <v>703.55932605471685</v>
      </c>
      <c r="E128" s="14">
        <v>336.28891863781013</v>
      </c>
      <c r="F128" s="14">
        <v>879.49041101293551</v>
      </c>
      <c r="G128" s="14">
        <v>1223.6536023339213</v>
      </c>
      <c r="H128" s="14">
        <v>1155.924042875954</v>
      </c>
      <c r="I128" s="14">
        <v>911.00455669309042</v>
      </c>
      <c r="J128" s="14">
        <v>1143.9183524122127</v>
      </c>
      <c r="K128" s="14">
        <v>3301.7968716050955</v>
      </c>
      <c r="L128" s="14">
        <v>5158.560333339864</v>
      </c>
      <c r="M128" s="14">
        <v>10552.456379034807</v>
      </c>
      <c r="N128" s="14">
        <v>12577.025990045095</v>
      </c>
    </row>
    <row r="129" spans="1:14" x14ac:dyDescent="0.3">
      <c r="A129" s="3" t="str">
        <f>INDEX('R1. Scenario specifications'!$C$11:$C$49,MATCH($B129,'R1. Scenario specifications'!$A$11:$A$49,0))</f>
        <v>Current 1.75DS, 2020 start, 'Expect the Unexpected' but with cheap renewables</v>
      </c>
      <c r="B129" s="3" t="s">
        <v>34</v>
      </c>
      <c r="C129" s="3" t="s">
        <v>54</v>
      </c>
      <c r="D129" s="14">
        <v>396.62220438997127</v>
      </c>
      <c r="E129" s="14">
        <v>176.86416189251261</v>
      </c>
      <c r="F129" s="14">
        <v>1833.16729548234</v>
      </c>
      <c r="G129" s="14">
        <v>4179.5536782280151</v>
      </c>
      <c r="H129" s="14">
        <v>5275.1871324905369</v>
      </c>
      <c r="I129" s="14">
        <v>8956.6619231816694</v>
      </c>
      <c r="J129" s="14">
        <v>5468.672774992745</v>
      </c>
      <c r="K129" s="14">
        <v>1249.764236857432</v>
      </c>
      <c r="L129" s="14">
        <v>692.97640831441004</v>
      </c>
      <c r="M129" s="14">
        <v>791.71835312593294</v>
      </c>
      <c r="N129" s="14">
        <v>5100.414127207835</v>
      </c>
    </row>
    <row r="130" spans="1:14" x14ac:dyDescent="0.3">
      <c r="A130" s="3" t="str">
        <f>INDEX('R1. Scenario specifications'!$C$11:$C$49,MATCH($B130,'R1. Scenario specifications'!$A$11:$A$49,0))</f>
        <v>Current 1.75DS, 2030 start, 'Expect the Unexpected' but with cheap renewables</v>
      </c>
      <c r="B130" s="3" t="s">
        <v>35</v>
      </c>
      <c r="C130" s="3" t="s">
        <v>51</v>
      </c>
      <c r="D130" s="14">
        <v>26912.591385085678</v>
      </c>
      <c r="E130" s="14">
        <v>24726.384098969917</v>
      </c>
      <c r="F130" s="14">
        <v>20023.092920446408</v>
      </c>
      <c r="G130" s="14">
        <v>26227.564065710481</v>
      </c>
      <c r="H130" s="14">
        <v>44513.421906596748</v>
      </c>
      <c r="I130" s="14">
        <v>27159.240051850338</v>
      </c>
      <c r="J130" s="14">
        <v>23137.996228834621</v>
      </c>
      <c r="K130" s="14">
        <v>32738.59324622804</v>
      </c>
      <c r="L130" s="14">
        <v>29864.194988139519</v>
      </c>
      <c r="M130" s="14">
        <v>23175.457482174119</v>
      </c>
      <c r="N130" s="14">
        <v>13933.058803896532</v>
      </c>
    </row>
    <row r="131" spans="1:14" x14ac:dyDescent="0.3">
      <c r="A131" s="3" t="str">
        <f>INDEX('R1. Scenario specifications'!$C$11:$C$49,MATCH($B131,'R1. Scenario specifications'!$A$11:$A$49,0))</f>
        <v>Current 1.75DS, 2030 start, 'Expect the Unexpected' but with cheap renewables</v>
      </c>
      <c r="B131" s="3" t="s">
        <v>35</v>
      </c>
      <c r="C131" s="3" t="s">
        <v>52</v>
      </c>
      <c r="D131" s="14">
        <v>47506.40120156738</v>
      </c>
      <c r="E131" s="14">
        <v>51400.759098340677</v>
      </c>
      <c r="F131" s="14">
        <v>62205.547314401418</v>
      </c>
      <c r="G131" s="14">
        <v>44368.574800589129</v>
      </c>
      <c r="H131" s="14">
        <v>13327.910201472389</v>
      </c>
      <c r="I131" s="14">
        <v>9533.5158738807295</v>
      </c>
      <c r="J131" s="14">
        <v>3796.8753122066205</v>
      </c>
      <c r="K131" s="14">
        <v>2099.9301942314155</v>
      </c>
      <c r="L131" s="14">
        <v>1559.8139536444735</v>
      </c>
      <c r="M131" s="14">
        <v>959.13414770629231</v>
      </c>
      <c r="N131" s="14">
        <v>868.70467624524815</v>
      </c>
    </row>
    <row r="132" spans="1:14" x14ac:dyDescent="0.3">
      <c r="A132" s="3" t="str">
        <f>INDEX('R1. Scenario specifications'!$C$11:$C$49,MATCH($B132,'R1. Scenario specifications'!$A$11:$A$49,0))</f>
        <v>Current 1.75DS, 2030 start, 'Expect the Unexpected' but with cheap renewables</v>
      </c>
      <c r="B132" s="3" t="s">
        <v>35</v>
      </c>
      <c r="C132" s="3" t="s">
        <v>53</v>
      </c>
      <c r="D132" s="14">
        <v>703.55932605471685</v>
      </c>
      <c r="E132" s="14">
        <v>336.28891863781013</v>
      </c>
      <c r="F132" s="14">
        <v>879.49041101293551</v>
      </c>
      <c r="G132" s="14">
        <v>1203.2907539892126</v>
      </c>
      <c r="H132" s="14">
        <v>1183.8749023999912</v>
      </c>
      <c r="I132" s="14">
        <v>5029.619588119961</v>
      </c>
      <c r="J132" s="14">
        <v>11192.550062807462</v>
      </c>
      <c r="K132" s="14">
        <v>6966.6310054843216</v>
      </c>
      <c r="L132" s="14">
        <v>4911.3483306474445</v>
      </c>
      <c r="M132" s="14">
        <v>10177.295257287118</v>
      </c>
      <c r="N132" s="14">
        <v>10866.021838145918</v>
      </c>
    </row>
    <row r="133" spans="1:14" x14ac:dyDescent="0.3">
      <c r="A133" s="3" t="str">
        <f>INDEX('R1. Scenario specifications'!$C$11:$C$49,MATCH($B133,'R1. Scenario specifications'!$A$11:$A$49,0))</f>
        <v>Current 1.75DS, 2030 start, 'Expect the Unexpected' but with cheap renewables</v>
      </c>
      <c r="B133" s="3" t="s">
        <v>35</v>
      </c>
      <c r="C133" s="3" t="s">
        <v>54</v>
      </c>
      <c r="D133" s="14">
        <v>396.62220438997127</v>
      </c>
      <c r="E133" s="14">
        <v>176.86416189251261</v>
      </c>
      <c r="F133" s="14">
        <v>1833.16729548234</v>
      </c>
      <c r="G133" s="14">
        <v>5667.8396467895318</v>
      </c>
      <c r="H133" s="14">
        <v>4556.1364156653754</v>
      </c>
      <c r="I133" s="14">
        <v>2339.8926804942034</v>
      </c>
      <c r="J133" s="14">
        <v>875.50896946128012</v>
      </c>
      <c r="K133" s="14">
        <v>656.56865735835186</v>
      </c>
      <c r="L133" s="14">
        <v>762.28471190375512</v>
      </c>
      <c r="M133" s="14">
        <v>814.53575455754003</v>
      </c>
      <c r="N133" s="14">
        <v>5166.5174746919329</v>
      </c>
    </row>
    <row r="134" spans="1:14" x14ac:dyDescent="0.3">
      <c r="A134" s="3" t="str">
        <f>INDEX('R1. Scenario specifications'!$C$11:$C$49,MATCH($B134,'R1. Scenario specifications'!$A$11:$A$49,0))</f>
        <v>Current 1.75DS, 2020 start, 'Expect the Unexpected' but with cheap CCS</v>
      </c>
      <c r="B134" s="3" t="s">
        <v>36</v>
      </c>
      <c r="C134" s="3" t="s">
        <v>51</v>
      </c>
      <c r="D134" s="14">
        <v>26912.591385085678</v>
      </c>
      <c r="E134" s="14">
        <v>24726.384098969917</v>
      </c>
      <c r="F134" s="14">
        <v>20023.092920446408</v>
      </c>
      <c r="G134" s="14">
        <v>25608.822442657776</v>
      </c>
      <c r="H134" s="14">
        <v>43089.555106227373</v>
      </c>
      <c r="I134" s="14">
        <v>31022.74646032149</v>
      </c>
      <c r="J134" s="14">
        <v>31624.063317896158</v>
      </c>
      <c r="K134" s="14">
        <v>32420.904265162666</v>
      </c>
      <c r="L134" s="14">
        <v>27847.649820522591</v>
      </c>
      <c r="M134" s="14">
        <v>22494.676425239035</v>
      </c>
      <c r="N134" s="14">
        <v>12374.312617413188</v>
      </c>
    </row>
    <row r="135" spans="1:14" x14ac:dyDescent="0.3">
      <c r="A135" s="3" t="str">
        <f>INDEX('R1. Scenario specifications'!$C$11:$C$49,MATCH($B135,'R1. Scenario specifications'!$A$11:$A$49,0))</f>
        <v>Current 1.75DS, 2020 start, 'Expect the Unexpected' but with cheap CCS</v>
      </c>
      <c r="B135" s="3" t="s">
        <v>36</v>
      </c>
      <c r="C135" s="3" t="s">
        <v>52</v>
      </c>
      <c r="D135" s="14">
        <v>47506.40120156738</v>
      </c>
      <c r="E135" s="14">
        <v>51400.759098340677</v>
      </c>
      <c r="F135" s="14">
        <v>62205.547314401418</v>
      </c>
      <c r="G135" s="14">
        <v>40576.983455799018</v>
      </c>
      <c r="H135" s="14">
        <v>12445.193467390212</v>
      </c>
      <c r="I135" s="14">
        <v>9427.7088493978808</v>
      </c>
      <c r="J135" s="14">
        <v>4464.253793976588</v>
      </c>
      <c r="K135" s="14">
        <v>1690.2327781705394</v>
      </c>
      <c r="L135" s="14">
        <v>1061.5025470474302</v>
      </c>
      <c r="M135" s="14">
        <v>930.24275249204959</v>
      </c>
      <c r="N135" s="14">
        <v>867.40189020230594</v>
      </c>
    </row>
    <row r="136" spans="1:14" x14ac:dyDescent="0.3">
      <c r="A136" s="3" t="str">
        <f>INDEX('R1. Scenario specifications'!$C$11:$C$49,MATCH($B136,'R1. Scenario specifications'!$A$11:$A$49,0))</f>
        <v>Current 1.75DS, 2020 start, 'Expect the Unexpected' but with cheap CCS</v>
      </c>
      <c r="B136" s="3" t="s">
        <v>36</v>
      </c>
      <c r="C136" s="3" t="s">
        <v>53</v>
      </c>
      <c r="D136" s="14">
        <v>703.55932605471685</v>
      </c>
      <c r="E136" s="14">
        <v>336.28891863781013</v>
      </c>
      <c r="F136" s="14">
        <v>879.49041101293551</v>
      </c>
      <c r="G136" s="14">
        <v>1223.6964136737433</v>
      </c>
      <c r="H136" s="14">
        <v>1155.9240428758733</v>
      </c>
      <c r="I136" s="14">
        <v>923.78792596644689</v>
      </c>
      <c r="J136" s="14">
        <v>1143.9183524122077</v>
      </c>
      <c r="K136" s="14">
        <v>3888.9587664942474</v>
      </c>
      <c r="L136" s="14">
        <v>5494.7889729169729</v>
      </c>
      <c r="M136" s="14">
        <v>10424.656854528022</v>
      </c>
      <c r="N136" s="14">
        <v>12496.579108267721</v>
      </c>
    </row>
    <row r="137" spans="1:14" x14ac:dyDescent="0.3">
      <c r="A137" s="3" t="str">
        <f>INDEX('R1. Scenario specifications'!$C$11:$C$49,MATCH($B137,'R1. Scenario specifications'!$A$11:$A$49,0))</f>
        <v>Current 1.75DS, 2020 start, 'Expect the Unexpected' but with cheap CCS</v>
      </c>
      <c r="B137" s="3" t="s">
        <v>36</v>
      </c>
      <c r="C137" s="3" t="s">
        <v>54</v>
      </c>
      <c r="D137" s="14">
        <v>396.62220438997127</v>
      </c>
      <c r="E137" s="14">
        <v>176.86416189251261</v>
      </c>
      <c r="F137" s="14">
        <v>1833.16729548234</v>
      </c>
      <c r="G137" s="14">
        <v>4105.6831496768809</v>
      </c>
      <c r="H137" s="14">
        <v>5406.5726238454954</v>
      </c>
      <c r="I137" s="14">
        <v>9182.1538890466363</v>
      </c>
      <c r="J137" s="14">
        <v>5604.4984440443131</v>
      </c>
      <c r="K137" s="14">
        <v>1258.6837095009889</v>
      </c>
      <c r="L137" s="14">
        <v>693.16007013936303</v>
      </c>
      <c r="M137" s="14">
        <v>764.93806890569203</v>
      </c>
      <c r="N137" s="14">
        <v>5104.7233701129862</v>
      </c>
    </row>
    <row r="138" spans="1:14" x14ac:dyDescent="0.3">
      <c r="A138" s="3" t="str">
        <f>INDEX('R1. Scenario specifications'!$C$11:$C$49,MATCH($B138,'R1. Scenario specifications'!$A$11:$A$49,0))</f>
        <v>Current 2DS, 2020 start, 'Expect the Unexpected' but with cheap renewables</v>
      </c>
      <c r="B138" s="3" t="s">
        <v>37</v>
      </c>
      <c r="C138" s="3" t="s">
        <v>51</v>
      </c>
      <c r="D138" s="14">
        <v>26912.591385085678</v>
      </c>
      <c r="E138" s="14">
        <v>24726.384098969917</v>
      </c>
      <c r="F138" s="14">
        <v>20023.092920446408</v>
      </c>
      <c r="G138" s="14">
        <v>25593.243354719281</v>
      </c>
      <c r="H138" s="14">
        <v>43026.94330587663</v>
      </c>
      <c r="I138" s="14">
        <v>24234.265509867942</v>
      </c>
      <c r="J138" s="14">
        <v>26376.509428754314</v>
      </c>
      <c r="K138" s="14">
        <v>29184.594748387361</v>
      </c>
      <c r="L138" s="14">
        <v>30124.043024151659</v>
      </c>
      <c r="M138" s="14">
        <v>27719.862116137527</v>
      </c>
      <c r="N138" s="14">
        <v>19375.875395756997</v>
      </c>
    </row>
    <row r="139" spans="1:14" x14ac:dyDescent="0.3">
      <c r="A139" s="3" t="str">
        <f>INDEX('R1. Scenario specifications'!$C$11:$C$49,MATCH($B139,'R1. Scenario specifications'!$A$11:$A$49,0))</f>
        <v>Current 2DS, 2020 start, 'Expect the Unexpected' but with cheap renewables</v>
      </c>
      <c r="B139" s="3" t="s">
        <v>37</v>
      </c>
      <c r="C139" s="3" t="s">
        <v>52</v>
      </c>
      <c r="D139" s="14">
        <v>47506.40120156738</v>
      </c>
      <c r="E139" s="14">
        <v>51400.759098340677</v>
      </c>
      <c r="F139" s="14">
        <v>62205.547314401418</v>
      </c>
      <c r="G139" s="14">
        <v>43651.512314039392</v>
      </c>
      <c r="H139" s="14">
        <v>13550.536108178343</v>
      </c>
      <c r="I139" s="14">
        <v>12569.006799676197</v>
      </c>
      <c r="J139" s="14">
        <v>6760.8110641265821</v>
      </c>
      <c r="K139" s="14">
        <v>3229.5050604132553</v>
      </c>
      <c r="L139" s="14">
        <v>1658.1382930629447</v>
      </c>
      <c r="M139" s="14">
        <v>1067.5989052527252</v>
      </c>
      <c r="N139" s="14">
        <v>911.86870663250238</v>
      </c>
    </row>
    <row r="140" spans="1:14" x14ac:dyDescent="0.3">
      <c r="A140" s="3" t="str">
        <f>INDEX('R1. Scenario specifications'!$C$11:$C$49,MATCH($B140,'R1. Scenario specifications'!$A$11:$A$49,0))</f>
        <v>Current 2DS, 2020 start, 'Expect the Unexpected' but with cheap renewables</v>
      </c>
      <c r="B140" s="3" t="s">
        <v>37</v>
      </c>
      <c r="C140" s="3" t="s">
        <v>53</v>
      </c>
      <c r="D140" s="14">
        <v>703.55932605471685</v>
      </c>
      <c r="E140" s="14">
        <v>336.28891863781013</v>
      </c>
      <c r="F140" s="14">
        <v>879.49041101293551</v>
      </c>
      <c r="G140" s="14">
        <v>1203.3197528895837</v>
      </c>
      <c r="H140" s="14">
        <v>1154.7332284508955</v>
      </c>
      <c r="I140" s="14">
        <v>804.28721101099757</v>
      </c>
      <c r="J140" s="14">
        <v>1159.9365409140394</v>
      </c>
      <c r="K140" s="14">
        <v>1293.1715690656665</v>
      </c>
      <c r="L140" s="14">
        <v>1265.3672981158682</v>
      </c>
      <c r="M140" s="14">
        <v>4094.7259575308008</v>
      </c>
      <c r="N140" s="14">
        <v>4751.2053862620623</v>
      </c>
    </row>
    <row r="141" spans="1:14" x14ac:dyDescent="0.3">
      <c r="A141" s="3" t="str">
        <f>INDEX('R1. Scenario specifications'!$C$11:$C$49,MATCH($B141,'R1. Scenario specifications'!$A$11:$A$49,0))</f>
        <v>Current 2DS, 2020 start, 'Expect the Unexpected' but with cheap renewables</v>
      </c>
      <c r="B141" s="3" t="s">
        <v>37</v>
      </c>
      <c r="C141" s="3" t="s">
        <v>54</v>
      </c>
      <c r="D141" s="14">
        <v>396.62220438997127</v>
      </c>
      <c r="E141" s="14">
        <v>176.86416189251261</v>
      </c>
      <c r="F141" s="14">
        <v>1833.16729548234</v>
      </c>
      <c r="G141" s="14">
        <v>4773.949391003448</v>
      </c>
      <c r="H141" s="14">
        <v>9406.4053314324265</v>
      </c>
      <c r="I141" s="14">
        <v>16898.903452697905</v>
      </c>
      <c r="J141" s="14">
        <v>11284.761958758581</v>
      </c>
      <c r="K141" s="14">
        <v>3707.0508685137174</v>
      </c>
      <c r="L141" s="14">
        <v>1302.4048698888978</v>
      </c>
      <c r="M141" s="14">
        <v>933.95213887335706</v>
      </c>
      <c r="N141" s="14">
        <v>5746.5040910892076</v>
      </c>
    </row>
    <row r="142" spans="1:14" x14ac:dyDescent="0.3">
      <c r="A142" s="3" t="str">
        <f>INDEX('R1. Scenario specifications'!$C$11:$C$49,MATCH($B142,'R1. Scenario specifications'!$A$11:$A$49,0))</f>
        <v>Current 1.75DS, 2030 start, 'Expect the Unexpected' but with cheap CCS</v>
      </c>
      <c r="B142" s="3" t="s">
        <v>38</v>
      </c>
      <c r="C142" s="3" t="s">
        <v>51</v>
      </c>
      <c r="D142" s="14">
        <v>26912.591385085678</v>
      </c>
      <c r="E142" s="14">
        <v>24726.384098969917</v>
      </c>
      <c r="F142" s="14">
        <v>20023.092920446408</v>
      </c>
      <c r="G142" s="14">
        <v>26227.564065710481</v>
      </c>
      <c r="H142" s="14">
        <v>44987.470387572495</v>
      </c>
      <c r="I142" s="14">
        <v>26342.097631203629</v>
      </c>
      <c r="J142" s="14">
        <v>22642.138409390016</v>
      </c>
      <c r="K142" s="14">
        <v>32645.6717864167</v>
      </c>
      <c r="L142" s="14">
        <v>29855.503893620353</v>
      </c>
      <c r="M142" s="14">
        <v>23149.280108189228</v>
      </c>
      <c r="N142" s="14">
        <v>13908.909146757065</v>
      </c>
    </row>
    <row r="143" spans="1:14" x14ac:dyDescent="0.3">
      <c r="A143" s="3" t="str">
        <f>INDEX('R1. Scenario specifications'!$C$11:$C$49,MATCH($B143,'R1. Scenario specifications'!$A$11:$A$49,0))</f>
        <v>Current 1.75DS, 2030 start, 'Expect the Unexpected' but with cheap CCS</v>
      </c>
      <c r="B143" s="3" t="s">
        <v>38</v>
      </c>
      <c r="C143" s="3" t="s">
        <v>52</v>
      </c>
      <c r="D143" s="14">
        <v>47506.40120156738</v>
      </c>
      <c r="E143" s="14">
        <v>51400.759098340677</v>
      </c>
      <c r="F143" s="14">
        <v>62205.547314401418</v>
      </c>
      <c r="G143" s="14">
        <v>44368.574800589129</v>
      </c>
      <c r="H143" s="14">
        <v>13327.910201472389</v>
      </c>
      <c r="I143" s="14">
        <v>9098.5851448106496</v>
      </c>
      <c r="J143" s="14">
        <v>3649.5864956864407</v>
      </c>
      <c r="K143" s="14">
        <v>2099.9301942314178</v>
      </c>
      <c r="L143" s="14">
        <v>1560.3582012178842</v>
      </c>
      <c r="M143" s="14">
        <v>949.62878303203354</v>
      </c>
      <c r="N143" s="14">
        <v>868.70467624524815</v>
      </c>
    </row>
    <row r="144" spans="1:14" x14ac:dyDescent="0.3">
      <c r="A144" s="3" t="str">
        <f>INDEX('R1. Scenario specifications'!$C$11:$C$49,MATCH($B144,'R1. Scenario specifications'!$A$11:$A$49,0))</f>
        <v>Current 1.75DS, 2030 start, 'Expect the Unexpected' but with cheap CCS</v>
      </c>
      <c r="B144" s="3" t="s">
        <v>38</v>
      </c>
      <c r="C144" s="3" t="s">
        <v>53</v>
      </c>
      <c r="D144" s="14">
        <v>703.55932605471685</v>
      </c>
      <c r="E144" s="14">
        <v>336.28891863781013</v>
      </c>
      <c r="F144" s="14">
        <v>879.49041101293551</v>
      </c>
      <c r="G144" s="14">
        <v>1203.2907539892126</v>
      </c>
      <c r="H144" s="14">
        <v>1208.2904944327315</v>
      </c>
      <c r="I144" s="14">
        <v>6232.5163150191038</v>
      </c>
      <c r="J144" s="14">
        <v>11872.975521595166</v>
      </c>
      <c r="K144" s="14">
        <v>6967.6267573397581</v>
      </c>
      <c r="L144" s="14">
        <v>4856.1735122803648</v>
      </c>
      <c r="M144" s="14">
        <v>10038.079517977061</v>
      </c>
      <c r="N144" s="14">
        <v>10850.867741470624</v>
      </c>
    </row>
    <row r="145" spans="1:14" x14ac:dyDescent="0.3">
      <c r="A145" s="3" t="str">
        <f>INDEX('R1. Scenario specifications'!$C$11:$C$49,MATCH($B145,'R1. Scenario specifications'!$A$11:$A$49,0))</f>
        <v>Current 1.75DS, 2030 start, 'Expect the Unexpected' but with cheap CCS</v>
      </c>
      <c r="B145" s="3" t="s">
        <v>38</v>
      </c>
      <c r="C145" s="3" t="s">
        <v>54</v>
      </c>
      <c r="D145" s="14">
        <v>396.62220438997127</v>
      </c>
      <c r="E145" s="14">
        <v>176.86416189251261</v>
      </c>
      <c r="F145" s="14">
        <v>1833.16729548234</v>
      </c>
      <c r="G145" s="14">
        <v>5667.8396467895318</v>
      </c>
      <c r="H145" s="14">
        <v>4110.7298259546751</v>
      </c>
      <c r="I145" s="14">
        <v>2099.7233314274645</v>
      </c>
      <c r="J145" s="14">
        <v>880.39143101351692</v>
      </c>
      <c r="K145" s="14">
        <v>661.44760776565113</v>
      </c>
      <c r="L145" s="14">
        <v>765.37605117373812</v>
      </c>
      <c r="M145" s="14">
        <v>814.84381185107009</v>
      </c>
      <c r="N145" s="14">
        <v>5175.7891647637289</v>
      </c>
    </row>
    <row r="146" spans="1:14" x14ac:dyDescent="0.3">
      <c r="A146" s="3" t="str">
        <f>INDEX('R1. Scenario specifications'!$C$11:$C$49,MATCH($B146,'R1. Scenario specifications'!$A$11:$A$49,0))</f>
        <v>Current 1.75DS, 2020 start, 'Expect the Unexpected' but with cheap EVs</v>
      </c>
      <c r="B146" s="3" t="s">
        <v>39</v>
      </c>
      <c r="C146" s="3" t="s">
        <v>51</v>
      </c>
      <c r="D146" s="14">
        <v>26912.591385085678</v>
      </c>
      <c r="E146" s="14">
        <v>24726.384098969917</v>
      </c>
      <c r="F146" s="14">
        <v>20023.092920446408</v>
      </c>
      <c r="G146" s="14">
        <v>20587.895711450841</v>
      </c>
      <c r="H146" s="14">
        <v>27548.078759398726</v>
      </c>
      <c r="I146" s="14">
        <v>26929.495035375116</v>
      </c>
      <c r="J146" s="14">
        <v>28757.616801845288</v>
      </c>
      <c r="K146" s="14">
        <v>29412.022132189544</v>
      </c>
      <c r="L146" s="14">
        <v>27892.209415705351</v>
      </c>
      <c r="M146" s="14">
        <v>22507.376766022084</v>
      </c>
      <c r="N146" s="14">
        <v>12636.355799712615</v>
      </c>
    </row>
    <row r="147" spans="1:14" x14ac:dyDescent="0.3">
      <c r="A147" s="3" t="str">
        <f>INDEX('R1. Scenario specifications'!$C$11:$C$49,MATCH($B147,'R1. Scenario specifications'!$A$11:$A$49,0))</f>
        <v>Current 1.75DS, 2020 start, 'Expect the Unexpected' but with cheap EVs</v>
      </c>
      <c r="B147" s="3" t="s">
        <v>39</v>
      </c>
      <c r="C147" s="3" t="s">
        <v>52</v>
      </c>
      <c r="D147" s="14">
        <v>47506.40120156738</v>
      </c>
      <c r="E147" s="14">
        <v>51400.759098340677</v>
      </c>
      <c r="F147" s="14">
        <v>62205.547314401418</v>
      </c>
      <c r="G147" s="14">
        <v>41203.087139862524</v>
      </c>
      <c r="H147" s="14">
        <v>17924.902989909529</v>
      </c>
      <c r="I147" s="14">
        <v>7988.0084145246938</v>
      </c>
      <c r="J147" s="14">
        <v>4030.8950647526021</v>
      </c>
      <c r="K147" s="14">
        <v>2562.1267310868561</v>
      </c>
      <c r="L147" s="14">
        <v>1903.8404447591615</v>
      </c>
      <c r="M147" s="14">
        <v>1445.6165046866752</v>
      </c>
      <c r="N147" s="14">
        <v>943.82619730183967</v>
      </c>
    </row>
    <row r="148" spans="1:14" x14ac:dyDescent="0.3">
      <c r="A148" s="3" t="str">
        <f>INDEX('R1. Scenario specifications'!$C$11:$C$49,MATCH($B148,'R1. Scenario specifications'!$A$11:$A$49,0))</f>
        <v>Current 1.75DS, 2020 start, 'Expect the Unexpected' but with cheap EVs</v>
      </c>
      <c r="B148" s="3" t="s">
        <v>39</v>
      </c>
      <c r="C148" s="3" t="s">
        <v>53</v>
      </c>
      <c r="D148" s="14">
        <v>703.55932605471685</v>
      </c>
      <c r="E148" s="14">
        <v>336.28891863781013</v>
      </c>
      <c r="F148" s="14">
        <v>879.49041101293551</v>
      </c>
      <c r="G148" s="14">
        <v>1154.8570718875494</v>
      </c>
      <c r="H148" s="14">
        <v>1155.9240428758762</v>
      </c>
      <c r="I148" s="14">
        <v>955.33357554376505</v>
      </c>
      <c r="J148" s="14">
        <v>1026.1895228654685</v>
      </c>
      <c r="K148" s="14">
        <v>3811.6194927224105</v>
      </c>
      <c r="L148" s="14">
        <v>5194.6037050243767</v>
      </c>
      <c r="M148" s="14">
        <v>10404.151517050463</v>
      </c>
      <c r="N148" s="14">
        <v>12656.165356612664</v>
      </c>
    </row>
    <row r="149" spans="1:14" x14ac:dyDescent="0.3">
      <c r="A149" s="3" t="str">
        <f>INDEX('R1. Scenario specifications'!$C$11:$C$49,MATCH($B149,'R1. Scenario specifications'!$A$11:$A$49,0))</f>
        <v>Current 1.75DS, 2020 start, 'Expect the Unexpected' but with cheap EVs</v>
      </c>
      <c r="B149" s="3" t="s">
        <v>39</v>
      </c>
      <c r="C149" s="3" t="s">
        <v>54</v>
      </c>
      <c r="D149" s="14">
        <v>396.62220438997127</v>
      </c>
      <c r="E149" s="14">
        <v>176.86416189251261</v>
      </c>
      <c r="F149" s="14">
        <v>1833.16729548234</v>
      </c>
      <c r="G149" s="14">
        <v>2132.5185372964092</v>
      </c>
      <c r="H149" s="14">
        <v>4168.6260109860859</v>
      </c>
      <c r="I149" s="14">
        <v>9237.2543493337944</v>
      </c>
      <c r="J149" s="14">
        <v>4390.5161794511996</v>
      </c>
      <c r="K149" s="14">
        <v>501.95676284003702</v>
      </c>
      <c r="L149" s="14">
        <v>609.60703862764103</v>
      </c>
      <c r="M149" s="14">
        <v>670.77715523892198</v>
      </c>
      <c r="N149" s="14">
        <v>4886.2916574017127</v>
      </c>
    </row>
    <row r="150" spans="1:14" x14ac:dyDescent="0.3">
      <c r="A150" s="3" t="str">
        <f>INDEX('R1. Scenario specifications'!$C$11:$C$49,MATCH($B150,'R1. Scenario specifications'!$A$11:$A$49,0))</f>
        <v>Current 1.75DS, 2030 start, 'Expect the Unexpected' but with cheap EVs</v>
      </c>
      <c r="B150" s="3" t="s">
        <v>40</v>
      </c>
      <c r="C150" s="3" t="s">
        <v>51</v>
      </c>
      <c r="D150" s="14">
        <v>26912.591385085678</v>
      </c>
      <c r="E150" s="14">
        <v>24726.384098969917</v>
      </c>
      <c r="F150" s="14">
        <v>20023.092920446408</v>
      </c>
      <c r="G150" s="14">
        <v>26227.564065710481</v>
      </c>
      <c r="H150" s="14">
        <v>29653.897801774325</v>
      </c>
      <c r="I150" s="14">
        <v>21165.150263929547</v>
      </c>
      <c r="J150" s="14">
        <v>19085.736298974538</v>
      </c>
      <c r="K150" s="14">
        <v>27578.19725823469</v>
      </c>
      <c r="L150" s="14">
        <v>29333.497054321022</v>
      </c>
      <c r="M150" s="14">
        <v>23635.727317075827</v>
      </c>
      <c r="N150" s="14">
        <v>14405.366762536803</v>
      </c>
    </row>
    <row r="151" spans="1:14" x14ac:dyDescent="0.3">
      <c r="A151" s="3" t="str">
        <f>INDEX('R1. Scenario specifications'!$C$11:$C$49,MATCH($B151,'R1. Scenario specifications'!$A$11:$A$49,0))</f>
        <v>Current 1.75DS, 2030 start, 'Expect the Unexpected' but with cheap EVs</v>
      </c>
      <c r="B151" s="3" t="s">
        <v>40</v>
      </c>
      <c r="C151" s="3" t="s">
        <v>52</v>
      </c>
      <c r="D151" s="14">
        <v>47506.40120156738</v>
      </c>
      <c r="E151" s="14">
        <v>51400.759098340677</v>
      </c>
      <c r="F151" s="14">
        <v>62205.547314401418</v>
      </c>
      <c r="G151" s="14">
        <v>44368.574800589129</v>
      </c>
      <c r="H151" s="14">
        <v>19386.954990894112</v>
      </c>
      <c r="I151" s="14">
        <v>8370.1725509676908</v>
      </c>
      <c r="J151" s="14">
        <v>4581.8463896489811</v>
      </c>
      <c r="K151" s="14">
        <v>3974.6180465673742</v>
      </c>
      <c r="L151" s="14">
        <v>2695.5375153177147</v>
      </c>
      <c r="M151" s="14">
        <v>1456.3100336804855</v>
      </c>
      <c r="N151" s="14">
        <v>936.33041272170885</v>
      </c>
    </row>
    <row r="152" spans="1:14" x14ac:dyDescent="0.3">
      <c r="A152" s="3" t="str">
        <f>INDEX('R1. Scenario specifications'!$C$11:$C$49,MATCH($B152,'R1. Scenario specifications'!$A$11:$A$49,0))</f>
        <v>Current 1.75DS, 2030 start, 'Expect the Unexpected' but with cheap EVs</v>
      </c>
      <c r="B152" s="3" t="s">
        <v>40</v>
      </c>
      <c r="C152" s="3" t="s">
        <v>53</v>
      </c>
      <c r="D152" s="14">
        <v>703.55932605471685</v>
      </c>
      <c r="E152" s="14">
        <v>336.28891863781013</v>
      </c>
      <c r="F152" s="14">
        <v>879.49041101293551</v>
      </c>
      <c r="G152" s="14">
        <v>1203.2907539892126</v>
      </c>
      <c r="H152" s="14">
        <v>1141.174743728594</v>
      </c>
      <c r="I152" s="14">
        <v>4654.9733657825418</v>
      </c>
      <c r="J152" s="14">
        <v>10524.65334476657</v>
      </c>
      <c r="K152" s="14">
        <v>6306.9577414345658</v>
      </c>
      <c r="L152" s="14">
        <v>4367.74358173158</v>
      </c>
      <c r="M152" s="14">
        <v>9761.9336818004704</v>
      </c>
      <c r="N152" s="14">
        <v>10777.309723109773</v>
      </c>
    </row>
    <row r="153" spans="1:14" x14ac:dyDescent="0.3">
      <c r="A153" s="3" t="str">
        <f>INDEX('R1. Scenario specifications'!$C$11:$C$49,MATCH($B153,'R1. Scenario specifications'!$A$11:$A$49,0))</f>
        <v>Current 1.75DS, 2030 start, 'Expect the Unexpected' but with cheap EVs</v>
      </c>
      <c r="B153" s="3" t="s">
        <v>40</v>
      </c>
      <c r="C153" s="3" t="s">
        <v>54</v>
      </c>
      <c r="D153" s="14">
        <v>396.62220438997127</v>
      </c>
      <c r="E153" s="14">
        <v>176.86416189251261</v>
      </c>
      <c r="F153" s="14">
        <v>1833.16729548234</v>
      </c>
      <c r="G153" s="14">
        <v>5667.8396467895318</v>
      </c>
      <c r="H153" s="14">
        <v>4627.8245996956193</v>
      </c>
      <c r="I153" s="14">
        <v>2216.0076853890455</v>
      </c>
      <c r="J153" s="14">
        <v>744.71158166422492</v>
      </c>
      <c r="K153" s="14">
        <v>535.60508189643133</v>
      </c>
      <c r="L153" s="14">
        <v>650.35957952616798</v>
      </c>
      <c r="M153" s="14">
        <v>720.64437810510299</v>
      </c>
      <c r="N153" s="14">
        <v>4948.5186179199864</v>
      </c>
    </row>
    <row r="154" spans="1:14" x14ac:dyDescent="0.3">
      <c r="A154" s="3" t="str">
        <f>INDEX('R1. Scenario specifications'!$C$11:$C$49,MATCH($B154,'R1. Scenario specifications'!$A$11:$A$49,0))</f>
        <v>Current 1.75DS, 2020 start, 'Expect the Unexpected' but with cheap energy efficiency</v>
      </c>
      <c r="B154" s="3" t="s">
        <v>41</v>
      </c>
      <c r="C154" s="3" t="s">
        <v>51</v>
      </c>
      <c r="D154" s="14">
        <v>26912.591385085678</v>
      </c>
      <c r="E154" s="14">
        <v>24726.384098969917</v>
      </c>
      <c r="F154" s="14">
        <v>20023.092920446408</v>
      </c>
      <c r="G154" s="14">
        <v>24361.752945818611</v>
      </c>
      <c r="H154" s="14">
        <v>40827.988643376753</v>
      </c>
      <c r="I154" s="14">
        <v>27234.20993086938</v>
      </c>
      <c r="J154" s="14">
        <v>25972.41539152386</v>
      </c>
      <c r="K154" s="14">
        <v>28814.149904954276</v>
      </c>
      <c r="L154" s="14">
        <v>26832.084131020147</v>
      </c>
      <c r="M154" s="14">
        <v>23855.1361491645</v>
      </c>
      <c r="N154" s="14">
        <v>14248.409356284443</v>
      </c>
    </row>
    <row r="155" spans="1:14" x14ac:dyDescent="0.3">
      <c r="A155" s="3" t="str">
        <f>INDEX('R1. Scenario specifications'!$C$11:$C$49,MATCH($B155,'R1. Scenario specifications'!$A$11:$A$49,0))</f>
        <v>Current 1.75DS, 2020 start, 'Expect the Unexpected' but with cheap energy efficiency</v>
      </c>
      <c r="B155" s="3" t="s">
        <v>41</v>
      </c>
      <c r="C155" s="3" t="s">
        <v>52</v>
      </c>
      <c r="D155" s="14">
        <v>47506.40120156738</v>
      </c>
      <c r="E155" s="14">
        <v>51400.759098340677</v>
      </c>
      <c r="F155" s="14">
        <v>62205.547314401418</v>
      </c>
      <c r="G155" s="14">
        <v>33252.966921144754</v>
      </c>
      <c r="H155" s="14">
        <v>10850.156807266045</v>
      </c>
      <c r="I155" s="14">
        <v>7566.7931770863206</v>
      </c>
      <c r="J155" s="14">
        <v>5290.7714108554346</v>
      </c>
      <c r="K155" s="14">
        <v>2428.0138726811774</v>
      </c>
      <c r="L155" s="14">
        <v>1287.2211284516152</v>
      </c>
      <c r="M155" s="14">
        <v>1025.8890179220484</v>
      </c>
      <c r="N155" s="14">
        <v>870.10005426070018</v>
      </c>
    </row>
    <row r="156" spans="1:14" x14ac:dyDescent="0.3">
      <c r="A156" s="3" t="str">
        <f>INDEX('R1. Scenario specifications'!$C$11:$C$49,MATCH($B156,'R1. Scenario specifications'!$A$11:$A$49,0))</f>
        <v>Current 1.75DS, 2020 start, 'Expect the Unexpected' but with cheap energy efficiency</v>
      </c>
      <c r="B156" s="3" t="s">
        <v>41</v>
      </c>
      <c r="C156" s="3" t="s">
        <v>53</v>
      </c>
      <c r="D156" s="14">
        <v>703.55932605471685</v>
      </c>
      <c r="E156" s="14">
        <v>336.28891863781013</v>
      </c>
      <c r="F156" s="14">
        <v>879.49041101293551</v>
      </c>
      <c r="G156" s="14">
        <v>1154.8567384691814</v>
      </c>
      <c r="H156" s="14">
        <v>1163.3440686517376</v>
      </c>
      <c r="I156" s="14">
        <v>875.23399053450714</v>
      </c>
      <c r="J156" s="14">
        <v>1114.4986822150081</v>
      </c>
      <c r="K156" s="14">
        <v>1795.8513359489648</v>
      </c>
      <c r="L156" s="14">
        <v>4402.827889628019</v>
      </c>
      <c r="M156" s="14">
        <v>8631.7426917098146</v>
      </c>
      <c r="N156" s="14">
        <v>11260.754760437932</v>
      </c>
    </row>
    <row r="157" spans="1:14" x14ac:dyDescent="0.3">
      <c r="A157" s="3" t="str">
        <f>INDEX('R1. Scenario specifications'!$C$11:$C$49,MATCH($B157,'R1. Scenario specifications'!$A$11:$A$49,0))</f>
        <v>Current 1.75DS, 2020 start, 'Expect the Unexpected' but with cheap energy efficiency</v>
      </c>
      <c r="B157" s="3" t="s">
        <v>41</v>
      </c>
      <c r="C157" s="3" t="s">
        <v>54</v>
      </c>
      <c r="D157" s="14">
        <v>396.62220438997127</v>
      </c>
      <c r="E157" s="14">
        <v>176.86416189251261</v>
      </c>
      <c r="F157" s="14">
        <v>1833.16729548234</v>
      </c>
      <c r="G157" s="14">
        <v>1896.8818347234142</v>
      </c>
      <c r="H157" s="14">
        <v>4529.3286228452316</v>
      </c>
      <c r="I157" s="14">
        <v>11484.329955305893</v>
      </c>
      <c r="J157" s="14">
        <v>5777.0354258383195</v>
      </c>
      <c r="K157" s="14">
        <v>1041.9242985559147</v>
      </c>
      <c r="L157" s="14">
        <v>905.26988778954819</v>
      </c>
      <c r="M157" s="14">
        <v>1029.016077065482</v>
      </c>
      <c r="N157" s="14">
        <v>4977.9144043524648</v>
      </c>
    </row>
    <row r="158" spans="1:14" x14ac:dyDescent="0.3">
      <c r="A158" s="3" t="str">
        <f>INDEX('R1. Scenario specifications'!$C$11:$C$49,MATCH($B158,'R1. Scenario specifications'!$A$11:$A$49,0))</f>
        <v>Current 1.75DS, 2030 start, 'Expect the Unexpected' but with cheap energy efficiency</v>
      </c>
      <c r="B158" s="3" t="s">
        <v>42</v>
      </c>
      <c r="C158" s="3" t="s">
        <v>51</v>
      </c>
      <c r="D158" s="14">
        <v>26912.591385085678</v>
      </c>
      <c r="E158" s="14">
        <v>24726.384098969917</v>
      </c>
      <c r="F158" s="14">
        <v>20023.092920446408</v>
      </c>
      <c r="G158" s="14">
        <v>26227.564065710481</v>
      </c>
      <c r="H158" s="14">
        <v>38510.220578800217</v>
      </c>
      <c r="I158" s="14">
        <v>25424.071221939259</v>
      </c>
      <c r="J158" s="14">
        <v>22635.929660670685</v>
      </c>
      <c r="K158" s="14">
        <v>30056.136895022784</v>
      </c>
      <c r="L158" s="14">
        <v>30382.647905640148</v>
      </c>
      <c r="M158" s="14">
        <v>25781.157729075388</v>
      </c>
      <c r="N158" s="14">
        <v>17112.65657868273</v>
      </c>
    </row>
    <row r="159" spans="1:14" x14ac:dyDescent="0.3">
      <c r="A159" s="3" t="str">
        <f>INDEX('R1. Scenario specifications'!$C$11:$C$49,MATCH($B159,'R1. Scenario specifications'!$A$11:$A$49,0))</f>
        <v>Current 1.75DS, 2030 start, 'Expect the Unexpected' but with cheap energy efficiency</v>
      </c>
      <c r="B159" s="3" t="s">
        <v>42</v>
      </c>
      <c r="C159" s="3" t="s">
        <v>52</v>
      </c>
      <c r="D159" s="14">
        <v>47506.40120156738</v>
      </c>
      <c r="E159" s="14">
        <v>51400.759098340677</v>
      </c>
      <c r="F159" s="14">
        <v>62205.547314401418</v>
      </c>
      <c r="G159" s="14">
        <v>44368.574800589129</v>
      </c>
      <c r="H159" s="14">
        <v>14183.230537165302</v>
      </c>
      <c r="I159" s="14">
        <v>8910.156425488467</v>
      </c>
      <c r="J159" s="14">
        <v>3880.5922854516034</v>
      </c>
      <c r="K159" s="14">
        <v>2278.4814386682583</v>
      </c>
      <c r="L159" s="14">
        <v>1720.3296888841858</v>
      </c>
      <c r="M159" s="14">
        <v>1037.529374792538</v>
      </c>
      <c r="N159" s="14">
        <v>880.27188959819921</v>
      </c>
    </row>
    <row r="160" spans="1:14" x14ac:dyDescent="0.3">
      <c r="A160" s="3" t="str">
        <f>INDEX('R1. Scenario specifications'!$C$11:$C$49,MATCH($B160,'R1. Scenario specifications'!$A$11:$A$49,0))</f>
        <v>Current 1.75DS, 2030 start, 'Expect the Unexpected' but with cheap energy efficiency</v>
      </c>
      <c r="B160" s="3" t="s">
        <v>42</v>
      </c>
      <c r="C160" s="3" t="s">
        <v>53</v>
      </c>
      <c r="D160" s="14">
        <v>703.55932605471685</v>
      </c>
      <c r="E160" s="14">
        <v>336.28891863781013</v>
      </c>
      <c r="F160" s="14">
        <v>879.49041101293551</v>
      </c>
      <c r="G160" s="14">
        <v>1203.2907539892126</v>
      </c>
      <c r="H160" s="14">
        <v>1149.6241550934396</v>
      </c>
      <c r="I160" s="14">
        <v>4135.0291785038426</v>
      </c>
      <c r="J160" s="14">
        <v>10002.394486803441</v>
      </c>
      <c r="K160" s="14">
        <v>5373.4346984865915</v>
      </c>
      <c r="L160" s="14">
        <v>4004.5311101638026</v>
      </c>
      <c r="M160" s="14">
        <v>6011.2115640510037</v>
      </c>
      <c r="N160" s="14">
        <v>7890.4042948853221</v>
      </c>
    </row>
    <row r="161" spans="1:14" x14ac:dyDescent="0.3">
      <c r="A161" s="3" t="str">
        <f>INDEX('R1. Scenario specifications'!$C$11:$C$49,MATCH($B161,'R1. Scenario specifications'!$A$11:$A$49,0))</f>
        <v>Current 1.75DS, 2030 start, 'Expect the Unexpected' but with cheap energy efficiency</v>
      </c>
      <c r="B161" s="3" t="s">
        <v>42</v>
      </c>
      <c r="C161" s="3" t="s">
        <v>54</v>
      </c>
      <c r="D161" s="14">
        <v>396.62220438997127</v>
      </c>
      <c r="E161" s="14">
        <v>176.86416189251261</v>
      </c>
      <c r="F161" s="14">
        <v>1833.16729548234</v>
      </c>
      <c r="G161" s="14">
        <v>5667.8396467895318</v>
      </c>
      <c r="H161" s="14">
        <v>6668.4271998599497</v>
      </c>
      <c r="I161" s="14">
        <v>3593.5114036886166</v>
      </c>
      <c r="J161" s="14">
        <v>951.37818562994562</v>
      </c>
      <c r="K161" s="14">
        <v>1219.4176892111577</v>
      </c>
      <c r="L161" s="14">
        <v>1128.1186437852091</v>
      </c>
      <c r="M161" s="14">
        <v>1048.4159455732829</v>
      </c>
      <c r="N161" s="14">
        <v>5146.2850951731789</v>
      </c>
    </row>
    <row r="162" spans="1:14" x14ac:dyDescent="0.3">
      <c r="A162" s="3" t="str">
        <f>INDEX('R1. Scenario specifications'!$C$11:$C$49,MATCH($B162,'R1. Scenario specifications'!$A$11:$A$49,0))</f>
        <v>Current 1.75DS, 2020 start, 'Expect the Unexpected' but with most conservative biomass CCS / NET technology cost assumptions</v>
      </c>
      <c r="B162" s="3" t="s">
        <v>43</v>
      </c>
      <c r="C162" s="3" t="s">
        <v>51</v>
      </c>
      <c r="D162" s="14">
        <v>26912.591385085678</v>
      </c>
      <c r="E162" s="14">
        <v>24726.384098969917</v>
      </c>
      <c r="F162" s="14">
        <v>20023.092920446408</v>
      </c>
      <c r="G162" s="14">
        <v>25497.144206410398</v>
      </c>
      <c r="H162" s="14">
        <v>42835.011827218499</v>
      </c>
      <c r="I162" s="14">
        <v>31566.655700697833</v>
      </c>
      <c r="J162" s="14">
        <v>32256.064393140881</v>
      </c>
      <c r="K162" s="14">
        <v>32876.781321433962</v>
      </c>
      <c r="L162" s="14">
        <v>27997.326225914749</v>
      </c>
      <c r="M162" s="14">
        <v>22449.151214284106</v>
      </c>
      <c r="N162" s="14">
        <v>12378.283193397889</v>
      </c>
    </row>
    <row r="163" spans="1:14" x14ac:dyDescent="0.3">
      <c r="A163" s="3" t="str">
        <f>INDEX('R1. Scenario specifications'!$C$11:$C$49,MATCH($B163,'R1. Scenario specifications'!$A$11:$A$49,0))</f>
        <v>Current 1.75DS, 2020 start, 'Expect the Unexpected' but with most conservative biomass CCS / NET technology cost assumptions</v>
      </c>
      <c r="B163" s="3" t="s">
        <v>43</v>
      </c>
      <c r="C163" s="3" t="s">
        <v>52</v>
      </c>
      <c r="D163" s="14">
        <v>47506.40120156738</v>
      </c>
      <c r="E163" s="14">
        <v>51400.759098340677</v>
      </c>
      <c r="F163" s="14">
        <v>62205.547314401418</v>
      </c>
      <c r="G163" s="14">
        <v>40717.9230354561</v>
      </c>
      <c r="H163" s="14">
        <v>12013.79983689708</v>
      </c>
      <c r="I163" s="14">
        <v>9191.1057942622665</v>
      </c>
      <c r="J163" s="14">
        <v>4172.7303681161766</v>
      </c>
      <c r="K163" s="14">
        <v>1521.980573968224</v>
      </c>
      <c r="L163" s="14">
        <v>1066.512807608935</v>
      </c>
      <c r="M163" s="14">
        <v>931.73290348442367</v>
      </c>
      <c r="N163" s="14">
        <v>867.40189020230594</v>
      </c>
    </row>
    <row r="164" spans="1:14" x14ac:dyDescent="0.3">
      <c r="A164" s="3" t="str">
        <f>INDEX('R1. Scenario specifications'!$C$11:$C$49,MATCH($B164,'R1. Scenario specifications'!$A$11:$A$49,0))</f>
        <v>Current 1.75DS, 2020 start, 'Expect the Unexpected' but with most conservative biomass CCS / NET technology cost assumptions</v>
      </c>
      <c r="B164" s="3" t="s">
        <v>43</v>
      </c>
      <c r="C164" s="3" t="s">
        <v>53</v>
      </c>
      <c r="D164" s="14">
        <v>703.55932605471685</v>
      </c>
      <c r="E164" s="14">
        <v>336.28891863781013</v>
      </c>
      <c r="F164" s="14">
        <v>879.49041101293551</v>
      </c>
      <c r="G164" s="14">
        <v>1223.696413673629</v>
      </c>
      <c r="H164" s="14">
        <v>1155.9240428758869</v>
      </c>
      <c r="I164" s="14">
        <v>923.74989023514354</v>
      </c>
      <c r="J164" s="14">
        <v>1143.9183524122068</v>
      </c>
      <c r="K164" s="14">
        <v>3872.6668527623688</v>
      </c>
      <c r="L164" s="14">
        <v>5404.7416686081124</v>
      </c>
      <c r="M164" s="14">
        <v>10495.315300526394</v>
      </c>
      <c r="N164" s="14">
        <v>12496.829432421004</v>
      </c>
    </row>
    <row r="165" spans="1:14" x14ac:dyDescent="0.3">
      <c r="A165" s="3" t="str">
        <f>INDEX('R1. Scenario specifications'!$C$11:$C$49,MATCH($B165,'R1. Scenario specifications'!$A$11:$A$49,0))</f>
        <v>Current 1.75DS, 2020 start, 'Expect the Unexpected' but with most conservative biomass CCS / NET technology cost assumptions</v>
      </c>
      <c r="B165" s="3" t="s">
        <v>43</v>
      </c>
      <c r="C165" s="3" t="s">
        <v>54</v>
      </c>
      <c r="D165" s="14">
        <v>396.62220438997127</v>
      </c>
      <c r="E165" s="14">
        <v>176.86416189251261</v>
      </c>
      <c r="F165" s="14">
        <v>1833.16729548234</v>
      </c>
      <c r="G165" s="14">
        <v>4159.7016629886703</v>
      </c>
      <c r="H165" s="14">
        <v>5578.7994733486812</v>
      </c>
      <c r="I165" s="14">
        <v>8784.3225619644963</v>
      </c>
      <c r="J165" s="14">
        <v>5354.8540347931721</v>
      </c>
      <c r="K165" s="14">
        <v>1263.8234228656502</v>
      </c>
      <c r="L165" s="14">
        <v>692.97787674059305</v>
      </c>
      <c r="M165" s="14">
        <v>764.89801188986189</v>
      </c>
      <c r="N165" s="14">
        <v>5108.2227572701349</v>
      </c>
    </row>
    <row r="166" spans="1:14" x14ac:dyDescent="0.3">
      <c r="A166" s="3" t="str">
        <f>INDEX('R1. Scenario specifications'!$C$11:$C$49,MATCH($B166,'R1. Scenario specifications'!$A$11:$A$49,0))</f>
        <v>Current 2DS, 2020 start, 'Expect the unexpceted' but with expensive renewables (cheap CCS)</v>
      </c>
      <c r="B166" s="3" t="s">
        <v>1026</v>
      </c>
      <c r="C166" s="3" t="s">
        <v>51</v>
      </c>
      <c r="D166" s="14">
        <v>26912.591385085678</v>
      </c>
      <c r="E166" s="14">
        <v>24726.384098969917</v>
      </c>
      <c r="F166" s="14">
        <v>20023.092920446408</v>
      </c>
      <c r="G166" s="14">
        <v>25621.957644235645</v>
      </c>
      <c r="H166" s="14">
        <v>42303.678147060324</v>
      </c>
      <c r="I166" s="14">
        <v>24014.689108830094</v>
      </c>
      <c r="J166" s="14">
        <v>26734.77835282142</v>
      </c>
      <c r="K166" s="14">
        <v>30870.28732804981</v>
      </c>
      <c r="L166" s="14">
        <v>27924.691815581264</v>
      </c>
      <c r="M166" s="14">
        <v>26976.076442500125</v>
      </c>
      <c r="N166" s="14">
        <v>16863.854267848888</v>
      </c>
    </row>
    <row r="167" spans="1:14" x14ac:dyDescent="0.3">
      <c r="A167" s="3" t="str">
        <f>INDEX('R1. Scenario specifications'!$C$11:$C$49,MATCH($B167,'R1. Scenario specifications'!$A$11:$A$49,0))</f>
        <v>Current 2DS, 2020 start, 'Expect the unexpceted' but with expensive renewables (cheap CCS)</v>
      </c>
      <c r="B167" s="3" t="s">
        <v>1026</v>
      </c>
      <c r="C167" s="3" t="s">
        <v>52</v>
      </c>
      <c r="D167" s="14">
        <v>47506.40120156738</v>
      </c>
      <c r="E167" s="14">
        <v>51400.759098340677</v>
      </c>
      <c r="F167" s="14">
        <v>62205.547314401418</v>
      </c>
      <c r="G167" s="14">
        <v>42291.784673329996</v>
      </c>
      <c r="H167" s="14">
        <v>12897.457236406213</v>
      </c>
      <c r="I167" s="14">
        <v>12985.17254475644</v>
      </c>
      <c r="J167" s="14">
        <v>5910.9990583897588</v>
      </c>
      <c r="K167" s="14">
        <v>1999.708039319218</v>
      </c>
      <c r="L167" s="14">
        <v>1161.4317575909402</v>
      </c>
      <c r="M167" s="14">
        <v>962.18814298825725</v>
      </c>
      <c r="N167" s="14">
        <v>880.27188959819921</v>
      </c>
    </row>
    <row r="168" spans="1:14" x14ac:dyDescent="0.3">
      <c r="A168" s="3" t="str">
        <f>INDEX('R1. Scenario specifications'!$C$11:$C$49,MATCH($B168,'R1. Scenario specifications'!$A$11:$A$49,0))</f>
        <v>Current 2DS, 2020 start, 'Expect the unexpceted' but with expensive renewables (cheap CCS)</v>
      </c>
      <c r="B168" s="3" t="s">
        <v>1026</v>
      </c>
      <c r="C168" s="3" t="s">
        <v>53</v>
      </c>
      <c r="D168" s="14">
        <v>703.55932605471685</v>
      </c>
      <c r="E168" s="14">
        <v>336.28891863781013</v>
      </c>
      <c r="F168" s="14">
        <v>879.49041101293551</v>
      </c>
      <c r="G168" s="14">
        <v>1165.8766771252174</v>
      </c>
      <c r="H168" s="14">
        <v>1155.872440629508</v>
      </c>
      <c r="I168" s="14">
        <v>863.85458843037395</v>
      </c>
      <c r="J168" s="14">
        <v>1149.6412528305036</v>
      </c>
      <c r="K168" s="14">
        <v>1350.5520735234509</v>
      </c>
      <c r="L168" s="14">
        <v>2258.6978910363518</v>
      </c>
      <c r="M168" s="14">
        <v>4945.9184518810262</v>
      </c>
      <c r="N168" s="14">
        <v>7381.1779768635324</v>
      </c>
    </row>
    <row r="169" spans="1:14" x14ac:dyDescent="0.3">
      <c r="A169" s="3" t="str">
        <f>INDEX('R1. Scenario specifications'!$C$11:$C$49,MATCH($B169,'R1. Scenario specifications'!$A$11:$A$49,0))</f>
        <v>Current 2DS, 2020 start, 'Expect the unexpceted' but with expensive renewables (cheap CCS)</v>
      </c>
      <c r="B169" s="3" t="s">
        <v>1026</v>
      </c>
      <c r="C169" s="3" t="s">
        <v>54</v>
      </c>
      <c r="D169" s="14">
        <v>396.62220438997127</v>
      </c>
      <c r="E169" s="14">
        <v>176.86416189251261</v>
      </c>
      <c r="F169" s="14">
        <v>1833.16729548234</v>
      </c>
      <c r="G169" s="14">
        <v>4732.050380622919</v>
      </c>
      <c r="H169" s="14">
        <v>9505.1976785408897</v>
      </c>
      <c r="I169" s="14">
        <v>17277.231487211786</v>
      </c>
      <c r="J169" s="14">
        <v>11383.672985460829</v>
      </c>
      <c r="K169" s="14">
        <v>7656.6059808295522</v>
      </c>
      <c r="L169" s="14">
        <v>3541.750049862821</v>
      </c>
      <c r="M169" s="14">
        <v>902.49731931419603</v>
      </c>
      <c r="N169" s="14">
        <v>5403.2267214063631</v>
      </c>
    </row>
    <row r="170" spans="1:14" x14ac:dyDescent="0.3">
      <c r="A170" s="3" t="str">
        <f>INDEX('R1. Scenario specifications'!$C$11:$C$49,MATCH($B170,'R1. Scenario specifications'!$A$11:$A$49,0))</f>
        <v>Current 2DS, 2030 start, 'Expect the Unexpected' but with cheap renewables</v>
      </c>
      <c r="B170" s="3" t="s">
        <v>44</v>
      </c>
      <c r="C170" s="3" t="s">
        <v>51</v>
      </c>
      <c r="D170" s="14">
        <v>26912.591385085678</v>
      </c>
      <c r="E170" s="14">
        <v>24726.384098969917</v>
      </c>
      <c r="F170" s="14">
        <v>20023.092920446408</v>
      </c>
      <c r="G170" s="14">
        <v>26227.564065710481</v>
      </c>
      <c r="H170" s="14">
        <v>43195.07447361105</v>
      </c>
      <c r="I170" s="14">
        <v>26464.125218123922</v>
      </c>
      <c r="J170" s="14">
        <v>27193.515424203648</v>
      </c>
      <c r="K170" s="14">
        <v>30004.249065051896</v>
      </c>
      <c r="L170" s="14">
        <v>30210.689251488082</v>
      </c>
      <c r="M170" s="14">
        <v>27421.710966017607</v>
      </c>
      <c r="N170" s="14">
        <v>18286.894948237299</v>
      </c>
    </row>
    <row r="171" spans="1:14" x14ac:dyDescent="0.3">
      <c r="A171" s="3" t="str">
        <f>INDEX('R1. Scenario specifications'!$C$11:$C$49,MATCH($B171,'R1. Scenario specifications'!$A$11:$A$49,0))</f>
        <v>Current 2DS, 2030 start, 'Expect the Unexpected' but with cheap renewables</v>
      </c>
      <c r="B171" s="3" t="s">
        <v>44</v>
      </c>
      <c r="C171" s="3" t="s">
        <v>52</v>
      </c>
      <c r="D171" s="14">
        <v>47506.40120156738</v>
      </c>
      <c r="E171" s="14">
        <v>51400.759098340677</v>
      </c>
      <c r="F171" s="14">
        <v>62205.547314401418</v>
      </c>
      <c r="G171" s="14">
        <v>44368.574800589129</v>
      </c>
      <c r="H171" s="14">
        <v>13763.470935893713</v>
      </c>
      <c r="I171" s="14">
        <v>12074.224622632886</v>
      </c>
      <c r="J171" s="14">
        <v>6748.7731879355179</v>
      </c>
      <c r="K171" s="14">
        <v>3427.4671135465242</v>
      </c>
      <c r="L171" s="14">
        <v>1859.2281548075111</v>
      </c>
      <c r="M171" s="14">
        <v>1057.4780260748023</v>
      </c>
      <c r="N171" s="14">
        <v>900.79886196187249</v>
      </c>
    </row>
    <row r="172" spans="1:14" x14ac:dyDescent="0.3">
      <c r="A172" s="3" t="str">
        <f>INDEX('R1. Scenario specifications'!$C$11:$C$49,MATCH($B172,'R1. Scenario specifications'!$A$11:$A$49,0))</f>
        <v>Current 2DS, 2030 start, 'Expect the Unexpected' but with cheap renewables</v>
      </c>
      <c r="B172" s="3" t="s">
        <v>44</v>
      </c>
      <c r="C172" s="3" t="s">
        <v>53</v>
      </c>
      <c r="D172" s="14">
        <v>703.55932605471685</v>
      </c>
      <c r="E172" s="14">
        <v>336.28891863781013</v>
      </c>
      <c r="F172" s="14">
        <v>879.49041101293551</v>
      </c>
      <c r="G172" s="14">
        <v>1203.2907539892126</v>
      </c>
      <c r="H172" s="14">
        <v>1155.8301379720517</v>
      </c>
      <c r="I172" s="14">
        <v>855.89169978872019</v>
      </c>
      <c r="J172" s="14">
        <v>1220.138434116433</v>
      </c>
      <c r="K172" s="14">
        <v>1342.2754237732129</v>
      </c>
      <c r="L172" s="14">
        <v>1767.1366661389052</v>
      </c>
      <c r="M172" s="14">
        <v>4484.7275984902008</v>
      </c>
      <c r="N172" s="14">
        <v>5807.3304890291456</v>
      </c>
    </row>
    <row r="173" spans="1:14" x14ac:dyDescent="0.3">
      <c r="A173" s="3" t="str">
        <f>INDEX('R1. Scenario specifications'!$C$11:$C$49,MATCH($B173,'R1. Scenario specifications'!$A$11:$A$49,0))</f>
        <v>Current 2DS, 2030 start, 'Expect the Unexpected' but with cheap renewables</v>
      </c>
      <c r="B173" s="3" t="s">
        <v>44</v>
      </c>
      <c r="C173" s="3" t="s">
        <v>54</v>
      </c>
      <c r="D173" s="14">
        <v>396.62220438997127</v>
      </c>
      <c r="E173" s="14">
        <v>176.86416189251261</v>
      </c>
      <c r="F173" s="14">
        <v>1833.16729548234</v>
      </c>
      <c r="G173" s="14">
        <v>5667.8396467895318</v>
      </c>
      <c r="H173" s="14">
        <v>9139.005929292327</v>
      </c>
      <c r="I173" s="14">
        <v>14721.558546432134</v>
      </c>
      <c r="J173" s="14">
        <v>9753.1245224071481</v>
      </c>
      <c r="K173" s="14">
        <v>3844.0426014944619</v>
      </c>
      <c r="L173" s="14">
        <v>1480.9248496859491</v>
      </c>
      <c r="M173" s="14">
        <v>934.13398395168906</v>
      </c>
      <c r="N173" s="14">
        <v>5619.3112635753123</v>
      </c>
    </row>
    <row r="174" spans="1:14" x14ac:dyDescent="0.3">
      <c r="A174" s="3" t="str">
        <f>INDEX('R1. Scenario specifications'!$C$11:$C$49,MATCH($B174,'R1. Scenario specifications'!$A$11:$A$49,0))</f>
        <v>Current 2DS, 2020 start, 'Expect the Unexpected' but with cheap CCS</v>
      </c>
      <c r="B174" s="3" t="s">
        <v>45</v>
      </c>
      <c r="C174" s="3" t="s">
        <v>51</v>
      </c>
      <c r="D174" s="14">
        <v>26912.591385085678</v>
      </c>
      <c r="E174" s="14">
        <v>24726.384098969917</v>
      </c>
      <c r="F174" s="14">
        <v>20023.092920446408</v>
      </c>
      <c r="G174" s="14">
        <v>25751.973324909843</v>
      </c>
      <c r="H174" s="14">
        <v>42881.476378365871</v>
      </c>
      <c r="I174" s="14">
        <v>24566.049058971959</v>
      </c>
      <c r="J174" s="14">
        <v>26600.826146081428</v>
      </c>
      <c r="K174" s="14">
        <v>29148.620159041617</v>
      </c>
      <c r="L174" s="14">
        <v>29750.949778534774</v>
      </c>
      <c r="M174" s="14">
        <v>27465.329506263246</v>
      </c>
      <c r="N174" s="14">
        <v>19296.231595887988</v>
      </c>
    </row>
    <row r="175" spans="1:14" x14ac:dyDescent="0.3">
      <c r="A175" s="3" t="str">
        <f>INDEX('R1. Scenario specifications'!$C$11:$C$49,MATCH($B175,'R1. Scenario specifications'!$A$11:$A$49,0))</f>
        <v>Current 2DS, 2020 start, 'Expect the Unexpected' but with cheap CCS</v>
      </c>
      <c r="B175" s="3" t="s">
        <v>45</v>
      </c>
      <c r="C175" s="3" t="s">
        <v>52</v>
      </c>
      <c r="D175" s="14">
        <v>47506.40120156738</v>
      </c>
      <c r="E175" s="14">
        <v>51400.759098340677</v>
      </c>
      <c r="F175" s="14">
        <v>62205.547314401418</v>
      </c>
      <c r="G175" s="14">
        <v>43636.900621176181</v>
      </c>
      <c r="H175" s="14">
        <v>13371.095582004569</v>
      </c>
      <c r="I175" s="14">
        <v>12341.465223272246</v>
      </c>
      <c r="J175" s="14">
        <v>6670.8940174892932</v>
      </c>
      <c r="K175" s="14">
        <v>3201.1193680960628</v>
      </c>
      <c r="L175" s="14">
        <v>1658.1382930629372</v>
      </c>
      <c r="M175" s="14">
        <v>1073.9343280384053</v>
      </c>
      <c r="N175" s="14">
        <v>913.75298718743636</v>
      </c>
    </row>
    <row r="176" spans="1:14" x14ac:dyDescent="0.3">
      <c r="A176" s="3" t="str">
        <f>INDEX('R1. Scenario specifications'!$C$11:$C$49,MATCH($B176,'R1. Scenario specifications'!$A$11:$A$49,0))</f>
        <v>Current 2DS, 2020 start, 'Expect the Unexpected' but with cheap CCS</v>
      </c>
      <c r="B176" s="3" t="s">
        <v>45</v>
      </c>
      <c r="C176" s="3" t="s">
        <v>53</v>
      </c>
      <c r="D176" s="14">
        <v>703.55932605471685</v>
      </c>
      <c r="E176" s="14">
        <v>336.28891863781013</v>
      </c>
      <c r="F176" s="14">
        <v>879.49041101293551</v>
      </c>
      <c r="G176" s="14">
        <v>1222.1932863988413</v>
      </c>
      <c r="H176" s="14">
        <v>1155.871208689136</v>
      </c>
      <c r="I176" s="14">
        <v>799.36237736518808</v>
      </c>
      <c r="J176" s="14">
        <v>1161.2509979392362</v>
      </c>
      <c r="K176" s="14">
        <v>1292.7412978319176</v>
      </c>
      <c r="L176" s="14">
        <v>1265.0334066960374</v>
      </c>
      <c r="M176" s="14">
        <v>4101.4551310799025</v>
      </c>
      <c r="N176" s="14">
        <v>4647.0471058363128</v>
      </c>
    </row>
    <row r="177" spans="1:14" x14ac:dyDescent="0.3">
      <c r="A177" s="3" t="str">
        <f>INDEX('R1. Scenario specifications'!$C$11:$C$49,MATCH($B177,'R1. Scenario specifications'!$A$11:$A$49,0))</f>
        <v>Current 2DS, 2020 start, 'Expect the Unexpected' but with cheap CCS</v>
      </c>
      <c r="B177" s="3" t="s">
        <v>45</v>
      </c>
      <c r="C177" s="3" t="s">
        <v>54</v>
      </c>
      <c r="D177" s="14">
        <v>396.62220438997127</v>
      </c>
      <c r="E177" s="14">
        <v>176.86416189251261</v>
      </c>
      <c r="F177" s="14">
        <v>1833.16729548234</v>
      </c>
      <c r="G177" s="14">
        <v>4653.582083746337</v>
      </c>
      <c r="H177" s="14">
        <v>9367.4446534804065</v>
      </c>
      <c r="I177" s="14">
        <v>17257.598772833378</v>
      </c>
      <c r="J177" s="14">
        <v>11579.926674391205</v>
      </c>
      <c r="K177" s="14">
        <v>3327.0404336069028</v>
      </c>
      <c r="L177" s="14">
        <v>1180.1809766710869</v>
      </c>
      <c r="M177" s="14">
        <v>934.205114198194</v>
      </c>
      <c r="N177" s="14">
        <v>5746.7691207952248</v>
      </c>
    </row>
    <row r="178" spans="1:14" x14ac:dyDescent="0.3">
      <c r="A178" s="3" t="str">
        <f>INDEX('R1. Scenario specifications'!$C$11:$C$49,MATCH($B178,'R1. Scenario specifications'!$A$11:$A$49,0))</f>
        <v>Current 2DS, 2030 start, 'Expect the Unexpected' but with cheap CCS</v>
      </c>
      <c r="B178" s="3" t="s">
        <v>46</v>
      </c>
      <c r="C178" s="3" t="s">
        <v>51</v>
      </c>
      <c r="D178" s="14">
        <v>26912.591385085678</v>
      </c>
      <c r="E178" s="14">
        <v>24726.384098969917</v>
      </c>
      <c r="F178" s="14">
        <v>20023.092920446408</v>
      </c>
      <c r="G178" s="14">
        <v>26227.564065710481</v>
      </c>
      <c r="H178" s="14">
        <v>42894.83170259498</v>
      </c>
      <c r="I178" s="14">
        <v>26802.913172730827</v>
      </c>
      <c r="J178" s="14">
        <v>27233.539569214085</v>
      </c>
      <c r="K178" s="14">
        <v>29525.070821197525</v>
      </c>
      <c r="L178" s="14">
        <v>29363.07995442846</v>
      </c>
      <c r="M178" s="14">
        <v>27132.104541927125</v>
      </c>
      <c r="N178" s="14">
        <v>18364.07843318284</v>
      </c>
    </row>
    <row r="179" spans="1:14" x14ac:dyDescent="0.3">
      <c r="A179" s="3" t="str">
        <f>INDEX('R1. Scenario specifications'!$C$11:$C$49,MATCH($B179,'R1. Scenario specifications'!$A$11:$A$49,0))</f>
        <v>Current 2DS, 2030 start, 'Expect the Unexpected' but with cheap CCS</v>
      </c>
      <c r="B179" s="3" t="s">
        <v>46</v>
      </c>
      <c r="C179" s="3" t="s">
        <v>52</v>
      </c>
      <c r="D179" s="14">
        <v>47506.40120156738</v>
      </c>
      <c r="E179" s="14">
        <v>51400.759098340677</v>
      </c>
      <c r="F179" s="14">
        <v>62205.547314401418</v>
      </c>
      <c r="G179" s="14">
        <v>44368.574800589129</v>
      </c>
      <c r="H179" s="14">
        <v>13763.276456269834</v>
      </c>
      <c r="I179" s="14">
        <v>11770.558296988615</v>
      </c>
      <c r="J179" s="14">
        <v>6761.0322726043023</v>
      </c>
      <c r="K179" s="14">
        <v>3548.1857193331798</v>
      </c>
      <c r="L179" s="14">
        <v>1830.1086801685919</v>
      </c>
      <c r="M179" s="14">
        <v>1023.068338563339</v>
      </c>
      <c r="N179" s="14">
        <v>897.02260386070964</v>
      </c>
    </row>
    <row r="180" spans="1:14" x14ac:dyDescent="0.3">
      <c r="A180" s="3" t="str">
        <f>INDEX('R1. Scenario specifications'!$C$11:$C$49,MATCH($B180,'R1. Scenario specifications'!$A$11:$A$49,0))</f>
        <v>Current 2DS, 2030 start, 'Expect the Unexpected' but with cheap CCS</v>
      </c>
      <c r="B180" s="3" t="s">
        <v>46</v>
      </c>
      <c r="C180" s="3" t="s">
        <v>53</v>
      </c>
      <c r="D180" s="14">
        <v>703.55932605471685</v>
      </c>
      <c r="E180" s="14">
        <v>336.28891863781013</v>
      </c>
      <c r="F180" s="14">
        <v>879.49041101293551</v>
      </c>
      <c r="G180" s="14">
        <v>1203.2907539892126</v>
      </c>
      <c r="H180" s="14">
        <v>1155.8301379720515</v>
      </c>
      <c r="I180" s="14">
        <v>855.89169978863924</v>
      </c>
      <c r="J180" s="14">
        <v>1220.1384341164196</v>
      </c>
      <c r="K180" s="14">
        <v>1383.5186826984157</v>
      </c>
      <c r="L180" s="14">
        <v>2325.2842062933214</v>
      </c>
      <c r="M180" s="14">
        <v>4784.9756019293573</v>
      </c>
      <c r="N180" s="14">
        <v>5801.2496935926174</v>
      </c>
    </row>
    <row r="181" spans="1:14" x14ac:dyDescent="0.3">
      <c r="A181" s="3" t="str">
        <f>INDEX('R1. Scenario specifications'!$C$11:$C$49,MATCH($B181,'R1. Scenario specifications'!$A$11:$A$49,0))</f>
        <v>Current 2DS, 2030 start, 'Expect the Unexpected' but with cheap CCS</v>
      </c>
      <c r="B181" s="3" t="s">
        <v>46</v>
      </c>
      <c r="C181" s="3" t="s">
        <v>54</v>
      </c>
      <c r="D181" s="14">
        <v>396.62220438997127</v>
      </c>
      <c r="E181" s="14">
        <v>176.86416189251261</v>
      </c>
      <c r="F181" s="14">
        <v>1833.16729548234</v>
      </c>
      <c r="G181" s="14">
        <v>5667.8396467895318</v>
      </c>
      <c r="H181" s="14">
        <v>9124.7919567038207</v>
      </c>
      <c r="I181" s="14">
        <v>14726.779553738161</v>
      </c>
      <c r="J181" s="14">
        <v>9765.2140679960703</v>
      </c>
      <c r="K181" s="14">
        <v>3807.7998005644336</v>
      </c>
      <c r="L181" s="14">
        <v>1520.2903233965803</v>
      </c>
      <c r="M181" s="14">
        <v>934.61304202344195</v>
      </c>
      <c r="N181" s="14">
        <v>5509.4110791535131</v>
      </c>
    </row>
    <row r="182" spans="1:14" x14ac:dyDescent="0.3">
      <c r="A182" s="3" t="str">
        <f>INDEX('R1. Scenario specifications'!$C$11:$C$49,MATCH($B182,'R1. Scenario specifications'!$A$11:$A$49,0))</f>
        <v>Current 2DS, 2020 start, 'Expect the Unexpected' but with cheap EVs</v>
      </c>
      <c r="B182" s="3" t="s">
        <v>47</v>
      </c>
      <c r="C182" s="3" t="s">
        <v>51</v>
      </c>
      <c r="D182" s="14">
        <v>26912.591385085678</v>
      </c>
      <c r="E182" s="14">
        <v>24726.384098969917</v>
      </c>
      <c r="F182" s="14">
        <v>20023.092920446408</v>
      </c>
      <c r="G182" s="14">
        <v>20881.62082286656</v>
      </c>
      <c r="H182" s="14">
        <v>19876.30574834063</v>
      </c>
      <c r="I182" s="14">
        <v>16526.026986218487</v>
      </c>
      <c r="J182" s="14">
        <v>20508.207837925191</v>
      </c>
      <c r="K182" s="14">
        <v>24212.473170450437</v>
      </c>
      <c r="L182" s="14">
        <v>26386.056776693364</v>
      </c>
      <c r="M182" s="14">
        <v>26704.453687805766</v>
      </c>
      <c r="N182" s="14">
        <v>19858.572891073338</v>
      </c>
    </row>
    <row r="183" spans="1:14" x14ac:dyDescent="0.3">
      <c r="A183" s="3" t="str">
        <f>INDEX('R1. Scenario specifications'!$C$11:$C$49,MATCH($B183,'R1. Scenario specifications'!$A$11:$A$49,0))</f>
        <v>Current 2DS, 2020 start, 'Expect the Unexpected' but with cheap EVs</v>
      </c>
      <c r="B183" s="3" t="s">
        <v>47</v>
      </c>
      <c r="C183" s="3" t="s">
        <v>52</v>
      </c>
      <c r="D183" s="14">
        <v>47506.40120156738</v>
      </c>
      <c r="E183" s="14">
        <v>51400.759098340677</v>
      </c>
      <c r="F183" s="14">
        <v>62205.547314401418</v>
      </c>
      <c r="G183" s="14">
        <v>31098.59256296356</v>
      </c>
      <c r="H183" s="14">
        <v>18010.058953216401</v>
      </c>
      <c r="I183" s="14">
        <v>10162.903301318553</v>
      </c>
      <c r="J183" s="14">
        <v>6366.2458709529674</v>
      </c>
      <c r="K183" s="14">
        <v>4271.8669293204493</v>
      </c>
      <c r="L183" s="14">
        <v>2540.4855243984771</v>
      </c>
      <c r="M183" s="14">
        <v>1671.5754939265419</v>
      </c>
      <c r="N183" s="14">
        <v>1046.8613016663171</v>
      </c>
    </row>
    <row r="184" spans="1:14" x14ac:dyDescent="0.3">
      <c r="A184" s="3" t="str">
        <f>INDEX('R1. Scenario specifications'!$C$11:$C$49,MATCH($B184,'R1. Scenario specifications'!$A$11:$A$49,0))</f>
        <v>Current 2DS, 2020 start, 'Expect the Unexpected' but with cheap EVs</v>
      </c>
      <c r="B184" s="3" t="s">
        <v>47</v>
      </c>
      <c r="C184" s="3" t="s">
        <v>53</v>
      </c>
      <c r="D184" s="14">
        <v>703.55932605471685</v>
      </c>
      <c r="E184" s="14">
        <v>336.28891863781013</v>
      </c>
      <c r="F184" s="14">
        <v>879.49041101293551</v>
      </c>
      <c r="G184" s="14">
        <v>1129.2263084072947</v>
      </c>
      <c r="H184" s="14">
        <v>1154.7332195807605</v>
      </c>
      <c r="I184" s="14">
        <v>894.31939751470031</v>
      </c>
      <c r="J184" s="14">
        <v>1129.6051621221477</v>
      </c>
      <c r="K184" s="14">
        <v>1306.9101851101377</v>
      </c>
      <c r="L184" s="14">
        <v>1126.0109482975204</v>
      </c>
      <c r="M184" s="14">
        <v>3943.1649383906197</v>
      </c>
      <c r="N184" s="14">
        <v>4595.4542152491686</v>
      </c>
    </row>
    <row r="185" spans="1:14" x14ac:dyDescent="0.3">
      <c r="A185" s="3" t="str">
        <f>INDEX('R1. Scenario specifications'!$C$11:$C$49,MATCH($B185,'R1. Scenario specifications'!$A$11:$A$49,0))</f>
        <v>Current 2DS, 2020 start, 'Expect the Unexpected' but with cheap EVs</v>
      </c>
      <c r="B185" s="3" t="s">
        <v>47</v>
      </c>
      <c r="C185" s="3" t="s">
        <v>54</v>
      </c>
      <c r="D185" s="14">
        <v>396.62220438997127</v>
      </c>
      <c r="E185" s="14">
        <v>176.86416189251261</v>
      </c>
      <c r="F185" s="14">
        <v>1833.16729548234</v>
      </c>
      <c r="G185" s="14">
        <v>1974.0667768686606</v>
      </c>
      <c r="H185" s="14">
        <v>6010.2502851889767</v>
      </c>
      <c r="I185" s="14">
        <v>14124.914247144052</v>
      </c>
      <c r="J185" s="14">
        <v>8190.2428869486321</v>
      </c>
      <c r="K185" s="14">
        <v>1823.0037941770752</v>
      </c>
      <c r="L185" s="14">
        <v>961.29956462071573</v>
      </c>
      <c r="M185" s="14">
        <v>808.37881749464509</v>
      </c>
      <c r="N185" s="14">
        <v>5484.1657616947159</v>
      </c>
    </row>
    <row r="186" spans="1:14" x14ac:dyDescent="0.3">
      <c r="A186" s="3" t="str">
        <f>INDEX('R1. Scenario specifications'!$C$11:$C$49,MATCH($B186,'R1. Scenario specifications'!$A$11:$A$49,0))</f>
        <v>Current 2DS, 2030 start, 'Expect the Unexpected' but with cheap EVs</v>
      </c>
      <c r="B186" s="3" t="s">
        <v>48</v>
      </c>
      <c r="C186" s="3" t="s">
        <v>51</v>
      </c>
      <c r="D186" s="14">
        <v>26912.591385085678</v>
      </c>
      <c r="E186" s="14">
        <v>24726.384098969917</v>
      </c>
      <c r="F186" s="14">
        <v>20023.092920446408</v>
      </c>
      <c r="G186" s="14">
        <v>26227.564065710481</v>
      </c>
      <c r="H186" s="14">
        <v>28453.821834447681</v>
      </c>
      <c r="I186" s="14">
        <v>22597.43439473445</v>
      </c>
      <c r="J186" s="14">
        <v>27673.297955682152</v>
      </c>
      <c r="K186" s="14">
        <v>27941.509070495227</v>
      </c>
      <c r="L186" s="14">
        <v>27953.303512642335</v>
      </c>
      <c r="M186" s="14">
        <v>26797.577719361634</v>
      </c>
      <c r="N186" s="14">
        <v>18732.733357496123</v>
      </c>
    </row>
    <row r="187" spans="1:14" x14ac:dyDescent="0.3">
      <c r="A187" s="3" t="str">
        <f>INDEX('R1. Scenario specifications'!$C$11:$C$49,MATCH($B187,'R1. Scenario specifications'!$A$11:$A$49,0))</f>
        <v>Current 2DS, 2030 start, 'Expect the Unexpected' but with cheap EVs</v>
      </c>
      <c r="B187" s="3" t="s">
        <v>48</v>
      </c>
      <c r="C187" s="3" t="s">
        <v>52</v>
      </c>
      <c r="D187" s="14">
        <v>47506.40120156738</v>
      </c>
      <c r="E187" s="14">
        <v>51400.759098340677</v>
      </c>
      <c r="F187" s="14">
        <v>62205.547314401418</v>
      </c>
      <c r="G187" s="14">
        <v>44368.574800589129</v>
      </c>
      <c r="H187" s="14">
        <v>20198.154359342068</v>
      </c>
      <c r="I187" s="14">
        <v>10150.49867538969</v>
      </c>
      <c r="J187" s="14">
        <v>5360.1817958940082</v>
      </c>
      <c r="K187" s="14">
        <v>4049.9486364189092</v>
      </c>
      <c r="L187" s="14">
        <v>2766.0970585112682</v>
      </c>
      <c r="M187" s="14">
        <v>1632.2500835804303</v>
      </c>
      <c r="N187" s="14">
        <v>1022.3729237164134</v>
      </c>
    </row>
    <row r="188" spans="1:14" x14ac:dyDescent="0.3">
      <c r="A188" s="3" t="str">
        <f>INDEX('R1. Scenario specifications'!$C$11:$C$49,MATCH($B188,'R1. Scenario specifications'!$A$11:$A$49,0))</f>
        <v>Current 2DS, 2030 start, 'Expect the Unexpected' but with cheap EVs</v>
      </c>
      <c r="B188" s="3" t="s">
        <v>48</v>
      </c>
      <c r="C188" s="3" t="s">
        <v>53</v>
      </c>
      <c r="D188" s="14">
        <v>703.55932605471685</v>
      </c>
      <c r="E188" s="14">
        <v>336.28891863781013</v>
      </c>
      <c r="F188" s="14">
        <v>879.49041101293551</v>
      </c>
      <c r="G188" s="14">
        <v>1203.2907539892126</v>
      </c>
      <c r="H188" s="14">
        <v>1144.4399798912361</v>
      </c>
      <c r="I188" s="14">
        <v>901.00161749050517</v>
      </c>
      <c r="J188" s="14">
        <v>1150.7061965660087</v>
      </c>
      <c r="K188" s="14">
        <v>1306.5529796183864</v>
      </c>
      <c r="L188" s="14">
        <v>1840.700310937159</v>
      </c>
      <c r="M188" s="14">
        <v>4530.3580899483713</v>
      </c>
      <c r="N188" s="14">
        <v>5818.8184178621177</v>
      </c>
    </row>
    <row r="189" spans="1:14" x14ac:dyDescent="0.3">
      <c r="A189" s="3" t="str">
        <f>INDEX('R1. Scenario specifications'!$C$11:$C$49,MATCH($B189,'R1. Scenario specifications'!$A$11:$A$49,0))</f>
        <v>Current 2DS, 2030 start, 'Expect the Unexpected' but with cheap EVs</v>
      </c>
      <c r="B189" s="3" t="s">
        <v>48</v>
      </c>
      <c r="C189" s="3" t="s">
        <v>54</v>
      </c>
      <c r="D189" s="14">
        <v>396.62220438997127</v>
      </c>
      <c r="E189" s="14">
        <v>176.86416189251261</v>
      </c>
      <c r="F189" s="14">
        <v>1833.16729548234</v>
      </c>
      <c r="G189" s="14">
        <v>5667.8396467895318</v>
      </c>
      <c r="H189" s="14">
        <v>7792.5704978635467</v>
      </c>
      <c r="I189" s="14">
        <v>12756.413247741766</v>
      </c>
      <c r="J189" s="14">
        <v>8859.5723124304022</v>
      </c>
      <c r="K189" s="14">
        <v>2671.2340273138839</v>
      </c>
      <c r="L189" s="14">
        <v>899.54842612588982</v>
      </c>
      <c r="M189" s="14">
        <v>835.151601631012</v>
      </c>
      <c r="N189" s="14">
        <v>5288.869045720161</v>
      </c>
    </row>
    <row r="190" spans="1:14" x14ac:dyDescent="0.3">
      <c r="A190" s="3" t="str">
        <f>INDEX('R1. Scenario specifications'!$C$11:$C$49,MATCH($B190,'R1. Scenario specifications'!$A$11:$A$49,0))</f>
        <v>Current 2DS, 2020 start, 'Expect the Unexpected' but with cheap energy efficiency</v>
      </c>
      <c r="B190" s="3" t="s">
        <v>49</v>
      </c>
      <c r="C190" s="3" t="s">
        <v>51</v>
      </c>
      <c r="D190" s="14">
        <v>26912.591385085678</v>
      </c>
      <c r="E190" s="14">
        <v>24726.384098969917</v>
      </c>
      <c r="F190" s="14">
        <v>20023.092920446408</v>
      </c>
      <c r="G190" s="14">
        <v>25415.220720340574</v>
      </c>
      <c r="H190" s="14">
        <v>41483.354992461544</v>
      </c>
      <c r="I190" s="14">
        <v>23638.473807769791</v>
      </c>
      <c r="J190" s="14">
        <v>25056.238368358692</v>
      </c>
      <c r="K190" s="14">
        <v>27528.952486929</v>
      </c>
      <c r="L190" s="14">
        <v>26967.335158515758</v>
      </c>
      <c r="M190" s="14">
        <v>27689.840005553568</v>
      </c>
      <c r="N190" s="14">
        <v>19675.028321534824</v>
      </c>
    </row>
    <row r="191" spans="1:14" x14ac:dyDescent="0.3">
      <c r="A191" s="3" t="str">
        <f>INDEX('R1. Scenario specifications'!$C$11:$C$49,MATCH($B191,'R1. Scenario specifications'!$A$11:$A$49,0))</f>
        <v>Current 2DS, 2020 start, 'Expect the Unexpected' but with cheap energy efficiency</v>
      </c>
      <c r="B191" s="3" t="s">
        <v>49</v>
      </c>
      <c r="C191" s="3" t="s">
        <v>52</v>
      </c>
      <c r="D191" s="14">
        <v>47506.40120156738</v>
      </c>
      <c r="E191" s="14">
        <v>51400.759098340677</v>
      </c>
      <c r="F191" s="14">
        <v>62205.547314401418</v>
      </c>
      <c r="G191" s="14">
        <v>34623.006345419111</v>
      </c>
      <c r="H191" s="14">
        <v>11969.179770786235</v>
      </c>
      <c r="I191" s="14">
        <v>10163.604035390154</v>
      </c>
      <c r="J191" s="14">
        <v>6686.9677523176761</v>
      </c>
      <c r="K191" s="14">
        <v>4395.0196162760203</v>
      </c>
      <c r="L191" s="14">
        <v>2829.1534163411893</v>
      </c>
      <c r="M191" s="14">
        <v>1614.4656549297295</v>
      </c>
      <c r="N191" s="14">
        <v>1800.3526907289215</v>
      </c>
    </row>
    <row r="192" spans="1:14" x14ac:dyDescent="0.3">
      <c r="A192" s="3" t="str">
        <f>INDEX('R1. Scenario specifications'!$C$11:$C$49,MATCH($B192,'R1. Scenario specifications'!$A$11:$A$49,0))</f>
        <v>Current 2DS, 2020 start, 'Expect the Unexpected' but with cheap energy efficiency</v>
      </c>
      <c r="B192" s="3" t="s">
        <v>49</v>
      </c>
      <c r="C192" s="3" t="s">
        <v>53</v>
      </c>
      <c r="D192" s="14">
        <v>703.55932605471685</v>
      </c>
      <c r="E192" s="14">
        <v>336.28891863781013</v>
      </c>
      <c r="F192" s="14">
        <v>879.49041101293551</v>
      </c>
      <c r="G192" s="14">
        <v>1151.0171254730626</v>
      </c>
      <c r="H192" s="14">
        <v>1160.4381237516004</v>
      </c>
      <c r="I192" s="14">
        <v>851.32345047382023</v>
      </c>
      <c r="J192" s="14">
        <v>1195.577022524853</v>
      </c>
      <c r="K192" s="14">
        <v>1267.1941814066695</v>
      </c>
      <c r="L192" s="14">
        <v>1454.614023349792</v>
      </c>
      <c r="M192" s="14">
        <v>3164.9602844412047</v>
      </c>
      <c r="N192" s="14">
        <v>4198.9707375308899</v>
      </c>
    </row>
    <row r="193" spans="1:14" x14ac:dyDescent="0.3">
      <c r="A193" s="3" t="str">
        <f>INDEX('R1. Scenario specifications'!$C$11:$C$49,MATCH($B193,'R1. Scenario specifications'!$A$11:$A$49,0))</f>
        <v>Current 2DS, 2020 start, 'Expect the Unexpected' but with cheap energy efficiency</v>
      </c>
      <c r="B193" s="3" t="s">
        <v>49</v>
      </c>
      <c r="C193" s="3" t="s">
        <v>54</v>
      </c>
      <c r="D193" s="14">
        <v>396.62220438997127</v>
      </c>
      <c r="E193" s="14">
        <v>176.86416189251261</v>
      </c>
      <c r="F193" s="14">
        <v>1833.16729548234</v>
      </c>
      <c r="G193" s="14">
        <v>2076.3825746094112</v>
      </c>
      <c r="H193" s="14">
        <v>7548.4037901130132</v>
      </c>
      <c r="I193" s="14">
        <v>16966.045443020041</v>
      </c>
      <c r="J193" s="14">
        <v>12207.27343524678</v>
      </c>
      <c r="K193" s="14">
        <v>3590.4034318126796</v>
      </c>
      <c r="L193" s="14">
        <v>1272.3208290149139</v>
      </c>
      <c r="M193" s="14">
        <v>1115.3392182278885</v>
      </c>
      <c r="N193" s="14">
        <v>5786.3959250024254</v>
      </c>
    </row>
  </sheetData>
  <conditionalFormatting sqref="A2373:XFD1048576 A1:XFD12 A20:XFD193 N19:XFD19 A194:A2372 D194:XFD2372 A14:XFD18 A13:E13 J13:XFD13">
    <cfRule type="expression" dxfId="144" priority="3">
      <formula>_xlfn.ISFORMULA(A1)</formula>
    </cfRule>
  </conditionalFormatting>
  <conditionalFormatting sqref="A19:M19">
    <cfRule type="expression" dxfId="143" priority="2">
      <formula>_xlfn.ISFORMULA(A19)</formula>
    </cfRule>
  </conditionalFormatting>
  <conditionalFormatting sqref="F13:I13">
    <cfRule type="expression" dxfId="142" priority="1">
      <formula>_xlfn.ISFORMULA(F13)</formula>
    </cfRule>
  </conditionalFormatting>
  <dataValidations disablePrompts="1" count="1">
    <dataValidation type="list" allowBlank="1" showInputMessage="1" showErrorMessage="1" sqref="B22" xr:uid="{39800600-CC07-48C5-9D48-E5A29E72791F}">
      <formula1>$C$38:$C$41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D9922E2-1BAB-4842-98DF-25770096606C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EC144-8027-408F-B747-A0B91C9AF02A}">
  <sheetPr>
    <tabColor theme="5" tint="0.39997558519241921"/>
  </sheetPr>
  <dimension ref="A1:S76"/>
  <sheetViews>
    <sheetView zoomScale="70" zoomScaleNormal="70" workbookViewId="0">
      <pane ySplit="13" topLeftCell="A14" activePane="bottomLeft" state="frozen"/>
      <selection pane="bottomLeft" activeCell="D14" sqref="D14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209</v>
      </c>
    </row>
    <row r="2" spans="1:9" s="5" customFormat="1" x14ac:dyDescent="0.3">
      <c r="A2" s="5" t="s">
        <v>5</v>
      </c>
      <c r="B2" s="5" t="s">
        <v>212</v>
      </c>
    </row>
    <row r="3" spans="1:9" s="5" customFormat="1" x14ac:dyDescent="0.3">
      <c r="A3" s="5" t="s">
        <v>6</v>
      </c>
      <c r="B3" s="5" t="s">
        <v>211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10</v>
      </c>
      <c r="D7" s="5" t="s">
        <v>1021</v>
      </c>
    </row>
    <row r="8" spans="1:9" s="5" customFormat="1" x14ac:dyDescent="0.3">
      <c r="B8" s="5" t="s">
        <v>190</v>
      </c>
      <c r="C8" s="5" t="s">
        <v>95</v>
      </c>
      <c r="D8" s="5" t="s">
        <v>95</v>
      </c>
    </row>
    <row r="9" spans="1:9" s="5" customFormat="1" x14ac:dyDescent="0.3">
      <c r="B9" s="5" t="s">
        <v>189</v>
      </c>
      <c r="C9" s="5" t="s">
        <v>192</v>
      </c>
      <c r="D9" s="5" t="s">
        <v>204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$D$8:$O630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273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>INDEX($D$38:$N$76,MATCH(B$24,$B$38:$B$76,0),MATCH($A25,$D$37:$N$37,0))</f>
        <v>0.27214200000000005</v>
      </c>
      <c r="C25" s="14">
        <f t="shared" ref="C25:M25" si="2">INDEX($D$38:$N$76,MATCH(C$24,$B$38:$B$76,0),MATCH($A25,$D$37:$N$37,0))</f>
        <v>0.27214200000000005</v>
      </c>
      <c r="D25" s="14">
        <f t="shared" si="2"/>
        <v>0.27214200000000005</v>
      </c>
      <c r="E25" s="14">
        <f t="shared" si="2"/>
        <v>0.27214200000000005</v>
      </c>
      <c r="F25" s="14">
        <f t="shared" si="2"/>
        <v>0.27214200000000005</v>
      </c>
      <c r="G25" s="14">
        <f t="shared" si="2"/>
        <v>0.27214200000000005</v>
      </c>
      <c r="H25" s="14">
        <f t="shared" si="2"/>
        <v>0.27214200000000005</v>
      </c>
      <c r="I25" s="14">
        <f t="shared" si="2"/>
        <v>0.27214200000000005</v>
      </c>
      <c r="J25" s="14">
        <f t="shared" si="2"/>
        <v>0.27214200000000005</v>
      </c>
      <c r="K25" s="14" t="e">
        <f t="shared" si="2"/>
        <v>#N/A</v>
      </c>
      <c r="L25" s="14" t="e">
        <f t="shared" si="2"/>
        <v>#N/A</v>
      </c>
      <c r="M25" s="14" t="e">
        <f t="shared" si="2"/>
        <v>#N/A</v>
      </c>
    </row>
    <row r="26" spans="1:13" x14ac:dyDescent="0.3">
      <c r="A26" s="3">
        <v>2020</v>
      </c>
      <c r="B26" s="14">
        <f t="shared" ref="B26:M34" si="3">INDEX($D$38:$N$76,MATCH(B$24,$B$38:$B$76,0),MATCH($A26,$D$37:$N$37,0))</f>
        <v>39.863137640230093</v>
      </c>
      <c r="C26" s="14">
        <f t="shared" si="3"/>
        <v>39.851411191919205</v>
      </c>
      <c r="D26" s="14">
        <f t="shared" si="3"/>
        <v>39.715545758633766</v>
      </c>
      <c r="E26" s="14">
        <f t="shared" si="3"/>
        <v>39.715545758633766</v>
      </c>
      <c r="F26" s="14">
        <f t="shared" si="3"/>
        <v>39.715545758633766</v>
      </c>
      <c r="G26" s="14">
        <f t="shared" si="3"/>
        <v>39.715545758633766</v>
      </c>
      <c r="H26" s="14">
        <f t="shared" si="3"/>
        <v>39.715545758633766</v>
      </c>
      <c r="I26" s="14">
        <f t="shared" si="3"/>
        <v>39.715545758633766</v>
      </c>
      <c r="J26" s="14">
        <f t="shared" si="3"/>
        <v>39.715545758633766</v>
      </c>
      <c r="K26" s="14" t="e">
        <f t="shared" si="3"/>
        <v>#N/A</v>
      </c>
      <c r="L26" s="14" t="e">
        <f t="shared" si="3"/>
        <v>#N/A</v>
      </c>
      <c r="M26" s="14" t="e">
        <f t="shared" si="3"/>
        <v>#N/A</v>
      </c>
    </row>
    <row r="27" spans="1:13" x14ac:dyDescent="0.3">
      <c r="A27" s="3">
        <v>2030</v>
      </c>
      <c r="B27" s="14">
        <f t="shared" si="3"/>
        <v>1003.6816525884961</v>
      </c>
      <c r="C27" s="14">
        <f t="shared" si="3"/>
        <v>1005.7942092807525</v>
      </c>
      <c r="D27" s="14">
        <f t="shared" si="3"/>
        <v>1069.5883483275736</v>
      </c>
      <c r="E27" s="14">
        <f t="shared" si="3"/>
        <v>1087.8397472504214</v>
      </c>
      <c r="F27" s="14">
        <f t="shared" si="3"/>
        <v>1069.5883483275736</v>
      </c>
      <c r="G27" s="14">
        <f t="shared" si="3"/>
        <v>2009.1559159620085</v>
      </c>
      <c r="H27" s="14">
        <f t="shared" si="3"/>
        <v>1069.5883483275736</v>
      </c>
      <c r="I27" s="14">
        <f t="shared" si="3"/>
        <v>1130.2454144358746</v>
      </c>
      <c r="J27" s="14">
        <f t="shared" si="3"/>
        <v>1069.5883483275736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2356.242175508296</v>
      </c>
      <c r="C28" s="14">
        <f t="shared" si="3"/>
        <v>2352.4998180590778</v>
      </c>
      <c r="D28" s="14">
        <f t="shared" si="3"/>
        <v>3700.988526160007</v>
      </c>
      <c r="E28" s="14">
        <f t="shared" si="3"/>
        <v>4193.1500569993486</v>
      </c>
      <c r="F28" s="14">
        <f t="shared" si="3"/>
        <v>4055.0588483342849</v>
      </c>
      <c r="G28" s="14">
        <f t="shared" si="3"/>
        <v>4276.6761264316383</v>
      </c>
      <c r="H28" s="14">
        <f t="shared" si="3"/>
        <v>3966.4963601593126</v>
      </c>
      <c r="I28" s="14">
        <f t="shared" si="3"/>
        <v>4395.4478487279748</v>
      </c>
      <c r="J28" s="14">
        <f t="shared" si="3"/>
        <v>4136.5183599319244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7983.8252120514571</v>
      </c>
      <c r="C29" s="14">
        <f t="shared" si="3"/>
        <v>7912.473839253099</v>
      </c>
      <c r="D29" s="14">
        <f t="shared" si="3"/>
        <v>9209.0936752276266</v>
      </c>
      <c r="E29" s="14">
        <f t="shared" si="3"/>
        <v>9771.5529623626971</v>
      </c>
      <c r="F29" s="14">
        <f t="shared" si="3"/>
        <v>9580.7289479646042</v>
      </c>
      <c r="G29" s="14">
        <f t="shared" si="3"/>
        <v>9146.7579148285549</v>
      </c>
      <c r="H29" s="14">
        <f t="shared" si="3"/>
        <v>6894.9014296328914</v>
      </c>
      <c r="I29" s="14">
        <f t="shared" si="3"/>
        <v>10346.618019879585</v>
      </c>
      <c r="J29" s="14">
        <f t="shared" si="3"/>
        <v>9648.6523299483033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13923.960028398633</v>
      </c>
      <c r="C30" s="14">
        <f t="shared" si="3"/>
        <v>13916.783390684668</v>
      </c>
      <c r="D30" s="14">
        <f t="shared" si="3"/>
        <v>14203.500481422001</v>
      </c>
      <c r="E30" s="14">
        <f t="shared" si="3"/>
        <v>14519.268386292151</v>
      </c>
      <c r="F30" s="14">
        <f t="shared" si="3"/>
        <v>14326.35581281144</v>
      </c>
      <c r="G30" s="14">
        <f t="shared" si="3"/>
        <v>15837.110374635051</v>
      </c>
      <c r="H30" s="14">
        <f t="shared" si="3"/>
        <v>10816.812001363774</v>
      </c>
      <c r="I30" s="14">
        <f t="shared" si="3"/>
        <v>14942.983261331266</v>
      </c>
      <c r="J30" s="14">
        <f t="shared" si="3"/>
        <v>13365.104084295897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16466.022447274096</v>
      </c>
      <c r="C31" s="14">
        <f t="shared" si="3"/>
        <v>16465.600586304343</v>
      </c>
      <c r="D31" s="14">
        <f t="shared" si="3"/>
        <v>16466.254314637321</v>
      </c>
      <c r="E31" s="14">
        <f t="shared" si="3"/>
        <v>16613.983190062154</v>
      </c>
      <c r="F31" s="14">
        <f t="shared" si="3"/>
        <v>16745.940240593398</v>
      </c>
      <c r="G31" s="14">
        <f t="shared" si="3"/>
        <v>17749.003158195694</v>
      </c>
      <c r="H31" s="14">
        <f t="shared" si="3"/>
        <v>16681.220257384932</v>
      </c>
      <c r="I31" s="14">
        <f t="shared" si="3"/>
        <v>18421.524446237447</v>
      </c>
      <c r="J31" s="14">
        <f t="shared" si="3"/>
        <v>17037.636776940275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17723.524969998824</v>
      </c>
      <c r="C32" s="14">
        <f t="shared" si="3"/>
        <v>17723.573566579824</v>
      </c>
      <c r="D32" s="14">
        <f t="shared" si="3"/>
        <v>17739.403812697397</v>
      </c>
      <c r="E32" s="14">
        <f t="shared" si="3"/>
        <v>19120.453927830033</v>
      </c>
      <c r="F32" s="14">
        <f t="shared" si="3"/>
        <v>19637.829813532884</v>
      </c>
      <c r="G32" s="14">
        <f t="shared" si="3"/>
        <v>19818.310302716254</v>
      </c>
      <c r="H32" s="14">
        <f t="shared" si="3"/>
        <v>17961.734483011198</v>
      </c>
      <c r="I32" s="14">
        <f t="shared" si="3"/>
        <v>20561.454263369928</v>
      </c>
      <c r="J32" s="14">
        <f t="shared" si="3"/>
        <v>20275.310977684265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18970.505091951876</v>
      </c>
      <c r="C33" s="14">
        <f t="shared" si="3"/>
        <v>18970.532152689164</v>
      </c>
      <c r="D33" s="14">
        <f t="shared" si="3"/>
        <v>19018.497199970272</v>
      </c>
      <c r="E33" s="14">
        <f t="shared" si="3"/>
        <v>21504.436312408958</v>
      </c>
      <c r="F33" s="14">
        <f t="shared" si="3"/>
        <v>21597.513557029939</v>
      </c>
      <c r="G33" s="14">
        <f t="shared" si="3"/>
        <v>21868.594403989398</v>
      </c>
      <c r="H33" s="14">
        <f t="shared" si="3"/>
        <v>19158.368947007322</v>
      </c>
      <c r="I33" s="14">
        <f t="shared" si="3"/>
        <v>21741.663786238249</v>
      </c>
      <c r="J33" s="14">
        <f t="shared" si="3"/>
        <v>21744.412550279132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20443.745826512848</v>
      </c>
      <c r="C34" s="14">
        <f t="shared" si="3"/>
        <v>20443.6265879038</v>
      </c>
      <c r="D34" s="14">
        <f t="shared" si="3"/>
        <v>20454.300783301314</v>
      </c>
      <c r="E34" s="14">
        <f t="shared" si="3"/>
        <v>23500.696611899697</v>
      </c>
      <c r="F34" s="14">
        <f t="shared" si="3"/>
        <v>23521.494146794506</v>
      </c>
      <c r="G34" s="14">
        <f t="shared" si="3"/>
        <v>23569.322292774446</v>
      </c>
      <c r="H34" s="14">
        <f t="shared" si="3"/>
        <v>20266.673327604592</v>
      </c>
      <c r="I34" s="14">
        <f t="shared" si="3"/>
        <v>23569.571100268739</v>
      </c>
      <c r="J34" s="14">
        <f t="shared" si="3"/>
        <v>23615.877285419334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D38" s="14">
        <v>0.55126200000000003</v>
      </c>
      <c r="E38" s="14">
        <v>0.27214200000000005</v>
      </c>
      <c r="F38" s="14">
        <v>39.863137640230093</v>
      </c>
      <c r="G38" s="14">
        <v>1003.6816525884961</v>
      </c>
      <c r="H38" s="14">
        <v>2356.242175508296</v>
      </c>
      <c r="I38" s="14">
        <v>7983.8252120514571</v>
      </c>
      <c r="J38" s="14">
        <v>13923.960028398633</v>
      </c>
      <c r="K38" s="14">
        <v>16466.022447274096</v>
      </c>
      <c r="L38" s="14">
        <v>17723.524969998824</v>
      </c>
      <c r="M38" s="14">
        <v>18970.505091951876</v>
      </c>
      <c r="N38" s="14">
        <v>20443.745826512848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D39" s="14">
        <v>0.55126200000000003</v>
      </c>
      <c r="E39" s="14">
        <v>0.27214200000000005</v>
      </c>
      <c r="F39" s="14">
        <v>39.851411191919205</v>
      </c>
      <c r="G39" s="14">
        <v>1005.7942092807525</v>
      </c>
      <c r="H39" s="14">
        <v>2352.4998180590778</v>
      </c>
      <c r="I39" s="14">
        <v>7912.473839253099</v>
      </c>
      <c r="J39" s="14">
        <v>13916.783390684668</v>
      </c>
      <c r="K39" s="14">
        <v>16465.600586304343</v>
      </c>
      <c r="L39" s="14">
        <v>17723.573566579824</v>
      </c>
      <c r="M39" s="14">
        <v>18970.532152689164</v>
      </c>
      <c r="N39" s="14">
        <v>20443.6265879038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D40" s="14">
        <v>0.55126200000000003</v>
      </c>
      <c r="E40" s="14">
        <v>0.27214200000000005</v>
      </c>
      <c r="F40" s="14">
        <v>39.715545758633766</v>
      </c>
      <c r="G40" s="14">
        <v>1069.5883483275736</v>
      </c>
      <c r="H40" s="14">
        <v>3700.988526160007</v>
      </c>
      <c r="I40" s="14">
        <v>9209.0936752276266</v>
      </c>
      <c r="J40" s="14">
        <v>14203.500481422001</v>
      </c>
      <c r="K40" s="14">
        <v>16466.254314637321</v>
      </c>
      <c r="L40" s="14">
        <v>17739.403812697397</v>
      </c>
      <c r="M40" s="14">
        <v>19018.497199970272</v>
      </c>
      <c r="N40" s="14">
        <v>20454.300783301314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D41" s="14">
        <v>0.55126200000000003</v>
      </c>
      <c r="E41" s="14">
        <v>0.27214200000000005</v>
      </c>
      <c r="F41" s="14">
        <v>39.715545758633766</v>
      </c>
      <c r="G41" s="14">
        <v>1087.8397472504214</v>
      </c>
      <c r="H41" s="14">
        <v>4193.1500569993486</v>
      </c>
      <c r="I41" s="14">
        <v>9771.5529623626971</v>
      </c>
      <c r="J41" s="14">
        <v>14519.268386292151</v>
      </c>
      <c r="K41" s="14">
        <v>16613.983190062154</v>
      </c>
      <c r="L41" s="14">
        <v>19120.453927830033</v>
      </c>
      <c r="M41" s="14">
        <v>21504.436312408958</v>
      </c>
      <c r="N41" s="14">
        <v>23500.696611899697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D42" s="14">
        <v>0.55126200000000003</v>
      </c>
      <c r="E42" s="14">
        <v>0.27214200000000005</v>
      </c>
      <c r="F42" s="14">
        <v>39.715545758633766</v>
      </c>
      <c r="G42" s="14">
        <v>1069.5883483275736</v>
      </c>
      <c r="H42" s="14">
        <v>3505.1511172462219</v>
      </c>
      <c r="I42" s="14">
        <v>8061.9339468085291</v>
      </c>
      <c r="J42" s="14">
        <v>11550.015709522595</v>
      </c>
      <c r="K42" s="14">
        <v>13238.094822986666</v>
      </c>
      <c r="L42" s="14">
        <v>14821.164761477185</v>
      </c>
      <c r="M42" s="14">
        <v>16705.845783080673</v>
      </c>
      <c r="N42" s="14">
        <v>18455.472288866767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D43" s="14">
        <v>0.55126200000000003</v>
      </c>
      <c r="E43" s="14">
        <v>0.27214200000000005</v>
      </c>
      <c r="F43" s="14">
        <v>39.715545758633766</v>
      </c>
      <c r="G43" s="14">
        <v>1087.8397472504214</v>
      </c>
      <c r="H43" s="14">
        <v>4193.1500569993486</v>
      </c>
      <c r="I43" s="14">
        <v>9771.0150933455861</v>
      </c>
      <c r="J43" s="14">
        <v>14505.984299997392</v>
      </c>
      <c r="K43" s="14">
        <v>16559.270580326818</v>
      </c>
      <c r="L43" s="14">
        <v>19104.623590399973</v>
      </c>
      <c r="M43" s="14">
        <v>21499.580584520816</v>
      </c>
      <c r="N43" s="14">
        <v>23498.42840017872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D44" s="14">
        <v>0.55126200000000003</v>
      </c>
      <c r="E44" s="14">
        <v>0.27214200000000005</v>
      </c>
      <c r="F44" s="14">
        <v>39.715545758633766</v>
      </c>
      <c r="G44" s="14">
        <v>1069.5883483275736</v>
      </c>
      <c r="H44" s="14">
        <v>4055.0588483342849</v>
      </c>
      <c r="I44" s="14">
        <v>9580.7289479646042</v>
      </c>
      <c r="J44" s="14">
        <v>14314.356557629992</v>
      </c>
      <c r="K44" s="14">
        <v>16747.514614632833</v>
      </c>
      <c r="L44" s="14">
        <v>19636.68078384535</v>
      </c>
      <c r="M44" s="14">
        <v>21628.471544540764</v>
      </c>
      <c r="N44" s="14">
        <v>23516.791640864816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D45" s="14">
        <v>0.55126200000000003</v>
      </c>
      <c r="E45" s="14">
        <v>0.27214200000000005</v>
      </c>
      <c r="F45" s="14">
        <v>39.715545758633766</v>
      </c>
      <c r="G45" s="14">
        <v>2009.1559159620085</v>
      </c>
      <c r="H45" s="14">
        <v>4276.6761264316383</v>
      </c>
      <c r="I45" s="14">
        <v>9146.7579148285549</v>
      </c>
      <c r="J45" s="14">
        <v>15837.110374635051</v>
      </c>
      <c r="K45" s="14">
        <v>17749.003158195694</v>
      </c>
      <c r="L45" s="14">
        <v>19818.310302716254</v>
      </c>
      <c r="M45" s="14">
        <v>21868.594403989398</v>
      </c>
      <c r="N45" s="14">
        <v>23569.322292774446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D46" s="14">
        <v>0.55126200000000003</v>
      </c>
      <c r="E46" s="14">
        <v>0.27214200000000005</v>
      </c>
      <c r="F46" s="14">
        <v>39.715545758633766</v>
      </c>
      <c r="G46" s="14">
        <v>1069.5883483275736</v>
      </c>
      <c r="H46" s="14">
        <v>3966.4963601593126</v>
      </c>
      <c r="I46" s="14">
        <v>6894.9014296328914</v>
      </c>
      <c r="J46" s="14">
        <v>10816.812001363774</v>
      </c>
      <c r="K46" s="14">
        <v>16681.220257384932</v>
      </c>
      <c r="L46" s="14">
        <v>17961.734483011198</v>
      </c>
      <c r="M46" s="14">
        <v>19158.368947007322</v>
      </c>
      <c r="N46" s="14">
        <v>20266.673327604592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D47" s="14">
        <v>0.55126200000000003</v>
      </c>
      <c r="E47" s="14">
        <v>0.27214200000000005</v>
      </c>
      <c r="F47" s="14">
        <v>39.715545758633766</v>
      </c>
      <c r="G47" s="14">
        <v>1966.3752110558123</v>
      </c>
      <c r="H47" s="14">
        <v>4237.6286434482909</v>
      </c>
      <c r="I47" s="14">
        <v>9236.5633269748032</v>
      </c>
      <c r="J47" s="14">
        <v>15926.69695846063</v>
      </c>
      <c r="K47" s="14">
        <v>17776.469481930053</v>
      </c>
      <c r="L47" s="14">
        <v>19850.49288000098</v>
      </c>
      <c r="M47" s="14">
        <v>21756.644523727067</v>
      </c>
      <c r="N47" s="14">
        <v>23569.621195451655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D48" s="14">
        <v>0.55126200000000003</v>
      </c>
      <c r="E48" s="14">
        <v>0.27214200000000005</v>
      </c>
      <c r="F48" s="14">
        <v>39.715545758633766</v>
      </c>
      <c r="G48" s="14">
        <v>1069.5883483275736</v>
      </c>
      <c r="H48" s="14">
        <v>3958.6756341595292</v>
      </c>
      <c r="I48" s="14">
        <v>7610.0245500752426</v>
      </c>
      <c r="J48" s="14">
        <v>11324.596252888981</v>
      </c>
      <c r="K48" s="14">
        <v>16792.837592525681</v>
      </c>
      <c r="L48" s="14">
        <v>17955.195436042941</v>
      </c>
      <c r="M48" s="14">
        <v>19158.799056326745</v>
      </c>
      <c r="N48" s="14">
        <v>20266.874404048951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D49" s="14">
        <v>0.55126200000000003</v>
      </c>
      <c r="E49" s="14">
        <v>0.27214200000000005</v>
      </c>
      <c r="F49" s="14">
        <v>39.715545758633766</v>
      </c>
      <c r="G49" s="14">
        <v>2009.1559159620085</v>
      </c>
      <c r="H49" s="14">
        <v>4276.6761264316383</v>
      </c>
      <c r="I49" s="14">
        <v>9146.7579142553132</v>
      </c>
      <c r="J49" s="14">
        <v>15837.110374464553</v>
      </c>
      <c r="K49" s="14">
        <v>17749.003158195694</v>
      </c>
      <c r="L49" s="14">
        <v>19818.308402284343</v>
      </c>
      <c r="M49" s="14">
        <v>21868.590690274545</v>
      </c>
      <c r="N49" s="14">
        <v>23569.322292819652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D50" s="14">
        <v>0.55126200000000003</v>
      </c>
      <c r="E50" s="14">
        <v>0.27214200000000005</v>
      </c>
      <c r="F50" s="14">
        <v>39.715545758633766</v>
      </c>
      <c r="G50" s="14">
        <v>1069.5883483275736</v>
      </c>
      <c r="H50" s="14">
        <v>3966.4963601593126</v>
      </c>
      <c r="I50" s="14">
        <v>6894.9014296328914</v>
      </c>
      <c r="J50" s="14">
        <v>10816.812001363774</v>
      </c>
      <c r="K50" s="14">
        <v>16681.220257384932</v>
      </c>
      <c r="L50" s="14">
        <v>17961.734483011198</v>
      </c>
      <c r="M50" s="14">
        <v>19158.368947007322</v>
      </c>
      <c r="N50" s="14">
        <v>20266.673327604592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D51" s="14">
        <v>0.55126200000000003</v>
      </c>
      <c r="E51" s="14">
        <v>0.27214200000000005</v>
      </c>
      <c r="F51" s="14">
        <v>39.715545758633766</v>
      </c>
      <c r="G51" s="14">
        <v>2950.8169290263904</v>
      </c>
      <c r="H51" s="14">
        <v>4640.6955673125603</v>
      </c>
      <c r="I51" s="14">
        <v>8736.6526541129006</v>
      </c>
      <c r="J51" s="14">
        <v>16501.266085988758</v>
      </c>
      <c r="K51" s="14">
        <v>19737.276276436027</v>
      </c>
      <c r="L51" s="14">
        <v>21608.872975245318</v>
      </c>
      <c r="M51" s="14">
        <v>23185.316842412569</v>
      </c>
      <c r="N51" s="14">
        <v>24880.403712186286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D52" s="14">
        <v>0.55126200000000003</v>
      </c>
      <c r="E52" s="14">
        <v>0.27214200000000005</v>
      </c>
      <c r="F52" s="14">
        <v>39.715545758633766</v>
      </c>
      <c r="G52" s="14">
        <v>1069.5883483275736</v>
      </c>
      <c r="H52" s="14">
        <v>4055.0588483342849</v>
      </c>
      <c r="I52" s="14">
        <v>9580.7289479646042</v>
      </c>
      <c r="J52" s="14">
        <v>14326.35581281144</v>
      </c>
      <c r="K52" s="14">
        <v>16745.940240593398</v>
      </c>
      <c r="L52" s="14">
        <v>19637.829813532884</v>
      </c>
      <c r="M52" s="14">
        <v>21597.513557029939</v>
      </c>
      <c r="N52" s="14">
        <v>23521.494146794506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D53" s="14">
        <v>0.55126200000000003</v>
      </c>
      <c r="E53" s="14">
        <v>0.27214200000000005</v>
      </c>
      <c r="F53" s="14">
        <v>39.715545758633766</v>
      </c>
      <c r="G53" s="14">
        <v>1069.5883483275736</v>
      </c>
      <c r="H53" s="14">
        <v>4184.9986415202657</v>
      </c>
      <c r="I53" s="14">
        <v>7420.2316780124875</v>
      </c>
      <c r="J53" s="14">
        <v>11143.896584662767</v>
      </c>
      <c r="K53" s="14">
        <v>19760.486404231109</v>
      </c>
      <c r="L53" s="14">
        <v>22047.437587588473</v>
      </c>
      <c r="M53" s="14">
        <v>23448.557337223334</v>
      </c>
      <c r="N53" s="14">
        <v>24848.874953646704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D54" s="14">
        <v>0.55126200000000003</v>
      </c>
      <c r="E54" s="14">
        <v>0.27214200000000005</v>
      </c>
      <c r="F54" s="14">
        <v>39.715545758633766</v>
      </c>
      <c r="G54" s="14">
        <v>1626.8079631243993</v>
      </c>
      <c r="H54" s="14">
        <v>3701.6944360330017</v>
      </c>
      <c r="I54" s="14">
        <v>8758.0991589149162</v>
      </c>
      <c r="J54" s="14">
        <v>13050.30015802595</v>
      </c>
      <c r="K54" s="14">
        <v>13913.529885040327</v>
      </c>
      <c r="L54" s="14">
        <v>15144.361207924047</v>
      </c>
      <c r="M54" s="14">
        <v>17156.769722281977</v>
      </c>
      <c r="N54" s="14">
        <v>18582.622705164304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D55" s="14">
        <v>0.55126200000000003</v>
      </c>
      <c r="E55" s="14">
        <v>0.27214200000000005</v>
      </c>
      <c r="F55" s="14">
        <v>39.715545758633766</v>
      </c>
      <c r="G55" s="14">
        <v>1069.5883483275736</v>
      </c>
      <c r="H55" s="14">
        <v>3311.1575692516117</v>
      </c>
      <c r="I55" s="14">
        <v>5644.2854034049378</v>
      </c>
      <c r="J55" s="14">
        <v>8717.9339901732583</v>
      </c>
      <c r="K55" s="14">
        <v>13353.195095853258</v>
      </c>
      <c r="L55" s="14">
        <v>14350.280433287611</v>
      </c>
      <c r="M55" s="14">
        <v>15271.542231555322</v>
      </c>
      <c r="N55" s="14">
        <v>16074.221660628864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D56" s="14">
        <v>0.55126200000000003</v>
      </c>
      <c r="E56" s="14">
        <v>0.27214200000000005</v>
      </c>
      <c r="F56" s="14">
        <v>39.715545758633766</v>
      </c>
      <c r="G56" s="14">
        <v>2003.9684113962383</v>
      </c>
      <c r="H56" s="14">
        <v>4276.9568295709996</v>
      </c>
      <c r="I56" s="14">
        <v>9231.965035709678</v>
      </c>
      <c r="J56" s="14">
        <v>16228.74313770946</v>
      </c>
      <c r="K56" s="14">
        <v>17786.742330082583</v>
      </c>
      <c r="L56" s="14">
        <v>19377.030461981616</v>
      </c>
      <c r="M56" s="14">
        <v>21619.825226232555</v>
      </c>
      <c r="N56" s="14">
        <v>23553.858976758391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D57" s="14">
        <v>0.55126200000000003</v>
      </c>
      <c r="E57" s="14">
        <v>0.27214200000000005</v>
      </c>
      <c r="F57" s="14">
        <v>39.715545758633766</v>
      </c>
      <c r="G57" s="14">
        <v>1069.5883483275736</v>
      </c>
      <c r="H57" s="14">
        <v>3950.652225962599</v>
      </c>
      <c r="I57" s="14">
        <v>7454.246045575841</v>
      </c>
      <c r="J57" s="14">
        <v>11006.112350258712</v>
      </c>
      <c r="K57" s="14">
        <v>16623.568649151122</v>
      </c>
      <c r="L57" s="14">
        <v>17981.504967768265</v>
      </c>
      <c r="M57" s="14">
        <v>19158.695679966055</v>
      </c>
      <c r="N57" s="14">
        <v>20279.420337519139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D58" s="14">
        <v>0.55126200000000003</v>
      </c>
      <c r="E58" s="14">
        <v>0.27214200000000005</v>
      </c>
      <c r="F58" s="14">
        <v>39.715545758633766</v>
      </c>
      <c r="G58" s="14">
        <v>1130.2454144358746</v>
      </c>
      <c r="H58" s="14">
        <v>4395.4478487279748</v>
      </c>
      <c r="I58" s="14">
        <v>10346.618019879585</v>
      </c>
      <c r="J58" s="14">
        <v>14942.983261331266</v>
      </c>
      <c r="K58" s="14">
        <v>18421.524446237447</v>
      </c>
      <c r="L58" s="14">
        <v>20561.454263369928</v>
      </c>
      <c r="M58" s="14">
        <v>21741.663786238249</v>
      </c>
      <c r="N58" s="14">
        <v>23569.571100268739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D59" s="14">
        <v>0.55126200000000003</v>
      </c>
      <c r="E59" s="14">
        <v>0.27214200000000005</v>
      </c>
      <c r="F59" s="14">
        <v>39.715545758633766</v>
      </c>
      <c r="G59" s="14">
        <v>1069.5883483275736</v>
      </c>
      <c r="H59" s="14">
        <v>4136.5183599319244</v>
      </c>
      <c r="I59" s="14">
        <v>9648.6523299483033</v>
      </c>
      <c r="J59" s="14">
        <v>13365.104084295897</v>
      </c>
      <c r="K59" s="14">
        <v>17037.636776940275</v>
      </c>
      <c r="L59" s="14">
        <v>20275.310977684265</v>
      </c>
      <c r="M59" s="14">
        <v>21744.412550279132</v>
      </c>
      <c r="N59" s="14">
        <v>23615.877285419334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D60" s="14">
        <v>0.55126200000000003</v>
      </c>
      <c r="E60" s="14">
        <v>0.27214200000000005</v>
      </c>
      <c r="F60" s="14">
        <v>39.715545758633766</v>
      </c>
      <c r="G60" s="14">
        <v>1148.2875370024105</v>
      </c>
      <c r="H60" s="14">
        <v>4400.8139342872009</v>
      </c>
      <c r="I60" s="14">
        <v>10346.603629910936</v>
      </c>
      <c r="J60" s="14">
        <v>14943.92848157042</v>
      </c>
      <c r="K60" s="14">
        <v>18421.202459459506</v>
      </c>
      <c r="L60" s="14">
        <v>20597.117196155599</v>
      </c>
      <c r="M60" s="14">
        <v>21741.373253551978</v>
      </c>
      <c r="N60" s="14">
        <v>23601.592923637156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D61" s="14">
        <v>0.55126200000000003</v>
      </c>
      <c r="E61" s="14">
        <v>0.27214200000000005</v>
      </c>
      <c r="F61" s="14">
        <v>39.715545758633766</v>
      </c>
      <c r="G61" s="14">
        <v>1069.5883483275736</v>
      </c>
      <c r="H61" s="14">
        <v>4139.4131807954809</v>
      </c>
      <c r="I61" s="14">
        <v>9742.6781871365001</v>
      </c>
      <c r="J61" s="14">
        <v>13377.466974619725</v>
      </c>
      <c r="K61" s="14">
        <v>17058.068135270263</v>
      </c>
      <c r="L61" s="14">
        <v>20269.176018910362</v>
      </c>
      <c r="M61" s="14">
        <v>21730.94724358683</v>
      </c>
      <c r="N61" s="14">
        <v>23607.381424125855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D62" s="14">
        <v>0.55126200000000003</v>
      </c>
      <c r="E62" s="14">
        <v>0.27214200000000005</v>
      </c>
      <c r="F62" s="14">
        <v>39.715545758633766</v>
      </c>
      <c r="G62" s="14">
        <v>1130.2454144358746</v>
      </c>
      <c r="H62" s="14">
        <v>4395.4478487279748</v>
      </c>
      <c r="I62" s="14">
        <v>10346.618019879585</v>
      </c>
      <c r="J62" s="14">
        <v>14942.983261331266</v>
      </c>
      <c r="K62" s="14">
        <v>18421.524446237712</v>
      </c>
      <c r="L62" s="14">
        <v>20561.454263370008</v>
      </c>
      <c r="M62" s="14">
        <v>21741.663786238249</v>
      </c>
      <c r="N62" s="14">
        <v>23569.571100268739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D63" s="14">
        <v>0.55126200000000003</v>
      </c>
      <c r="E63" s="14">
        <v>0.27214200000000005</v>
      </c>
      <c r="F63" s="14">
        <v>39.715545758633766</v>
      </c>
      <c r="G63" s="14">
        <v>1087.8397472504214</v>
      </c>
      <c r="H63" s="14">
        <v>4153.5059618013538</v>
      </c>
      <c r="I63" s="14">
        <v>9746.9405155306486</v>
      </c>
      <c r="J63" s="14">
        <v>14499.874008228842</v>
      </c>
      <c r="K63" s="14">
        <v>16676.399593206916</v>
      </c>
      <c r="L63" s="14">
        <v>19072.274881925838</v>
      </c>
      <c r="M63" s="14">
        <v>21482.791789169707</v>
      </c>
      <c r="N63" s="14">
        <v>23508.935988787092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D64" s="14">
        <v>0.55126200000000003</v>
      </c>
      <c r="E64" s="14">
        <v>0.27214200000000005</v>
      </c>
      <c r="F64" s="14">
        <v>39.715545758633766</v>
      </c>
      <c r="G64" s="14">
        <v>1069.5883483275736</v>
      </c>
      <c r="H64" s="14">
        <v>4136.5183599319216</v>
      </c>
      <c r="I64" s="14">
        <v>9648.652329948276</v>
      </c>
      <c r="J64" s="14">
        <v>13365.104084295921</v>
      </c>
      <c r="K64" s="14">
        <v>17037.636776940286</v>
      </c>
      <c r="L64" s="14">
        <v>20275.310977684829</v>
      </c>
      <c r="M64" s="14">
        <v>21744.412550279132</v>
      </c>
      <c r="N64" s="14">
        <v>23615.877285419334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D65" s="14">
        <v>0.55126200000000003</v>
      </c>
      <c r="E65" s="14">
        <v>0.27214200000000005</v>
      </c>
      <c r="F65" s="14">
        <v>39.715545758633766</v>
      </c>
      <c r="G65" s="14">
        <v>2179.8622543927167</v>
      </c>
      <c r="H65" s="14">
        <v>5863.8321424408687</v>
      </c>
      <c r="I65" s="14">
        <v>11731.050850112166</v>
      </c>
      <c r="J65" s="14">
        <v>16763.261947631858</v>
      </c>
      <c r="K65" s="14">
        <v>20187.063777692158</v>
      </c>
      <c r="L65" s="14">
        <v>21848.102978456336</v>
      </c>
      <c r="M65" s="14">
        <v>23223.196636067674</v>
      </c>
      <c r="N65" s="14">
        <v>24839.279134313685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D66" s="14">
        <v>0.55126200000000003</v>
      </c>
      <c r="E66" s="14">
        <v>0.27214200000000005</v>
      </c>
      <c r="F66" s="14">
        <v>39.715545758633766</v>
      </c>
      <c r="G66" s="14">
        <v>1069.5883483275736</v>
      </c>
      <c r="H66" s="14">
        <v>5224.2802220438125</v>
      </c>
      <c r="I66" s="14">
        <v>11629.527236542648</v>
      </c>
      <c r="J66" s="14">
        <v>15722.445299207306</v>
      </c>
      <c r="K66" s="14">
        <v>18942.448367475994</v>
      </c>
      <c r="L66" s="14">
        <v>21586.579810818919</v>
      </c>
      <c r="M66" s="14">
        <v>23139.98199382774</v>
      </c>
      <c r="N66" s="14">
        <v>24825.421116629997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D67" s="14">
        <v>0.55126200000000003</v>
      </c>
      <c r="E67" s="14">
        <v>0.27214200000000005</v>
      </c>
      <c r="F67" s="14">
        <v>39.715545758633766</v>
      </c>
      <c r="G67" s="14">
        <v>1012.6805124232906</v>
      </c>
      <c r="H67" s="14">
        <v>3793.1351033952706</v>
      </c>
      <c r="I67" s="14">
        <v>8744.7038716175884</v>
      </c>
      <c r="J67" s="14">
        <v>12001.393567575924</v>
      </c>
      <c r="K67" s="14">
        <v>14147.490325501782</v>
      </c>
      <c r="L67" s="14">
        <v>16145.39513018248</v>
      </c>
      <c r="M67" s="14">
        <v>17342.754785639827</v>
      </c>
      <c r="N67" s="14">
        <v>18590.377015460599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D68" s="14">
        <v>0.55126200000000003</v>
      </c>
      <c r="E68" s="14">
        <v>0.27214200000000005</v>
      </c>
      <c r="F68" s="14">
        <v>39.715545758633766</v>
      </c>
      <c r="G68" s="14">
        <v>1069.5883483275736</v>
      </c>
      <c r="H68" s="14">
        <v>3561.7409576576129</v>
      </c>
      <c r="I68" s="14">
        <v>8346.3220684562075</v>
      </c>
      <c r="J68" s="14">
        <v>10492.261243208044</v>
      </c>
      <c r="K68" s="14">
        <v>13706.64807687941</v>
      </c>
      <c r="L68" s="14">
        <v>16038.226702805641</v>
      </c>
      <c r="M68" s="14">
        <v>17330.429217139725</v>
      </c>
      <c r="N68" s="14">
        <v>18588.294116941885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D69" s="14">
        <v>0.55126200000000003</v>
      </c>
      <c r="E69" s="14">
        <v>0.27214200000000005</v>
      </c>
      <c r="F69" s="14">
        <v>39.715545758633766</v>
      </c>
      <c r="G69" s="14">
        <v>1130.2454144358746</v>
      </c>
      <c r="H69" s="14">
        <v>4433.6266683366284</v>
      </c>
      <c r="I69" s="14">
        <v>10371.517344326721</v>
      </c>
      <c r="J69" s="14">
        <v>14865.02669729335</v>
      </c>
      <c r="K69" s="14">
        <v>18386.21953712223</v>
      </c>
      <c r="L69" s="14">
        <v>20549.096030219112</v>
      </c>
      <c r="M69" s="14">
        <v>21740.662028200612</v>
      </c>
      <c r="N69" s="14">
        <v>23567.634627741492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D70" s="14">
        <v>0.55126200000000003</v>
      </c>
      <c r="E70" s="14">
        <v>0.27214200000000005</v>
      </c>
      <c r="F70" s="14">
        <v>39.715545758633766</v>
      </c>
      <c r="G70" s="14">
        <v>1110.6666556858063</v>
      </c>
      <c r="H70" s="14">
        <v>4199.875967417026</v>
      </c>
      <c r="I70" s="14">
        <v>9770.8452424066199</v>
      </c>
      <c r="J70" s="14">
        <v>14553.719955923556</v>
      </c>
      <c r="K70" s="14">
        <v>16717.286032878015</v>
      </c>
      <c r="L70" s="14">
        <v>20189.59205260982</v>
      </c>
      <c r="M70" s="14">
        <v>21998.734618237206</v>
      </c>
      <c r="N70" s="14">
        <v>23571.084713757584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D71" s="14">
        <v>0.55126200000000003</v>
      </c>
      <c r="E71" s="14">
        <v>0.27214200000000005</v>
      </c>
      <c r="F71" s="14">
        <v>39.715545758633766</v>
      </c>
      <c r="G71" s="14">
        <v>1069.5883483275736</v>
      </c>
      <c r="H71" s="14">
        <v>4055.2731880678975</v>
      </c>
      <c r="I71" s="14">
        <v>9580.8683255127289</v>
      </c>
      <c r="J71" s="14">
        <v>14316.373936400665</v>
      </c>
      <c r="K71" s="14">
        <v>16656.879969528945</v>
      </c>
      <c r="L71" s="14">
        <v>19462.838239799108</v>
      </c>
      <c r="M71" s="14">
        <v>21575.714685983403</v>
      </c>
      <c r="N71" s="14">
        <v>23504.46129235646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D72" s="14">
        <v>0.55126200000000003</v>
      </c>
      <c r="E72" s="14">
        <v>0.27214200000000005</v>
      </c>
      <c r="F72" s="14">
        <v>39.715545758633766</v>
      </c>
      <c r="G72" s="14">
        <v>1087.8397472504214</v>
      </c>
      <c r="H72" s="14">
        <v>4193.2194465730618</v>
      </c>
      <c r="I72" s="14">
        <v>9772.2348354780079</v>
      </c>
      <c r="J72" s="14">
        <v>14491.344294156945</v>
      </c>
      <c r="K72" s="14">
        <v>16677.523684793432</v>
      </c>
      <c r="L72" s="14">
        <v>19146.504957726564</v>
      </c>
      <c r="M72" s="14">
        <v>21498.616094548757</v>
      </c>
      <c r="N72" s="14">
        <v>23494.040311479705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D73" s="14">
        <v>0.55126200000000003</v>
      </c>
      <c r="E73" s="14">
        <v>0.27214200000000005</v>
      </c>
      <c r="F73" s="14">
        <v>39.715545758633766</v>
      </c>
      <c r="G73" s="14">
        <v>1069.5883483275736</v>
      </c>
      <c r="H73" s="14">
        <v>4055.0588483342849</v>
      </c>
      <c r="I73" s="14">
        <v>9580.7289479646042</v>
      </c>
      <c r="J73" s="14">
        <v>14326.355812814496</v>
      </c>
      <c r="K73" s="14">
        <v>16745.940240618147</v>
      </c>
      <c r="L73" s="14">
        <v>19637.829813544446</v>
      </c>
      <c r="M73" s="14">
        <v>21597.513557010287</v>
      </c>
      <c r="N73" s="14">
        <v>23521.494146788475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D74" s="14">
        <v>0.55126200000000003</v>
      </c>
      <c r="E74" s="14">
        <v>0.27214200000000005</v>
      </c>
      <c r="F74" s="14">
        <v>39.715545758633766</v>
      </c>
      <c r="G74" s="14">
        <v>2987.1868954474389</v>
      </c>
      <c r="H74" s="14">
        <v>6288.9695919427177</v>
      </c>
      <c r="I74" s="14">
        <v>12162.344866724903</v>
      </c>
      <c r="J74" s="14">
        <v>17240.406461598093</v>
      </c>
      <c r="K74" s="14">
        <v>20602.102468841611</v>
      </c>
      <c r="L74" s="14">
        <v>22280.234277310054</v>
      </c>
      <c r="M74" s="14">
        <v>23640.855220019748</v>
      </c>
      <c r="N74" s="14">
        <v>25412.979598641221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D75" s="14">
        <v>0.55126200000000003</v>
      </c>
      <c r="E75" s="14">
        <v>0.27214200000000005</v>
      </c>
      <c r="F75" s="14">
        <v>39.715545758633766</v>
      </c>
      <c r="G75" s="14">
        <v>1069.5883483275736</v>
      </c>
      <c r="H75" s="14">
        <v>5060.7707909388009</v>
      </c>
      <c r="I75" s="14">
        <v>10927.931781296626</v>
      </c>
      <c r="J75" s="14">
        <v>15242.098029906972</v>
      </c>
      <c r="K75" s="14">
        <v>18209.544405355449</v>
      </c>
      <c r="L75" s="14">
        <v>21467.870154214685</v>
      </c>
      <c r="M75" s="14">
        <v>23205.730397427142</v>
      </c>
      <c r="N75" s="14">
        <v>24824.160320388539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D76" s="14">
        <v>0.55126200000000003</v>
      </c>
      <c r="E76" s="14">
        <v>0.27214200000000005</v>
      </c>
      <c r="F76" s="14">
        <v>39.715545758633766</v>
      </c>
      <c r="G76" s="14">
        <v>999.95558638009925</v>
      </c>
      <c r="H76" s="14">
        <v>3675.5480065476968</v>
      </c>
      <c r="I76" s="14">
        <v>8192.341798754469</v>
      </c>
      <c r="J76" s="14">
        <v>11770.760958235978</v>
      </c>
      <c r="K76" s="14">
        <v>13245.891370034678</v>
      </c>
      <c r="L76" s="14">
        <v>14510.010924640565</v>
      </c>
      <c r="M76" s="14">
        <v>16351.1018196974</v>
      </c>
      <c r="N76" s="14">
        <v>18377.124008339604</v>
      </c>
    </row>
  </sheetData>
  <conditionalFormatting sqref="A1:XFD12 A13 C13:E13 A14:XFD18 A20:XFD1048576 N19:XFD19 J13:XFD13">
    <cfRule type="expression" dxfId="141" priority="4">
      <formula>_xlfn.ISFORMULA(A1)</formula>
    </cfRule>
  </conditionalFormatting>
  <conditionalFormatting sqref="B13">
    <cfRule type="expression" dxfId="140" priority="3">
      <formula>_xlfn.ISFORMULA(B13)</formula>
    </cfRule>
  </conditionalFormatting>
  <conditionalFormatting sqref="A19:M19">
    <cfRule type="expression" dxfId="139" priority="2">
      <formula>_xlfn.ISFORMULA(A19)</formula>
    </cfRule>
  </conditionalFormatting>
  <conditionalFormatting sqref="F13:I13">
    <cfRule type="expression" dxfId="138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32C7702-C4DA-4D94-825C-E19E261BC94E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91097-4D4E-4E10-86AB-CE398B6BCCD4}">
  <sheetPr>
    <tabColor theme="5" tint="0.39997558519241921"/>
  </sheetPr>
  <dimension ref="A1:S76"/>
  <sheetViews>
    <sheetView zoomScale="70" zoomScaleNormal="70" workbookViewId="0">
      <selection activeCell="D37" sqref="D37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214</v>
      </c>
    </row>
    <row r="2" spans="1:9" s="5" customFormat="1" x14ac:dyDescent="0.3">
      <c r="A2" s="5" t="s">
        <v>5</v>
      </c>
      <c r="B2" s="5" t="s">
        <v>215</v>
      </c>
    </row>
    <row r="3" spans="1:9" s="5" customFormat="1" x14ac:dyDescent="0.3">
      <c r="A3" s="5" t="s">
        <v>6</v>
      </c>
      <c r="B3" s="5" t="s">
        <v>216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10</v>
      </c>
      <c r="D7" s="5" t="s">
        <v>1021</v>
      </c>
    </row>
    <row r="8" spans="1:9" s="5" customFormat="1" x14ac:dyDescent="0.3">
      <c r="B8" s="5" t="s">
        <v>190</v>
      </c>
      <c r="C8" s="5" t="s">
        <v>95</v>
      </c>
      <c r="D8" s="5" t="s">
        <v>95</v>
      </c>
    </row>
    <row r="9" spans="1:9" s="5" customFormat="1" x14ac:dyDescent="0.3">
      <c r="B9" s="5" t="s">
        <v>189</v>
      </c>
      <c r="C9" s="5" t="s">
        <v>192</v>
      </c>
      <c r="D9" s="5" t="s">
        <v>204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$D$8:$O630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274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>INDEX($D$38:$N$76,MATCH(B$24,$B$38:$B$76,0),MATCH($A25,$D$37:$N$37,0))</f>
        <v>820.1343749999993</v>
      </c>
      <c r="C25" s="14">
        <f t="shared" ref="C25:M25" si="2">INDEX($D$38:$N$76,MATCH(C$24,$B$38:$B$76,0),MATCH($A25,$D$37:$N$37,0))</f>
        <v>819.98437499999932</v>
      </c>
      <c r="D25" s="14">
        <f t="shared" si="2"/>
        <v>820.1343749999993</v>
      </c>
      <c r="E25" s="14">
        <f t="shared" si="2"/>
        <v>820.1343749999993</v>
      </c>
      <c r="F25" s="14">
        <f t="shared" si="2"/>
        <v>820.1343749999993</v>
      </c>
      <c r="G25" s="14">
        <f t="shared" si="2"/>
        <v>820.1343749999993</v>
      </c>
      <c r="H25" s="14">
        <f t="shared" si="2"/>
        <v>820.1343749999993</v>
      </c>
      <c r="I25" s="14">
        <f t="shared" si="2"/>
        <v>820.1343749999993</v>
      </c>
      <c r="J25" s="14">
        <f t="shared" si="2"/>
        <v>820.1343749999993</v>
      </c>
      <c r="K25" s="14" t="e">
        <f t="shared" si="2"/>
        <v>#N/A</v>
      </c>
      <c r="L25" s="14" t="e">
        <f t="shared" si="2"/>
        <v>#N/A</v>
      </c>
      <c r="M25" s="14" t="e">
        <f t="shared" si="2"/>
        <v>#N/A</v>
      </c>
    </row>
    <row r="26" spans="1:13" x14ac:dyDescent="0.3">
      <c r="A26" s="3">
        <v>2020</v>
      </c>
      <c r="B26" s="14">
        <f t="shared" ref="B26:M34" si="3">INDEX($D$38:$N$76,MATCH(B$24,$B$38:$B$76,0),MATCH($A26,$D$37:$N$37,0))</f>
        <v>784.12847249798097</v>
      </c>
      <c r="C26" s="14">
        <f t="shared" si="3"/>
        <v>857.0639148243032</v>
      </c>
      <c r="D26" s="14">
        <f t="shared" si="3"/>
        <v>1443.6724304473942</v>
      </c>
      <c r="E26" s="14">
        <f t="shared" si="3"/>
        <v>1443.6724304473942</v>
      </c>
      <c r="F26" s="14">
        <f t="shared" si="3"/>
        <v>1443.6724304473942</v>
      </c>
      <c r="G26" s="14">
        <f t="shared" si="3"/>
        <v>1443.6724304473942</v>
      </c>
      <c r="H26" s="14">
        <f t="shared" si="3"/>
        <v>1443.6724304473942</v>
      </c>
      <c r="I26" s="14">
        <f t="shared" si="3"/>
        <v>1443.6724304473942</v>
      </c>
      <c r="J26" s="14">
        <f t="shared" si="3"/>
        <v>1443.6724304473942</v>
      </c>
      <c r="K26" s="14" t="e">
        <f t="shared" si="3"/>
        <v>#N/A</v>
      </c>
      <c r="L26" s="14" t="e">
        <f t="shared" si="3"/>
        <v>#N/A</v>
      </c>
      <c r="M26" s="14" t="e">
        <f t="shared" si="3"/>
        <v>#N/A</v>
      </c>
    </row>
    <row r="27" spans="1:13" x14ac:dyDescent="0.3">
      <c r="A27" s="3">
        <v>2030</v>
      </c>
      <c r="B27" s="14">
        <f t="shared" si="3"/>
        <v>410.88685350032904</v>
      </c>
      <c r="C27" s="14">
        <f t="shared" si="3"/>
        <v>452.73603507320263</v>
      </c>
      <c r="D27" s="14">
        <f t="shared" si="3"/>
        <v>1052.0173273984929</v>
      </c>
      <c r="E27" s="14">
        <f t="shared" si="3"/>
        <v>1871.5056046834272</v>
      </c>
      <c r="F27" s="14">
        <f t="shared" si="3"/>
        <v>1052.0173273984929</v>
      </c>
      <c r="G27" s="14">
        <f t="shared" si="3"/>
        <v>3997.269150927073</v>
      </c>
      <c r="H27" s="14">
        <f t="shared" si="3"/>
        <v>1052.0173273984929</v>
      </c>
      <c r="I27" s="14">
        <f t="shared" si="3"/>
        <v>2079.1488960224824</v>
      </c>
      <c r="J27" s="14">
        <f t="shared" si="3"/>
        <v>1052.0173273984929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0</v>
      </c>
      <c r="C28" s="14">
        <f t="shared" si="3"/>
        <v>34.163561250000022</v>
      </c>
      <c r="D28" s="14">
        <f t="shared" si="3"/>
        <v>515.46111562021497</v>
      </c>
      <c r="E28" s="14">
        <f t="shared" si="3"/>
        <v>2977.5085267383274</v>
      </c>
      <c r="F28" s="14">
        <f t="shared" si="3"/>
        <v>3074.8451793290601</v>
      </c>
      <c r="G28" s="14">
        <f t="shared" si="3"/>
        <v>3430.8329537577511</v>
      </c>
      <c r="H28" s="14">
        <f t="shared" si="3"/>
        <v>3137.3585720713772</v>
      </c>
      <c r="I28" s="14">
        <f t="shared" si="3"/>
        <v>2620.8106662094469</v>
      </c>
      <c r="J28" s="14">
        <f t="shared" si="3"/>
        <v>2481.766341444174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4284.5338316782081</v>
      </c>
      <c r="C29" s="14">
        <f t="shared" si="3"/>
        <v>4240.3465309497524</v>
      </c>
      <c r="D29" s="14">
        <f t="shared" si="3"/>
        <v>2652.7715056347561</v>
      </c>
      <c r="E29" s="14">
        <f t="shared" si="3"/>
        <v>5657.2628908581228</v>
      </c>
      <c r="F29" s="14">
        <f t="shared" si="3"/>
        <v>7785.6167139528516</v>
      </c>
      <c r="G29" s="14">
        <f t="shared" si="3"/>
        <v>1695.7028623299284</v>
      </c>
      <c r="H29" s="14">
        <f t="shared" si="3"/>
        <v>5832.1064336131021</v>
      </c>
      <c r="I29" s="14">
        <f t="shared" si="3"/>
        <v>5864.5961278498489</v>
      </c>
      <c r="J29" s="14">
        <f t="shared" si="3"/>
        <v>10232.214953819815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3216.1992121064386</v>
      </c>
      <c r="C30" s="14">
        <f t="shared" si="3"/>
        <v>2797.1047381654653</v>
      </c>
      <c r="D30" s="14">
        <f t="shared" si="3"/>
        <v>1957.7930553681019</v>
      </c>
      <c r="E30" s="14">
        <f t="shared" si="3"/>
        <v>6743.9301628861758</v>
      </c>
      <c r="F30" s="14">
        <f t="shared" si="3"/>
        <v>7464.8813305393687</v>
      </c>
      <c r="G30" s="14">
        <f t="shared" si="3"/>
        <v>10.2551771891643</v>
      </c>
      <c r="H30" s="14">
        <f t="shared" si="3"/>
        <v>1079.9026866588292</v>
      </c>
      <c r="I30" s="14">
        <f t="shared" si="3"/>
        <v>4547.1800482021517</v>
      </c>
      <c r="J30" s="14">
        <f t="shared" si="3"/>
        <v>7076.7615226236612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3812.4156800581031</v>
      </c>
      <c r="C31" s="14">
        <f t="shared" si="3"/>
        <v>3673.5736363389751</v>
      </c>
      <c r="D31" s="14">
        <f t="shared" si="3"/>
        <v>2809.541834151385</v>
      </c>
      <c r="E31" s="14">
        <f t="shared" si="3"/>
        <v>12288.991039740244</v>
      </c>
      <c r="F31" s="14">
        <f t="shared" si="3"/>
        <v>10329.598297239165</v>
      </c>
      <c r="G31" s="14">
        <f t="shared" si="3"/>
        <v>2087.2643529085135</v>
      </c>
      <c r="H31" s="14">
        <f t="shared" si="3"/>
        <v>1256.6776088637519</v>
      </c>
      <c r="I31" s="14">
        <f t="shared" si="3"/>
        <v>2449.3224649516669</v>
      </c>
      <c r="J31" s="14">
        <f t="shared" si="3"/>
        <v>3213.4284367504915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3277.1507090675386</v>
      </c>
      <c r="C32" s="14">
        <f t="shared" si="3"/>
        <v>3319.3222931046839</v>
      </c>
      <c r="D32" s="14">
        <f t="shared" si="3"/>
        <v>4046.8914150189366</v>
      </c>
      <c r="E32" s="14">
        <f t="shared" si="3"/>
        <v>12023.84274600945</v>
      </c>
      <c r="F32" s="14">
        <f t="shared" si="3"/>
        <v>9636.6969431290418</v>
      </c>
      <c r="G32" s="14">
        <f t="shared" si="3"/>
        <v>6761.2494270064526</v>
      </c>
      <c r="H32" s="14">
        <f t="shared" si="3"/>
        <v>6817.1865726982305</v>
      </c>
      <c r="I32" s="14">
        <f t="shared" si="3"/>
        <v>4826.7543165582538</v>
      </c>
      <c r="J32" s="14">
        <f t="shared" si="3"/>
        <v>4593.9230794516134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4675.2201192960365</v>
      </c>
      <c r="C33" s="14">
        <f t="shared" si="3"/>
        <v>4749.7231006549209</v>
      </c>
      <c r="D33" s="14">
        <f t="shared" si="3"/>
        <v>5335.8982570118906</v>
      </c>
      <c r="E33" s="14">
        <f t="shared" si="3"/>
        <v>10395.065596648592</v>
      </c>
      <c r="F33" s="14">
        <f t="shared" si="3"/>
        <v>9593.4081412432934</v>
      </c>
      <c r="G33" s="14">
        <f t="shared" si="3"/>
        <v>7801.9982072327157</v>
      </c>
      <c r="H33" s="14">
        <f t="shared" si="3"/>
        <v>9076.8879256222335</v>
      </c>
      <c r="I33" s="14">
        <f t="shared" si="3"/>
        <v>6661.0994095655997</v>
      </c>
      <c r="J33" s="14">
        <f t="shared" si="3"/>
        <v>7363.6605794830903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12155.790118194265</v>
      </c>
      <c r="C34" s="14">
        <f t="shared" si="3"/>
        <v>12443.682492209206</v>
      </c>
      <c r="D34" s="14">
        <f t="shared" si="3"/>
        <v>12623.443655923078</v>
      </c>
      <c r="E34" s="14">
        <f t="shared" si="3"/>
        <v>14237.659352101065</v>
      </c>
      <c r="F34" s="14">
        <f t="shared" si="3"/>
        <v>13821.999469856626</v>
      </c>
      <c r="G34" s="14">
        <f t="shared" si="3"/>
        <v>13650.719049269355</v>
      </c>
      <c r="H34" s="14">
        <f t="shared" si="3"/>
        <v>25065.294814715879</v>
      </c>
      <c r="I34" s="14">
        <f t="shared" si="3"/>
        <v>12312.549542402907</v>
      </c>
      <c r="J34" s="14">
        <f t="shared" si="3"/>
        <v>12986.62483989224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D38" s="14">
        <v>0</v>
      </c>
      <c r="E38" s="14">
        <v>820.1343749999993</v>
      </c>
      <c r="F38" s="14">
        <v>784.12847249798097</v>
      </c>
      <c r="G38" s="14">
        <v>410.88685350032904</v>
      </c>
      <c r="H38" s="14">
        <v>0</v>
      </c>
      <c r="I38" s="14">
        <v>4284.5338316782081</v>
      </c>
      <c r="J38" s="14">
        <v>3216.1992121064386</v>
      </c>
      <c r="K38" s="14">
        <v>3812.4156800581031</v>
      </c>
      <c r="L38" s="14">
        <v>3277.1507090675386</v>
      </c>
      <c r="M38" s="14">
        <v>4675.2201192960365</v>
      </c>
      <c r="N38" s="14">
        <v>12155.790118194265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D39" s="14">
        <v>0</v>
      </c>
      <c r="E39" s="14">
        <v>819.98437499999932</v>
      </c>
      <c r="F39" s="14">
        <v>857.0639148243032</v>
      </c>
      <c r="G39" s="14">
        <v>452.73603507320263</v>
      </c>
      <c r="H39" s="14">
        <v>34.163561250000022</v>
      </c>
      <c r="I39" s="14">
        <v>4240.3465309497524</v>
      </c>
      <c r="J39" s="14">
        <v>2797.1047381654653</v>
      </c>
      <c r="K39" s="14">
        <v>3673.5736363389751</v>
      </c>
      <c r="L39" s="14">
        <v>3319.3222931046839</v>
      </c>
      <c r="M39" s="14">
        <v>4749.7231006549209</v>
      </c>
      <c r="N39" s="14">
        <v>12443.682492209206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D40" s="14">
        <v>0</v>
      </c>
      <c r="E40" s="14">
        <v>820.1343749999993</v>
      </c>
      <c r="F40" s="14">
        <v>1443.6724304473942</v>
      </c>
      <c r="G40" s="14">
        <v>1052.0173273984929</v>
      </c>
      <c r="H40" s="14">
        <v>515.46111562021497</v>
      </c>
      <c r="I40" s="14">
        <v>2652.7715056347561</v>
      </c>
      <c r="J40" s="14">
        <v>1957.7930553681019</v>
      </c>
      <c r="K40" s="14">
        <v>2809.541834151385</v>
      </c>
      <c r="L40" s="14">
        <v>4046.8914150189366</v>
      </c>
      <c r="M40" s="14">
        <v>5335.8982570118906</v>
      </c>
      <c r="N40" s="14">
        <v>12623.443655923078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D41" s="14">
        <v>0</v>
      </c>
      <c r="E41" s="14">
        <v>820.1343749999993</v>
      </c>
      <c r="F41" s="14">
        <v>1443.6724304473942</v>
      </c>
      <c r="G41" s="14">
        <v>1871.5056046834272</v>
      </c>
      <c r="H41" s="14">
        <v>2977.5085267383274</v>
      </c>
      <c r="I41" s="14">
        <v>5657.2628908581228</v>
      </c>
      <c r="J41" s="14">
        <v>6743.9301628861758</v>
      </c>
      <c r="K41" s="14">
        <v>12288.991039740244</v>
      </c>
      <c r="L41" s="14">
        <v>12023.84274600945</v>
      </c>
      <c r="M41" s="14">
        <v>10395.065596648592</v>
      </c>
      <c r="N41" s="14">
        <v>14237.659352101065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D42" s="14">
        <v>0</v>
      </c>
      <c r="E42" s="14">
        <v>820.1343749999993</v>
      </c>
      <c r="F42" s="14">
        <v>1443.6724304473942</v>
      </c>
      <c r="G42" s="14">
        <v>1052.0173273984929</v>
      </c>
      <c r="H42" s="14">
        <v>2142.9073003588965</v>
      </c>
      <c r="I42" s="14">
        <v>4719.3681892391432</v>
      </c>
      <c r="J42" s="14">
        <v>7495.2566904971955</v>
      </c>
      <c r="K42" s="14">
        <v>13482.006564205294</v>
      </c>
      <c r="L42" s="14">
        <v>14335.898663216969</v>
      </c>
      <c r="M42" s="14">
        <v>12087.187047775289</v>
      </c>
      <c r="N42" s="14">
        <v>14310.115550541614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D43" s="14">
        <v>0</v>
      </c>
      <c r="E43" s="14">
        <v>820.1343749999993</v>
      </c>
      <c r="F43" s="14">
        <v>1443.6724304473942</v>
      </c>
      <c r="G43" s="14">
        <v>1871.5056046834295</v>
      </c>
      <c r="H43" s="14">
        <v>2596.5216569809409</v>
      </c>
      <c r="I43" s="14">
        <v>5210.661318414569</v>
      </c>
      <c r="J43" s="14">
        <v>6643.4840007581661</v>
      </c>
      <c r="K43" s="14">
        <v>12515.262555913607</v>
      </c>
      <c r="L43" s="14">
        <v>12308.403984866316</v>
      </c>
      <c r="M43" s="14">
        <v>10457.349373040246</v>
      </c>
      <c r="N43" s="14">
        <v>14061.855023097147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D44" s="14">
        <v>0</v>
      </c>
      <c r="E44" s="14">
        <v>820.1343749999993</v>
      </c>
      <c r="F44" s="14">
        <v>1443.6724304473942</v>
      </c>
      <c r="G44" s="14">
        <v>1052.0173273984929</v>
      </c>
      <c r="H44" s="14">
        <v>3326.6039745353301</v>
      </c>
      <c r="I44" s="14">
        <v>7896.8169040793764</v>
      </c>
      <c r="J44" s="14">
        <v>7768.651677351967</v>
      </c>
      <c r="K44" s="14">
        <v>11066.642357024046</v>
      </c>
      <c r="L44" s="14">
        <v>9964.2571733037876</v>
      </c>
      <c r="M44" s="14">
        <v>9597.394694611583</v>
      </c>
      <c r="N44" s="14">
        <v>13796.485572618685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D45" s="14">
        <v>0</v>
      </c>
      <c r="E45" s="14">
        <v>820.1343749999993</v>
      </c>
      <c r="F45" s="14">
        <v>1443.6724304473942</v>
      </c>
      <c r="G45" s="14">
        <v>3997.269150927073</v>
      </c>
      <c r="H45" s="14">
        <v>3430.8329537577511</v>
      </c>
      <c r="I45" s="14">
        <v>1695.7028623299284</v>
      </c>
      <c r="J45" s="14">
        <v>10.2551771891643</v>
      </c>
      <c r="K45" s="14">
        <v>2087.2643529085135</v>
      </c>
      <c r="L45" s="14">
        <v>6761.2494270064526</v>
      </c>
      <c r="M45" s="14">
        <v>7801.9982072327157</v>
      </c>
      <c r="N45" s="14">
        <v>13650.719049269355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D46" s="14">
        <v>0</v>
      </c>
      <c r="E46" s="14">
        <v>820.1343749999993</v>
      </c>
      <c r="F46" s="14">
        <v>1443.6724304473942</v>
      </c>
      <c r="G46" s="14">
        <v>1052.0173273984929</v>
      </c>
      <c r="H46" s="14">
        <v>3137.3585720713772</v>
      </c>
      <c r="I46" s="14">
        <v>5832.1064336131021</v>
      </c>
      <c r="J46" s="14">
        <v>1079.9026866588292</v>
      </c>
      <c r="K46" s="14">
        <v>1256.6776088637519</v>
      </c>
      <c r="L46" s="14">
        <v>6817.1865726982305</v>
      </c>
      <c r="M46" s="14">
        <v>9076.8879256222335</v>
      </c>
      <c r="N46" s="14">
        <v>25065.294814715879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D47" s="14">
        <v>0</v>
      </c>
      <c r="E47" s="14">
        <v>820.1343749999993</v>
      </c>
      <c r="F47" s="14">
        <v>1443.6724304473942</v>
      </c>
      <c r="G47" s="14">
        <v>3971.2133699001693</v>
      </c>
      <c r="H47" s="14">
        <v>3430.2441097428118</v>
      </c>
      <c r="I47" s="14">
        <v>1543.1715911954329</v>
      </c>
      <c r="J47" s="14">
        <v>32.194248771513941</v>
      </c>
      <c r="K47" s="14">
        <v>2245.3878208396418</v>
      </c>
      <c r="L47" s="14">
        <v>6868.3177683620233</v>
      </c>
      <c r="M47" s="14">
        <v>8029.6238060449105</v>
      </c>
      <c r="N47" s="14">
        <v>13741.839790854905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D48" s="14">
        <v>0</v>
      </c>
      <c r="E48" s="14">
        <v>820.1343749999993</v>
      </c>
      <c r="F48" s="14">
        <v>1443.6724304473942</v>
      </c>
      <c r="G48" s="14">
        <v>1052.0173273984929</v>
      </c>
      <c r="H48" s="14">
        <v>3137.1282937127071</v>
      </c>
      <c r="I48" s="14">
        <v>6377.6069421527845</v>
      </c>
      <c r="J48" s="14">
        <v>699.36680933811806</v>
      </c>
      <c r="K48" s="14">
        <v>1058.7345167283618</v>
      </c>
      <c r="L48" s="14">
        <v>6095.8487044324165</v>
      </c>
      <c r="M48" s="14">
        <v>9679.9900431977057</v>
      </c>
      <c r="N48" s="14">
        <v>25398.591853176018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D49" s="14">
        <v>0</v>
      </c>
      <c r="E49" s="14">
        <v>820.1343749999993</v>
      </c>
      <c r="F49" s="14">
        <v>1443.6724304473942</v>
      </c>
      <c r="G49" s="14">
        <v>3997.269150927073</v>
      </c>
      <c r="H49" s="14">
        <v>3430.8329537577511</v>
      </c>
      <c r="I49" s="14">
        <v>1695.7028629031722</v>
      </c>
      <c r="J49" s="14">
        <v>10.2551771891643</v>
      </c>
      <c r="K49" s="14">
        <v>2087.2643529085162</v>
      </c>
      <c r="L49" s="14">
        <v>6761.2522404986812</v>
      </c>
      <c r="M49" s="14">
        <v>7802.0009983863038</v>
      </c>
      <c r="N49" s="14">
        <v>13650.719100471004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D50" s="14">
        <v>0</v>
      </c>
      <c r="E50" s="14">
        <v>820.1343749999993</v>
      </c>
      <c r="F50" s="14">
        <v>1443.6724304473942</v>
      </c>
      <c r="G50" s="14">
        <v>1052.0173273984929</v>
      </c>
      <c r="H50" s="14">
        <v>3137.3585720713772</v>
      </c>
      <c r="I50" s="14">
        <v>5832.1064336130949</v>
      </c>
      <c r="J50" s="14">
        <v>1079.9026866588292</v>
      </c>
      <c r="K50" s="14">
        <v>1256.6776088637512</v>
      </c>
      <c r="L50" s="14">
        <v>6817.1865726983178</v>
      </c>
      <c r="M50" s="14">
        <v>9076.8879256222845</v>
      </c>
      <c r="N50" s="14">
        <v>25065.294814715882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D51" s="14">
        <v>0</v>
      </c>
      <c r="E51" s="14">
        <v>820.1343749999993</v>
      </c>
      <c r="F51" s="14">
        <v>1443.6724304473942</v>
      </c>
      <c r="G51" s="14">
        <v>2832.4056871124367</v>
      </c>
      <c r="H51" s="14">
        <v>2755.9211130461235</v>
      </c>
      <c r="I51" s="14">
        <v>2268.3130926902049</v>
      </c>
      <c r="J51" s="14">
        <v>0</v>
      </c>
      <c r="K51" s="14">
        <v>1584.329840580968</v>
      </c>
      <c r="L51" s="14">
        <v>6141.7246386717197</v>
      </c>
      <c r="M51" s="14">
        <v>7440.4385861650462</v>
      </c>
      <c r="N51" s="14">
        <v>13250.183853151537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D52" s="14">
        <v>0</v>
      </c>
      <c r="E52" s="14">
        <v>820.1343749999993</v>
      </c>
      <c r="F52" s="14">
        <v>1443.6724304473942</v>
      </c>
      <c r="G52" s="14">
        <v>1052.0173273984929</v>
      </c>
      <c r="H52" s="14">
        <v>3074.8451793290601</v>
      </c>
      <c r="I52" s="14">
        <v>7785.6167139528516</v>
      </c>
      <c r="J52" s="14">
        <v>7464.8813305393687</v>
      </c>
      <c r="K52" s="14">
        <v>10329.598297239165</v>
      </c>
      <c r="L52" s="14">
        <v>9636.6969431290418</v>
      </c>
      <c r="M52" s="14">
        <v>9593.4081412432934</v>
      </c>
      <c r="N52" s="14">
        <v>13821.999469856626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D53" s="14">
        <v>0</v>
      </c>
      <c r="E53" s="14">
        <v>820.1343749999993</v>
      </c>
      <c r="F53" s="14">
        <v>1443.6724304473942</v>
      </c>
      <c r="G53" s="14">
        <v>1052.0173273984929</v>
      </c>
      <c r="H53" s="14">
        <v>3141.9383716581165</v>
      </c>
      <c r="I53" s="14">
        <v>5521.6691628096505</v>
      </c>
      <c r="J53" s="14">
        <v>1024.3337513375425</v>
      </c>
      <c r="K53" s="14">
        <v>1112.1699403642472</v>
      </c>
      <c r="L53" s="14">
        <v>5916.6662161467711</v>
      </c>
      <c r="M53" s="14">
        <v>9046.063236268812</v>
      </c>
      <c r="N53" s="14">
        <v>21223.555514746946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D54" s="14">
        <v>0</v>
      </c>
      <c r="E54" s="14">
        <v>820.1343749999993</v>
      </c>
      <c r="F54" s="14">
        <v>1443.6724304473942</v>
      </c>
      <c r="G54" s="14">
        <v>3277.0410757578193</v>
      </c>
      <c r="H54" s="14">
        <v>2600.6250719492245</v>
      </c>
      <c r="I54" s="14">
        <v>787.7694343883793</v>
      </c>
      <c r="J54" s="14">
        <v>0</v>
      </c>
      <c r="K54" s="14">
        <v>2053.3928289954547</v>
      </c>
      <c r="L54" s="14">
        <v>7699.6098017178538</v>
      </c>
      <c r="M54" s="14">
        <v>8128.8929952072021</v>
      </c>
      <c r="N54" s="14">
        <v>12841.336882643052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D55" s="14">
        <v>0</v>
      </c>
      <c r="E55" s="14">
        <v>820.1343749999993</v>
      </c>
      <c r="F55" s="14">
        <v>1443.6724304473942</v>
      </c>
      <c r="G55" s="14">
        <v>1052.0173273984929</v>
      </c>
      <c r="H55" s="14">
        <v>2582.120999826051</v>
      </c>
      <c r="I55" s="14">
        <v>5482.6523459574109</v>
      </c>
      <c r="J55" s="14">
        <v>658.12287055964998</v>
      </c>
      <c r="K55" s="14">
        <v>751.4571419371232</v>
      </c>
      <c r="L55" s="14">
        <v>5670.9356966108817</v>
      </c>
      <c r="M55" s="14">
        <v>10883.405374621512</v>
      </c>
      <c r="N55" s="14">
        <v>24717.048629347879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D56" s="14">
        <v>0</v>
      </c>
      <c r="E56" s="14">
        <v>820.1343749999993</v>
      </c>
      <c r="F56" s="14">
        <v>1443.6724304473942</v>
      </c>
      <c r="G56" s="14">
        <v>4069.5137257909564</v>
      </c>
      <c r="H56" s="14">
        <v>3428.7966633902106</v>
      </c>
      <c r="I56" s="14">
        <v>1289.4719952215573</v>
      </c>
      <c r="J56" s="14">
        <v>47.713499198159774</v>
      </c>
      <c r="K56" s="14">
        <v>2606.0371486736694</v>
      </c>
      <c r="L56" s="14">
        <v>8018.1085023001142</v>
      </c>
      <c r="M56" s="14">
        <v>8480.1025716339609</v>
      </c>
      <c r="N56" s="14">
        <v>13852.434278632041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D57" s="14">
        <v>0</v>
      </c>
      <c r="E57" s="14">
        <v>820.1343749999993</v>
      </c>
      <c r="F57" s="14">
        <v>1443.6724304473942</v>
      </c>
      <c r="G57" s="14">
        <v>1052.0173273984929</v>
      </c>
      <c r="H57" s="14">
        <v>3128.5778441660041</v>
      </c>
      <c r="I57" s="14">
        <v>6590.6891843912199</v>
      </c>
      <c r="J57" s="14">
        <v>1098.7899971542461</v>
      </c>
      <c r="K57" s="14">
        <v>1222.7539673012411</v>
      </c>
      <c r="L57" s="14">
        <v>5982.4078119063615</v>
      </c>
      <c r="M57" s="14">
        <v>9318.2689688319224</v>
      </c>
      <c r="N57" s="14">
        <v>25315.10844381696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D58" s="14">
        <v>0</v>
      </c>
      <c r="E58" s="14">
        <v>820.1343749999993</v>
      </c>
      <c r="F58" s="14">
        <v>1443.6724304473942</v>
      </c>
      <c r="G58" s="14">
        <v>2079.1488960224824</v>
      </c>
      <c r="H58" s="14">
        <v>2620.8106662094469</v>
      </c>
      <c r="I58" s="14">
        <v>5864.5961278498489</v>
      </c>
      <c r="J58" s="14">
        <v>4547.1800482021517</v>
      </c>
      <c r="K58" s="14">
        <v>2449.3224649516669</v>
      </c>
      <c r="L58" s="14">
        <v>4826.7543165582538</v>
      </c>
      <c r="M58" s="14">
        <v>6661.0994095655997</v>
      </c>
      <c r="N58" s="14">
        <v>12312.549542402907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D59" s="14">
        <v>0</v>
      </c>
      <c r="E59" s="14">
        <v>820.1343749999993</v>
      </c>
      <c r="F59" s="14">
        <v>1443.6724304473942</v>
      </c>
      <c r="G59" s="14">
        <v>1052.0173273984929</v>
      </c>
      <c r="H59" s="14">
        <v>2481.766341444174</v>
      </c>
      <c r="I59" s="14">
        <v>10232.214953819815</v>
      </c>
      <c r="J59" s="14">
        <v>7076.7615226236612</v>
      </c>
      <c r="K59" s="14">
        <v>3213.4284367504915</v>
      </c>
      <c r="L59" s="14">
        <v>4593.9230794516134</v>
      </c>
      <c r="M59" s="14">
        <v>7363.6605794830903</v>
      </c>
      <c r="N59" s="14">
        <v>12986.62483989224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D60" s="14">
        <v>0</v>
      </c>
      <c r="E60" s="14">
        <v>820.1343749999993</v>
      </c>
      <c r="F60" s="14">
        <v>1443.6724304473942</v>
      </c>
      <c r="G60" s="14">
        <v>1993.8781828673532</v>
      </c>
      <c r="H60" s="14">
        <v>4433.2291076610982</v>
      </c>
      <c r="I60" s="14">
        <v>8430.1119026034667</v>
      </c>
      <c r="J60" s="14">
        <v>6518.0096673365524</v>
      </c>
      <c r="K60" s="14">
        <v>4003.8967269658228</v>
      </c>
      <c r="L60" s="14">
        <v>5153.6779949337824</v>
      </c>
      <c r="M60" s="14">
        <v>6751.5528014962465</v>
      </c>
      <c r="N60" s="14">
        <v>12376.982148188914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D61" s="14">
        <v>0</v>
      </c>
      <c r="E61" s="14">
        <v>820.1343749999993</v>
      </c>
      <c r="F61" s="14">
        <v>1443.6724304473942</v>
      </c>
      <c r="G61" s="14">
        <v>1052.0173273984929</v>
      </c>
      <c r="H61" s="14">
        <v>2630.9844528656886</v>
      </c>
      <c r="I61" s="14">
        <v>9940.7032328425794</v>
      </c>
      <c r="J61" s="14">
        <v>7070.9353643697523</v>
      </c>
      <c r="K61" s="14">
        <v>3059.4143815457551</v>
      </c>
      <c r="L61" s="14">
        <v>4528.087704145576</v>
      </c>
      <c r="M61" s="14">
        <v>7360.9808145005218</v>
      </c>
      <c r="N61" s="14">
        <v>12954.324160493596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D62" s="14">
        <v>0</v>
      </c>
      <c r="E62" s="14">
        <v>820.1343749999993</v>
      </c>
      <c r="F62" s="14">
        <v>1443.6724304473942</v>
      </c>
      <c r="G62" s="14">
        <v>2079.1488960224733</v>
      </c>
      <c r="H62" s="14">
        <v>2620.8106662043242</v>
      </c>
      <c r="I62" s="14">
        <v>5864.5961278366958</v>
      </c>
      <c r="J62" s="14">
        <v>4547.180048195245</v>
      </c>
      <c r="K62" s="14">
        <v>2449.3224649512977</v>
      </c>
      <c r="L62" s="14">
        <v>4826.7543165539246</v>
      </c>
      <c r="M62" s="14">
        <v>6661.0994095619308</v>
      </c>
      <c r="N62" s="14">
        <v>12312.549542402907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D63" s="14">
        <v>0</v>
      </c>
      <c r="E63" s="14">
        <v>820.1343749999993</v>
      </c>
      <c r="F63" s="14">
        <v>1443.6724304473942</v>
      </c>
      <c r="G63" s="14">
        <v>1781.4664947202796</v>
      </c>
      <c r="H63" s="14">
        <v>2720.1589629620275</v>
      </c>
      <c r="I63" s="14">
        <v>6043.5056582015768</v>
      </c>
      <c r="J63" s="14">
        <v>7066.0621479795645</v>
      </c>
      <c r="K63" s="14">
        <v>12083.716865875365</v>
      </c>
      <c r="L63" s="14">
        <v>11885.874144187746</v>
      </c>
      <c r="M63" s="14">
        <v>10256.915153151924</v>
      </c>
      <c r="N63" s="14">
        <v>14168.186129300973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D64" s="14">
        <v>0</v>
      </c>
      <c r="E64" s="14">
        <v>820.1343749999993</v>
      </c>
      <c r="F64" s="14">
        <v>1443.6724304473942</v>
      </c>
      <c r="G64" s="14">
        <v>1052.0173273984929</v>
      </c>
      <c r="H64" s="14">
        <v>2481.7663414451968</v>
      </c>
      <c r="I64" s="14">
        <v>10232.214954984383</v>
      </c>
      <c r="J64" s="14">
        <v>7076.7615226235494</v>
      </c>
      <c r="K64" s="14">
        <v>3213.4284367500804</v>
      </c>
      <c r="L64" s="14">
        <v>4593.9230794512614</v>
      </c>
      <c r="M64" s="14">
        <v>7363.6605794830975</v>
      </c>
      <c r="N64" s="14">
        <v>12986.624839892236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D65" s="14">
        <v>0</v>
      </c>
      <c r="E65" s="14">
        <v>820.1343749999993</v>
      </c>
      <c r="F65" s="14">
        <v>1443.6724304473942</v>
      </c>
      <c r="G65" s="14">
        <v>594.54293858554547</v>
      </c>
      <c r="H65" s="14">
        <v>2312.9675115235732</v>
      </c>
      <c r="I65" s="14">
        <v>4824.1665793934517</v>
      </c>
      <c r="J65" s="14">
        <v>5162.9772055871799</v>
      </c>
      <c r="K65" s="14">
        <v>3061.8479008028771</v>
      </c>
      <c r="L65" s="14">
        <v>4029.5535576038037</v>
      </c>
      <c r="M65" s="14">
        <v>6258.6400961705967</v>
      </c>
      <c r="N65" s="14">
        <v>11983.999523379545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D66" s="14">
        <v>0</v>
      </c>
      <c r="E66" s="14">
        <v>820.1343749999993</v>
      </c>
      <c r="F66" s="14">
        <v>1443.6724304473942</v>
      </c>
      <c r="G66" s="14">
        <v>1052.0173273984929</v>
      </c>
      <c r="H66" s="14">
        <v>2359.4874514954831</v>
      </c>
      <c r="I66" s="14">
        <v>6506.0321111405556</v>
      </c>
      <c r="J66" s="14">
        <v>3819.6623116987444</v>
      </c>
      <c r="K66" s="14">
        <v>1503.6018426758765</v>
      </c>
      <c r="L66" s="14">
        <v>3186.9679986037172</v>
      </c>
      <c r="M66" s="14">
        <v>6414.7153087817733</v>
      </c>
      <c r="N66" s="14">
        <v>12471.988266215127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D67" s="14">
        <v>0</v>
      </c>
      <c r="E67" s="14">
        <v>820.1343749999993</v>
      </c>
      <c r="F67" s="14">
        <v>1443.6724304473942</v>
      </c>
      <c r="G67" s="14">
        <v>1769.6816766792663</v>
      </c>
      <c r="H67" s="14">
        <v>4176.2953176880847</v>
      </c>
      <c r="I67" s="14">
        <v>6765.4188070909067</v>
      </c>
      <c r="J67" s="14">
        <v>8267.0913097348675</v>
      </c>
      <c r="K67" s="14">
        <v>8367.3529546656409</v>
      </c>
      <c r="L67" s="14">
        <v>7314.6734898648192</v>
      </c>
      <c r="M67" s="14">
        <v>7283.7866307043005</v>
      </c>
      <c r="N67" s="14">
        <v>12011.003121119971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D68" s="14">
        <v>0</v>
      </c>
      <c r="E68" s="14">
        <v>820.1343749999993</v>
      </c>
      <c r="F68" s="14">
        <v>1443.6724304473942</v>
      </c>
      <c r="G68" s="14">
        <v>1052.0173273984929</v>
      </c>
      <c r="H68" s="14">
        <v>2546.7958186355418</v>
      </c>
      <c r="I68" s="14">
        <v>8235.034852272438</v>
      </c>
      <c r="J68" s="14">
        <v>7699.573978205005</v>
      </c>
      <c r="K68" s="14">
        <v>5275.552753927881</v>
      </c>
      <c r="L68" s="14">
        <v>5153.0952570516829</v>
      </c>
      <c r="M68" s="14">
        <v>8269.6121455271586</v>
      </c>
      <c r="N68" s="14">
        <v>12664.531128551633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D69" s="14">
        <v>0</v>
      </c>
      <c r="E69" s="14">
        <v>820.1343749999993</v>
      </c>
      <c r="F69" s="14">
        <v>1443.6724304473942</v>
      </c>
      <c r="G69" s="14">
        <v>2022.300613497265</v>
      </c>
      <c r="H69" s="14">
        <v>3035.3768820649193</v>
      </c>
      <c r="I69" s="14">
        <v>6176.0408659732693</v>
      </c>
      <c r="J69" s="14">
        <v>4837.4767374562525</v>
      </c>
      <c r="K69" s="14">
        <v>2175.2599036752299</v>
      </c>
      <c r="L69" s="14">
        <v>4751.886975631216</v>
      </c>
      <c r="M69" s="14">
        <v>6709.8825698287883</v>
      </c>
      <c r="N69" s="14">
        <v>12312.990818410208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D70" s="14">
        <v>0</v>
      </c>
      <c r="E70" s="14">
        <v>820.1343749999993</v>
      </c>
      <c r="F70" s="14">
        <v>1443.6724304473942</v>
      </c>
      <c r="G70" s="14">
        <v>1743.761218883717</v>
      </c>
      <c r="H70" s="14">
        <v>2969.3353980794368</v>
      </c>
      <c r="I70" s="14">
        <v>5071.6947987622707</v>
      </c>
      <c r="J70" s="14">
        <v>5923.7057169949167</v>
      </c>
      <c r="K70" s="14">
        <v>6670.7203374017272</v>
      </c>
      <c r="L70" s="14">
        <v>7352.0208887468925</v>
      </c>
      <c r="M70" s="14">
        <v>7884.7569376126548</v>
      </c>
      <c r="N70" s="14">
        <v>13905.915019308688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D71" s="14">
        <v>0</v>
      </c>
      <c r="E71" s="14">
        <v>820.1343749999993</v>
      </c>
      <c r="F71" s="14">
        <v>1443.6724304473942</v>
      </c>
      <c r="G71" s="14">
        <v>1052.0173273984929</v>
      </c>
      <c r="H71" s="14">
        <v>2786.9904062225105</v>
      </c>
      <c r="I71" s="14">
        <v>7648.8634129305428</v>
      </c>
      <c r="J71" s="14">
        <v>7776.6891140991138</v>
      </c>
      <c r="K71" s="14">
        <v>10509.070698684403</v>
      </c>
      <c r="L71" s="14">
        <v>9788.0495113653069</v>
      </c>
      <c r="M71" s="14">
        <v>9648.594351691514</v>
      </c>
      <c r="N71" s="14">
        <v>13978.539480016298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D72" s="14">
        <v>0</v>
      </c>
      <c r="E72" s="14">
        <v>820.1343749999993</v>
      </c>
      <c r="F72" s="14">
        <v>1443.6724304473942</v>
      </c>
      <c r="G72" s="14">
        <v>1871.5056051052486</v>
      </c>
      <c r="H72" s="14">
        <v>2977.9670392160479</v>
      </c>
      <c r="I72" s="14">
        <v>5660.7638672728854</v>
      </c>
      <c r="J72" s="14">
        <v>6805.7967023902238</v>
      </c>
      <c r="K72" s="14">
        <v>12443.802382354641</v>
      </c>
      <c r="L72" s="14">
        <v>12161.453117503032</v>
      </c>
      <c r="M72" s="14">
        <v>10467.160963398426</v>
      </c>
      <c r="N72" s="14">
        <v>14253.055753561128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D73" s="14">
        <v>0</v>
      </c>
      <c r="E73" s="14">
        <v>820.1343749999993</v>
      </c>
      <c r="F73" s="14">
        <v>1443.6724304473942</v>
      </c>
      <c r="G73" s="14">
        <v>1052.0173273984929</v>
      </c>
      <c r="H73" s="14">
        <v>3074.8451793257477</v>
      </c>
      <c r="I73" s="14">
        <v>7785.6167139528452</v>
      </c>
      <c r="J73" s="14">
        <v>7464.8813305753029</v>
      </c>
      <c r="K73" s="14">
        <v>10329.598297534845</v>
      </c>
      <c r="L73" s="14">
        <v>9636.6969432818842</v>
      </c>
      <c r="M73" s="14">
        <v>9593.4081412754149</v>
      </c>
      <c r="N73" s="14">
        <v>13821.999469869534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D74" s="14">
        <v>0</v>
      </c>
      <c r="E74" s="14">
        <v>820.1343749999993</v>
      </c>
      <c r="F74" s="14">
        <v>1443.6724304473942</v>
      </c>
      <c r="G74" s="14">
        <v>459.42167941480841</v>
      </c>
      <c r="H74" s="14">
        <v>1650.7366726174212</v>
      </c>
      <c r="I74" s="14">
        <v>3973.2850025954058</v>
      </c>
      <c r="J74" s="14">
        <v>5867.6050912597548</v>
      </c>
      <c r="K74" s="14">
        <v>9339.4361394222033</v>
      </c>
      <c r="L74" s="14">
        <v>10274.255776273163</v>
      </c>
      <c r="M74" s="14">
        <v>9452.9277780019911</v>
      </c>
      <c r="N74" s="14">
        <v>13890.893224649575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D75" s="14">
        <v>0</v>
      </c>
      <c r="E75" s="14">
        <v>820.1343749999993</v>
      </c>
      <c r="F75" s="14">
        <v>1443.6724304473942</v>
      </c>
      <c r="G75" s="14">
        <v>1052.0173273984929</v>
      </c>
      <c r="H75" s="14">
        <v>1544.5673201555544</v>
      </c>
      <c r="I75" s="14">
        <v>6756.4724107550101</v>
      </c>
      <c r="J75" s="14">
        <v>7422.3845129699275</v>
      </c>
      <c r="K75" s="14">
        <v>9995.0056341168711</v>
      </c>
      <c r="L75" s="14">
        <v>8685.6271476428719</v>
      </c>
      <c r="M75" s="14">
        <v>8765.9246021265826</v>
      </c>
      <c r="N75" s="14">
        <v>13557.623832385147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D76" s="14">
        <v>0</v>
      </c>
      <c r="E76" s="14">
        <v>820.1343749999993</v>
      </c>
      <c r="F76" s="14">
        <v>1443.6724304473942</v>
      </c>
      <c r="G76" s="14">
        <v>1129.8022515232078</v>
      </c>
      <c r="H76" s="14">
        <v>1985.0459772984391</v>
      </c>
      <c r="I76" s="14">
        <v>3998.5453767394442</v>
      </c>
      <c r="J76" s="14">
        <v>5607.0840100577971</v>
      </c>
      <c r="K76" s="14">
        <v>12800.516505273165</v>
      </c>
      <c r="L76" s="14">
        <v>15404.098300476937</v>
      </c>
      <c r="M76" s="14">
        <v>12896.444693069776</v>
      </c>
      <c r="N76" s="14">
        <v>15215.366982051048</v>
      </c>
    </row>
  </sheetData>
  <conditionalFormatting sqref="A1:XFD12 A13 C13:E13 A14:XFD18 A20:XFD1048576 N19:XFD19 J13:XFD13">
    <cfRule type="expression" dxfId="137" priority="4">
      <formula>_xlfn.ISFORMULA(A1)</formula>
    </cfRule>
  </conditionalFormatting>
  <conditionalFormatting sqref="B13">
    <cfRule type="expression" dxfId="136" priority="3">
      <formula>_xlfn.ISFORMULA(B13)</formula>
    </cfRule>
  </conditionalFormatting>
  <conditionalFormatting sqref="A19:M19">
    <cfRule type="expression" dxfId="135" priority="2">
      <formula>_xlfn.ISFORMULA(A19)</formula>
    </cfRule>
  </conditionalFormatting>
  <conditionalFormatting sqref="F13:I13">
    <cfRule type="expression" dxfId="134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799D8A-B7BE-4EE0-8D48-13342ED7AC45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46008-BA95-4EC0-AFD7-94A2B3188560}">
  <sheetPr>
    <tabColor theme="5" tint="0.39997558519241921"/>
  </sheetPr>
  <dimension ref="A1:S154"/>
  <sheetViews>
    <sheetView zoomScale="70" zoomScaleNormal="70" workbookViewId="0">
      <selection activeCell="D36" sqref="D36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218</v>
      </c>
    </row>
    <row r="2" spans="1:9" s="5" customFormat="1" x14ac:dyDescent="0.3">
      <c r="A2" s="5" t="s">
        <v>5</v>
      </c>
      <c r="B2" s="5" t="s">
        <v>199</v>
      </c>
    </row>
    <row r="3" spans="1:9" s="5" customFormat="1" x14ac:dyDescent="0.3">
      <c r="A3" s="5" t="s">
        <v>6</v>
      </c>
      <c r="B3" s="5" t="s">
        <v>217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275</v>
      </c>
    </row>
    <row r="7" spans="1:9" s="5" customFormat="1" x14ac:dyDescent="0.3">
      <c r="B7" s="5" t="s">
        <v>188</v>
      </c>
      <c r="C7" s="5" t="s">
        <v>9</v>
      </c>
      <c r="D7" s="5" t="s">
        <v>276</v>
      </c>
    </row>
    <row r="8" spans="1:9" s="5" customFormat="1" x14ac:dyDescent="0.3">
      <c r="B8" s="5" t="s">
        <v>190</v>
      </c>
      <c r="C8" s="5" t="s">
        <v>10</v>
      </c>
      <c r="D8" s="5" t="s">
        <v>277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$E$8:$P2000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CONCATENATE($B$22," Primary energy consumption (PJ)")</f>
        <v>PRIM FUELS - COA Primary energy consumption (PJ)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55</v>
      </c>
      <c r="B22" s="17" t="s">
        <v>56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INDEX($D$38:$N$154,MATCH(B$24&amp;$B$22,$B$38:$B$154&amp;$C$38:$C$154,0),MATCH($A25,$D$37:$N$37,0))</f>
        <v>168138.47746807424</v>
      </c>
      <c r="C25" s="14">
        <f t="array" ref="C25">INDEX($D$38:$N$154,MATCH(C$24&amp;$B$22,$B$38:$B$154&amp;$C$38:$C$154,0),MATCH($A25,$D$37:$N$37,0))</f>
        <v>162225.21304871028</v>
      </c>
      <c r="D25" s="14">
        <f t="array" ref="D25">INDEX($D$38:$N$154,MATCH(D$24&amp;$B$22,$B$38:$B$154&amp;$C$38:$C$154,0),MATCH($A25,$D$37:$N$37,0))</f>
        <v>168138.47746807424</v>
      </c>
      <c r="E25" s="14">
        <f t="array" ref="E25">INDEX($D$38:$N$154,MATCH(E$24&amp;$B$22,$B$38:$B$154&amp;$C$38:$C$154,0),MATCH($A25,$D$37:$N$37,0))</f>
        <v>168138.47746807424</v>
      </c>
      <c r="F25" s="14">
        <f t="array" ref="F25">INDEX($D$38:$N$154,MATCH(F$24&amp;$B$22,$B$38:$B$154&amp;$C$38:$C$154,0),MATCH($A25,$D$37:$N$37,0))</f>
        <v>168138.47746807424</v>
      </c>
      <c r="G25" s="14">
        <f t="array" ref="G25">INDEX($D$38:$N$154,MATCH(G$24&amp;$B$22,$B$38:$B$154&amp;$C$38:$C$154,0),MATCH($A25,$D$37:$N$37,0))</f>
        <v>168138.47746807424</v>
      </c>
      <c r="H25" s="14">
        <f t="array" ref="H25">INDEX($D$38:$N$154,MATCH(H$24&amp;$B$22,$B$38:$B$154&amp;$C$38:$C$154,0),MATCH($A25,$D$37:$N$37,0))</f>
        <v>168138.47746807424</v>
      </c>
      <c r="I25" s="14">
        <f t="array" ref="I25">INDEX($D$38:$N$154,MATCH(I$24&amp;$B$22,$B$38:$B$154&amp;$C$38:$C$154,0),MATCH($A25,$D$37:$N$37,0))</f>
        <v>168138.47746807424</v>
      </c>
      <c r="J25" s="14">
        <f t="array" ref="J25">INDEX($D$38:$N$154,MATCH(J$24&amp;$B$22,$B$38:$B$154&amp;$C$38:$C$154,0),MATCH($A25,$D$37:$N$37,0))</f>
        <v>168138.47746807424</v>
      </c>
      <c r="K25" s="14" t="e">
        <f t="array" ref="K25">INDEX($D$38:$N$154,MATCH(K$24&amp;$B$22,$B$38:$B$154&amp;$C$38:$C$154,0),MATCH($A25,$D$37:$N$37,0))</f>
        <v>#N/A</v>
      </c>
      <c r="L25" s="14" t="e">
        <f t="array" ref="L25">INDEX($D$38:$N$154,MATCH(L$24&amp;$B$22,$B$38:$B$154&amp;$C$38:$C$154,0),MATCH($A25,$D$37:$N$37,0))</f>
        <v>#N/A</v>
      </c>
      <c r="M25" s="14" t="e">
        <f t="array" ref="M25">INDEX($D$38:$N$154,MATCH(M$24&amp;$B$22,$B$38:$B$154&amp;$C$38:$C$154,0),MATCH($A25,$D$37:$N$37,0))</f>
        <v>#N/A</v>
      </c>
    </row>
    <row r="26" spans="1:13" x14ac:dyDescent="0.3">
      <c r="A26" s="3">
        <v>2020</v>
      </c>
      <c r="B26" s="14">
        <f t="array" ref="B26">INDEX($D$38:$N$154,MATCH(B$24&amp;$B$22,$B$38:$B$154&amp;$C$38:$C$154,0),MATCH($A26,$D$37:$N$37,0))</f>
        <v>194330.77354824933</v>
      </c>
      <c r="C26" s="14">
        <f t="array" ref="C26">INDEX($D$38:$N$154,MATCH(C$24&amp;$B$22,$B$38:$B$154&amp;$C$38:$C$154,0),MATCH($A26,$D$37:$N$37,0))</f>
        <v>155357.03236879598</v>
      </c>
      <c r="D26" s="14">
        <f t="array" ref="D26">INDEX($D$38:$N$154,MATCH(D$24&amp;$B$22,$B$38:$B$154&amp;$C$38:$C$154,0),MATCH($A26,$D$37:$N$37,0))</f>
        <v>134434.81319464734</v>
      </c>
      <c r="E26" s="14">
        <f t="array" ref="E26">INDEX($D$38:$N$154,MATCH(E$24&amp;$B$22,$B$38:$B$154&amp;$C$38:$C$154,0),MATCH($A26,$D$37:$N$37,0))</f>
        <v>134434.81319464734</v>
      </c>
      <c r="F26" s="14">
        <f t="array" ref="F26">INDEX($D$38:$N$154,MATCH(F$24&amp;$B$22,$B$38:$B$154&amp;$C$38:$C$154,0),MATCH($A26,$D$37:$N$37,0))</f>
        <v>134434.81319464734</v>
      </c>
      <c r="G26" s="14">
        <f t="array" ref="G26">INDEX($D$38:$N$154,MATCH(G$24&amp;$B$22,$B$38:$B$154&amp;$C$38:$C$154,0),MATCH($A26,$D$37:$N$37,0))</f>
        <v>134434.81319464734</v>
      </c>
      <c r="H26" s="14">
        <f t="array" ref="H26">INDEX($D$38:$N$154,MATCH(H$24&amp;$B$22,$B$38:$B$154&amp;$C$38:$C$154,0),MATCH($A26,$D$37:$N$37,0))</f>
        <v>134434.81319464734</v>
      </c>
      <c r="I26" s="14">
        <f t="array" ref="I26">INDEX($D$38:$N$154,MATCH(I$24&amp;$B$22,$B$38:$B$154&amp;$C$38:$C$154,0),MATCH($A26,$D$37:$N$37,0))</f>
        <v>134434.81319464734</v>
      </c>
      <c r="J26" s="14">
        <f t="array" ref="J26">INDEX($D$38:$N$154,MATCH(J$24&amp;$B$22,$B$38:$B$154&amp;$C$38:$C$154,0),MATCH($A26,$D$37:$N$37,0))</f>
        <v>134434.81319464734</v>
      </c>
      <c r="K26" s="14" t="e">
        <f t="array" ref="K26">INDEX($D$38:$N$154,MATCH(K$24&amp;$B$22,$B$38:$B$154&amp;$C$38:$C$154,0),MATCH($A26,$D$37:$N$37,0))</f>
        <v>#N/A</v>
      </c>
      <c r="L26" s="14" t="e">
        <f t="array" ref="L26">INDEX($D$38:$N$154,MATCH(L$24&amp;$B$22,$B$38:$B$154&amp;$C$38:$C$154,0),MATCH($A26,$D$37:$N$37,0))</f>
        <v>#N/A</v>
      </c>
      <c r="M26" s="14" t="e">
        <f t="array" ref="M26">INDEX($D$38:$N$154,MATCH(M$24&amp;$B$22,$B$38:$B$154&amp;$C$38:$C$154,0),MATCH($A26,$D$37:$N$37,0))</f>
        <v>#N/A</v>
      </c>
    </row>
    <row r="27" spans="1:13" x14ac:dyDescent="0.3">
      <c r="A27" s="3">
        <v>2030</v>
      </c>
      <c r="B27" s="14">
        <f t="array" ref="B27">INDEX($D$38:$N$154,MATCH(B$24&amp;$B$22,$B$38:$B$154&amp;$C$38:$C$154,0),MATCH($A27,$D$37:$N$37,0))</f>
        <v>205609.58911298946</v>
      </c>
      <c r="C27" s="14">
        <f t="array" ref="C27">INDEX($D$38:$N$154,MATCH(C$24&amp;$B$22,$B$38:$B$154&amp;$C$38:$C$154,0),MATCH($A27,$D$37:$N$37,0))</f>
        <v>185757.17088547914</v>
      </c>
      <c r="D27" s="14">
        <f t="array" ref="D27">INDEX($D$38:$N$154,MATCH(D$24&amp;$B$22,$B$38:$B$154&amp;$C$38:$C$154,0),MATCH($A27,$D$37:$N$37,0))</f>
        <v>144479.6233654609</v>
      </c>
      <c r="E27" s="14">
        <f t="array" ref="E27">INDEX($D$38:$N$154,MATCH(E$24&amp;$B$22,$B$38:$B$154&amp;$C$38:$C$154,0),MATCH($A27,$D$37:$N$37,0))</f>
        <v>108563.62293922262</v>
      </c>
      <c r="F27" s="14">
        <f t="array" ref="F27">INDEX($D$38:$N$154,MATCH(F$24&amp;$B$22,$B$38:$B$154&amp;$C$38:$C$154,0),MATCH($A27,$D$37:$N$37,0))</f>
        <v>144479.6233654609</v>
      </c>
      <c r="G27" s="14">
        <f t="array" ref="G27">INDEX($D$38:$N$154,MATCH(G$24&amp;$B$22,$B$38:$B$154&amp;$C$38:$C$154,0),MATCH($A27,$D$37:$N$37,0))</f>
        <v>68416.681054775356</v>
      </c>
      <c r="H27" s="14">
        <f t="array" ref="H27">INDEX($D$38:$N$154,MATCH(H$24&amp;$B$22,$B$38:$B$154&amp;$C$38:$C$154,0),MATCH($A27,$D$37:$N$37,0))</f>
        <v>144479.6233654609</v>
      </c>
      <c r="I27" s="14">
        <f t="array" ref="I27">INDEX($D$38:$N$154,MATCH(I$24&amp;$B$22,$B$38:$B$154&amp;$C$38:$C$154,0),MATCH($A27,$D$37:$N$37,0))</f>
        <v>79886.674088701431</v>
      </c>
      <c r="J27" s="14">
        <f t="array" ref="J27">INDEX($D$38:$N$154,MATCH(J$24&amp;$B$22,$B$38:$B$154&amp;$C$38:$C$154,0),MATCH($A27,$D$37:$N$37,0))</f>
        <v>144479.6233654609</v>
      </c>
      <c r="K27" s="14" t="e">
        <f t="array" ref="K27">INDEX($D$38:$N$154,MATCH(K$24&amp;$B$22,$B$38:$B$154&amp;$C$38:$C$154,0),MATCH($A27,$D$37:$N$37,0))</f>
        <v>#N/A</v>
      </c>
      <c r="L27" s="14" t="e">
        <f t="array" ref="L27">INDEX($D$38:$N$154,MATCH(L$24&amp;$B$22,$B$38:$B$154&amp;$C$38:$C$154,0),MATCH($A27,$D$37:$N$37,0))</f>
        <v>#N/A</v>
      </c>
      <c r="M27" s="14" t="e">
        <f t="array" ref="M27">INDEX($D$38:$N$154,MATCH(M$24&amp;$B$22,$B$38:$B$154&amp;$C$38:$C$154,0),MATCH($A27,$D$37:$N$37,0))</f>
        <v>#N/A</v>
      </c>
    </row>
    <row r="28" spans="1:13" x14ac:dyDescent="0.3">
      <c r="A28" s="3">
        <v>2040</v>
      </c>
      <c r="B28" s="14">
        <f t="array" ref="B28">INDEX($D$38:$N$154,MATCH(B$24&amp;$B$22,$B$38:$B$154&amp;$C$38:$C$154,0),MATCH($A28,$D$37:$N$37,0))</f>
        <v>201603.04376161305</v>
      </c>
      <c r="C28" s="14">
        <f t="array" ref="C28">INDEX($D$38:$N$154,MATCH(C$24&amp;$B$22,$B$38:$B$154&amp;$C$38:$C$154,0),MATCH($A28,$D$37:$N$37,0))</f>
        <v>197018.239107017</v>
      </c>
      <c r="D28" s="14">
        <f t="array" ref="D28">INDEX($D$38:$N$154,MATCH(D$24&amp;$B$22,$B$38:$B$154&amp;$C$38:$C$154,0),MATCH($A28,$D$37:$N$37,0))</f>
        <v>164182.27560838146</v>
      </c>
      <c r="E28" s="14">
        <f t="array" ref="E28">INDEX($D$38:$N$154,MATCH(E$24&amp;$B$22,$B$38:$B$154&amp;$C$38:$C$154,0),MATCH($A28,$D$37:$N$37,0))</f>
        <v>91815.248284130706</v>
      </c>
      <c r="F28" s="14">
        <f t="array" ref="F28">INDEX($D$38:$N$154,MATCH(F$24&amp;$B$22,$B$38:$B$154&amp;$C$38:$C$154,0),MATCH($A28,$D$37:$N$37,0))</f>
        <v>100154.77763632967</v>
      </c>
      <c r="G28" s="14">
        <f t="array" ref="G28">INDEX($D$38:$N$154,MATCH(G$24&amp;$B$22,$B$38:$B$154&amp;$C$38:$C$154,0),MATCH($A28,$D$37:$N$37,0))</f>
        <v>49668.780322921557</v>
      </c>
      <c r="H28" s="14">
        <f t="array" ref="H28">INDEX($D$38:$N$154,MATCH(H$24&amp;$B$22,$B$38:$B$154&amp;$C$38:$C$154,0),MATCH($A28,$D$37:$N$37,0))</f>
        <v>50864.551222710536</v>
      </c>
      <c r="I28" s="14">
        <f t="array" ref="I28">INDEX($D$38:$N$154,MATCH(I$24&amp;$B$22,$B$38:$B$154&amp;$C$38:$C$154,0),MATCH($A28,$D$37:$N$37,0))</f>
        <v>55599.65142362332</v>
      </c>
      <c r="J28" s="14">
        <f t="array" ref="J28">INDEX($D$38:$N$154,MATCH(J$24&amp;$B$22,$B$38:$B$154&amp;$C$38:$C$154,0),MATCH($A28,$D$37:$N$37,0))</f>
        <v>63833.279158881764</v>
      </c>
      <c r="K28" s="14" t="e">
        <f t="array" ref="K28">INDEX($D$38:$N$154,MATCH(K$24&amp;$B$22,$B$38:$B$154&amp;$C$38:$C$154,0),MATCH($A28,$D$37:$N$37,0))</f>
        <v>#N/A</v>
      </c>
      <c r="L28" s="14" t="e">
        <f t="array" ref="L28">INDEX($D$38:$N$154,MATCH(L$24&amp;$B$22,$B$38:$B$154&amp;$C$38:$C$154,0),MATCH($A28,$D$37:$N$37,0))</f>
        <v>#N/A</v>
      </c>
      <c r="M28" s="14" t="e">
        <f t="array" ref="M28">INDEX($D$38:$N$154,MATCH(M$24&amp;$B$22,$B$38:$B$154&amp;$C$38:$C$154,0),MATCH($A28,$D$37:$N$37,0))</f>
        <v>#N/A</v>
      </c>
    </row>
    <row r="29" spans="1:13" x14ac:dyDescent="0.3">
      <c r="A29" s="3">
        <v>2050</v>
      </c>
      <c r="B29" s="14">
        <f t="array" ref="B29">INDEX($D$38:$N$154,MATCH(B$24&amp;$B$22,$B$38:$B$154&amp;$C$38:$C$154,0),MATCH($A29,$D$37:$N$37,0))</f>
        <v>228035.58184835443</v>
      </c>
      <c r="C29" s="14">
        <f t="array" ref="C29">INDEX($D$38:$N$154,MATCH(C$24&amp;$B$22,$B$38:$B$154&amp;$C$38:$C$154,0),MATCH($A29,$D$37:$N$37,0))</f>
        <v>227204.69699648893</v>
      </c>
      <c r="D29" s="14">
        <f t="array" ref="D29">INDEX($D$38:$N$154,MATCH(D$24&amp;$B$22,$B$38:$B$154&amp;$C$38:$C$154,0),MATCH($A29,$D$37:$N$37,0))</f>
        <v>181233.65679274936</v>
      </c>
      <c r="E29" s="14">
        <f t="array" ref="E29">INDEX($D$38:$N$154,MATCH(E$24&amp;$B$22,$B$38:$B$154&amp;$C$38:$C$154,0),MATCH($A29,$D$37:$N$37,0))</f>
        <v>88547.034456209352</v>
      </c>
      <c r="F29" s="14">
        <f t="array" ref="F29">INDEX($D$38:$N$154,MATCH(F$24&amp;$B$22,$B$38:$B$154&amp;$C$38:$C$154,0),MATCH($A29,$D$37:$N$37,0))</f>
        <v>81972.765413154528</v>
      </c>
      <c r="G29" s="14">
        <f t="array" ref="G29">INDEX($D$38:$N$154,MATCH(G$24&amp;$B$22,$B$38:$B$154&amp;$C$38:$C$154,0),MATCH($A29,$D$37:$N$37,0))</f>
        <v>41197.268630333012</v>
      </c>
      <c r="H29" s="14">
        <f t="array" ref="H29">INDEX($D$38:$N$154,MATCH(H$24&amp;$B$22,$B$38:$B$154&amp;$C$38:$C$154,0),MATCH($A29,$D$37:$N$37,0))</f>
        <v>45261.31146620959</v>
      </c>
      <c r="I29" s="14">
        <f t="array" ref="I29">INDEX($D$38:$N$154,MATCH(I$24&amp;$B$22,$B$38:$B$154&amp;$C$38:$C$154,0),MATCH($A29,$D$37:$N$37,0))</f>
        <v>66324.689576516714</v>
      </c>
      <c r="J29" s="14">
        <f t="array" ref="J29">INDEX($D$38:$N$154,MATCH(J$24&amp;$B$22,$B$38:$B$154&amp;$C$38:$C$154,0),MATCH($A29,$D$37:$N$37,0))</f>
        <v>70062.670013281575</v>
      </c>
      <c r="K29" s="14" t="e">
        <f t="array" ref="K29">INDEX($D$38:$N$154,MATCH(K$24&amp;$B$22,$B$38:$B$154&amp;$C$38:$C$154,0),MATCH($A29,$D$37:$N$37,0))</f>
        <v>#N/A</v>
      </c>
      <c r="L29" s="14" t="e">
        <f t="array" ref="L29">INDEX($D$38:$N$154,MATCH(L$24&amp;$B$22,$B$38:$B$154&amp;$C$38:$C$154,0),MATCH($A29,$D$37:$N$37,0))</f>
        <v>#N/A</v>
      </c>
      <c r="M29" s="14" t="e">
        <f t="array" ref="M29">INDEX($D$38:$N$154,MATCH(M$24&amp;$B$22,$B$38:$B$154&amp;$C$38:$C$154,0),MATCH($A29,$D$37:$N$37,0))</f>
        <v>#N/A</v>
      </c>
    </row>
    <row r="30" spans="1:13" x14ac:dyDescent="0.3">
      <c r="A30" s="3">
        <v>2060</v>
      </c>
      <c r="B30" s="14">
        <f t="array" ref="B30">INDEX($D$38:$N$154,MATCH(B$24&amp;$B$22,$B$38:$B$154&amp;$C$38:$C$154,0),MATCH($A30,$D$37:$N$37,0))</f>
        <v>265419.88294127362</v>
      </c>
      <c r="C30" s="14">
        <f t="array" ref="C30">INDEX($D$38:$N$154,MATCH(C$24&amp;$B$22,$B$38:$B$154&amp;$C$38:$C$154,0),MATCH($A30,$D$37:$N$37,0))</f>
        <v>264713.11917323613</v>
      </c>
      <c r="D30" s="14">
        <f t="array" ref="D30">INDEX($D$38:$N$154,MATCH(D$24&amp;$B$22,$B$38:$B$154&amp;$C$38:$C$154,0),MATCH($A30,$D$37:$N$37,0))</f>
        <v>201342.61713501383</v>
      </c>
      <c r="E30" s="14">
        <f t="array" ref="E30">INDEX($D$38:$N$154,MATCH(E$24&amp;$B$22,$B$38:$B$154&amp;$C$38:$C$154,0),MATCH($A30,$D$37:$N$37,0))</f>
        <v>95810.532005263914</v>
      </c>
      <c r="F30" s="14">
        <f t="array" ref="F30">INDEX($D$38:$N$154,MATCH(F$24&amp;$B$22,$B$38:$B$154&amp;$C$38:$C$154,0),MATCH($A30,$D$37:$N$37,0))</f>
        <v>89228.648203582357</v>
      </c>
      <c r="G30" s="14">
        <f t="array" ref="G30">INDEX($D$38:$N$154,MATCH(G$24&amp;$B$22,$B$38:$B$154&amp;$C$38:$C$154,0),MATCH($A30,$D$37:$N$37,0))</f>
        <v>50716.231722121825</v>
      </c>
      <c r="H30" s="14">
        <f t="array" ref="H30">INDEX($D$38:$N$154,MATCH(H$24&amp;$B$22,$B$38:$B$154&amp;$C$38:$C$154,0),MATCH($A30,$D$37:$N$37,0))</f>
        <v>17395.535820800222</v>
      </c>
      <c r="I30" s="14">
        <f t="array" ref="I30">INDEX($D$38:$N$154,MATCH(I$24&amp;$B$22,$B$38:$B$154&amp;$C$38:$C$154,0),MATCH($A30,$D$37:$N$37,0))</f>
        <v>94676.659860362299</v>
      </c>
      <c r="J30" s="14">
        <f t="array" ref="J30">INDEX($D$38:$N$154,MATCH(J$24&amp;$B$22,$B$38:$B$154&amp;$C$38:$C$154,0),MATCH($A30,$D$37:$N$37,0))</f>
        <v>70054.339114663948</v>
      </c>
      <c r="K30" s="14" t="e">
        <f t="array" ref="K30">INDEX($D$38:$N$154,MATCH(K$24&amp;$B$22,$B$38:$B$154&amp;$C$38:$C$154,0),MATCH($A30,$D$37:$N$37,0))</f>
        <v>#N/A</v>
      </c>
      <c r="L30" s="14" t="e">
        <f t="array" ref="L30">INDEX($D$38:$N$154,MATCH(L$24&amp;$B$22,$B$38:$B$154&amp;$C$38:$C$154,0),MATCH($A30,$D$37:$N$37,0))</f>
        <v>#N/A</v>
      </c>
      <c r="M30" s="14" t="e">
        <f t="array" ref="M30">INDEX($D$38:$N$154,MATCH(M$24&amp;$B$22,$B$38:$B$154&amp;$C$38:$C$154,0),MATCH($A30,$D$37:$N$37,0))</f>
        <v>#N/A</v>
      </c>
    </row>
    <row r="31" spans="1:13" x14ac:dyDescent="0.3">
      <c r="A31" s="3">
        <v>2070</v>
      </c>
      <c r="B31" s="14">
        <f t="array" ref="B31">INDEX($D$38:$N$154,MATCH(B$24&amp;$B$22,$B$38:$B$154&amp;$C$38:$C$154,0),MATCH($A31,$D$37:$N$37,0))</f>
        <v>291029.38557335257</v>
      </c>
      <c r="C31" s="14">
        <f t="array" ref="C31">INDEX($D$38:$N$154,MATCH(C$24&amp;$B$22,$B$38:$B$154&amp;$C$38:$C$154,0),MATCH($A31,$D$37:$N$37,0))</f>
        <v>291270.80681025801</v>
      </c>
      <c r="D31" s="14">
        <f t="array" ref="D31">INDEX($D$38:$N$154,MATCH(D$24&amp;$B$22,$B$38:$B$154&amp;$C$38:$C$154,0),MATCH($A31,$D$37:$N$37,0))</f>
        <v>262018.40193231474</v>
      </c>
      <c r="E31" s="14">
        <f t="array" ref="E31">INDEX($D$38:$N$154,MATCH(E$24&amp;$B$22,$B$38:$B$154&amp;$C$38:$C$154,0),MATCH($A31,$D$37:$N$37,0))</f>
        <v>98075.073233862</v>
      </c>
      <c r="F31" s="14">
        <f t="array" ref="F31">INDEX($D$38:$N$154,MATCH(F$24&amp;$B$22,$B$38:$B$154&amp;$C$38:$C$154,0),MATCH($A31,$D$37:$N$37,0))</f>
        <v>100227.89390761717</v>
      </c>
      <c r="G31" s="14">
        <f t="array" ref="G31">INDEX($D$38:$N$154,MATCH(G$24&amp;$B$22,$B$38:$B$154&amp;$C$38:$C$154,0),MATCH($A31,$D$37:$N$37,0))</f>
        <v>97649.000521835245</v>
      </c>
      <c r="H31" s="14">
        <f t="array" ref="H31">INDEX($D$38:$N$154,MATCH(H$24&amp;$B$22,$B$38:$B$154&amp;$C$38:$C$154,0),MATCH($A31,$D$37:$N$37,0))</f>
        <v>111193.58966551772</v>
      </c>
      <c r="I31" s="14">
        <f t="array" ref="I31">INDEX($D$38:$N$154,MATCH(I$24&amp;$B$22,$B$38:$B$154&amp;$C$38:$C$154,0),MATCH($A31,$D$37:$N$37,0))</f>
        <v>100518.22768473226</v>
      </c>
      <c r="J31" s="14">
        <f t="array" ref="J31">INDEX($D$38:$N$154,MATCH(J$24&amp;$B$22,$B$38:$B$154&amp;$C$38:$C$154,0),MATCH($A31,$D$37:$N$37,0))</f>
        <v>100041.66450529244</v>
      </c>
      <c r="K31" s="14" t="e">
        <f t="array" ref="K31">INDEX($D$38:$N$154,MATCH(K$24&amp;$B$22,$B$38:$B$154&amp;$C$38:$C$154,0),MATCH($A31,$D$37:$N$37,0))</f>
        <v>#N/A</v>
      </c>
      <c r="L31" s="14" t="e">
        <f t="array" ref="L31">INDEX($D$38:$N$154,MATCH(L$24&amp;$B$22,$B$38:$B$154&amp;$C$38:$C$154,0),MATCH($A31,$D$37:$N$37,0))</f>
        <v>#N/A</v>
      </c>
      <c r="M31" s="14" t="e">
        <f t="array" ref="M31">INDEX($D$38:$N$154,MATCH(M$24&amp;$B$22,$B$38:$B$154&amp;$C$38:$C$154,0),MATCH($A31,$D$37:$N$37,0))</f>
        <v>#N/A</v>
      </c>
    </row>
    <row r="32" spans="1:13" x14ac:dyDescent="0.3">
      <c r="A32" s="3">
        <v>2080</v>
      </c>
      <c r="B32" s="14">
        <f t="array" ref="B32">INDEX($D$38:$N$154,MATCH(B$24&amp;$B$22,$B$38:$B$154&amp;$C$38:$C$154,0),MATCH($A32,$D$37:$N$37,0))</f>
        <v>341568.27556326368</v>
      </c>
      <c r="C32" s="14">
        <f t="array" ref="C32">INDEX($D$38:$N$154,MATCH(C$24&amp;$B$22,$B$38:$B$154&amp;$C$38:$C$154,0),MATCH($A32,$D$37:$N$37,0))</f>
        <v>343888.53152897541</v>
      </c>
      <c r="D32" s="14">
        <f t="array" ref="D32">INDEX($D$38:$N$154,MATCH(D$24&amp;$B$22,$B$38:$B$154&amp;$C$38:$C$154,0),MATCH($A32,$D$37:$N$37,0))</f>
        <v>322022.69320702058</v>
      </c>
      <c r="E32" s="14">
        <f t="array" ref="E32">INDEX($D$38:$N$154,MATCH(E$24&amp;$B$22,$B$38:$B$154&amp;$C$38:$C$154,0),MATCH($A32,$D$37:$N$37,0))</f>
        <v>106269.03231520744</v>
      </c>
      <c r="F32" s="14">
        <f t="array" ref="F32">INDEX($D$38:$N$154,MATCH(F$24&amp;$B$22,$B$38:$B$154&amp;$C$38:$C$154,0),MATCH($A32,$D$37:$N$37,0))</f>
        <v>105997.56099462384</v>
      </c>
      <c r="G32" s="14">
        <f t="array" ref="G32">INDEX($D$38:$N$154,MATCH(G$24&amp;$B$22,$B$38:$B$154&amp;$C$38:$C$154,0),MATCH($A32,$D$37:$N$37,0))</f>
        <v>103696.73255155297</v>
      </c>
      <c r="H32" s="14">
        <f t="array" ref="H32">INDEX($D$38:$N$154,MATCH(H$24&amp;$B$22,$B$38:$B$154&amp;$C$38:$C$154,0),MATCH($A32,$D$37:$N$37,0))</f>
        <v>130306.75749902039</v>
      </c>
      <c r="I32" s="14">
        <f t="array" ref="I32">INDEX($D$38:$N$154,MATCH(I$24&amp;$B$22,$B$38:$B$154&amp;$C$38:$C$154,0),MATCH($A32,$D$37:$N$37,0))</f>
        <v>103061.05743086712</v>
      </c>
      <c r="J32" s="14">
        <f t="array" ref="J32">INDEX($D$38:$N$154,MATCH(J$24&amp;$B$22,$B$38:$B$154&amp;$C$38:$C$154,0),MATCH($A32,$D$37:$N$37,0))</f>
        <v>103045.58652427503</v>
      </c>
      <c r="K32" s="14" t="e">
        <f t="array" ref="K32">INDEX($D$38:$N$154,MATCH(K$24&amp;$B$22,$B$38:$B$154&amp;$C$38:$C$154,0),MATCH($A32,$D$37:$N$37,0))</f>
        <v>#N/A</v>
      </c>
      <c r="L32" s="14" t="e">
        <f t="array" ref="L32">INDEX($D$38:$N$154,MATCH(L$24&amp;$B$22,$B$38:$B$154&amp;$C$38:$C$154,0),MATCH($A32,$D$37:$N$37,0))</f>
        <v>#N/A</v>
      </c>
      <c r="M32" s="14" t="e">
        <f t="array" ref="M32">INDEX($D$38:$N$154,MATCH(M$24&amp;$B$22,$B$38:$B$154&amp;$C$38:$C$154,0),MATCH($A32,$D$37:$N$37,0))</f>
        <v>#N/A</v>
      </c>
    </row>
    <row r="33" spans="1:19" x14ac:dyDescent="0.3">
      <c r="A33" s="3">
        <v>2090</v>
      </c>
      <c r="B33" s="14">
        <f t="array" ref="B33">INDEX($D$38:$N$154,MATCH(B$24&amp;$B$22,$B$38:$B$154&amp;$C$38:$C$154,0),MATCH($A33,$D$37:$N$37,0))</f>
        <v>378871.35611732572</v>
      </c>
      <c r="C33" s="14">
        <f t="array" ref="C33">INDEX($D$38:$N$154,MATCH(C$24&amp;$B$22,$B$38:$B$154&amp;$C$38:$C$154,0),MATCH($A33,$D$37:$N$37,0))</f>
        <v>382181.10398734291</v>
      </c>
      <c r="D33" s="14">
        <f t="array" ref="D33">INDEX($D$38:$N$154,MATCH(D$24&amp;$B$22,$B$38:$B$154&amp;$C$38:$C$154,0),MATCH($A33,$D$37:$N$37,0))</f>
        <v>362507.85293448792</v>
      </c>
      <c r="E33" s="14">
        <f t="array" ref="E33">INDEX($D$38:$N$154,MATCH(E$24&amp;$B$22,$B$38:$B$154&amp;$C$38:$C$154,0),MATCH($A33,$D$37:$N$37,0))</f>
        <v>107535.34240344244</v>
      </c>
      <c r="F33" s="14">
        <f t="array" ref="F33">INDEX($D$38:$N$154,MATCH(F$24&amp;$B$22,$B$38:$B$154&amp;$C$38:$C$154,0),MATCH($A33,$D$37:$N$37,0))</f>
        <v>106019.07395465067</v>
      </c>
      <c r="G33" s="14">
        <f t="array" ref="G33">INDEX($D$38:$N$154,MATCH(G$24&amp;$B$22,$B$38:$B$154&amp;$C$38:$C$154,0),MATCH($A33,$D$37:$N$37,0))</f>
        <v>104601.27396555482</v>
      </c>
      <c r="H33" s="14">
        <f t="array" ref="H33">INDEX($D$38:$N$154,MATCH(H$24&amp;$B$22,$B$38:$B$154&amp;$C$38:$C$154,0),MATCH($A33,$D$37:$N$37,0))</f>
        <v>104165.6848397104</v>
      </c>
      <c r="I33" s="14">
        <f t="array" ref="I33">INDEX($D$38:$N$154,MATCH(I$24&amp;$B$22,$B$38:$B$154&amp;$C$38:$C$154,0),MATCH($A33,$D$37:$N$37,0))</f>
        <v>78750.75968217371</v>
      </c>
      <c r="J33" s="14">
        <f t="array" ref="J33">INDEX($D$38:$N$154,MATCH(J$24&amp;$B$22,$B$38:$B$154&amp;$C$38:$C$154,0),MATCH($A33,$D$37:$N$37,0))</f>
        <v>98419.091321335087</v>
      </c>
      <c r="K33" s="14" t="e">
        <f t="array" ref="K33">INDEX($D$38:$N$154,MATCH(K$24&amp;$B$22,$B$38:$B$154&amp;$C$38:$C$154,0),MATCH($A33,$D$37:$N$37,0))</f>
        <v>#N/A</v>
      </c>
      <c r="L33" s="14" t="e">
        <f t="array" ref="L33">INDEX($D$38:$N$154,MATCH(L$24&amp;$B$22,$B$38:$B$154&amp;$C$38:$C$154,0),MATCH($A33,$D$37:$N$37,0))</f>
        <v>#N/A</v>
      </c>
      <c r="M33" s="14" t="e">
        <f t="array" ref="M33">INDEX($D$38:$N$154,MATCH(M$24&amp;$B$22,$B$38:$B$154&amp;$C$38:$C$154,0),MATCH($A33,$D$37:$N$37,0))</f>
        <v>#N/A</v>
      </c>
    </row>
    <row r="34" spans="1:19" x14ac:dyDescent="0.3">
      <c r="A34" s="3">
        <v>2100</v>
      </c>
      <c r="B34" s="14">
        <f t="array" ref="B34">INDEX($D$38:$N$154,MATCH(B$24&amp;$B$22,$B$38:$B$154&amp;$C$38:$C$154,0),MATCH($A34,$D$37:$N$37,0))</f>
        <v>420186.56364297564</v>
      </c>
      <c r="C34" s="14">
        <f t="array" ref="C34">INDEX($D$38:$N$154,MATCH(C$24&amp;$B$22,$B$38:$B$154&amp;$C$38:$C$154,0),MATCH($A34,$D$37:$N$37,0))</f>
        <v>424880.40343557211</v>
      </c>
      <c r="D34" s="14">
        <f t="array" ref="D34">INDEX($D$38:$N$154,MATCH(D$24&amp;$B$22,$B$38:$B$154&amp;$C$38:$C$154,0),MATCH($A34,$D$37:$N$37,0))</f>
        <v>403305.35808768461</v>
      </c>
      <c r="E34" s="14">
        <f t="array" ref="E34">INDEX($D$38:$N$154,MATCH(E$24&amp;$B$22,$B$38:$B$154&amp;$C$38:$C$154,0),MATCH($A34,$D$37:$N$37,0))</f>
        <v>108771.91896890041</v>
      </c>
      <c r="F34" s="14">
        <f t="array" ref="F34">INDEX($D$38:$N$154,MATCH(F$24&amp;$B$22,$B$38:$B$154&amp;$C$38:$C$154,0),MATCH($A34,$D$37:$N$37,0))</f>
        <v>103302.42591059342</v>
      </c>
      <c r="G34" s="14">
        <f t="array" ref="G34">INDEX($D$38:$N$154,MATCH(G$24&amp;$B$22,$B$38:$B$154&amp;$C$38:$C$154,0),MATCH($A34,$D$37:$N$37,0))</f>
        <v>78061.119857898579</v>
      </c>
      <c r="H34" s="14">
        <f t="array" ref="H34">INDEX($D$38:$N$154,MATCH(H$24&amp;$B$22,$B$38:$B$154&amp;$C$38:$C$154,0),MATCH($A34,$D$37:$N$37,0))</f>
        <v>108531.51719545209</v>
      </c>
      <c r="I34" s="14">
        <f t="array" ref="I34">INDEX($D$38:$N$154,MATCH(I$24&amp;$B$22,$B$38:$B$154&amp;$C$38:$C$154,0),MATCH($A34,$D$37:$N$37,0))</f>
        <v>67438.174380892626</v>
      </c>
      <c r="J34" s="14">
        <f t="array" ref="J34">INDEX($D$38:$N$154,MATCH(J$24&amp;$B$22,$B$38:$B$154&amp;$C$38:$C$154,0),MATCH($A34,$D$37:$N$37,0))</f>
        <v>76423.222489167543</v>
      </c>
      <c r="K34" s="14" t="e">
        <f t="array" ref="K34">INDEX($D$38:$N$154,MATCH(K$24&amp;$B$22,$B$38:$B$154&amp;$C$38:$C$154,0),MATCH($A34,$D$37:$N$37,0))</f>
        <v>#N/A</v>
      </c>
      <c r="L34" s="14" t="e">
        <f t="array" ref="L34">INDEX($D$38:$N$154,MATCH(L$24&amp;$B$22,$B$38:$B$154&amp;$C$38:$C$154,0),MATCH($A34,$D$37:$N$37,0))</f>
        <v>#N/A</v>
      </c>
      <c r="M34" s="14" t="e">
        <f t="array" ref="M34">INDEX($D$38:$N$154,MATCH(M$24&amp;$B$22,$B$38:$B$154&amp;$C$38:$C$154,0),MATCH($A34,$D$37:$N$37,0))</f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C37" s="3" t="s">
        <v>55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C38" s="3" t="s">
        <v>56</v>
      </c>
      <c r="D38" s="14">
        <v>133715.16751824543</v>
      </c>
      <c r="E38" s="14">
        <v>168138.47746807424</v>
      </c>
      <c r="F38" s="14">
        <v>194330.77354824933</v>
      </c>
      <c r="G38" s="14">
        <v>205609.58911298946</v>
      </c>
      <c r="H38" s="14">
        <v>201603.04376161305</v>
      </c>
      <c r="I38" s="14">
        <v>228035.58184835443</v>
      </c>
      <c r="J38" s="14">
        <v>265419.88294127362</v>
      </c>
      <c r="K38" s="14">
        <v>291029.38557335257</v>
      </c>
      <c r="L38" s="14">
        <v>341568.27556326368</v>
      </c>
      <c r="M38" s="14">
        <v>378871.35611732572</v>
      </c>
      <c r="N38" s="14">
        <v>420186.56364297564</v>
      </c>
    </row>
    <row r="39" spans="1:19" x14ac:dyDescent="0.3">
      <c r="A39" s="3" t="str">
        <f>INDEX('R1. Scenario specifications'!$C$11:$C$49,MATCH($B39,'R1. Scenario specifications'!$A$11:$A$49,0))</f>
        <v>TIAM BAU - No Policy Action</v>
      </c>
      <c r="B39" s="3" t="s">
        <v>11</v>
      </c>
      <c r="C39" s="3" t="s">
        <v>57</v>
      </c>
      <c r="D39" s="14">
        <v>105930.88055567192</v>
      </c>
      <c r="E39" s="14">
        <v>117776.03139929548</v>
      </c>
      <c r="F39" s="14">
        <v>144238.09516623692</v>
      </c>
      <c r="G39" s="14">
        <v>160314.09223468057</v>
      </c>
      <c r="H39" s="14">
        <v>159842.20294555774</v>
      </c>
      <c r="I39" s="14">
        <v>174620.59757031995</v>
      </c>
      <c r="J39" s="14">
        <v>183437.88013364168</v>
      </c>
      <c r="K39" s="14">
        <v>186535.14442386743</v>
      </c>
      <c r="L39" s="14">
        <v>189395.46774840329</v>
      </c>
      <c r="M39" s="14">
        <v>187530.40606558856</v>
      </c>
      <c r="N39" s="14">
        <v>183890.01173645156</v>
      </c>
    </row>
    <row r="40" spans="1:19" x14ac:dyDescent="0.3">
      <c r="A40" s="3" t="str">
        <f>INDEX('R1. Scenario specifications'!$C$11:$C$49,MATCH($B40,'R1. Scenario specifications'!$A$11:$A$49,0))</f>
        <v>TIAM BAU - No Policy Action</v>
      </c>
      <c r="B40" s="3" t="s">
        <v>11</v>
      </c>
      <c r="C40" s="3" t="s">
        <v>58</v>
      </c>
      <c r="D40" s="14">
        <v>245383.2541071584</v>
      </c>
      <c r="E40" s="14">
        <v>264973.10355945653</v>
      </c>
      <c r="F40" s="14">
        <v>295607.43473385164</v>
      </c>
      <c r="G40" s="14">
        <v>302277.81232293451</v>
      </c>
      <c r="H40" s="14">
        <v>300867.39819276548</v>
      </c>
      <c r="I40" s="14">
        <v>288100.75027878681</v>
      </c>
      <c r="J40" s="14">
        <v>273760.16063779179</v>
      </c>
      <c r="K40" s="14">
        <v>262969.05864844052</v>
      </c>
      <c r="L40" s="14">
        <v>264572.67259619961</v>
      </c>
      <c r="M40" s="14">
        <v>268159.01614728809</v>
      </c>
      <c r="N40" s="14">
        <v>236828.60062144508</v>
      </c>
    </row>
    <row r="41" spans="1:19" x14ac:dyDescent="0.3">
      <c r="A41" s="3" t="str">
        <f>INDEX('R1. Scenario specifications'!$C$11:$C$49,MATCH($B41,'R1. Scenario specifications'!$A$11:$A$49,0))</f>
        <v>Vivid BAU - WEO Current Policies Scenario emissions pathway run through TIAM</v>
      </c>
      <c r="B41" s="3" t="s">
        <v>13</v>
      </c>
      <c r="C41" s="3" t="s">
        <v>56</v>
      </c>
      <c r="D41" s="14">
        <v>133337.88160065751</v>
      </c>
      <c r="E41" s="14">
        <v>162225.21304871028</v>
      </c>
      <c r="F41" s="14">
        <v>155357.03236879598</v>
      </c>
      <c r="G41" s="14">
        <v>185757.17088547914</v>
      </c>
      <c r="H41" s="14">
        <v>197018.239107017</v>
      </c>
      <c r="I41" s="14">
        <v>227204.69699648893</v>
      </c>
      <c r="J41" s="14">
        <v>264713.11917323613</v>
      </c>
      <c r="K41" s="14">
        <v>291270.80681025801</v>
      </c>
      <c r="L41" s="14">
        <v>343888.53152897541</v>
      </c>
      <c r="M41" s="14">
        <v>382181.10398734291</v>
      </c>
      <c r="N41" s="14">
        <v>424880.40343557211</v>
      </c>
    </row>
    <row r="42" spans="1:19" x14ac:dyDescent="0.3">
      <c r="A42" s="3" t="str">
        <f>INDEX('R1. Scenario specifications'!$C$11:$C$49,MATCH($B42,'R1. Scenario specifications'!$A$11:$A$49,0))</f>
        <v>Vivid BAU - WEO Current Policies Scenario emissions pathway run through TIAM</v>
      </c>
      <c r="B42" s="3" t="s">
        <v>13</v>
      </c>
      <c r="C42" s="3" t="s">
        <v>57</v>
      </c>
      <c r="D42" s="14">
        <v>107641.72776727116</v>
      </c>
      <c r="E42" s="14">
        <v>119877.66317943606</v>
      </c>
      <c r="F42" s="14">
        <v>151339.88625296121</v>
      </c>
      <c r="G42" s="14">
        <v>162729.21976238137</v>
      </c>
      <c r="H42" s="14">
        <v>161064.79355510918</v>
      </c>
      <c r="I42" s="14">
        <v>173720.03369357807</v>
      </c>
      <c r="J42" s="14">
        <v>183644.05911485641</v>
      </c>
      <c r="K42" s="14">
        <v>186273.80431393307</v>
      </c>
      <c r="L42" s="14">
        <v>187500.67050106332</v>
      </c>
      <c r="M42" s="14">
        <v>184656.54912367172</v>
      </c>
      <c r="N42" s="14">
        <v>180491.98061685264</v>
      </c>
    </row>
    <row r="43" spans="1:19" x14ac:dyDescent="0.3">
      <c r="A43" s="3" t="str">
        <f>INDEX('R1. Scenario specifications'!$C$11:$C$49,MATCH($B43,'R1. Scenario specifications'!$A$11:$A$49,0))</f>
        <v>Vivid BAU - WEO Current Policies Scenario emissions pathway run through TIAM</v>
      </c>
      <c r="B43" s="3" t="s">
        <v>13</v>
      </c>
      <c r="C43" s="3" t="s">
        <v>58</v>
      </c>
      <c r="D43" s="14">
        <v>245326.56638921512</v>
      </c>
      <c r="E43" s="14">
        <v>264724.73133209546</v>
      </c>
      <c r="F43" s="14">
        <v>290737.67456187902</v>
      </c>
      <c r="G43" s="14">
        <v>297904.45483407285</v>
      </c>
      <c r="H43" s="14">
        <v>297385.45053469785</v>
      </c>
      <c r="I43" s="14">
        <v>284375.2872400129</v>
      </c>
      <c r="J43" s="14">
        <v>271621.68731415196</v>
      </c>
      <c r="K43" s="14">
        <v>261099.61555518152</v>
      </c>
      <c r="L43" s="14">
        <v>260285.94004988289</v>
      </c>
      <c r="M43" s="14">
        <v>269824.42354087054</v>
      </c>
      <c r="N43" s="14">
        <v>240567.71179803309</v>
      </c>
    </row>
    <row r="44" spans="1:19" x14ac:dyDescent="0.3">
      <c r="A44" s="3" t="str">
        <f>INDEX('R1. Scenario specifications'!$C$11:$C$49,MATCH($B44,'R1. Scenario specifications'!$A$11:$A$49,0))</f>
        <v>Vivid Paris NDCs - WEO New Policies Scenario emissions pathway run through TIAM</v>
      </c>
      <c r="B44" s="3" t="s">
        <v>14</v>
      </c>
      <c r="C44" s="3" t="s">
        <v>56</v>
      </c>
      <c r="D44" s="14">
        <v>133715.16751824543</v>
      </c>
      <c r="E44" s="14">
        <v>168138.47746807424</v>
      </c>
      <c r="F44" s="14">
        <v>134434.81319464734</v>
      </c>
      <c r="G44" s="14">
        <v>144479.6233654609</v>
      </c>
      <c r="H44" s="14">
        <v>164182.27560838146</v>
      </c>
      <c r="I44" s="14">
        <v>181233.65679274936</v>
      </c>
      <c r="J44" s="14">
        <v>201342.61713501383</v>
      </c>
      <c r="K44" s="14">
        <v>262018.40193231474</v>
      </c>
      <c r="L44" s="14">
        <v>322022.69320702058</v>
      </c>
      <c r="M44" s="14">
        <v>362507.85293448792</v>
      </c>
      <c r="N44" s="14">
        <v>403305.35808768461</v>
      </c>
    </row>
    <row r="45" spans="1:19" x14ac:dyDescent="0.3">
      <c r="A45" s="3" t="str">
        <f>INDEX('R1. Scenario specifications'!$C$11:$C$49,MATCH($B45,'R1. Scenario specifications'!$A$11:$A$49,0))</f>
        <v>Vivid Paris NDCs - WEO New Policies Scenario emissions pathway run through TIAM</v>
      </c>
      <c r="B45" s="3" t="s">
        <v>14</v>
      </c>
      <c r="C45" s="3" t="s">
        <v>57</v>
      </c>
      <c r="D45" s="14">
        <v>105930.88055567192</v>
      </c>
      <c r="E45" s="14">
        <v>117776.03139929548</v>
      </c>
      <c r="F45" s="14">
        <v>155164.96169378661</v>
      </c>
      <c r="G45" s="14">
        <v>165931.33199667532</v>
      </c>
      <c r="H45" s="14">
        <v>167952.18876818841</v>
      </c>
      <c r="I45" s="14">
        <v>177593.87621573632</v>
      </c>
      <c r="J45" s="14">
        <v>189487.19264027016</v>
      </c>
      <c r="K45" s="14">
        <v>186856.48223223869</v>
      </c>
      <c r="L45" s="14">
        <v>186854.61354512037</v>
      </c>
      <c r="M45" s="14">
        <v>183709.40673146048</v>
      </c>
      <c r="N45" s="14">
        <v>180024.96319003188</v>
      </c>
    </row>
    <row r="46" spans="1:19" x14ac:dyDescent="0.3">
      <c r="A46" s="3" t="str">
        <f>INDEX('R1. Scenario specifications'!$C$11:$C$49,MATCH($B46,'R1. Scenario specifications'!$A$11:$A$49,0))</f>
        <v>Vivid Paris NDCs - WEO New Policies Scenario emissions pathway run through TIAM</v>
      </c>
      <c r="B46" s="3" t="s">
        <v>14</v>
      </c>
      <c r="C46" s="3" t="s">
        <v>58</v>
      </c>
      <c r="D46" s="14">
        <v>245383.2541071584</v>
      </c>
      <c r="E46" s="14">
        <v>264973.10355945653</v>
      </c>
      <c r="F46" s="14">
        <v>287420.73047055042</v>
      </c>
      <c r="G46" s="14">
        <v>293811.41257123975</v>
      </c>
      <c r="H46" s="14">
        <v>293025.81692913489</v>
      </c>
      <c r="I46" s="14">
        <v>283981.96357670013</v>
      </c>
      <c r="J46" s="14">
        <v>272668.94008573861</v>
      </c>
      <c r="K46" s="14">
        <v>258388.06686094648</v>
      </c>
      <c r="L46" s="14">
        <v>259298.20728540001</v>
      </c>
      <c r="M46" s="14">
        <v>277235.34481425601</v>
      </c>
      <c r="N46" s="14">
        <v>249804.4826642024</v>
      </c>
    </row>
    <row r="47" spans="1:19" x14ac:dyDescent="0.3">
      <c r="A47" s="3" t="str">
        <f>INDEX('R1. Scenario specifications'!$C$11:$C$49,MATCH($B47,'R1. Scenario specifications'!$A$11:$A$49,0))</f>
        <v>Current 2DS, 2020 start, 'Expect the Unexpected'</v>
      </c>
      <c r="B47" s="3" t="s">
        <v>15</v>
      </c>
      <c r="C47" s="3" t="s">
        <v>56</v>
      </c>
      <c r="D47" s="14">
        <v>133715.16751824543</v>
      </c>
      <c r="E47" s="14">
        <v>168138.47746807424</v>
      </c>
      <c r="F47" s="14">
        <v>134434.81319464734</v>
      </c>
      <c r="G47" s="14">
        <v>108563.62293922262</v>
      </c>
      <c r="H47" s="14">
        <v>91815.248284130706</v>
      </c>
      <c r="I47" s="14">
        <v>88547.034456209352</v>
      </c>
      <c r="J47" s="14">
        <v>95810.532005263914</v>
      </c>
      <c r="K47" s="14">
        <v>98075.073233862</v>
      </c>
      <c r="L47" s="14">
        <v>106269.03231520744</v>
      </c>
      <c r="M47" s="14">
        <v>107535.34240344244</v>
      </c>
      <c r="N47" s="14">
        <v>108771.91896890041</v>
      </c>
    </row>
    <row r="48" spans="1:19" x14ac:dyDescent="0.3">
      <c r="A48" s="3" t="str">
        <f>INDEX('R1. Scenario specifications'!$C$11:$C$49,MATCH($B48,'R1. Scenario specifications'!$A$11:$A$49,0))</f>
        <v>Current 2DS, 2020 start, 'Expect the Unexpected'</v>
      </c>
      <c r="B48" s="3" t="s">
        <v>15</v>
      </c>
      <c r="C48" s="3" t="s">
        <v>57</v>
      </c>
      <c r="D48" s="14">
        <v>105930.88055567192</v>
      </c>
      <c r="E48" s="14">
        <v>117776.03139929548</v>
      </c>
      <c r="F48" s="14">
        <v>155164.96169378661</v>
      </c>
      <c r="G48" s="14">
        <v>170592.46567971667</v>
      </c>
      <c r="H48" s="14">
        <v>179073.45756864862</v>
      </c>
      <c r="I48" s="14">
        <v>186634.50318058865</v>
      </c>
      <c r="J48" s="14">
        <v>178610.47561331463</v>
      </c>
      <c r="K48" s="14">
        <v>158070.79511703504</v>
      </c>
      <c r="L48" s="14">
        <v>131020.2110095574</v>
      </c>
      <c r="M48" s="14">
        <v>86915.803302088781</v>
      </c>
      <c r="N48" s="14">
        <v>69121.255884351995</v>
      </c>
    </row>
    <row r="49" spans="1:14" x14ac:dyDescent="0.3">
      <c r="A49" s="3" t="str">
        <f>INDEX('R1. Scenario specifications'!$C$11:$C$49,MATCH($B49,'R1. Scenario specifications'!$A$11:$A$49,0))</f>
        <v>Current 2DS, 2020 start, 'Expect the Unexpected'</v>
      </c>
      <c r="B49" s="3" t="s">
        <v>15</v>
      </c>
      <c r="C49" s="3" t="s">
        <v>58</v>
      </c>
      <c r="D49" s="14">
        <v>245383.2541071584</v>
      </c>
      <c r="E49" s="14">
        <v>264973.10355945653</v>
      </c>
      <c r="F49" s="14">
        <v>287420.73047055042</v>
      </c>
      <c r="G49" s="14">
        <v>288904.53257786698</v>
      </c>
      <c r="H49" s="14">
        <v>286531.39818579901</v>
      </c>
      <c r="I49" s="14">
        <v>273917.27785073291</v>
      </c>
      <c r="J49" s="14">
        <v>262619.38544322259</v>
      </c>
      <c r="K49" s="14">
        <v>247136.57511552528</v>
      </c>
      <c r="L49" s="14">
        <v>232714.62731187031</v>
      </c>
      <c r="M49" s="14">
        <v>228351.87472437404</v>
      </c>
      <c r="N49" s="14">
        <v>198477.70438017769</v>
      </c>
    </row>
    <row r="50" spans="1:14" x14ac:dyDescent="0.3">
      <c r="A50" s="3" t="str">
        <f>INDEX('R1. Scenario specifications'!$C$11:$C$49,MATCH($B50,'R1. Scenario specifications'!$A$11:$A$49,0))</f>
        <v>Current 2DS, 2030 start, 'Expect the Unexpected' but with cheap energy efficiency</v>
      </c>
      <c r="B50" s="3" t="s">
        <v>16</v>
      </c>
      <c r="C50" s="3" t="s">
        <v>56</v>
      </c>
      <c r="D50" s="14">
        <v>133715.16751824543</v>
      </c>
      <c r="E50" s="14">
        <v>168138.47746807424</v>
      </c>
      <c r="F50" s="14">
        <v>134434.81319464734</v>
      </c>
      <c r="G50" s="14">
        <v>144479.6233654609</v>
      </c>
      <c r="H50" s="14">
        <v>102869.3514186776</v>
      </c>
      <c r="I50" s="14">
        <v>79559.476791406603</v>
      </c>
      <c r="J50" s="14">
        <v>65822.082171511662</v>
      </c>
      <c r="K50" s="14">
        <v>76896.636478374727</v>
      </c>
      <c r="L50" s="14">
        <v>84629.700113068175</v>
      </c>
      <c r="M50" s="14">
        <v>86615.180137532603</v>
      </c>
      <c r="N50" s="14">
        <v>80270.748698334835</v>
      </c>
    </row>
    <row r="51" spans="1:14" x14ac:dyDescent="0.3">
      <c r="A51" s="3" t="str">
        <f>INDEX('R1. Scenario specifications'!$C$11:$C$49,MATCH($B51,'R1. Scenario specifications'!$A$11:$A$49,0))</f>
        <v>Current 2DS, 2030 start, 'Expect the Unexpected' but with cheap energy efficiency</v>
      </c>
      <c r="B51" s="3" t="s">
        <v>16</v>
      </c>
      <c r="C51" s="3" t="s">
        <v>57</v>
      </c>
      <c r="D51" s="14">
        <v>105930.88055567192</v>
      </c>
      <c r="E51" s="14">
        <v>117776.03139929548</v>
      </c>
      <c r="F51" s="14">
        <v>155164.96169378661</v>
      </c>
      <c r="G51" s="14">
        <v>165931.33199667532</v>
      </c>
      <c r="H51" s="14">
        <v>168252.39205857797</v>
      </c>
      <c r="I51" s="14">
        <v>159260.74027157118</v>
      </c>
      <c r="J51" s="14">
        <v>158987.45492848573</v>
      </c>
      <c r="K51" s="14">
        <v>138959.77795810797</v>
      </c>
      <c r="L51" s="14">
        <v>112702.54181285294</v>
      </c>
      <c r="M51" s="14">
        <v>73341.232578154464</v>
      </c>
      <c r="N51" s="14">
        <v>58588.096049145301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 but with cheap energy efficiency</v>
      </c>
      <c r="B52" s="3" t="s">
        <v>16</v>
      </c>
      <c r="C52" s="3" t="s">
        <v>58</v>
      </c>
      <c r="D52" s="14">
        <v>245383.2541071584</v>
      </c>
      <c r="E52" s="14">
        <v>264973.10355945653</v>
      </c>
      <c r="F52" s="14">
        <v>287420.73047055042</v>
      </c>
      <c r="G52" s="14">
        <v>293811.41257123975</v>
      </c>
      <c r="H52" s="14">
        <v>267217.88940176455</v>
      </c>
      <c r="I52" s="14">
        <v>250554.01011177729</v>
      </c>
      <c r="J52" s="14">
        <v>241982.78704768606</v>
      </c>
      <c r="K52" s="14">
        <v>224078.2598842514</v>
      </c>
      <c r="L52" s="14">
        <v>214197.41883686784</v>
      </c>
      <c r="M52" s="14">
        <v>197625.38622721328</v>
      </c>
      <c r="N52" s="14">
        <v>173674.68807746042</v>
      </c>
    </row>
    <row r="53" spans="1:14" x14ac:dyDescent="0.3">
      <c r="A53" s="3" t="str">
        <f>INDEX('R1. Scenario specifications'!$C$11:$C$49,MATCH($B53,'R1. Scenario specifications'!$A$11:$A$49,0))</f>
        <v>Current 2DS, 2020 start, 'Expect the Unexpected' but with most conservative biomass CCS / NET technology cost assumptions</v>
      </c>
      <c r="B53" s="3" t="s">
        <v>17</v>
      </c>
      <c r="C53" s="3" t="s">
        <v>56</v>
      </c>
      <c r="D53" s="14">
        <v>133715.16751824543</v>
      </c>
      <c r="E53" s="14">
        <v>168138.47746807424</v>
      </c>
      <c r="F53" s="14">
        <v>134434.81319464734</v>
      </c>
      <c r="G53" s="14">
        <v>108476.62305507017</v>
      </c>
      <c r="H53" s="14">
        <v>91470.983620376559</v>
      </c>
      <c r="I53" s="14">
        <v>88954.756542491406</v>
      </c>
      <c r="J53" s="14">
        <v>95405.376609715604</v>
      </c>
      <c r="K53" s="14">
        <v>98067.814942039622</v>
      </c>
      <c r="L53" s="14">
        <v>106100.21463264796</v>
      </c>
      <c r="M53" s="14">
        <v>107561.1354270742</v>
      </c>
      <c r="N53" s="14">
        <v>108828.2060347103</v>
      </c>
    </row>
    <row r="54" spans="1:14" x14ac:dyDescent="0.3">
      <c r="A54" s="3" t="str">
        <f>INDEX('R1. Scenario specifications'!$C$11:$C$49,MATCH($B54,'R1. Scenario specifications'!$A$11:$A$49,0))</f>
        <v>Current 2DS, 2020 start, 'Expect the Unexpected' but with most conservative biomass CCS / NET technology cost assumptions</v>
      </c>
      <c r="B54" s="3" t="s">
        <v>17</v>
      </c>
      <c r="C54" s="3" t="s">
        <v>57</v>
      </c>
      <c r="D54" s="14">
        <v>105930.88055567192</v>
      </c>
      <c r="E54" s="14">
        <v>117776.03139929548</v>
      </c>
      <c r="F54" s="14">
        <v>155164.96169378661</v>
      </c>
      <c r="G54" s="14">
        <v>170641.91799427907</v>
      </c>
      <c r="H54" s="14">
        <v>179273.2490951482</v>
      </c>
      <c r="I54" s="14">
        <v>187628.29275398361</v>
      </c>
      <c r="J54" s="14">
        <v>179112.45598942682</v>
      </c>
      <c r="K54" s="14">
        <v>156891.51706287111</v>
      </c>
      <c r="L54" s="14">
        <v>130267.40412027582</v>
      </c>
      <c r="M54" s="14">
        <v>86653.12460304689</v>
      </c>
      <c r="N54" s="14">
        <v>69259.287878414398</v>
      </c>
    </row>
    <row r="55" spans="1:14" x14ac:dyDescent="0.3">
      <c r="A55" s="3" t="str">
        <f>INDEX('R1. Scenario specifications'!$C$11:$C$49,MATCH($B55,'R1. Scenario specifications'!$A$11:$A$49,0))</f>
        <v>Current 2DS, 2020 start, 'Expect the Unexpected' but with most conservative biomass CCS / NET technology cost assumptions</v>
      </c>
      <c r="B55" s="3" t="s">
        <v>17</v>
      </c>
      <c r="C55" s="3" t="s">
        <v>58</v>
      </c>
      <c r="D55" s="14">
        <v>245383.2541071584</v>
      </c>
      <c r="E55" s="14">
        <v>264973.10355945653</v>
      </c>
      <c r="F55" s="14">
        <v>287420.73047055042</v>
      </c>
      <c r="G55" s="14">
        <v>288917.8025682774</v>
      </c>
      <c r="H55" s="14">
        <v>286522.61579137098</v>
      </c>
      <c r="I55" s="14">
        <v>274263.97183883184</v>
      </c>
      <c r="J55" s="14">
        <v>262714.46761520143</v>
      </c>
      <c r="K55" s="14">
        <v>247238.38171075366</v>
      </c>
      <c r="L55" s="14">
        <v>232763.40978565425</v>
      </c>
      <c r="M55" s="14">
        <v>228034.28612345175</v>
      </c>
      <c r="N55" s="14">
        <v>198471.77089465581</v>
      </c>
    </row>
    <row r="56" spans="1:14" x14ac:dyDescent="0.3">
      <c r="A56" s="3" t="str">
        <f>INDEX('R1. Scenario specifications'!$C$11:$C$49,MATCH($B56,'R1. Scenario specifications'!$A$11:$A$49,0))</f>
        <v>Current 2DS, 2030 start, 'Expect the Unexpected' but with most conservative biomass CCS / NET technology cost assumptions</v>
      </c>
      <c r="B56" s="3" t="s">
        <v>18</v>
      </c>
      <c r="C56" s="3" t="s">
        <v>56</v>
      </c>
      <c r="D56" s="14">
        <v>133715.16751824543</v>
      </c>
      <c r="E56" s="14">
        <v>168138.47746807424</v>
      </c>
      <c r="F56" s="14">
        <v>134434.81319464734</v>
      </c>
      <c r="G56" s="14">
        <v>144479.6233654609</v>
      </c>
      <c r="H56" s="14">
        <v>99673.63228323638</v>
      </c>
      <c r="I56" s="14">
        <v>80888.050592682717</v>
      </c>
      <c r="J56" s="14">
        <v>89499.983182997006</v>
      </c>
      <c r="K56" s="14">
        <v>99980.268023664859</v>
      </c>
      <c r="L56" s="14">
        <v>105977.7489476217</v>
      </c>
      <c r="M56" s="14">
        <v>106011.66214510816</v>
      </c>
      <c r="N56" s="14">
        <v>103297.59471555869</v>
      </c>
    </row>
    <row r="57" spans="1:14" x14ac:dyDescent="0.3">
      <c r="A57" s="3" t="str">
        <f>INDEX('R1. Scenario specifications'!$C$11:$C$49,MATCH($B57,'R1. Scenario specifications'!$A$11:$A$49,0))</f>
        <v>Current 2DS, 2030 start, 'Expect the Unexpected' but with most conservative biomass CCS / NET technology cost assumptions</v>
      </c>
      <c r="B57" s="3" t="s">
        <v>18</v>
      </c>
      <c r="C57" s="3" t="s">
        <v>57</v>
      </c>
      <c r="D57" s="14">
        <v>105930.88055567192</v>
      </c>
      <c r="E57" s="14">
        <v>117776.03139929548</v>
      </c>
      <c r="F57" s="14">
        <v>155164.96169378661</v>
      </c>
      <c r="G57" s="14">
        <v>165931.33199667532</v>
      </c>
      <c r="H57" s="14">
        <v>182968.58492970618</v>
      </c>
      <c r="I57" s="14">
        <v>189533.99156474313</v>
      </c>
      <c r="J57" s="14">
        <v>181200.30852334623</v>
      </c>
      <c r="K57" s="14">
        <v>151417.23278252402</v>
      </c>
      <c r="L57" s="14">
        <v>126791.20061389256</v>
      </c>
      <c r="M57" s="14">
        <v>80710.450212523749</v>
      </c>
      <c r="N57" s="14">
        <v>66324.766395789484</v>
      </c>
    </row>
    <row r="58" spans="1:14" x14ac:dyDescent="0.3">
      <c r="A58" s="3" t="str">
        <f>INDEX('R1. Scenario specifications'!$C$11:$C$49,MATCH($B58,'R1. Scenario specifications'!$A$11:$A$49,0))</f>
        <v>Current 2DS, 2030 start, 'Expect the Unexpected' but with most conservative biomass CCS / NET technology cost assumptions</v>
      </c>
      <c r="B58" s="3" t="s">
        <v>18</v>
      </c>
      <c r="C58" s="3" t="s">
        <v>58</v>
      </c>
      <c r="D58" s="14">
        <v>245383.2541071584</v>
      </c>
      <c r="E58" s="14">
        <v>264973.10355945653</v>
      </c>
      <c r="F58" s="14">
        <v>287420.73047055042</v>
      </c>
      <c r="G58" s="14">
        <v>293811.41257123975</v>
      </c>
      <c r="H58" s="14">
        <v>285351.898657221</v>
      </c>
      <c r="I58" s="14">
        <v>269680.57528850954</v>
      </c>
      <c r="J58" s="14">
        <v>258110.46105229537</v>
      </c>
      <c r="K58" s="14">
        <v>246297.70440738183</v>
      </c>
      <c r="L58" s="14">
        <v>230853.3399940026</v>
      </c>
      <c r="M58" s="14">
        <v>227633.56355530315</v>
      </c>
      <c r="N58" s="14">
        <v>198933.07349406145</v>
      </c>
    </row>
    <row r="59" spans="1:14" x14ac:dyDescent="0.3">
      <c r="A59" s="3" t="str">
        <f>INDEX('R1. Scenario specifications'!$C$11:$C$49,MATCH($B59,'R1. Scenario specifications'!$A$11:$A$49,0))</f>
        <v>Current 1.5DS, 2020 start, 'Expect the Unexpected'</v>
      </c>
      <c r="B59" s="3" t="s">
        <v>19</v>
      </c>
      <c r="C59" s="3" t="s">
        <v>56</v>
      </c>
      <c r="D59" s="14">
        <v>133715.16751824543</v>
      </c>
      <c r="E59" s="14">
        <v>168138.47746807424</v>
      </c>
      <c r="F59" s="14">
        <v>134434.81319464734</v>
      </c>
      <c r="G59" s="14">
        <v>68416.681054775356</v>
      </c>
      <c r="H59" s="14">
        <v>49668.780322921557</v>
      </c>
      <c r="I59" s="14">
        <v>41197.268630333012</v>
      </c>
      <c r="J59" s="14">
        <v>50716.231722121825</v>
      </c>
      <c r="K59" s="14">
        <v>97649.000521835245</v>
      </c>
      <c r="L59" s="14">
        <v>103696.73255155297</v>
      </c>
      <c r="M59" s="14">
        <v>104601.27396555482</v>
      </c>
      <c r="N59" s="14">
        <v>78061.119857898579</v>
      </c>
    </row>
    <row r="60" spans="1:14" x14ac:dyDescent="0.3">
      <c r="A60" s="3" t="str">
        <f>INDEX('R1. Scenario specifications'!$C$11:$C$49,MATCH($B60,'R1. Scenario specifications'!$A$11:$A$49,0))</f>
        <v>Current 1.5DS, 2020 start, 'Expect the Unexpected'</v>
      </c>
      <c r="B60" s="3" t="s">
        <v>19</v>
      </c>
      <c r="C60" s="3" t="s">
        <v>57</v>
      </c>
      <c r="D60" s="14">
        <v>105930.88055567192</v>
      </c>
      <c r="E60" s="14">
        <v>117776.03139929548</v>
      </c>
      <c r="F60" s="14">
        <v>155164.96169378661</v>
      </c>
      <c r="G60" s="14">
        <v>154920.54318047775</v>
      </c>
      <c r="H60" s="14">
        <v>43115.89258322263</v>
      </c>
      <c r="I60" s="14">
        <v>86632.473197781321</v>
      </c>
      <c r="J60" s="14">
        <v>95805.172137716872</v>
      </c>
      <c r="K60" s="14">
        <v>105537.63739722225</v>
      </c>
      <c r="L60" s="14">
        <v>99402.997546749917</v>
      </c>
      <c r="M60" s="14">
        <v>79829.478229860746</v>
      </c>
      <c r="N60" s="14">
        <v>65084.026209351927</v>
      </c>
    </row>
    <row r="61" spans="1:14" x14ac:dyDescent="0.3">
      <c r="A61" s="3" t="str">
        <f>INDEX('R1. Scenario specifications'!$C$11:$C$49,MATCH($B61,'R1. Scenario specifications'!$A$11:$A$49,0))</f>
        <v>Current 1.5DS, 2020 start, 'Expect the Unexpected'</v>
      </c>
      <c r="B61" s="3" t="s">
        <v>19</v>
      </c>
      <c r="C61" s="3" t="s">
        <v>58</v>
      </c>
      <c r="D61" s="14">
        <v>245383.2541071584</v>
      </c>
      <c r="E61" s="14">
        <v>264973.10355945653</v>
      </c>
      <c r="F61" s="14">
        <v>287420.73047055042</v>
      </c>
      <c r="G61" s="14">
        <v>263509.22162324091</v>
      </c>
      <c r="H61" s="14">
        <v>191179.04375269101</v>
      </c>
      <c r="I61" s="14">
        <v>176908.61591625793</v>
      </c>
      <c r="J61" s="14">
        <v>223569.41532161928</v>
      </c>
      <c r="K61" s="14">
        <v>237159.18898127996</v>
      </c>
      <c r="L61" s="14">
        <v>234708.52750725197</v>
      </c>
      <c r="M61" s="14">
        <v>221467.19474811997</v>
      </c>
      <c r="N61" s="14">
        <v>207105.16225637344</v>
      </c>
    </row>
    <row r="62" spans="1:14" x14ac:dyDescent="0.3">
      <c r="A62" s="3" t="str">
        <f>INDEX('R1. Scenario specifications'!$C$11:$C$49,MATCH($B62,'R1. Scenario specifications'!$A$11:$A$49,0))</f>
        <v>Current 1.5DS, 2030 start, 'Expect the Unexpected'</v>
      </c>
      <c r="B62" s="3" t="s">
        <v>20</v>
      </c>
      <c r="C62" s="3" t="s">
        <v>56</v>
      </c>
      <c r="D62" s="14">
        <v>133715.16751824543</v>
      </c>
      <c r="E62" s="14">
        <v>168138.47746807424</v>
      </c>
      <c r="F62" s="14">
        <v>134434.81319464734</v>
      </c>
      <c r="G62" s="14">
        <v>144479.6233654609</v>
      </c>
      <c r="H62" s="14">
        <v>50864.551222710536</v>
      </c>
      <c r="I62" s="14">
        <v>45261.31146620959</v>
      </c>
      <c r="J62" s="14">
        <v>17395.535820800222</v>
      </c>
      <c r="K62" s="14">
        <v>111193.58966551772</v>
      </c>
      <c r="L62" s="14">
        <v>130306.75749902039</v>
      </c>
      <c r="M62" s="14">
        <v>104165.6848397104</v>
      </c>
      <c r="N62" s="14">
        <v>108531.51719545209</v>
      </c>
    </row>
    <row r="63" spans="1:14" x14ac:dyDescent="0.3">
      <c r="A63" s="3" t="str">
        <f>INDEX('R1. Scenario specifications'!$C$11:$C$49,MATCH($B63,'R1. Scenario specifications'!$A$11:$A$49,0))</f>
        <v>Current 1.5DS, 2030 start, 'Expect the Unexpected'</v>
      </c>
      <c r="B63" s="3" t="s">
        <v>20</v>
      </c>
      <c r="C63" s="3" t="s">
        <v>57</v>
      </c>
      <c r="D63" s="14">
        <v>105930.88055567192</v>
      </c>
      <c r="E63" s="14">
        <v>117776.03139929548</v>
      </c>
      <c r="F63" s="14">
        <v>155164.96169378661</v>
      </c>
      <c r="G63" s="14">
        <v>165931.33199667532</v>
      </c>
      <c r="H63" s="14">
        <v>63832.420436263492</v>
      </c>
      <c r="I63" s="14">
        <v>47928.892172672597</v>
      </c>
      <c r="J63" s="14">
        <v>94790.247232354785</v>
      </c>
      <c r="K63" s="14">
        <v>132095.00704722395</v>
      </c>
      <c r="L63" s="14">
        <v>147339.08824993277</v>
      </c>
      <c r="M63" s="14">
        <v>151914.21848282818</v>
      </c>
      <c r="N63" s="14">
        <v>140399.78498077879</v>
      </c>
    </row>
    <row r="64" spans="1:14" x14ac:dyDescent="0.3">
      <c r="A64" s="3" t="str">
        <f>INDEX('R1. Scenario specifications'!$C$11:$C$49,MATCH($B64,'R1. Scenario specifications'!$A$11:$A$49,0))</f>
        <v>Current 1.5DS, 2030 start, 'Expect the Unexpected'</v>
      </c>
      <c r="B64" s="3" t="s">
        <v>20</v>
      </c>
      <c r="C64" s="3" t="s">
        <v>58</v>
      </c>
      <c r="D64" s="14">
        <v>245383.2541071584</v>
      </c>
      <c r="E64" s="14">
        <v>264973.10355945653</v>
      </c>
      <c r="F64" s="14">
        <v>287420.73047055042</v>
      </c>
      <c r="G64" s="14">
        <v>293811.41257123975</v>
      </c>
      <c r="H64" s="14">
        <v>261414.15797991119</v>
      </c>
      <c r="I64" s="14">
        <v>206278.98351482526</v>
      </c>
      <c r="J64" s="14">
        <v>194775.45478589484</v>
      </c>
      <c r="K64" s="14">
        <v>267116.28002590011</v>
      </c>
      <c r="L64" s="14">
        <v>265538.14080198586</v>
      </c>
      <c r="M64" s="14">
        <v>262312.30810237344</v>
      </c>
      <c r="N64" s="14">
        <v>236604.47999811452</v>
      </c>
    </row>
    <row r="65" spans="1:14" x14ac:dyDescent="0.3">
      <c r="A65" s="3" t="str">
        <f>INDEX('R1. Scenario specifications'!$C$11:$C$49,MATCH($B65,'R1. Scenario specifications'!$A$11:$A$49,0))</f>
        <v>Current 1.5DS, 2020 start, 'Expect the Unexpected' but with cheap renewables</v>
      </c>
      <c r="B65" s="3" t="s">
        <v>21</v>
      </c>
      <c r="C65" s="3" t="s">
        <v>56</v>
      </c>
      <c r="D65" s="14">
        <v>133715.16751824543</v>
      </c>
      <c r="E65" s="14">
        <v>168138.47746807424</v>
      </c>
      <c r="F65" s="14">
        <v>134434.81319464734</v>
      </c>
      <c r="G65" s="14">
        <v>61349.927300237905</v>
      </c>
      <c r="H65" s="14">
        <v>49661.740873960654</v>
      </c>
      <c r="I65" s="14">
        <v>41672.709108970099</v>
      </c>
      <c r="J65" s="14">
        <v>62763.094440404166</v>
      </c>
      <c r="K65" s="14">
        <v>97120.324877039267</v>
      </c>
      <c r="L65" s="14">
        <v>103038.368664079</v>
      </c>
      <c r="M65" s="14">
        <v>104761.7822288514</v>
      </c>
      <c r="N65" s="14">
        <v>80749.779368246091</v>
      </c>
    </row>
    <row r="66" spans="1:14" x14ac:dyDescent="0.3">
      <c r="A66" s="3" t="str">
        <f>INDEX('R1. Scenario specifications'!$C$11:$C$49,MATCH($B66,'R1. Scenario specifications'!$A$11:$A$49,0))</f>
        <v>Current 1.5DS, 2020 start, 'Expect the Unexpected' but with cheap renewables</v>
      </c>
      <c r="B66" s="3" t="s">
        <v>21</v>
      </c>
      <c r="C66" s="3" t="s">
        <v>57</v>
      </c>
      <c r="D66" s="14">
        <v>105930.88055567192</v>
      </c>
      <c r="E66" s="14">
        <v>117776.03139929548</v>
      </c>
      <c r="F66" s="14">
        <v>155164.96169378661</v>
      </c>
      <c r="G66" s="14">
        <v>152025.09582993004</v>
      </c>
      <c r="H66" s="14">
        <v>42220.523470386172</v>
      </c>
      <c r="I66" s="14">
        <v>77994.256559721689</v>
      </c>
      <c r="J66" s="14">
        <v>72522.667193246845</v>
      </c>
      <c r="K66" s="14">
        <v>101630.32264013436</v>
      </c>
      <c r="L66" s="14">
        <v>98158.077620561497</v>
      </c>
      <c r="M66" s="14">
        <v>75586.898162733385</v>
      </c>
      <c r="N66" s="14">
        <v>64260.550628620957</v>
      </c>
    </row>
    <row r="67" spans="1:14" x14ac:dyDescent="0.3">
      <c r="A67" s="3" t="str">
        <f>INDEX('R1. Scenario specifications'!$C$11:$C$49,MATCH($B67,'R1. Scenario specifications'!$A$11:$A$49,0))</f>
        <v>Current 1.5DS, 2020 start, 'Expect the Unexpected' but with cheap renewables</v>
      </c>
      <c r="B67" s="3" t="s">
        <v>21</v>
      </c>
      <c r="C67" s="3" t="s">
        <v>58</v>
      </c>
      <c r="D67" s="14">
        <v>245383.2541071584</v>
      </c>
      <c r="E67" s="14">
        <v>264973.10355945653</v>
      </c>
      <c r="F67" s="14">
        <v>287420.73047055042</v>
      </c>
      <c r="G67" s="14">
        <v>265187.99826101831</v>
      </c>
      <c r="H67" s="14">
        <v>192428.07857078497</v>
      </c>
      <c r="I67" s="14">
        <v>175861.74395026741</v>
      </c>
      <c r="J67" s="14">
        <v>235109.19139492445</v>
      </c>
      <c r="K67" s="14">
        <v>229536.98173526343</v>
      </c>
      <c r="L67" s="14">
        <v>232602.34878863796</v>
      </c>
      <c r="M67" s="14">
        <v>220771.37404853379</v>
      </c>
      <c r="N67" s="14">
        <v>195806.73676997612</v>
      </c>
    </row>
    <row r="68" spans="1:14" x14ac:dyDescent="0.3">
      <c r="A68" s="3" t="str">
        <f>INDEX('R1. Scenario specifications'!$C$11:$C$49,MATCH($B68,'R1. Scenario specifications'!$A$11:$A$49,0))</f>
        <v>Current 1.5DS, 2030 start, 'Expect the Unexpected' but with cheap renewables</v>
      </c>
      <c r="B68" s="3" t="s">
        <v>22</v>
      </c>
      <c r="C68" s="3" t="s">
        <v>56</v>
      </c>
      <c r="D68" s="14">
        <v>133715.16751824543</v>
      </c>
      <c r="E68" s="14">
        <v>168138.47746807424</v>
      </c>
      <c r="F68" s="14">
        <v>134434.81319464734</v>
      </c>
      <c r="G68" s="14">
        <v>144479.6233654609</v>
      </c>
      <c r="H68" s="14">
        <v>50862.526362405901</v>
      </c>
      <c r="I68" s="14">
        <v>45702.576671423216</v>
      </c>
      <c r="J68" s="14">
        <v>17400.1983185838</v>
      </c>
      <c r="K68" s="14">
        <v>110433.64644880754</v>
      </c>
      <c r="L68" s="14">
        <v>117945.69176549811</v>
      </c>
      <c r="M68" s="14">
        <v>90810.065201531281</v>
      </c>
      <c r="N68" s="14">
        <v>105626.37124433738</v>
      </c>
    </row>
    <row r="69" spans="1:14" x14ac:dyDescent="0.3">
      <c r="A69" s="3" t="str">
        <f>INDEX('R1. Scenario specifications'!$C$11:$C$49,MATCH($B69,'R1. Scenario specifications'!$A$11:$A$49,0))</f>
        <v>Current 1.5DS, 2030 start, 'Expect the Unexpected' but with cheap renewables</v>
      </c>
      <c r="B69" s="3" t="s">
        <v>22</v>
      </c>
      <c r="C69" s="3" t="s">
        <v>57</v>
      </c>
      <c r="D69" s="14">
        <v>105930.88055567192</v>
      </c>
      <c r="E69" s="14">
        <v>117776.03139929548</v>
      </c>
      <c r="F69" s="14">
        <v>155164.96169378661</v>
      </c>
      <c r="G69" s="14">
        <v>165931.33199667532</v>
      </c>
      <c r="H69" s="14">
        <v>62989.762674525948</v>
      </c>
      <c r="I69" s="14">
        <v>47550.523042621448</v>
      </c>
      <c r="J69" s="14">
        <v>88594.083485695897</v>
      </c>
      <c r="K69" s="14">
        <v>129722.17978131189</v>
      </c>
      <c r="L69" s="14">
        <v>145938.64724650071</v>
      </c>
      <c r="M69" s="14">
        <v>150553.9130857272</v>
      </c>
      <c r="N69" s="14">
        <v>141914.21600420328</v>
      </c>
    </row>
    <row r="70" spans="1:14" x14ac:dyDescent="0.3">
      <c r="A70" s="3" t="str">
        <f>INDEX('R1. Scenario specifications'!$C$11:$C$49,MATCH($B70,'R1. Scenario specifications'!$A$11:$A$49,0))</f>
        <v>Current 1.5DS, 2030 start, 'Expect the Unexpected' but with cheap renewables</v>
      </c>
      <c r="B70" s="3" t="s">
        <v>22</v>
      </c>
      <c r="C70" s="3" t="s">
        <v>58</v>
      </c>
      <c r="D70" s="14">
        <v>245383.2541071584</v>
      </c>
      <c r="E70" s="14">
        <v>264973.10355945653</v>
      </c>
      <c r="F70" s="14">
        <v>287420.73047055042</v>
      </c>
      <c r="G70" s="14">
        <v>293811.41257123975</v>
      </c>
      <c r="H70" s="14">
        <v>263879.84766824025</v>
      </c>
      <c r="I70" s="14">
        <v>204312.94634414624</v>
      </c>
      <c r="J70" s="14">
        <v>194712.96394200932</v>
      </c>
      <c r="K70" s="14">
        <v>263402.49306728138</v>
      </c>
      <c r="L70" s="14">
        <v>263867.97548368806</v>
      </c>
      <c r="M70" s="14">
        <v>264936.4063082597</v>
      </c>
      <c r="N70" s="14">
        <v>233060.25502501114</v>
      </c>
    </row>
    <row r="71" spans="1:14" x14ac:dyDescent="0.3">
      <c r="A71" s="3" t="str">
        <f>INDEX('R1. Scenario specifications'!$C$11:$C$49,MATCH($B71,'R1. Scenario specifications'!$A$11:$A$49,0))</f>
        <v>Current 1.5DS, 2020 start, 'Expect the Unexpected' but with cheap CCS</v>
      </c>
      <c r="B71" s="3" t="s">
        <v>23</v>
      </c>
      <c r="C71" s="3" t="s">
        <v>56</v>
      </c>
      <c r="D71" s="14">
        <v>133715.16751824543</v>
      </c>
      <c r="E71" s="14">
        <v>168138.47746807424</v>
      </c>
      <c r="F71" s="14">
        <v>134434.81319464734</v>
      </c>
      <c r="G71" s="14">
        <v>68416.681054775312</v>
      </c>
      <c r="H71" s="14">
        <v>49668.780317048797</v>
      </c>
      <c r="I71" s="14">
        <v>41197.26863069892</v>
      </c>
      <c r="J71" s="14">
        <v>50716.227377141055</v>
      </c>
      <c r="K71" s="14">
        <v>97649.00052183494</v>
      </c>
      <c r="L71" s="14">
        <v>103696.73254713771</v>
      </c>
      <c r="M71" s="14">
        <v>104601.2739222308</v>
      </c>
      <c r="N71" s="14">
        <v>78061.134099157542</v>
      </c>
    </row>
    <row r="72" spans="1:14" x14ac:dyDescent="0.3">
      <c r="A72" s="3" t="str">
        <f>INDEX('R1. Scenario specifications'!$C$11:$C$49,MATCH($B72,'R1. Scenario specifications'!$A$11:$A$49,0))</f>
        <v>Current 1.5DS, 2020 start, 'Expect the Unexpected' but with cheap CCS</v>
      </c>
      <c r="B72" s="3" t="s">
        <v>23</v>
      </c>
      <c r="C72" s="3" t="s">
        <v>57</v>
      </c>
      <c r="D72" s="14">
        <v>105930.88055567192</v>
      </c>
      <c r="E72" s="14">
        <v>117776.03139929548</v>
      </c>
      <c r="F72" s="14">
        <v>155164.96169378661</v>
      </c>
      <c r="G72" s="14">
        <v>154920.54318455831</v>
      </c>
      <c r="H72" s="14">
        <v>43115.892733157074</v>
      </c>
      <c r="I72" s="14">
        <v>86632.475463387411</v>
      </c>
      <c r="J72" s="14">
        <v>95805.161942881052</v>
      </c>
      <c r="K72" s="14">
        <v>105537.61649118076</v>
      </c>
      <c r="L72" s="14">
        <v>99402.993847621328</v>
      </c>
      <c r="M72" s="14">
        <v>79829.471878214346</v>
      </c>
      <c r="N72" s="14">
        <v>65084.021550474477</v>
      </c>
    </row>
    <row r="73" spans="1:14" x14ac:dyDescent="0.3">
      <c r="A73" s="3" t="str">
        <f>INDEX('R1. Scenario specifications'!$C$11:$C$49,MATCH($B73,'R1. Scenario specifications'!$A$11:$A$49,0))</f>
        <v>Current 1.5DS, 2020 start, 'Expect the Unexpected' but with cheap CCS</v>
      </c>
      <c r="B73" s="3" t="s">
        <v>23</v>
      </c>
      <c r="C73" s="3" t="s">
        <v>58</v>
      </c>
      <c r="D73" s="14">
        <v>245383.2541071584</v>
      </c>
      <c r="E73" s="14">
        <v>264973.10355945653</v>
      </c>
      <c r="F73" s="14">
        <v>287420.73047055042</v>
      </c>
      <c r="G73" s="14">
        <v>263509.22162324085</v>
      </c>
      <c r="H73" s="14">
        <v>191179.04355486433</v>
      </c>
      <c r="I73" s="14">
        <v>176908.61580515464</v>
      </c>
      <c r="J73" s="14">
        <v>223569.42954482953</v>
      </c>
      <c r="K73" s="14">
        <v>237159.20590493569</v>
      </c>
      <c r="L73" s="14">
        <v>234708.52454227614</v>
      </c>
      <c r="M73" s="14">
        <v>221467.20163798216</v>
      </c>
      <c r="N73" s="14">
        <v>207105.14203495704</v>
      </c>
    </row>
    <row r="74" spans="1:14" x14ac:dyDescent="0.3">
      <c r="A74" s="3" t="str">
        <f>INDEX('R1. Scenario specifications'!$C$11:$C$49,MATCH($B74,'R1. Scenario specifications'!$A$11:$A$49,0))</f>
        <v>Current 1.5DS, 2030 start, 'Expect the Unexpected' but with cheap CCS</v>
      </c>
      <c r="B74" s="3" t="s">
        <v>24</v>
      </c>
      <c r="C74" s="3" t="s">
        <v>56</v>
      </c>
      <c r="D74" s="14">
        <v>133715.16751824543</v>
      </c>
      <c r="E74" s="14">
        <v>168138.47746807424</v>
      </c>
      <c r="F74" s="14">
        <v>134434.81319464734</v>
      </c>
      <c r="G74" s="14">
        <v>144479.6233654609</v>
      </c>
      <c r="H74" s="14">
        <v>50864.551222698406</v>
      </c>
      <c r="I74" s="14">
        <v>45261.311466208732</v>
      </c>
      <c r="J74" s="14">
        <v>17395.535820800258</v>
      </c>
      <c r="K74" s="14">
        <v>111193.58966678265</v>
      </c>
      <c r="L74" s="14">
        <v>130306.7574961099</v>
      </c>
      <c r="M74" s="14">
        <v>104165.68483506983</v>
      </c>
      <c r="N74" s="14">
        <v>108531.51719545183</v>
      </c>
    </row>
    <row r="75" spans="1:14" x14ac:dyDescent="0.3">
      <c r="A75" s="3" t="str">
        <f>INDEX('R1. Scenario specifications'!$C$11:$C$49,MATCH($B75,'R1. Scenario specifications'!$A$11:$A$49,0))</f>
        <v>Current 1.5DS, 2030 start, 'Expect the Unexpected' but with cheap CCS</v>
      </c>
      <c r="B75" s="3" t="s">
        <v>24</v>
      </c>
      <c r="C75" s="3" t="s">
        <v>57</v>
      </c>
      <c r="D75" s="14">
        <v>105930.88055567192</v>
      </c>
      <c r="E75" s="14">
        <v>117776.03139929548</v>
      </c>
      <c r="F75" s="14">
        <v>155164.96169378661</v>
      </c>
      <c r="G75" s="14">
        <v>165931.33199667532</v>
      </c>
      <c r="H75" s="14">
        <v>63832.420360806689</v>
      </c>
      <c r="I75" s="14">
        <v>47928.892172690299</v>
      </c>
      <c r="J75" s="14">
        <v>94790.247183774249</v>
      </c>
      <c r="K75" s="14">
        <v>132095.0070764079</v>
      </c>
      <c r="L75" s="14">
        <v>147339.08825484</v>
      </c>
      <c r="M75" s="14">
        <v>151914.21846625442</v>
      </c>
      <c r="N75" s="14">
        <v>140399.78498748128</v>
      </c>
    </row>
    <row r="76" spans="1:14" x14ac:dyDescent="0.3">
      <c r="A76" s="3" t="str">
        <f>INDEX('R1. Scenario specifications'!$C$11:$C$49,MATCH($B76,'R1. Scenario specifications'!$A$11:$A$49,0))</f>
        <v>Current 1.5DS, 2030 start, 'Expect the Unexpected' but with cheap CCS</v>
      </c>
      <c r="B76" s="3" t="s">
        <v>24</v>
      </c>
      <c r="C76" s="3" t="s">
        <v>58</v>
      </c>
      <c r="D76" s="14">
        <v>245383.2541071584</v>
      </c>
      <c r="E76" s="14">
        <v>264973.10355945653</v>
      </c>
      <c r="F76" s="14">
        <v>287420.73047055042</v>
      </c>
      <c r="G76" s="14">
        <v>293811.41257123975</v>
      </c>
      <c r="H76" s="14">
        <v>261414.15798937107</v>
      </c>
      <c r="I76" s="14">
        <v>206278.98351479677</v>
      </c>
      <c r="J76" s="14">
        <v>198539.88354100825</v>
      </c>
      <c r="K76" s="14">
        <v>267116.27993182727</v>
      </c>
      <c r="L76" s="14">
        <v>265538.14090314606</v>
      </c>
      <c r="M76" s="14">
        <v>262312.30817321735</v>
      </c>
      <c r="N76" s="14">
        <v>236604.47999825643</v>
      </c>
    </row>
    <row r="77" spans="1:14" x14ac:dyDescent="0.3">
      <c r="A77" s="3" t="str">
        <f>INDEX('R1. Scenario specifications'!$C$11:$C$49,MATCH($B77,'R1. Scenario specifications'!$A$11:$A$49,0))</f>
        <v>Current 1.5DS, 2020 start, 'Expect the Unexpected' but with cheap EVs</v>
      </c>
      <c r="B77" s="3" t="s">
        <v>25</v>
      </c>
      <c r="C77" s="3" t="s">
        <v>56</v>
      </c>
      <c r="D77" s="14">
        <v>133715.16751824543</v>
      </c>
      <c r="E77" s="14">
        <v>168138.47746807424</v>
      </c>
      <c r="F77" s="14">
        <v>134434.81319464734</v>
      </c>
      <c r="G77" s="14">
        <v>61389.719106698161</v>
      </c>
      <c r="H77" s="14">
        <v>49671.176423495453</v>
      </c>
      <c r="I77" s="14">
        <v>41240.098567929381</v>
      </c>
      <c r="J77" s="14">
        <v>50038.092478809805</v>
      </c>
      <c r="K77" s="14">
        <v>97818.445242513408</v>
      </c>
      <c r="L77" s="14">
        <v>103107.61038245911</v>
      </c>
      <c r="M77" s="14">
        <v>104326.8125499843</v>
      </c>
      <c r="N77" s="14">
        <v>77374.916759345622</v>
      </c>
    </row>
    <row r="78" spans="1:14" x14ac:dyDescent="0.3">
      <c r="A78" s="3" t="str">
        <f>INDEX('R1. Scenario specifications'!$C$11:$C$49,MATCH($B78,'R1. Scenario specifications'!$A$11:$A$49,0))</f>
        <v>Current 1.5DS, 2020 start, 'Expect the Unexpected' but with cheap EVs</v>
      </c>
      <c r="B78" s="3" t="s">
        <v>25</v>
      </c>
      <c r="C78" s="3" t="s">
        <v>57</v>
      </c>
      <c r="D78" s="14">
        <v>105930.88055567192</v>
      </c>
      <c r="E78" s="14">
        <v>117776.03139929548</v>
      </c>
      <c r="F78" s="14">
        <v>155164.96169378661</v>
      </c>
      <c r="G78" s="14">
        <v>158265.40707289975</v>
      </c>
      <c r="H78" s="14">
        <v>42984.367809805284</v>
      </c>
      <c r="I78" s="14">
        <v>88645.738930959924</v>
      </c>
      <c r="J78" s="14">
        <v>97208.394729898413</v>
      </c>
      <c r="K78" s="14">
        <v>106757.71145408746</v>
      </c>
      <c r="L78" s="14">
        <v>99490.008312669408</v>
      </c>
      <c r="M78" s="14">
        <v>77664.412268952947</v>
      </c>
      <c r="N78" s="14">
        <v>64606.043628586696</v>
      </c>
    </row>
    <row r="79" spans="1:14" x14ac:dyDescent="0.3">
      <c r="A79" s="3" t="str">
        <f>INDEX('R1. Scenario specifications'!$C$11:$C$49,MATCH($B79,'R1. Scenario specifications'!$A$11:$A$49,0))</f>
        <v>Current 1.5DS, 2020 start, 'Expect the Unexpected' but with cheap EVs</v>
      </c>
      <c r="B79" s="3" t="s">
        <v>25</v>
      </c>
      <c r="C79" s="3" t="s">
        <v>58</v>
      </c>
      <c r="D79" s="14">
        <v>245383.2541071584</v>
      </c>
      <c r="E79" s="14">
        <v>264973.10355945653</v>
      </c>
      <c r="F79" s="14">
        <v>287420.73047055042</v>
      </c>
      <c r="G79" s="14">
        <v>259278.73399286016</v>
      </c>
      <c r="H79" s="14">
        <v>190718.26081165299</v>
      </c>
      <c r="I79" s="14">
        <v>175799.17050835452</v>
      </c>
      <c r="J79" s="14">
        <v>224411.17820233741</v>
      </c>
      <c r="K79" s="14">
        <v>241360.98441688655</v>
      </c>
      <c r="L79" s="14">
        <v>238099.37442523937</v>
      </c>
      <c r="M79" s="14">
        <v>223030.94440756459</v>
      </c>
      <c r="N79" s="14">
        <v>198089.46153394095</v>
      </c>
    </row>
    <row r="80" spans="1:14" x14ac:dyDescent="0.3">
      <c r="A80" s="3" t="str">
        <f>INDEX('R1. Scenario specifications'!$C$11:$C$49,MATCH($B80,'R1. Scenario specifications'!$A$11:$A$49,0))</f>
        <v>Current 2DS, 2030 start, 'Expect the Unexpected'</v>
      </c>
      <c r="B80" s="3" t="s">
        <v>26</v>
      </c>
      <c r="C80" s="3" t="s">
        <v>56</v>
      </c>
      <c r="D80" s="14">
        <v>133715.16751824543</v>
      </c>
      <c r="E80" s="14">
        <v>168138.47746807424</v>
      </c>
      <c r="F80" s="14">
        <v>134434.81319464734</v>
      </c>
      <c r="G80" s="14">
        <v>144479.6233654609</v>
      </c>
      <c r="H80" s="14">
        <v>100154.77763632967</v>
      </c>
      <c r="I80" s="14">
        <v>81972.765413154528</v>
      </c>
      <c r="J80" s="14">
        <v>89228.648203582357</v>
      </c>
      <c r="K80" s="14">
        <v>100227.89390761717</v>
      </c>
      <c r="L80" s="14">
        <v>105997.56099462384</v>
      </c>
      <c r="M80" s="14">
        <v>106019.07395465067</v>
      </c>
      <c r="N80" s="14">
        <v>103302.42591059342</v>
      </c>
    </row>
    <row r="81" spans="1:14" x14ac:dyDescent="0.3">
      <c r="A81" s="3" t="str">
        <f>INDEX('R1. Scenario specifications'!$C$11:$C$49,MATCH($B81,'R1. Scenario specifications'!$A$11:$A$49,0))</f>
        <v>Current 2DS, 2030 start, 'Expect the Unexpected'</v>
      </c>
      <c r="B81" s="3" t="s">
        <v>26</v>
      </c>
      <c r="C81" s="3" t="s">
        <v>57</v>
      </c>
      <c r="D81" s="14">
        <v>105930.88055567192</v>
      </c>
      <c r="E81" s="14">
        <v>117776.03139929548</v>
      </c>
      <c r="F81" s="14">
        <v>155164.96169378661</v>
      </c>
      <c r="G81" s="14">
        <v>165931.33199667532</v>
      </c>
      <c r="H81" s="14">
        <v>182003.07193715035</v>
      </c>
      <c r="I81" s="14">
        <v>187160.71199603102</v>
      </c>
      <c r="J81" s="14">
        <v>181470.44669552645</v>
      </c>
      <c r="K81" s="14">
        <v>152830.56864182046</v>
      </c>
      <c r="L81" s="14">
        <v>127666.17057012336</v>
      </c>
      <c r="M81" s="14">
        <v>81132.35238735014</v>
      </c>
      <c r="N81" s="14">
        <v>66288.274691362938</v>
      </c>
    </row>
    <row r="82" spans="1:14" x14ac:dyDescent="0.3">
      <c r="A82" s="3" t="str">
        <f>INDEX('R1. Scenario specifications'!$C$11:$C$49,MATCH($B82,'R1. Scenario specifications'!$A$11:$A$49,0))</f>
        <v>Current 2DS, 2030 start, 'Expect the Unexpected'</v>
      </c>
      <c r="B82" s="3" t="s">
        <v>26</v>
      </c>
      <c r="C82" s="3" t="s">
        <v>58</v>
      </c>
      <c r="D82" s="14">
        <v>245383.2541071584</v>
      </c>
      <c r="E82" s="14">
        <v>264973.10355945653</v>
      </c>
      <c r="F82" s="14">
        <v>287420.73047055042</v>
      </c>
      <c r="G82" s="14">
        <v>293811.41257123975</v>
      </c>
      <c r="H82" s="14">
        <v>285634.79250219732</v>
      </c>
      <c r="I82" s="14">
        <v>269893.96793319337</v>
      </c>
      <c r="J82" s="14">
        <v>258160.55187703672</v>
      </c>
      <c r="K82" s="14">
        <v>246554.23048207653</v>
      </c>
      <c r="L82" s="14">
        <v>230457.04561068592</v>
      </c>
      <c r="M82" s="14">
        <v>227271.72358884965</v>
      </c>
      <c r="N82" s="14">
        <v>199113.82604831597</v>
      </c>
    </row>
    <row r="83" spans="1:14" x14ac:dyDescent="0.3">
      <c r="A83" s="3" t="str">
        <f>INDEX('R1. Scenario specifications'!$C$11:$C$49,MATCH($B83,'R1. Scenario specifications'!$A$11:$A$49,0))</f>
        <v>Current 1.5DS, 2030 start, 'Expect the Unexpected' but with cheap EVs</v>
      </c>
      <c r="B83" s="3" t="s">
        <v>27</v>
      </c>
      <c r="C83" s="3" t="s">
        <v>56</v>
      </c>
      <c r="D83" s="14">
        <v>133715.16751824543</v>
      </c>
      <c r="E83" s="14">
        <v>168138.47746807424</v>
      </c>
      <c r="F83" s="14">
        <v>134434.81319464734</v>
      </c>
      <c r="G83" s="14">
        <v>144479.6233654609</v>
      </c>
      <c r="H83" s="14">
        <v>50863.515940460646</v>
      </c>
      <c r="I83" s="14">
        <v>46593.406267244514</v>
      </c>
      <c r="J83" s="14">
        <v>17444.512315867665</v>
      </c>
      <c r="K83" s="14">
        <v>110442.4670731333</v>
      </c>
      <c r="L83" s="14">
        <v>119635.80349442715</v>
      </c>
      <c r="M83" s="14">
        <v>97795.471965650271</v>
      </c>
      <c r="N83" s="14">
        <v>109168.56840261152</v>
      </c>
    </row>
    <row r="84" spans="1:14" x14ac:dyDescent="0.3">
      <c r="A84" s="3" t="str">
        <f>INDEX('R1. Scenario specifications'!$C$11:$C$49,MATCH($B84,'R1. Scenario specifications'!$A$11:$A$49,0))</f>
        <v>Current 1.5DS, 2030 start, 'Expect the Unexpected' but with cheap EVs</v>
      </c>
      <c r="B84" s="3" t="s">
        <v>27</v>
      </c>
      <c r="C84" s="3" t="s">
        <v>57</v>
      </c>
      <c r="D84" s="14">
        <v>105930.88055567192</v>
      </c>
      <c r="E84" s="14">
        <v>117776.03139929548</v>
      </c>
      <c r="F84" s="14">
        <v>155164.96169378661</v>
      </c>
      <c r="G84" s="14">
        <v>165931.33199667532</v>
      </c>
      <c r="H84" s="14">
        <v>62818.885319876608</v>
      </c>
      <c r="I84" s="14">
        <v>47302.728615106185</v>
      </c>
      <c r="J84" s="14">
        <v>93957.293116019006</v>
      </c>
      <c r="K84" s="14">
        <v>131680.6203798911</v>
      </c>
      <c r="L84" s="14">
        <v>147217.41740316269</v>
      </c>
      <c r="M84" s="14">
        <v>152013.71578584629</v>
      </c>
      <c r="N84" s="14">
        <v>139909.76817770049</v>
      </c>
    </row>
    <row r="85" spans="1:14" x14ac:dyDescent="0.3">
      <c r="A85" s="3" t="str">
        <f>INDEX('R1. Scenario specifications'!$C$11:$C$49,MATCH($B85,'R1. Scenario specifications'!$A$11:$A$49,0))</f>
        <v>Current 1.5DS, 2030 start, 'Expect the Unexpected' but with cheap EVs</v>
      </c>
      <c r="B85" s="3" t="s">
        <v>27</v>
      </c>
      <c r="C85" s="3" t="s">
        <v>58</v>
      </c>
      <c r="D85" s="14">
        <v>245383.2541071584</v>
      </c>
      <c r="E85" s="14">
        <v>264973.10355945653</v>
      </c>
      <c r="F85" s="14">
        <v>287420.73047055042</v>
      </c>
      <c r="G85" s="14">
        <v>293811.41257123975</v>
      </c>
      <c r="H85" s="14">
        <v>262023.85405156948</v>
      </c>
      <c r="I85" s="14">
        <v>205393.83819234901</v>
      </c>
      <c r="J85" s="14">
        <v>194716.14918797981</v>
      </c>
      <c r="K85" s="14">
        <v>261475.56376790727</v>
      </c>
      <c r="L85" s="14">
        <v>258337.53684339876</v>
      </c>
      <c r="M85" s="14">
        <v>254906.98521240082</v>
      </c>
      <c r="N85" s="14">
        <v>232402.7907014378</v>
      </c>
    </row>
    <row r="86" spans="1:14" x14ac:dyDescent="0.3">
      <c r="A86" s="3" t="str">
        <f>INDEX('R1. Scenario specifications'!$C$11:$C$49,MATCH($B86,'R1. Scenario specifications'!$A$11:$A$49,0))</f>
        <v>Current 1.5DS, 2020 start, 'Expect the Unexpected' but with cheap energy efficiency</v>
      </c>
      <c r="B86" s="3" t="s">
        <v>28</v>
      </c>
      <c r="C86" s="3" t="s">
        <v>56</v>
      </c>
      <c r="D86" s="14">
        <v>133715.16751824543</v>
      </c>
      <c r="E86" s="14">
        <v>168138.47746807424</v>
      </c>
      <c r="F86" s="14">
        <v>134434.81319464734</v>
      </c>
      <c r="G86" s="14">
        <v>67163.307693749099</v>
      </c>
      <c r="H86" s="14">
        <v>49618.856221575181</v>
      </c>
      <c r="I86" s="14">
        <v>42328.957147706336</v>
      </c>
      <c r="J86" s="14">
        <v>52193.919324671529</v>
      </c>
      <c r="K86" s="14">
        <v>78017.225932536283</v>
      </c>
      <c r="L86" s="14">
        <v>82825.102178866218</v>
      </c>
      <c r="M86" s="14">
        <v>85253.606093150709</v>
      </c>
      <c r="N86" s="14">
        <v>66635.100367919964</v>
      </c>
    </row>
    <row r="87" spans="1:14" x14ac:dyDescent="0.3">
      <c r="A87" s="3" t="str">
        <f>INDEX('R1. Scenario specifications'!$C$11:$C$49,MATCH($B87,'R1. Scenario specifications'!$A$11:$A$49,0))</f>
        <v>Current 1.5DS, 2020 start, 'Expect the Unexpected' but with cheap energy efficiency</v>
      </c>
      <c r="B87" s="3" t="s">
        <v>28</v>
      </c>
      <c r="C87" s="3" t="s">
        <v>57</v>
      </c>
      <c r="D87" s="14">
        <v>105930.88055567192</v>
      </c>
      <c r="E87" s="14">
        <v>117776.03139929548</v>
      </c>
      <c r="F87" s="14">
        <v>155164.96169378661</v>
      </c>
      <c r="G87" s="14">
        <v>167224.77998531828</v>
      </c>
      <c r="H87" s="14">
        <v>48884.318862228902</v>
      </c>
      <c r="I87" s="14">
        <v>77935.242227670708</v>
      </c>
      <c r="J87" s="14">
        <v>73024.895211837356</v>
      </c>
      <c r="K87" s="14">
        <v>104717.50623705101</v>
      </c>
      <c r="L87" s="14">
        <v>92111.367281365019</v>
      </c>
      <c r="M87" s="14">
        <v>60429.356258311207</v>
      </c>
      <c r="N87" s="14">
        <v>49026.21301722822</v>
      </c>
    </row>
    <row r="88" spans="1:14" x14ac:dyDescent="0.3">
      <c r="A88" s="3" t="str">
        <f>INDEX('R1. Scenario specifications'!$C$11:$C$49,MATCH($B88,'R1. Scenario specifications'!$A$11:$A$49,0))</f>
        <v>Current 1.5DS, 2020 start, 'Expect the Unexpected' but with cheap energy efficiency</v>
      </c>
      <c r="B88" s="3" t="s">
        <v>28</v>
      </c>
      <c r="C88" s="3" t="s">
        <v>58</v>
      </c>
      <c r="D88" s="14">
        <v>245383.2541071584</v>
      </c>
      <c r="E88" s="14">
        <v>264973.10355945653</v>
      </c>
      <c r="F88" s="14">
        <v>287420.73047055042</v>
      </c>
      <c r="G88" s="14">
        <v>254325.92385829112</v>
      </c>
      <c r="H88" s="14">
        <v>193124.86590471971</v>
      </c>
      <c r="I88" s="14">
        <v>169846.18226275215</v>
      </c>
      <c r="J88" s="14">
        <v>216150.14021315856</v>
      </c>
      <c r="K88" s="14">
        <v>230775.7257758347</v>
      </c>
      <c r="L88" s="14">
        <v>215396.23737643767</v>
      </c>
      <c r="M88" s="14">
        <v>203535.55395790545</v>
      </c>
      <c r="N88" s="14">
        <v>186707.80624560884</v>
      </c>
    </row>
    <row r="89" spans="1:14" x14ac:dyDescent="0.3">
      <c r="A89" s="3" t="str">
        <f>INDEX('R1. Scenario specifications'!$C$11:$C$49,MATCH($B89,'R1. Scenario specifications'!$A$11:$A$49,0))</f>
        <v>Current 1.5DS, 2030 start, 'Expect the Unexpected' but with cheap energy efficiency</v>
      </c>
      <c r="B89" s="3" t="s">
        <v>29</v>
      </c>
      <c r="C89" s="3" t="s">
        <v>56</v>
      </c>
      <c r="D89" s="14">
        <v>133715.16751824543</v>
      </c>
      <c r="E89" s="14">
        <v>168138.47746807424</v>
      </c>
      <c r="F89" s="14">
        <v>134434.81319464734</v>
      </c>
      <c r="G89" s="14">
        <v>144479.6233654609</v>
      </c>
      <c r="H89" s="14">
        <v>52430.592792599004</v>
      </c>
      <c r="I89" s="14">
        <v>42491.087090242596</v>
      </c>
      <c r="J89" s="14">
        <v>17149.106813119703</v>
      </c>
      <c r="K89" s="14">
        <v>83932.330716036027</v>
      </c>
      <c r="L89" s="14">
        <v>83932.254482223972</v>
      </c>
      <c r="M89" s="14">
        <v>63381.141845625119</v>
      </c>
      <c r="N89" s="14">
        <v>66176.787931855986</v>
      </c>
    </row>
    <row r="90" spans="1:14" x14ac:dyDescent="0.3">
      <c r="A90" s="3" t="str">
        <f>INDEX('R1. Scenario specifications'!$C$11:$C$49,MATCH($B90,'R1. Scenario specifications'!$A$11:$A$49,0))</f>
        <v>Current 1.5DS, 2030 start, 'Expect the Unexpected' but with cheap energy efficiency</v>
      </c>
      <c r="B90" s="3" t="s">
        <v>29</v>
      </c>
      <c r="C90" s="3" t="s">
        <v>57</v>
      </c>
      <c r="D90" s="14">
        <v>105930.88055567192</v>
      </c>
      <c r="E90" s="14">
        <v>117776.03139929548</v>
      </c>
      <c r="F90" s="14">
        <v>155164.96169378661</v>
      </c>
      <c r="G90" s="14">
        <v>165931.33199667532</v>
      </c>
      <c r="H90" s="14">
        <v>67701.388845693204</v>
      </c>
      <c r="I90" s="14">
        <v>47619.256968173569</v>
      </c>
      <c r="J90" s="14">
        <v>75747.652335492603</v>
      </c>
      <c r="K90" s="14">
        <v>119013.51077584138</v>
      </c>
      <c r="L90" s="14">
        <v>132956.70701248638</v>
      </c>
      <c r="M90" s="14">
        <v>140128.73329478051</v>
      </c>
      <c r="N90" s="14">
        <v>126775.09412028641</v>
      </c>
    </row>
    <row r="91" spans="1:14" x14ac:dyDescent="0.3">
      <c r="A91" s="3" t="str">
        <f>INDEX('R1. Scenario specifications'!$C$11:$C$49,MATCH($B91,'R1. Scenario specifications'!$A$11:$A$49,0))</f>
        <v>Current 1.5DS, 2030 start, 'Expect the Unexpected' but with cheap energy efficiency</v>
      </c>
      <c r="B91" s="3" t="s">
        <v>29</v>
      </c>
      <c r="C91" s="3" t="s">
        <v>58</v>
      </c>
      <c r="D91" s="14">
        <v>245383.2541071584</v>
      </c>
      <c r="E91" s="14">
        <v>264973.10355945653</v>
      </c>
      <c r="F91" s="14">
        <v>287420.73047055042</v>
      </c>
      <c r="G91" s="14">
        <v>293811.41257123975</v>
      </c>
      <c r="H91" s="14">
        <v>236006.58268489011</v>
      </c>
      <c r="I91" s="14">
        <v>191988.62684233405</v>
      </c>
      <c r="J91" s="14">
        <v>174754.52374734113</v>
      </c>
      <c r="K91" s="14">
        <v>237785.60863346478</v>
      </c>
      <c r="L91" s="14">
        <v>219991.99770113186</v>
      </c>
      <c r="M91" s="14">
        <v>221512.97559604418</v>
      </c>
      <c r="N91" s="14">
        <v>197677.87541185282</v>
      </c>
    </row>
    <row r="92" spans="1:14" x14ac:dyDescent="0.3">
      <c r="A92" s="3" t="str">
        <f>INDEX('R1. Scenario specifications'!$C$11:$C$49,MATCH($B92,'R1. Scenario specifications'!$A$11:$A$49,0))</f>
        <v>Current 1.5DS, 2020 start, 'Expect the Unexpected' but with most conservative biomass CCS / NET technology cost assumptions</v>
      </c>
      <c r="B92" s="3" t="s">
        <v>30</v>
      </c>
      <c r="C92" s="3" t="s">
        <v>56</v>
      </c>
      <c r="D92" s="14">
        <v>133715.16751824543</v>
      </c>
      <c r="E92" s="14">
        <v>168138.47746807424</v>
      </c>
      <c r="F92" s="14">
        <v>134434.81319464734</v>
      </c>
      <c r="G92" s="14">
        <v>58591.530172829545</v>
      </c>
      <c r="H92" s="14">
        <v>49647.390811514437</v>
      </c>
      <c r="I92" s="14">
        <v>41677.453672468328</v>
      </c>
      <c r="J92" s="14">
        <v>64409.299522328613</v>
      </c>
      <c r="K92" s="14">
        <v>96656.520986469899</v>
      </c>
      <c r="L92" s="14">
        <v>104433.20730789399</v>
      </c>
      <c r="M92" s="14">
        <v>105837.28422298477</v>
      </c>
      <c r="N92" s="14">
        <v>83955.858084760461</v>
      </c>
    </row>
    <row r="93" spans="1:14" x14ac:dyDescent="0.3">
      <c r="A93" s="3" t="str">
        <f>INDEX('R1. Scenario specifications'!$C$11:$C$49,MATCH($B93,'R1. Scenario specifications'!$A$11:$A$49,0))</f>
        <v>Current 1.5DS, 2020 start, 'Expect the Unexpected' but with most conservative biomass CCS / NET technology cost assumptions</v>
      </c>
      <c r="B93" s="3" t="s">
        <v>30</v>
      </c>
      <c r="C93" s="3" t="s">
        <v>57</v>
      </c>
      <c r="D93" s="14">
        <v>105930.88055567192</v>
      </c>
      <c r="E93" s="14">
        <v>117776.03139929548</v>
      </c>
      <c r="F93" s="14">
        <v>155164.96169378661</v>
      </c>
      <c r="G93" s="14">
        <v>153533.46215128188</v>
      </c>
      <c r="H93" s="14">
        <v>43092.047488932309</v>
      </c>
      <c r="I93" s="14">
        <v>89544.904072532212</v>
      </c>
      <c r="J93" s="14">
        <v>81437.038066466004</v>
      </c>
      <c r="K93" s="14">
        <v>113112.99848642234</v>
      </c>
      <c r="L93" s="14">
        <v>112225.33223257835</v>
      </c>
      <c r="M93" s="14">
        <v>85682.72471323752</v>
      </c>
      <c r="N93" s="14">
        <v>69307.47306061913</v>
      </c>
    </row>
    <row r="94" spans="1:14" x14ac:dyDescent="0.3">
      <c r="A94" s="3" t="str">
        <f>INDEX('R1. Scenario specifications'!$C$11:$C$49,MATCH($B94,'R1. Scenario specifications'!$A$11:$A$49,0))</f>
        <v>Current 1.5DS, 2020 start, 'Expect the Unexpected' but with most conservative biomass CCS / NET technology cost assumptions</v>
      </c>
      <c r="B94" s="3" t="s">
        <v>30</v>
      </c>
      <c r="C94" s="3" t="s">
        <v>58</v>
      </c>
      <c r="D94" s="14">
        <v>245383.2541071584</v>
      </c>
      <c r="E94" s="14">
        <v>264973.10355945653</v>
      </c>
      <c r="F94" s="14">
        <v>287420.73047055042</v>
      </c>
      <c r="G94" s="14">
        <v>264424.38983227988</v>
      </c>
      <c r="H94" s="14">
        <v>191371.78466320303</v>
      </c>
      <c r="I94" s="14">
        <v>177608.03639757991</v>
      </c>
      <c r="J94" s="14">
        <v>242667.61574881489</v>
      </c>
      <c r="K94" s="14">
        <v>242966.3529391287</v>
      </c>
      <c r="L94" s="14">
        <v>227371.5235135587</v>
      </c>
      <c r="M94" s="14">
        <v>218580.32046521991</v>
      </c>
      <c r="N94" s="14">
        <v>193847.56136010791</v>
      </c>
    </row>
    <row r="95" spans="1:14" x14ac:dyDescent="0.3">
      <c r="A95" s="3" t="str">
        <f>INDEX('R1. Scenario specifications'!$C$11:$C$49,MATCH($B95,'R1. Scenario specifications'!$A$11:$A$49,0))</f>
        <v>Current 1.5DS, 2030 start, 'Expect the Unexpected' but with most conservative biomass CCS / NET technology cost assumptions</v>
      </c>
      <c r="B95" s="3" t="s">
        <v>31</v>
      </c>
      <c r="C95" s="3" t="s">
        <v>56</v>
      </c>
      <c r="D95" s="14">
        <v>133715.16751824543</v>
      </c>
      <c r="E95" s="14">
        <v>168138.47746807424</v>
      </c>
      <c r="F95" s="14">
        <v>134434.81319464734</v>
      </c>
      <c r="G95" s="14">
        <v>144479.6233654609</v>
      </c>
      <c r="H95" s="14">
        <v>50862.19957872761</v>
      </c>
      <c r="I95" s="14">
        <v>49372.822096183801</v>
      </c>
      <c r="J95" s="14">
        <v>17400.273792905919</v>
      </c>
      <c r="K95" s="14">
        <v>113116.58273309696</v>
      </c>
      <c r="L95" s="14">
        <v>119439.74594175949</v>
      </c>
      <c r="M95" s="14">
        <v>93560.413287970907</v>
      </c>
      <c r="N95" s="14">
        <v>108697.45223128649</v>
      </c>
    </row>
    <row r="96" spans="1:14" x14ac:dyDescent="0.3">
      <c r="A96" s="3" t="str">
        <f>INDEX('R1. Scenario specifications'!$C$11:$C$49,MATCH($B96,'R1. Scenario specifications'!$A$11:$A$49,0))</f>
        <v>Current 1.5DS, 2030 start, 'Expect the Unexpected' but with most conservative biomass CCS / NET technology cost assumptions</v>
      </c>
      <c r="B96" s="3" t="s">
        <v>31</v>
      </c>
      <c r="C96" s="3" t="s">
        <v>57</v>
      </c>
      <c r="D96" s="14">
        <v>105930.88055567192</v>
      </c>
      <c r="E96" s="14">
        <v>117776.03139929548</v>
      </c>
      <c r="F96" s="14">
        <v>155164.96169378661</v>
      </c>
      <c r="G96" s="14">
        <v>165931.33199667532</v>
      </c>
      <c r="H96" s="14">
        <v>61583.895066795209</v>
      </c>
      <c r="I96" s="14">
        <v>46705.877529312362</v>
      </c>
      <c r="J96" s="14">
        <v>92536.839762046162</v>
      </c>
      <c r="K96" s="14">
        <v>126623.19024861672</v>
      </c>
      <c r="L96" s="14">
        <v>145548.65771755984</v>
      </c>
      <c r="M96" s="14">
        <v>150380.92913885493</v>
      </c>
      <c r="N96" s="14">
        <v>142359.16517461254</v>
      </c>
    </row>
    <row r="97" spans="1:14" x14ac:dyDescent="0.3">
      <c r="A97" s="3" t="str">
        <f>INDEX('R1. Scenario specifications'!$C$11:$C$49,MATCH($B97,'R1. Scenario specifications'!$A$11:$A$49,0))</f>
        <v>Current 1.5DS, 2030 start, 'Expect the Unexpected' but with most conservative biomass CCS / NET technology cost assumptions</v>
      </c>
      <c r="B97" s="3" t="s">
        <v>31</v>
      </c>
      <c r="C97" s="3" t="s">
        <v>58</v>
      </c>
      <c r="D97" s="14">
        <v>245383.2541071584</v>
      </c>
      <c r="E97" s="14">
        <v>264973.10355945653</v>
      </c>
      <c r="F97" s="14">
        <v>287420.73047055042</v>
      </c>
      <c r="G97" s="14">
        <v>293811.41257123975</v>
      </c>
      <c r="H97" s="14">
        <v>265977.67274016741</v>
      </c>
      <c r="I97" s="14">
        <v>205952.05932209204</v>
      </c>
      <c r="J97" s="14">
        <v>199138.11782928917</v>
      </c>
      <c r="K97" s="14">
        <v>263611.71152807504</v>
      </c>
      <c r="L97" s="14">
        <v>269256.30454362213</v>
      </c>
      <c r="M97" s="14">
        <v>267978.70192780986</v>
      </c>
      <c r="N97" s="14">
        <v>234236.81268296222</v>
      </c>
    </row>
    <row r="98" spans="1:14" x14ac:dyDescent="0.3">
      <c r="A98" s="3" t="str">
        <f>INDEX('R1. Scenario specifications'!$C$11:$C$49,MATCH($B98,'R1. Scenario specifications'!$A$11:$A$49,0))</f>
        <v>Current 1.75DS, 2020 start, 'Expect the Unexpected'</v>
      </c>
      <c r="B98" s="3" t="s">
        <v>32</v>
      </c>
      <c r="C98" s="3" t="s">
        <v>56</v>
      </c>
      <c r="D98" s="14">
        <v>133715.16751824543</v>
      </c>
      <c r="E98" s="14">
        <v>168138.47746807424</v>
      </c>
      <c r="F98" s="14">
        <v>134434.81319464734</v>
      </c>
      <c r="G98" s="14">
        <v>79886.674088701431</v>
      </c>
      <c r="H98" s="14">
        <v>55599.65142362332</v>
      </c>
      <c r="I98" s="14">
        <v>66324.689576516714</v>
      </c>
      <c r="J98" s="14">
        <v>94676.659860362299</v>
      </c>
      <c r="K98" s="14">
        <v>100518.22768473226</v>
      </c>
      <c r="L98" s="14">
        <v>103061.05743086712</v>
      </c>
      <c r="M98" s="14">
        <v>78750.75968217371</v>
      </c>
      <c r="N98" s="14">
        <v>67438.174380892626</v>
      </c>
    </row>
    <row r="99" spans="1:14" x14ac:dyDescent="0.3">
      <c r="A99" s="3" t="str">
        <f>INDEX('R1. Scenario specifications'!$C$11:$C$49,MATCH($B99,'R1. Scenario specifications'!$A$11:$A$49,0))</f>
        <v>Current 1.75DS, 2020 start, 'Expect the Unexpected'</v>
      </c>
      <c r="B99" s="3" t="s">
        <v>32</v>
      </c>
      <c r="C99" s="3" t="s">
        <v>57</v>
      </c>
      <c r="D99" s="14">
        <v>105930.88055567192</v>
      </c>
      <c r="E99" s="14">
        <v>117776.03139929548</v>
      </c>
      <c r="F99" s="14">
        <v>155164.96169378661</v>
      </c>
      <c r="G99" s="14">
        <v>181612.91407339289</v>
      </c>
      <c r="H99" s="14">
        <v>182750.04456697206</v>
      </c>
      <c r="I99" s="14">
        <v>186288.65800264067</v>
      </c>
      <c r="J99" s="14">
        <v>159224.0623095615</v>
      </c>
      <c r="K99" s="14">
        <v>124438.1405396741</v>
      </c>
      <c r="L99" s="14">
        <v>85328.221030792643</v>
      </c>
      <c r="M99" s="14">
        <v>64249.221349500076</v>
      </c>
      <c r="N99" s="14">
        <v>60308.112933837532</v>
      </c>
    </row>
    <row r="100" spans="1:14" x14ac:dyDescent="0.3">
      <c r="A100" s="3" t="str">
        <f>INDEX('R1. Scenario specifications'!$C$11:$C$49,MATCH($B100,'R1. Scenario specifications'!$A$11:$A$49,0))</f>
        <v>Current 1.75DS, 2020 start, 'Expect the Unexpected'</v>
      </c>
      <c r="B100" s="3" t="s">
        <v>32</v>
      </c>
      <c r="C100" s="3" t="s">
        <v>58</v>
      </c>
      <c r="D100" s="14">
        <v>245383.2541071584</v>
      </c>
      <c r="E100" s="14">
        <v>264973.10355945653</v>
      </c>
      <c r="F100" s="14">
        <v>287420.73047055042</v>
      </c>
      <c r="G100" s="14">
        <v>283095.18249553302</v>
      </c>
      <c r="H100" s="14">
        <v>268703.03129706939</v>
      </c>
      <c r="I100" s="14">
        <v>259204.34871396836</v>
      </c>
      <c r="J100" s="14">
        <v>247842.01751058068</v>
      </c>
      <c r="K100" s="14">
        <v>234909.16214445082</v>
      </c>
      <c r="L100" s="14">
        <v>213877.69394665575</v>
      </c>
      <c r="M100" s="14">
        <v>205125.47959094442</v>
      </c>
      <c r="N100" s="14">
        <v>204886.6601166777</v>
      </c>
    </row>
    <row r="101" spans="1:14" x14ac:dyDescent="0.3">
      <c r="A101" s="3" t="str">
        <f>INDEX('R1. Scenario specifications'!$C$11:$C$49,MATCH($B101,'R1. Scenario specifications'!$A$11:$A$49,0))</f>
        <v>Current 1.75DS, 2030 start, 'Expect the Unexpected'</v>
      </c>
      <c r="B101" s="3" t="s">
        <v>33</v>
      </c>
      <c r="C101" s="3" t="s">
        <v>56</v>
      </c>
      <c r="D101" s="14">
        <v>133715.16751824543</v>
      </c>
      <c r="E101" s="14">
        <v>168138.47746807424</v>
      </c>
      <c r="F101" s="14">
        <v>134434.81319464734</v>
      </c>
      <c r="G101" s="14">
        <v>144479.6233654609</v>
      </c>
      <c r="H101" s="14">
        <v>63833.279158881764</v>
      </c>
      <c r="I101" s="14">
        <v>70062.670013281575</v>
      </c>
      <c r="J101" s="14">
        <v>70054.339114663948</v>
      </c>
      <c r="K101" s="14">
        <v>100041.66450529244</v>
      </c>
      <c r="L101" s="14">
        <v>103045.58652427503</v>
      </c>
      <c r="M101" s="14">
        <v>98419.091321335087</v>
      </c>
      <c r="N101" s="14">
        <v>76423.222489167543</v>
      </c>
    </row>
    <row r="102" spans="1:14" x14ac:dyDescent="0.3">
      <c r="A102" s="3" t="str">
        <f>INDEX('R1. Scenario specifications'!$C$11:$C$49,MATCH($B102,'R1. Scenario specifications'!$A$11:$A$49,0))</f>
        <v>Current 1.75DS, 2030 start, 'Expect the Unexpected'</v>
      </c>
      <c r="B102" s="3" t="s">
        <v>33</v>
      </c>
      <c r="C102" s="3" t="s">
        <v>57</v>
      </c>
      <c r="D102" s="14">
        <v>105930.88055567192</v>
      </c>
      <c r="E102" s="14">
        <v>117776.03139929548</v>
      </c>
      <c r="F102" s="14">
        <v>155164.96169378661</v>
      </c>
      <c r="G102" s="14">
        <v>165931.33199667532</v>
      </c>
      <c r="H102" s="14">
        <v>184107.8296067309</v>
      </c>
      <c r="I102" s="14">
        <v>137513.79159255151</v>
      </c>
      <c r="J102" s="14">
        <v>67338.266986276984</v>
      </c>
      <c r="K102" s="14">
        <v>105639.81019536703</v>
      </c>
      <c r="L102" s="14">
        <v>91397.201822896663</v>
      </c>
      <c r="M102" s="14">
        <v>65308.196557048715</v>
      </c>
      <c r="N102" s="14">
        <v>59824.495311788422</v>
      </c>
    </row>
    <row r="103" spans="1:14" x14ac:dyDescent="0.3">
      <c r="A103" s="3" t="str">
        <f>INDEX('R1. Scenario specifications'!$C$11:$C$49,MATCH($B103,'R1. Scenario specifications'!$A$11:$A$49,0))</f>
        <v>Current 1.75DS, 2030 start, 'Expect the Unexpected'</v>
      </c>
      <c r="B103" s="3" t="s">
        <v>33</v>
      </c>
      <c r="C103" s="3" t="s">
        <v>58</v>
      </c>
      <c r="D103" s="14">
        <v>245383.2541071584</v>
      </c>
      <c r="E103" s="14">
        <v>264973.10355945653</v>
      </c>
      <c r="F103" s="14">
        <v>287420.73047055042</v>
      </c>
      <c r="G103" s="14">
        <v>293811.41257123975</v>
      </c>
      <c r="H103" s="14">
        <v>272586.54347993812</v>
      </c>
      <c r="I103" s="14">
        <v>266405.9320597304</v>
      </c>
      <c r="J103" s="14">
        <v>249710.2456568206</v>
      </c>
      <c r="K103" s="14">
        <v>256265.91109664863</v>
      </c>
      <c r="L103" s="14">
        <v>248567.65133339475</v>
      </c>
      <c r="M103" s="14">
        <v>226228.20897969528</v>
      </c>
      <c r="N103" s="14">
        <v>210608.09340447368</v>
      </c>
    </row>
    <row r="104" spans="1:14" x14ac:dyDescent="0.3">
      <c r="A104" s="3" t="str">
        <f>INDEX('R1. Scenario specifications'!$C$11:$C$49,MATCH($B104,'R1. Scenario specifications'!$A$11:$A$49,0))</f>
        <v>Current 1.75DS, 2020 start, 'Expect the Unexpected' but with cheap renewables</v>
      </c>
      <c r="B104" s="3" t="s">
        <v>34</v>
      </c>
      <c r="C104" s="3" t="s">
        <v>56</v>
      </c>
      <c r="D104" s="14">
        <v>133715.16751824543</v>
      </c>
      <c r="E104" s="14">
        <v>168138.47746807424</v>
      </c>
      <c r="F104" s="14">
        <v>134434.81319464734</v>
      </c>
      <c r="G104" s="14">
        <v>83132.677886640304</v>
      </c>
      <c r="H104" s="14">
        <v>56462.146191636239</v>
      </c>
      <c r="I104" s="14">
        <v>64214.483207282108</v>
      </c>
      <c r="J104" s="14">
        <v>94734.884820627733</v>
      </c>
      <c r="K104" s="14">
        <v>99988.19554679819</v>
      </c>
      <c r="L104" s="14">
        <v>102981.67489432982</v>
      </c>
      <c r="M104" s="14">
        <v>75443.817819646298</v>
      </c>
      <c r="N104" s="14">
        <v>67350.975108296101</v>
      </c>
    </row>
    <row r="105" spans="1:14" x14ac:dyDescent="0.3">
      <c r="A105" s="3" t="str">
        <f>INDEX('R1. Scenario specifications'!$C$11:$C$49,MATCH($B105,'R1. Scenario specifications'!$A$11:$A$49,0))</f>
        <v>Current 1.75DS, 2020 start, 'Expect the Unexpected' but with cheap renewables</v>
      </c>
      <c r="B105" s="3" t="s">
        <v>34</v>
      </c>
      <c r="C105" s="3" t="s">
        <v>57</v>
      </c>
      <c r="D105" s="14">
        <v>105930.88055567192</v>
      </c>
      <c r="E105" s="14">
        <v>117776.03139929548</v>
      </c>
      <c r="F105" s="14">
        <v>155164.96169378661</v>
      </c>
      <c r="G105" s="14">
        <v>176390.49188624791</v>
      </c>
      <c r="H105" s="14">
        <v>179536.45456261517</v>
      </c>
      <c r="I105" s="14">
        <v>184844.94044489352</v>
      </c>
      <c r="J105" s="14">
        <v>158022.0578934465</v>
      </c>
      <c r="K105" s="14">
        <v>120894.78551657565</v>
      </c>
      <c r="L105" s="14">
        <v>82507.332693579549</v>
      </c>
      <c r="M105" s="14">
        <v>63607.150184731632</v>
      </c>
      <c r="N105" s="14">
        <v>58285.430457166622</v>
      </c>
    </row>
    <row r="106" spans="1:14" x14ac:dyDescent="0.3">
      <c r="A106" s="3" t="str">
        <f>INDEX('R1. Scenario specifications'!$C$11:$C$49,MATCH($B106,'R1. Scenario specifications'!$A$11:$A$49,0))</f>
        <v>Current 1.75DS, 2020 start, 'Expect the Unexpected' but with cheap renewables</v>
      </c>
      <c r="B106" s="3" t="s">
        <v>34</v>
      </c>
      <c r="C106" s="3" t="s">
        <v>58</v>
      </c>
      <c r="D106" s="14">
        <v>245383.2541071584</v>
      </c>
      <c r="E106" s="14">
        <v>264973.10355945653</v>
      </c>
      <c r="F106" s="14">
        <v>287420.73047055042</v>
      </c>
      <c r="G106" s="14">
        <v>283355.61714045651</v>
      </c>
      <c r="H106" s="14">
        <v>274038.47265442327</v>
      </c>
      <c r="I106" s="14">
        <v>260702.61173571501</v>
      </c>
      <c r="J106" s="14">
        <v>248342.2080697082</v>
      </c>
      <c r="K106" s="14">
        <v>231294.96985996669</v>
      </c>
      <c r="L106" s="14">
        <v>210322.1382327092</v>
      </c>
      <c r="M106" s="14">
        <v>206641.19097974934</v>
      </c>
      <c r="N106" s="14">
        <v>205290.26284909924</v>
      </c>
    </row>
    <row r="107" spans="1:14" x14ac:dyDescent="0.3">
      <c r="A107" s="3" t="str">
        <f>INDEX('R1. Scenario specifications'!$C$11:$C$49,MATCH($B107,'R1. Scenario specifications'!$A$11:$A$49,0))</f>
        <v>Current 1.75DS, 2030 start, 'Expect the Unexpected' but with cheap renewables</v>
      </c>
      <c r="B107" s="3" t="s">
        <v>35</v>
      </c>
      <c r="C107" s="3" t="s">
        <v>56</v>
      </c>
      <c r="D107" s="14">
        <v>133715.16751824543</v>
      </c>
      <c r="E107" s="14">
        <v>168138.47746807424</v>
      </c>
      <c r="F107" s="14">
        <v>134434.81319464734</v>
      </c>
      <c r="G107" s="14">
        <v>144479.6233654609</v>
      </c>
      <c r="H107" s="14">
        <v>65830.189421136165</v>
      </c>
      <c r="I107" s="14">
        <v>70435.330456819211</v>
      </c>
      <c r="J107" s="14">
        <v>69569.489824437725</v>
      </c>
      <c r="K107" s="14">
        <v>98822.603225943749</v>
      </c>
      <c r="L107" s="14">
        <v>101960.34089977268</v>
      </c>
      <c r="M107" s="14">
        <v>95763.905723468109</v>
      </c>
      <c r="N107" s="14">
        <v>75205.50436726847</v>
      </c>
    </row>
    <row r="108" spans="1:14" x14ac:dyDescent="0.3">
      <c r="A108" s="3" t="str">
        <f>INDEX('R1. Scenario specifications'!$C$11:$C$49,MATCH($B108,'R1. Scenario specifications'!$A$11:$A$49,0))</f>
        <v>Current 1.75DS, 2030 start, 'Expect the Unexpected' but with cheap renewables</v>
      </c>
      <c r="B108" s="3" t="s">
        <v>35</v>
      </c>
      <c r="C108" s="3" t="s">
        <v>57</v>
      </c>
      <c r="D108" s="14">
        <v>105930.88055567192</v>
      </c>
      <c r="E108" s="14">
        <v>117776.03139929548</v>
      </c>
      <c r="F108" s="14">
        <v>155164.96169378661</v>
      </c>
      <c r="G108" s="14">
        <v>165931.33199667532</v>
      </c>
      <c r="H108" s="14">
        <v>181725.68309785819</v>
      </c>
      <c r="I108" s="14">
        <v>135292.84045100602</v>
      </c>
      <c r="J108" s="14">
        <v>65660.380739873624</v>
      </c>
      <c r="K108" s="14">
        <v>103208.56958058783</v>
      </c>
      <c r="L108" s="14">
        <v>91026.314105385274</v>
      </c>
      <c r="M108" s="14">
        <v>65081.990247512658</v>
      </c>
      <c r="N108" s="14">
        <v>59101.869643862359</v>
      </c>
    </row>
    <row r="109" spans="1:14" x14ac:dyDescent="0.3">
      <c r="A109" s="3" t="str">
        <f>INDEX('R1. Scenario specifications'!$C$11:$C$49,MATCH($B109,'R1. Scenario specifications'!$A$11:$A$49,0))</f>
        <v>Current 1.75DS, 2030 start, 'Expect the Unexpected' but with cheap renewables</v>
      </c>
      <c r="B109" s="3" t="s">
        <v>35</v>
      </c>
      <c r="C109" s="3" t="s">
        <v>58</v>
      </c>
      <c r="D109" s="14">
        <v>245383.2541071584</v>
      </c>
      <c r="E109" s="14">
        <v>264973.10355945653</v>
      </c>
      <c r="F109" s="14">
        <v>287420.73047055042</v>
      </c>
      <c r="G109" s="14">
        <v>293811.41257123975</v>
      </c>
      <c r="H109" s="14">
        <v>271894.87626502127</v>
      </c>
      <c r="I109" s="14">
        <v>268499.69386679068</v>
      </c>
      <c r="J109" s="14">
        <v>251297.80094400817</v>
      </c>
      <c r="K109" s="14">
        <v>256286.28752014757</v>
      </c>
      <c r="L109" s="14">
        <v>246570.51339776194</v>
      </c>
      <c r="M109" s="14">
        <v>225102.99214719865</v>
      </c>
      <c r="N109" s="14">
        <v>208848.9389477552</v>
      </c>
    </row>
    <row r="110" spans="1:14" x14ac:dyDescent="0.3">
      <c r="A110" s="3" t="str">
        <f>INDEX('R1. Scenario specifications'!$C$11:$C$49,MATCH($B110,'R1. Scenario specifications'!$A$11:$A$49,0))</f>
        <v>Current 1.75DS, 2020 start, 'Expect the Unexpected' but with cheap CCS</v>
      </c>
      <c r="B110" s="3" t="s">
        <v>36</v>
      </c>
      <c r="C110" s="3" t="s">
        <v>56</v>
      </c>
      <c r="D110" s="14">
        <v>133715.16751824543</v>
      </c>
      <c r="E110" s="14">
        <v>168138.47746807424</v>
      </c>
      <c r="F110" s="14">
        <v>134434.81319464734</v>
      </c>
      <c r="G110" s="14">
        <v>79886.674088379135</v>
      </c>
      <c r="H110" s="14">
        <v>55599.651423604606</v>
      </c>
      <c r="I110" s="14">
        <v>66324.689576521036</v>
      </c>
      <c r="J110" s="14">
        <v>94676.659860237414</v>
      </c>
      <c r="K110" s="14">
        <v>100518.22768449121</v>
      </c>
      <c r="L110" s="14">
        <v>103061.05743062979</v>
      </c>
      <c r="M110" s="14">
        <v>78750.759682247852</v>
      </c>
      <c r="N110" s="14">
        <v>67438.174380892786</v>
      </c>
    </row>
    <row r="111" spans="1:14" x14ac:dyDescent="0.3">
      <c r="A111" s="3" t="str">
        <f>INDEX('R1. Scenario specifications'!$C$11:$C$49,MATCH($B111,'R1. Scenario specifications'!$A$11:$A$49,0))</f>
        <v>Current 1.75DS, 2020 start, 'Expect the Unexpected' but with cheap CCS</v>
      </c>
      <c r="B111" s="3" t="s">
        <v>36</v>
      </c>
      <c r="C111" s="3" t="s">
        <v>57</v>
      </c>
      <c r="D111" s="14">
        <v>105930.88055567192</v>
      </c>
      <c r="E111" s="14">
        <v>117776.03139929548</v>
      </c>
      <c r="F111" s="14">
        <v>155164.96169378661</v>
      </c>
      <c r="G111" s="14">
        <v>181612.91407395908</v>
      </c>
      <c r="H111" s="14">
        <v>182750.04456874626</v>
      </c>
      <c r="I111" s="14">
        <v>186288.65800313672</v>
      </c>
      <c r="J111" s="14">
        <v>159224.06231115549</v>
      </c>
      <c r="K111" s="14">
        <v>124438.14053976184</v>
      </c>
      <c r="L111" s="14">
        <v>85328.221030104352</v>
      </c>
      <c r="M111" s="14">
        <v>64249.22134949475</v>
      </c>
      <c r="N111" s="14">
        <v>60308.112933724471</v>
      </c>
    </row>
    <row r="112" spans="1:14" x14ac:dyDescent="0.3">
      <c r="A112" s="3" t="str">
        <f>INDEX('R1. Scenario specifications'!$C$11:$C$49,MATCH($B112,'R1. Scenario specifications'!$A$11:$A$49,0))</f>
        <v>Current 1.75DS, 2020 start, 'Expect the Unexpected' but with cheap CCS</v>
      </c>
      <c r="B112" s="3" t="s">
        <v>36</v>
      </c>
      <c r="C112" s="3" t="s">
        <v>58</v>
      </c>
      <c r="D112" s="14">
        <v>245383.2541071584</v>
      </c>
      <c r="E112" s="14">
        <v>264973.10355945653</v>
      </c>
      <c r="F112" s="14">
        <v>287420.73047055042</v>
      </c>
      <c r="G112" s="14">
        <v>283095.18249544728</v>
      </c>
      <c r="H112" s="14">
        <v>268703.03129575512</v>
      </c>
      <c r="I112" s="14">
        <v>259204.34871432086</v>
      </c>
      <c r="J112" s="14">
        <v>247842.01751116617</v>
      </c>
      <c r="K112" s="14">
        <v>234909.1621433796</v>
      </c>
      <c r="L112" s="14">
        <v>213877.69394659615</v>
      </c>
      <c r="M112" s="14">
        <v>205125.47959156299</v>
      </c>
      <c r="N112" s="14">
        <v>204886.66011625662</v>
      </c>
    </row>
    <row r="113" spans="1:14" x14ac:dyDescent="0.3">
      <c r="A113" s="3" t="str">
        <f>INDEX('R1. Scenario specifications'!$C$11:$C$49,MATCH($B113,'R1. Scenario specifications'!$A$11:$A$49,0))</f>
        <v>Current 2DS, 2020 start, 'Expect the Unexpected' but with cheap renewables</v>
      </c>
      <c r="B113" s="3" t="s">
        <v>37</v>
      </c>
      <c r="C113" s="3" t="s">
        <v>56</v>
      </c>
      <c r="D113" s="14">
        <v>133715.16751824543</v>
      </c>
      <c r="E113" s="14">
        <v>168138.47746807424</v>
      </c>
      <c r="F113" s="14">
        <v>134434.81319464734</v>
      </c>
      <c r="G113" s="14">
        <v>110923.04553475816</v>
      </c>
      <c r="H113" s="14">
        <v>92079.592497715945</v>
      </c>
      <c r="I113" s="14">
        <v>89156.662272059533</v>
      </c>
      <c r="J113" s="14">
        <v>96278.597040922657</v>
      </c>
      <c r="K113" s="14">
        <v>98572.147210046416</v>
      </c>
      <c r="L113" s="14">
        <v>105274.66575426614</v>
      </c>
      <c r="M113" s="14">
        <v>106270.75915949122</v>
      </c>
      <c r="N113" s="14">
        <v>105236.16240735336</v>
      </c>
    </row>
    <row r="114" spans="1:14" x14ac:dyDescent="0.3">
      <c r="A114" s="3" t="str">
        <f>INDEX('R1. Scenario specifications'!$C$11:$C$49,MATCH($B114,'R1. Scenario specifications'!$A$11:$A$49,0))</f>
        <v>Current 2DS, 2020 start, 'Expect the Unexpected' but with cheap renewables</v>
      </c>
      <c r="B114" s="3" t="s">
        <v>37</v>
      </c>
      <c r="C114" s="3" t="s">
        <v>57</v>
      </c>
      <c r="D114" s="14">
        <v>105930.88055567192</v>
      </c>
      <c r="E114" s="14">
        <v>117776.03139929548</v>
      </c>
      <c r="F114" s="14">
        <v>155164.96169378661</v>
      </c>
      <c r="G114" s="14">
        <v>165386.75751917949</v>
      </c>
      <c r="H114" s="14">
        <v>175527.90898622517</v>
      </c>
      <c r="I114" s="14">
        <v>187633.20966985339</v>
      </c>
      <c r="J114" s="14">
        <v>177929.06709004901</v>
      </c>
      <c r="K114" s="14">
        <v>155857.14268300787</v>
      </c>
      <c r="L114" s="14">
        <v>129251.68975949283</v>
      </c>
      <c r="M114" s="14">
        <v>83136.510255233617</v>
      </c>
      <c r="N114" s="14">
        <v>66166.006029376775</v>
      </c>
    </row>
    <row r="115" spans="1:14" x14ac:dyDescent="0.3">
      <c r="A115" s="3" t="str">
        <f>INDEX('R1. Scenario specifications'!$C$11:$C$49,MATCH($B115,'R1. Scenario specifications'!$A$11:$A$49,0))</f>
        <v>Current 2DS, 2020 start, 'Expect the Unexpected' but with cheap renewables</v>
      </c>
      <c r="B115" s="3" t="s">
        <v>37</v>
      </c>
      <c r="C115" s="3" t="s">
        <v>58</v>
      </c>
      <c r="D115" s="14">
        <v>245383.2541071584</v>
      </c>
      <c r="E115" s="14">
        <v>264973.10355945653</v>
      </c>
      <c r="F115" s="14">
        <v>287420.73047055042</v>
      </c>
      <c r="G115" s="14">
        <v>289545.6294683853</v>
      </c>
      <c r="H115" s="14">
        <v>289259.61761997367</v>
      </c>
      <c r="I115" s="14">
        <v>270898.16711700213</v>
      </c>
      <c r="J115" s="14">
        <v>260763.99408295573</v>
      </c>
      <c r="K115" s="14">
        <v>247152.83010362234</v>
      </c>
      <c r="L115" s="14">
        <v>231824.06378726347</v>
      </c>
      <c r="M115" s="14">
        <v>228224.88350196517</v>
      </c>
      <c r="N115" s="14">
        <v>198027.74448553167</v>
      </c>
    </row>
    <row r="116" spans="1:14" x14ac:dyDescent="0.3">
      <c r="A116" s="3" t="str">
        <f>INDEX('R1. Scenario specifications'!$C$11:$C$49,MATCH($B116,'R1. Scenario specifications'!$A$11:$A$49,0))</f>
        <v>Current 1.75DS, 2030 start, 'Expect the Unexpected' but with cheap CCS</v>
      </c>
      <c r="B116" s="3" t="s">
        <v>38</v>
      </c>
      <c r="C116" s="3" t="s">
        <v>56</v>
      </c>
      <c r="D116" s="14">
        <v>133715.16751824543</v>
      </c>
      <c r="E116" s="14">
        <v>168138.47746807424</v>
      </c>
      <c r="F116" s="14">
        <v>134434.81319464734</v>
      </c>
      <c r="G116" s="14">
        <v>144479.6233654609</v>
      </c>
      <c r="H116" s="14">
        <v>63833.279158892728</v>
      </c>
      <c r="I116" s="14">
        <v>70062.670013281488</v>
      </c>
      <c r="J116" s="14">
        <v>70054.339114668255</v>
      </c>
      <c r="K116" s="14">
        <v>100041.66450529984</v>
      </c>
      <c r="L116" s="14">
        <v>103045.58652427465</v>
      </c>
      <c r="M116" s="14">
        <v>98419.091321336251</v>
      </c>
      <c r="N116" s="14">
        <v>76423.222489170046</v>
      </c>
    </row>
    <row r="117" spans="1:14" x14ac:dyDescent="0.3">
      <c r="A117" s="3" t="str">
        <f>INDEX('R1. Scenario specifications'!$C$11:$C$49,MATCH($B117,'R1. Scenario specifications'!$A$11:$A$49,0))</f>
        <v>Current 1.75DS, 2030 start, 'Expect the Unexpected' but with cheap CCS</v>
      </c>
      <c r="B117" s="3" t="s">
        <v>38</v>
      </c>
      <c r="C117" s="3" t="s">
        <v>57</v>
      </c>
      <c r="D117" s="14">
        <v>105930.88055567192</v>
      </c>
      <c r="E117" s="14">
        <v>117776.03139929548</v>
      </c>
      <c r="F117" s="14">
        <v>155164.96169378661</v>
      </c>
      <c r="G117" s="14">
        <v>165931.33199667532</v>
      </c>
      <c r="H117" s="14">
        <v>184107.8296044973</v>
      </c>
      <c r="I117" s="14">
        <v>137513.79159325248</v>
      </c>
      <c r="J117" s="14">
        <v>67338.266985776732</v>
      </c>
      <c r="K117" s="14">
        <v>105639.81019817607</v>
      </c>
      <c r="L117" s="14">
        <v>91397.201823744515</v>
      </c>
      <c r="M117" s="14">
        <v>65308.196556772644</v>
      </c>
      <c r="N117" s="14">
        <v>59824.495305963894</v>
      </c>
    </row>
    <row r="118" spans="1:14" x14ac:dyDescent="0.3">
      <c r="A118" s="3" t="str">
        <f>INDEX('R1. Scenario specifications'!$C$11:$C$49,MATCH($B118,'R1. Scenario specifications'!$A$11:$A$49,0))</f>
        <v>Current 1.75DS, 2030 start, 'Expect the Unexpected' but with cheap CCS</v>
      </c>
      <c r="B118" s="3" t="s">
        <v>38</v>
      </c>
      <c r="C118" s="3" t="s">
        <v>58</v>
      </c>
      <c r="D118" s="14">
        <v>245383.2541071584</v>
      </c>
      <c r="E118" s="14">
        <v>264973.10355945653</v>
      </c>
      <c r="F118" s="14">
        <v>287420.73047055042</v>
      </c>
      <c r="G118" s="14">
        <v>293811.41257123975</v>
      </c>
      <c r="H118" s="14">
        <v>272586.54348334239</v>
      </c>
      <c r="I118" s="14">
        <v>266405.9320602041</v>
      </c>
      <c r="J118" s="14">
        <v>249710.24565583837</v>
      </c>
      <c r="K118" s="14">
        <v>256265.91110507672</v>
      </c>
      <c r="L118" s="14">
        <v>248567.65133841938</v>
      </c>
      <c r="M118" s="14">
        <v>226172.55717273933</v>
      </c>
      <c r="N118" s="14">
        <v>210608.09340415196</v>
      </c>
    </row>
    <row r="119" spans="1:14" x14ac:dyDescent="0.3">
      <c r="A119" s="3" t="str">
        <f>INDEX('R1. Scenario specifications'!$C$11:$C$49,MATCH($B119,'R1. Scenario specifications'!$A$11:$A$49,0))</f>
        <v>Current 1.75DS, 2020 start, 'Expect the Unexpected' but with cheap EVs</v>
      </c>
      <c r="B119" s="3" t="s">
        <v>39</v>
      </c>
      <c r="C119" s="3" t="s">
        <v>56</v>
      </c>
      <c r="D119" s="14">
        <v>133715.16751824543</v>
      </c>
      <c r="E119" s="14">
        <v>168138.47746807424</v>
      </c>
      <c r="F119" s="14">
        <v>134434.81319464734</v>
      </c>
      <c r="G119" s="14">
        <v>82703.539688545789</v>
      </c>
      <c r="H119" s="14">
        <v>56884.12622826446</v>
      </c>
      <c r="I119" s="14">
        <v>67102.51077577789</v>
      </c>
      <c r="J119" s="14">
        <v>94522.680251500627</v>
      </c>
      <c r="K119" s="14">
        <v>100508.91816574839</v>
      </c>
      <c r="L119" s="14">
        <v>103023.79288806368</v>
      </c>
      <c r="M119" s="14">
        <v>78415.161551194906</v>
      </c>
      <c r="N119" s="14">
        <v>67853.803643341977</v>
      </c>
    </row>
    <row r="120" spans="1:14" x14ac:dyDescent="0.3">
      <c r="A120" s="3" t="str">
        <f>INDEX('R1. Scenario specifications'!$C$11:$C$49,MATCH($B120,'R1. Scenario specifications'!$A$11:$A$49,0))</f>
        <v>Current 1.75DS, 2020 start, 'Expect the Unexpected' but with cheap EVs</v>
      </c>
      <c r="B120" s="3" t="s">
        <v>39</v>
      </c>
      <c r="C120" s="3" t="s">
        <v>57</v>
      </c>
      <c r="D120" s="14">
        <v>105930.88055567192</v>
      </c>
      <c r="E120" s="14">
        <v>117776.03139929548</v>
      </c>
      <c r="F120" s="14">
        <v>155164.96169378661</v>
      </c>
      <c r="G120" s="14">
        <v>177461.8408852453</v>
      </c>
      <c r="H120" s="14">
        <v>180835.18404415832</v>
      </c>
      <c r="I120" s="14">
        <v>185955.66790069762</v>
      </c>
      <c r="J120" s="14">
        <v>158578.71263737214</v>
      </c>
      <c r="K120" s="14">
        <v>123122.88510683685</v>
      </c>
      <c r="L120" s="14">
        <v>85234.788071272866</v>
      </c>
      <c r="M120" s="14">
        <v>65120.708913175171</v>
      </c>
      <c r="N120" s="14">
        <v>60821.63931173578</v>
      </c>
    </row>
    <row r="121" spans="1:14" x14ac:dyDescent="0.3">
      <c r="A121" s="3" t="str">
        <f>INDEX('R1. Scenario specifications'!$C$11:$C$49,MATCH($B121,'R1. Scenario specifications'!$A$11:$A$49,0))</f>
        <v>Current 1.75DS, 2020 start, 'Expect the Unexpected' but with cheap EVs</v>
      </c>
      <c r="B121" s="3" t="s">
        <v>39</v>
      </c>
      <c r="C121" s="3" t="s">
        <v>58</v>
      </c>
      <c r="D121" s="14">
        <v>245383.2541071584</v>
      </c>
      <c r="E121" s="14">
        <v>264973.10355945653</v>
      </c>
      <c r="F121" s="14">
        <v>287420.73047055042</v>
      </c>
      <c r="G121" s="14">
        <v>279766.04703663214</v>
      </c>
      <c r="H121" s="14">
        <v>258250.46232738008</v>
      </c>
      <c r="I121" s="14">
        <v>255466.40026555947</v>
      </c>
      <c r="J121" s="14">
        <v>247590.51471481079</v>
      </c>
      <c r="K121" s="14">
        <v>234194.69875743098</v>
      </c>
      <c r="L121" s="14">
        <v>214809.72730419924</v>
      </c>
      <c r="M121" s="14">
        <v>206772.59095467348</v>
      </c>
      <c r="N121" s="14">
        <v>205741.92515787217</v>
      </c>
    </row>
    <row r="122" spans="1:14" x14ac:dyDescent="0.3">
      <c r="A122" s="3" t="str">
        <f>INDEX('R1. Scenario specifications'!$C$11:$C$49,MATCH($B122,'R1. Scenario specifications'!$A$11:$A$49,0))</f>
        <v>Current 1.75DS, 2030 start, 'Expect the Unexpected' but with cheap EVs</v>
      </c>
      <c r="B122" s="3" t="s">
        <v>40</v>
      </c>
      <c r="C122" s="3" t="s">
        <v>56</v>
      </c>
      <c r="D122" s="14">
        <v>133715.16751824543</v>
      </c>
      <c r="E122" s="14">
        <v>168138.47746807424</v>
      </c>
      <c r="F122" s="14">
        <v>134434.81319464734</v>
      </c>
      <c r="G122" s="14">
        <v>144479.6233654609</v>
      </c>
      <c r="H122" s="14">
        <v>68202.858913983961</v>
      </c>
      <c r="I122" s="14">
        <v>70515.055302073422</v>
      </c>
      <c r="J122" s="14">
        <v>69665.531721225954</v>
      </c>
      <c r="K122" s="14">
        <v>100034.38840498462</v>
      </c>
      <c r="L122" s="14">
        <v>103127.33775190954</v>
      </c>
      <c r="M122" s="14">
        <v>97983.927083903851</v>
      </c>
      <c r="N122" s="14">
        <v>76392.492882438397</v>
      </c>
    </row>
    <row r="123" spans="1:14" x14ac:dyDescent="0.3">
      <c r="A123" s="3" t="str">
        <f>INDEX('R1. Scenario specifications'!$C$11:$C$49,MATCH($B123,'R1. Scenario specifications'!$A$11:$A$49,0))</f>
        <v>Current 1.75DS, 2030 start, 'Expect the Unexpected' but with cheap EVs</v>
      </c>
      <c r="B123" s="3" t="s">
        <v>40</v>
      </c>
      <c r="C123" s="3" t="s">
        <v>57</v>
      </c>
      <c r="D123" s="14">
        <v>105930.88055567192</v>
      </c>
      <c r="E123" s="14">
        <v>117776.03139929548</v>
      </c>
      <c r="F123" s="14">
        <v>155164.96169378661</v>
      </c>
      <c r="G123" s="14">
        <v>165931.33199667532</v>
      </c>
      <c r="H123" s="14">
        <v>186046.33257842399</v>
      </c>
      <c r="I123" s="14">
        <v>137145.07420337448</v>
      </c>
      <c r="J123" s="14">
        <v>65589.310830530594</v>
      </c>
      <c r="K123" s="14">
        <v>104734.82693357802</v>
      </c>
      <c r="L123" s="14">
        <v>92040.109275053488</v>
      </c>
      <c r="M123" s="14">
        <v>65404.932698237033</v>
      </c>
      <c r="N123" s="14">
        <v>60747.711966654271</v>
      </c>
    </row>
    <row r="124" spans="1:14" x14ac:dyDescent="0.3">
      <c r="A124" s="3" t="str">
        <f>INDEX('R1. Scenario specifications'!$C$11:$C$49,MATCH($B124,'R1. Scenario specifications'!$A$11:$A$49,0))</f>
        <v>Current 1.75DS, 2030 start, 'Expect the Unexpected' but with cheap EVs</v>
      </c>
      <c r="B124" s="3" t="s">
        <v>40</v>
      </c>
      <c r="C124" s="3" t="s">
        <v>58</v>
      </c>
      <c r="D124" s="14">
        <v>245383.2541071584</v>
      </c>
      <c r="E124" s="14">
        <v>264973.10355945653</v>
      </c>
      <c r="F124" s="14">
        <v>287420.73047055042</v>
      </c>
      <c r="G124" s="14">
        <v>293811.41257123975</v>
      </c>
      <c r="H124" s="14">
        <v>259596.50648424993</v>
      </c>
      <c r="I124" s="14">
        <v>257704.20788920432</v>
      </c>
      <c r="J124" s="14">
        <v>247048.59292675843</v>
      </c>
      <c r="K124" s="14">
        <v>251593.04198574575</v>
      </c>
      <c r="L124" s="14">
        <v>244239.91404676117</v>
      </c>
      <c r="M124" s="14">
        <v>222266.28592722732</v>
      </c>
      <c r="N124" s="14">
        <v>210528.56533778843</v>
      </c>
    </row>
    <row r="125" spans="1:14" x14ac:dyDescent="0.3">
      <c r="A125" s="3" t="str">
        <f>INDEX('R1. Scenario specifications'!$C$11:$C$49,MATCH($B125,'R1. Scenario specifications'!$A$11:$A$49,0))</f>
        <v>Current 1.75DS, 2020 start, 'Expect the Unexpected' but with cheap energy efficiency</v>
      </c>
      <c r="B125" s="3" t="s">
        <v>41</v>
      </c>
      <c r="C125" s="3" t="s">
        <v>56</v>
      </c>
      <c r="D125" s="14">
        <v>133715.16751824543</v>
      </c>
      <c r="E125" s="14">
        <v>168138.47746807424</v>
      </c>
      <c r="F125" s="14">
        <v>134434.81319464734</v>
      </c>
      <c r="G125" s="14">
        <v>93675.974889086647</v>
      </c>
      <c r="H125" s="14">
        <v>58227.510891567508</v>
      </c>
      <c r="I125" s="14">
        <v>53232.382906004197</v>
      </c>
      <c r="J125" s="14">
        <v>60679.428411960558</v>
      </c>
      <c r="K125" s="14">
        <v>80345.808064663521</v>
      </c>
      <c r="L125" s="14">
        <v>83730.580555145658</v>
      </c>
      <c r="M125" s="14">
        <v>76076.722727100132</v>
      </c>
      <c r="N125" s="14">
        <v>54288.011455340566</v>
      </c>
    </row>
    <row r="126" spans="1:14" x14ac:dyDescent="0.3">
      <c r="A126" s="3" t="str">
        <f>INDEX('R1. Scenario specifications'!$C$11:$C$49,MATCH($B126,'R1. Scenario specifications'!$A$11:$A$49,0))</f>
        <v>Current 1.75DS, 2020 start, 'Expect the Unexpected' but with cheap energy efficiency</v>
      </c>
      <c r="B126" s="3" t="s">
        <v>41</v>
      </c>
      <c r="C126" s="3" t="s">
        <v>57</v>
      </c>
      <c r="D126" s="14">
        <v>105930.88055567192</v>
      </c>
      <c r="E126" s="14">
        <v>117776.03139929548</v>
      </c>
      <c r="F126" s="14">
        <v>155164.96169378661</v>
      </c>
      <c r="G126" s="14">
        <v>168206.73144842396</v>
      </c>
      <c r="H126" s="14">
        <v>169464.50877557555</v>
      </c>
      <c r="I126" s="14">
        <v>166144.15826793047</v>
      </c>
      <c r="J126" s="14">
        <v>147727.93368312542</v>
      </c>
      <c r="K126" s="14">
        <v>112889.89493342227</v>
      </c>
      <c r="L126" s="14">
        <v>71123.721684544245</v>
      </c>
      <c r="M126" s="14">
        <v>46585.201050448886</v>
      </c>
      <c r="N126" s="14">
        <v>41356.10488064227</v>
      </c>
    </row>
    <row r="127" spans="1:14" x14ac:dyDescent="0.3">
      <c r="A127" s="3" t="str">
        <f>INDEX('R1. Scenario specifications'!$C$11:$C$49,MATCH($B127,'R1. Scenario specifications'!$A$11:$A$49,0))</f>
        <v>Current 1.75DS, 2020 start, 'Expect the Unexpected' but with cheap energy efficiency</v>
      </c>
      <c r="B127" s="3" t="s">
        <v>41</v>
      </c>
      <c r="C127" s="3" t="s">
        <v>58</v>
      </c>
      <c r="D127" s="14">
        <v>245383.2541071584</v>
      </c>
      <c r="E127" s="14">
        <v>264973.10355945653</v>
      </c>
      <c r="F127" s="14">
        <v>287420.73047055042</v>
      </c>
      <c r="G127" s="14">
        <v>269535.06716857222</v>
      </c>
      <c r="H127" s="14">
        <v>261590.12452733098</v>
      </c>
      <c r="I127" s="14">
        <v>233347.4291736669</v>
      </c>
      <c r="J127" s="14">
        <v>228030.10970674217</v>
      </c>
      <c r="K127" s="14">
        <v>219447.20796975703</v>
      </c>
      <c r="L127" s="14">
        <v>194714.37877827295</v>
      </c>
      <c r="M127" s="14">
        <v>179246.69980398758</v>
      </c>
      <c r="N127" s="14">
        <v>167818.85647805393</v>
      </c>
    </row>
    <row r="128" spans="1:14" x14ac:dyDescent="0.3">
      <c r="A128" s="3" t="str">
        <f>INDEX('R1. Scenario specifications'!$C$11:$C$49,MATCH($B128,'R1. Scenario specifications'!$A$11:$A$49,0))</f>
        <v>Current 1.75DS, 2030 start, 'Expect the Unexpected' but with cheap energy efficiency</v>
      </c>
      <c r="B128" s="3" t="s">
        <v>42</v>
      </c>
      <c r="C128" s="3" t="s">
        <v>56</v>
      </c>
      <c r="D128" s="14">
        <v>133715.16751824543</v>
      </c>
      <c r="E128" s="14">
        <v>168138.47746807424</v>
      </c>
      <c r="F128" s="14">
        <v>134434.81319464734</v>
      </c>
      <c r="G128" s="14">
        <v>144479.6233654609</v>
      </c>
      <c r="H128" s="14">
        <v>70444.321750629388</v>
      </c>
      <c r="I128" s="14">
        <v>56375.016942651462</v>
      </c>
      <c r="J128" s="14">
        <v>52584.06001033861</v>
      </c>
      <c r="K128" s="14">
        <v>80738.557948216854</v>
      </c>
      <c r="L128" s="14">
        <v>84297.803590395357</v>
      </c>
      <c r="M128" s="14">
        <v>86056.306560398225</v>
      </c>
      <c r="N128" s="14">
        <v>63866.651776455306</v>
      </c>
    </row>
    <row r="129" spans="1:14" x14ac:dyDescent="0.3">
      <c r="A129" s="3" t="str">
        <f>INDEX('R1. Scenario specifications'!$C$11:$C$49,MATCH($B129,'R1. Scenario specifications'!$A$11:$A$49,0))</f>
        <v>Current 1.75DS, 2030 start, 'Expect the Unexpected' but with cheap energy efficiency</v>
      </c>
      <c r="B129" s="3" t="s">
        <v>42</v>
      </c>
      <c r="C129" s="3" t="s">
        <v>57</v>
      </c>
      <c r="D129" s="14">
        <v>105930.88055567192</v>
      </c>
      <c r="E129" s="14">
        <v>117776.03139929548</v>
      </c>
      <c r="F129" s="14">
        <v>155164.96169378661</v>
      </c>
      <c r="G129" s="14">
        <v>165931.33199667532</v>
      </c>
      <c r="H129" s="14">
        <v>176355.9196500181</v>
      </c>
      <c r="I129" s="14">
        <v>133594.72957615403</v>
      </c>
      <c r="J129" s="14">
        <v>53992.771971477108</v>
      </c>
      <c r="K129" s="14">
        <v>95625.324614658239</v>
      </c>
      <c r="L129" s="14">
        <v>80150.332321842783</v>
      </c>
      <c r="M129" s="14">
        <v>57320.246568707276</v>
      </c>
      <c r="N129" s="14">
        <v>46801.095056243787</v>
      </c>
    </row>
    <row r="130" spans="1:14" x14ac:dyDescent="0.3">
      <c r="A130" s="3" t="str">
        <f>INDEX('R1. Scenario specifications'!$C$11:$C$49,MATCH($B130,'R1. Scenario specifications'!$A$11:$A$49,0))</f>
        <v>Current 1.75DS, 2030 start, 'Expect the Unexpected' but with cheap energy efficiency</v>
      </c>
      <c r="B130" s="3" t="s">
        <v>42</v>
      </c>
      <c r="C130" s="3" t="s">
        <v>58</v>
      </c>
      <c r="D130" s="14">
        <v>245383.2541071584</v>
      </c>
      <c r="E130" s="14">
        <v>264973.10355945653</v>
      </c>
      <c r="F130" s="14">
        <v>287420.73047055042</v>
      </c>
      <c r="G130" s="14">
        <v>293811.41257123975</v>
      </c>
      <c r="H130" s="14">
        <v>253930.28651561643</v>
      </c>
      <c r="I130" s="14">
        <v>246190.80047256971</v>
      </c>
      <c r="J130" s="14">
        <v>226947.94467197586</v>
      </c>
      <c r="K130" s="14">
        <v>224389.28054477987</v>
      </c>
      <c r="L130" s="14">
        <v>216901.87718718714</v>
      </c>
      <c r="M130" s="14">
        <v>197553.98132299402</v>
      </c>
      <c r="N130" s="14">
        <v>183856.53423775008</v>
      </c>
    </row>
    <row r="131" spans="1:14" x14ac:dyDescent="0.3">
      <c r="A131" s="3" t="str">
        <f>INDEX('R1. Scenario specifications'!$C$11:$C$49,MATCH($B131,'R1. Scenario specifications'!$A$11:$A$49,0))</f>
        <v>Current 1.75DS, 2020 start, 'Expect the Unexpected' but with most conservative biomass CCS / NET technology cost assumptions</v>
      </c>
      <c r="B131" s="3" t="s">
        <v>43</v>
      </c>
      <c r="C131" s="3" t="s">
        <v>56</v>
      </c>
      <c r="D131" s="14">
        <v>133715.16751824543</v>
      </c>
      <c r="E131" s="14">
        <v>168138.47746807424</v>
      </c>
      <c r="F131" s="14">
        <v>134434.81319464734</v>
      </c>
      <c r="G131" s="14">
        <v>79921.956420188595</v>
      </c>
      <c r="H131" s="14">
        <v>55607.187208610616</v>
      </c>
      <c r="I131" s="14">
        <v>67431.231531466372</v>
      </c>
      <c r="J131" s="14">
        <v>94736.10722303162</v>
      </c>
      <c r="K131" s="14">
        <v>99935.678508198049</v>
      </c>
      <c r="L131" s="14">
        <v>102959.03412183064</v>
      </c>
      <c r="M131" s="14">
        <v>80191.571500791746</v>
      </c>
      <c r="N131" s="14">
        <v>66962.909778570611</v>
      </c>
    </row>
    <row r="132" spans="1:14" x14ac:dyDescent="0.3">
      <c r="A132" s="3" t="str">
        <f>INDEX('R1. Scenario specifications'!$C$11:$C$49,MATCH($B132,'R1. Scenario specifications'!$A$11:$A$49,0))</f>
        <v>Current 1.75DS, 2020 start, 'Expect the Unexpected' but with most conservative biomass CCS / NET technology cost assumptions</v>
      </c>
      <c r="B132" s="3" t="s">
        <v>43</v>
      </c>
      <c r="C132" s="3" t="s">
        <v>57</v>
      </c>
      <c r="D132" s="14">
        <v>105930.88055567192</v>
      </c>
      <c r="E132" s="14">
        <v>117776.03139929548</v>
      </c>
      <c r="F132" s="14">
        <v>155164.96169378661</v>
      </c>
      <c r="G132" s="14">
        <v>181907.67671527652</v>
      </c>
      <c r="H132" s="14">
        <v>184917.85850173465</v>
      </c>
      <c r="I132" s="14">
        <v>184016.42195972707</v>
      </c>
      <c r="J132" s="14">
        <v>159001.21157654235</v>
      </c>
      <c r="K132" s="14">
        <v>123003.69050739607</v>
      </c>
      <c r="L132" s="14">
        <v>84616.137841705699</v>
      </c>
      <c r="M132" s="14">
        <v>64075.439943446858</v>
      </c>
      <c r="N132" s="14">
        <v>60473.33354057643</v>
      </c>
    </row>
    <row r="133" spans="1:14" x14ac:dyDescent="0.3">
      <c r="A133" s="3" t="str">
        <f>INDEX('R1. Scenario specifications'!$C$11:$C$49,MATCH($B133,'R1. Scenario specifications'!$A$11:$A$49,0))</f>
        <v>Current 1.75DS, 2020 start, 'Expect the Unexpected' but with most conservative biomass CCS / NET technology cost assumptions</v>
      </c>
      <c r="B133" s="3" t="s">
        <v>43</v>
      </c>
      <c r="C133" s="3" t="s">
        <v>58</v>
      </c>
      <c r="D133" s="14">
        <v>245383.2541071584</v>
      </c>
      <c r="E133" s="14">
        <v>264973.10355945653</v>
      </c>
      <c r="F133" s="14">
        <v>287420.73047055042</v>
      </c>
      <c r="G133" s="14">
        <v>282856.56667927391</v>
      </c>
      <c r="H133" s="14">
        <v>266780.90514721139</v>
      </c>
      <c r="I133" s="14">
        <v>259089.32009426996</v>
      </c>
      <c r="J133" s="14">
        <v>247571.8425328024</v>
      </c>
      <c r="K133" s="14">
        <v>231261.60080810558</v>
      </c>
      <c r="L133" s="14">
        <v>210451.13617044303</v>
      </c>
      <c r="M133" s="14">
        <v>205307.42744515318</v>
      </c>
      <c r="N133" s="14">
        <v>204873.98266057865</v>
      </c>
    </row>
    <row r="134" spans="1:14" x14ac:dyDescent="0.3">
      <c r="A134" s="3" t="str">
        <f>INDEX('R1. Scenario specifications'!$C$11:$C$49,MATCH($B134,'R1. Scenario specifications'!$A$11:$A$49,0))</f>
        <v>Current 2DS, 2020 start, 'Expect the unexpceted' but with expensive renewables (cheap CCS)</v>
      </c>
      <c r="B134" s="3" t="s">
        <v>1026</v>
      </c>
      <c r="C134" s="3" t="s">
        <v>56</v>
      </c>
      <c r="D134" s="14">
        <v>133715.16751824543</v>
      </c>
      <c r="E134" s="14">
        <v>168138.47746807424</v>
      </c>
      <c r="F134" s="14">
        <v>134434.81319464734</v>
      </c>
      <c r="G134" s="14">
        <v>106828.34678599192</v>
      </c>
      <c r="H134" s="14">
        <v>87332.370954781392</v>
      </c>
      <c r="I134" s="14">
        <v>93459.640852456258</v>
      </c>
      <c r="J134" s="14">
        <v>99384.38731416162</v>
      </c>
      <c r="K134" s="14">
        <v>99464.410050560429</v>
      </c>
      <c r="L134" s="14">
        <v>107838.9933310363</v>
      </c>
      <c r="M134" s="14">
        <v>108374.72709208813</v>
      </c>
      <c r="N134" s="14">
        <v>112740.59533773734</v>
      </c>
    </row>
    <row r="135" spans="1:14" x14ac:dyDescent="0.3">
      <c r="A135" s="3" t="str">
        <f>INDEX('R1. Scenario specifications'!$C$11:$C$49,MATCH($B135,'R1. Scenario specifications'!$A$11:$A$49,0))</f>
        <v>Current 2DS, 2020 start, 'Expect the unexpceted' but with expensive renewables (cheap CCS)</v>
      </c>
      <c r="B135" s="3" t="s">
        <v>1026</v>
      </c>
      <c r="C135" s="3" t="s">
        <v>57</v>
      </c>
      <c r="D135" s="14">
        <v>105930.88055567192</v>
      </c>
      <c r="E135" s="14">
        <v>117776.03139929548</v>
      </c>
      <c r="F135" s="14">
        <v>155164.96169378661</v>
      </c>
      <c r="G135" s="14">
        <v>175748.84979855348</v>
      </c>
      <c r="H135" s="14">
        <v>193435.27582681645</v>
      </c>
      <c r="I135" s="14">
        <v>211432.7350214537</v>
      </c>
      <c r="J135" s="14">
        <v>202736.42604823285</v>
      </c>
      <c r="K135" s="14">
        <v>179082.82253587435</v>
      </c>
      <c r="L135" s="14">
        <v>149525.83475770554</v>
      </c>
      <c r="M135" s="14">
        <v>109375.88091405932</v>
      </c>
      <c r="N135" s="14">
        <v>97955.502388951063</v>
      </c>
    </row>
    <row r="136" spans="1:14" x14ac:dyDescent="0.3">
      <c r="A136" s="3" t="str">
        <f>INDEX('R1. Scenario specifications'!$C$11:$C$49,MATCH($B136,'R1. Scenario specifications'!$A$11:$A$49,0))</f>
        <v>Current 2DS, 2020 start, 'Expect the unexpceted' but with expensive renewables (cheap CCS)</v>
      </c>
      <c r="B136" s="3" t="s">
        <v>1026</v>
      </c>
      <c r="C136" s="3" t="s">
        <v>58</v>
      </c>
      <c r="D136" s="14">
        <v>245383.2541071584</v>
      </c>
      <c r="E136" s="14">
        <v>264973.10355945653</v>
      </c>
      <c r="F136" s="14">
        <v>287420.73047055042</v>
      </c>
      <c r="G136" s="14">
        <v>285721.94813832419</v>
      </c>
      <c r="H136" s="14">
        <v>285604.14811979089</v>
      </c>
      <c r="I136" s="14">
        <v>277988.83342918986</v>
      </c>
      <c r="J136" s="14">
        <v>262094.61681782626</v>
      </c>
      <c r="K136" s="14">
        <v>248453.21697044399</v>
      </c>
      <c r="L136" s="14">
        <v>252494.55034842438</v>
      </c>
      <c r="M136" s="14">
        <v>246472.79940482619</v>
      </c>
      <c r="N136" s="14">
        <v>215709.76996125598</v>
      </c>
    </row>
    <row r="137" spans="1:14" x14ac:dyDescent="0.3">
      <c r="A137" s="3" t="str">
        <f>INDEX('R1. Scenario specifications'!$C$11:$C$49,MATCH($B137,'R1. Scenario specifications'!$A$11:$A$49,0))</f>
        <v>Current 2DS, 2030 start, 'Expect the Unexpected' but with cheap renewables</v>
      </c>
      <c r="B137" s="3" t="s">
        <v>44</v>
      </c>
      <c r="C137" s="3" t="s">
        <v>56</v>
      </c>
      <c r="D137" s="14">
        <v>133715.16751824543</v>
      </c>
      <c r="E137" s="14">
        <v>168138.47746807424</v>
      </c>
      <c r="F137" s="14">
        <v>134434.81319464734</v>
      </c>
      <c r="G137" s="14">
        <v>144479.6233654609</v>
      </c>
      <c r="H137" s="14">
        <v>100820.58461974871</v>
      </c>
      <c r="I137" s="14">
        <v>83403.690492985261</v>
      </c>
      <c r="J137" s="14">
        <v>89034.438224582613</v>
      </c>
      <c r="K137" s="14">
        <v>100785.18674148893</v>
      </c>
      <c r="L137" s="14">
        <v>105259.50307695834</v>
      </c>
      <c r="M137" s="14">
        <v>105273.17198299094</v>
      </c>
      <c r="N137" s="14">
        <v>96868.143318151473</v>
      </c>
    </row>
    <row r="138" spans="1:14" x14ac:dyDescent="0.3">
      <c r="A138" s="3" t="str">
        <f>INDEX('R1. Scenario specifications'!$C$11:$C$49,MATCH($B138,'R1. Scenario specifications'!$A$11:$A$49,0))</f>
        <v>Current 2DS, 2030 start, 'Expect the Unexpected' but with cheap renewables</v>
      </c>
      <c r="B138" s="3" t="s">
        <v>44</v>
      </c>
      <c r="C138" s="3" t="s">
        <v>57</v>
      </c>
      <c r="D138" s="14">
        <v>105930.88055567192</v>
      </c>
      <c r="E138" s="14">
        <v>117776.03139929548</v>
      </c>
      <c r="F138" s="14">
        <v>155164.96169378661</v>
      </c>
      <c r="G138" s="14">
        <v>165931.33199667532</v>
      </c>
      <c r="H138" s="14">
        <v>179221.93568181997</v>
      </c>
      <c r="I138" s="14">
        <v>185582.87522767446</v>
      </c>
      <c r="J138" s="14">
        <v>181012.56746110762</v>
      </c>
      <c r="K138" s="14">
        <v>149202.26506244182</v>
      </c>
      <c r="L138" s="14">
        <v>125009.52859235482</v>
      </c>
      <c r="M138" s="14">
        <v>79162.947678369266</v>
      </c>
      <c r="N138" s="14">
        <v>63984.604681016528</v>
      </c>
    </row>
    <row r="139" spans="1:14" x14ac:dyDescent="0.3">
      <c r="A139" s="3" t="str">
        <f>INDEX('R1. Scenario specifications'!$C$11:$C$49,MATCH($B139,'R1. Scenario specifications'!$A$11:$A$49,0))</f>
        <v>Current 2DS, 2030 start, 'Expect the Unexpected' but with cheap renewables</v>
      </c>
      <c r="B139" s="3" t="s">
        <v>44</v>
      </c>
      <c r="C139" s="3" t="s">
        <v>58</v>
      </c>
      <c r="D139" s="14">
        <v>245383.2541071584</v>
      </c>
      <c r="E139" s="14">
        <v>264973.10355945653</v>
      </c>
      <c r="F139" s="14">
        <v>287420.73047055042</v>
      </c>
      <c r="G139" s="14">
        <v>293811.41257123975</v>
      </c>
      <c r="H139" s="14">
        <v>286033.48352093482</v>
      </c>
      <c r="I139" s="14">
        <v>268026.11021302349</v>
      </c>
      <c r="J139" s="14">
        <v>258177.68840244692</v>
      </c>
      <c r="K139" s="14">
        <v>247207.21293419096</v>
      </c>
      <c r="L139" s="14">
        <v>230437.92937474951</v>
      </c>
      <c r="M139" s="14">
        <v>226216.28751896886</v>
      </c>
      <c r="N139" s="14">
        <v>196747.28742263664</v>
      </c>
    </row>
    <row r="140" spans="1:14" x14ac:dyDescent="0.3">
      <c r="A140" s="3" t="str">
        <f>INDEX('R1. Scenario specifications'!$C$11:$C$49,MATCH($B140,'R1. Scenario specifications'!$A$11:$A$49,0))</f>
        <v>Current 2DS, 2020 start, 'Expect the Unexpected' but with cheap CCS</v>
      </c>
      <c r="B140" s="3" t="s">
        <v>45</v>
      </c>
      <c r="C140" s="3" t="s">
        <v>56</v>
      </c>
      <c r="D140" s="14">
        <v>133715.16751824543</v>
      </c>
      <c r="E140" s="14">
        <v>168138.47746807424</v>
      </c>
      <c r="F140" s="14">
        <v>134434.81319464734</v>
      </c>
      <c r="G140" s="14">
        <v>108517.83503613443</v>
      </c>
      <c r="H140" s="14">
        <v>91815.412534003728</v>
      </c>
      <c r="I140" s="14">
        <v>88781.569300759409</v>
      </c>
      <c r="J140" s="14">
        <v>96061.579386825295</v>
      </c>
      <c r="K140" s="14">
        <v>97860.533074847364</v>
      </c>
      <c r="L140" s="14">
        <v>106262.31950823037</v>
      </c>
      <c r="M140" s="14">
        <v>107523.90202160733</v>
      </c>
      <c r="N140" s="14">
        <v>108806.11164792471</v>
      </c>
    </row>
    <row r="141" spans="1:14" x14ac:dyDescent="0.3">
      <c r="A141" s="3" t="str">
        <f>INDEX('R1. Scenario specifications'!$C$11:$C$49,MATCH($B141,'R1. Scenario specifications'!$A$11:$A$49,0))</f>
        <v>Current 2DS, 2020 start, 'Expect the Unexpected' but with cheap CCS</v>
      </c>
      <c r="B141" s="3" t="s">
        <v>45</v>
      </c>
      <c r="C141" s="3" t="s">
        <v>57</v>
      </c>
      <c r="D141" s="14">
        <v>105930.88055567192</v>
      </c>
      <c r="E141" s="14">
        <v>117776.03139929548</v>
      </c>
      <c r="F141" s="14">
        <v>155164.96169378661</v>
      </c>
      <c r="G141" s="14">
        <v>170930.38582449773</v>
      </c>
      <c r="H141" s="14">
        <v>179734.88510102592</v>
      </c>
      <c r="I141" s="14">
        <v>186551.62462054484</v>
      </c>
      <c r="J141" s="14">
        <v>179364.20721286454</v>
      </c>
      <c r="K141" s="14">
        <v>158507.35995219168</v>
      </c>
      <c r="L141" s="14">
        <v>131355.2319276919</v>
      </c>
      <c r="M141" s="14">
        <v>86885.795998557354</v>
      </c>
      <c r="N141" s="14">
        <v>69435.417035270089</v>
      </c>
    </row>
    <row r="142" spans="1:14" x14ac:dyDescent="0.3">
      <c r="A142" s="3" t="str">
        <f>INDEX('R1. Scenario specifications'!$C$11:$C$49,MATCH($B142,'R1. Scenario specifications'!$A$11:$A$49,0))</f>
        <v>Current 2DS, 2020 start, 'Expect the Unexpected' but with cheap CCS</v>
      </c>
      <c r="B142" s="3" t="s">
        <v>45</v>
      </c>
      <c r="C142" s="3" t="s">
        <v>58</v>
      </c>
      <c r="D142" s="14">
        <v>245383.2541071584</v>
      </c>
      <c r="E142" s="14">
        <v>264973.10355945653</v>
      </c>
      <c r="F142" s="14">
        <v>287420.73047055042</v>
      </c>
      <c r="G142" s="14">
        <v>288904.51538166747</v>
      </c>
      <c r="H142" s="14">
        <v>286376.8323749046</v>
      </c>
      <c r="I142" s="14">
        <v>274091.51005623356</v>
      </c>
      <c r="J142" s="14">
        <v>264209.12780435692</v>
      </c>
      <c r="K142" s="14">
        <v>247002.50230848766</v>
      </c>
      <c r="L142" s="14">
        <v>232424.53067476526</v>
      </c>
      <c r="M142" s="14">
        <v>228535.93120513333</v>
      </c>
      <c r="N142" s="14">
        <v>198652.20964145625</v>
      </c>
    </row>
    <row r="143" spans="1:14" x14ac:dyDescent="0.3">
      <c r="A143" s="3" t="str">
        <f>INDEX('R1. Scenario specifications'!$C$11:$C$49,MATCH($B143,'R1. Scenario specifications'!$A$11:$A$49,0))</f>
        <v>Current 2DS, 2030 start, 'Expect the Unexpected' but with cheap CCS</v>
      </c>
      <c r="B143" s="3" t="s">
        <v>46</v>
      </c>
      <c r="C143" s="3" t="s">
        <v>56</v>
      </c>
      <c r="D143" s="14">
        <v>133715.16751824543</v>
      </c>
      <c r="E143" s="14">
        <v>168138.47746807424</v>
      </c>
      <c r="F143" s="14">
        <v>134434.81319464734</v>
      </c>
      <c r="G143" s="14">
        <v>144479.6233654609</v>
      </c>
      <c r="H143" s="14">
        <v>100154.77763649631</v>
      </c>
      <c r="I143" s="14">
        <v>81972.76541297925</v>
      </c>
      <c r="J143" s="14">
        <v>89228.648203820252</v>
      </c>
      <c r="K143" s="14">
        <v>100227.8939077617</v>
      </c>
      <c r="L143" s="14">
        <v>105997.56099462003</v>
      </c>
      <c r="M143" s="14">
        <v>106019.07395465212</v>
      </c>
      <c r="N143" s="14">
        <v>103302.42591059432</v>
      </c>
    </row>
    <row r="144" spans="1:14" x14ac:dyDescent="0.3">
      <c r="A144" s="3" t="str">
        <f>INDEX('R1. Scenario specifications'!$C$11:$C$49,MATCH($B144,'R1. Scenario specifications'!$A$11:$A$49,0))</f>
        <v>Current 2DS, 2030 start, 'Expect the Unexpected' but with cheap CCS</v>
      </c>
      <c r="B144" s="3" t="s">
        <v>46</v>
      </c>
      <c r="C144" s="3" t="s">
        <v>57</v>
      </c>
      <c r="D144" s="14">
        <v>105930.88055567192</v>
      </c>
      <c r="E144" s="14">
        <v>117776.03139929548</v>
      </c>
      <c r="F144" s="14">
        <v>155164.96169378661</v>
      </c>
      <c r="G144" s="14">
        <v>165931.33199667532</v>
      </c>
      <c r="H144" s="14">
        <v>182003.07193695175</v>
      </c>
      <c r="I144" s="14">
        <v>187160.71199619406</v>
      </c>
      <c r="J144" s="14">
        <v>181470.44669554054</v>
      </c>
      <c r="K144" s="14">
        <v>152830.56864143079</v>
      </c>
      <c r="L144" s="14">
        <v>127666.17057010498</v>
      </c>
      <c r="M144" s="14">
        <v>81132.352387490522</v>
      </c>
      <c r="N144" s="14">
        <v>66288.274691367274</v>
      </c>
    </row>
    <row r="145" spans="1:14" x14ac:dyDescent="0.3">
      <c r="A145" s="3" t="str">
        <f>INDEX('R1. Scenario specifications'!$C$11:$C$49,MATCH($B145,'R1. Scenario specifications'!$A$11:$A$49,0))</f>
        <v>Current 2DS, 2030 start, 'Expect the Unexpected' but with cheap CCS</v>
      </c>
      <c r="B145" s="3" t="s">
        <v>46</v>
      </c>
      <c r="C145" s="3" t="s">
        <v>58</v>
      </c>
      <c r="D145" s="14">
        <v>245383.2541071584</v>
      </c>
      <c r="E145" s="14">
        <v>264973.10355945653</v>
      </c>
      <c r="F145" s="14">
        <v>287420.73047055042</v>
      </c>
      <c r="G145" s="14">
        <v>293811.41257123975</v>
      </c>
      <c r="H145" s="14">
        <v>285634.79250217933</v>
      </c>
      <c r="I145" s="14">
        <v>269893.96793250961</v>
      </c>
      <c r="J145" s="14">
        <v>258160.55187924637</v>
      </c>
      <c r="K145" s="14">
        <v>246554.23048158537</v>
      </c>
      <c r="L145" s="14">
        <v>230457.04561092213</v>
      </c>
      <c r="M145" s="14">
        <v>227271.72359448625</v>
      </c>
      <c r="N145" s="14">
        <v>199113.82604676479</v>
      </c>
    </row>
    <row r="146" spans="1:14" x14ac:dyDescent="0.3">
      <c r="A146" s="3" t="str">
        <f>INDEX('R1. Scenario specifications'!$C$11:$C$49,MATCH($B146,'R1. Scenario specifications'!$A$11:$A$49,0))</f>
        <v>Current 2DS, 2020 start, 'Expect the Unexpected' but with cheap EVs</v>
      </c>
      <c r="B146" s="3" t="s">
        <v>47</v>
      </c>
      <c r="C146" s="3" t="s">
        <v>56</v>
      </c>
      <c r="D146" s="14">
        <v>133715.16751824543</v>
      </c>
      <c r="E146" s="14">
        <v>168138.47746807424</v>
      </c>
      <c r="F146" s="14">
        <v>134434.81319464734</v>
      </c>
      <c r="G146" s="14">
        <v>114651.85497945693</v>
      </c>
      <c r="H146" s="14">
        <v>102097.15553300851</v>
      </c>
      <c r="I146" s="14">
        <v>91053.995329125406</v>
      </c>
      <c r="J146" s="14">
        <v>97495.557500678799</v>
      </c>
      <c r="K146" s="14">
        <v>96440.556778354701</v>
      </c>
      <c r="L146" s="14">
        <v>105858.90293365619</v>
      </c>
      <c r="M146" s="14">
        <v>108043.19402292844</v>
      </c>
      <c r="N146" s="14">
        <v>108071.47983638773</v>
      </c>
    </row>
    <row r="147" spans="1:14" x14ac:dyDescent="0.3">
      <c r="A147" s="3" t="str">
        <f>INDEX('R1. Scenario specifications'!$C$11:$C$49,MATCH($B147,'R1. Scenario specifications'!$A$11:$A$49,0))</f>
        <v>Current 2DS, 2020 start, 'Expect the Unexpected' but with cheap EVs</v>
      </c>
      <c r="B147" s="3" t="s">
        <v>47</v>
      </c>
      <c r="C147" s="3" t="s">
        <v>57</v>
      </c>
      <c r="D147" s="14">
        <v>105930.88055567192</v>
      </c>
      <c r="E147" s="14">
        <v>117776.03139929548</v>
      </c>
      <c r="F147" s="14">
        <v>155164.96169378661</v>
      </c>
      <c r="G147" s="14">
        <v>169522.4286113811</v>
      </c>
      <c r="H147" s="14">
        <v>176307.7344875636</v>
      </c>
      <c r="I147" s="14">
        <v>182037.2626718964</v>
      </c>
      <c r="J147" s="14">
        <v>177820.22367160424</v>
      </c>
      <c r="K147" s="14">
        <v>158243.02051515318</v>
      </c>
      <c r="L147" s="14">
        <v>132368.12006456376</v>
      </c>
      <c r="M147" s="14">
        <v>88728.827123780618</v>
      </c>
      <c r="N147" s="14">
        <v>70452.681633741013</v>
      </c>
    </row>
    <row r="148" spans="1:14" x14ac:dyDescent="0.3">
      <c r="A148" s="3" t="str">
        <f>INDEX('R1. Scenario specifications'!$C$11:$C$49,MATCH($B148,'R1. Scenario specifications'!$A$11:$A$49,0))</f>
        <v>Current 2DS, 2020 start, 'Expect the Unexpected' but with cheap EVs</v>
      </c>
      <c r="B148" s="3" t="s">
        <v>47</v>
      </c>
      <c r="C148" s="3" t="s">
        <v>58</v>
      </c>
      <c r="D148" s="14">
        <v>245383.2541071584</v>
      </c>
      <c r="E148" s="14">
        <v>264973.10355945653</v>
      </c>
      <c r="F148" s="14">
        <v>287420.73047055042</v>
      </c>
      <c r="G148" s="14">
        <v>270365.53505263739</v>
      </c>
      <c r="H148" s="14">
        <v>262208.95407133363</v>
      </c>
      <c r="I148" s="14">
        <v>259989.94711491276</v>
      </c>
      <c r="J148" s="14">
        <v>256579.09201557157</v>
      </c>
      <c r="K148" s="14">
        <v>243364.93444216772</v>
      </c>
      <c r="L148" s="14">
        <v>230060.51776462529</v>
      </c>
      <c r="M148" s="14">
        <v>230544.98315387679</v>
      </c>
      <c r="N148" s="14">
        <v>194873.73170005935</v>
      </c>
    </row>
    <row r="149" spans="1:14" x14ac:dyDescent="0.3">
      <c r="A149" s="3" t="str">
        <f>INDEX('R1. Scenario specifications'!$C$11:$C$49,MATCH($B149,'R1. Scenario specifications'!$A$11:$A$49,0))</f>
        <v>Current 2DS, 2030 start, 'Expect the Unexpected' but with cheap EVs</v>
      </c>
      <c r="B149" s="3" t="s">
        <v>48</v>
      </c>
      <c r="C149" s="3" t="s">
        <v>56</v>
      </c>
      <c r="D149" s="14">
        <v>133715.16751824543</v>
      </c>
      <c r="E149" s="14">
        <v>168138.47746807424</v>
      </c>
      <c r="F149" s="14">
        <v>134434.81319464734</v>
      </c>
      <c r="G149" s="14">
        <v>144479.6233654609</v>
      </c>
      <c r="H149" s="14">
        <v>105353.24351960051</v>
      </c>
      <c r="I149" s="14">
        <v>86695.755660349299</v>
      </c>
      <c r="J149" s="14">
        <v>92252.073393394923</v>
      </c>
      <c r="K149" s="14">
        <v>101373.33983799659</v>
      </c>
      <c r="L149" s="14">
        <v>106135.81317486</v>
      </c>
      <c r="M149" s="14">
        <v>106204.778155704</v>
      </c>
      <c r="N149" s="14">
        <v>103408.70231416413</v>
      </c>
    </row>
    <row r="150" spans="1:14" x14ac:dyDescent="0.3">
      <c r="A150" s="3" t="str">
        <f>INDEX('R1. Scenario specifications'!$C$11:$C$49,MATCH($B150,'R1. Scenario specifications'!$A$11:$A$49,0))</f>
        <v>Current 2DS, 2030 start, 'Expect the Unexpected' but with cheap EVs</v>
      </c>
      <c r="B150" s="3" t="s">
        <v>48</v>
      </c>
      <c r="C150" s="3" t="s">
        <v>57</v>
      </c>
      <c r="D150" s="14">
        <v>105930.88055567192</v>
      </c>
      <c r="E150" s="14">
        <v>117776.03139929548</v>
      </c>
      <c r="F150" s="14">
        <v>155164.96169378661</v>
      </c>
      <c r="G150" s="14">
        <v>165931.33199667532</v>
      </c>
      <c r="H150" s="14">
        <v>179640.21744004477</v>
      </c>
      <c r="I150" s="14">
        <v>182089.08986112094</v>
      </c>
      <c r="J150" s="14">
        <v>178416.30854016883</v>
      </c>
      <c r="K150" s="14">
        <v>151782.65723477377</v>
      </c>
      <c r="L150" s="14">
        <v>127690.89054243057</v>
      </c>
      <c r="M150" s="14">
        <v>83109.548919367749</v>
      </c>
      <c r="N150" s="14">
        <v>67205.258798630384</v>
      </c>
    </row>
    <row r="151" spans="1:14" x14ac:dyDescent="0.3">
      <c r="A151" s="3" t="str">
        <f>INDEX('R1. Scenario specifications'!$C$11:$C$49,MATCH($B151,'R1. Scenario specifications'!$A$11:$A$49,0))</f>
        <v>Current 2DS, 2030 start, 'Expect the Unexpected' but with cheap EVs</v>
      </c>
      <c r="B151" s="3" t="s">
        <v>48</v>
      </c>
      <c r="C151" s="3" t="s">
        <v>58</v>
      </c>
      <c r="D151" s="14">
        <v>245383.2541071584</v>
      </c>
      <c r="E151" s="14">
        <v>264973.10355945653</v>
      </c>
      <c r="F151" s="14">
        <v>287420.73047055042</v>
      </c>
      <c r="G151" s="14">
        <v>293811.41257123975</v>
      </c>
      <c r="H151" s="14">
        <v>272849.79655795335</v>
      </c>
      <c r="I151" s="14">
        <v>264603.85610942275</v>
      </c>
      <c r="J151" s="14">
        <v>260420.41167383926</v>
      </c>
      <c r="K151" s="14">
        <v>246148.99355962733</v>
      </c>
      <c r="L151" s="14">
        <v>232718.23619103435</v>
      </c>
      <c r="M151" s="14">
        <v>226848.05715107857</v>
      </c>
      <c r="N151" s="14">
        <v>197601.45896619017</v>
      </c>
    </row>
    <row r="152" spans="1:14" x14ac:dyDescent="0.3">
      <c r="A152" s="3" t="str">
        <f>INDEX('R1. Scenario specifications'!$C$11:$C$49,MATCH($B152,'R1. Scenario specifications'!$A$11:$A$49,0))</f>
        <v>Current 2DS, 2020 start, 'Expect the Unexpected' but with cheap energy efficiency</v>
      </c>
      <c r="B152" s="3" t="s">
        <v>49</v>
      </c>
      <c r="C152" s="3" t="s">
        <v>56</v>
      </c>
      <c r="D152" s="14">
        <v>133715.16751824543</v>
      </c>
      <c r="E152" s="14">
        <v>168138.47746807424</v>
      </c>
      <c r="F152" s="14">
        <v>134434.81319464734</v>
      </c>
      <c r="G152" s="14">
        <v>113777.12984831751</v>
      </c>
      <c r="H152" s="14">
        <v>93582.470017091109</v>
      </c>
      <c r="I152" s="14">
        <v>77456.352627111293</v>
      </c>
      <c r="J152" s="14">
        <v>79340.353887171208</v>
      </c>
      <c r="K152" s="14">
        <v>78295.798176759723</v>
      </c>
      <c r="L152" s="14">
        <v>84190.779569183505</v>
      </c>
      <c r="M152" s="14">
        <v>86857.907088031119</v>
      </c>
      <c r="N152" s="14">
        <v>84806.671464847692</v>
      </c>
    </row>
    <row r="153" spans="1:14" x14ac:dyDescent="0.3">
      <c r="A153" s="3" t="str">
        <f>INDEX('R1. Scenario specifications'!$C$11:$C$49,MATCH($B153,'R1. Scenario specifications'!$A$11:$A$49,0))</f>
        <v>Current 2DS, 2020 start, 'Expect the Unexpected' but with cheap energy efficiency</v>
      </c>
      <c r="B153" s="3" t="s">
        <v>49</v>
      </c>
      <c r="C153" s="3" t="s">
        <v>57</v>
      </c>
      <c r="D153" s="14">
        <v>105930.88055567192</v>
      </c>
      <c r="E153" s="14">
        <v>117776.03139929548</v>
      </c>
      <c r="F153" s="14">
        <v>155164.96169378661</v>
      </c>
      <c r="G153" s="14">
        <v>166084.04721260502</v>
      </c>
      <c r="H153" s="14">
        <v>167725.15209292763</v>
      </c>
      <c r="I153" s="14">
        <v>160135.81857914172</v>
      </c>
      <c r="J153" s="14">
        <v>156248.88644157106</v>
      </c>
      <c r="K153" s="14">
        <v>144207.0348732573</v>
      </c>
      <c r="L153" s="14">
        <v>113609.84394627997</v>
      </c>
      <c r="M153" s="14">
        <v>82864.705723674051</v>
      </c>
      <c r="N153" s="14">
        <v>60522.850881702019</v>
      </c>
    </row>
    <row r="154" spans="1:14" x14ac:dyDescent="0.3">
      <c r="A154" s="3" t="str">
        <f>INDEX('R1. Scenario specifications'!$C$11:$C$49,MATCH($B154,'R1. Scenario specifications'!$A$11:$A$49,0))</f>
        <v>Current 2DS, 2020 start, 'Expect the Unexpected' but with cheap energy efficiency</v>
      </c>
      <c r="B154" s="3" t="s">
        <v>49</v>
      </c>
      <c r="C154" s="3" t="s">
        <v>58</v>
      </c>
      <c r="D154" s="14">
        <v>245383.2541071584</v>
      </c>
      <c r="E154" s="14">
        <v>264973.10355945653</v>
      </c>
      <c r="F154" s="14">
        <v>287420.73047055042</v>
      </c>
      <c r="G154" s="14">
        <v>273027.23264955188</v>
      </c>
      <c r="H154" s="14">
        <v>272270.98977209954</v>
      </c>
      <c r="I154" s="14">
        <v>245331.81970501353</v>
      </c>
      <c r="J154" s="14">
        <v>242317.78720502692</v>
      </c>
      <c r="K154" s="14">
        <v>223434.67836558758</v>
      </c>
      <c r="L154" s="14">
        <v>213126.8628305436</v>
      </c>
      <c r="M154" s="14">
        <v>197835.85782187025</v>
      </c>
      <c r="N154" s="14">
        <v>177315.07522199868</v>
      </c>
    </row>
  </sheetData>
  <conditionalFormatting sqref="A1793:XFD1048576 D155:XFD1792 A77:A1792 A1:XFD12 N19:XFD19 A20:XFD154 A14:XFD18 A13:E13 J13:XFD13">
    <cfRule type="expression" dxfId="133" priority="3">
      <formula>_xlfn.ISFORMULA(A1)</formula>
    </cfRule>
  </conditionalFormatting>
  <conditionalFormatting sqref="A19:M19">
    <cfRule type="expression" dxfId="132" priority="2">
      <formula>_xlfn.ISFORMULA(A19)</formula>
    </cfRule>
  </conditionalFormatting>
  <conditionalFormatting sqref="F13:I13">
    <cfRule type="expression" dxfId="131" priority="1">
      <formula>_xlfn.ISFORMULA(F13)</formula>
    </cfRule>
  </conditionalFormatting>
  <dataValidations count="1">
    <dataValidation type="list" allowBlank="1" showInputMessage="1" showErrorMessage="1" sqref="B22" xr:uid="{C1D7BEF2-8763-4980-9576-F8C9A2F90DC6}">
      <formula1>$C$38:$C$40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39C059C-A8C2-41B9-8733-05DE7FA4EB52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F70D-5321-4565-BED4-4008C545201A}">
  <sheetPr>
    <tabColor theme="5" tint="0.39997558519241921"/>
  </sheetPr>
  <dimension ref="A1:Z479"/>
  <sheetViews>
    <sheetView zoomScale="70" zoomScaleNormal="70" workbookViewId="0">
      <selection activeCell="E5" sqref="E5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265</v>
      </c>
    </row>
    <row r="2" spans="1:9" s="5" customFormat="1" x14ac:dyDescent="0.3">
      <c r="A2" s="5" t="s">
        <v>5</v>
      </c>
      <c r="B2" s="5" t="s">
        <v>220</v>
      </c>
    </row>
    <row r="3" spans="1:9" s="5" customFormat="1" x14ac:dyDescent="0.3">
      <c r="A3" s="5" t="s">
        <v>6</v>
      </c>
      <c r="B3" s="5" t="s">
        <v>219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278</v>
      </c>
    </row>
    <row r="7" spans="1:9" s="5" customFormat="1" x14ac:dyDescent="0.3">
      <c r="B7" s="5" t="s">
        <v>188</v>
      </c>
      <c r="C7" s="5" t="s">
        <v>9</v>
      </c>
      <c r="D7" s="5" t="s">
        <v>279</v>
      </c>
    </row>
    <row r="8" spans="1:9" s="5" customFormat="1" x14ac:dyDescent="0.3">
      <c r="B8" s="5" t="s">
        <v>190</v>
      </c>
      <c r="C8" s="5" t="s">
        <v>10</v>
      </c>
      <c r="D8" s="5" t="s">
        <v>280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$E$8:$P6000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CONCATENATE(B22, " primary energy supply (PJ)")</f>
        <v>MIN - BIO primary energy supply (PJ)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262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INDEX($E$51:$O$479,MATCH(B$24&amp;$B$22,$B$51:$B$479&amp;$C$51:$C$479,0),MATCH($A25,$E$50:$O$50,0))</f>
        <v>54246.265938380871</v>
      </c>
      <c r="C25" s="14">
        <f t="array" ref="C25">INDEX($E$51:$O$479,MATCH(C$24&amp;$B$22,$B$51:$B$479&amp;$C$51:$C$479,0),MATCH($A25,$E$50:$O$50,0))</f>
        <v>54535.78236935271</v>
      </c>
      <c r="D25" s="14">
        <f t="array" ref="D25">INDEX($E$51:$O$479,MATCH(D$24&amp;$B$22,$B$51:$B$479&amp;$C$51:$C$479,0),MATCH($A25,$E$50:$O$50,0))</f>
        <v>54246.265938380871</v>
      </c>
      <c r="E25" s="14">
        <f t="array" ref="E25">INDEX($E$51:$O$479,MATCH(E$24&amp;$B$22,$B$51:$B$479&amp;$C$51:$C$479,0),MATCH($A25,$E$50:$O$50,0))</f>
        <v>54246.265938380871</v>
      </c>
      <c r="F25" s="14">
        <f t="array" ref="F25">INDEX($E$51:$O$479,MATCH(F$24&amp;$B$22,$B$51:$B$479&amp;$C$51:$C$479,0),MATCH($A25,$E$50:$O$50,0))</f>
        <v>54246.265938380871</v>
      </c>
      <c r="G25" s="14">
        <f t="array" ref="G25">INDEX($E$51:$O$479,MATCH(G$24&amp;$B$22,$B$51:$B$479&amp;$C$51:$C$479,0),MATCH($A25,$E$50:$O$50,0))</f>
        <v>54246.265938380871</v>
      </c>
      <c r="H25" s="14">
        <f t="array" ref="H25">INDEX($E$51:$O$479,MATCH(H$24&amp;$B$22,$B$51:$B$479&amp;$C$51:$C$479,0),MATCH($A25,$E$50:$O$50,0))</f>
        <v>54246.265938380871</v>
      </c>
      <c r="I25" s="14">
        <f t="array" ref="I25">INDEX($E$51:$O$479,MATCH(I$24&amp;$B$22,$B$51:$B$479&amp;$C$51:$C$479,0),MATCH($A25,$E$50:$O$50,0))</f>
        <v>54246.265938380871</v>
      </c>
      <c r="J25" s="14">
        <f t="array" ref="J25">INDEX($E$51:$O$479,MATCH(J$24&amp;$B$22,$B$51:$B$479&amp;$C$51:$C$479,0),MATCH($A25,$E$50:$O$50,0))</f>
        <v>54246.265938380871</v>
      </c>
      <c r="K25" s="14" t="e">
        <f t="array" ref="K25">INDEX($E$51:$O$479,MATCH(K$24&amp;$B$22,$B$51:$B$479&amp;$C$51:$C$479,0),MATCH($A25,$E$50:$O$50,0))</f>
        <v>#N/A</v>
      </c>
      <c r="L25" s="14" t="e">
        <f t="array" ref="L25">INDEX($E$51:$O$479,MATCH(L$24&amp;$B$22,$B$51:$B$479&amp;$C$51:$C$479,0),MATCH($A25,$E$50:$O$50,0))</f>
        <v>#N/A</v>
      </c>
      <c r="M25" s="14" t="e">
        <f t="array" ref="M25">INDEX($E$51:$O$479,MATCH(M$24&amp;$B$22,$B$51:$B$479&amp;$C$51:$C$479,0),MATCH($A25,$E$50:$O$50,0))</f>
        <v>#N/A</v>
      </c>
    </row>
    <row r="26" spans="1:13" x14ac:dyDescent="0.3">
      <c r="A26" s="3">
        <v>2020</v>
      </c>
      <c r="B26" s="14">
        <f t="array" ref="B26">INDEX($E$51:$O$479,MATCH(B$24&amp;$B$22,$B$51:$B$479&amp;$C$51:$C$479,0),MATCH($A26,$E$50:$O$50,0))</f>
        <v>64327.753070461156</v>
      </c>
      <c r="C26" s="14">
        <f t="array" ref="C26">INDEX($E$51:$O$479,MATCH(C$24&amp;$B$22,$B$51:$B$479&amp;$C$51:$C$479,0),MATCH($A26,$E$50:$O$50,0))</f>
        <v>69436.86445792616</v>
      </c>
      <c r="D26" s="14">
        <f t="array" ref="D26">INDEX($E$51:$O$479,MATCH(D$24&amp;$B$22,$B$51:$B$479&amp;$C$51:$C$479,0),MATCH($A26,$E$50:$O$50,0))</f>
        <v>71262.17128058261</v>
      </c>
      <c r="E26" s="14">
        <f t="array" ref="E26">INDEX($E$51:$O$479,MATCH(E$24&amp;$B$22,$B$51:$B$479&amp;$C$51:$C$479,0),MATCH($A26,$E$50:$O$50,0))</f>
        <v>71262.17128058261</v>
      </c>
      <c r="F26" s="14">
        <f t="array" ref="F26">INDEX($E$51:$O$479,MATCH(F$24&amp;$B$22,$B$51:$B$479&amp;$C$51:$C$479,0),MATCH($A26,$E$50:$O$50,0))</f>
        <v>71262.17128058261</v>
      </c>
      <c r="G26" s="14">
        <f t="array" ref="G26">INDEX($E$51:$O$479,MATCH(G$24&amp;$B$22,$B$51:$B$479&amp;$C$51:$C$479,0),MATCH($A26,$E$50:$O$50,0))</f>
        <v>71262.17128058261</v>
      </c>
      <c r="H26" s="14">
        <f t="array" ref="H26">INDEX($E$51:$O$479,MATCH(H$24&amp;$B$22,$B$51:$B$479&amp;$C$51:$C$479,0),MATCH($A26,$E$50:$O$50,0))</f>
        <v>71262.17128058261</v>
      </c>
      <c r="I26" s="14">
        <f t="array" ref="I26">INDEX($E$51:$O$479,MATCH(I$24&amp;$B$22,$B$51:$B$479&amp;$C$51:$C$479,0),MATCH($A26,$E$50:$O$50,0))</f>
        <v>71262.17128058261</v>
      </c>
      <c r="J26" s="14">
        <f t="array" ref="J26">INDEX($E$51:$O$479,MATCH(J$24&amp;$B$22,$B$51:$B$479&amp;$C$51:$C$479,0),MATCH($A26,$E$50:$O$50,0))</f>
        <v>71262.17128058261</v>
      </c>
      <c r="K26" s="14" t="e">
        <f t="array" ref="K26">INDEX($E$51:$O$479,MATCH(K$24&amp;$B$22,$B$51:$B$479&amp;$C$51:$C$479,0),MATCH($A26,$E$50:$O$50,0))</f>
        <v>#N/A</v>
      </c>
      <c r="L26" s="14" t="e">
        <f t="array" ref="L26">INDEX($E$51:$O$479,MATCH(L$24&amp;$B$22,$B$51:$B$479&amp;$C$51:$C$479,0),MATCH($A26,$E$50:$O$50,0))</f>
        <v>#N/A</v>
      </c>
      <c r="M26" s="14" t="e">
        <f t="array" ref="M26">INDEX($E$51:$O$479,MATCH(M$24&amp;$B$22,$B$51:$B$479&amp;$C$51:$C$479,0),MATCH($A26,$E$50:$O$50,0))</f>
        <v>#N/A</v>
      </c>
    </row>
    <row r="27" spans="1:13" x14ac:dyDescent="0.3">
      <c r="A27" s="3">
        <v>2030</v>
      </c>
      <c r="B27" s="14">
        <f t="array" ref="B27">INDEX($E$51:$O$479,MATCH(B$24&amp;$B$22,$B$51:$B$479&amp;$C$51:$C$479,0),MATCH($A27,$E$50:$O$50,0))</f>
        <v>79622.936931933436</v>
      </c>
      <c r="C27" s="14">
        <f t="array" ref="C27">INDEX($E$51:$O$479,MATCH(C$24&amp;$B$22,$B$51:$B$479&amp;$C$51:$C$479,0),MATCH($A27,$E$50:$O$50,0))</f>
        <v>84942.475119495168</v>
      </c>
      <c r="D27" s="14">
        <f t="array" ref="D27">INDEX($E$51:$O$479,MATCH(D$24&amp;$B$22,$B$51:$B$479&amp;$C$51:$C$479,0),MATCH($A27,$E$50:$O$50,0))</f>
        <v>95987.494917697361</v>
      </c>
      <c r="E27" s="14">
        <f t="array" ref="E27">INDEX($E$51:$O$479,MATCH(E$24&amp;$B$22,$B$51:$B$479&amp;$C$51:$C$479,0),MATCH($A27,$E$50:$O$50,0))</f>
        <v>104851.12155290123</v>
      </c>
      <c r="F27" s="14">
        <f t="array" ref="F27">INDEX($E$51:$O$479,MATCH(F$24&amp;$B$22,$B$51:$B$479&amp;$C$51:$C$479,0),MATCH($A27,$E$50:$O$50,0))</f>
        <v>95987.494917697361</v>
      </c>
      <c r="G27" s="14">
        <f t="array" ref="G27">INDEX($E$51:$O$479,MATCH(G$24&amp;$B$22,$B$51:$B$479&amp;$C$51:$C$479,0),MATCH($A27,$E$50:$O$50,0))</f>
        <v>132295.15355481085</v>
      </c>
      <c r="H27" s="14">
        <f t="array" ref="H27">INDEX($E$51:$O$479,MATCH(H$24&amp;$B$22,$B$51:$B$479&amp;$C$51:$C$479,0),MATCH($A27,$E$50:$O$50,0))</f>
        <v>95987.494917697361</v>
      </c>
      <c r="I27" s="14">
        <f t="array" ref="I27">INDEX($E$51:$O$479,MATCH(I$24&amp;$B$22,$B$51:$B$479&amp;$C$51:$C$479,0),MATCH($A27,$E$50:$O$50,0))</f>
        <v>110645.3805670461</v>
      </c>
      <c r="J27" s="14">
        <f t="array" ref="J27">INDEX($E$51:$O$479,MATCH(J$24&amp;$B$22,$B$51:$B$479&amp;$C$51:$C$479,0),MATCH($A27,$E$50:$O$50,0))</f>
        <v>95987.494917697361</v>
      </c>
      <c r="K27" s="14" t="e">
        <f t="array" ref="K27">INDEX($E$51:$O$479,MATCH(K$24&amp;$B$22,$B$51:$B$479&amp;$C$51:$C$479,0),MATCH($A27,$E$50:$O$50,0))</f>
        <v>#N/A</v>
      </c>
      <c r="L27" s="14" t="e">
        <f t="array" ref="L27">INDEX($E$51:$O$479,MATCH(L$24&amp;$B$22,$B$51:$B$479&amp;$C$51:$C$479,0),MATCH($A27,$E$50:$O$50,0))</f>
        <v>#N/A</v>
      </c>
      <c r="M27" s="14" t="e">
        <f t="array" ref="M27">INDEX($E$51:$O$479,MATCH(M$24&amp;$B$22,$B$51:$B$479&amp;$C$51:$C$479,0),MATCH($A27,$E$50:$O$50,0))</f>
        <v>#N/A</v>
      </c>
    </row>
    <row r="28" spans="1:13" x14ac:dyDescent="0.3">
      <c r="A28" s="3">
        <v>2040</v>
      </c>
      <c r="B28" s="14">
        <f t="array" ref="B28">INDEX($E$51:$O$479,MATCH(B$24&amp;$B$22,$B$51:$B$479&amp;$C$51:$C$479,0),MATCH($A28,$E$50:$O$50,0))</f>
        <v>89214.040433120303</v>
      </c>
      <c r="C28" s="14">
        <f t="array" ref="C28">INDEX($E$51:$O$479,MATCH(C$24&amp;$B$22,$B$51:$B$479&amp;$C$51:$C$479,0),MATCH($A28,$E$50:$O$50,0))</f>
        <v>90778.716356166202</v>
      </c>
      <c r="D28" s="14">
        <f t="array" ref="D28">INDEX($E$51:$O$479,MATCH(D$24&amp;$B$22,$B$51:$B$479&amp;$C$51:$C$479,0),MATCH($A28,$E$50:$O$50,0))</f>
        <v>102685.11132708182</v>
      </c>
      <c r="E28" s="14">
        <f t="array" ref="E28">INDEX($E$51:$O$479,MATCH(E$24&amp;$B$22,$B$51:$B$479&amp;$C$51:$C$479,0),MATCH($A28,$E$50:$O$50,0))</f>
        <v>120492.83509216137</v>
      </c>
      <c r="F28" s="14">
        <f t="array" ref="F28">INDEX($E$51:$O$479,MATCH(F$24&amp;$B$22,$B$51:$B$479&amp;$C$51:$C$479,0),MATCH($A28,$E$50:$O$50,0))</f>
        <v>122058.65655904301</v>
      </c>
      <c r="G28" s="14">
        <f t="array" ref="G28">INDEX($E$51:$O$479,MATCH(G$24&amp;$B$22,$B$51:$B$479&amp;$C$51:$C$479,0),MATCH($A28,$E$50:$O$50,0))</f>
        <v>173006.81197681732</v>
      </c>
      <c r="H28" s="14">
        <f t="array" ref="H28">INDEX($E$51:$O$479,MATCH(H$24&amp;$B$22,$B$51:$B$479&amp;$C$51:$C$479,0),MATCH($A28,$E$50:$O$50,0))</f>
        <v>171100.54581435845</v>
      </c>
      <c r="I28" s="14">
        <f t="array" ref="I28">INDEX($E$51:$O$479,MATCH(I$24&amp;$B$22,$B$51:$B$479&amp;$C$51:$C$479,0),MATCH($A28,$E$50:$O$50,0))</f>
        <v>133407.51346828416</v>
      </c>
      <c r="J28" s="14">
        <f t="array" ref="J28">INDEX($E$51:$O$479,MATCH(J$24&amp;$B$22,$B$51:$B$479&amp;$C$51:$C$479,0),MATCH($A28,$E$50:$O$50,0))</f>
        <v>134167.96076140917</v>
      </c>
      <c r="K28" s="14" t="e">
        <f t="array" ref="K28">INDEX($E$51:$O$479,MATCH(K$24&amp;$B$22,$B$51:$B$479&amp;$C$51:$C$479,0),MATCH($A28,$E$50:$O$50,0))</f>
        <v>#N/A</v>
      </c>
      <c r="L28" s="14" t="e">
        <f t="array" ref="L28">INDEX($E$51:$O$479,MATCH(L$24&amp;$B$22,$B$51:$B$479&amp;$C$51:$C$479,0),MATCH($A28,$E$50:$O$50,0))</f>
        <v>#N/A</v>
      </c>
      <c r="M28" s="14" t="e">
        <f t="array" ref="M28">INDEX($E$51:$O$479,MATCH(M$24&amp;$B$22,$B$51:$B$479&amp;$C$51:$C$479,0),MATCH($A28,$E$50:$O$50,0))</f>
        <v>#N/A</v>
      </c>
    </row>
    <row r="29" spans="1:13" x14ac:dyDescent="0.3">
      <c r="A29" s="3">
        <v>2050</v>
      </c>
      <c r="B29" s="14">
        <f t="array" ref="B29">INDEX($E$51:$O$479,MATCH(B$24&amp;$B$22,$B$51:$B$479&amp;$C$51:$C$479,0),MATCH($A29,$E$50:$O$50,0))</f>
        <v>109852.07655804059</v>
      </c>
      <c r="C29" s="14">
        <f t="array" ref="C29">INDEX($E$51:$O$479,MATCH(C$24&amp;$B$22,$B$51:$B$479&amp;$C$51:$C$479,0),MATCH($A29,$E$50:$O$50,0))</f>
        <v>110376.87895889895</v>
      </c>
      <c r="D29" s="14">
        <f t="array" ref="D29">INDEX($E$51:$O$479,MATCH(D$24&amp;$B$22,$B$51:$B$479&amp;$C$51:$C$479,0),MATCH($A29,$E$50:$O$50,0))</f>
        <v>121311.48930648089</v>
      </c>
      <c r="E29" s="14">
        <f t="array" ref="E29">INDEX($E$51:$O$479,MATCH(E$24&amp;$B$22,$B$51:$B$479&amp;$C$51:$C$479,0),MATCH($A29,$E$50:$O$50,0))</f>
        <v>149365.82653458969</v>
      </c>
      <c r="F29" s="14">
        <f t="array" ref="F29">INDEX($E$51:$O$479,MATCH(F$24&amp;$B$22,$B$51:$B$479&amp;$C$51:$C$479,0),MATCH($A29,$E$50:$O$50,0))</f>
        <v>151972.27198691817</v>
      </c>
      <c r="G29" s="14">
        <f t="array" ref="G29">INDEX($E$51:$O$479,MATCH(G$24&amp;$B$22,$B$51:$B$479&amp;$C$51:$C$479,0),MATCH($A29,$E$50:$O$50,0))</f>
        <v>186916.97886996056</v>
      </c>
      <c r="H29" s="14">
        <f t="array" ref="H29">INDEX($E$51:$O$479,MATCH(H$24&amp;$B$22,$B$51:$B$479&amp;$C$51:$C$479,0),MATCH($A29,$E$50:$O$50,0))</f>
        <v>187545.43321462203</v>
      </c>
      <c r="I29" s="14">
        <f t="array" ref="I29">INDEX($E$51:$O$479,MATCH(I$24&amp;$B$22,$B$51:$B$479&amp;$C$51:$C$479,0),MATCH($A29,$E$50:$O$50,0))</f>
        <v>168023.66238076251</v>
      </c>
      <c r="J29" s="14">
        <f t="array" ref="J29">INDEX($E$51:$O$479,MATCH(J$24&amp;$B$22,$B$51:$B$479&amp;$C$51:$C$479,0),MATCH($A29,$E$50:$O$50,0))</f>
        <v>169759.94537136634</v>
      </c>
      <c r="K29" s="14" t="e">
        <f t="array" ref="K29">INDEX($E$51:$O$479,MATCH(K$24&amp;$B$22,$B$51:$B$479&amp;$C$51:$C$479,0),MATCH($A29,$E$50:$O$50,0))</f>
        <v>#N/A</v>
      </c>
      <c r="L29" s="14" t="e">
        <f t="array" ref="L29">INDEX($E$51:$O$479,MATCH(L$24&amp;$B$22,$B$51:$B$479&amp;$C$51:$C$479,0),MATCH($A29,$E$50:$O$50,0))</f>
        <v>#N/A</v>
      </c>
      <c r="M29" s="14" t="e">
        <f t="array" ref="M29">INDEX($E$51:$O$479,MATCH(M$24&amp;$B$22,$B$51:$B$479&amp;$C$51:$C$479,0),MATCH($A29,$E$50:$O$50,0))</f>
        <v>#N/A</v>
      </c>
    </row>
    <row r="30" spans="1:13" x14ac:dyDescent="0.3">
      <c r="A30" s="3">
        <v>2060</v>
      </c>
      <c r="B30" s="14">
        <f t="array" ref="B30">INDEX($E$51:$O$479,MATCH(B$24&amp;$B$22,$B$51:$B$479&amp;$C$51:$C$479,0),MATCH($A30,$E$50:$O$50,0))</f>
        <v>112780.83204181393</v>
      </c>
      <c r="C30" s="14">
        <f t="array" ref="C30">INDEX($E$51:$O$479,MATCH(C$24&amp;$B$22,$B$51:$B$479&amp;$C$51:$C$479,0),MATCH($A30,$E$50:$O$50,0))</f>
        <v>112348.99280474256</v>
      </c>
      <c r="D30" s="14">
        <f t="array" ref="D30">INDEX($E$51:$O$479,MATCH(D$24&amp;$B$22,$B$51:$B$479&amp;$C$51:$C$479,0),MATCH($A30,$E$50:$O$50,0))</f>
        <v>130455.44392015801</v>
      </c>
      <c r="E30" s="14">
        <f t="array" ref="E30">INDEX($E$51:$O$479,MATCH(E$24&amp;$B$22,$B$51:$B$479&amp;$C$51:$C$479,0),MATCH($A30,$E$50:$O$50,0))</f>
        <v>176281.70082362634</v>
      </c>
      <c r="F30" s="14">
        <f t="array" ref="F30">INDEX($E$51:$O$479,MATCH(F$24&amp;$B$22,$B$51:$B$479&amp;$C$51:$C$479,0),MATCH($A30,$E$50:$O$50,0))</f>
        <v>168669.73704658079</v>
      </c>
      <c r="G30" s="14">
        <f t="array" ref="G30">INDEX($E$51:$O$479,MATCH(G$24&amp;$B$22,$B$51:$B$479&amp;$C$51:$C$479,0),MATCH($A30,$E$50:$O$50,0))</f>
        <v>243313.36884020042</v>
      </c>
      <c r="H30" s="14">
        <f t="array" ref="H30">INDEX($E$51:$O$479,MATCH(H$24&amp;$B$22,$B$51:$B$479&amp;$C$51:$C$479,0),MATCH($A30,$E$50:$O$50,0))</f>
        <v>260421.34016571462</v>
      </c>
      <c r="I30" s="14">
        <f t="array" ref="I30">INDEX($E$51:$O$479,MATCH(I$24&amp;$B$22,$B$51:$B$479&amp;$C$51:$C$479,0),MATCH($A30,$E$50:$O$50,0))</f>
        <v>209867.56368519165</v>
      </c>
      <c r="J30" s="14">
        <f t="array" ref="J30">INDEX($E$51:$O$479,MATCH(J$24&amp;$B$22,$B$51:$B$479&amp;$C$51:$C$479,0),MATCH($A30,$E$50:$O$50,0))</f>
        <v>238001.61610260615</v>
      </c>
      <c r="K30" s="14" t="e">
        <f t="array" ref="K30">INDEX($E$51:$O$479,MATCH(K$24&amp;$B$22,$B$51:$B$479&amp;$C$51:$C$479,0),MATCH($A30,$E$50:$O$50,0))</f>
        <v>#N/A</v>
      </c>
      <c r="L30" s="14" t="e">
        <f t="array" ref="L30">INDEX($E$51:$O$479,MATCH(L$24&amp;$B$22,$B$51:$B$479&amp;$C$51:$C$479,0),MATCH($A30,$E$50:$O$50,0))</f>
        <v>#N/A</v>
      </c>
      <c r="M30" s="14" t="e">
        <f t="array" ref="M30">INDEX($E$51:$O$479,MATCH(M$24&amp;$B$22,$B$51:$B$479&amp;$C$51:$C$479,0),MATCH($A30,$E$50:$O$50,0))</f>
        <v>#N/A</v>
      </c>
    </row>
    <row r="31" spans="1:13" x14ac:dyDescent="0.3">
      <c r="A31" s="3">
        <v>2070</v>
      </c>
      <c r="B31" s="14">
        <f t="array" ref="B31">INDEX($E$51:$O$479,MATCH(B$24&amp;$B$22,$B$51:$B$479&amp;$C$51:$C$479,0),MATCH($A31,$E$50:$O$50,0))</f>
        <v>124225.43057164874</v>
      </c>
      <c r="C31" s="14">
        <f t="array" ref="C31">INDEX($E$51:$O$479,MATCH(C$24&amp;$B$22,$B$51:$B$479&amp;$C$51:$C$479,0),MATCH($A31,$E$50:$O$50,0))</f>
        <v>124551.89561389911</v>
      </c>
      <c r="D31" s="14">
        <f t="array" ref="D31">INDEX($E$51:$O$479,MATCH(D$24&amp;$B$22,$B$51:$B$479&amp;$C$51:$C$479,0),MATCH($A31,$E$50:$O$50,0))</f>
        <v>130342.05358196449</v>
      </c>
      <c r="E31" s="14">
        <f t="array" ref="E31">INDEX($E$51:$O$479,MATCH(E$24&amp;$B$22,$B$51:$B$479&amp;$C$51:$C$479,0),MATCH($A31,$E$50:$O$50,0))</f>
        <v>229824.54927759647</v>
      </c>
      <c r="F31" s="14">
        <f t="array" ref="F31">INDEX($E$51:$O$479,MATCH(F$24&amp;$B$22,$B$51:$B$479&amp;$C$51:$C$479,0),MATCH($A31,$E$50:$O$50,0))</f>
        <v>222171.01369535629</v>
      </c>
      <c r="G31" s="14">
        <f t="array" ref="G31">INDEX($E$51:$O$479,MATCH(G$24&amp;$B$22,$B$51:$B$479&amp;$C$51:$C$479,0),MATCH($A31,$E$50:$O$50,0))</f>
        <v>255115.74823382456</v>
      </c>
      <c r="H31" s="14">
        <f t="array" ref="H31">INDEX($E$51:$O$479,MATCH(H$24&amp;$B$22,$B$51:$B$479&amp;$C$51:$C$479,0),MATCH($A31,$E$50:$O$50,0))</f>
        <v>200830.00853338459</v>
      </c>
      <c r="I31" s="14">
        <f t="array" ref="I31">INDEX($E$51:$O$479,MATCH(I$24&amp;$B$22,$B$51:$B$479&amp;$C$51:$C$479,0),MATCH($A31,$E$50:$O$50,0))</f>
        <v>261521.91651993027</v>
      </c>
      <c r="J31" s="14">
        <f t="array" ref="J31">INDEX($E$51:$O$479,MATCH(J$24&amp;$B$22,$B$51:$B$479&amp;$C$51:$C$479,0),MATCH($A31,$E$50:$O$50,0))</f>
        <v>262704.63126014278</v>
      </c>
      <c r="K31" s="14" t="e">
        <f t="array" ref="K31">INDEX($E$51:$O$479,MATCH(K$24&amp;$B$22,$B$51:$B$479&amp;$C$51:$C$479,0),MATCH($A31,$E$50:$O$50,0))</f>
        <v>#N/A</v>
      </c>
      <c r="L31" s="14" t="e">
        <f t="array" ref="L31">INDEX($E$51:$O$479,MATCH(L$24&amp;$B$22,$B$51:$B$479&amp;$C$51:$C$479,0),MATCH($A31,$E$50:$O$50,0))</f>
        <v>#N/A</v>
      </c>
      <c r="M31" s="14" t="e">
        <f t="array" ref="M31">INDEX($E$51:$O$479,MATCH(M$24&amp;$B$22,$B$51:$B$479&amp;$C$51:$C$479,0),MATCH($A31,$E$50:$O$50,0))</f>
        <v>#N/A</v>
      </c>
    </row>
    <row r="32" spans="1:13" x14ac:dyDescent="0.3">
      <c r="A32" s="3">
        <v>2080</v>
      </c>
      <c r="B32" s="14">
        <f t="array" ref="B32">INDEX($E$51:$O$479,MATCH(B$24&amp;$B$22,$B$51:$B$479&amp;$C$51:$C$479,0),MATCH($A32,$E$50:$O$50,0))</f>
        <v>132254.5714627819</v>
      </c>
      <c r="C32" s="14">
        <f t="array" ref="C32">INDEX($E$51:$O$479,MATCH(C$24&amp;$B$22,$B$51:$B$479&amp;$C$51:$C$479,0),MATCH($A32,$E$50:$O$50,0))</f>
        <v>132678.34668629614</v>
      </c>
      <c r="D32" s="14">
        <f t="array" ref="D32">INDEX($E$51:$O$479,MATCH(D$24&amp;$B$22,$B$51:$B$479&amp;$C$51:$C$479,0),MATCH($A32,$E$50:$O$50,0))</f>
        <v>135050.53628078208</v>
      </c>
      <c r="E32" s="14">
        <f t="array" ref="E32">INDEX($E$51:$O$479,MATCH(E$24&amp;$B$22,$B$51:$B$479&amp;$C$51:$C$479,0),MATCH($A32,$E$50:$O$50,0))</f>
        <v>273487.76998288673</v>
      </c>
      <c r="F32" s="14">
        <f t="array" ref="F32">INDEX($E$51:$O$479,MATCH(F$24&amp;$B$22,$B$51:$B$479&amp;$C$51:$C$479,0),MATCH($A32,$E$50:$O$50,0))</f>
        <v>276672.52063417155</v>
      </c>
      <c r="G32" s="14">
        <f t="array" ref="G32">INDEX($E$51:$O$479,MATCH(G$24&amp;$B$22,$B$51:$B$479&amp;$C$51:$C$479,0),MATCH($A32,$E$50:$O$50,0))</f>
        <v>282711.74847277306</v>
      </c>
      <c r="H32" s="14">
        <f t="array" ref="H32">INDEX($E$51:$O$479,MATCH(H$24&amp;$B$22,$B$51:$B$479&amp;$C$51:$C$479,0),MATCH($A32,$E$50:$O$50,0))</f>
        <v>228704.47501112978</v>
      </c>
      <c r="I32" s="14">
        <f t="array" ref="I32">INDEX($E$51:$O$479,MATCH(I$24&amp;$B$22,$B$51:$B$479&amp;$C$51:$C$479,0),MATCH($A32,$E$50:$O$50,0))</f>
        <v>294154.62901156134</v>
      </c>
      <c r="J32" s="14">
        <f t="array" ref="J32">INDEX($E$51:$O$479,MATCH(J$24&amp;$B$22,$B$51:$B$479&amp;$C$51:$C$479,0),MATCH($A32,$E$50:$O$50,0))</f>
        <v>291904.65682121803</v>
      </c>
      <c r="K32" s="14" t="e">
        <f t="array" ref="K32">INDEX($E$51:$O$479,MATCH(K$24&amp;$B$22,$B$51:$B$479&amp;$C$51:$C$479,0),MATCH($A32,$E$50:$O$50,0))</f>
        <v>#N/A</v>
      </c>
      <c r="L32" s="14" t="e">
        <f t="array" ref="L32">INDEX($E$51:$O$479,MATCH(L$24&amp;$B$22,$B$51:$B$479&amp;$C$51:$C$479,0),MATCH($A32,$E$50:$O$50,0))</f>
        <v>#N/A</v>
      </c>
      <c r="M32" s="14" t="e">
        <f t="array" ref="M32">INDEX($E$51:$O$479,MATCH(M$24&amp;$B$22,$B$51:$B$479&amp;$C$51:$C$479,0),MATCH($A32,$E$50:$O$50,0))</f>
        <v>#N/A</v>
      </c>
    </row>
    <row r="33" spans="1:26" x14ac:dyDescent="0.3">
      <c r="A33" s="3">
        <v>2090</v>
      </c>
      <c r="B33" s="14">
        <f t="array" ref="B33">INDEX($E$51:$O$479,MATCH(B$24&amp;$B$22,$B$51:$B$479&amp;$C$51:$C$479,0),MATCH($A33,$E$50:$O$50,0))</f>
        <v>144136.4507175145</v>
      </c>
      <c r="C33" s="14">
        <f t="array" ref="C33">INDEX($E$51:$O$479,MATCH(C$24&amp;$B$22,$B$51:$B$479&amp;$C$51:$C$479,0),MATCH($A33,$E$50:$O$50,0))</f>
        <v>144689.55539988776</v>
      </c>
      <c r="D33" s="14">
        <f t="array" ref="D33">INDEX($E$51:$O$479,MATCH(D$24&amp;$B$22,$B$51:$B$479&amp;$C$51:$C$479,0),MATCH($A33,$E$50:$O$50,0))</f>
        <v>144646.663967876</v>
      </c>
      <c r="E33" s="14">
        <f t="array" ref="E33">INDEX($E$51:$O$479,MATCH(E$24&amp;$B$22,$B$51:$B$479&amp;$C$51:$C$479,0),MATCH($A33,$E$50:$O$50,0))</f>
        <v>308249.14727407543</v>
      </c>
      <c r="F33" s="14">
        <f t="array" ref="F33">INDEX($E$51:$O$479,MATCH(F$24&amp;$B$22,$B$51:$B$479&amp;$C$51:$C$479,0),MATCH($A33,$E$50:$O$50,0))</f>
        <v>308950.82914477162</v>
      </c>
      <c r="G33" s="14">
        <f t="array" ref="G33">INDEX($E$51:$O$479,MATCH(G$24&amp;$B$22,$B$51:$B$479&amp;$C$51:$C$479,0),MATCH($A33,$E$50:$O$50,0))</f>
        <v>311048.84784091491</v>
      </c>
      <c r="H33" s="14">
        <f t="array" ref="H33">INDEX($E$51:$O$479,MATCH(H$24&amp;$B$22,$B$51:$B$479&amp;$C$51:$C$479,0),MATCH($A33,$E$50:$O$50,0))</f>
        <v>250180.76031660932</v>
      </c>
      <c r="I33" s="14">
        <f t="array" ref="I33">INDEX($E$51:$O$479,MATCH(I$24&amp;$B$22,$B$51:$B$479&amp;$C$51:$C$479,0),MATCH($A33,$E$50:$O$50,0))</f>
        <v>310994.24100277427</v>
      </c>
      <c r="J33" s="14">
        <f t="array" ref="J33">INDEX($E$51:$O$479,MATCH(J$24&amp;$B$22,$B$51:$B$479&amp;$C$51:$C$479,0),MATCH($A33,$E$50:$O$50,0))</f>
        <v>310987.43618390593</v>
      </c>
      <c r="K33" s="14" t="e">
        <f t="array" ref="K33">INDEX($E$51:$O$479,MATCH(K$24&amp;$B$22,$B$51:$B$479&amp;$C$51:$C$479,0),MATCH($A33,$E$50:$O$50,0))</f>
        <v>#N/A</v>
      </c>
      <c r="L33" s="14" t="e">
        <f t="array" ref="L33">INDEX($E$51:$O$479,MATCH(L$24&amp;$B$22,$B$51:$B$479&amp;$C$51:$C$479,0),MATCH($A33,$E$50:$O$50,0))</f>
        <v>#N/A</v>
      </c>
      <c r="M33" s="14" t="e">
        <f t="array" ref="M33">INDEX($E$51:$O$479,MATCH(M$24&amp;$B$22,$B$51:$B$479&amp;$C$51:$C$479,0),MATCH($A33,$E$50:$O$50,0))</f>
        <v>#N/A</v>
      </c>
    </row>
    <row r="34" spans="1:26" x14ac:dyDescent="0.3">
      <c r="A34" s="3">
        <v>2100</v>
      </c>
      <c r="B34" s="14">
        <f t="array" ref="B34">INDEX($E$51:$O$479,MATCH(B$24&amp;$B$22,$B$51:$B$479&amp;$C$51:$C$479,0),MATCH($A34,$E$50:$O$50,0))</f>
        <v>161039.19993806983</v>
      </c>
      <c r="C34" s="14">
        <f t="array" ref="C34">INDEX($E$51:$O$479,MATCH(C$24&amp;$B$22,$B$51:$B$479&amp;$C$51:$C$479,0),MATCH($A34,$E$50:$O$50,0))</f>
        <v>161325.31784008307</v>
      </c>
      <c r="D34" s="14">
        <f t="array" ref="D34">INDEX($E$51:$O$479,MATCH(D$24&amp;$B$22,$B$51:$B$479&amp;$C$51:$C$479,0),MATCH($A34,$E$50:$O$50,0))</f>
        <v>161607.79894541533</v>
      </c>
      <c r="E34" s="14">
        <f t="array" ref="E34">INDEX($E$51:$O$479,MATCH(E$24&amp;$B$22,$B$51:$B$479&amp;$C$51:$C$479,0),MATCH($A34,$E$50:$O$50,0))</f>
        <v>327801.82519987621</v>
      </c>
      <c r="F34" s="14">
        <f t="array" ref="F34">INDEX($E$51:$O$479,MATCH(F$24&amp;$B$22,$B$51:$B$479&amp;$C$51:$C$479,0),MATCH($A34,$E$50:$O$50,0))</f>
        <v>327787.549610482</v>
      </c>
      <c r="G34" s="14">
        <f t="array" ref="G34">INDEX($E$51:$O$479,MATCH(G$24&amp;$B$22,$B$51:$B$479&amp;$C$51:$C$479,0),MATCH($A34,$E$50:$O$50,0))</f>
        <v>327800.00930137892</v>
      </c>
      <c r="H34" s="14">
        <f t="array" ref="H34">INDEX($E$51:$O$479,MATCH(H$24&amp;$B$22,$B$51:$B$479&amp;$C$51:$C$479,0),MATCH($A34,$E$50:$O$50,0))</f>
        <v>313616.85939409141</v>
      </c>
      <c r="I34" s="14">
        <f t="array" ref="I34">INDEX($E$51:$O$479,MATCH(I$24&amp;$B$22,$B$51:$B$479&amp;$C$51:$C$479,0),MATCH($A34,$E$50:$O$50,0))</f>
        <v>327798.67336022074</v>
      </c>
      <c r="J34" s="14">
        <f t="array" ref="J34">INDEX($E$51:$O$479,MATCH(J$24&amp;$B$22,$B$51:$B$479&amp;$C$51:$C$479,0),MATCH($A34,$E$50:$O$50,0))</f>
        <v>327769.11716496316</v>
      </c>
      <c r="K34" s="14" t="e">
        <f t="array" ref="K34">INDEX($E$51:$O$479,MATCH(K$24&amp;$B$22,$B$51:$B$479&amp;$C$51:$C$479,0),MATCH($A34,$E$50:$O$50,0))</f>
        <v>#N/A</v>
      </c>
      <c r="L34" s="14" t="e">
        <f t="array" ref="L34">INDEX($E$51:$O$479,MATCH(L$24&amp;$B$22,$B$51:$B$479&amp;$C$51:$C$479,0),MATCH($A34,$E$50:$O$50,0))</f>
        <v>#N/A</v>
      </c>
      <c r="M34" s="14" t="e">
        <f t="array" ref="M34">INDEX($E$51:$O$479,MATCH(M$24&amp;$B$22,$B$51:$B$479&amp;$C$51:$C$479,0),MATCH($A34,$E$50:$O$50,0))</f>
        <v>#N/A</v>
      </c>
    </row>
    <row r="35" spans="1:26" x14ac:dyDescent="0.3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252</v>
      </c>
      <c r="B38" s="3" t="str">
        <f t="shared" ref="B38" si="2">IF(ISBLANK(B20),"",B20)</f>
        <v>Vivid_0A</v>
      </c>
      <c r="C38" s="3" t="str">
        <f t="shared" ref="C38:N38" si="3">IF(ISBLANK(B20),"",B20)</f>
        <v>Vivid_0A</v>
      </c>
      <c r="D38" s="3" t="str">
        <f t="shared" si="3"/>
        <v>Vivid_0A_BAU</v>
      </c>
      <c r="E38" s="3" t="str">
        <f t="shared" si="3"/>
        <v>Vivid_0B</v>
      </c>
      <c r="F38" s="3" t="str">
        <f t="shared" si="3"/>
        <v>Vivid_1</v>
      </c>
      <c r="G38" s="3" t="str">
        <f t="shared" si="3"/>
        <v>Vivid_2</v>
      </c>
      <c r="H38" s="3" t="str">
        <f t="shared" si="3"/>
        <v>Vivid_13</v>
      </c>
      <c r="I38" s="3" t="str">
        <f t="shared" si="3"/>
        <v>Vivid_14</v>
      </c>
      <c r="J38" s="3" t="str">
        <f t="shared" si="3"/>
        <v>Vivid_25</v>
      </c>
      <c r="K38" s="3" t="str">
        <f t="shared" si="3"/>
        <v>Vivid_26</v>
      </c>
      <c r="L38" s="3" t="str">
        <f t="shared" si="3"/>
        <v/>
      </c>
      <c r="M38" s="3" t="str">
        <f t="shared" si="3"/>
        <v/>
      </c>
      <c r="N38" s="3" t="str">
        <f t="shared" si="3"/>
        <v/>
      </c>
      <c r="O38" s="3" t="str">
        <f t="shared" ref="O38:Z38" si="4">IF(ISBLANK(B20),"",B20)</f>
        <v>Vivid_0A</v>
      </c>
      <c r="P38" s="3" t="str">
        <f t="shared" si="4"/>
        <v>Vivid_0A_BAU</v>
      </c>
      <c r="Q38" s="3" t="str">
        <f t="shared" si="4"/>
        <v>Vivid_0B</v>
      </c>
      <c r="R38" s="3" t="str">
        <f t="shared" si="4"/>
        <v>Vivid_1</v>
      </c>
      <c r="S38" s="3" t="str">
        <f t="shared" si="4"/>
        <v>Vivid_2</v>
      </c>
      <c r="T38" s="3" t="str">
        <f t="shared" si="4"/>
        <v>Vivid_13</v>
      </c>
      <c r="U38" s="3" t="str">
        <f t="shared" si="4"/>
        <v>Vivid_14</v>
      </c>
      <c r="V38" s="3" t="str">
        <f t="shared" si="4"/>
        <v>Vivid_25</v>
      </c>
      <c r="W38" s="3" t="str">
        <f t="shared" si="4"/>
        <v>Vivid_26</v>
      </c>
      <c r="X38" s="3" t="str">
        <f t="shared" si="4"/>
        <v/>
      </c>
      <c r="Y38" s="3" t="str">
        <f t="shared" si="4"/>
        <v/>
      </c>
      <c r="Z38" s="3" t="str">
        <f t="shared" si="4"/>
        <v/>
      </c>
    </row>
    <row r="39" spans="1:26" x14ac:dyDescent="0.3">
      <c r="A39" s="3" t="s">
        <v>253</v>
      </c>
      <c r="B39" s="14">
        <f t="array" ref="B39">IF(B$38="",NA(),SUM(IF(($B$51:$B$479=B$38)*($D$51:$D$479=$A39)*($E$50:$O$50=B$36),$E$51:$O$479)))</f>
        <v>54246.265938380871</v>
      </c>
      <c r="C39" s="14">
        <f t="array" ref="C39">IF(C$38="",NA(),SUM(IF(($B$51:$B$479=C$38)*($D$51:$D$479=$A39)*($E$50:$O$50=C$36),$E$51:$O$479)))</f>
        <v>79622.936931933436</v>
      </c>
      <c r="D39" s="14">
        <f t="array" ref="D39">IF(D$38="",NA(),SUM(IF(($B$51:$B$479=D$38)*($D$51:$D$479=$A39)*($E$50:$O$50=D$36),$E$51:$O$479)))</f>
        <v>84942.475119495168</v>
      </c>
      <c r="E39" s="14">
        <f t="array" ref="E39">IF(E$38="",NA(),SUM(IF(($B$51:$B$479=E$38)*($D$51:$D$479=$A39)*($E$50:$O$50=E$36),$E$51:$O$479)))</f>
        <v>95987.494917697361</v>
      </c>
      <c r="F39" s="14">
        <f t="array" ref="F39">IF(F$38="",NA(),SUM(IF(($B$51:$B$479=F$38)*($D$51:$D$479=$A39)*($E$50:$O$50=F$36),$E$51:$O$479)))</f>
        <v>104851.12155290123</v>
      </c>
      <c r="G39" s="14">
        <f t="array" ref="G39">IF(G$38="",NA(),SUM(IF(($B$51:$B$479=G$38)*($D$51:$D$479=$A39)*($E$50:$O$50=G$36),$E$51:$O$479)))</f>
        <v>95987.494917697361</v>
      </c>
      <c r="H39" s="14">
        <f t="array" ref="H39">IF(H$38="",NA(),SUM(IF(($B$51:$B$479=H$38)*($D$51:$D$479=$A39)*($E$50:$O$50=H$36),$E$51:$O$479)))</f>
        <v>132295.15355481085</v>
      </c>
      <c r="I39" s="14">
        <f t="array" ref="I39">IF(I$38="",NA(),SUM(IF(($B$51:$B$479=I$38)*($D$51:$D$479=$A39)*($E$50:$O$50=I$36),$E$51:$O$479)))</f>
        <v>95987.494917697361</v>
      </c>
      <c r="J39" s="14">
        <f t="array" ref="J39">IF(J$38="",NA(),SUM(IF(($B$51:$B$479=J$38)*($D$51:$D$479=$A39)*($E$50:$O$50=J$36),$E$51:$O$479)))</f>
        <v>110645.3805670461</v>
      </c>
      <c r="K39" s="14">
        <f t="array" ref="K39">IF(K$38="",NA(),SUM(IF(($B$51:$B$479=K$38)*($D$51:$D$479=$A39)*($E$50:$O$50=K$36),$E$51:$O$479)))</f>
        <v>95987.494917697361</v>
      </c>
      <c r="L39" s="14" t="e">
        <f t="array" ref="L39">IF(L$38="",NA(),SUM(IF(($B$51:$B$479=L$38)*($D$51:$D$479=$A39)*($E$50:$O$50=L$36),$E$51:$O$479)))</f>
        <v>#N/A</v>
      </c>
      <c r="M39" s="14" t="e">
        <f t="array" ref="M39">IF(M$38="",NA(),SUM(IF(($B$51:$B$479=M$38)*($D$51:$D$479=$A39)*($E$50:$O$50=M$36),$E$51:$O$479)))</f>
        <v>#N/A</v>
      </c>
      <c r="N39" s="14" t="e">
        <f t="array" ref="N39">IF(N$38="",NA(),SUM(IF(($B$51:$B$479=N$38)*($D$51:$D$479=$A39)*($E$50:$O$50=N$36),$E$51:$O$479)))</f>
        <v>#N/A</v>
      </c>
      <c r="O39" s="14">
        <f t="array" ref="O39">IF(O$38="",NA(),SUM(IF(($B$51:$B$479=O$38)*($D$51:$D$479=$A39)*($E$50:$O$50=O$36),$E$51:$O$479)))</f>
        <v>109852.07655804059</v>
      </c>
      <c r="P39" s="14">
        <f t="array" ref="P39">IF(P$38="",NA(),SUM(IF(($B$51:$B$479=P$38)*($D$51:$D$479=$A39)*($E$50:$O$50=P$36),$E$51:$O$479)))</f>
        <v>110376.87895889895</v>
      </c>
      <c r="Q39" s="14">
        <f t="array" ref="Q39">IF(Q$38="",NA(),SUM(IF(($B$51:$B$479=Q$38)*($D$51:$D$479=$A39)*($E$50:$O$50=Q$36),$E$51:$O$479)))</f>
        <v>121311.48930648089</v>
      </c>
      <c r="R39" s="14">
        <f t="array" ref="R39">IF(R$38="",NA(),SUM(IF(($B$51:$B$479=R$38)*($D$51:$D$479=$A39)*($E$50:$O$50=R$36),$E$51:$O$479)))</f>
        <v>149365.82653458969</v>
      </c>
      <c r="S39" s="14">
        <f t="array" ref="S39">IF(S$38="",NA(),SUM(IF(($B$51:$B$479=S$38)*($D$51:$D$479=$A39)*($E$50:$O$50=S$36),$E$51:$O$479)))</f>
        <v>151972.27198691817</v>
      </c>
      <c r="T39" s="14">
        <f t="array" ref="T39">IF(T$38="",NA(),SUM(IF(($B$51:$B$479=T$38)*($D$51:$D$479=$A39)*($E$50:$O$50=T$36),$E$51:$O$479)))</f>
        <v>186916.97886996056</v>
      </c>
      <c r="U39" s="14">
        <f t="array" ref="U39">IF(U$38="",NA(),SUM(IF(($B$51:$B$479=U$38)*($D$51:$D$479=$A39)*($E$50:$O$50=U$36),$E$51:$O$479)))</f>
        <v>187545.43321462203</v>
      </c>
      <c r="V39" s="14">
        <f t="array" ref="V39">IF(V$38="",NA(),SUM(IF(($B$51:$B$479=V$38)*($D$51:$D$479=$A39)*($E$50:$O$50=V$36),$E$51:$O$479)))</f>
        <v>168023.66238076251</v>
      </c>
      <c r="W39" s="14">
        <f t="array" ref="W39">IF(W$38="",NA(),SUM(IF(($B$51:$B$479=W$38)*($D$51:$D$479=$A39)*($E$50:$O$50=W$36),$E$51:$O$479)))</f>
        <v>169759.94537136634</v>
      </c>
      <c r="X39" s="14" t="e">
        <f t="array" ref="X39">IF(X$38="",NA(),SUM(IF(($B$51:$B$479=X$38)*($D$51:$D$479=$A39)*($E$50:$O$50=X$36),$E$51:$O$479)))</f>
        <v>#N/A</v>
      </c>
      <c r="Y39" s="14" t="e">
        <f t="array" ref="Y39">IF(Y$38="",NA(),SUM(IF(($B$51:$B$479=Y$38)*($D$51:$D$479=$A39)*($E$50:$O$50=Y$36),$E$51:$O$479)))</f>
        <v>#N/A</v>
      </c>
      <c r="Z39" s="14" t="e">
        <f t="array" ref="Z39">IF(Z$38="",NA(),SUM(IF(($B$51:$B$479=Z$38)*($D$51:$D$479=$A39)*($E$50:$O$50=Z$36),$E$51:$O$479)))</f>
        <v>#N/A</v>
      </c>
    </row>
    <row r="40" spans="1:26" x14ac:dyDescent="0.3">
      <c r="A40" s="3" t="s">
        <v>254</v>
      </c>
      <c r="B40" s="14">
        <f t="array" ref="B40">IF(B$38="",NA(),SUM(IF(($B$51:$B$479=B$38)*($D$51:$D$479=$A40)*($E$50:$O$50=B$36),$E$51:$O$479)))</f>
        <v>167772.98687500271</v>
      </c>
      <c r="C40" s="14">
        <f t="array" ref="C40">IF(C$38="",NA(),SUM(IF(($B$51:$B$479=C$38)*($D$51:$D$479=$A40)*($E$50:$O$50=C$36),$E$51:$O$479)))</f>
        <v>199721.74391926528</v>
      </c>
      <c r="D40" s="14">
        <f t="array" ref="D40">IF(D$38="",NA(),SUM(IF(($B$51:$B$479=D$38)*($D$51:$D$479=$A40)*($E$50:$O$50=D$36),$E$51:$O$479)))</f>
        <v>182315.56150273711</v>
      </c>
      <c r="E40" s="14">
        <f t="array" ref="E40">IF(E$38="",NA(),SUM(IF(($B$51:$B$479=E$38)*($D$51:$D$479=$A40)*($E$50:$O$50=E$36),$E$51:$O$479)))</f>
        <v>141587.52010422843</v>
      </c>
      <c r="F40" s="14">
        <f t="array" ref="F40">IF(F$38="",NA(),SUM(IF(($B$51:$B$479=F$38)*($D$51:$D$479=$A40)*($E$50:$O$50=F$36),$E$51:$O$479)))</f>
        <v>106915.28758791123</v>
      </c>
      <c r="G40" s="14">
        <f t="array" ref="G40">IF(G$38="",NA(),SUM(IF(($B$51:$B$479=G$38)*($D$51:$D$479=$A40)*($E$50:$O$50=G$36),$E$51:$O$479)))</f>
        <v>141587.52010422843</v>
      </c>
      <c r="H40" s="14">
        <f t="array" ref="H40">IF(H$38="",NA(),SUM(IF(($B$51:$B$479=H$38)*($D$51:$D$479=$A40)*($E$50:$O$50=H$36),$E$51:$O$479)))</f>
        <v>74086.287944023527</v>
      </c>
      <c r="I40" s="14">
        <f t="array" ref="I40">IF(I$38="",NA(),SUM(IF(($B$51:$B$479=I$38)*($D$51:$D$479=$A40)*($E$50:$O$50=I$36),$E$51:$O$479)))</f>
        <v>141587.52010422843</v>
      </c>
      <c r="J40" s="14">
        <f t="array" ref="J40">IF(J$38="",NA(),SUM(IF(($B$51:$B$479=J$38)*($D$51:$D$479=$A40)*($E$50:$O$50=J$36),$E$51:$O$479)))</f>
        <v>78298.506735573581</v>
      </c>
      <c r="K40" s="14">
        <f t="array" ref="K40">IF(K$38="",NA(),SUM(IF(($B$51:$B$479=K$38)*($D$51:$D$479=$A40)*($E$50:$O$50=K$36),$E$51:$O$479)))</f>
        <v>141587.52010422843</v>
      </c>
      <c r="L40" s="14" t="e">
        <f t="array" ref="L40">IF(L$38="",NA(),SUM(IF(($B$51:$B$479=L$38)*($D$51:$D$479=$A40)*($E$50:$O$50=L$36),$E$51:$O$479)))</f>
        <v>#N/A</v>
      </c>
      <c r="M40" s="14" t="e">
        <f t="array" ref="M40">IF(M$38="",NA(),SUM(IF(($B$51:$B$479=M$38)*($D$51:$D$479=$A40)*($E$50:$O$50=M$36),$E$51:$O$479)))</f>
        <v>#N/A</v>
      </c>
      <c r="N40" s="14" t="e">
        <f t="array" ref="N40">IF(N$38="",NA(),SUM(IF(($B$51:$B$479=N$38)*($D$51:$D$479=$A40)*($E$50:$O$50=N$36),$E$51:$O$479)))</f>
        <v>#N/A</v>
      </c>
      <c r="O40" s="14">
        <f t="array" ref="O40">IF(O$38="",NA(),SUM(IF(($B$51:$B$479=O$38)*($D$51:$D$479=$A40)*($E$50:$O$50=O$36),$E$51:$O$479)))</f>
        <v>217956.74380519876</v>
      </c>
      <c r="P40" s="14">
        <f t="array" ref="P40">IF(P$38="",NA(),SUM(IF(($B$51:$B$479=P$38)*($D$51:$D$479=$A40)*($E$50:$O$50=P$36),$E$51:$O$479)))</f>
        <v>217076.8732626531</v>
      </c>
      <c r="Q40" s="14">
        <f t="array" ref="Q40">IF(Q$38="",NA(),SUM(IF(($B$51:$B$479=Q$38)*($D$51:$D$479=$A40)*($E$50:$O$50=Q$36),$E$51:$O$479)))</f>
        <v>171180.64374326335</v>
      </c>
      <c r="R40" s="14">
        <f t="array" ref="R40">IF(R$38="",NA(),SUM(IF(($B$51:$B$479=R$38)*($D$51:$D$479=$A40)*($E$50:$O$50=R$36),$E$51:$O$479)))</f>
        <v>82830.756818283815</v>
      </c>
      <c r="S40" s="14">
        <f t="array" ref="S40">IF(S$38="",NA(),SUM(IF(($B$51:$B$479=S$38)*($D$51:$D$479=$A40)*($E$50:$O$50=S$36),$E$51:$O$479)))</f>
        <v>75120.578902980575</v>
      </c>
      <c r="T40" s="14">
        <f t="array" ref="T40">IF(T$38="",NA(),SUM(IF(($B$51:$B$479=T$38)*($D$51:$D$479=$A40)*($E$50:$O$50=T$36),$E$51:$O$479)))</f>
        <v>42902.100523833826</v>
      </c>
      <c r="U40" s="14">
        <f t="array" ref="U40">IF(U$38="",NA(),SUM(IF(($B$51:$B$479=U$38)*($D$51:$D$479=$A40)*($E$50:$O$50=U$36),$E$51:$O$479)))</f>
        <v>44073.439940015356</v>
      </c>
      <c r="V40" s="14">
        <f t="array" ref="V40">IF(V$38="",NA(),SUM(IF(($B$51:$B$479=V$38)*($D$51:$D$479=$A40)*($E$50:$O$50=V$36),$E$51:$O$479)))</f>
        <v>59667.165752929635</v>
      </c>
      <c r="W40" s="14">
        <f t="array" ref="W40">IF(W$38="",NA(),SUM(IF(($B$51:$B$479=W$38)*($D$51:$D$479=$A40)*($E$50:$O$50=W$36),$E$51:$O$479)))</f>
        <v>64624.319165573841</v>
      </c>
      <c r="X40" s="14" t="e">
        <f t="array" ref="X40">IF(X$38="",NA(),SUM(IF(($B$51:$B$479=X$38)*($D$51:$D$479=$A40)*($E$50:$O$50=X$36),$E$51:$O$479)))</f>
        <v>#N/A</v>
      </c>
      <c r="Y40" s="14" t="e">
        <f t="array" ref="Y40">IF(Y$38="",NA(),SUM(IF(($B$51:$B$479=Y$38)*($D$51:$D$479=$A40)*($E$50:$O$50=Y$36),$E$51:$O$479)))</f>
        <v>#N/A</v>
      </c>
      <c r="Z40" s="14" t="e">
        <f t="array" ref="Z40">IF(Z$38="",NA(),SUM(IF(($B$51:$B$479=Z$38)*($D$51:$D$479=$A40)*($E$50:$O$50=Z$36),$E$51:$O$479)))</f>
        <v>#N/A</v>
      </c>
    </row>
    <row r="41" spans="1:26" x14ac:dyDescent="0.3">
      <c r="A41" s="3" t="s">
        <v>255</v>
      </c>
      <c r="B41" s="14">
        <f t="array" ref="B41">IF(B$38="",NA(),SUM(IF(($B$51:$B$479=B$38)*($D$51:$D$479=$A41)*($E$50:$O$50=B$36),$E$51:$O$479)))</f>
        <v>125068.22780197491</v>
      </c>
      <c r="C41" s="14">
        <f t="array" ref="C41">IF(C$38="",NA(),SUM(IF(($B$51:$B$479=C$38)*($D$51:$D$479=$A41)*($E$50:$O$50=C$36),$E$51:$O$479)))</f>
        <v>168778.45447233957</v>
      </c>
      <c r="D41" s="14">
        <f t="array" ref="D41">IF(D$38="",NA(),SUM(IF(($B$51:$B$479=D$38)*($D$51:$D$479=$A41)*($E$50:$O$50=D$36),$E$51:$O$479)))</f>
        <v>172315.25511127897</v>
      </c>
      <c r="E41" s="14">
        <f t="array" ref="E41">IF(E$38="",NA(),SUM(IF(($B$51:$B$479=E$38)*($D$51:$D$479=$A41)*($E$50:$O$50=E$36),$E$51:$O$479)))</f>
        <v>176766.93010542684</v>
      </c>
      <c r="F41" s="14">
        <f t="array" ref="F41">IF(F$38="",NA(),SUM(IF(($B$51:$B$479=F$38)*($D$51:$D$479=$A41)*($E$50:$O$50=F$36),$E$51:$O$479)))</f>
        <v>181023.47390344125</v>
      </c>
      <c r="G41" s="14">
        <f t="array" ref="G41">IF(G$38="",NA(),SUM(IF(($B$51:$B$479=G$38)*($D$51:$D$479=$A41)*($E$50:$O$50=G$36),$E$51:$O$479)))</f>
        <v>176766.93010542684</v>
      </c>
      <c r="H41" s="14">
        <f t="array" ref="H41">IF(H$38="",NA(),SUM(IF(($B$51:$B$479=H$38)*($D$51:$D$479=$A41)*($E$50:$O$50=H$36),$E$51:$O$479)))</f>
        <v>188812.24856597715</v>
      </c>
      <c r="I41" s="14">
        <f t="array" ref="I41">IF(I$38="",NA(),SUM(IF(($B$51:$B$479=I$38)*($D$51:$D$479=$A41)*($E$50:$O$50=I$36),$E$51:$O$479)))</f>
        <v>176766.93010542684</v>
      </c>
      <c r="J41" s="14">
        <f t="array" ref="J41">IF(J$38="",NA(),SUM(IF(($B$51:$B$479=J$38)*($D$51:$D$479=$A41)*($E$50:$O$50=J$36),$E$51:$O$479)))</f>
        <v>192915.71703120167</v>
      </c>
      <c r="K41" s="14">
        <f t="array" ref="K41">IF(K$38="",NA(),SUM(IF(($B$51:$B$479=K$38)*($D$51:$D$479=$A41)*($E$50:$O$50=K$36),$E$51:$O$479)))</f>
        <v>176766.93010542684</v>
      </c>
      <c r="L41" s="14" t="e">
        <f t="array" ref="L41">IF(L$38="",NA(),SUM(IF(($B$51:$B$479=L$38)*($D$51:$D$479=$A41)*($E$50:$O$50=L$36),$E$51:$O$479)))</f>
        <v>#N/A</v>
      </c>
      <c r="M41" s="14" t="e">
        <f t="array" ref="M41">IF(M$38="",NA(),SUM(IF(($B$51:$B$479=M$38)*($D$51:$D$479=$A41)*($E$50:$O$50=M$36),$E$51:$O$479)))</f>
        <v>#N/A</v>
      </c>
      <c r="N41" s="14" t="e">
        <f t="array" ref="N41">IF(N$38="",NA(),SUM(IF(($B$51:$B$479=N$38)*($D$51:$D$479=$A41)*($E$50:$O$50=N$36),$E$51:$O$479)))</f>
        <v>#N/A</v>
      </c>
      <c r="O41" s="14">
        <f t="array" ref="O41">IF(O$38="",NA(),SUM(IF(($B$51:$B$479=O$38)*($D$51:$D$479=$A41)*($E$50:$O$50=O$36),$E$51:$O$479)))</f>
        <v>184402.36421776706</v>
      </c>
      <c r="P41" s="14">
        <f t="array" ref="P41">IF(P$38="",NA(),SUM(IF(($B$51:$B$479=P$38)*($D$51:$D$479=$A41)*($E$50:$O$50=P$36),$E$51:$O$479)))</f>
        <v>183387.41366755916</v>
      </c>
      <c r="Q41" s="14">
        <f t="array" ref="Q41">IF(Q$38="",NA(),SUM(IF(($B$51:$B$479=Q$38)*($D$51:$D$479=$A41)*($E$50:$O$50=Q$36),$E$51:$O$479)))</f>
        <v>186810.83495303156</v>
      </c>
      <c r="R41" s="14">
        <f t="array" ref="R41">IF(R$38="",NA(),SUM(IF(($B$51:$B$479=R$38)*($D$51:$D$479=$A41)*($E$50:$O$50=R$36),$E$51:$O$479)))</f>
        <v>197765.15809754399</v>
      </c>
      <c r="S41" s="14">
        <f t="array" ref="S41">IF(S$38="",NA(),SUM(IF(($B$51:$B$479=S$38)*($D$51:$D$479=$A41)*($E$50:$O$50=S$36),$E$51:$O$479)))</f>
        <v>197662.35279108427</v>
      </c>
      <c r="T41" s="14">
        <f t="array" ref="T41">IF(T$38="",NA(),SUM(IF(($B$51:$B$479=T$38)*($D$51:$D$479=$A41)*($E$50:$O$50=T$36),$E$51:$O$479)))</f>
        <v>95369.320783498319</v>
      </c>
      <c r="U41" s="14">
        <f t="array" ref="U41">IF(U$38="",NA(),SUM(IF(($B$51:$B$479=U$38)*($D$51:$D$479=$A41)*($E$50:$O$50=U$36),$E$51:$O$479)))</f>
        <v>56456.094738951513</v>
      </c>
      <c r="V41" s="14">
        <f t="array" ref="V41">IF(V$38="",NA(),SUM(IF(($B$51:$B$479=V$38)*($D$51:$D$479=$A41)*($E$50:$O$50=V$36),$E$51:$O$479)))</f>
        <v>197148.91761156073</v>
      </c>
      <c r="W41" s="14">
        <f t="array" ref="W41">IF(W$38="",NA(),SUM(IF(($B$51:$B$479=W$38)*($D$51:$D$479=$A41)*($E$50:$O$50=W$36),$E$51:$O$479)))</f>
        <v>147385.47978839529</v>
      </c>
      <c r="X41" s="14" t="e">
        <f t="array" ref="X41">IF(X$38="",NA(),SUM(IF(($B$51:$B$479=X$38)*($D$51:$D$479=$A41)*($E$50:$O$50=X$36),$E$51:$O$479)))</f>
        <v>#N/A</v>
      </c>
      <c r="Y41" s="14" t="e">
        <f t="array" ref="Y41">IF(Y$38="",NA(),SUM(IF(($B$51:$B$479=Y$38)*($D$51:$D$479=$A41)*($E$50:$O$50=Y$36),$E$51:$O$479)))</f>
        <v>#N/A</v>
      </c>
      <c r="Z41" s="14" t="e">
        <f t="array" ref="Z41">IF(Z$38="",NA(),SUM(IF(($B$51:$B$479=Z$38)*($D$51:$D$479=$A41)*($E$50:$O$50=Z$36),$E$51:$O$479)))</f>
        <v>#N/A</v>
      </c>
    </row>
    <row r="42" spans="1:26" x14ac:dyDescent="0.3">
      <c r="A42" s="3" t="s">
        <v>256</v>
      </c>
      <c r="B42" s="14">
        <f t="array" ref="B42">IF(B$38="",NA(),SUM(IF(($B$51:$B$479=B$38)*($D$51:$D$479=$A42)*($E$50:$O$50=B$36),$E$51:$O$479)))</f>
        <v>10438.652617147358</v>
      </c>
      <c r="C42" s="14">
        <f t="array" ref="C42">IF(C$38="",NA(),SUM(IF(($B$51:$B$479=C$38)*($D$51:$D$479=$A42)*($E$50:$O$50=C$36),$E$51:$O$479)))</f>
        <v>16083.166527070434</v>
      </c>
      <c r="D42" s="14">
        <f t="array" ref="D42">IF(D$38="",NA(),SUM(IF(($B$51:$B$479=D$38)*($D$51:$D$479=$A42)*($E$50:$O$50=D$36),$E$51:$O$479)))</f>
        <v>16325.917505495083</v>
      </c>
      <c r="E42" s="14">
        <f t="array" ref="E42">IF(E$38="",NA(),SUM(IF(($B$51:$B$479=E$38)*($D$51:$D$479=$A42)*($E$50:$O$50=E$36),$E$51:$O$479)))</f>
        <v>17241.713076375538</v>
      </c>
      <c r="F42" s="14">
        <f t="array" ref="F42">IF(F$38="",NA(),SUM(IF(($B$51:$B$479=F$38)*($D$51:$D$479=$A42)*($E$50:$O$50=F$36),$E$51:$O$479)))</f>
        <v>17428.252668332996</v>
      </c>
      <c r="G42" s="14">
        <f t="array" ref="G42">IF(G$38="",NA(),SUM(IF(($B$51:$B$479=G$38)*($D$51:$D$479=$A42)*($E$50:$O$50=G$36),$E$51:$O$479)))</f>
        <v>17241.713076375538</v>
      </c>
      <c r="H42" s="14">
        <f t="array" ref="H42">IF(H$38="",NA(),SUM(IF(($B$51:$B$479=H$38)*($D$51:$D$479=$A42)*($E$50:$O$50=H$36),$E$51:$O$479)))</f>
        <v>18195.141865015896</v>
      </c>
      <c r="I42" s="14">
        <f t="array" ref="I42">IF(I$38="",NA(),SUM(IF(($B$51:$B$479=I$38)*($D$51:$D$479=$A42)*($E$50:$O$50=I$36),$E$51:$O$479)))</f>
        <v>17241.713076375538</v>
      </c>
      <c r="J42" s="14">
        <f t="array" ref="J42">IF(J$38="",NA(),SUM(IF(($B$51:$B$479=J$38)*($D$51:$D$479=$A42)*($E$50:$O$50=J$36),$E$51:$O$479)))</f>
        <v>17812.023045098293</v>
      </c>
      <c r="K42" s="14">
        <f t="array" ref="K42">IF(K$38="",NA(),SUM(IF(($B$51:$B$479=K$38)*($D$51:$D$479=$A42)*($E$50:$O$50=K$36),$E$51:$O$479)))</f>
        <v>17241.713076375538</v>
      </c>
      <c r="L42" s="14" t="e">
        <f t="array" ref="L42">IF(L$38="",NA(),SUM(IF(($B$51:$B$479=L$38)*($D$51:$D$479=$A42)*($E$50:$O$50=L$36),$E$51:$O$479)))</f>
        <v>#N/A</v>
      </c>
      <c r="M42" s="14" t="e">
        <f t="array" ref="M42">IF(M$38="",NA(),SUM(IF(($B$51:$B$479=M$38)*($D$51:$D$479=$A42)*($E$50:$O$50=M$36),$E$51:$O$479)))</f>
        <v>#N/A</v>
      </c>
      <c r="N42" s="14" t="e">
        <f t="array" ref="N42">IF(N$38="",NA(),SUM(IF(($B$51:$B$479=N$38)*($D$51:$D$479=$A42)*($E$50:$O$50=N$36),$E$51:$O$479)))</f>
        <v>#N/A</v>
      </c>
      <c r="O42" s="14">
        <f t="array" ref="O42">IF(O$38="",NA(),SUM(IF(($B$51:$B$479=O$38)*($D$51:$D$479=$A42)*($E$50:$O$50=O$36),$E$51:$O$479)))</f>
        <v>18695.667122362567</v>
      </c>
      <c r="P42" s="14">
        <f t="array" ref="P42">IF(P$38="",NA(),SUM(IF(($B$51:$B$479=P$38)*($D$51:$D$479=$A42)*($E$50:$O$50=P$36),$E$51:$O$479)))</f>
        <v>18732.909613359025</v>
      </c>
      <c r="Q42" s="14">
        <f t="array" ref="Q42">IF(Q$38="",NA(),SUM(IF(($B$51:$B$479=Q$38)*($D$51:$D$479=$A42)*($E$50:$O$50=Q$36),$E$51:$O$479)))</f>
        <v>20498.349948626248</v>
      </c>
      <c r="R42" s="14">
        <f t="array" ref="R42">IF(R$38="",NA(),SUM(IF(($B$51:$B$479=R$38)*($D$51:$D$479=$A42)*($E$50:$O$50=R$36),$E$51:$O$479)))</f>
        <v>23790.208360954173</v>
      </c>
      <c r="S42" s="14">
        <f t="array" ref="S42">IF(S$38="",NA(),SUM(IF(($B$51:$B$479=S$38)*($D$51:$D$479=$A42)*($E$50:$O$50=S$36),$E$51:$O$479)))</f>
        <v>24529.34491063984</v>
      </c>
      <c r="T42" s="14">
        <f t="array" ref="T42">IF(T$38="",NA(),SUM(IF(($B$51:$B$479=T$38)*($D$51:$D$479=$A42)*($E$50:$O$50=T$36),$E$51:$O$479)))</f>
        <v>31262.479715490146</v>
      </c>
      <c r="U42" s="14">
        <f t="array" ref="U42">IF(U$38="",NA(),SUM(IF(($B$51:$B$479=U$38)*($D$51:$D$479=$A42)*($E$50:$O$50=U$36),$E$51:$O$479)))</f>
        <v>29545.026525364927</v>
      </c>
      <c r="V42" s="14">
        <f t="array" ref="V42">IF(V$38="",NA(),SUM(IF(($B$51:$B$479=V$38)*($D$51:$D$479=$A42)*($E$50:$O$50=V$36),$E$51:$O$479)))</f>
        <v>25435.876568493761</v>
      </c>
      <c r="W42" s="14">
        <f t="array" ref="W42">IF(W$38="",NA(),SUM(IF(($B$51:$B$479=W$38)*($D$51:$D$479=$A42)*($E$50:$O$50=W$36),$E$51:$O$479)))</f>
        <v>27586.463990941778</v>
      </c>
      <c r="X42" s="14" t="e">
        <f t="array" ref="X42">IF(X$38="",NA(),SUM(IF(($B$51:$B$479=X$38)*($D$51:$D$479=$A42)*($E$50:$O$50=X$36),$E$51:$O$479)))</f>
        <v>#N/A</v>
      </c>
      <c r="Y42" s="14" t="e">
        <f t="array" ref="Y42">IF(Y$38="",NA(),SUM(IF(($B$51:$B$479=Y$38)*($D$51:$D$479=$A42)*($E$50:$O$50=Y$36),$E$51:$O$479)))</f>
        <v>#N/A</v>
      </c>
      <c r="Z42" s="14" t="e">
        <f t="array" ref="Z42">IF(Z$38="",NA(),SUM(IF(($B$51:$B$479=Z$38)*($D$51:$D$479=$A42)*($E$50:$O$50=Z$36),$E$51:$O$479)))</f>
        <v>#N/A</v>
      </c>
    </row>
    <row r="43" spans="1:26" x14ac:dyDescent="0.3">
      <c r="A43" s="3" t="s">
        <v>257</v>
      </c>
      <c r="B43" s="14">
        <f t="array" ref="B43">IF(B$38="",NA(),SUM(IF(($B$51:$B$479=B$38)*($D$51:$D$479=$A43)*($E$50:$O$50=B$36),$E$51:$O$479)))</f>
        <v>9854.7685931259057</v>
      </c>
      <c r="C43" s="14">
        <f t="array" ref="C43">IF(C$38="",NA(),SUM(IF(($B$51:$B$479=C$38)*($D$51:$D$479=$A43)*($E$50:$O$50=C$36),$E$51:$O$479)))</f>
        <v>14514.167854150608</v>
      </c>
      <c r="D43" s="14">
        <f t="array" ref="D43">IF(D$38="",NA(),SUM(IF(($B$51:$B$479=D$38)*($D$51:$D$479=$A43)*($E$50:$O$50=D$36),$E$51:$O$479)))</f>
        <v>14568.342003330639</v>
      </c>
      <c r="E43" s="14">
        <f t="array" ref="E43">IF(E$38="",NA(),SUM(IF(($B$51:$B$479=E$38)*($D$51:$D$479=$A43)*($E$50:$O$50=E$36),$E$51:$O$479)))</f>
        <v>14514.167854150608</v>
      </c>
      <c r="F43" s="14">
        <f t="array" ref="F43">IF(F$38="",NA(),SUM(IF(($B$51:$B$479=F$38)*($D$51:$D$479=$A43)*($E$50:$O$50=F$36),$E$51:$O$479)))</f>
        <v>14514.167854150608</v>
      </c>
      <c r="G43" s="14">
        <f t="array" ref="G43">IF(G$38="",NA(),SUM(IF(($B$51:$B$479=G$38)*($D$51:$D$479=$A43)*($E$50:$O$50=G$36),$E$51:$O$479)))</f>
        <v>14514.167854150608</v>
      </c>
      <c r="H43" s="14">
        <f t="array" ref="H43">IF(H$38="",NA(),SUM(IF(($B$51:$B$479=H$38)*($D$51:$D$479=$A43)*($E$50:$O$50=H$36),$E$51:$O$479)))</f>
        <v>14514.167854150608</v>
      </c>
      <c r="I43" s="14">
        <f t="array" ref="I43">IF(I$38="",NA(),SUM(IF(($B$51:$B$479=I$38)*($D$51:$D$479=$A43)*($E$50:$O$50=I$36),$E$51:$O$479)))</f>
        <v>14514.167854150608</v>
      </c>
      <c r="J43" s="14">
        <f t="array" ref="J43">IF(J$38="",NA(),SUM(IF(($B$51:$B$479=J$38)*($D$51:$D$479=$A43)*($E$50:$O$50=J$36),$E$51:$O$479)))</f>
        <v>14514.167854150608</v>
      </c>
      <c r="K43" s="14">
        <f t="array" ref="K43">IF(K$38="",NA(),SUM(IF(($B$51:$B$479=K$38)*($D$51:$D$479=$A43)*($E$50:$O$50=K$36),$E$51:$O$479)))</f>
        <v>14514.167854150608</v>
      </c>
      <c r="L43" s="14" t="e">
        <f t="array" ref="L43">IF(L$38="",NA(),SUM(IF(($B$51:$B$479=L$38)*($D$51:$D$479=$A43)*($E$50:$O$50=L$36),$E$51:$O$479)))</f>
        <v>#N/A</v>
      </c>
      <c r="M43" s="14" t="e">
        <f t="array" ref="M43">IF(M$38="",NA(),SUM(IF(($B$51:$B$479=M$38)*($D$51:$D$479=$A43)*($E$50:$O$50=M$36),$E$51:$O$479)))</f>
        <v>#N/A</v>
      </c>
      <c r="N43" s="14" t="e">
        <f t="array" ref="N43">IF(N$38="",NA(),SUM(IF(($B$51:$B$479=N$38)*($D$51:$D$479=$A43)*($E$50:$O$50=N$36),$E$51:$O$479)))</f>
        <v>#N/A</v>
      </c>
      <c r="O43" s="14">
        <f t="array" ref="O43">IF(O$38="",NA(),SUM(IF(($B$51:$B$479=O$38)*($D$51:$D$479=$A43)*($E$50:$O$50=O$36),$E$51:$O$479)))</f>
        <v>15996.975726628425</v>
      </c>
      <c r="P43" s="14">
        <f t="array" ref="P43">IF(P$38="",NA(),SUM(IF(($B$51:$B$479=P$38)*($D$51:$D$479=$A43)*($E$50:$O$50=P$36),$E$51:$O$479)))</f>
        <v>15975.507766665298</v>
      </c>
      <c r="Q43" s="14">
        <f t="array" ref="Q43">IF(Q$38="",NA(),SUM(IF(($B$51:$B$479=Q$38)*($D$51:$D$479=$A43)*($E$50:$O$50=Q$36),$E$51:$O$479)))</f>
        <v>18032.949236508612</v>
      </c>
      <c r="R43" s="14">
        <f t="array" ref="R43">IF(R$38="",NA(),SUM(IF(($B$51:$B$479=R$38)*($D$51:$D$479=$A43)*($E$50:$O$50=R$36),$E$51:$O$479)))</f>
        <v>23100.058135655392</v>
      </c>
      <c r="S43" s="14">
        <f t="array" ref="S43">IF(S$38="",NA(),SUM(IF(($B$51:$B$479=S$38)*($D$51:$D$479=$A43)*($E$50:$O$50=S$36),$E$51:$O$479)))</f>
        <v>23771.416194236695</v>
      </c>
      <c r="T43" s="14">
        <f t="array" ref="T43">IF(T$38="",NA(),SUM(IF(($B$51:$B$479=T$38)*($D$51:$D$479=$A43)*($E$50:$O$50=T$36),$E$51:$O$479)))</f>
        <v>24729.32</v>
      </c>
      <c r="U43" s="14">
        <f t="array" ref="U43">IF(U$38="",NA(),SUM(IF(($B$51:$B$479=U$38)*($D$51:$D$479=$A43)*($E$50:$O$50=U$36),$E$51:$O$479)))</f>
        <v>22237.50176860678</v>
      </c>
      <c r="V43" s="14">
        <f t="array" ref="V43">IF(V$38="",NA(),SUM(IF(($B$51:$B$479=V$38)*($D$51:$D$479=$A43)*($E$50:$O$50=V$36),$E$51:$O$479)))</f>
        <v>24552.996119163538</v>
      </c>
      <c r="W43" s="14">
        <f t="array" ref="W43">IF(W$38="",NA(),SUM(IF(($B$51:$B$479=W$38)*($D$51:$D$479=$A43)*($E$50:$O$50=W$36),$E$51:$O$479)))</f>
        <v>24925.344846272601</v>
      </c>
      <c r="X43" s="14" t="e">
        <f t="array" ref="X43">IF(X$38="",NA(),SUM(IF(($B$51:$B$479=X$38)*($D$51:$D$479=$A43)*($E$50:$O$50=X$36),$E$51:$O$479)))</f>
        <v>#N/A</v>
      </c>
      <c r="Y43" s="14" t="e">
        <f t="array" ref="Y43">IF(Y$38="",NA(),SUM(IF(($B$51:$B$479=Y$38)*($D$51:$D$479=$A43)*($E$50:$O$50=Y$36),$E$51:$O$479)))</f>
        <v>#N/A</v>
      </c>
      <c r="Z43" s="14" t="e">
        <f t="array" ref="Z43">IF(Z$38="",NA(),SUM(IF(($B$51:$B$479=Z$38)*($D$51:$D$479=$A43)*($E$50:$O$50=Z$36),$E$51:$O$479)))</f>
        <v>#N/A</v>
      </c>
    </row>
    <row r="44" spans="1:26" x14ac:dyDescent="0.3">
      <c r="A44" s="3" t="s">
        <v>266</v>
      </c>
      <c r="B44" s="14">
        <f t="array" ref="B44">IF(B$38="",NA(),SUM(IF(($B$51:$B$479=B$38)*($D$51:$D$479=$A44)*($E$50:$O$50=B$36),$E$51:$O$479)))</f>
        <v>158538.7874200783</v>
      </c>
      <c r="C44" s="14">
        <f t="array" ref="C44">IF(C$38="",NA(),SUM(IF(($B$51:$B$479=C$38)*($D$51:$D$479=$A44)*($E$50:$O$50=C$36),$E$51:$O$479)))</f>
        <v>180904.24746096539</v>
      </c>
      <c r="D44" s="14">
        <f t="array" ref="D44">IF(D$38="",NA(),SUM(IF(($B$51:$B$479=D$38)*($D$51:$D$479=$A44)*($E$50:$O$50=D$36),$E$51:$O$479)))</f>
        <v>180344.62704175361</v>
      </c>
      <c r="E44" s="14">
        <f t="array" ref="E44">IF(E$38="",NA(),SUM(IF(($B$51:$B$479=E$38)*($D$51:$D$479=$A44)*($E$50:$O$50=E$36),$E$51:$O$479)))</f>
        <v>176541.28948572898</v>
      </c>
      <c r="F44" s="14">
        <f t="array" ref="F44">IF(F$38="",NA(),SUM(IF(($B$51:$B$479=F$38)*($D$51:$D$479=$A44)*($E$50:$O$50=F$36),$E$51:$O$479)))</f>
        <v>173506.79141583553</v>
      </c>
      <c r="G44" s="14">
        <f t="array" ref="G44">IF(G$38="",NA(),SUM(IF(($B$51:$B$479=G$38)*($D$51:$D$479=$A44)*($E$50:$O$50=G$36),$E$51:$O$479)))</f>
        <v>176541.28948572898</v>
      </c>
      <c r="H44" s="14">
        <f t="array" ref="H44">IF(H$38="",NA(),SUM(IF(($B$51:$B$479=H$38)*($D$51:$D$479=$A44)*($E$50:$O$50=H$36),$E$51:$O$479)))</f>
        <v>155285.39036300292</v>
      </c>
      <c r="I44" s="14">
        <f t="array" ref="I44">IF(I$38="",NA(),SUM(IF(($B$51:$B$479=I$38)*($D$51:$D$479=$A44)*($E$50:$O$50=I$36),$E$51:$O$479)))</f>
        <v>176541.28948572898</v>
      </c>
      <c r="J44" s="14">
        <f t="array" ref="J44">IF(J$38="",NA(),SUM(IF(($B$51:$B$479=J$38)*($D$51:$D$479=$A44)*($E$50:$O$50=J$36),$E$51:$O$479)))</f>
        <v>169562.31890813055</v>
      </c>
      <c r="K44" s="14">
        <f t="array" ref="K44">IF(K$38="",NA(),SUM(IF(($B$51:$B$479=K$38)*($D$51:$D$479=$A44)*($E$50:$O$50=K$36),$E$51:$O$479)))</f>
        <v>176541.28948572898</v>
      </c>
      <c r="L44" s="14" t="e">
        <f t="array" ref="L44">IF(L$38="",NA(),SUM(IF(($B$51:$B$479=L$38)*($D$51:$D$479=$A44)*($E$50:$O$50=L$36),$E$51:$O$479)))</f>
        <v>#N/A</v>
      </c>
      <c r="M44" s="14" t="e">
        <f t="array" ref="M44">IF(M$38="",NA(),SUM(IF(($B$51:$B$479=M$38)*($D$51:$D$479=$A44)*($E$50:$O$50=M$36),$E$51:$O$479)))</f>
        <v>#N/A</v>
      </c>
      <c r="N44" s="14" t="e">
        <f t="array" ref="N44">IF(N$38="",NA(),SUM(IF(($B$51:$B$479=N$38)*($D$51:$D$479=$A44)*($E$50:$O$50=N$36),$E$51:$O$479)))</f>
        <v>#N/A</v>
      </c>
      <c r="O44" s="14">
        <f t="array" ref="O44">IF(O$38="",NA(),SUM(IF(($B$51:$B$479=O$38)*($D$51:$D$479=$A44)*($E$50:$O$50=O$36),$E$51:$O$479)))</f>
        <v>170269.24722541097</v>
      </c>
      <c r="P44" s="14">
        <f t="array" ref="P44">IF(P$38="",NA(),SUM(IF(($B$51:$B$479=P$38)*($D$51:$D$479=$A44)*($E$50:$O$50=P$36),$E$51:$O$479)))</f>
        <v>170442.81415956249</v>
      </c>
      <c r="Q44" s="14">
        <f t="array" ref="Q44">IF(Q$38="",NA(),SUM(IF(($B$51:$B$479=Q$38)*($D$51:$D$479=$A44)*($E$50:$O$50=Q$36),$E$51:$O$479)))</f>
        <v>167702.98450333846</v>
      </c>
      <c r="R44" s="14">
        <f t="array" ref="R44">IF(R$38="",NA(),SUM(IF(($B$51:$B$479=R$38)*($D$51:$D$479=$A44)*($E$50:$O$50=R$36),$E$51:$O$479)))</f>
        <v>159922.83552746987</v>
      </c>
      <c r="S44" s="14">
        <f t="array" ref="S44">IF(S$38="",NA(),SUM(IF(($B$51:$B$479=S$38)*($D$51:$D$479=$A44)*($E$50:$O$50=S$36),$E$51:$O$479)))</f>
        <v>157755.02563447127</v>
      </c>
      <c r="T44" s="14">
        <f t="array" ref="T44">IF(T$38="",NA(),SUM(IF(($B$51:$B$479=T$38)*($D$51:$D$479=$A44)*($E$50:$O$50=T$36),$E$51:$O$479)))</f>
        <v>100400.423394431</v>
      </c>
      <c r="U44" s="14">
        <f t="array" ref="U44">IF(U$38="",NA(),SUM(IF(($B$51:$B$479=U$38)*($D$51:$D$479=$A44)*($E$50:$O$50=U$36),$E$51:$O$479)))</f>
        <v>117518.71841246785</v>
      </c>
      <c r="V44" s="14">
        <f t="array" ref="V44">IF(V$38="",NA(),SUM(IF(($B$51:$B$479=V$38)*($D$51:$D$479=$A44)*($E$50:$O$50=V$36),$E$51:$O$479)))</f>
        <v>151112.05138907253</v>
      </c>
      <c r="W44" s="14">
        <f t="array" ref="W44">IF(W$38="",NA(),SUM(IF(($B$51:$B$479=W$38)*($D$51:$D$479=$A44)*($E$50:$O$50=W$36),$E$51:$O$479)))</f>
        <v>157577.14433588501</v>
      </c>
      <c r="X44" s="14" t="e">
        <f t="array" ref="X44">IF(X$38="",NA(),SUM(IF(($B$51:$B$479=X$38)*($D$51:$D$479=$A44)*($E$50:$O$50=X$36),$E$51:$O$479)))</f>
        <v>#N/A</v>
      </c>
      <c r="Y44" s="14" t="e">
        <f t="array" ref="Y44">IF(Y$38="",NA(),SUM(IF(($B$51:$B$479=Y$38)*($D$51:$D$479=$A44)*($E$50:$O$50=Y$36),$E$51:$O$479)))</f>
        <v>#N/A</v>
      </c>
      <c r="Z44" s="14" t="e">
        <f t="array" ref="Z44">IF(Z$38="",NA(),SUM(IF(($B$51:$B$479=Z$38)*($D$51:$D$479=$A44)*($E$50:$O$50=Z$36),$E$51:$O$479)))</f>
        <v>#N/A</v>
      </c>
    </row>
    <row r="45" spans="1:26" x14ac:dyDescent="0.3">
      <c r="A45" s="3" t="s">
        <v>258</v>
      </c>
      <c r="B45" s="14">
        <f t="array" ref="B45">IF(B$38="",NA(),SUM(IF(($B$51:$B$479=B$38)*($D$51:$D$479=$A45)*($E$50:$O$50=B$36),$E$51:$O$479)))</f>
        <v>196.69433845100562</v>
      </c>
      <c r="C45" s="14">
        <f t="array" ref="C45">IF(C$38="",NA(),SUM(IF(($B$51:$B$479=C$38)*($D$51:$D$479=$A45)*($E$50:$O$50=C$36),$E$51:$O$479)))</f>
        <v>3271.9395882018662</v>
      </c>
      <c r="D45" s="14">
        <f t="array" ref="D45">IF(D$38="",NA(),SUM(IF(($B$51:$B$479=D$38)*($D$51:$D$479=$A45)*($E$50:$O$50=D$36),$E$51:$O$479)))</f>
        <v>4026.7903936895591</v>
      </c>
      <c r="E45" s="14">
        <f t="array" ref="E45">IF(E$38="",NA(),SUM(IF(($B$51:$B$479=E$38)*($D$51:$D$479=$A45)*($E$50:$O$50=E$36),$E$51:$O$479)))</f>
        <v>4279.9501535856525</v>
      </c>
      <c r="F45" s="14">
        <f t="array" ref="F45">IF(F$38="",NA(),SUM(IF(($B$51:$B$479=F$38)*($D$51:$D$479=$A45)*($E$50:$O$50=F$36),$E$51:$O$479)))</f>
        <v>4290.8040431569516</v>
      </c>
      <c r="G45" s="14">
        <f t="array" ref="G45">IF(G$38="",NA(),SUM(IF(($B$51:$B$479=G$38)*($D$51:$D$479=$A45)*($E$50:$O$50=G$36),$E$51:$O$479)))</f>
        <v>4279.9501535856525</v>
      </c>
      <c r="H45" s="14">
        <f t="array" ref="H45">IF(H$38="",NA(),SUM(IF(($B$51:$B$479=H$38)*($D$51:$D$479=$A45)*($E$50:$O$50=H$36),$E$51:$O$479)))</f>
        <v>6366.6521536845012</v>
      </c>
      <c r="I45" s="14">
        <f t="array" ref="I45">IF(I$38="",NA(),SUM(IF(($B$51:$B$479=I$38)*($D$51:$D$479=$A45)*($E$50:$O$50=I$36),$E$51:$O$479)))</f>
        <v>4279.9501535856525</v>
      </c>
      <c r="J45" s="14">
        <f t="array" ref="J45">IF(J$38="",NA(),SUM(IF(($B$51:$B$479=J$38)*($D$51:$D$479=$A45)*($E$50:$O$50=J$36),$E$51:$O$479)))</f>
        <v>4290.8040431569516</v>
      </c>
      <c r="K45" s="14">
        <f t="array" ref="K45">IF(K$38="",NA(),SUM(IF(($B$51:$B$479=K$38)*($D$51:$D$479=$A45)*($E$50:$O$50=K$36),$E$51:$O$479)))</f>
        <v>4279.9501535856525</v>
      </c>
      <c r="L45" s="14" t="e">
        <f t="array" ref="L45">IF(L$38="",NA(),SUM(IF(($B$51:$B$479=L$38)*($D$51:$D$479=$A45)*($E$50:$O$50=L$36),$E$51:$O$479)))</f>
        <v>#N/A</v>
      </c>
      <c r="M45" s="14" t="e">
        <f t="array" ref="M45">IF(M$38="",NA(),SUM(IF(($B$51:$B$479=M$38)*($D$51:$D$479=$A45)*($E$50:$O$50=M$36),$E$51:$O$479)))</f>
        <v>#N/A</v>
      </c>
      <c r="N45" s="14" t="e">
        <f t="array" ref="N45">IF(N$38="",NA(),SUM(IF(($B$51:$B$479=N$38)*($D$51:$D$479=$A45)*($E$50:$O$50=N$36),$E$51:$O$479)))</f>
        <v>#N/A</v>
      </c>
      <c r="O45" s="14">
        <f t="array" ref="O45">IF(O$38="",NA(),SUM(IF(($B$51:$B$479=O$38)*($D$51:$D$479=$A45)*($E$50:$O$50=O$36),$E$51:$O$479)))</f>
        <v>7069.2399588807812</v>
      </c>
      <c r="P45" s="14">
        <f t="array" ref="P45">IF(P$38="",NA(),SUM(IF(($B$51:$B$479=P$38)*($D$51:$D$479=$A45)*($E$50:$O$50=P$36),$E$51:$O$479)))</f>
        <v>7145.1119806891811</v>
      </c>
      <c r="Q45" s="14">
        <f t="array" ref="Q45">IF(Q$38="",NA(),SUM(IF(($B$51:$B$479=Q$38)*($D$51:$D$479=$A45)*($E$50:$O$50=Q$36),$E$51:$O$479)))</f>
        <v>7288.2593035987747</v>
      </c>
      <c r="R45" s="14">
        <f t="array" ref="R45">IF(R$38="",NA(),SUM(IF(($B$51:$B$479=R$38)*($D$51:$D$479=$A45)*($E$50:$O$50=R$36),$E$51:$O$479)))</f>
        <v>8146.624357109562</v>
      </c>
      <c r="S45" s="14">
        <f t="array" ref="S45">IF(S$38="",NA(),SUM(IF(($B$51:$B$479=S$38)*($D$51:$D$479=$A45)*($E$50:$O$50=S$36),$E$51:$O$479)))</f>
        <v>8523.2253425070521</v>
      </c>
      <c r="T45" s="14">
        <f t="array" ref="T45">IF(T$38="",NA(),SUM(IF(($B$51:$B$479=T$38)*($D$51:$D$479=$A45)*($E$50:$O$50=T$36),$E$51:$O$479)))</f>
        <v>28699.222764458656</v>
      </c>
      <c r="U45" s="14">
        <f t="array" ref="U45">IF(U$38="",NA(),SUM(IF(($B$51:$B$479=U$38)*($D$51:$D$479=$A45)*($E$50:$O$50=U$36),$E$51:$O$479)))</f>
        <v>35965.512389072479</v>
      </c>
      <c r="V45" s="14">
        <f t="array" ref="V45">IF(V$38="",NA(),SUM(IF(($B$51:$B$479=V$38)*($D$51:$D$479=$A45)*($E$50:$O$50=V$36),$E$51:$O$479)))</f>
        <v>8300.0638732088046</v>
      </c>
      <c r="W45" s="14">
        <f t="array" ref="W45">IF(W$38="",NA(),SUM(IF(($B$51:$B$479=W$38)*($D$51:$D$479=$A45)*($E$50:$O$50=W$36),$E$51:$O$479)))</f>
        <v>11996.890419244633</v>
      </c>
      <c r="X45" s="14" t="e">
        <f t="array" ref="X45">IF(X$38="",NA(),SUM(IF(($B$51:$B$479=X$38)*($D$51:$D$479=$A45)*($E$50:$O$50=X$36),$E$51:$O$479)))</f>
        <v>#N/A</v>
      </c>
      <c r="Y45" s="14" t="e">
        <f t="array" ref="Y45">IF(Y$38="",NA(),SUM(IF(($B$51:$B$479=Y$38)*($D$51:$D$479=$A45)*($E$50:$O$50=Y$36),$E$51:$O$479)))</f>
        <v>#N/A</v>
      </c>
      <c r="Z45" s="14" t="e">
        <f t="array" ref="Z45">IF(Z$38="",NA(),SUM(IF(($B$51:$B$479=Z$38)*($D$51:$D$479=$A45)*($E$50:$O$50=Z$36),$E$51:$O$479)))</f>
        <v>#N/A</v>
      </c>
    </row>
    <row r="46" spans="1:26" x14ac:dyDescent="0.3">
      <c r="A46" s="3" t="s">
        <v>259</v>
      </c>
      <c r="B46" s="14">
        <f t="array" ref="B46">IF(B$38="",NA(),SUM(IF(($B$51:$B$479=B$38)*($D$51:$D$479=$A46)*($E$50:$O$50=B$36),$E$51:$O$479)))</f>
        <v>519.19396603460677</v>
      </c>
      <c r="C46" s="14">
        <f t="array" ref="C46">IF(C$38="",NA(),SUM(IF(($B$51:$B$479=C$38)*($D$51:$D$479=$A46)*($E$50:$O$50=C$36),$E$51:$O$479)))</f>
        <v>2002.6521758783342</v>
      </c>
      <c r="D46" s="14">
        <f t="array" ref="D46">IF(D$38="",NA(),SUM(IF(($B$51:$B$479=D$38)*($D$51:$D$479=$A46)*($E$50:$O$50=D$36),$E$51:$O$479)))</f>
        <v>2319.3539430956439</v>
      </c>
      <c r="E46" s="14">
        <f t="array" ref="E46">IF(E$38="",NA(),SUM(IF(($B$51:$B$479=E$38)*($D$51:$D$479=$A46)*($E$50:$O$50=E$36),$E$51:$O$479)))</f>
        <v>2735.0686521639873</v>
      </c>
      <c r="F46" s="14">
        <f t="array" ref="F46">IF(F$38="",NA(),SUM(IF(($B$51:$B$479=F$38)*($D$51:$D$479=$A46)*($E$50:$O$50=F$36),$E$51:$O$479)))</f>
        <v>4346.1138690338703</v>
      </c>
      <c r="G46" s="14">
        <f t="array" ref="G46">IF(G$38="",NA(),SUM(IF(($B$51:$B$479=G$38)*($D$51:$D$479=$A46)*($E$50:$O$50=G$36),$E$51:$O$479)))</f>
        <v>2735.0686521639873</v>
      </c>
      <c r="H46" s="14">
        <f t="array" ref="H46">IF(H$38="",NA(),SUM(IF(($B$51:$B$479=H$38)*($D$51:$D$479=$A46)*($E$50:$O$50=H$36),$E$51:$O$479)))</f>
        <v>4495.7747787750059</v>
      </c>
      <c r="I46" s="14">
        <f t="array" ref="I46">IF(I$38="",NA(),SUM(IF(($B$51:$B$479=I$38)*($D$51:$D$479=$A46)*($E$50:$O$50=I$36),$E$51:$O$479)))</f>
        <v>2735.0686521639873</v>
      </c>
      <c r="J46" s="14">
        <f t="array" ref="J46">IF(J$38="",NA(),SUM(IF(($B$51:$B$479=J$38)*($D$51:$D$479=$A46)*($E$50:$O$50=J$36),$E$51:$O$479)))</f>
        <v>4337.6455704266982</v>
      </c>
      <c r="K46" s="14">
        <f t="array" ref="K46">IF(K$38="",NA(),SUM(IF(($B$51:$B$479=K$38)*($D$51:$D$479=$A46)*($E$50:$O$50=K$36),$E$51:$O$479)))</f>
        <v>2735.0686521639873</v>
      </c>
      <c r="L46" s="14" t="e">
        <f t="array" ref="L46">IF(L$38="",NA(),SUM(IF(($B$51:$B$479=L$38)*($D$51:$D$479=$A46)*($E$50:$O$50=L$36),$E$51:$O$479)))</f>
        <v>#N/A</v>
      </c>
      <c r="M46" s="14" t="e">
        <f t="array" ref="M46">IF(M$38="",NA(),SUM(IF(($B$51:$B$479=M$38)*($D$51:$D$479=$A46)*($E$50:$O$50=M$36),$E$51:$O$479)))</f>
        <v>#N/A</v>
      </c>
      <c r="N46" s="14" t="e">
        <f t="array" ref="N46">IF(N$38="",NA(),SUM(IF(($B$51:$B$479=N$38)*($D$51:$D$479=$A46)*($E$50:$O$50=N$36),$E$51:$O$479)))</f>
        <v>#N/A</v>
      </c>
      <c r="O46" s="14">
        <f t="array" ref="O46">IF(O$38="",NA(),SUM(IF(($B$51:$B$479=O$38)*($D$51:$D$479=$A46)*($E$50:$O$50=O$36),$E$51:$O$479)))</f>
        <v>11321.793591220989</v>
      </c>
      <c r="P46" s="14">
        <f t="array" ref="P46">IF(P$38="",NA(),SUM(IF(($B$51:$B$479=P$38)*($D$51:$D$479=$A46)*($E$50:$O$50=P$36),$E$51:$O$479)))</f>
        <v>11336.326215150055</v>
      </c>
      <c r="Q46" s="14">
        <f t="array" ref="Q46">IF(Q$38="",NA(),SUM(IF(($B$51:$B$479=Q$38)*($D$51:$D$479=$A46)*($E$50:$O$50=Q$36),$E$51:$O$479)))</f>
        <v>18560.588178635255</v>
      </c>
      <c r="R46" s="14">
        <f t="array" ref="R46">IF(R$38="",NA(),SUM(IF(($B$51:$B$479=R$38)*($D$51:$D$479=$A46)*($E$50:$O$50=R$36),$E$51:$O$479)))</f>
        <v>25431.280817055129</v>
      </c>
      <c r="S46" s="14">
        <f t="array" ref="S46">IF(S$38="",NA(),SUM(IF(($B$51:$B$479=S$38)*($D$51:$D$479=$A46)*($E$50:$O$50=S$36),$E$51:$O$479)))</f>
        <v>25303.218537157802</v>
      </c>
      <c r="T46" s="14">
        <f t="array" ref="T46">IF(T$38="",NA(),SUM(IF(($B$51:$B$479=T$38)*($D$51:$D$479=$A46)*($E$50:$O$50=T$36),$E$51:$O$479)))</f>
        <v>44758.489243761767</v>
      </c>
      <c r="U46" s="14">
        <f t="array" ref="U46">IF(U$38="",NA(),SUM(IF(($B$51:$B$479=U$38)*($D$51:$D$479=$A46)*($E$50:$O$50=U$36),$E$51:$O$479)))</f>
        <v>33922.626732586352</v>
      </c>
      <c r="V46" s="14">
        <f t="array" ref="V46">IF(V$38="",NA(),SUM(IF(($B$51:$B$479=V$38)*($D$51:$D$479=$A46)*($E$50:$O$50=V$36),$E$51:$O$479)))</f>
        <v>25674.355061546779</v>
      </c>
      <c r="W46" s="14">
        <f t="array" ref="W46">IF(W$38="",NA(),SUM(IF(($B$51:$B$479=W$38)*($D$51:$D$479=$A46)*($E$50:$O$50=W$36),$E$51:$O$479)))</f>
        <v>27178.015982285819</v>
      </c>
      <c r="X46" s="14" t="e">
        <f t="array" ref="X46">IF(X$38="",NA(),SUM(IF(($B$51:$B$479=X$38)*($D$51:$D$479=$A46)*($E$50:$O$50=X$36),$E$51:$O$479)))</f>
        <v>#N/A</v>
      </c>
      <c r="Y46" s="14" t="e">
        <f t="array" ref="Y46">IF(Y$38="",NA(),SUM(IF(($B$51:$B$479=Y$38)*($D$51:$D$479=$A46)*($E$50:$O$50=Y$36),$E$51:$O$479)))</f>
        <v>#N/A</v>
      </c>
      <c r="Z46" s="14" t="e">
        <f t="array" ref="Z46">IF(Z$38="",NA(),SUM(IF(($B$51:$B$479=Z$38)*($D$51:$D$479=$A46)*($E$50:$O$50=Z$36),$E$51:$O$479)))</f>
        <v>#N/A</v>
      </c>
    </row>
    <row r="47" spans="1:26" x14ac:dyDescent="0.3">
      <c r="A47" s="3" t="s">
        <v>260</v>
      </c>
      <c r="B47" s="14">
        <f t="array" ref="B47">IF(B$38="",NA(),SUM(IF(($B$51:$B$479=B$38)*($D$51:$D$479=$A47)*($E$50:$O$50=B$36),$E$51:$O$479)))</f>
        <v>1704.9418897085425</v>
      </c>
      <c r="C47" s="14">
        <f t="array" ref="C47">IF(C$38="",NA(),SUM(IF(($B$51:$B$479=C$38)*($D$51:$D$479=$A47)*($E$50:$O$50=C$36),$E$51:$O$479)))</f>
        <v>10568.055334803987</v>
      </c>
      <c r="D47" s="14">
        <f t="array" ref="D47">IF(D$38="",NA(),SUM(IF(($B$51:$B$479=D$38)*($D$51:$D$479=$A47)*($E$50:$O$50=D$36),$E$51:$O$479)))</f>
        <v>10699.247864870576</v>
      </c>
      <c r="E47" s="14">
        <f t="array" ref="E47">IF(E$38="",NA(),SUM(IF(($B$51:$B$479=E$38)*($D$51:$D$479=$A47)*($E$50:$O$50=E$36),$E$51:$O$479)))</f>
        <v>10882.32058635127</v>
      </c>
      <c r="F47" s="14">
        <f t="array" ref="F47">IF(F$38="",NA(),SUM(IF(($B$51:$B$479=F$38)*($D$51:$D$479=$A47)*($E$50:$O$50=F$36),$E$51:$O$479)))</f>
        <v>11687.103641782611</v>
      </c>
      <c r="G47" s="14">
        <f t="array" ref="G47">IF(G$38="",NA(),SUM(IF(($B$51:$B$479=G$38)*($D$51:$D$479=$A47)*($E$50:$O$50=G$36),$E$51:$O$479)))</f>
        <v>10882.32058635127</v>
      </c>
      <c r="H47" s="14">
        <f t="array" ref="H47">IF(H$38="",NA(),SUM(IF(($B$51:$B$479=H$38)*($D$51:$D$479=$A47)*($E$50:$O$50=H$36),$E$51:$O$479)))</f>
        <v>13084.955487531341</v>
      </c>
      <c r="I47" s="14">
        <f t="array" ref="I47">IF(I$38="",NA(),SUM(IF(($B$51:$B$479=I$38)*($D$51:$D$479=$A47)*($E$50:$O$50=I$36),$E$51:$O$479)))</f>
        <v>10882.32058635127</v>
      </c>
      <c r="J47" s="14">
        <f t="array" ref="J47">IF(J$38="",NA(),SUM(IF(($B$51:$B$479=J$38)*($D$51:$D$479=$A47)*($E$50:$O$50=J$36),$E$51:$O$479)))</f>
        <v>12230.817081009372</v>
      </c>
      <c r="K47" s="14">
        <f t="array" ref="K47">IF(K$38="",NA(),SUM(IF(($B$51:$B$479=K$38)*($D$51:$D$479=$A47)*($E$50:$O$50=K$36),$E$51:$O$479)))</f>
        <v>10882.32058635127</v>
      </c>
      <c r="L47" s="14" t="e">
        <f t="array" ref="L47">IF(L$38="",NA(),SUM(IF(($B$51:$B$479=L$38)*($D$51:$D$479=$A47)*($E$50:$O$50=L$36),$E$51:$O$479)))</f>
        <v>#N/A</v>
      </c>
      <c r="M47" s="14" t="e">
        <f t="array" ref="M47">IF(M$38="",NA(),SUM(IF(($B$51:$B$479=M$38)*($D$51:$D$479=$A47)*($E$50:$O$50=M$36),$E$51:$O$479)))</f>
        <v>#N/A</v>
      </c>
      <c r="N47" s="14" t="e">
        <f t="array" ref="N47">IF(N$38="",NA(),SUM(IF(($B$51:$B$479=N$38)*($D$51:$D$479=$A47)*($E$50:$O$50=N$36),$E$51:$O$479)))</f>
        <v>#N/A</v>
      </c>
      <c r="O47" s="14">
        <f t="array" ref="O47">IF(O$38="",NA(),SUM(IF(($B$51:$B$479=O$38)*($D$51:$D$479=$A47)*($E$50:$O$50=O$36),$E$51:$O$479)))</f>
        <v>35131.682108742236</v>
      </c>
      <c r="P47" s="14">
        <f t="array" ref="P47">IF(P$38="",NA(),SUM(IF(($B$51:$B$479=P$38)*($D$51:$D$479=$A47)*($E$50:$O$50=P$36),$E$51:$O$479)))</f>
        <v>35401.277503274396</v>
      </c>
      <c r="Q47" s="14">
        <f t="array" ref="Q47">IF(Q$38="",NA(),SUM(IF(($B$51:$B$479=Q$38)*($D$51:$D$479=$A47)*($E$50:$O$50=Q$36),$E$51:$O$479)))</f>
        <v>35685.876785717061</v>
      </c>
      <c r="R47" s="14">
        <f t="array" ref="R47">IF(R$38="",NA(),SUM(IF(($B$51:$B$479=R$38)*($D$51:$D$479=$A47)*($E$50:$O$50=R$36),$E$51:$O$479)))</f>
        <v>35070.13325460851</v>
      </c>
      <c r="S47" s="14">
        <f t="array" ref="S47">IF(S$38="",NA(),SUM(IF(($B$51:$B$479=S$38)*($D$51:$D$479=$A47)*($E$50:$O$50=S$36),$E$51:$O$479)))</f>
        <v>34981.449026780552</v>
      </c>
      <c r="T47" s="14">
        <f t="array" ref="T47">IF(T$38="",NA(),SUM(IF(($B$51:$B$479=T$38)*($D$51:$D$479=$A47)*($E$50:$O$50=T$36),$E$51:$O$479)))</f>
        <v>59060.33695313675</v>
      </c>
      <c r="U47" s="14">
        <f t="array" ref="U47">IF(U$38="",NA(),SUM(IF(($B$51:$B$479=U$38)*($D$51:$D$479=$A47)*($E$50:$O$50=U$36),$E$51:$O$479)))</f>
        <v>48641.893576000104</v>
      </c>
      <c r="V47" s="14">
        <f t="array" ref="V47">IF(V$38="",NA(),SUM(IF(($B$51:$B$479=V$38)*($D$51:$D$479=$A47)*($E$50:$O$50=V$36),$E$51:$O$479)))</f>
        <v>35889.905723426833</v>
      </c>
      <c r="W47" s="14">
        <f t="array" ref="W47">IF(W$38="",NA(),SUM(IF(($B$51:$B$479=W$38)*($D$51:$D$479=$A47)*($E$50:$O$50=W$36),$E$51:$O$479)))</f>
        <v>37655.530009808834</v>
      </c>
      <c r="X47" s="14" t="e">
        <f t="array" ref="X47">IF(X$38="",NA(),SUM(IF(($B$51:$B$479=X$38)*($D$51:$D$479=$A47)*($E$50:$O$50=X$36),$E$51:$O$479)))</f>
        <v>#N/A</v>
      </c>
      <c r="Y47" s="14" t="e">
        <f t="array" ref="Y47">IF(Y$38="",NA(),SUM(IF(($B$51:$B$479=Y$38)*($D$51:$D$479=$A47)*($E$50:$O$50=Y$36),$E$51:$O$479)))</f>
        <v>#N/A</v>
      </c>
      <c r="Z47" s="14" t="e">
        <f t="array" ref="Z47">IF(Z$38="",NA(),SUM(IF(($B$51:$B$479=Z$38)*($D$51:$D$479=$A47)*($E$50:$O$50=Z$36),$E$51:$O$479)))</f>
        <v>#N/A</v>
      </c>
    </row>
    <row r="48" spans="1:26" ht="15" thickBot="1" x14ac:dyDescent="0.35"/>
    <row r="49" spans="1:19" s="15" customFormat="1" ht="15" thickBot="1" x14ac:dyDescent="0.35">
      <c r="A49" s="15" t="s">
        <v>198</v>
      </c>
      <c r="S49" s="16"/>
    </row>
    <row r="50" spans="1:19" x14ac:dyDescent="0.3">
      <c r="A50" s="3" t="s">
        <v>86</v>
      </c>
      <c r="B50" s="3" t="s">
        <v>8</v>
      </c>
      <c r="C50" s="3" t="s">
        <v>59</v>
      </c>
      <c r="D50" s="3" t="s">
        <v>252</v>
      </c>
      <c r="E50" s="3">
        <v>2007</v>
      </c>
      <c r="F50" s="3">
        <v>2012</v>
      </c>
      <c r="G50" s="3">
        <v>2020</v>
      </c>
      <c r="H50" s="3">
        <v>2030</v>
      </c>
      <c r="I50" s="3">
        <v>2040</v>
      </c>
      <c r="J50" s="3">
        <v>2050</v>
      </c>
      <c r="K50" s="3">
        <v>2060</v>
      </c>
      <c r="L50" s="3">
        <v>2070</v>
      </c>
      <c r="M50" s="3">
        <v>2080</v>
      </c>
      <c r="N50" s="3">
        <v>2090</v>
      </c>
      <c r="O50" s="3">
        <v>2100</v>
      </c>
    </row>
    <row r="51" spans="1:19" x14ac:dyDescent="0.3">
      <c r="A51" s="3" t="str">
        <f>INDEX('R1. Scenario specifications'!$C$11:$C$49,MATCH($B51,'R1. Scenario specifications'!$A$11:$A$49,0))</f>
        <v>TIAM BAU - No Policy Action</v>
      </c>
      <c r="B51" s="3" t="s">
        <v>11</v>
      </c>
      <c r="C51" s="3" t="s">
        <v>262</v>
      </c>
      <c r="D51" s="3" t="s">
        <v>253</v>
      </c>
      <c r="E51" s="14">
        <v>49803.376306806284</v>
      </c>
      <c r="F51" s="14">
        <v>54246.265938380871</v>
      </c>
      <c r="G51" s="14">
        <v>64327.753070461156</v>
      </c>
      <c r="H51" s="14">
        <v>79622.936931933436</v>
      </c>
      <c r="I51" s="14">
        <v>89214.040433120303</v>
      </c>
      <c r="J51" s="14">
        <v>109852.07655804059</v>
      </c>
      <c r="K51" s="14">
        <v>112780.83204181393</v>
      </c>
      <c r="L51" s="14">
        <v>124225.43057164874</v>
      </c>
      <c r="M51" s="14">
        <v>132254.5714627819</v>
      </c>
      <c r="N51" s="14">
        <v>144136.4507175145</v>
      </c>
      <c r="O51" s="14">
        <v>161039.19993806983</v>
      </c>
    </row>
    <row r="52" spans="1:19" x14ac:dyDescent="0.3">
      <c r="A52" s="3" t="str">
        <f>INDEX('R1. Scenario specifications'!$C$11:$C$49,MATCH($B52,'R1. Scenario specifications'!$A$11:$A$49,0))</f>
        <v>TIAM BAU - No Policy Action</v>
      </c>
      <c r="B52" s="3" t="s">
        <v>11</v>
      </c>
      <c r="C52" s="3" t="s">
        <v>60</v>
      </c>
      <c r="D52" s="3" t="s">
        <v>254</v>
      </c>
      <c r="E52" s="14">
        <v>132862.88014752162</v>
      </c>
      <c r="F52" s="14">
        <v>167772.98687500271</v>
      </c>
      <c r="G52" s="14">
        <v>190200.28893003147</v>
      </c>
      <c r="H52" s="14">
        <v>199721.74391926528</v>
      </c>
      <c r="I52" s="14">
        <v>193593.42281906019</v>
      </c>
      <c r="J52" s="14">
        <v>217956.74380519876</v>
      </c>
      <c r="K52" s="14">
        <v>254503.62616924901</v>
      </c>
      <c r="L52" s="14">
        <v>279927.06264005334</v>
      </c>
      <c r="M52" s="14">
        <v>330686.8765374443</v>
      </c>
      <c r="N52" s="14">
        <v>367259.97622969653</v>
      </c>
      <c r="O52" s="14">
        <v>407722.40450664941</v>
      </c>
    </row>
    <row r="53" spans="1:19" x14ac:dyDescent="0.3">
      <c r="A53" s="3" t="str">
        <f>INDEX('R1. Scenario specifications'!$C$11:$C$49,MATCH($B53,'R1. Scenario specifications'!$A$11:$A$49,0))</f>
        <v>TIAM BAU - No Policy Action</v>
      </c>
      <c r="B53" s="3" t="s">
        <v>11</v>
      </c>
      <c r="C53" s="3" t="s">
        <v>61</v>
      </c>
      <c r="D53" s="3" t="s">
        <v>255</v>
      </c>
      <c r="E53" s="14">
        <v>113361.40893082572</v>
      </c>
      <c r="F53" s="14">
        <v>125068.22780197491</v>
      </c>
      <c r="G53" s="14">
        <v>152187.63418996718</v>
      </c>
      <c r="H53" s="14">
        <v>168778.45447233957</v>
      </c>
      <c r="I53" s="14">
        <v>168857.36719603732</v>
      </c>
      <c r="J53" s="14">
        <v>184402.36421776706</v>
      </c>
      <c r="K53" s="14">
        <v>193194.72535974201</v>
      </c>
      <c r="L53" s="14">
        <v>201898.71380412541</v>
      </c>
      <c r="M53" s="14">
        <v>206369.17845247575</v>
      </c>
      <c r="N53" s="14">
        <v>204149.10225978433</v>
      </c>
      <c r="O53" s="14">
        <v>197782.76445182462</v>
      </c>
    </row>
    <row r="54" spans="1:19" x14ac:dyDescent="0.3">
      <c r="A54" s="3" t="str">
        <f>INDEX('R1. Scenario specifications'!$C$11:$C$49,MATCH($B54,'R1. Scenario specifications'!$A$11:$A$49,0))</f>
        <v>TIAM BAU - No Policy Action</v>
      </c>
      <c r="B54" s="3" t="s">
        <v>11</v>
      </c>
      <c r="C54" s="3" t="s">
        <v>263</v>
      </c>
      <c r="D54" s="3" t="s">
        <v>256</v>
      </c>
      <c r="E54" s="14">
        <v>10361.182910638019</v>
      </c>
      <c r="F54" s="14">
        <v>10438.652617147358</v>
      </c>
      <c r="G54" s="14">
        <v>14732.569951756594</v>
      </c>
      <c r="H54" s="14">
        <v>16083.166527070434</v>
      </c>
      <c r="I54" s="14">
        <v>16884.680440204014</v>
      </c>
      <c r="J54" s="14">
        <v>18695.667122362567</v>
      </c>
      <c r="K54" s="14">
        <v>19316.948968144028</v>
      </c>
      <c r="L54" s="14">
        <v>19263.865513002213</v>
      </c>
      <c r="M54" s="14">
        <v>19203.67282496639</v>
      </c>
      <c r="N54" s="14">
        <v>19120.975044148505</v>
      </c>
      <c r="O54" s="14">
        <v>18963.680802158775</v>
      </c>
    </row>
    <row r="55" spans="1:19" x14ac:dyDescent="0.3">
      <c r="A55" s="3" t="str">
        <f>INDEX('R1. Scenario specifications'!$C$11:$C$49,MATCH($B55,'R1. Scenario specifications'!$A$11:$A$49,0))</f>
        <v>TIAM BAU - No Policy Action</v>
      </c>
      <c r="B55" s="3" t="s">
        <v>11</v>
      </c>
      <c r="C55" s="3" t="s">
        <v>264</v>
      </c>
      <c r="D55" s="3" t="s">
        <v>257</v>
      </c>
      <c r="E55" s="14">
        <v>9499.4101148835834</v>
      </c>
      <c r="F55" s="14">
        <v>9854.7685931259057</v>
      </c>
      <c r="G55" s="14">
        <v>13753.197500000002</v>
      </c>
      <c r="H55" s="14">
        <v>14514.167854150608</v>
      </c>
      <c r="I55" s="14">
        <v>15151.482454857589</v>
      </c>
      <c r="J55" s="14">
        <v>15996.975726628425</v>
      </c>
      <c r="K55" s="14">
        <v>17118.412499999999</v>
      </c>
      <c r="L55" s="14">
        <v>19195.575161874571</v>
      </c>
      <c r="M55" s="14">
        <v>21484.30032374915</v>
      </c>
      <c r="N55" s="14">
        <v>22896.802668451695</v>
      </c>
      <c r="O55" s="14">
        <v>23679.924999999999</v>
      </c>
    </row>
    <row r="56" spans="1:19" x14ac:dyDescent="0.3">
      <c r="A56" s="3" t="str">
        <f>INDEX('R1. Scenario specifications'!$C$11:$C$49,MATCH($B56,'R1. Scenario specifications'!$A$11:$A$49,0))</f>
        <v>TIAM BAU - No Policy Action</v>
      </c>
      <c r="B56" s="3" t="s">
        <v>11</v>
      </c>
      <c r="C56" s="3" t="s">
        <v>62</v>
      </c>
      <c r="D56" s="3" t="s">
        <v>266</v>
      </c>
      <c r="E56" s="14">
        <v>152832.4479725429</v>
      </c>
      <c r="F56" s="14">
        <v>158538.7874200783</v>
      </c>
      <c r="G56" s="14">
        <v>177208.35372693039</v>
      </c>
      <c r="H56" s="14">
        <v>180904.24746096539</v>
      </c>
      <c r="I56" s="14">
        <v>179873.48421216159</v>
      </c>
      <c r="J56" s="14">
        <v>170269.24722541097</v>
      </c>
      <c r="K56" s="14">
        <v>168815.826103909</v>
      </c>
      <c r="L56" s="14">
        <v>170430.89080452448</v>
      </c>
      <c r="M56" s="14">
        <v>156546.55321744762</v>
      </c>
      <c r="N56" s="14">
        <v>147224.8184508587</v>
      </c>
      <c r="O56" s="14">
        <v>131830.11516907599</v>
      </c>
    </row>
    <row r="57" spans="1:19" x14ac:dyDescent="0.3">
      <c r="A57" s="3" t="str">
        <f>INDEX('R1. Scenario specifications'!$C$11:$C$49,MATCH($B57,'R1. Scenario specifications'!$A$11:$A$49,0))</f>
        <v>TIAM BAU - No Policy Action</v>
      </c>
      <c r="B57" s="3" t="s">
        <v>11</v>
      </c>
      <c r="C57" s="3" t="s">
        <v>66</v>
      </c>
      <c r="D57" s="3" t="s">
        <v>258</v>
      </c>
      <c r="E57" s="14">
        <v>202.7012537766515</v>
      </c>
      <c r="F57" s="14">
        <v>194.90848865877462</v>
      </c>
      <c r="G57" s="14">
        <v>188.06281702443903</v>
      </c>
      <c r="H57" s="14">
        <v>3270.938088498679</v>
      </c>
      <c r="I57" s="14">
        <v>5587.3789181206403</v>
      </c>
      <c r="J57" s="14">
        <v>7069.2399588807812</v>
      </c>
      <c r="K57" s="14">
        <v>7135.7000822411901</v>
      </c>
      <c r="L57" s="14">
        <v>7135.7000822411901</v>
      </c>
      <c r="M57" s="14">
        <v>7112.0130178131276</v>
      </c>
      <c r="N57" s="14">
        <v>7067.7108902223026</v>
      </c>
      <c r="O57" s="14">
        <v>7135.7000822411901</v>
      </c>
    </row>
    <row r="58" spans="1:19" x14ac:dyDescent="0.3">
      <c r="A58" s="3" t="str">
        <f>INDEX('R1. Scenario specifications'!$C$11:$C$49,MATCH($B58,'R1. Scenario specifications'!$A$11:$A$49,0))</f>
        <v>TIAM BAU - No Policy Action</v>
      </c>
      <c r="B58" s="3" t="s">
        <v>11</v>
      </c>
      <c r="C58" s="3" t="s">
        <v>70</v>
      </c>
      <c r="D58" s="3" t="s">
        <v>259</v>
      </c>
      <c r="E58" s="14">
        <v>67.937052631788802</v>
      </c>
      <c r="F58" s="14">
        <v>458.66984800047192</v>
      </c>
      <c r="G58" s="14">
        <v>1150.6811295366963</v>
      </c>
      <c r="H58" s="14">
        <v>1937.9162854842307</v>
      </c>
      <c r="I58" s="14">
        <v>5840.314182902559</v>
      </c>
      <c r="J58" s="14">
        <v>11256.995239996413</v>
      </c>
      <c r="K58" s="14">
        <v>13316.81885008569</v>
      </c>
      <c r="L58" s="14">
        <v>14436.927877033384</v>
      </c>
      <c r="M58" s="14">
        <v>15535.096403336145</v>
      </c>
      <c r="N58" s="14">
        <v>16580.81749728756</v>
      </c>
      <c r="O58" s="14">
        <v>17680.981740695512</v>
      </c>
    </row>
    <row r="59" spans="1:19" x14ac:dyDescent="0.3">
      <c r="A59" s="3" t="str">
        <f>INDEX('R1. Scenario specifications'!$C$11:$C$49,MATCH($B59,'R1. Scenario specifications'!$A$11:$A$49,0))</f>
        <v>TIAM BAU - No Policy Action</v>
      </c>
      <c r="B59" s="3" t="s">
        <v>11</v>
      </c>
      <c r="C59" s="3" t="s">
        <v>71</v>
      </c>
      <c r="D59" s="3" t="s">
        <v>259</v>
      </c>
      <c r="E59" s="14">
        <v>55.461114646679903</v>
      </c>
      <c r="F59" s="14">
        <v>60.524118034134894</v>
      </c>
      <c r="G59" s="14">
        <v>64.702210672355335</v>
      </c>
      <c r="H59" s="14">
        <v>64.735890394103549</v>
      </c>
      <c r="I59" s="14">
        <v>64.767572814827787</v>
      </c>
      <c r="J59" s="14">
        <v>64.798351224575995</v>
      </c>
      <c r="K59" s="14">
        <v>64.798351224575995</v>
      </c>
      <c r="L59" s="14">
        <v>64.798351224575995</v>
      </c>
      <c r="M59" s="14">
        <v>64.798351224575995</v>
      </c>
      <c r="N59" s="14">
        <v>64.798351224575995</v>
      </c>
      <c r="O59" s="14">
        <v>64.798351224575995</v>
      </c>
    </row>
    <row r="60" spans="1:19" x14ac:dyDescent="0.3">
      <c r="A60" s="3" t="str">
        <f>INDEX('R1. Scenario specifications'!$C$11:$C$49,MATCH($B60,'R1. Scenario specifications'!$A$11:$A$49,0))</f>
        <v>TIAM BAU - No Policy Action</v>
      </c>
      <c r="B60" s="3" t="s">
        <v>11</v>
      </c>
      <c r="C60" s="3" t="s">
        <v>75</v>
      </c>
      <c r="D60" s="3" t="s">
        <v>258</v>
      </c>
      <c r="E60" s="14">
        <v>1.963099940637433</v>
      </c>
      <c r="F60" s="14">
        <v>1.7858497922310126</v>
      </c>
      <c r="G60" s="14">
        <v>1.5022495547807475</v>
      </c>
      <c r="H60" s="14">
        <v>1.0014997031871673</v>
      </c>
      <c r="I60" s="14">
        <v>0.50074985159358421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</row>
    <row r="61" spans="1:19" x14ac:dyDescent="0.3">
      <c r="A61" s="3" t="str">
        <f>INDEX('R1. Scenario specifications'!$C$11:$C$49,MATCH($B61,'R1. Scenario specifications'!$A$11:$A$49,0))</f>
        <v>TIAM BAU - No Policy Action</v>
      </c>
      <c r="B61" s="3" t="s">
        <v>11</v>
      </c>
      <c r="C61" s="3" t="s">
        <v>72</v>
      </c>
      <c r="D61" s="3" t="s">
        <v>260</v>
      </c>
      <c r="E61" s="14">
        <v>1517.4635089937533</v>
      </c>
      <c r="F61" s="14">
        <v>1704.9418897085425</v>
      </c>
      <c r="G61" s="14">
        <v>2689.1763567601406</v>
      </c>
      <c r="H61" s="14">
        <v>10568.055334803987</v>
      </c>
      <c r="I61" s="14">
        <v>27574.468395370932</v>
      </c>
      <c r="J61" s="14">
        <v>35131.682108742236</v>
      </c>
      <c r="K61" s="14">
        <v>47104.512985141235</v>
      </c>
      <c r="L61" s="14">
        <v>57121.142125931554</v>
      </c>
      <c r="M61" s="14">
        <v>67862.016885922654</v>
      </c>
      <c r="N61" s="14">
        <v>79446.271917336489</v>
      </c>
      <c r="O61" s="14">
        <v>92723.690150367285</v>
      </c>
    </row>
    <row r="62" spans="1:19" x14ac:dyDescent="0.3">
      <c r="A62" s="3" t="str">
        <f>INDEX('R1. Scenario specifications'!$C$11:$C$49,MATCH($B62,'R1. Scenario specifications'!$A$11:$A$49,0))</f>
        <v>Vivid BAU - WEO Current Policies Scenario emissions pathway run through TIAM</v>
      </c>
      <c r="B62" s="3" t="s">
        <v>13</v>
      </c>
      <c r="C62" s="3" t="s">
        <v>262</v>
      </c>
      <c r="D62" s="3" t="s">
        <v>253</v>
      </c>
      <c r="E62" s="14">
        <v>50012.486125945929</v>
      </c>
      <c r="F62" s="14">
        <v>54535.78236935271</v>
      </c>
      <c r="G62" s="14">
        <v>69436.86445792616</v>
      </c>
      <c r="H62" s="14">
        <v>84942.475119495168</v>
      </c>
      <c r="I62" s="14">
        <v>90778.716356166202</v>
      </c>
      <c r="J62" s="14">
        <v>110376.87895889895</v>
      </c>
      <c r="K62" s="14">
        <v>112348.99280474256</v>
      </c>
      <c r="L62" s="14">
        <v>124551.89561389911</v>
      </c>
      <c r="M62" s="14">
        <v>132678.34668629614</v>
      </c>
      <c r="N62" s="14">
        <v>144689.55539988776</v>
      </c>
      <c r="O62" s="14">
        <v>161325.31784008307</v>
      </c>
    </row>
    <row r="63" spans="1:19" x14ac:dyDescent="0.3">
      <c r="A63" s="3" t="str">
        <f>INDEX('R1. Scenario specifications'!$C$11:$C$49,MATCH($B63,'R1. Scenario specifications'!$A$11:$A$49,0))</f>
        <v>Vivid BAU - WEO Current Policies Scenario emissions pathway run through TIAM</v>
      </c>
      <c r="B63" s="3" t="s">
        <v>13</v>
      </c>
      <c r="C63" s="3" t="s">
        <v>60</v>
      </c>
      <c r="D63" s="3" t="s">
        <v>254</v>
      </c>
      <c r="E63" s="14">
        <v>132575.80382503354</v>
      </c>
      <c r="F63" s="14">
        <v>162308.18473056756</v>
      </c>
      <c r="G63" s="14">
        <v>155621.6860245429</v>
      </c>
      <c r="H63" s="14">
        <v>182315.56150273711</v>
      </c>
      <c r="I63" s="14">
        <v>188972.12898615879</v>
      </c>
      <c r="J63" s="14">
        <v>217076.8732626531</v>
      </c>
      <c r="K63" s="14">
        <v>253768.65102524779</v>
      </c>
      <c r="L63" s="14">
        <v>280162.48616387002</v>
      </c>
      <c r="M63" s="14">
        <v>332987.27624621551</v>
      </c>
      <c r="N63" s="14">
        <v>370511.15141362045</v>
      </c>
      <c r="O63" s="14">
        <v>412392.15178200509</v>
      </c>
    </row>
    <row r="64" spans="1:19" x14ac:dyDescent="0.3">
      <c r="A64" s="3" t="str">
        <f>INDEX('R1. Scenario specifications'!$C$11:$C$49,MATCH($B64,'R1. Scenario specifications'!$A$11:$A$49,0))</f>
        <v>Vivid BAU - WEO Current Policies Scenario emissions pathway run through TIAM</v>
      </c>
      <c r="B64" s="3" t="s">
        <v>13</v>
      </c>
      <c r="C64" s="3" t="s">
        <v>61</v>
      </c>
      <c r="D64" s="3" t="s">
        <v>255</v>
      </c>
      <c r="E64" s="14">
        <v>115049.93076485799</v>
      </c>
      <c r="F64" s="14">
        <v>127339.47385013891</v>
      </c>
      <c r="G64" s="14">
        <v>160286.24815261288</v>
      </c>
      <c r="H64" s="14">
        <v>172315.25511127897</v>
      </c>
      <c r="I64" s="14">
        <v>170152.23487531603</v>
      </c>
      <c r="J64" s="14">
        <v>183387.41366755916</v>
      </c>
      <c r="K64" s="14">
        <v>193373.25450699503</v>
      </c>
      <c r="L64" s="14">
        <v>201665.48739780672</v>
      </c>
      <c r="M64" s="14">
        <v>203688.58615530212</v>
      </c>
      <c r="N64" s="14">
        <v>201053.63130250532</v>
      </c>
      <c r="O64" s="14">
        <v>194869.53800606637</v>
      </c>
    </row>
    <row r="65" spans="1:15" x14ac:dyDescent="0.3">
      <c r="A65" s="3" t="str">
        <f>INDEX('R1. Scenario specifications'!$C$11:$C$49,MATCH($B65,'R1. Scenario specifications'!$A$11:$A$49,0))</f>
        <v>Vivid BAU - WEO Current Policies Scenario emissions pathway run through TIAM</v>
      </c>
      <c r="B65" s="3" t="s">
        <v>13</v>
      </c>
      <c r="C65" s="3" t="s">
        <v>263</v>
      </c>
      <c r="D65" s="3" t="s">
        <v>256</v>
      </c>
      <c r="E65" s="14">
        <v>10361.182130046129</v>
      </c>
      <c r="F65" s="14">
        <v>10427.902063861484</v>
      </c>
      <c r="G65" s="14">
        <v>15198.61673357367</v>
      </c>
      <c r="H65" s="14">
        <v>16325.917505495083</v>
      </c>
      <c r="I65" s="14">
        <v>17150.539522270657</v>
      </c>
      <c r="J65" s="14">
        <v>18732.909613359025</v>
      </c>
      <c r="K65" s="14">
        <v>19197.285029959003</v>
      </c>
      <c r="L65" s="14">
        <v>19147.026021623064</v>
      </c>
      <c r="M65" s="14">
        <v>19083.937255542267</v>
      </c>
      <c r="N65" s="14">
        <v>19000.195093196438</v>
      </c>
      <c r="O65" s="14">
        <v>18852.183167811378</v>
      </c>
    </row>
    <row r="66" spans="1:15" x14ac:dyDescent="0.3">
      <c r="A66" s="3" t="str">
        <f>INDEX('R1. Scenario specifications'!$C$11:$C$49,MATCH($B66,'R1. Scenario specifications'!$A$11:$A$49,0))</f>
        <v>Vivid BAU - WEO Current Policies Scenario emissions pathway run through TIAM</v>
      </c>
      <c r="B66" s="3" t="s">
        <v>13</v>
      </c>
      <c r="C66" s="3" t="s">
        <v>264</v>
      </c>
      <c r="D66" s="3" t="s">
        <v>257</v>
      </c>
      <c r="E66" s="14">
        <v>9499.4101148835834</v>
      </c>
      <c r="F66" s="14">
        <v>9854.2534923099029</v>
      </c>
      <c r="G66" s="14">
        <v>13753.197500000002</v>
      </c>
      <c r="H66" s="14">
        <v>14568.342003330639</v>
      </c>
      <c r="I66" s="14">
        <v>15128.160274906877</v>
      </c>
      <c r="J66" s="14">
        <v>15975.507766665298</v>
      </c>
      <c r="K66" s="14">
        <v>17118.412499999999</v>
      </c>
      <c r="L66" s="14">
        <v>19195.575161874571</v>
      </c>
      <c r="M66" s="14">
        <v>21484.30032374915</v>
      </c>
      <c r="N66" s="14">
        <v>22896.802668451695</v>
      </c>
      <c r="O66" s="14">
        <v>23679.924999999999</v>
      </c>
    </row>
    <row r="67" spans="1:15" x14ac:dyDescent="0.3">
      <c r="A67" s="3" t="str">
        <f>INDEX('R1. Scenario specifications'!$C$11:$C$49,MATCH($B67,'R1. Scenario specifications'!$A$11:$A$49,0))</f>
        <v>Vivid BAU - WEO Current Policies Scenario emissions pathway run through TIAM</v>
      </c>
      <c r="B67" s="3" t="s">
        <v>13</v>
      </c>
      <c r="C67" s="3" t="s">
        <v>62</v>
      </c>
      <c r="D67" s="3" t="s">
        <v>266</v>
      </c>
      <c r="E67" s="14">
        <v>152805.02083782584</v>
      </c>
      <c r="F67" s="14">
        <v>158355.41811537894</v>
      </c>
      <c r="G67" s="14">
        <v>173866.66342219655</v>
      </c>
      <c r="H67" s="14">
        <v>180344.62704175361</v>
      </c>
      <c r="I67" s="14">
        <v>179508.36709036733</v>
      </c>
      <c r="J67" s="14">
        <v>170442.81415956249</v>
      </c>
      <c r="K67" s="14">
        <v>168875.65268132085</v>
      </c>
      <c r="L67" s="14">
        <v>170614.6250546886</v>
      </c>
      <c r="M67" s="14">
        <v>156398.90482178249</v>
      </c>
      <c r="N67" s="14">
        <v>147338.71102287224</v>
      </c>
      <c r="O67" s="14">
        <v>131916.66388761104</v>
      </c>
    </row>
    <row r="68" spans="1:15" x14ac:dyDescent="0.3">
      <c r="A68" s="3" t="str">
        <f>INDEX('R1. Scenario specifications'!$C$11:$C$49,MATCH($B68,'R1. Scenario specifications'!$A$11:$A$49,0))</f>
        <v>Vivid BAU - WEO Current Policies Scenario emissions pathway run through TIAM</v>
      </c>
      <c r="B68" s="3" t="s">
        <v>13</v>
      </c>
      <c r="C68" s="3" t="s">
        <v>66</v>
      </c>
      <c r="D68" s="3" t="s">
        <v>258</v>
      </c>
      <c r="E68" s="14">
        <v>204.80659445230717</v>
      </c>
      <c r="F68" s="14">
        <v>211.43733494916822</v>
      </c>
      <c r="G68" s="14">
        <v>2620.7578919178923</v>
      </c>
      <c r="H68" s="14">
        <v>4025.7888939863719</v>
      </c>
      <c r="I68" s="14">
        <v>5616.0776202091756</v>
      </c>
      <c r="J68" s="14">
        <v>7145.1119806891811</v>
      </c>
      <c r="K68" s="14">
        <v>7135.7000822411901</v>
      </c>
      <c r="L68" s="14">
        <v>7135.7000822411901</v>
      </c>
      <c r="M68" s="14">
        <v>7118.1432028281151</v>
      </c>
      <c r="N68" s="14">
        <v>7053.9293397714746</v>
      </c>
      <c r="O68" s="14">
        <v>7135.7000822411901</v>
      </c>
    </row>
    <row r="69" spans="1:15" x14ac:dyDescent="0.3">
      <c r="A69" s="3" t="str">
        <f>INDEX('R1. Scenario specifications'!$C$11:$C$49,MATCH($B69,'R1. Scenario specifications'!$A$11:$A$49,0))</f>
        <v>Vivid BAU - WEO Current Policies Scenario emissions pathway run through TIAM</v>
      </c>
      <c r="B69" s="3" t="s">
        <v>13</v>
      </c>
      <c r="C69" s="3" t="s">
        <v>70</v>
      </c>
      <c r="D69" s="3" t="s">
        <v>259</v>
      </c>
      <c r="E69" s="14">
        <v>67.937052631788831</v>
      </c>
      <c r="F69" s="14">
        <v>458.66984800047186</v>
      </c>
      <c r="G69" s="14">
        <v>1127.3553024617142</v>
      </c>
      <c r="H69" s="14">
        <v>2254.6180527015404</v>
      </c>
      <c r="I69" s="14">
        <v>5828.6294366548136</v>
      </c>
      <c r="J69" s="14">
        <v>11271.527863925479</v>
      </c>
      <c r="K69" s="14">
        <v>13348.943886516037</v>
      </c>
      <c r="L69" s="14">
        <v>14480.056831189488</v>
      </c>
      <c r="M69" s="14">
        <v>15503.561346280365</v>
      </c>
      <c r="N69" s="14">
        <v>16517.860026095979</v>
      </c>
      <c r="O69" s="14">
        <v>17629.233029667914</v>
      </c>
    </row>
    <row r="70" spans="1:15" x14ac:dyDescent="0.3">
      <c r="A70" s="3" t="str">
        <f>INDEX('R1. Scenario specifications'!$C$11:$C$49,MATCH($B70,'R1. Scenario specifications'!$A$11:$A$49,0))</f>
        <v>Vivid BAU - WEO Current Policies Scenario emissions pathway run through TIAM</v>
      </c>
      <c r="B70" s="3" t="s">
        <v>13</v>
      </c>
      <c r="C70" s="3" t="s">
        <v>71</v>
      </c>
      <c r="D70" s="3" t="s">
        <v>259</v>
      </c>
      <c r="E70" s="14">
        <v>55.461114646679903</v>
      </c>
      <c r="F70" s="14">
        <v>60.524118034134894</v>
      </c>
      <c r="G70" s="14">
        <v>64.702210672355335</v>
      </c>
      <c r="H70" s="14">
        <v>64.735890394103549</v>
      </c>
      <c r="I70" s="14">
        <v>64.767572814827787</v>
      </c>
      <c r="J70" s="14">
        <v>64.798351224575995</v>
      </c>
      <c r="K70" s="14">
        <v>64.798351224575995</v>
      </c>
      <c r="L70" s="14">
        <v>64.798351224575995</v>
      </c>
      <c r="M70" s="14">
        <v>64.798351224575995</v>
      </c>
      <c r="N70" s="14">
        <v>64.798351224575995</v>
      </c>
      <c r="O70" s="14">
        <v>64.798351224575995</v>
      </c>
    </row>
    <row r="71" spans="1:15" x14ac:dyDescent="0.3">
      <c r="A71" s="3" t="str">
        <f>INDEX('R1. Scenario specifications'!$C$11:$C$49,MATCH($B71,'R1. Scenario specifications'!$A$11:$A$49,0))</f>
        <v>Vivid BAU - WEO Current Policies Scenario emissions pathway run through TIAM</v>
      </c>
      <c r="B71" s="3" t="s">
        <v>13</v>
      </c>
      <c r="C71" s="3" t="s">
        <v>75</v>
      </c>
      <c r="D71" s="3" t="s">
        <v>258</v>
      </c>
      <c r="E71" s="14">
        <v>1.963099940637433</v>
      </c>
      <c r="F71" s="14">
        <v>1.7858497922310126</v>
      </c>
      <c r="G71" s="14">
        <v>1.5022495547807513</v>
      </c>
      <c r="H71" s="14">
        <v>1.0014997031871682</v>
      </c>
      <c r="I71" s="14">
        <v>0.50074985159358421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</row>
    <row r="72" spans="1:15" x14ac:dyDescent="0.3">
      <c r="A72" s="3" t="str">
        <f>INDEX('R1. Scenario specifications'!$C$11:$C$49,MATCH($B72,'R1. Scenario specifications'!$A$11:$A$49,0))</f>
        <v>Vivid BAU - WEO Current Policies Scenario emissions pathway run through TIAM</v>
      </c>
      <c r="B72" s="3" t="s">
        <v>13</v>
      </c>
      <c r="C72" s="3" t="s">
        <v>72</v>
      </c>
      <c r="D72" s="3" t="s">
        <v>260</v>
      </c>
      <c r="E72" s="14">
        <v>1522.2914863992651</v>
      </c>
      <c r="F72" s="14">
        <v>1704.9418897085425</v>
      </c>
      <c r="G72" s="14">
        <v>2690.2584188209735</v>
      </c>
      <c r="H72" s="14">
        <v>10699.247864870576</v>
      </c>
      <c r="I72" s="14">
        <v>28051.155236656792</v>
      </c>
      <c r="J72" s="14">
        <v>35401.277503274396</v>
      </c>
      <c r="K72" s="14">
        <v>47095.728782410006</v>
      </c>
      <c r="L72" s="14">
        <v>57161.943854723082</v>
      </c>
      <c r="M72" s="14">
        <v>67804.719580684861</v>
      </c>
      <c r="N72" s="14">
        <v>79498.169024071307</v>
      </c>
      <c r="O72" s="14">
        <v>92723.759225116475</v>
      </c>
    </row>
    <row r="73" spans="1:15" x14ac:dyDescent="0.3">
      <c r="A73" s="3" t="str">
        <f>INDEX('R1. Scenario specifications'!$C$11:$C$49,MATCH($B73,'R1. Scenario specifications'!$A$11:$A$49,0))</f>
        <v>Vivid Paris NDCs - WEO New Policies Scenario emissions pathway run through TIAM</v>
      </c>
      <c r="B73" s="3" t="s">
        <v>14</v>
      </c>
      <c r="C73" s="3" t="s">
        <v>262</v>
      </c>
      <c r="D73" s="3" t="s">
        <v>253</v>
      </c>
      <c r="E73" s="14">
        <v>49803.376306806284</v>
      </c>
      <c r="F73" s="14">
        <v>54246.265938380871</v>
      </c>
      <c r="G73" s="14">
        <v>71262.17128058261</v>
      </c>
      <c r="H73" s="14">
        <v>95987.494917697361</v>
      </c>
      <c r="I73" s="14">
        <v>102685.11132708182</v>
      </c>
      <c r="J73" s="14">
        <v>121311.48930648089</v>
      </c>
      <c r="K73" s="14">
        <v>130455.44392015801</v>
      </c>
      <c r="L73" s="14">
        <v>130342.05358196449</v>
      </c>
      <c r="M73" s="14">
        <v>135050.53628078208</v>
      </c>
      <c r="N73" s="14">
        <v>144646.663967876</v>
      </c>
      <c r="O73" s="14">
        <v>161607.79894541533</v>
      </c>
    </row>
    <row r="74" spans="1:15" x14ac:dyDescent="0.3">
      <c r="A74" s="3" t="str">
        <f>INDEX('R1. Scenario specifications'!$C$11:$C$49,MATCH($B74,'R1. Scenario specifications'!$A$11:$A$49,0))</f>
        <v>Vivid Paris NDCs - WEO New Policies Scenario emissions pathway run through TIAM</v>
      </c>
      <c r="B74" s="3" t="s">
        <v>14</v>
      </c>
      <c r="C74" s="3" t="s">
        <v>60</v>
      </c>
      <c r="D74" s="3" t="s">
        <v>254</v>
      </c>
      <c r="E74" s="14">
        <v>132862.88014752162</v>
      </c>
      <c r="F74" s="14">
        <v>167772.98687500271</v>
      </c>
      <c r="G74" s="14">
        <v>133988.90917691623</v>
      </c>
      <c r="H74" s="14">
        <v>141587.52010422843</v>
      </c>
      <c r="I74" s="14">
        <v>157491.69096018586</v>
      </c>
      <c r="J74" s="14">
        <v>171180.64374326335</v>
      </c>
      <c r="K74" s="14">
        <v>190473.01892368216</v>
      </c>
      <c r="L74" s="14">
        <v>251054.60168767086</v>
      </c>
      <c r="M74" s="14">
        <v>310658.7932667858</v>
      </c>
      <c r="N74" s="14">
        <v>350313.11491028685</v>
      </c>
      <c r="O74" s="14">
        <v>390750.55648255319</v>
      </c>
    </row>
    <row r="75" spans="1:15" x14ac:dyDescent="0.3">
      <c r="A75" s="3" t="str">
        <f>INDEX('R1. Scenario specifications'!$C$11:$C$49,MATCH($B75,'R1. Scenario specifications'!$A$11:$A$49,0))</f>
        <v>Vivid Paris NDCs - WEO New Policies Scenario emissions pathway run through TIAM</v>
      </c>
      <c r="B75" s="3" t="s">
        <v>14</v>
      </c>
      <c r="C75" s="3" t="s">
        <v>61</v>
      </c>
      <c r="D75" s="3" t="s">
        <v>255</v>
      </c>
      <c r="E75" s="14">
        <v>113361.40893082572</v>
      </c>
      <c r="F75" s="14">
        <v>125068.22780197491</v>
      </c>
      <c r="G75" s="14">
        <v>164552.1853192726</v>
      </c>
      <c r="H75" s="14">
        <v>176766.93010542684</v>
      </c>
      <c r="I75" s="14">
        <v>177570.50161161661</v>
      </c>
      <c r="J75" s="14">
        <v>186810.83495303156</v>
      </c>
      <c r="K75" s="14">
        <v>199203.04946233658</v>
      </c>
      <c r="L75" s="14">
        <v>201123.92275552941</v>
      </c>
      <c r="M75" s="14">
        <v>201661.02730827912</v>
      </c>
      <c r="N75" s="14">
        <v>200808.09447309194</v>
      </c>
      <c r="O75" s="14">
        <v>195513.23890411388</v>
      </c>
    </row>
    <row r="76" spans="1:15" x14ac:dyDescent="0.3">
      <c r="A76" s="3" t="str">
        <f>INDEX('R1. Scenario specifications'!$C$11:$C$49,MATCH($B76,'R1. Scenario specifications'!$A$11:$A$49,0))</f>
        <v>Vivid Paris NDCs - WEO New Policies Scenario emissions pathway run through TIAM</v>
      </c>
      <c r="B76" s="3" t="s">
        <v>14</v>
      </c>
      <c r="C76" s="3" t="s">
        <v>263</v>
      </c>
      <c r="D76" s="3" t="s">
        <v>256</v>
      </c>
      <c r="E76" s="14">
        <v>10361.182910638019</v>
      </c>
      <c r="F76" s="14">
        <v>10438.652617147358</v>
      </c>
      <c r="G76" s="14">
        <v>14734.740994143709</v>
      </c>
      <c r="H76" s="14">
        <v>17241.713076375538</v>
      </c>
      <c r="I76" s="14">
        <v>19088.767938388879</v>
      </c>
      <c r="J76" s="14">
        <v>20498.349948626248</v>
      </c>
      <c r="K76" s="14">
        <v>20788.493831528063</v>
      </c>
      <c r="L76" s="14">
        <v>20654.057746635459</v>
      </c>
      <c r="M76" s="14">
        <v>20519.621661742876</v>
      </c>
      <c r="N76" s="14">
        <v>20385.185576850283</v>
      </c>
      <c r="O76" s="14">
        <v>20208.202398589739</v>
      </c>
    </row>
    <row r="77" spans="1:15" x14ac:dyDescent="0.3">
      <c r="A77" s="3" t="str">
        <f>INDEX('R1. Scenario specifications'!$C$11:$C$49,MATCH($B77,'R1. Scenario specifications'!$A$11:$A$49,0))</f>
        <v>Vivid Paris NDCs - WEO New Policies Scenario emissions pathway run through TIAM</v>
      </c>
      <c r="B77" s="3" t="s">
        <v>14</v>
      </c>
      <c r="C77" s="3" t="s">
        <v>264</v>
      </c>
      <c r="D77" s="3" t="s">
        <v>257</v>
      </c>
      <c r="E77" s="14">
        <v>9499.4101148835834</v>
      </c>
      <c r="F77" s="14">
        <v>9854.7685931259057</v>
      </c>
      <c r="G77" s="14">
        <v>13753.197500000002</v>
      </c>
      <c r="H77" s="14">
        <v>14514.167854150608</v>
      </c>
      <c r="I77" s="14">
        <v>15191.631806438925</v>
      </c>
      <c r="J77" s="14">
        <v>18032.949236508612</v>
      </c>
      <c r="K77" s="14">
        <v>19125.22986582456</v>
      </c>
      <c r="L77" s="14">
        <v>19855.027820120369</v>
      </c>
      <c r="M77" s="14">
        <v>21444.150972167816</v>
      </c>
      <c r="N77" s="14">
        <v>22856.653316870357</v>
      </c>
      <c r="O77" s="14">
        <v>23679.924999999999</v>
      </c>
    </row>
    <row r="78" spans="1:15" x14ac:dyDescent="0.3">
      <c r="A78" s="3" t="str">
        <f>INDEX('R1. Scenario specifications'!$C$11:$C$49,MATCH($B78,'R1. Scenario specifications'!$A$11:$A$49,0))</f>
        <v>Vivid Paris NDCs - WEO New Policies Scenario emissions pathway run through TIAM</v>
      </c>
      <c r="B78" s="3" t="s">
        <v>14</v>
      </c>
      <c r="C78" s="3" t="s">
        <v>62</v>
      </c>
      <c r="D78" s="3" t="s">
        <v>266</v>
      </c>
      <c r="E78" s="14">
        <v>152832.4479725429</v>
      </c>
      <c r="F78" s="14">
        <v>158538.7874200783</v>
      </c>
      <c r="G78" s="14">
        <v>170699.74489631387</v>
      </c>
      <c r="H78" s="14">
        <v>176541.28948572898</v>
      </c>
      <c r="I78" s="14">
        <v>175693.91429642565</v>
      </c>
      <c r="J78" s="14">
        <v>167702.98450333846</v>
      </c>
      <c r="K78" s="14">
        <v>165659.89451609692</v>
      </c>
      <c r="L78" s="14">
        <v>169460.97546942573</v>
      </c>
      <c r="M78" s="14">
        <v>156755.18912794947</v>
      </c>
      <c r="N78" s="14">
        <v>148822.12010019345</v>
      </c>
      <c r="O78" s="14">
        <v>133360.07043625021</v>
      </c>
    </row>
    <row r="79" spans="1:15" x14ac:dyDescent="0.3">
      <c r="A79" s="3" t="str">
        <f>INDEX('R1. Scenario specifications'!$C$11:$C$49,MATCH($B79,'R1. Scenario specifications'!$A$11:$A$49,0))</f>
        <v>Vivid Paris NDCs - WEO New Policies Scenario emissions pathway run through TIAM</v>
      </c>
      <c r="B79" s="3" t="s">
        <v>14</v>
      </c>
      <c r="C79" s="3" t="s">
        <v>66</v>
      </c>
      <c r="D79" s="3" t="s">
        <v>258</v>
      </c>
      <c r="E79" s="14">
        <v>202.7012537766515</v>
      </c>
      <c r="F79" s="14">
        <v>194.90848865877462</v>
      </c>
      <c r="G79" s="14">
        <v>2771.4154518439864</v>
      </c>
      <c r="H79" s="14">
        <v>4278.9486538824649</v>
      </c>
      <c r="I79" s="14">
        <v>5786.4818559209407</v>
      </c>
      <c r="J79" s="14">
        <v>7288.2593035987747</v>
      </c>
      <c r="K79" s="14">
        <v>7136.0300134769814</v>
      </c>
      <c r="L79" s="14">
        <v>7136.0300134769814</v>
      </c>
      <c r="M79" s="14">
        <v>7136.0300134769814</v>
      </c>
      <c r="N79" s="14">
        <v>7083.0843443719541</v>
      </c>
      <c r="O79" s="14">
        <v>7113.3320930653672</v>
      </c>
    </row>
    <row r="80" spans="1:15" x14ac:dyDescent="0.3">
      <c r="A80" s="3" t="str">
        <f>INDEX('R1. Scenario specifications'!$C$11:$C$49,MATCH($B80,'R1. Scenario specifications'!$A$11:$A$49,0))</f>
        <v>Vivid Paris NDCs - WEO New Policies Scenario emissions pathway run through TIAM</v>
      </c>
      <c r="B80" s="3" t="s">
        <v>14</v>
      </c>
      <c r="C80" s="3" t="s">
        <v>70</v>
      </c>
      <c r="D80" s="3" t="s">
        <v>259</v>
      </c>
      <c r="E80" s="14">
        <v>67.937052631788802</v>
      </c>
      <c r="F80" s="14">
        <v>458.66984800047192</v>
      </c>
      <c r="G80" s="14">
        <v>917.48161125092997</v>
      </c>
      <c r="H80" s="14">
        <v>2670.3548260954558</v>
      </c>
      <c r="I80" s="14">
        <v>7654.3346505861427</v>
      </c>
      <c r="J80" s="14">
        <v>18495.842434518949</v>
      </c>
      <c r="K80" s="14">
        <v>22133.755621556393</v>
      </c>
      <c r="L80" s="14">
        <v>22996.845022681151</v>
      </c>
      <c r="M80" s="14">
        <v>23526.249752027801</v>
      </c>
      <c r="N80" s="14">
        <v>24047.837034506247</v>
      </c>
      <c r="O80" s="14">
        <v>25117.008224091845</v>
      </c>
    </row>
    <row r="81" spans="1:15" x14ac:dyDescent="0.3">
      <c r="A81" s="3" t="str">
        <f>INDEX('R1. Scenario specifications'!$C$11:$C$49,MATCH($B81,'R1. Scenario specifications'!$A$11:$A$49,0))</f>
        <v>Vivid Paris NDCs - WEO New Policies Scenario emissions pathway run through TIAM</v>
      </c>
      <c r="B81" s="3" t="s">
        <v>14</v>
      </c>
      <c r="C81" s="3" t="s">
        <v>71</v>
      </c>
      <c r="D81" s="3" t="s">
        <v>259</v>
      </c>
      <c r="E81" s="14">
        <v>55.461114646679903</v>
      </c>
      <c r="F81" s="14">
        <v>60.524118034134894</v>
      </c>
      <c r="G81" s="14">
        <v>64.687762917592892</v>
      </c>
      <c r="H81" s="14">
        <v>64.713826068531574</v>
      </c>
      <c r="I81" s="14">
        <v>64.730146695452547</v>
      </c>
      <c r="J81" s="14">
        <v>64.745744116304763</v>
      </c>
      <c r="K81" s="14">
        <v>64.733933129423676</v>
      </c>
      <c r="L81" s="14">
        <v>64.718900966505885</v>
      </c>
      <c r="M81" s="14">
        <v>64.705251185961373</v>
      </c>
      <c r="N81" s="14">
        <v>64.695120157660568</v>
      </c>
      <c r="O81" s="14">
        <v>64.684989129359764</v>
      </c>
    </row>
    <row r="82" spans="1:15" x14ac:dyDescent="0.3">
      <c r="A82" s="3" t="str">
        <f>INDEX('R1. Scenario specifications'!$C$11:$C$49,MATCH($B82,'R1. Scenario specifications'!$A$11:$A$49,0))</f>
        <v>Vivid Paris NDCs - WEO New Policies Scenario emissions pathway run through TIAM</v>
      </c>
      <c r="B82" s="3" t="s">
        <v>14</v>
      </c>
      <c r="C82" s="3" t="s">
        <v>75</v>
      </c>
      <c r="D82" s="3" t="s">
        <v>258</v>
      </c>
      <c r="E82" s="14">
        <v>1.963099940637433</v>
      </c>
      <c r="F82" s="14">
        <v>1.7858497922310126</v>
      </c>
      <c r="G82" s="14">
        <v>1.5022495547807513</v>
      </c>
      <c r="H82" s="14">
        <v>1.0014997031871682</v>
      </c>
      <c r="I82" s="14">
        <v>0.50074985159358421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</row>
    <row r="83" spans="1:15" x14ac:dyDescent="0.3">
      <c r="A83" s="3" t="str">
        <f>INDEX('R1. Scenario specifications'!$C$11:$C$49,MATCH($B83,'R1. Scenario specifications'!$A$11:$A$49,0))</f>
        <v>Vivid Paris NDCs - WEO New Policies Scenario emissions pathway run through TIAM</v>
      </c>
      <c r="B83" s="3" t="s">
        <v>14</v>
      </c>
      <c r="C83" s="3" t="s">
        <v>72</v>
      </c>
      <c r="D83" s="3" t="s">
        <v>260</v>
      </c>
      <c r="E83" s="14">
        <v>1517.4635089937533</v>
      </c>
      <c r="F83" s="14">
        <v>1704.9418897085425</v>
      </c>
      <c r="G83" s="14">
        <v>2685.5545190640855</v>
      </c>
      <c r="H83" s="14">
        <v>10882.32058635127</v>
      </c>
      <c r="I83" s="14">
        <v>27797.586268754509</v>
      </c>
      <c r="J83" s="14">
        <v>35685.876785717061</v>
      </c>
      <c r="K83" s="14">
        <v>46014.388008862428</v>
      </c>
      <c r="L83" s="14">
        <v>56296.900184074904</v>
      </c>
      <c r="M83" s="14">
        <v>68006.394821006877</v>
      </c>
      <c r="N83" s="14">
        <v>79607.158786818734</v>
      </c>
      <c r="O83" s="14">
        <v>92930.676179710572</v>
      </c>
    </row>
    <row r="84" spans="1:15" x14ac:dyDescent="0.3">
      <c r="A84" s="3" t="str">
        <f>INDEX('R1. Scenario specifications'!$C$11:$C$49,MATCH($B84,'R1. Scenario specifications'!$A$11:$A$49,0))</f>
        <v>Current 2DS, 2020 start, 'Expect the Unexpected'</v>
      </c>
      <c r="B84" s="3" t="s">
        <v>15</v>
      </c>
      <c r="C84" s="3" t="s">
        <v>262</v>
      </c>
      <c r="D84" s="3" t="s">
        <v>253</v>
      </c>
      <c r="E84" s="14">
        <v>49803.376306806284</v>
      </c>
      <c r="F84" s="14">
        <v>54246.265938380871</v>
      </c>
      <c r="G84" s="14">
        <v>71262.17128058261</v>
      </c>
      <c r="H84" s="14">
        <v>104851.12155290123</v>
      </c>
      <c r="I84" s="14">
        <v>120492.83509216137</v>
      </c>
      <c r="J84" s="14">
        <v>149365.82653458969</v>
      </c>
      <c r="K84" s="14">
        <v>176281.70082362634</v>
      </c>
      <c r="L84" s="14">
        <v>229824.54927759647</v>
      </c>
      <c r="M84" s="14">
        <v>273487.76998288673</v>
      </c>
      <c r="N84" s="14">
        <v>308249.14727407543</v>
      </c>
      <c r="O84" s="14">
        <v>327801.82519987621</v>
      </c>
    </row>
    <row r="85" spans="1:15" x14ac:dyDescent="0.3">
      <c r="A85" s="3" t="str">
        <f>INDEX('R1. Scenario specifications'!$C$11:$C$49,MATCH($B85,'R1. Scenario specifications'!$A$11:$A$49,0))</f>
        <v>Current 2DS, 2020 start, 'Expect the Unexpected'</v>
      </c>
      <c r="B85" s="3" t="s">
        <v>15</v>
      </c>
      <c r="C85" s="3" t="s">
        <v>60</v>
      </c>
      <c r="D85" s="3" t="s">
        <v>254</v>
      </c>
      <c r="E85" s="14">
        <v>132862.88014752162</v>
      </c>
      <c r="F85" s="14">
        <v>167772.98687500271</v>
      </c>
      <c r="G85" s="14">
        <v>133988.90917691623</v>
      </c>
      <c r="H85" s="14">
        <v>106915.28758791123</v>
      </c>
      <c r="I85" s="14">
        <v>88697.511533150682</v>
      </c>
      <c r="J85" s="14">
        <v>82830.756818283815</v>
      </c>
      <c r="K85" s="14">
        <v>88506.349569171289</v>
      </c>
      <c r="L85" s="14">
        <v>89406.700589456741</v>
      </c>
      <c r="M85" s="14">
        <v>96582.170339683216</v>
      </c>
      <c r="N85" s="14">
        <v>97725.707701886175</v>
      </c>
      <c r="O85" s="14">
        <v>98782.969735000559</v>
      </c>
    </row>
    <row r="86" spans="1:15" x14ac:dyDescent="0.3">
      <c r="A86" s="3" t="str">
        <f>INDEX('R1. Scenario specifications'!$C$11:$C$49,MATCH($B86,'R1. Scenario specifications'!$A$11:$A$49,0))</f>
        <v>Current 2DS, 2020 start, 'Expect the Unexpected'</v>
      </c>
      <c r="B86" s="3" t="s">
        <v>15</v>
      </c>
      <c r="C86" s="3" t="s">
        <v>61</v>
      </c>
      <c r="D86" s="3" t="s">
        <v>255</v>
      </c>
      <c r="E86" s="14">
        <v>113361.40893082572</v>
      </c>
      <c r="F86" s="14">
        <v>125068.22780197491</v>
      </c>
      <c r="G86" s="14">
        <v>164552.1853192726</v>
      </c>
      <c r="H86" s="14">
        <v>181023.47390344125</v>
      </c>
      <c r="I86" s="14">
        <v>190353.69102734642</v>
      </c>
      <c r="J86" s="14">
        <v>197765.15809754399</v>
      </c>
      <c r="K86" s="14">
        <v>188291.78919820685</v>
      </c>
      <c r="L86" s="14">
        <v>169322.16843601316</v>
      </c>
      <c r="M86" s="14">
        <v>144628.13552542642</v>
      </c>
      <c r="N86" s="14">
        <v>97980.471516915844</v>
      </c>
      <c r="O86" s="14">
        <v>83775.421817905371</v>
      </c>
    </row>
    <row r="87" spans="1:15" x14ac:dyDescent="0.3">
      <c r="A87" s="3" t="str">
        <f>INDEX('R1. Scenario specifications'!$C$11:$C$49,MATCH($B87,'R1. Scenario specifications'!$A$11:$A$49,0))</f>
        <v>Current 2DS, 2020 start, 'Expect the Unexpected'</v>
      </c>
      <c r="B87" s="3" t="s">
        <v>15</v>
      </c>
      <c r="C87" s="3" t="s">
        <v>263</v>
      </c>
      <c r="D87" s="3" t="s">
        <v>256</v>
      </c>
      <c r="E87" s="14">
        <v>10361.182910638019</v>
      </c>
      <c r="F87" s="14">
        <v>10438.652617147358</v>
      </c>
      <c r="G87" s="14">
        <v>14734.740994143709</v>
      </c>
      <c r="H87" s="14">
        <v>17428.252668332996</v>
      </c>
      <c r="I87" s="14">
        <v>20364.195648658264</v>
      </c>
      <c r="J87" s="14">
        <v>23790.208360954173</v>
      </c>
      <c r="K87" s="14">
        <v>25650.488693715753</v>
      </c>
      <c r="L87" s="14">
        <v>26839.471107177076</v>
      </c>
      <c r="M87" s="14">
        <v>29826.529269349441</v>
      </c>
      <c r="N87" s="14">
        <v>36451.06173015001</v>
      </c>
      <c r="O87" s="14">
        <v>38926.967271773916</v>
      </c>
    </row>
    <row r="88" spans="1:15" x14ac:dyDescent="0.3">
      <c r="A88" s="3" t="str">
        <f>INDEX('R1. Scenario specifications'!$C$11:$C$49,MATCH($B88,'R1. Scenario specifications'!$A$11:$A$49,0))</f>
        <v>Current 2DS, 2020 start, 'Expect the Unexpected'</v>
      </c>
      <c r="B88" s="3" t="s">
        <v>15</v>
      </c>
      <c r="C88" s="3" t="s">
        <v>264</v>
      </c>
      <c r="D88" s="3" t="s">
        <v>257</v>
      </c>
      <c r="E88" s="14">
        <v>9499.4101148835834</v>
      </c>
      <c r="F88" s="14">
        <v>9854.7685931259057</v>
      </c>
      <c r="G88" s="14">
        <v>13753.197500000002</v>
      </c>
      <c r="H88" s="14">
        <v>14514.167854150608</v>
      </c>
      <c r="I88" s="14">
        <v>16581.74997273034</v>
      </c>
      <c r="J88" s="14">
        <v>23100.058135655392</v>
      </c>
      <c r="K88" s="14">
        <v>29261.482250082499</v>
      </c>
      <c r="L88" s="14">
        <v>32599.848668704006</v>
      </c>
      <c r="M88" s="14">
        <v>34710.866813346693</v>
      </c>
      <c r="N88" s="14">
        <v>38384.767147552018</v>
      </c>
      <c r="O88" s="14">
        <v>39733.175000000003</v>
      </c>
    </row>
    <row r="89" spans="1:15" x14ac:dyDescent="0.3">
      <c r="A89" s="3" t="str">
        <f>INDEX('R1. Scenario specifications'!$C$11:$C$49,MATCH($B89,'R1. Scenario specifications'!$A$11:$A$49,0))</f>
        <v>Current 2DS, 2020 start, 'Expect the Unexpected'</v>
      </c>
      <c r="B89" s="3" t="s">
        <v>15</v>
      </c>
      <c r="C89" s="3" t="s">
        <v>62</v>
      </c>
      <c r="D89" s="3" t="s">
        <v>266</v>
      </c>
      <c r="E89" s="14">
        <v>152832.4479725429</v>
      </c>
      <c r="F89" s="14">
        <v>158538.7874200783</v>
      </c>
      <c r="G89" s="14">
        <v>170699.74489631387</v>
      </c>
      <c r="H89" s="14">
        <v>173506.79141583553</v>
      </c>
      <c r="I89" s="14">
        <v>171359.19362465074</v>
      </c>
      <c r="J89" s="14">
        <v>159922.83552746987</v>
      </c>
      <c r="K89" s="14">
        <v>158545.6879546165</v>
      </c>
      <c r="L89" s="14">
        <v>158609.6653606749</v>
      </c>
      <c r="M89" s="14">
        <v>159531.05533915831</v>
      </c>
      <c r="N89" s="14">
        <v>154375.20268023945</v>
      </c>
      <c r="O89" s="14">
        <v>137687.56212729611</v>
      </c>
    </row>
    <row r="90" spans="1:15" x14ac:dyDescent="0.3">
      <c r="A90" s="3" t="str">
        <f>INDEX('R1. Scenario specifications'!$C$11:$C$49,MATCH($B90,'R1. Scenario specifications'!$A$11:$A$49,0))</f>
        <v>Current 2DS, 2020 start, 'Expect the Unexpected'</v>
      </c>
      <c r="B90" s="3" t="s">
        <v>15</v>
      </c>
      <c r="C90" s="3" t="s">
        <v>66</v>
      </c>
      <c r="D90" s="3" t="s">
        <v>258</v>
      </c>
      <c r="E90" s="14">
        <v>202.7012537766515</v>
      </c>
      <c r="F90" s="14">
        <v>194.90848865877462</v>
      </c>
      <c r="G90" s="14">
        <v>2771.4154518439864</v>
      </c>
      <c r="H90" s="14">
        <v>4289.802543453764</v>
      </c>
      <c r="I90" s="14">
        <v>5842.7587535486773</v>
      </c>
      <c r="J90" s="14">
        <v>8146.624357109562</v>
      </c>
      <c r="K90" s="14">
        <v>12120.057810771468</v>
      </c>
      <c r="L90" s="14">
        <v>14231.810283897139</v>
      </c>
      <c r="M90" s="14">
        <v>15624.174144035418</v>
      </c>
      <c r="N90" s="14">
        <v>23058.221809716379</v>
      </c>
      <c r="O90" s="14">
        <v>25725.622603322827</v>
      </c>
    </row>
    <row r="91" spans="1:15" x14ac:dyDescent="0.3">
      <c r="A91" s="3" t="str">
        <f>INDEX('R1. Scenario specifications'!$C$11:$C$49,MATCH($B91,'R1. Scenario specifications'!$A$11:$A$49,0))</f>
        <v>Current 2DS, 2020 start, 'Expect the Unexpected'</v>
      </c>
      <c r="B91" s="3" t="s">
        <v>15</v>
      </c>
      <c r="C91" s="3" t="s">
        <v>70</v>
      </c>
      <c r="D91" s="3" t="s">
        <v>259</v>
      </c>
      <c r="E91" s="14">
        <v>67.937052631788802</v>
      </c>
      <c r="F91" s="14">
        <v>458.66984800047192</v>
      </c>
      <c r="G91" s="14">
        <v>917.48161125092997</v>
      </c>
      <c r="H91" s="14">
        <v>4281.3973409693535</v>
      </c>
      <c r="I91" s="14">
        <v>14413.333051530297</v>
      </c>
      <c r="J91" s="14">
        <v>25366.249877192175</v>
      </c>
      <c r="K91" s="14">
        <v>32545.145563928483</v>
      </c>
      <c r="L91" s="14">
        <v>40572.43907884042</v>
      </c>
      <c r="M91" s="14">
        <v>56737.394697464544</v>
      </c>
      <c r="N91" s="14">
        <v>86904.478439008482</v>
      </c>
      <c r="O91" s="14">
        <v>98890.44400587058</v>
      </c>
    </row>
    <row r="92" spans="1:15" x14ac:dyDescent="0.3">
      <c r="A92" s="3" t="str">
        <f>INDEX('R1. Scenario specifications'!$C$11:$C$49,MATCH($B92,'R1. Scenario specifications'!$A$11:$A$49,0))</f>
        <v>Current 2DS, 2020 start, 'Expect the Unexpected'</v>
      </c>
      <c r="B92" s="3" t="s">
        <v>15</v>
      </c>
      <c r="C92" s="3" t="s">
        <v>71</v>
      </c>
      <c r="D92" s="3" t="s">
        <v>259</v>
      </c>
      <c r="E92" s="14">
        <v>55.461114646679903</v>
      </c>
      <c r="F92" s="14">
        <v>60.524118034134894</v>
      </c>
      <c r="G92" s="14">
        <v>64.687762917592892</v>
      </c>
      <c r="H92" s="14">
        <v>64.716528064517092</v>
      </c>
      <c r="I92" s="14">
        <v>64.781802833529241</v>
      </c>
      <c r="J92" s="14">
        <v>65.030939862953346</v>
      </c>
      <c r="K92" s="14">
        <v>66.141713696568715</v>
      </c>
      <c r="L92" s="14">
        <v>71.519235365904876</v>
      </c>
      <c r="M92" s="14">
        <v>84.46980964943495</v>
      </c>
      <c r="N92" s="14">
        <v>146.77880840037903</v>
      </c>
      <c r="O92" s="14">
        <v>146.75856988224785</v>
      </c>
    </row>
    <row r="93" spans="1:15" x14ac:dyDescent="0.3">
      <c r="A93" s="3" t="str">
        <f>INDEX('R1. Scenario specifications'!$C$11:$C$49,MATCH($B93,'R1. Scenario specifications'!$A$11:$A$49,0))</f>
        <v>Current 2DS, 2020 start, 'Expect the Unexpected'</v>
      </c>
      <c r="B93" s="3" t="s">
        <v>15</v>
      </c>
      <c r="C93" s="3" t="s">
        <v>75</v>
      </c>
      <c r="D93" s="3" t="s">
        <v>258</v>
      </c>
      <c r="E93" s="14">
        <v>1.963099940637433</v>
      </c>
      <c r="F93" s="14">
        <v>1.7858497922310126</v>
      </c>
      <c r="G93" s="14">
        <v>1.5022495547807513</v>
      </c>
      <c r="H93" s="14">
        <v>1.0014997031871673</v>
      </c>
      <c r="I93" s="14">
        <v>0.50074985159358421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</row>
    <row r="94" spans="1:15" x14ac:dyDescent="0.3">
      <c r="A94" s="3" t="str">
        <f>INDEX('R1. Scenario specifications'!$C$11:$C$49,MATCH($B94,'R1. Scenario specifications'!$A$11:$A$49,0))</f>
        <v>Current 2DS, 2020 start, 'Expect the Unexpected'</v>
      </c>
      <c r="B94" s="3" t="s">
        <v>15</v>
      </c>
      <c r="C94" s="3" t="s">
        <v>72</v>
      </c>
      <c r="D94" s="3" t="s">
        <v>260</v>
      </c>
      <c r="E94" s="14">
        <v>1517.4635089937533</v>
      </c>
      <c r="F94" s="14">
        <v>1704.9418897085425</v>
      </c>
      <c r="G94" s="14">
        <v>2685.5545190640855</v>
      </c>
      <c r="H94" s="14">
        <v>11687.103641782611</v>
      </c>
      <c r="I94" s="14">
        <v>27133.166085332879</v>
      </c>
      <c r="J94" s="14">
        <v>35070.13325460851</v>
      </c>
      <c r="K94" s="14">
        <v>47531.225316239877</v>
      </c>
      <c r="L94" s="14">
        <v>61757.030217582171</v>
      </c>
      <c r="M94" s="14">
        <v>89103.143474557583</v>
      </c>
      <c r="N94" s="14">
        <v>143091.26545193396</v>
      </c>
      <c r="O94" s="14">
        <v>181138.44005837044</v>
      </c>
    </row>
    <row r="95" spans="1:15" x14ac:dyDescent="0.3">
      <c r="A95" s="3" t="str">
        <f>INDEX('R1. Scenario specifications'!$C$11:$C$49,MATCH($B95,'R1. Scenario specifications'!$A$11:$A$49,0))</f>
        <v>Current 2DS, 2030 start, 'Expect the Unexpected' but with cheap energy efficiency</v>
      </c>
      <c r="B95" s="3" t="s">
        <v>16</v>
      </c>
      <c r="C95" s="3" t="s">
        <v>262</v>
      </c>
      <c r="D95" s="3" t="s">
        <v>253</v>
      </c>
      <c r="E95" s="14">
        <v>49803.376306806284</v>
      </c>
      <c r="F95" s="14">
        <v>54246.265938380871</v>
      </c>
      <c r="G95" s="14">
        <v>71262.17128058261</v>
      </c>
      <c r="H95" s="14">
        <v>95987.494917697361</v>
      </c>
      <c r="I95" s="14">
        <v>110378.83983016032</v>
      </c>
      <c r="J95" s="14">
        <v>132692.90147454746</v>
      </c>
      <c r="K95" s="14">
        <v>151060.35268668932</v>
      </c>
      <c r="L95" s="14">
        <v>205398.7874397478</v>
      </c>
      <c r="M95" s="14">
        <v>258240.85236282554</v>
      </c>
      <c r="N95" s="14">
        <v>296015.00385621336</v>
      </c>
      <c r="O95" s="14">
        <v>327352.84611166309</v>
      </c>
    </row>
    <row r="96" spans="1:15" x14ac:dyDescent="0.3">
      <c r="A96" s="3" t="str">
        <f>INDEX('R1. Scenario specifications'!$C$11:$C$49,MATCH($B96,'R1. Scenario specifications'!$A$11:$A$49,0))</f>
        <v>Current 2DS, 2030 start, 'Expect the Unexpected' but with cheap energy efficiency</v>
      </c>
      <c r="B96" s="3" t="s">
        <v>16</v>
      </c>
      <c r="C96" s="3" t="s">
        <v>60</v>
      </c>
      <c r="D96" s="3" t="s">
        <v>254</v>
      </c>
      <c r="E96" s="14">
        <v>132862.88014752162</v>
      </c>
      <c r="F96" s="14">
        <v>167772.98687500271</v>
      </c>
      <c r="G96" s="14">
        <v>133988.90917691623</v>
      </c>
      <c r="H96" s="14">
        <v>141587.52010422843</v>
      </c>
      <c r="I96" s="14">
        <v>99633.230053615771</v>
      </c>
      <c r="J96" s="14">
        <v>74446.828422751219</v>
      </c>
      <c r="K96" s="14">
        <v>59802.483354025557</v>
      </c>
      <c r="L96" s="14">
        <v>68636.243877983215</v>
      </c>
      <c r="M96" s="14">
        <v>75813.015053490919</v>
      </c>
      <c r="N96" s="14">
        <v>77694.76116596027</v>
      </c>
      <c r="O96" s="14">
        <v>73576.165219322371</v>
      </c>
    </row>
    <row r="97" spans="1:15" x14ac:dyDescent="0.3">
      <c r="A97" s="3" t="str">
        <f>INDEX('R1. Scenario specifications'!$C$11:$C$49,MATCH($B97,'R1. Scenario specifications'!$A$11:$A$49,0))</f>
        <v>Current 2DS, 2030 start, 'Expect the Unexpected' but with cheap energy efficiency</v>
      </c>
      <c r="B97" s="3" t="s">
        <v>16</v>
      </c>
      <c r="C97" s="3" t="s">
        <v>61</v>
      </c>
      <c r="D97" s="3" t="s">
        <v>255</v>
      </c>
      <c r="E97" s="14">
        <v>113361.40893082572</v>
      </c>
      <c r="F97" s="14">
        <v>125068.22780197491</v>
      </c>
      <c r="G97" s="14">
        <v>164552.1853192726</v>
      </c>
      <c r="H97" s="14">
        <v>176766.93010542684</v>
      </c>
      <c r="I97" s="14">
        <v>178471.70397591832</v>
      </c>
      <c r="J97" s="14">
        <v>167787.38188914099</v>
      </c>
      <c r="K97" s="14">
        <v>167847.2171383547</v>
      </c>
      <c r="L97" s="14">
        <v>147101.85286433308</v>
      </c>
      <c r="M97" s="14">
        <v>122919.71588230977</v>
      </c>
      <c r="N97" s="14">
        <v>84080.135986924404</v>
      </c>
      <c r="O97" s="14">
        <v>65273.174607026638</v>
      </c>
    </row>
    <row r="98" spans="1:15" x14ac:dyDescent="0.3">
      <c r="A98" s="3" t="str">
        <f>INDEX('R1. Scenario specifications'!$C$11:$C$49,MATCH($B98,'R1. Scenario specifications'!$A$11:$A$49,0))</f>
        <v>Current 2DS, 2030 start, 'Expect the Unexpected' but with cheap energy efficiency</v>
      </c>
      <c r="B98" s="3" t="s">
        <v>16</v>
      </c>
      <c r="C98" s="3" t="s">
        <v>263</v>
      </c>
      <c r="D98" s="3" t="s">
        <v>256</v>
      </c>
      <c r="E98" s="14">
        <v>10361.182910638019</v>
      </c>
      <c r="F98" s="14">
        <v>10438.652617147358</v>
      </c>
      <c r="G98" s="14">
        <v>14734.740994143709</v>
      </c>
      <c r="H98" s="14">
        <v>17241.713076375538</v>
      </c>
      <c r="I98" s="14">
        <v>19501.23723995364</v>
      </c>
      <c r="J98" s="14">
        <v>22744.778370166085</v>
      </c>
      <c r="K98" s="14">
        <v>24327.126201357954</v>
      </c>
      <c r="L98" s="14">
        <v>24304.162306190963</v>
      </c>
      <c r="M98" s="14">
        <v>25595.362647791215</v>
      </c>
      <c r="N98" s="14">
        <v>31993.667579705107</v>
      </c>
      <c r="O98" s="14">
        <v>35185.698194486991</v>
      </c>
    </row>
    <row r="99" spans="1:15" x14ac:dyDescent="0.3">
      <c r="A99" s="3" t="str">
        <f>INDEX('R1. Scenario specifications'!$C$11:$C$49,MATCH($B99,'R1. Scenario specifications'!$A$11:$A$49,0))</f>
        <v>Current 2DS, 2030 start, 'Expect the Unexpected' but with cheap energy efficiency</v>
      </c>
      <c r="B99" s="3" t="s">
        <v>16</v>
      </c>
      <c r="C99" s="3" t="s">
        <v>264</v>
      </c>
      <c r="D99" s="3" t="s">
        <v>257</v>
      </c>
      <c r="E99" s="14">
        <v>9499.4101148835834</v>
      </c>
      <c r="F99" s="14">
        <v>9854.7685931259057</v>
      </c>
      <c r="G99" s="14">
        <v>13753.197500000002</v>
      </c>
      <c r="H99" s="14">
        <v>14514.167854150608</v>
      </c>
      <c r="I99" s="14">
        <v>15191.631806438925</v>
      </c>
      <c r="J99" s="14">
        <v>21456.309859441833</v>
      </c>
      <c r="K99" s="14">
        <v>27472.333715478231</v>
      </c>
      <c r="L99" s="14">
        <v>30620.062634624126</v>
      </c>
      <c r="M99" s="14">
        <v>32168.056082794705</v>
      </c>
      <c r="N99" s="14">
        <v>37908.53</v>
      </c>
      <c r="O99" s="14">
        <v>39237.675000000003</v>
      </c>
    </row>
    <row r="100" spans="1:15" x14ac:dyDescent="0.3">
      <c r="A100" s="3" t="str">
        <f>INDEX('R1. Scenario specifications'!$C$11:$C$49,MATCH($B100,'R1. Scenario specifications'!$A$11:$A$49,0))</f>
        <v>Current 2DS, 2030 start, 'Expect the Unexpected' but with cheap energy efficiency</v>
      </c>
      <c r="B100" s="3" t="s">
        <v>16</v>
      </c>
      <c r="C100" s="3" t="s">
        <v>62</v>
      </c>
      <c r="D100" s="3" t="s">
        <v>266</v>
      </c>
      <c r="E100" s="14">
        <v>152832.4479725429</v>
      </c>
      <c r="F100" s="14">
        <v>158538.7874200783</v>
      </c>
      <c r="G100" s="14">
        <v>170699.74489631387</v>
      </c>
      <c r="H100" s="14">
        <v>176541.28948572898</v>
      </c>
      <c r="I100" s="14">
        <v>161611.56803116199</v>
      </c>
      <c r="J100" s="14">
        <v>144458.00311016449</v>
      </c>
      <c r="K100" s="14">
        <v>143062.89783743845</v>
      </c>
      <c r="L100" s="14">
        <v>141339.15469013297</v>
      </c>
      <c r="M100" s="14">
        <v>140042.58748362781</v>
      </c>
      <c r="N100" s="14">
        <v>138915.24303883084</v>
      </c>
      <c r="O100" s="14">
        <v>126434.86530651324</v>
      </c>
    </row>
    <row r="101" spans="1:15" x14ac:dyDescent="0.3">
      <c r="A101" s="3" t="str">
        <f>INDEX('R1. Scenario specifications'!$C$11:$C$49,MATCH($B101,'R1. Scenario specifications'!$A$11:$A$49,0))</f>
        <v>Current 2DS, 2030 start, 'Expect the Unexpected' but with cheap energy efficiency</v>
      </c>
      <c r="B101" s="3" t="s">
        <v>16</v>
      </c>
      <c r="C101" s="3" t="s">
        <v>66</v>
      </c>
      <c r="D101" s="3" t="s">
        <v>258</v>
      </c>
      <c r="E101" s="14">
        <v>202.7012537766515</v>
      </c>
      <c r="F101" s="14">
        <v>194.90848865877462</v>
      </c>
      <c r="G101" s="14">
        <v>2771.4154518439864</v>
      </c>
      <c r="H101" s="14">
        <v>4278.9486538824649</v>
      </c>
      <c r="I101" s="14">
        <v>5808.1896350635388</v>
      </c>
      <c r="J101" s="14">
        <v>7674.575232110441</v>
      </c>
      <c r="K101" s="14">
        <v>9674.0016227814212</v>
      </c>
      <c r="L101" s="14">
        <v>9523.3885565262026</v>
      </c>
      <c r="M101" s="14">
        <v>10157.120979606987</v>
      </c>
      <c r="N101" s="14">
        <v>14386.398219019888</v>
      </c>
      <c r="O101" s="14">
        <v>18307.089969940625</v>
      </c>
    </row>
    <row r="102" spans="1:15" x14ac:dyDescent="0.3">
      <c r="A102" s="3" t="str">
        <f>INDEX('R1. Scenario specifications'!$C$11:$C$49,MATCH($B102,'R1. Scenario specifications'!$A$11:$A$49,0))</f>
        <v>Current 2DS, 2030 start, 'Expect the Unexpected' but with cheap energy efficiency</v>
      </c>
      <c r="B102" s="3" t="s">
        <v>16</v>
      </c>
      <c r="C102" s="3" t="s">
        <v>70</v>
      </c>
      <c r="D102" s="3" t="s">
        <v>259</v>
      </c>
      <c r="E102" s="14">
        <v>67.937052631788802</v>
      </c>
      <c r="F102" s="14">
        <v>458.66984800047192</v>
      </c>
      <c r="G102" s="14">
        <v>917.48161125092997</v>
      </c>
      <c r="H102" s="14">
        <v>2670.3548260954558</v>
      </c>
      <c r="I102" s="14">
        <v>10868.542474992475</v>
      </c>
      <c r="J102" s="14">
        <v>23061.054037820977</v>
      </c>
      <c r="K102" s="14">
        <v>30060.683597181574</v>
      </c>
      <c r="L102" s="14">
        <v>36634.792794821391</v>
      </c>
      <c r="M102" s="14">
        <v>46216.589244839983</v>
      </c>
      <c r="N102" s="14">
        <v>66637.346687781202</v>
      </c>
      <c r="O102" s="14">
        <v>82885.484385675329</v>
      </c>
    </row>
    <row r="103" spans="1:15" x14ac:dyDescent="0.3">
      <c r="A103" s="3" t="str">
        <f>INDEX('R1. Scenario specifications'!$C$11:$C$49,MATCH($B103,'R1. Scenario specifications'!$A$11:$A$49,0))</f>
        <v>Current 2DS, 2030 start, 'Expect the Unexpected' but with cheap energy efficiency</v>
      </c>
      <c r="B103" s="3" t="s">
        <v>16</v>
      </c>
      <c r="C103" s="3" t="s">
        <v>71</v>
      </c>
      <c r="D103" s="3" t="s">
        <v>259</v>
      </c>
      <c r="E103" s="14">
        <v>55.461114646679903</v>
      </c>
      <c r="F103" s="14">
        <v>60.524118034134894</v>
      </c>
      <c r="G103" s="14">
        <v>64.687762917592892</v>
      </c>
      <c r="H103" s="14">
        <v>64.713826068531574</v>
      </c>
      <c r="I103" s="14">
        <v>64.716191578012797</v>
      </c>
      <c r="J103" s="14">
        <v>64.731788998865014</v>
      </c>
      <c r="K103" s="14">
        <v>64.722926562346416</v>
      </c>
      <c r="L103" s="14">
        <v>64.716401542036522</v>
      </c>
      <c r="M103" s="14">
        <v>64.75377060496912</v>
      </c>
      <c r="N103" s="14">
        <v>64.738587093193118</v>
      </c>
      <c r="O103" s="14">
        <v>64.723403581417131</v>
      </c>
    </row>
    <row r="104" spans="1:15" x14ac:dyDescent="0.3">
      <c r="A104" s="3" t="str">
        <f>INDEX('R1. Scenario specifications'!$C$11:$C$49,MATCH($B104,'R1. Scenario specifications'!$A$11:$A$49,0))</f>
        <v>Current 2DS, 2030 start, 'Expect the Unexpected' but with cheap energy efficiency</v>
      </c>
      <c r="B104" s="3" t="s">
        <v>16</v>
      </c>
      <c r="C104" s="3" t="s">
        <v>75</v>
      </c>
      <c r="D104" s="3" t="s">
        <v>258</v>
      </c>
      <c r="E104" s="14">
        <v>1.963099940637433</v>
      </c>
      <c r="F104" s="14">
        <v>1.7858497922310126</v>
      </c>
      <c r="G104" s="14">
        <v>1.5022495547807513</v>
      </c>
      <c r="H104" s="14">
        <v>1.0014997031871682</v>
      </c>
      <c r="I104" s="14">
        <v>0.50074985159358421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</row>
    <row r="105" spans="1:15" x14ac:dyDescent="0.3">
      <c r="A105" s="3" t="str">
        <f>INDEX('R1. Scenario specifications'!$C$11:$C$49,MATCH($B105,'R1. Scenario specifications'!$A$11:$A$49,0))</f>
        <v>Current 2DS, 2030 start, 'Expect the Unexpected' but with cheap energy efficiency</v>
      </c>
      <c r="B105" s="3" t="s">
        <v>16</v>
      </c>
      <c r="C105" s="3" t="s">
        <v>72</v>
      </c>
      <c r="D105" s="3" t="s">
        <v>260</v>
      </c>
      <c r="E105" s="14">
        <v>1517.4635089937533</v>
      </c>
      <c r="F105" s="14">
        <v>1704.9418897085425</v>
      </c>
      <c r="G105" s="14">
        <v>2685.5545190640855</v>
      </c>
      <c r="H105" s="14">
        <v>10882.32058635127</v>
      </c>
      <c r="I105" s="14">
        <v>26002.35018229884</v>
      </c>
      <c r="J105" s="14">
        <v>31081.067019643015</v>
      </c>
      <c r="K105" s="14">
        <v>40716.403919760021</v>
      </c>
      <c r="L105" s="14">
        <v>51544.330065041286</v>
      </c>
      <c r="M105" s="14">
        <v>70551.245724257824</v>
      </c>
      <c r="N105" s="14">
        <v>112971.96628387233</v>
      </c>
      <c r="O105" s="14">
        <v>154869.0809179598</v>
      </c>
    </row>
    <row r="106" spans="1:15" x14ac:dyDescent="0.3">
      <c r="A106" s="3" t="str">
        <f>INDEX('R1. Scenario specifications'!$C$11:$C$49,MATCH($B106,'R1. Scenario specifications'!$A$11:$A$49,0))</f>
        <v>Current 2DS, 2020 start, 'Expect the Unexpected' but with most conservative biomass CCS / NET technology cost assumptions</v>
      </c>
      <c r="B106" s="3" t="s">
        <v>17</v>
      </c>
      <c r="C106" s="3" t="s">
        <v>262</v>
      </c>
      <c r="D106" s="3" t="s">
        <v>253</v>
      </c>
      <c r="E106" s="14">
        <v>49803.376306806284</v>
      </c>
      <c r="F106" s="14">
        <v>54246.265938380871</v>
      </c>
      <c r="G106" s="14">
        <v>71262.17128058261</v>
      </c>
      <c r="H106" s="14">
        <v>104316.80030700087</v>
      </c>
      <c r="I106" s="14">
        <v>118299.71402903473</v>
      </c>
      <c r="J106" s="14">
        <v>145339.13887866741</v>
      </c>
      <c r="K106" s="14">
        <v>175568.01099191207</v>
      </c>
      <c r="L106" s="14">
        <v>229938.48695476478</v>
      </c>
      <c r="M106" s="14">
        <v>273507.29130833293</v>
      </c>
      <c r="N106" s="14">
        <v>308860.78005446214</v>
      </c>
      <c r="O106" s="14">
        <v>327801.57394103764</v>
      </c>
    </row>
    <row r="107" spans="1:15" x14ac:dyDescent="0.3">
      <c r="A107" s="3" t="str">
        <f>INDEX('R1. Scenario specifications'!$C$11:$C$49,MATCH($B107,'R1. Scenario specifications'!$A$11:$A$49,0))</f>
        <v>Current 2DS, 2020 start, 'Expect the Unexpected' but with most conservative biomass CCS / NET technology cost assumptions</v>
      </c>
      <c r="B107" s="3" t="s">
        <v>17</v>
      </c>
      <c r="C107" s="3" t="s">
        <v>60</v>
      </c>
      <c r="D107" s="3" t="s">
        <v>254</v>
      </c>
      <c r="E107" s="14">
        <v>132862.88014752162</v>
      </c>
      <c r="F107" s="14">
        <v>167772.98687500271</v>
      </c>
      <c r="G107" s="14">
        <v>133988.90917691623</v>
      </c>
      <c r="H107" s="14">
        <v>106842.67165252571</v>
      </c>
      <c r="I107" s="14">
        <v>88353.794117790967</v>
      </c>
      <c r="J107" s="14">
        <v>83293.923907187491</v>
      </c>
      <c r="K107" s="14">
        <v>88141.776406341844</v>
      </c>
      <c r="L107" s="14">
        <v>89399.33378094346</v>
      </c>
      <c r="M107" s="14">
        <v>96478.997523936909</v>
      </c>
      <c r="N107" s="14">
        <v>97650.328408920774</v>
      </c>
      <c r="O107" s="14">
        <v>98701.77824586643</v>
      </c>
    </row>
    <row r="108" spans="1:15" x14ac:dyDescent="0.3">
      <c r="A108" s="3" t="str">
        <f>INDEX('R1. Scenario specifications'!$C$11:$C$49,MATCH($B108,'R1. Scenario specifications'!$A$11:$A$49,0))</f>
        <v>Current 2DS, 2020 start, 'Expect the Unexpected' but with most conservative biomass CCS / NET technology cost assumptions</v>
      </c>
      <c r="B108" s="3" t="s">
        <v>17</v>
      </c>
      <c r="C108" s="3" t="s">
        <v>61</v>
      </c>
      <c r="D108" s="3" t="s">
        <v>255</v>
      </c>
      <c r="E108" s="14">
        <v>113361.40893082572</v>
      </c>
      <c r="F108" s="14">
        <v>125068.22780197491</v>
      </c>
      <c r="G108" s="14">
        <v>164552.1853192726</v>
      </c>
      <c r="H108" s="14">
        <v>181080.01391595177</v>
      </c>
      <c r="I108" s="14">
        <v>190557.98644507365</v>
      </c>
      <c r="J108" s="14">
        <v>198809.07676483906</v>
      </c>
      <c r="K108" s="14">
        <v>188841.92628173862</v>
      </c>
      <c r="L108" s="14">
        <v>168088.01258194473</v>
      </c>
      <c r="M108" s="14">
        <v>143802.65868174203</v>
      </c>
      <c r="N108" s="14">
        <v>97746.60973107387</v>
      </c>
      <c r="O108" s="14">
        <v>83687.436882815891</v>
      </c>
    </row>
    <row r="109" spans="1:15" x14ac:dyDescent="0.3">
      <c r="A109" s="3" t="str">
        <f>INDEX('R1. Scenario specifications'!$C$11:$C$49,MATCH($B109,'R1. Scenario specifications'!$A$11:$A$49,0))</f>
        <v>Current 2DS, 2020 start, 'Expect the Unexpected' but with most conservative biomass CCS / NET technology cost assumptions</v>
      </c>
      <c r="B109" s="3" t="s">
        <v>17</v>
      </c>
      <c r="C109" s="3" t="s">
        <v>263</v>
      </c>
      <c r="D109" s="3" t="s">
        <v>256</v>
      </c>
      <c r="E109" s="14">
        <v>10361.182910638019</v>
      </c>
      <c r="F109" s="14">
        <v>10438.652617147358</v>
      </c>
      <c r="G109" s="14">
        <v>14734.740994143709</v>
      </c>
      <c r="H109" s="14">
        <v>17428.252668332996</v>
      </c>
      <c r="I109" s="14">
        <v>20455.845807538626</v>
      </c>
      <c r="J109" s="14">
        <v>23768.019094946692</v>
      </c>
      <c r="K109" s="14">
        <v>25621.951765147616</v>
      </c>
      <c r="L109" s="14">
        <v>26841.392394082752</v>
      </c>
      <c r="M109" s="14">
        <v>29798.693119658798</v>
      </c>
      <c r="N109" s="14">
        <v>36311.466142485588</v>
      </c>
      <c r="O109" s="14">
        <v>38620.985789248138</v>
      </c>
    </row>
    <row r="110" spans="1:15" x14ac:dyDescent="0.3">
      <c r="A110" s="3" t="str">
        <f>INDEX('R1. Scenario specifications'!$C$11:$C$49,MATCH($B110,'R1. Scenario specifications'!$A$11:$A$49,0))</f>
        <v>Current 2DS, 2020 start, 'Expect the Unexpected' but with most conservative biomass CCS / NET technology cost assumptions</v>
      </c>
      <c r="B110" s="3" t="s">
        <v>17</v>
      </c>
      <c r="C110" s="3" t="s">
        <v>264</v>
      </c>
      <c r="D110" s="3" t="s">
        <v>257</v>
      </c>
      <c r="E110" s="14">
        <v>9499.4101148835834</v>
      </c>
      <c r="F110" s="14">
        <v>9854.7685931259057</v>
      </c>
      <c r="G110" s="14">
        <v>13753.197500000002</v>
      </c>
      <c r="H110" s="14">
        <v>14514.167854150608</v>
      </c>
      <c r="I110" s="14">
        <v>16687.99997273034</v>
      </c>
      <c r="J110" s="14">
        <v>23261.469892496461</v>
      </c>
      <c r="K110" s="14">
        <v>29244.228200795198</v>
      </c>
      <c r="L110" s="14">
        <v>32599.848668704006</v>
      </c>
      <c r="M110" s="14">
        <v>34709.367211963792</v>
      </c>
      <c r="N110" s="14">
        <v>38385.301352004164</v>
      </c>
      <c r="O110" s="14">
        <v>39733.175000000003</v>
      </c>
    </row>
    <row r="111" spans="1:15" x14ac:dyDescent="0.3">
      <c r="A111" s="3" t="str">
        <f>INDEX('R1. Scenario specifications'!$C$11:$C$49,MATCH($B111,'R1. Scenario specifications'!$A$11:$A$49,0))</f>
        <v>Current 2DS, 2020 start, 'Expect the Unexpected' but with most conservative biomass CCS / NET technology cost assumptions</v>
      </c>
      <c r="B111" s="3" t="s">
        <v>17</v>
      </c>
      <c r="C111" s="3" t="s">
        <v>62</v>
      </c>
      <c r="D111" s="3" t="s">
        <v>266</v>
      </c>
      <c r="E111" s="14">
        <v>152832.4479725429</v>
      </c>
      <c r="F111" s="14">
        <v>158538.7874200783</v>
      </c>
      <c r="G111" s="14">
        <v>170699.74489631387</v>
      </c>
      <c r="H111" s="14">
        <v>173507.16621427075</v>
      </c>
      <c r="I111" s="14">
        <v>171299.82450962381</v>
      </c>
      <c r="J111" s="14">
        <v>160080.7840747053</v>
      </c>
      <c r="K111" s="14">
        <v>158567.51019228203</v>
      </c>
      <c r="L111" s="14">
        <v>158604.60923847987</v>
      </c>
      <c r="M111" s="14">
        <v>159510.73269757445</v>
      </c>
      <c r="N111" s="14">
        <v>154297.16553751769</v>
      </c>
      <c r="O111" s="14">
        <v>137861.05894465232</v>
      </c>
    </row>
    <row r="112" spans="1:15" x14ac:dyDescent="0.3">
      <c r="A112" s="3" t="str">
        <f>INDEX('R1. Scenario specifications'!$C$11:$C$49,MATCH($B112,'R1. Scenario specifications'!$A$11:$A$49,0))</f>
        <v>Current 2DS, 2020 start, 'Expect the Unexpected' but with most conservative biomass CCS / NET technology cost assumptions</v>
      </c>
      <c r="B112" s="3" t="s">
        <v>17</v>
      </c>
      <c r="C112" s="3" t="s">
        <v>66</v>
      </c>
      <c r="D112" s="3" t="s">
        <v>258</v>
      </c>
      <c r="E112" s="14">
        <v>202.7012537766515</v>
      </c>
      <c r="F112" s="14">
        <v>194.90848865877462</v>
      </c>
      <c r="G112" s="14">
        <v>2771.4154518439864</v>
      </c>
      <c r="H112" s="14">
        <v>4289.802543453764</v>
      </c>
      <c r="I112" s="14">
        <v>5842.7587535486773</v>
      </c>
      <c r="J112" s="14">
        <v>8146.668232489772</v>
      </c>
      <c r="K112" s="14">
        <v>12032.839385379688</v>
      </c>
      <c r="L112" s="14">
        <v>13782.59995197018</v>
      </c>
      <c r="M112" s="14">
        <v>15623.395489560849</v>
      </c>
      <c r="N112" s="14">
        <v>23057.995723520351</v>
      </c>
      <c r="O112" s="14">
        <v>25730.061527433227</v>
      </c>
    </row>
    <row r="113" spans="1:15" x14ac:dyDescent="0.3">
      <c r="A113" s="3" t="str">
        <f>INDEX('R1. Scenario specifications'!$C$11:$C$49,MATCH($B113,'R1. Scenario specifications'!$A$11:$A$49,0))</f>
        <v>Current 2DS, 2020 start, 'Expect the Unexpected' but with most conservative biomass CCS / NET technology cost assumptions</v>
      </c>
      <c r="B113" s="3" t="s">
        <v>17</v>
      </c>
      <c r="C113" s="3" t="s">
        <v>70</v>
      </c>
      <c r="D113" s="3" t="s">
        <v>259</v>
      </c>
      <c r="E113" s="14">
        <v>67.937052631788802</v>
      </c>
      <c r="F113" s="14">
        <v>458.66984800047192</v>
      </c>
      <c r="G113" s="14">
        <v>917.48161125092997</v>
      </c>
      <c r="H113" s="14">
        <v>4301.3818404184058</v>
      </c>
      <c r="I113" s="14">
        <v>14453.305435552735</v>
      </c>
      <c r="J113" s="14">
        <v>25492.645001160239</v>
      </c>
      <c r="K113" s="14">
        <v>32695.201151518897</v>
      </c>
      <c r="L113" s="14">
        <v>41110.004898228741</v>
      </c>
      <c r="M113" s="14">
        <v>56612.512094721933</v>
      </c>
      <c r="N113" s="14">
        <v>86534.263220009132</v>
      </c>
      <c r="O113" s="14">
        <v>98289.00939559855</v>
      </c>
    </row>
    <row r="114" spans="1:15" x14ac:dyDescent="0.3">
      <c r="A114" s="3" t="str">
        <f>INDEX('R1. Scenario specifications'!$C$11:$C$49,MATCH($B114,'R1. Scenario specifications'!$A$11:$A$49,0))</f>
        <v>Current 2DS, 2020 start, 'Expect the Unexpected' but with most conservative biomass CCS / NET technology cost assumptions</v>
      </c>
      <c r="B114" s="3" t="s">
        <v>17</v>
      </c>
      <c r="C114" s="3" t="s">
        <v>71</v>
      </c>
      <c r="D114" s="3" t="s">
        <v>259</v>
      </c>
      <c r="E114" s="14">
        <v>55.461114646679903</v>
      </c>
      <c r="F114" s="14">
        <v>60.524118034134894</v>
      </c>
      <c r="G114" s="14">
        <v>64.687762917592892</v>
      </c>
      <c r="H114" s="14">
        <v>64.711658906117094</v>
      </c>
      <c r="I114" s="14">
        <v>64.752463929049256</v>
      </c>
      <c r="J114" s="14">
        <v>64.884860300514418</v>
      </c>
      <c r="K114" s="14">
        <v>65.434481825273679</v>
      </c>
      <c r="L114" s="14">
        <v>909.93088022226129</v>
      </c>
      <c r="M114" s="14">
        <v>1109.2166547847162</v>
      </c>
      <c r="N114" s="14">
        <v>1157.0113203959991</v>
      </c>
      <c r="O114" s="14">
        <v>1156.9910818778678</v>
      </c>
    </row>
    <row r="115" spans="1:15" x14ac:dyDescent="0.3">
      <c r="A115" s="3" t="str">
        <f>INDEX('R1. Scenario specifications'!$C$11:$C$49,MATCH($B115,'R1. Scenario specifications'!$A$11:$A$49,0))</f>
        <v>Current 2DS, 2020 start, 'Expect the Unexpected' but with most conservative biomass CCS / NET technology cost assumptions</v>
      </c>
      <c r="B115" s="3" t="s">
        <v>17</v>
      </c>
      <c r="C115" s="3" t="s">
        <v>75</v>
      </c>
      <c r="D115" s="3" t="s">
        <v>258</v>
      </c>
      <c r="E115" s="14">
        <v>1.963099940637433</v>
      </c>
      <c r="F115" s="14">
        <v>1.7858497922310126</v>
      </c>
      <c r="G115" s="14">
        <v>1.5022495547807513</v>
      </c>
      <c r="H115" s="14">
        <v>1.0014997031871682</v>
      </c>
      <c r="I115" s="14">
        <v>0.50074985159358421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</row>
    <row r="116" spans="1:15" x14ac:dyDescent="0.3">
      <c r="A116" s="3" t="str">
        <f>INDEX('R1. Scenario specifications'!$C$11:$C$49,MATCH($B116,'R1. Scenario specifications'!$A$11:$A$49,0))</f>
        <v>Current 2DS, 2020 start, 'Expect the Unexpected' but with most conservative biomass CCS / NET technology cost assumptions</v>
      </c>
      <c r="B116" s="3" t="s">
        <v>17</v>
      </c>
      <c r="C116" s="3" t="s">
        <v>72</v>
      </c>
      <c r="D116" s="3" t="s">
        <v>260</v>
      </c>
      <c r="E116" s="14">
        <v>1517.4635089937533</v>
      </c>
      <c r="F116" s="14">
        <v>1704.9418897085425</v>
      </c>
      <c r="G116" s="14">
        <v>2685.5545190640855</v>
      </c>
      <c r="H116" s="14">
        <v>11805.080446473738</v>
      </c>
      <c r="I116" s="14">
        <v>27324.825223641485</v>
      </c>
      <c r="J116" s="14">
        <v>35186.337362124374</v>
      </c>
      <c r="K116" s="14">
        <v>47526.721491369659</v>
      </c>
      <c r="L116" s="14">
        <v>61987.5009742806</v>
      </c>
      <c r="M116" s="14">
        <v>89446.127151324763</v>
      </c>
      <c r="N116" s="14">
        <v>143567.00978241258</v>
      </c>
      <c r="O116" s="14">
        <v>181297.26989258069</v>
      </c>
    </row>
    <row r="117" spans="1:15" x14ac:dyDescent="0.3">
      <c r="A117" s="3" t="str">
        <f>INDEX('R1. Scenario specifications'!$C$11:$C$49,MATCH($B117,'R1. Scenario specifications'!$A$11:$A$49,0))</f>
        <v>Current 2DS, 2030 start, 'Expect the Unexpected' but with most conservative biomass CCS / NET technology cost assumptions</v>
      </c>
      <c r="B117" s="3" t="s">
        <v>18</v>
      </c>
      <c r="C117" s="3" t="s">
        <v>262</v>
      </c>
      <c r="D117" s="3" t="s">
        <v>253</v>
      </c>
      <c r="E117" s="14">
        <v>49803.376306806284</v>
      </c>
      <c r="F117" s="14">
        <v>54246.265938380871</v>
      </c>
      <c r="G117" s="14">
        <v>71262.17128058261</v>
      </c>
      <c r="H117" s="14">
        <v>95987.494917697361</v>
      </c>
      <c r="I117" s="14">
        <v>121597.33347006881</v>
      </c>
      <c r="J117" s="14">
        <v>149093.32456438267</v>
      </c>
      <c r="K117" s="14">
        <v>168147.13719616199</v>
      </c>
      <c r="L117" s="14">
        <v>222221.19091943631</v>
      </c>
      <c r="M117" s="14">
        <v>276673.85853906412</v>
      </c>
      <c r="N117" s="14">
        <v>308880.33461034595</v>
      </c>
      <c r="O117" s="14">
        <v>327787.55025120982</v>
      </c>
    </row>
    <row r="118" spans="1:15" x14ac:dyDescent="0.3">
      <c r="A118" s="3" t="str">
        <f>INDEX('R1. Scenario specifications'!$C$11:$C$49,MATCH($B118,'R1. Scenario specifications'!$A$11:$A$49,0))</f>
        <v>Current 2DS, 2030 start, 'Expect the Unexpected' but with most conservative biomass CCS / NET technology cost assumptions</v>
      </c>
      <c r="B118" s="3" t="s">
        <v>18</v>
      </c>
      <c r="C118" s="3" t="s">
        <v>60</v>
      </c>
      <c r="D118" s="3" t="s">
        <v>254</v>
      </c>
      <c r="E118" s="14">
        <v>132862.88014752162</v>
      </c>
      <c r="F118" s="14">
        <v>167772.98687500271</v>
      </c>
      <c r="G118" s="14">
        <v>133988.90917691623</v>
      </c>
      <c r="H118" s="14">
        <v>141587.52010422843</v>
      </c>
      <c r="I118" s="14">
        <v>95901.231108632201</v>
      </c>
      <c r="J118" s="14">
        <v>74040.602989728286</v>
      </c>
      <c r="K118" s="14">
        <v>80748.439815669815</v>
      </c>
      <c r="L118" s="14">
        <v>91062.362464794758</v>
      </c>
      <c r="M118" s="14">
        <v>95602.439821814522</v>
      </c>
      <c r="N118" s="14">
        <v>95747.02912139667</v>
      </c>
      <c r="O118" s="14">
        <v>93089.640925924876</v>
      </c>
    </row>
    <row r="119" spans="1:15" x14ac:dyDescent="0.3">
      <c r="A119" s="3" t="str">
        <f>INDEX('R1. Scenario specifications'!$C$11:$C$49,MATCH($B119,'R1. Scenario specifications'!$A$11:$A$49,0))</f>
        <v>Current 2DS, 2030 start, 'Expect the Unexpected' but with most conservative biomass CCS / NET technology cost assumptions</v>
      </c>
      <c r="B119" s="3" t="s">
        <v>18</v>
      </c>
      <c r="C119" s="3" t="s">
        <v>61</v>
      </c>
      <c r="D119" s="3" t="s">
        <v>255</v>
      </c>
      <c r="E119" s="14">
        <v>113361.40893082572</v>
      </c>
      <c r="F119" s="14">
        <v>125068.22780197491</v>
      </c>
      <c r="G119" s="14">
        <v>164552.1853192726</v>
      </c>
      <c r="H119" s="14">
        <v>176766.93010542684</v>
      </c>
      <c r="I119" s="14">
        <v>194466.60798824951</v>
      </c>
      <c r="J119" s="14">
        <v>200247.7889437977</v>
      </c>
      <c r="K119" s="14">
        <v>190616.78789996688</v>
      </c>
      <c r="L119" s="14">
        <v>163547.7111585091</v>
      </c>
      <c r="M119" s="14">
        <v>139681.61658225887</v>
      </c>
      <c r="N119" s="14">
        <v>91416.192945657604</v>
      </c>
      <c r="O119" s="14">
        <v>81265.080680111074</v>
      </c>
    </row>
    <row r="120" spans="1:15" x14ac:dyDescent="0.3">
      <c r="A120" s="3" t="str">
        <f>INDEX('R1. Scenario specifications'!$C$11:$C$49,MATCH($B120,'R1. Scenario specifications'!$A$11:$A$49,0))</f>
        <v>Current 2DS, 2030 start, 'Expect the Unexpected' but with most conservative biomass CCS / NET technology cost assumptions</v>
      </c>
      <c r="B120" s="3" t="s">
        <v>18</v>
      </c>
      <c r="C120" s="3" t="s">
        <v>263</v>
      </c>
      <c r="D120" s="3" t="s">
        <v>256</v>
      </c>
      <c r="E120" s="14">
        <v>10361.182910638019</v>
      </c>
      <c r="F120" s="14">
        <v>10438.652617147358</v>
      </c>
      <c r="G120" s="14">
        <v>14734.740994143709</v>
      </c>
      <c r="H120" s="14">
        <v>17241.713076375538</v>
      </c>
      <c r="I120" s="14">
        <v>19683.776713159183</v>
      </c>
      <c r="J120" s="14">
        <v>24704.407701364751</v>
      </c>
      <c r="K120" s="14">
        <v>26551.74772639171</v>
      </c>
      <c r="L120" s="14">
        <v>27481.332355712322</v>
      </c>
      <c r="M120" s="14">
        <v>29993.783203194409</v>
      </c>
      <c r="N120" s="14">
        <v>36569.015212914586</v>
      </c>
      <c r="O120" s="14">
        <v>38636.339546204028</v>
      </c>
    </row>
    <row r="121" spans="1:15" x14ac:dyDescent="0.3">
      <c r="A121" s="3" t="str">
        <f>INDEX('R1. Scenario specifications'!$C$11:$C$49,MATCH($B121,'R1. Scenario specifications'!$A$11:$A$49,0))</f>
        <v>Current 2DS, 2030 start, 'Expect the Unexpected' but with most conservative biomass CCS / NET technology cost assumptions</v>
      </c>
      <c r="B121" s="3" t="s">
        <v>18</v>
      </c>
      <c r="C121" s="3" t="s">
        <v>264</v>
      </c>
      <c r="D121" s="3" t="s">
        <v>257</v>
      </c>
      <c r="E121" s="14">
        <v>9499.4101148835834</v>
      </c>
      <c r="F121" s="14">
        <v>9854.7685931259057</v>
      </c>
      <c r="G121" s="14">
        <v>13753.197500000002</v>
      </c>
      <c r="H121" s="14">
        <v>14514.167854150608</v>
      </c>
      <c r="I121" s="14">
        <v>15191.631806438925</v>
      </c>
      <c r="J121" s="14">
        <v>23790.947651035196</v>
      </c>
      <c r="K121" s="14">
        <v>29256.773818393372</v>
      </c>
      <c r="L121" s="14">
        <v>32725.976656330153</v>
      </c>
      <c r="M121" s="14">
        <v>35725.380419297289</v>
      </c>
      <c r="N121" s="14">
        <v>38388.387576479399</v>
      </c>
      <c r="O121" s="14">
        <v>39733.175000000003</v>
      </c>
    </row>
    <row r="122" spans="1:15" x14ac:dyDescent="0.3">
      <c r="A122" s="3" t="str">
        <f>INDEX('R1. Scenario specifications'!$C$11:$C$49,MATCH($B122,'R1. Scenario specifications'!$A$11:$A$49,0))</f>
        <v>Current 2DS, 2030 start, 'Expect the Unexpected' but with most conservative biomass CCS / NET technology cost assumptions</v>
      </c>
      <c r="B122" s="3" t="s">
        <v>18</v>
      </c>
      <c r="C122" s="3" t="s">
        <v>62</v>
      </c>
      <c r="D122" s="3" t="s">
        <v>266</v>
      </c>
      <c r="E122" s="14">
        <v>152832.4479725429</v>
      </c>
      <c r="F122" s="14">
        <v>158538.7874200783</v>
      </c>
      <c r="G122" s="14">
        <v>170699.74489631387</v>
      </c>
      <c r="H122" s="14">
        <v>176541.28948572898</v>
      </c>
      <c r="I122" s="14">
        <v>171057.81744300845</v>
      </c>
      <c r="J122" s="14">
        <v>157458.78185993547</v>
      </c>
      <c r="K122" s="14">
        <v>156834.93883986858</v>
      </c>
      <c r="L122" s="14">
        <v>158645.46554312718</v>
      </c>
      <c r="M122" s="14">
        <v>159170.79568855345</v>
      </c>
      <c r="N122" s="14">
        <v>154257.3935669288</v>
      </c>
      <c r="O122" s="14">
        <v>137560.36551265721</v>
      </c>
    </row>
    <row r="123" spans="1:15" x14ac:dyDescent="0.3">
      <c r="A123" s="3" t="str">
        <f>INDEX('R1. Scenario specifications'!$C$11:$C$49,MATCH($B123,'R1. Scenario specifications'!$A$11:$A$49,0))</f>
        <v>Current 2DS, 2030 start, 'Expect the Unexpected' but with most conservative biomass CCS / NET technology cost assumptions</v>
      </c>
      <c r="B123" s="3" t="s">
        <v>18</v>
      </c>
      <c r="C123" s="3" t="s">
        <v>66</v>
      </c>
      <c r="D123" s="3" t="s">
        <v>258</v>
      </c>
      <c r="E123" s="14">
        <v>202.7012537766515</v>
      </c>
      <c r="F123" s="14">
        <v>194.90848865877462</v>
      </c>
      <c r="G123" s="14">
        <v>2771.4154518439864</v>
      </c>
      <c r="H123" s="14">
        <v>4278.9486538824649</v>
      </c>
      <c r="I123" s="14">
        <v>5842.7606631151657</v>
      </c>
      <c r="J123" s="14">
        <v>8529.8920576955461</v>
      </c>
      <c r="K123" s="14">
        <v>14088.060483035582</v>
      </c>
      <c r="L123" s="14">
        <v>14465.347861667226</v>
      </c>
      <c r="M123" s="14">
        <v>15640.607918892641</v>
      </c>
      <c r="N123" s="14">
        <v>22637.207813468085</v>
      </c>
      <c r="O123" s="14">
        <v>27944.911835755931</v>
      </c>
    </row>
    <row r="124" spans="1:15" x14ac:dyDescent="0.3">
      <c r="A124" s="3" t="str">
        <f>INDEX('R1. Scenario specifications'!$C$11:$C$49,MATCH($B124,'R1. Scenario specifications'!$A$11:$A$49,0))</f>
        <v>Current 2DS, 2030 start, 'Expect the Unexpected' but with most conservative biomass CCS / NET technology cost assumptions</v>
      </c>
      <c r="B124" s="3" t="s">
        <v>18</v>
      </c>
      <c r="C124" s="3" t="s">
        <v>70</v>
      </c>
      <c r="D124" s="3" t="s">
        <v>259</v>
      </c>
      <c r="E124" s="14">
        <v>67.937052631788802</v>
      </c>
      <c r="F124" s="14">
        <v>458.66984800047192</v>
      </c>
      <c r="G124" s="14">
        <v>917.48161125092997</v>
      </c>
      <c r="H124" s="14">
        <v>2670.3548260954558</v>
      </c>
      <c r="I124" s="14">
        <v>11027.414683205621</v>
      </c>
      <c r="J124" s="14">
        <v>25275.287596769827</v>
      </c>
      <c r="K124" s="14">
        <v>33811.082953572892</v>
      </c>
      <c r="L124" s="14">
        <v>42283.503863837039</v>
      </c>
      <c r="M124" s="14">
        <v>59895.313307255608</v>
      </c>
      <c r="N124" s="14">
        <v>91066.989684998931</v>
      </c>
      <c r="O124" s="14">
        <v>101215.64113769759</v>
      </c>
    </row>
    <row r="125" spans="1:15" x14ac:dyDescent="0.3">
      <c r="A125" s="3" t="str">
        <f>INDEX('R1. Scenario specifications'!$C$11:$C$49,MATCH($B125,'R1. Scenario specifications'!$A$11:$A$49,0))</f>
        <v>Current 2DS, 2030 start, 'Expect the Unexpected' but with most conservative biomass CCS / NET technology cost assumptions</v>
      </c>
      <c r="B125" s="3" t="s">
        <v>18</v>
      </c>
      <c r="C125" s="3" t="s">
        <v>71</v>
      </c>
      <c r="D125" s="3" t="s">
        <v>259</v>
      </c>
      <c r="E125" s="14">
        <v>55.461114646679903</v>
      </c>
      <c r="F125" s="14">
        <v>60.524118034134894</v>
      </c>
      <c r="G125" s="14">
        <v>64.687762917592892</v>
      </c>
      <c r="H125" s="14">
        <v>64.713826068531574</v>
      </c>
      <c r="I125" s="14">
        <v>64.721246584368004</v>
      </c>
      <c r="J125" s="14">
        <v>64.761142553276201</v>
      </c>
      <c r="K125" s="14">
        <v>64.872862959063553</v>
      </c>
      <c r="L125" s="14">
        <v>654.43090950206783</v>
      </c>
      <c r="M125" s="14">
        <v>833.18260651680873</v>
      </c>
      <c r="N125" s="14">
        <v>833.16236799867761</v>
      </c>
      <c r="O125" s="14">
        <v>833.14212948054626</v>
      </c>
    </row>
    <row r="126" spans="1:15" x14ac:dyDescent="0.3">
      <c r="A126" s="3" t="str">
        <f>INDEX('R1. Scenario specifications'!$C$11:$C$49,MATCH($B126,'R1. Scenario specifications'!$A$11:$A$49,0))</f>
        <v>Current 2DS, 2030 start, 'Expect the Unexpected' but with most conservative biomass CCS / NET technology cost assumptions</v>
      </c>
      <c r="B126" s="3" t="s">
        <v>18</v>
      </c>
      <c r="C126" s="3" t="s">
        <v>75</v>
      </c>
      <c r="D126" s="3" t="s">
        <v>258</v>
      </c>
      <c r="E126" s="14">
        <v>1.963099940637433</v>
      </c>
      <c r="F126" s="14">
        <v>1.7858497922310126</v>
      </c>
      <c r="G126" s="14">
        <v>1.5022495547807513</v>
      </c>
      <c r="H126" s="14">
        <v>1.0014997031871682</v>
      </c>
      <c r="I126" s="14">
        <v>0.50074985159358421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</row>
    <row r="127" spans="1:15" x14ac:dyDescent="0.3">
      <c r="A127" s="3" t="str">
        <f>INDEX('R1. Scenario specifications'!$C$11:$C$49,MATCH($B127,'R1. Scenario specifications'!$A$11:$A$49,0))</f>
        <v>Current 2DS, 2030 start, 'Expect the Unexpected' but with most conservative biomass CCS / NET technology cost assumptions</v>
      </c>
      <c r="B127" s="3" t="s">
        <v>18</v>
      </c>
      <c r="C127" s="3" t="s">
        <v>72</v>
      </c>
      <c r="D127" s="3" t="s">
        <v>260</v>
      </c>
      <c r="E127" s="14">
        <v>1517.4635089937533</v>
      </c>
      <c r="F127" s="14">
        <v>1704.9418897085425</v>
      </c>
      <c r="G127" s="14">
        <v>2685.5545190640855</v>
      </c>
      <c r="H127" s="14">
        <v>10882.32058635127</v>
      </c>
      <c r="I127" s="14">
        <v>27426.576316396204</v>
      </c>
      <c r="J127" s="14">
        <v>34992.619880405582</v>
      </c>
      <c r="K127" s="14">
        <v>48405.194316232497</v>
      </c>
      <c r="L127" s="14">
        <v>63647.804271153873</v>
      </c>
      <c r="M127" s="14">
        <v>92479.550208006651</v>
      </c>
      <c r="N127" s="14">
        <v>146513.43203731731</v>
      </c>
      <c r="O127" s="14">
        <v>184566.46953394113</v>
      </c>
    </row>
    <row r="128" spans="1:15" x14ac:dyDescent="0.3">
      <c r="A128" s="3" t="str">
        <f>INDEX('R1. Scenario specifications'!$C$11:$C$49,MATCH($B128,'R1. Scenario specifications'!$A$11:$A$49,0))</f>
        <v>Current 1.5DS, 2020 start, 'Expect the Unexpected'</v>
      </c>
      <c r="B128" s="3" t="s">
        <v>19</v>
      </c>
      <c r="C128" s="3" t="s">
        <v>262</v>
      </c>
      <c r="D128" s="3" t="s">
        <v>253</v>
      </c>
      <c r="E128" s="14">
        <v>49803.376306806284</v>
      </c>
      <c r="F128" s="14">
        <v>54246.265938380871</v>
      </c>
      <c r="G128" s="14">
        <v>71262.17128058261</v>
      </c>
      <c r="H128" s="14">
        <v>132295.15355481085</v>
      </c>
      <c r="I128" s="14">
        <v>173006.81197681732</v>
      </c>
      <c r="J128" s="14">
        <v>186916.97886996056</v>
      </c>
      <c r="K128" s="14">
        <v>243313.36884020042</v>
      </c>
      <c r="L128" s="14">
        <v>255115.74823382456</v>
      </c>
      <c r="M128" s="14">
        <v>282711.74847277306</v>
      </c>
      <c r="N128" s="14">
        <v>311048.84784091491</v>
      </c>
      <c r="O128" s="14">
        <v>327800.00930137892</v>
      </c>
    </row>
    <row r="129" spans="1:15" x14ac:dyDescent="0.3">
      <c r="A129" s="3" t="str">
        <f>INDEX('R1. Scenario specifications'!$C$11:$C$49,MATCH($B129,'R1. Scenario specifications'!$A$11:$A$49,0))</f>
        <v>Current 1.5DS, 2020 start, 'Expect the Unexpected'</v>
      </c>
      <c r="B129" s="3" t="s">
        <v>19</v>
      </c>
      <c r="C129" s="3" t="s">
        <v>60</v>
      </c>
      <c r="D129" s="3" t="s">
        <v>254</v>
      </c>
      <c r="E129" s="14">
        <v>132862.88014752162</v>
      </c>
      <c r="F129" s="14">
        <v>167772.98687500271</v>
      </c>
      <c r="G129" s="14">
        <v>133988.90917691623</v>
      </c>
      <c r="H129" s="14">
        <v>74086.287944023527</v>
      </c>
      <c r="I129" s="14">
        <v>51689.988404641503</v>
      </c>
      <c r="J129" s="14">
        <v>42902.100523833826</v>
      </c>
      <c r="K129" s="14">
        <v>48882.68444948893</v>
      </c>
      <c r="L129" s="14">
        <v>89083.720811180494</v>
      </c>
      <c r="M129" s="14">
        <v>93879.105102747344</v>
      </c>
      <c r="N129" s="14">
        <v>94743.790714829694</v>
      </c>
      <c r="O129" s="14">
        <v>74527.689385488338</v>
      </c>
    </row>
    <row r="130" spans="1:15" x14ac:dyDescent="0.3">
      <c r="A130" s="3" t="str">
        <f>INDEX('R1. Scenario specifications'!$C$11:$C$49,MATCH($B130,'R1. Scenario specifications'!$A$11:$A$49,0))</f>
        <v>Current 1.5DS, 2020 start, 'Expect the Unexpected'</v>
      </c>
      <c r="B130" s="3" t="s">
        <v>19</v>
      </c>
      <c r="C130" s="3" t="s">
        <v>61</v>
      </c>
      <c r="D130" s="3" t="s">
        <v>255</v>
      </c>
      <c r="E130" s="14">
        <v>113361.40893082572</v>
      </c>
      <c r="F130" s="14">
        <v>125068.22780197491</v>
      </c>
      <c r="G130" s="14">
        <v>164552.1853192726</v>
      </c>
      <c r="H130" s="14">
        <v>188812.24856597715</v>
      </c>
      <c r="I130" s="14">
        <v>87092.493269619968</v>
      </c>
      <c r="J130" s="14">
        <v>95369.320783498319</v>
      </c>
      <c r="K130" s="14">
        <v>108804.02706874123</v>
      </c>
      <c r="L130" s="14">
        <v>122797.96858267054</v>
      </c>
      <c r="M130" s="14">
        <v>111175.59748830946</v>
      </c>
      <c r="N130" s="14">
        <v>88796.845681683757</v>
      </c>
      <c r="O130" s="14">
        <v>80197.164179092477</v>
      </c>
    </row>
    <row r="131" spans="1:15" x14ac:dyDescent="0.3">
      <c r="A131" s="3" t="str">
        <f>INDEX('R1. Scenario specifications'!$C$11:$C$49,MATCH($B131,'R1. Scenario specifications'!$A$11:$A$49,0))</f>
        <v>Current 1.5DS, 2020 start, 'Expect the Unexpected'</v>
      </c>
      <c r="B131" s="3" t="s">
        <v>19</v>
      </c>
      <c r="C131" s="3" t="s">
        <v>263</v>
      </c>
      <c r="D131" s="3" t="s">
        <v>256</v>
      </c>
      <c r="E131" s="14">
        <v>10361.182910638019</v>
      </c>
      <c r="F131" s="14">
        <v>10438.652617147358</v>
      </c>
      <c r="G131" s="14">
        <v>14734.740994143709</v>
      </c>
      <c r="H131" s="14">
        <v>18195.141865015896</v>
      </c>
      <c r="I131" s="14">
        <v>27113.751393735056</v>
      </c>
      <c r="J131" s="14">
        <v>31262.479715490146</v>
      </c>
      <c r="K131" s="14">
        <v>35627.071275719311</v>
      </c>
      <c r="L131" s="14">
        <v>36325.149684913275</v>
      </c>
      <c r="M131" s="14">
        <v>40287.53214845289</v>
      </c>
      <c r="N131" s="14">
        <v>41520.61332084622</v>
      </c>
      <c r="O131" s="14">
        <v>42755.62917105457</v>
      </c>
    </row>
    <row r="132" spans="1:15" x14ac:dyDescent="0.3">
      <c r="A132" s="3" t="str">
        <f>INDEX('R1. Scenario specifications'!$C$11:$C$49,MATCH($B132,'R1. Scenario specifications'!$A$11:$A$49,0))</f>
        <v>Current 1.5DS, 2020 start, 'Expect the Unexpected'</v>
      </c>
      <c r="B132" s="3" t="s">
        <v>19</v>
      </c>
      <c r="C132" s="3" t="s">
        <v>264</v>
      </c>
      <c r="D132" s="3" t="s">
        <v>257</v>
      </c>
      <c r="E132" s="14">
        <v>9499.4101148835834</v>
      </c>
      <c r="F132" s="14">
        <v>9854.7685931259057</v>
      </c>
      <c r="G132" s="14">
        <v>13753.197500000002</v>
      </c>
      <c r="H132" s="14">
        <v>14514.167854150608</v>
      </c>
      <c r="I132" s="14">
        <v>17736.301924026739</v>
      </c>
      <c r="J132" s="14">
        <v>24729.32</v>
      </c>
      <c r="K132" s="14">
        <v>29436.277027089698</v>
      </c>
      <c r="L132" s="14">
        <v>31167.3684027458</v>
      </c>
      <c r="M132" s="14">
        <v>35846.591827386321</v>
      </c>
      <c r="N132" s="14">
        <v>38043.533784250227</v>
      </c>
      <c r="O132" s="14">
        <v>39733.175000000003</v>
      </c>
    </row>
    <row r="133" spans="1:15" x14ac:dyDescent="0.3">
      <c r="A133" s="3" t="str">
        <f>INDEX('R1. Scenario specifications'!$C$11:$C$49,MATCH($B133,'R1. Scenario specifications'!$A$11:$A$49,0))</f>
        <v>Current 1.5DS, 2020 start, 'Expect the Unexpected'</v>
      </c>
      <c r="B133" s="3" t="s">
        <v>19</v>
      </c>
      <c r="C133" s="3" t="s">
        <v>62</v>
      </c>
      <c r="D133" s="3" t="s">
        <v>266</v>
      </c>
      <c r="E133" s="14">
        <v>152832.4479725429</v>
      </c>
      <c r="F133" s="14">
        <v>158538.7874200783</v>
      </c>
      <c r="G133" s="14">
        <v>170699.74489631387</v>
      </c>
      <c r="H133" s="14">
        <v>155285.39036300292</v>
      </c>
      <c r="I133" s="14">
        <v>109006.40714735234</v>
      </c>
      <c r="J133" s="14">
        <v>100400.423394431</v>
      </c>
      <c r="K133" s="14">
        <v>130957.73735306795</v>
      </c>
      <c r="L133" s="14">
        <v>156809.74865732339</v>
      </c>
      <c r="M133" s="14">
        <v>159045.65631656078</v>
      </c>
      <c r="N133" s="14">
        <v>153226.11760649859</v>
      </c>
      <c r="O133" s="14">
        <v>137647.04168506275</v>
      </c>
    </row>
    <row r="134" spans="1:15" x14ac:dyDescent="0.3">
      <c r="A134" s="3" t="str">
        <f>INDEX('R1. Scenario specifications'!$C$11:$C$49,MATCH($B134,'R1. Scenario specifications'!$A$11:$A$49,0))</f>
        <v>Current 1.5DS, 2020 start, 'Expect the Unexpected'</v>
      </c>
      <c r="B134" s="3" t="s">
        <v>19</v>
      </c>
      <c r="C134" s="3" t="s">
        <v>66</v>
      </c>
      <c r="D134" s="3" t="s">
        <v>258</v>
      </c>
      <c r="E134" s="14">
        <v>202.7012537766515</v>
      </c>
      <c r="F134" s="14">
        <v>194.90848865877462</v>
      </c>
      <c r="G134" s="14">
        <v>2771.4154518439864</v>
      </c>
      <c r="H134" s="14">
        <v>6365.6506539813136</v>
      </c>
      <c r="I134" s="14">
        <v>24592.435883159778</v>
      </c>
      <c r="J134" s="14">
        <v>28699.222764458656</v>
      </c>
      <c r="K134" s="14">
        <v>28322.42918751626</v>
      </c>
      <c r="L134" s="14">
        <v>24536.205005614276</v>
      </c>
      <c r="M134" s="14">
        <v>11499.894185985106</v>
      </c>
      <c r="N134" s="14">
        <v>17330.595407626937</v>
      </c>
      <c r="O134" s="14">
        <v>23229.062382552027</v>
      </c>
    </row>
    <row r="135" spans="1:15" x14ac:dyDescent="0.3">
      <c r="A135" s="3" t="str">
        <f>INDEX('R1. Scenario specifications'!$C$11:$C$49,MATCH($B135,'R1. Scenario specifications'!$A$11:$A$49,0))</f>
        <v>Current 1.5DS, 2020 start, 'Expect the Unexpected'</v>
      </c>
      <c r="B135" s="3" t="s">
        <v>19</v>
      </c>
      <c r="C135" s="3" t="s">
        <v>70</v>
      </c>
      <c r="D135" s="3" t="s">
        <v>259</v>
      </c>
      <c r="E135" s="14">
        <v>67.937052631788802</v>
      </c>
      <c r="F135" s="14">
        <v>458.66984800047192</v>
      </c>
      <c r="G135" s="14">
        <v>917.48161125092997</v>
      </c>
      <c r="H135" s="14">
        <v>4403.8172003886039</v>
      </c>
      <c r="I135" s="14">
        <v>17792.252669130256</v>
      </c>
      <c r="J135" s="14">
        <v>42423.957268059421</v>
      </c>
      <c r="K135" s="14">
        <v>68623.417015255691</v>
      </c>
      <c r="L135" s="14">
        <v>63322.749086690856</v>
      </c>
      <c r="M135" s="14">
        <v>83556.964017471633</v>
      </c>
      <c r="N135" s="14">
        <v>96731.161874230849</v>
      </c>
      <c r="O135" s="14">
        <v>111839.19321497114</v>
      </c>
    </row>
    <row r="136" spans="1:15" x14ac:dyDescent="0.3">
      <c r="A136" s="3" t="str">
        <f>INDEX('R1. Scenario specifications'!$C$11:$C$49,MATCH($B136,'R1. Scenario specifications'!$A$11:$A$49,0))</f>
        <v>Current 1.5DS, 2020 start, 'Expect the Unexpected'</v>
      </c>
      <c r="B136" s="3" t="s">
        <v>19</v>
      </c>
      <c r="C136" s="3" t="s">
        <v>71</v>
      </c>
      <c r="D136" s="3" t="s">
        <v>259</v>
      </c>
      <c r="E136" s="14">
        <v>55.461114646679903</v>
      </c>
      <c r="F136" s="14">
        <v>60.524118034134894</v>
      </c>
      <c r="G136" s="14">
        <v>64.687762917592892</v>
      </c>
      <c r="H136" s="14">
        <v>91.957578386401707</v>
      </c>
      <c r="I136" s="14">
        <v>787.94999330124472</v>
      </c>
      <c r="J136" s="14">
        <v>2334.5319757023467</v>
      </c>
      <c r="K136" s="14">
        <v>3805.4747394569613</v>
      </c>
      <c r="L136" s="14">
        <v>3769.7966034008332</v>
      </c>
      <c r="M136" s="14">
        <v>3805.4157351175954</v>
      </c>
      <c r="N136" s="14">
        <v>3805.386230490114</v>
      </c>
      <c r="O136" s="14">
        <v>3805.3569347094076</v>
      </c>
    </row>
    <row r="137" spans="1:15" x14ac:dyDescent="0.3">
      <c r="A137" s="3" t="str">
        <f>INDEX('R1. Scenario specifications'!$C$11:$C$49,MATCH($B137,'R1. Scenario specifications'!$A$11:$A$49,0))</f>
        <v>Current 1.5DS, 2020 start, 'Expect the Unexpected'</v>
      </c>
      <c r="B137" s="3" t="s">
        <v>19</v>
      </c>
      <c r="C137" s="3" t="s">
        <v>75</v>
      </c>
      <c r="D137" s="3" t="s">
        <v>258</v>
      </c>
      <c r="E137" s="14">
        <v>1.963099940637433</v>
      </c>
      <c r="F137" s="14">
        <v>1.7858497922310126</v>
      </c>
      <c r="G137" s="14">
        <v>1.5022495547807513</v>
      </c>
      <c r="H137" s="14">
        <v>1.0014997031871673</v>
      </c>
      <c r="I137" s="14">
        <v>0.50074985159358421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</row>
    <row r="138" spans="1:15" x14ac:dyDescent="0.3">
      <c r="A138" s="3" t="str">
        <f>INDEX('R1. Scenario specifications'!$C$11:$C$49,MATCH($B138,'R1. Scenario specifications'!$A$11:$A$49,0))</f>
        <v>Current 1.5DS, 2020 start, 'Expect the Unexpected'</v>
      </c>
      <c r="B138" s="3" t="s">
        <v>19</v>
      </c>
      <c r="C138" s="3" t="s">
        <v>72</v>
      </c>
      <c r="D138" s="3" t="s">
        <v>260</v>
      </c>
      <c r="E138" s="14">
        <v>1517.4635089937533</v>
      </c>
      <c r="F138" s="14">
        <v>1704.9418897085425</v>
      </c>
      <c r="G138" s="14">
        <v>2685.5545190640855</v>
      </c>
      <c r="H138" s="14">
        <v>13084.955487531341</v>
      </c>
      <c r="I138" s="14">
        <v>28411.31854671066</v>
      </c>
      <c r="J138" s="14">
        <v>59060.33695313675</v>
      </c>
      <c r="K138" s="14">
        <v>91431.678009608906</v>
      </c>
      <c r="L138" s="14">
        <v>82212.074282739341</v>
      </c>
      <c r="M138" s="14">
        <v>113451.01977760618</v>
      </c>
      <c r="N138" s="14">
        <v>150624.02136095407</v>
      </c>
      <c r="O138" s="14">
        <v>193089.31108523277</v>
      </c>
    </row>
    <row r="139" spans="1:15" x14ac:dyDescent="0.3">
      <c r="A139" s="3" t="str">
        <f>INDEX('R1. Scenario specifications'!$C$11:$C$49,MATCH($B139,'R1. Scenario specifications'!$A$11:$A$49,0))</f>
        <v>Current 1.5DS, 2030 start, 'Expect the Unexpected'</v>
      </c>
      <c r="B139" s="3" t="s">
        <v>20</v>
      </c>
      <c r="C139" s="3" t="s">
        <v>262</v>
      </c>
      <c r="D139" s="3" t="s">
        <v>253</v>
      </c>
      <c r="E139" s="14">
        <v>49803.376306806284</v>
      </c>
      <c r="F139" s="14">
        <v>54246.265938380871</v>
      </c>
      <c r="G139" s="14">
        <v>71262.17128058261</v>
      </c>
      <c r="H139" s="14">
        <v>95987.494917697361</v>
      </c>
      <c r="I139" s="14">
        <v>171100.54581435845</v>
      </c>
      <c r="J139" s="14">
        <v>187545.43321462203</v>
      </c>
      <c r="K139" s="14">
        <v>260421.34016571462</v>
      </c>
      <c r="L139" s="14">
        <v>200830.00853338459</v>
      </c>
      <c r="M139" s="14">
        <v>228704.47501112978</v>
      </c>
      <c r="N139" s="14">
        <v>250180.76031660932</v>
      </c>
      <c r="O139" s="14">
        <v>313616.85939409141</v>
      </c>
    </row>
    <row r="140" spans="1:15" x14ac:dyDescent="0.3">
      <c r="A140" s="3" t="str">
        <f>INDEX('R1. Scenario specifications'!$C$11:$C$49,MATCH($B140,'R1. Scenario specifications'!$A$11:$A$49,0))</f>
        <v>Current 1.5DS, 2030 start, 'Expect the Unexpected'</v>
      </c>
      <c r="B140" s="3" t="s">
        <v>20</v>
      </c>
      <c r="C140" s="3" t="s">
        <v>60</v>
      </c>
      <c r="D140" s="3" t="s">
        <v>254</v>
      </c>
      <c r="E140" s="14">
        <v>132862.88014752162</v>
      </c>
      <c r="F140" s="14">
        <v>167772.98687500271</v>
      </c>
      <c r="G140" s="14">
        <v>133988.90917691623</v>
      </c>
      <c r="H140" s="14">
        <v>141587.52010422843</v>
      </c>
      <c r="I140" s="14">
        <v>51689.394252266655</v>
      </c>
      <c r="J140" s="14">
        <v>44073.439940015356</v>
      </c>
      <c r="K140" s="14">
        <v>16186.649023765263</v>
      </c>
      <c r="L140" s="14">
        <v>107221.94316032552</v>
      </c>
      <c r="M140" s="14">
        <v>120970.24869724248</v>
      </c>
      <c r="N140" s="14">
        <v>95445.925353719809</v>
      </c>
      <c r="O140" s="14">
        <v>99127.74574834932</v>
      </c>
    </row>
    <row r="141" spans="1:15" x14ac:dyDescent="0.3">
      <c r="A141" s="3" t="str">
        <f>INDEX('R1. Scenario specifications'!$C$11:$C$49,MATCH($B141,'R1. Scenario specifications'!$A$11:$A$49,0))</f>
        <v>Current 1.5DS, 2030 start, 'Expect the Unexpected'</v>
      </c>
      <c r="B141" s="3" t="s">
        <v>20</v>
      </c>
      <c r="C141" s="3" t="s">
        <v>61</v>
      </c>
      <c r="D141" s="3" t="s">
        <v>255</v>
      </c>
      <c r="E141" s="14">
        <v>113361.40893082572</v>
      </c>
      <c r="F141" s="14">
        <v>125068.22780197491</v>
      </c>
      <c r="G141" s="14">
        <v>164552.1853192726</v>
      </c>
      <c r="H141" s="14">
        <v>176766.93010542684</v>
      </c>
      <c r="I141" s="14">
        <v>98640.03633502408</v>
      </c>
      <c r="J141" s="14">
        <v>56456.094738951513</v>
      </c>
      <c r="K141" s="14">
        <v>104151.13721749221</v>
      </c>
      <c r="L141" s="14">
        <v>141818.18302738102</v>
      </c>
      <c r="M141" s="14">
        <v>158806.31919914196</v>
      </c>
      <c r="N141" s="14">
        <v>167834.72253611533</v>
      </c>
      <c r="O141" s="14">
        <v>153666.35601791056</v>
      </c>
    </row>
    <row r="142" spans="1:15" x14ac:dyDescent="0.3">
      <c r="A142" s="3" t="str">
        <f>INDEX('R1. Scenario specifications'!$C$11:$C$49,MATCH($B142,'R1. Scenario specifications'!$A$11:$A$49,0))</f>
        <v>Current 1.5DS, 2030 start, 'Expect the Unexpected'</v>
      </c>
      <c r="B142" s="3" t="s">
        <v>20</v>
      </c>
      <c r="C142" s="3" t="s">
        <v>263</v>
      </c>
      <c r="D142" s="3" t="s">
        <v>256</v>
      </c>
      <c r="E142" s="14">
        <v>10361.182910638019</v>
      </c>
      <c r="F142" s="14">
        <v>10438.652617147358</v>
      </c>
      <c r="G142" s="14">
        <v>14734.740994143709</v>
      </c>
      <c r="H142" s="14">
        <v>17241.713076375538</v>
      </c>
      <c r="I142" s="14">
        <v>20779.021337536698</v>
      </c>
      <c r="J142" s="14">
        <v>29545.026525364927</v>
      </c>
      <c r="K142" s="14">
        <v>34119.309036068938</v>
      </c>
      <c r="L142" s="14">
        <v>36219.740006890126</v>
      </c>
      <c r="M142" s="14">
        <v>30692.368461582777</v>
      </c>
      <c r="N142" s="14">
        <v>35381.900348442687</v>
      </c>
      <c r="O142" s="14">
        <v>37973.666213633645</v>
      </c>
    </row>
    <row r="143" spans="1:15" x14ac:dyDescent="0.3">
      <c r="A143" s="3" t="str">
        <f>INDEX('R1. Scenario specifications'!$C$11:$C$49,MATCH($B143,'R1. Scenario specifications'!$A$11:$A$49,0))</f>
        <v>Current 1.5DS, 2030 start, 'Expect the Unexpected'</v>
      </c>
      <c r="B143" s="3" t="s">
        <v>20</v>
      </c>
      <c r="C143" s="3" t="s">
        <v>264</v>
      </c>
      <c r="D143" s="3" t="s">
        <v>257</v>
      </c>
      <c r="E143" s="14">
        <v>9499.4101148835834</v>
      </c>
      <c r="F143" s="14">
        <v>9854.7685931259057</v>
      </c>
      <c r="G143" s="14">
        <v>13753.197500000002</v>
      </c>
      <c r="H143" s="14">
        <v>14514.167854150608</v>
      </c>
      <c r="I143" s="14">
        <v>15191.631806438925</v>
      </c>
      <c r="J143" s="14">
        <v>22237.50176860678</v>
      </c>
      <c r="K143" s="14">
        <v>26150.39333029338</v>
      </c>
      <c r="L143" s="14">
        <v>28214.064929933294</v>
      </c>
      <c r="M143" s="14">
        <v>29596.559741268531</v>
      </c>
      <c r="N143" s="14">
        <v>34348.93</v>
      </c>
      <c r="O143" s="14">
        <v>32998.118842553158</v>
      </c>
    </row>
    <row r="144" spans="1:15" x14ac:dyDescent="0.3">
      <c r="A144" s="3" t="str">
        <f>INDEX('R1. Scenario specifications'!$C$11:$C$49,MATCH($B144,'R1. Scenario specifications'!$A$11:$A$49,0))</f>
        <v>Current 1.5DS, 2030 start, 'Expect the Unexpected'</v>
      </c>
      <c r="B144" s="3" t="s">
        <v>20</v>
      </c>
      <c r="C144" s="3" t="s">
        <v>62</v>
      </c>
      <c r="D144" s="3" t="s">
        <v>266</v>
      </c>
      <c r="E144" s="14">
        <v>152832.4479725429</v>
      </c>
      <c r="F144" s="14">
        <v>158538.7874200783</v>
      </c>
      <c r="G144" s="14">
        <v>170699.74489631387</v>
      </c>
      <c r="H144" s="14">
        <v>176541.28948572898</v>
      </c>
      <c r="I144" s="14">
        <v>153101.1453540576</v>
      </c>
      <c r="J144" s="14">
        <v>117518.71841246785</v>
      </c>
      <c r="K144" s="14">
        <v>109501.2653385248</v>
      </c>
      <c r="L144" s="14">
        <v>164034.56325130409</v>
      </c>
      <c r="M144" s="14">
        <v>168640.86296597586</v>
      </c>
      <c r="N144" s="14">
        <v>165480.34620744109</v>
      </c>
      <c r="O144" s="14">
        <v>149601.29188060487</v>
      </c>
    </row>
    <row r="145" spans="1:15" x14ac:dyDescent="0.3">
      <c r="A145" s="3" t="str">
        <f>INDEX('R1. Scenario specifications'!$C$11:$C$49,MATCH($B145,'R1. Scenario specifications'!$A$11:$A$49,0))</f>
        <v>Current 1.5DS, 2030 start, 'Expect the Unexpected'</v>
      </c>
      <c r="B145" s="3" t="s">
        <v>20</v>
      </c>
      <c r="C145" s="3" t="s">
        <v>66</v>
      </c>
      <c r="D145" s="3" t="s">
        <v>258</v>
      </c>
      <c r="E145" s="14">
        <v>202.7012537766515</v>
      </c>
      <c r="F145" s="14">
        <v>194.90848865877462</v>
      </c>
      <c r="G145" s="14">
        <v>2771.4154518439864</v>
      </c>
      <c r="H145" s="14">
        <v>4278.9486538824649</v>
      </c>
      <c r="I145" s="14">
        <v>15762.571541853196</v>
      </c>
      <c r="J145" s="14">
        <v>35965.512389072479</v>
      </c>
      <c r="K145" s="14">
        <v>34769.482618088485</v>
      </c>
      <c r="L145" s="14">
        <v>32996.801810538556</v>
      </c>
      <c r="M145" s="14">
        <v>20842.683172585061</v>
      </c>
      <c r="N145" s="14">
        <v>6833.0984859728742</v>
      </c>
      <c r="O145" s="14">
        <v>10104.217850327244</v>
      </c>
    </row>
    <row r="146" spans="1:15" x14ac:dyDescent="0.3">
      <c r="A146" s="3" t="str">
        <f>INDEX('R1. Scenario specifications'!$C$11:$C$49,MATCH($B146,'R1. Scenario specifications'!$A$11:$A$49,0))</f>
        <v>Current 1.5DS, 2030 start, 'Expect the Unexpected'</v>
      </c>
      <c r="B146" s="3" t="s">
        <v>20</v>
      </c>
      <c r="C146" s="3" t="s">
        <v>70</v>
      </c>
      <c r="D146" s="3" t="s">
        <v>259</v>
      </c>
      <c r="E146" s="14">
        <v>67.937052631788802</v>
      </c>
      <c r="F146" s="14">
        <v>458.66984800047192</v>
      </c>
      <c r="G146" s="14">
        <v>917.48161125092997</v>
      </c>
      <c r="H146" s="14">
        <v>2670.3548260954558</v>
      </c>
      <c r="I146" s="14">
        <v>11369.021149564673</v>
      </c>
      <c r="J146" s="14">
        <v>33518.218940665705</v>
      </c>
      <c r="K146" s="14">
        <v>79111.083528721007</v>
      </c>
      <c r="L146" s="14">
        <v>64464.395473124074</v>
      </c>
      <c r="M146" s="14">
        <v>62729.049407018043</v>
      </c>
      <c r="N146" s="14">
        <v>80146.014344623356</v>
      </c>
      <c r="O146" s="14">
        <v>89451.976912609156</v>
      </c>
    </row>
    <row r="147" spans="1:15" x14ac:dyDescent="0.3">
      <c r="A147" s="3" t="str">
        <f>INDEX('R1. Scenario specifications'!$C$11:$C$49,MATCH($B147,'R1. Scenario specifications'!$A$11:$A$49,0))</f>
        <v>Current 1.5DS, 2030 start, 'Expect the Unexpected'</v>
      </c>
      <c r="B147" s="3" t="s">
        <v>20</v>
      </c>
      <c r="C147" s="3" t="s">
        <v>71</v>
      </c>
      <c r="D147" s="3" t="s">
        <v>259</v>
      </c>
      <c r="E147" s="14">
        <v>55.461114646679903</v>
      </c>
      <c r="F147" s="14">
        <v>60.524118034134894</v>
      </c>
      <c r="G147" s="14">
        <v>64.687762917592892</v>
      </c>
      <c r="H147" s="14">
        <v>64.713826068531574</v>
      </c>
      <c r="I147" s="14">
        <v>277.53385064902614</v>
      </c>
      <c r="J147" s="14">
        <v>404.40779192064826</v>
      </c>
      <c r="K147" s="14">
        <v>438.56716387300429</v>
      </c>
      <c r="L147" s="14">
        <v>431.52338293833606</v>
      </c>
      <c r="M147" s="14">
        <v>416.17514074548723</v>
      </c>
      <c r="N147" s="14">
        <v>431.47154484621962</v>
      </c>
      <c r="O147" s="14">
        <v>439.02617103367902</v>
      </c>
    </row>
    <row r="148" spans="1:15" x14ac:dyDescent="0.3">
      <c r="A148" s="3" t="str">
        <f>INDEX('R1. Scenario specifications'!$C$11:$C$49,MATCH($B148,'R1. Scenario specifications'!$A$11:$A$49,0))</f>
        <v>Current 1.5DS, 2030 start, 'Expect the Unexpected'</v>
      </c>
      <c r="B148" s="3" t="s">
        <v>20</v>
      </c>
      <c r="C148" s="3" t="s">
        <v>75</v>
      </c>
      <c r="D148" s="3" t="s">
        <v>258</v>
      </c>
      <c r="E148" s="14">
        <v>1.963099940637433</v>
      </c>
      <c r="F148" s="14">
        <v>1.7858497922310126</v>
      </c>
      <c r="G148" s="14">
        <v>1.5022495547807513</v>
      </c>
      <c r="H148" s="14">
        <v>1.0014997031871682</v>
      </c>
      <c r="I148" s="14">
        <v>0.50074985159358421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</row>
    <row r="149" spans="1:15" x14ac:dyDescent="0.3">
      <c r="A149" s="3" t="str">
        <f>INDEX('R1. Scenario specifications'!$C$11:$C$49,MATCH($B149,'R1. Scenario specifications'!$A$11:$A$49,0))</f>
        <v>Current 1.5DS, 2030 start, 'Expect the Unexpected'</v>
      </c>
      <c r="B149" s="3" t="s">
        <v>20</v>
      </c>
      <c r="C149" s="3" t="s">
        <v>72</v>
      </c>
      <c r="D149" s="3" t="s">
        <v>260</v>
      </c>
      <c r="E149" s="14">
        <v>1517.4635089937533</v>
      </c>
      <c r="F149" s="14">
        <v>1704.9418897085425</v>
      </c>
      <c r="G149" s="14">
        <v>2685.5545190640855</v>
      </c>
      <c r="H149" s="14">
        <v>10882.32058635127</v>
      </c>
      <c r="I149" s="14">
        <v>24084.253617279952</v>
      </c>
      <c r="J149" s="14">
        <v>48641.893576000104</v>
      </c>
      <c r="K149" s="14">
        <v>100707.86142362282</v>
      </c>
      <c r="L149" s="14">
        <v>75909.943422712677</v>
      </c>
      <c r="M149" s="14">
        <v>76116.690606060889</v>
      </c>
      <c r="N149" s="14">
        <v>95068.172649640444</v>
      </c>
      <c r="O149" s="14">
        <v>123057.68815720989</v>
      </c>
    </row>
    <row r="150" spans="1:15" x14ac:dyDescent="0.3">
      <c r="A150" s="3" t="str">
        <f>INDEX('R1. Scenario specifications'!$C$11:$C$49,MATCH($B150,'R1. Scenario specifications'!$A$11:$A$49,0))</f>
        <v>Current 1.5DS, 2020 start, 'Expect the Unexpected' but with cheap renewables</v>
      </c>
      <c r="B150" s="3" t="s">
        <v>21</v>
      </c>
      <c r="C150" s="3" t="s">
        <v>262</v>
      </c>
      <c r="D150" s="3" t="s">
        <v>253</v>
      </c>
      <c r="E150" s="14">
        <v>49803.376306806284</v>
      </c>
      <c r="F150" s="14">
        <v>54246.265938380871</v>
      </c>
      <c r="G150" s="14">
        <v>71262.17128058261</v>
      </c>
      <c r="H150" s="14">
        <v>128894.88719674142</v>
      </c>
      <c r="I150" s="14">
        <v>162430.40605516883</v>
      </c>
      <c r="J150" s="14">
        <v>174347.22320781436</v>
      </c>
      <c r="K150" s="14">
        <v>247921.39596209431</v>
      </c>
      <c r="L150" s="14">
        <v>260024.5917077183</v>
      </c>
      <c r="M150" s="14">
        <v>284982.70455219608</v>
      </c>
      <c r="N150" s="14">
        <v>311059.696894166</v>
      </c>
      <c r="O150" s="14">
        <v>327823.53143627866</v>
      </c>
    </row>
    <row r="151" spans="1:15" x14ac:dyDescent="0.3">
      <c r="A151" s="3" t="str">
        <f>INDEX('R1. Scenario specifications'!$C$11:$C$49,MATCH($B151,'R1. Scenario specifications'!$A$11:$A$49,0))</f>
        <v>Current 1.5DS, 2020 start, 'Expect the Unexpected' but with cheap renewables</v>
      </c>
      <c r="B151" s="3" t="s">
        <v>21</v>
      </c>
      <c r="C151" s="3" t="s">
        <v>60</v>
      </c>
      <c r="D151" s="3" t="s">
        <v>254</v>
      </c>
      <c r="E151" s="14">
        <v>132862.88014752162</v>
      </c>
      <c r="F151" s="14">
        <v>167772.98687500271</v>
      </c>
      <c r="G151" s="14">
        <v>133988.90917691623</v>
      </c>
      <c r="H151" s="14">
        <v>74086.121940432145</v>
      </c>
      <c r="I151" s="14">
        <v>51689.988404641525</v>
      </c>
      <c r="J151" s="14">
        <v>42897.38032675971</v>
      </c>
      <c r="K151" s="14">
        <v>60953.558466935639</v>
      </c>
      <c r="L151" s="14">
        <v>88563.47103630811</v>
      </c>
      <c r="M151" s="14">
        <v>93636.204704705728</v>
      </c>
      <c r="N151" s="14">
        <v>95188.087158400158</v>
      </c>
      <c r="O151" s="14">
        <v>77518.405655179085</v>
      </c>
    </row>
    <row r="152" spans="1:15" x14ac:dyDescent="0.3">
      <c r="A152" s="3" t="str">
        <f>INDEX('R1. Scenario specifications'!$C$11:$C$49,MATCH($B152,'R1. Scenario specifications'!$A$11:$A$49,0))</f>
        <v>Current 1.5DS, 2020 start, 'Expect the Unexpected' but with cheap renewables</v>
      </c>
      <c r="B152" s="3" t="s">
        <v>21</v>
      </c>
      <c r="C152" s="3" t="s">
        <v>61</v>
      </c>
      <c r="D152" s="3" t="s">
        <v>255</v>
      </c>
      <c r="E152" s="14">
        <v>113361.40893082572</v>
      </c>
      <c r="F152" s="14">
        <v>125068.22780197491</v>
      </c>
      <c r="G152" s="14">
        <v>164552.1853192726</v>
      </c>
      <c r="H152" s="14">
        <v>185881.46756184509</v>
      </c>
      <c r="I152" s="14">
        <v>86759.999807515909</v>
      </c>
      <c r="J152" s="14">
        <v>86126.960043388783</v>
      </c>
      <c r="K152" s="14">
        <v>84254.270356874564</v>
      </c>
      <c r="L152" s="14">
        <v>117705.91949517616</v>
      </c>
      <c r="M152" s="14">
        <v>109500.79769670288</v>
      </c>
      <c r="N152" s="14">
        <v>87162.081191431324</v>
      </c>
      <c r="O152" s="14">
        <v>79735.108940212973</v>
      </c>
    </row>
    <row r="153" spans="1:15" x14ac:dyDescent="0.3">
      <c r="A153" s="3" t="str">
        <f>INDEX('R1. Scenario specifications'!$C$11:$C$49,MATCH($B153,'R1. Scenario specifications'!$A$11:$A$49,0))</f>
        <v>Current 1.5DS, 2020 start, 'Expect the Unexpected' but with cheap renewables</v>
      </c>
      <c r="B153" s="3" t="s">
        <v>21</v>
      </c>
      <c r="C153" s="3" t="s">
        <v>263</v>
      </c>
      <c r="D153" s="3" t="s">
        <v>256</v>
      </c>
      <c r="E153" s="14">
        <v>10361.182910638019</v>
      </c>
      <c r="F153" s="14">
        <v>10438.652617147358</v>
      </c>
      <c r="G153" s="14">
        <v>14734.740994143709</v>
      </c>
      <c r="H153" s="14">
        <v>18095.707199293047</v>
      </c>
      <c r="I153" s="14">
        <v>27958.657851226424</v>
      </c>
      <c r="J153" s="14">
        <v>32846.340732357872</v>
      </c>
      <c r="K153" s="14">
        <v>34568.807394726668</v>
      </c>
      <c r="L153" s="14">
        <v>37162.809483232399</v>
      </c>
      <c r="M153" s="14">
        <v>39133.356025889807</v>
      </c>
      <c r="N153" s="14">
        <v>41316.092340222378</v>
      </c>
      <c r="O153" s="14">
        <v>42270.757790255659</v>
      </c>
    </row>
    <row r="154" spans="1:15" x14ac:dyDescent="0.3">
      <c r="A154" s="3" t="str">
        <f>INDEX('R1. Scenario specifications'!$C$11:$C$49,MATCH($B154,'R1. Scenario specifications'!$A$11:$A$49,0))</f>
        <v>Current 1.5DS, 2020 start, 'Expect the Unexpected' but with cheap renewables</v>
      </c>
      <c r="B154" s="3" t="s">
        <v>21</v>
      </c>
      <c r="C154" s="3" t="s">
        <v>264</v>
      </c>
      <c r="D154" s="3" t="s">
        <v>257</v>
      </c>
      <c r="E154" s="14">
        <v>9499.4101148835834</v>
      </c>
      <c r="F154" s="14">
        <v>9854.7685931259057</v>
      </c>
      <c r="G154" s="14">
        <v>13753.197500000002</v>
      </c>
      <c r="H154" s="14">
        <v>14514.167854150608</v>
      </c>
      <c r="I154" s="14">
        <v>18029.264999999999</v>
      </c>
      <c r="J154" s="14">
        <v>24649.158391214027</v>
      </c>
      <c r="K154" s="14">
        <v>29430.007903762562</v>
      </c>
      <c r="L154" s="14">
        <v>31176.747654386789</v>
      </c>
      <c r="M154" s="14">
        <v>35053.494748070785</v>
      </c>
      <c r="N154" s="14">
        <v>37908.53</v>
      </c>
      <c r="O154" s="14">
        <v>39367.755311037792</v>
      </c>
    </row>
    <row r="155" spans="1:15" x14ac:dyDescent="0.3">
      <c r="A155" s="3" t="str">
        <f>INDEX('R1. Scenario specifications'!$C$11:$C$49,MATCH($B155,'R1. Scenario specifications'!$A$11:$A$49,0))</f>
        <v>Current 1.5DS, 2020 start, 'Expect the Unexpected' but with cheap renewables</v>
      </c>
      <c r="B155" s="3" t="s">
        <v>21</v>
      </c>
      <c r="C155" s="3" t="s">
        <v>62</v>
      </c>
      <c r="D155" s="3" t="s">
        <v>266</v>
      </c>
      <c r="E155" s="14">
        <v>152832.4479725429</v>
      </c>
      <c r="F155" s="14">
        <v>158538.7874200783</v>
      </c>
      <c r="G155" s="14">
        <v>170699.74489631387</v>
      </c>
      <c r="H155" s="14">
        <v>157006.05933270897</v>
      </c>
      <c r="I155" s="14">
        <v>109559.93109026602</v>
      </c>
      <c r="J155" s="14">
        <v>100819.67470514314</v>
      </c>
      <c r="K155" s="14">
        <v>137906.68495666742</v>
      </c>
      <c r="L155" s="14">
        <v>156186.11673285614</v>
      </c>
      <c r="M155" s="14">
        <v>158373.32014833341</v>
      </c>
      <c r="N155" s="14">
        <v>152999.43539297034</v>
      </c>
      <c r="O155" s="14">
        <v>137677.75703599295</v>
      </c>
    </row>
    <row r="156" spans="1:15" x14ac:dyDescent="0.3">
      <c r="A156" s="3" t="str">
        <f>INDEX('R1. Scenario specifications'!$C$11:$C$49,MATCH($B156,'R1. Scenario specifications'!$A$11:$A$49,0))</f>
        <v>Current 1.5DS, 2020 start, 'Expect the Unexpected' but with cheap renewables</v>
      </c>
      <c r="B156" s="3" t="s">
        <v>21</v>
      </c>
      <c r="C156" s="3" t="s">
        <v>66</v>
      </c>
      <c r="D156" s="3" t="s">
        <v>258</v>
      </c>
      <c r="E156" s="14">
        <v>202.7012537766515</v>
      </c>
      <c r="F156" s="14">
        <v>194.90848865877462</v>
      </c>
      <c r="G156" s="14">
        <v>2771.4154518439864</v>
      </c>
      <c r="H156" s="14">
        <v>6137.7556857082354</v>
      </c>
      <c r="I156" s="14">
        <v>23851.520650007413</v>
      </c>
      <c r="J156" s="14">
        <v>29821.6107197899</v>
      </c>
      <c r="K156" s="14">
        <v>28985.307719383705</v>
      </c>
      <c r="L156" s="14">
        <v>25761.360204446304</v>
      </c>
      <c r="M156" s="14">
        <v>13061.206532732898</v>
      </c>
      <c r="N156" s="14">
        <v>17484.314089843978</v>
      </c>
      <c r="O156" s="14">
        <v>22130.899034790618</v>
      </c>
    </row>
    <row r="157" spans="1:15" x14ac:dyDescent="0.3">
      <c r="A157" s="3" t="str">
        <f>INDEX('R1. Scenario specifications'!$C$11:$C$49,MATCH($B157,'R1. Scenario specifications'!$A$11:$A$49,0))</f>
        <v>Current 1.5DS, 2020 start, 'Expect the Unexpected' but with cheap renewables</v>
      </c>
      <c r="B157" s="3" t="s">
        <v>21</v>
      </c>
      <c r="C157" s="3" t="s">
        <v>70</v>
      </c>
      <c r="D157" s="3" t="s">
        <v>259</v>
      </c>
      <c r="E157" s="14">
        <v>67.937052631788802</v>
      </c>
      <c r="F157" s="14">
        <v>458.66984800047192</v>
      </c>
      <c r="G157" s="14">
        <v>917.48161125092997</v>
      </c>
      <c r="H157" s="14">
        <v>5672.3017560750859</v>
      </c>
      <c r="I157" s="14">
        <v>21144.8207579685</v>
      </c>
      <c r="J157" s="14">
        <v>51677.309226071869</v>
      </c>
      <c r="K157" s="14">
        <v>73690.190292500483</v>
      </c>
      <c r="L157" s="14">
        <v>70406.38596795348</v>
      </c>
      <c r="M157" s="14">
        <v>84361.519393703114</v>
      </c>
      <c r="N157" s="14">
        <v>96314.674992181201</v>
      </c>
      <c r="O157" s="14">
        <v>111042.17817998065</v>
      </c>
    </row>
    <row r="158" spans="1:15" x14ac:dyDescent="0.3">
      <c r="A158" s="3" t="str">
        <f>INDEX('R1. Scenario specifications'!$C$11:$C$49,MATCH($B158,'R1. Scenario specifications'!$A$11:$A$49,0))</f>
        <v>Current 1.5DS, 2020 start, 'Expect the Unexpected' but with cheap renewables</v>
      </c>
      <c r="B158" s="3" t="s">
        <v>21</v>
      </c>
      <c r="C158" s="3" t="s">
        <v>71</v>
      </c>
      <c r="D158" s="3" t="s">
        <v>259</v>
      </c>
      <c r="E158" s="14">
        <v>55.461114646679903</v>
      </c>
      <c r="F158" s="14">
        <v>60.524118034134894</v>
      </c>
      <c r="G158" s="14">
        <v>64.687762917592892</v>
      </c>
      <c r="H158" s="14">
        <v>70.730980403924789</v>
      </c>
      <c r="I158" s="14">
        <v>896.66899242757017</v>
      </c>
      <c r="J158" s="14">
        <v>5221.7122581192925</v>
      </c>
      <c r="K158" s="14">
        <v>5222.8759330826233</v>
      </c>
      <c r="L158" s="14">
        <v>5222.8450080174462</v>
      </c>
      <c r="M158" s="14">
        <v>5222.815495031231</v>
      </c>
      <c r="N158" s="14">
        <v>5215.2060732146829</v>
      </c>
      <c r="O158" s="14">
        <v>5222.7564857762663</v>
      </c>
    </row>
    <row r="159" spans="1:15" x14ac:dyDescent="0.3">
      <c r="A159" s="3" t="str">
        <f>INDEX('R1. Scenario specifications'!$C$11:$C$49,MATCH($B159,'R1. Scenario specifications'!$A$11:$A$49,0))</f>
        <v>Current 1.5DS, 2020 start, 'Expect the Unexpected' but with cheap renewables</v>
      </c>
      <c r="B159" s="3" t="s">
        <v>21</v>
      </c>
      <c r="C159" s="3" t="s">
        <v>75</v>
      </c>
      <c r="D159" s="3" t="s">
        <v>258</v>
      </c>
      <c r="E159" s="14">
        <v>1.963099940637433</v>
      </c>
      <c r="F159" s="14">
        <v>1.7858497922310126</v>
      </c>
      <c r="G159" s="14">
        <v>1.5022495547807513</v>
      </c>
      <c r="H159" s="14">
        <v>1.0014997031871682</v>
      </c>
      <c r="I159" s="14">
        <v>0.50074985159358421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</row>
    <row r="160" spans="1:15" x14ac:dyDescent="0.3">
      <c r="A160" s="3" t="str">
        <f>INDEX('R1. Scenario specifications'!$C$11:$C$49,MATCH($B160,'R1. Scenario specifications'!$A$11:$A$49,0))</f>
        <v>Current 1.5DS, 2020 start, 'Expect the Unexpected' but with cheap renewables</v>
      </c>
      <c r="B160" s="3" t="s">
        <v>21</v>
      </c>
      <c r="C160" s="3" t="s">
        <v>72</v>
      </c>
      <c r="D160" s="3" t="s">
        <v>260</v>
      </c>
      <c r="E160" s="14">
        <v>1517.4635089937533</v>
      </c>
      <c r="F160" s="14">
        <v>1704.9418897085425</v>
      </c>
      <c r="G160" s="14">
        <v>2685.5545190640855</v>
      </c>
      <c r="H160" s="14">
        <v>16858.087537511175</v>
      </c>
      <c r="I160" s="14">
        <v>32302.579709089339</v>
      </c>
      <c r="J160" s="14">
        <v>65723.49866030713</v>
      </c>
      <c r="K160" s="14">
        <v>92044.388912508643</v>
      </c>
      <c r="L160" s="14">
        <v>87463.340676145177</v>
      </c>
      <c r="M160" s="14">
        <v>114456.1353943248</v>
      </c>
      <c r="N160" s="14">
        <v>151178.26534295522</v>
      </c>
      <c r="O160" s="14">
        <v>191384.27901352497</v>
      </c>
    </row>
    <row r="161" spans="1:15" x14ac:dyDescent="0.3">
      <c r="A161" s="3" t="str">
        <f>INDEX('R1. Scenario specifications'!$C$11:$C$49,MATCH($B161,'R1. Scenario specifications'!$A$11:$A$49,0))</f>
        <v>Current 1.5DS, 2030 start, 'Expect the Unexpected' but with cheap renewables</v>
      </c>
      <c r="B161" s="3" t="s">
        <v>22</v>
      </c>
      <c r="C161" s="3" t="s">
        <v>262</v>
      </c>
      <c r="D161" s="3" t="s">
        <v>253</v>
      </c>
      <c r="E161" s="14">
        <v>49803.376306806284</v>
      </c>
      <c r="F161" s="14">
        <v>54246.265938380871</v>
      </c>
      <c r="G161" s="14">
        <v>71262.17128058261</v>
      </c>
      <c r="H161" s="14">
        <v>95987.494917697361</v>
      </c>
      <c r="I161" s="14">
        <v>163311.29552417484</v>
      </c>
      <c r="J161" s="14">
        <v>174349.88756116488</v>
      </c>
      <c r="K161" s="14">
        <v>259795.40408266187</v>
      </c>
      <c r="L161" s="14">
        <v>199511.85251103708</v>
      </c>
      <c r="M161" s="14">
        <v>230630.46836290904</v>
      </c>
      <c r="N161" s="14">
        <v>254779.96649379338</v>
      </c>
      <c r="O161" s="14">
        <v>313346.2370496894</v>
      </c>
    </row>
    <row r="162" spans="1:15" x14ac:dyDescent="0.3">
      <c r="A162" s="3" t="str">
        <f>INDEX('R1. Scenario specifications'!$C$11:$C$49,MATCH($B162,'R1. Scenario specifications'!$A$11:$A$49,0))</f>
        <v>Current 1.5DS, 2030 start, 'Expect the Unexpected' but with cheap renewables</v>
      </c>
      <c r="B162" s="3" t="s">
        <v>22</v>
      </c>
      <c r="C162" s="3" t="s">
        <v>60</v>
      </c>
      <c r="D162" s="3" t="s">
        <v>254</v>
      </c>
      <c r="E162" s="14">
        <v>132862.88014752162</v>
      </c>
      <c r="F162" s="14">
        <v>167772.98687500271</v>
      </c>
      <c r="G162" s="14">
        <v>133988.90917691623</v>
      </c>
      <c r="H162" s="14">
        <v>141587.52010422843</v>
      </c>
      <c r="I162" s="14">
        <v>51689.395499411461</v>
      </c>
      <c r="J162" s="14">
        <v>44535.692817422467</v>
      </c>
      <c r="K162" s="14">
        <v>16191.314304394209</v>
      </c>
      <c r="L162" s="14">
        <v>106963.58520834213</v>
      </c>
      <c r="M162" s="14">
        <v>112156.65114266673</v>
      </c>
      <c r="N162" s="14">
        <v>85547.109126544819</v>
      </c>
      <c r="O162" s="14">
        <v>96216.75656066685</v>
      </c>
    </row>
    <row r="163" spans="1:15" x14ac:dyDescent="0.3">
      <c r="A163" s="3" t="str">
        <f>INDEX('R1. Scenario specifications'!$C$11:$C$49,MATCH($B163,'R1. Scenario specifications'!$A$11:$A$49,0))</f>
        <v>Current 1.5DS, 2030 start, 'Expect the Unexpected' but with cheap renewables</v>
      </c>
      <c r="B163" s="3" t="s">
        <v>22</v>
      </c>
      <c r="C163" s="3" t="s">
        <v>61</v>
      </c>
      <c r="D163" s="3" t="s">
        <v>255</v>
      </c>
      <c r="E163" s="14">
        <v>113361.40893082572</v>
      </c>
      <c r="F163" s="14">
        <v>125068.22780197491</v>
      </c>
      <c r="G163" s="14">
        <v>164552.1853192726</v>
      </c>
      <c r="H163" s="14">
        <v>176766.93010542684</v>
      </c>
      <c r="I163" s="14">
        <v>98002.185152860053</v>
      </c>
      <c r="J163" s="14">
        <v>55302.303466611687</v>
      </c>
      <c r="K163" s="14">
        <v>97694.380349915693</v>
      </c>
      <c r="L163" s="14">
        <v>138746.97727362925</v>
      </c>
      <c r="M163" s="14">
        <v>158968.28549504123</v>
      </c>
      <c r="N163" s="14">
        <v>167686.06135113217</v>
      </c>
      <c r="O163" s="14">
        <v>154654.30506209133</v>
      </c>
    </row>
    <row r="164" spans="1:15" x14ac:dyDescent="0.3">
      <c r="A164" s="3" t="str">
        <f>INDEX('R1. Scenario specifications'!$C$11:$C$49,MATCH($B164,'R1. Scenario specifications'!$A$11:$A$49,0))</f>
        <v>Current 1.5DS, 2030 start, 'Expect the Unexpected' but with cheap renewables</v>
      </c>
      <c r="B164" s="3" t="s">
        <v>22</v>
      </c>
      <c r="C164" s="3" t="s">
        <v>263</v>
      </c>
      <c r="D164" s="3" t="s">
        <v>256</v>
      </c>
      <c r="E164" s="14">
        <v>10361.182910638019</v>
      </c>
      <c r="F164" s="14">
        <v>10438.652617147358</v>
      </c>
      <c r="G164" s="14">
        <v>14734.740994143709</v>
      </c>
      <c r="H164" s="14">
        <v>17241.713076375538</v>
      </c>
      <c r="I164" s="14">
        <v>20826.6559460928</v>
      </c>
      <c r="J164" s="14">
        <v>30784.557600287393</v>
      </c>
      <c r="K164" s="14">
        <v>34192.82940459378</v>
      </c>
      <c r="L164" s="14">
        <v>36900.525111503368</v>
      </c>
      <c r="M164" s="14">
        <v>30117.798665254337</v>
      </c>
      <c r="N164" s="14">
        <v>35236.257683603966</v>
      </c>
      <c r="O164" s="14">
        <v>38376.967207607304</v>
      </c>
    </row>
    <row r="165" spans="1:15" x14ac:dyDescent="0.3">
      <c r="A165" s="3" t="str">
        <f>INDEX('R1. Scenario specifications'!$C$11:$C$49,MATCH($B165,'R1. Scenario specifications'!$A$11:$A$49,0))</f>
        <v>Current 1.5DS, 2030 start, 'Expect the Unexpected' but with cheap renewables</v>
      </c>
      <c r="B165" s="3" t="s">
        <v>22</v>
      </c>
      <c r="C165" s="3" t="s">
        <v>264</v>
      </c>
      <c r="D165" s="3" t="s">
        <v>257</v>
      </c>
      <c r="E165" s="14">
        <v>9499.4101148835834</v>
      </c>
      <c r="F165" s="14">
        <v>9854.7685931259057</v>
      </c>
      <c r="G165" s="14">
        <v>13753.197500000002</v>
      </c>
      <c r="H165" s="14">
        <v>14514.167854150608</v>
      </c>
      <c r="I165" s="14">
        <v>15191.631806438925</v>
      </c>
      <c r="J165" s="14">
        <v>22237.50176860678</v>
      </c>
      <c r="K165" s="14">
        <v>26150.39333029338</v>
      </c>
      <c r="L165" s="14">
        <v>27129.481099018427</v>
      </c>
      <c r="M165" s="14">
        <v>29039.905749301022</v>
      </c>
      <c r="N165" s="14">
        <v>35035.37789286855</v>
      </c>
      <c r="O165" s="14">
        <v>33419.130710370599</v>
      </c>
    </row>
    <row r="166" spans="1:15" x14ac:dyDescent="0.3">
      <c r="A166" s="3" t="str">
        <f>INDEX('R1. Scenario specifications'!$C$11:$C$49,MATCH($B166,'R1. Scenario specifications'!$A$11:$A$49,0))</f>
        <v>Current 1.5DS, 2030 start, 'Expect the Unexpected' but with cheap renewables</v>
      </c>
      <c r="B166" s="3" t="s">
        <v>22</v>
      </c>
      <c r="C166" s="3" t="s">
        <v>62</v>
      </c>
      <c r="D166" s="3" t="s">
        <v>266</v>
      </c>
      <c r="E166" s="14">
        <v>152832.4479725429</v>
      </c>
      <c r="F166" s="14">
        <v>158538.7874200783</v>
      </c>
      <c r="G166" s="14">
        <v>170699.74489631387</v>
      </c>
      <c r="H166" s="14">
        <v>176541.28948572898</v>
      </c>
      <c r="I166" s="14">
        <v>154444.26380598888</v>
      </c>
      <c r="J166" s="14">
        <v>116866.73579247459</v>
      </c>
      <c r="K166" s="14">
        <v>109500.78180692343</v>
      </c>
      <c r="L166" s="14">
        <v>163780.93486204953</v>
      </c>
      <c r="M166" s="14">
        <v>169291.33445070731</v>
      </c>
      <c r="N166" s="14">
        <v>165965.33403583325</v>
      </c>
      <c r="O166" s="14">
        <v>149879.75203720125</v>
      </c>
    </row>
    <row r="167" spans="1:15" x14ac:dyDescent="0.3">
      <c r="A167" s="3" t="str">
        <f>INDEX('R1. Scenario specifications'!$C$11:$C$49,MATCH($B167,'R1. Scenario specifications'!$A$11:$A$49,0))</f>
        <v>Current 1.5DS, 2030 start, 'Expect the Unexpected' but with cheap renewables</v>
      </c>
      <c r="B167" s="3" t="s">
        <v>22</v>
      </c>
      <c r="C167" s="3" t="s">
        <v>66</v>
      </c>
      <c r="D167" s="3" t="s">
        <v>258</v>
      </c>
      <c r="E167" s="14">
        <v>202.7012537766515</v>
      </c>
      <c r="F167" s="14">
        <v>194.90848865877462</v>
      </c>
      <c r="G167" s="14">
        <v>2771.4154518439864</v>
      </c>
      <c r="H167" s="14">
        <v>4278.9486538824649</v>
      </c>
      <c r="I167" s="14">
        <v>14589.510291783383</v>
      </c>
      <c r="J167" s="14">
        <v>36570.872155382058</v>
      </c>
      <c r="K167" s="14">
        <v>35292.359056418725</v>
      </c>
      <c r="L167" s="14">
        <v>34010.558428066739</v>
      </c>
      <c r="M167" s="14">
        <v>23189.827311271642</v>
      </c>
      <c r="N167" s="14">
        <v>6626.1795699786016</v>
      </c>
      <c r="O167" s="14">
        <v>9622.5612957165231</v>
      </c>
    </row>
    <row r="168" spans="1:15" x14ac:dyDescent="0.3">
      <c r="A168" s="3" t="str">
        <f>INDEX('R1. Scenario specifications'!$C$11:$C$49,MATCH($B168,'R1. Scenario specifications'!$A$11:$A$49,0))</f>
        <v>Current 1.5DS, 2030 start, 'Expect the Unexpected' but with cheap renewables</v>
      </c>
      <c r="B168" s="3" t="s">
        <v>22</v>
      </c>
      <c r="C168" s="3" t="s">
        <v>70</v>
      </c>
      <c r="D168" s="3" t="s">
        <v>259</v>
      </c>
      <c r="E168" s="14">
        <v>67.937052631788802</v>
      </c>
      <c r="F168" s="14">
        <v>458.66984800047192</v>
      </c>
      <c r="G168" s="14">
        <v>917.48161125092997</v>
      </c>
      <c r="H168" s="14">
        <v>2670.3548260954558</v>
      </c>
      <c r="I168" s="14">
        <v>13974.05855684448</v>
      </c>
      <c r="J168" s="14">
        <v>39419.684605583359</v>
      </c>
      <c r="K168" s="14">
        <v>84058.81016117426</v>
      </c>
      <c r="L168" s="14">
        <v>67879.285122443413</v>
      </c>
      <c r="M168" s="14">
        <v>65888.300403347341</v>
      </c>
      <c r="N168" s="14">
        <v>84542.245106866918</v>
      </c>
      <c r="O168" s="14">
        <v>91630.331144324242</v>
      </c>
    </row>
    <row r="169" spans="1:15" x14ac:dyDescent="0.3">
      <c r="A169" s="3" t="str">
        <f>INDEX('R1. Scenario specifications'!$C$11:$C$49,MATCH($B169,'R1. Scenario specifications'!$A$11:$A$49,0))</f>
        <v>Current 1.5DS, 2030 start, 'Expect the Unexpected' but with cheap renewables</v>
      </c>
      <c r="B169" s="3" t="s">
        <v>22</v>
      </c>
      <c r="C169" s="3" t="s">
        <v>71</v>
      </c>
      <c r="D169" s="3" t="s">
        <v>259</v>
      </c>
      <c r="E169" s="14">
        <v>55.461114646679903</v>
      </c>
      <c r="F169" s="14">
        <v>60.524118034134894</v>
      </c>
      <c r="G169" s="14">
        <v>64.687762917592892</v>
      </c>
      <c r="H169" s="14">
        <v>64.713826068531574</v>
      </c>
      <c r="I169" s="14">
        <v>354.93821571438718</v>
      </c>
      <c r="J169" s="14">
        <v>392.09972828779155</v>
      </c>
      <c r="K169" s="14">
        <v>469.16344174331567</v>
      </c>
      <c r="L169" s="14">
        <v>436.1312296171655</v>
      </c>
      <c r="M169" s="14">
        <v>432.12871807852508</v>
      </c>
      <c r="N169" s="14">
        <v>461.5013351985354</v>
      </c>
      <c r="O169" s="14">
        <v>469.05596138599481</v>
      </c>
    </row>
    <row r="170" spans="1:15" x14ac:dyDescent="0.3">
      <c r="A170" s="3" t="str">
        <f>INDEX('R1. Scenario specifications'!$C$11:$C$49,MATCH($B170,'R1. Scenario specifications'!$A$11:$A$49,0))</f>
        <v>Current 1.5DS, 2030 start, 'Expect the Unexpected' but with cheap renewables</v>
      </c>
      <c r="B170" s="3" t="s">
        <v>22</v>
      </c>
      <c r="C170" s="3" t="s">
        <v>75</v>
      </c>
      <c r="D170" s="3" t="s">
        <v>258</v>
      </c>
      <c r="E170" s="14">
        <v>1.963099940637433</v>
      </c>
      <c r="F170" s="14">
        <v>1.7858497922310126</v>
      </c>
      <c r="G170" s="14">
        <v>1.5022495547807513</v>
      </c>
      <c r="H170" s="14">
        <v>1.0014997031871682</v>
      </c>
      <c r="I170" s="14">
        <v>0.50074985159358421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</row>
    <row r="171" spans="1:15" x14ac:dyDescent="0.3">
      <c r="A171" s="3" t="str">
        <f>INDEX('R1. Scenario specifications'!$C$11:$C$49,MATCH($B171,'R1. Scenario specifications'!$A$11:$A$49,0))</f>
        <v>Current 1.5DS, 2030 start, 'Expect the Unexpected' but with cheap renewables</v>
      </c>
      <c r="B171" s="3" t="s">
        <v>22</v>
      </c>
      <c r="C171" s="3" t="s">
        <v>72</v>
      </c>
      <c r="D171" s="3" t="s">
        <v>260</v>
      </c>
      <c r="E171" s="14">
        <v>1517.4635089937533</v>
      </c>
      <c r="F171" s="14">
        <v>1704.9418897085425</v>
      </c>
      <c r="G171" s="14">
        <v>2685.5545190640855</v>
      </c>
      <c r="H171" s="14">
        <v>10882.32058635127</v>
      </c>
      <c r="I171" s="14">
        <v>25826.928961551297</v>
      </c>
      <c r="J171" s="14">
        <v>52189.769849870157</v>
      </c>
      <c r="K171" s="14">
        <v>103353.31328260883</v>
      </c>
      <c r="L171" s="14">
        <v>77834.400466257197</v>
      </c>
      <c r="M171" s="14">
        <v>78326.420243297674</v>
      </c>
      <c r="N171" s="14">
        <v>95407.409929948306</v>
      </c>
      <c r="O171" s="14">
        <v>123429.58853574388</v>
      </c>
    </row>
    <row r="172" spans="1:15" x14ac:dyDescent="0.3">
      <c r="A172" s="3" t="str">
        <f>INDEX('R1. Scenario specifications'!$C$11:$C$49,MATCH($B172,'R1. Scenario specifications'!$A$11:$A$49,0))</f>
        <v>Current 1.5DS, 2020 start, 'Expect the Unexpected' but with cheap CCS</v>
      </c>
      <c r="B172" s="3" t="s">
        <v>23</v>
      </c>
      <c r="C172" s="3" t="s">
        <v>262</v>
      </c>
      <c r="D172" s="3" t="s">
        <v>253</v>
      </c>
      <c r="E172" s="14">
        <v>49803.376306806284</v>
      </c>
      <c r="F172" s="14">
        <v>54246.265938380871</v>
      </c>
      <c r="G172" s="14">
        <v>71262.17128058261</v>
      </c>
      <c r="H172" s="14">
        <v>132295.15355724245</v>
      </c>
      <c r="I172" s="14">
        <v>173006.81195945834</v>
      </c>
      <c r="J172" s="14">
        <v>186916.97887006804</v>
      </c>
      <c r="K172" s="14">
        <v>243313.36884037161</v>
      </c>
      <c r="L172" s="14">
        <v>255115.74823363952</v>
      </c>
      <c r="M172" s="14">
        <v>282711.74847252679</v>
      </c>
      <c r="N172" s="14">
        <v>311048.84784091491</v>
      </c>
      <c r="O172" s="14">
        <v>327800.00930137897</v>
      </c>
    </row>
    <row r="173" spans="1:15" x14ac:dyDescent="0.3">
      <c r="A173" s="3" t="str">
        <f>INDEX('R1. Scenario specifications'!$C$11:$C$49,MATCH($B173,'R1. Scenario specifications'!$A$11:$A$49,0))</f>
        <v>Current 1.5DS, 2020 start, 'Expect the Unexpected' but with cheap CCS</v>
      </c>
      <c r="B173" s="3" t="s">
        <v>23</v>
      </c>
      <c r="C173" s="3" t="s">
        <v>60</v>
      </c>
      <c r="D173" s="3" t="s">
        <v>254</v>
      </c>
      <c r="E173" s="14">
        <v>132862.88014752162</v>
      </c>
      <c r="F173" s="14">
        <v>167772.98687500271</v>
      </c>
      <c r="G173" s="14">
        <v>133988.90917691623</v>
      </c>
      <c r="H173" s="14">
        <v>74086.287944023585</v>
      </c>
      <c r="I173" s="14">
        <v>51689.988404641583</v>
      </c>
      <c r="J173" s="14">
        <v>42902.10052383427</v>
      </c>
      <c r="K173" s="14">
        <v>48882.680100954756</v>
      </c>
      <c r="L173" s="14">
        <v>89083.720832698033</v>
      </c>
      <c r="M173" s="14">
        <v>93879.105098260217</v>
      </c>
      <c r="N173" s="14">
        <v>94743.790668536167</v>
      </c>
      <c r="O173" s="14">
        <v>74527.703667200898</v>
      </c>
    </row>
    <row r="174" spans="1:15" x14ac:dyDescent="0.3">
      <c r="A174" s="3" t="str">
        <f>INDEX('R1. Scenario specifications'!$C$11:$C$49,MATCH($B174,'R1. Scenario specifications'!$A$11:$A$49,0))</f>
        <v>Current 1.5DS, 2020 start, 'Expect the Unexpected' but with cheap CCS</v>
      </c>
      <c r="B174" s="3" t="s">
        <v>23</v>
      </c>
      <c r="C174" s="3" t="s">
        <v>61</v>
      </c>
      <c r="D174" s="3" t="s">
        <v>255</v>
      </c>
      <c r="E174" s="14">
        <v>113361.40893082572</v>
      </c>
      <c r="F174" s="14">
        <v>125068.22780197491</v>
      </c>
      <c r="G174" s="14">
        <v>164552.1853192726</v>
      </c>
      <c r="H174" s="14">
        <v>188812.2485699995</v>
      </c>
      <c r="I174" s="14">
        <v>87092.494151123741</v>
      </c>
      <c r="J174" s="14">
        <v>95369.323195575111</v>
      </c>
      <c r="K174" s="14">
        <v>108804.01645339248</v>
      </c>
      <c r="L174" s="14">
        <v>122797.94750988856</v>
      </c>
      <c r="M174" s="14">
        <v>111175.59435647844</v>
      </c>
      <c r="N174" s="14">
        <v>88796.839212413834</v>
      </c>
      <c r="O174" s="14">
        <v>80197.160208667439</v>
      </c>
    </row>
    <row r="175" spans="1:15" x14ac:dyDescent="0.3">
      <c r="A175" s="3" t="str">
        <f>INDEX('R1. Scenario specifications'!$C$11:$C$49,MATCH($B175,'R1. Scenario specifications'!$A$11:$A$49,0))</f>
        <v>Current 1.5DS, 2020 start, 'Expect the Unexpected' but with cheap CCS</v>
      </c>
      <c r="B175" s="3" t="s">
        <v>23</v>
      </c>
      <c r="C175" s="3" t="s">
        <v>263</v>
      </c>
      <c r="D175" s="3" t="s">
        <v>256</v>
      </c>
      <c r="E175" s="14">
        <v>10361.182910638019</v>
      </c>
      <c r="F175" s="14">
        <v>10438.652617147358</v>
      </c>
      <c r="G175" s="14">
        <v>14734.740994143709</v>
      </c>
      <c r="H175" s="14">
        <v>18195.141865015896</v>
      </c>
      <c r="I175" s="14">
        <v>27113.751393735245</v>
      </c>
      <c r="J175" s="14">
        <v>31262.479728489368</v>
      </c>
      <c r="K175" s="14">
        <v>35627.071282250414</v>
      </c>
      <c r="L175" s="14">
        <v>36325.149546202825</v>
      </c>
      <c r="M175" s="14">
        <v>40287.532159763286</v>
      </c>
      <c r="N175" s="14">
        <v>41520.613331595414</v>
      </c>
      <c r="O175" s="14">
        <v>42755.629181239092</v>
      </c>
    </row>
    <row r="176" spans="1:15" x14ac:dyDescent="0.3">
      <c r="A176" s="3" t="str">
        <f>INDEX('R1. Scenario specifications'!$C$11:$C$49,MATCH($B176,'R1. Scenario specifications'!$A$11:$A$49,0))</f>
        <v>Current 1.5DS, 2020 start, 'Expect the Unexpected' but with cheap CCS</v>
      </c>
      <c r="B176" s="3" t="s">
        <v>23</v>
      </c>
      <c r="C176" s="3" t="s">
        <v>264</v>
      </c>
      <c r="D176" s="3" t="s">
        <v>257</v>
      </c>
      <c r="E176" s="14">
        <v>9499.4101148835834</v>
      </c>
      <c r="F176" s="14">
        <v>9854.7685931259057</v>
      </c>
      <c r="G176" s="14">
        <v>13753.197500000002</v>
      </c>
      <c r="H176" s="14">
        <v>14514.167854150608</v>
      </c>
      <c r="I176" s="14">
        <v>17736.301924026739</v>
      </c>
      <c r="J176" s="14">
        <v>24729.32</v>
      </c>
      <c r="K176" s="14">
        <v>29436.277027089731</v>
      </c>
      <c r="L176" s="14">
        <v>31167.367336850773</v>
      </c>
      <c r="M176" s="14">
        <v>35846.591827386284</v>
      </c>
      <c r="N176" s="14">
        <v>38043.533784250118</v>
      </c>
      <c r="O176" s="14">
        <v>39733.175000000003</v>
      </c>
    </row>
    <row r="177" spans="1:15" x14ac:dyDescent="0.3">
      <c r="A177" s="3" t="str">
        <f>INDEX('R1. Scenario specifications'!$C$11:$C$49,MATCH($B177,'R1. Scenario specifications'!$A$11:$A$49,0))</f>
        <v>Current 1.5DS, 2020 start, 'Expect the Unexpected' but with cheap CCS</v>
      </c>
      <c r="B177" s="3" t="s">
        <v>23</v>
      </c>
      <c r="C177" s="3" t="s">
        <v>62</v>
      </c>
      <c r="D177" s="3" t="s">
        <v>266</v>
      </c>
      <c r="E177" s="14">
        <v>152832.4479725429</v>
      </c>
      <c r="F177" s="14">
        <v>158538.7874200783</v>
      </c>
      <c r="G177" s="14">
        <v>170699.74489631387</v>
      </c>
      <c r="H177" s="14">
        <v>155285.39036298374</v>
      </c>
      <c r="I177" s="14">
        <v>109006.40705316025</v>
      </c>
      <c r="J177" s="14">
        <v>100400.42328697443</v>
      </c>
      <c r="K177" s="14">
        <v>130957.74491403115</v>
      </c>
      <c r="L177" s="14">
        <v>156809.7654611629</v>
      </c>
      <c r="M177" s="14">
        <v>159045.65474019971</v>
      </c>
      <c r="N177" s="14">
        <v>153226.11525934935</v>
      </c>
      <c r="O177" s="14">
        <v>137647.04146565072</v>
      </c>
    </row>
    <row r="178" spans="1:15" x14ac:dyDescent="0.3">
      <c r="A178" s="3" t="str">
        <f>INDEX('R1. Scenario specifications'!$C$11:$C$49,MATCH($B178,'R1. Scenario specifications'!$A$11:$A$49,0))</f>
        <v>Current 1.5DS, 2020 start, 'Expect the Unexpected' but with cheap CCS</v>
      </c>
      <c r="B178" s="3" t="s">
        <v>23</v>
      </c>
      <c r="C178" s="3" t="s">
        <v>66</v>
      </c>
      <c r="D178" s="3" t="s">
        <v>258</v>
      </c>
      <c r="E178" s="14">
        <v>202.7012537766515</v>
      </c>
      <c r="F178" s="14">
        <v>194.90848865877462</v>
      </c>
      <c r="G178" s="14">
        <v>2771.4154518439864</v>
      </c>
      <c r="H178" s="14">
        <v>6365.6506537460773</v>
      </c>
      <c r="I178" s="14">
        <v>24592.435808069724</v>
      </c>
      <c r="J178" s="14">
        <v>28699.222695080723</v>
      </c>
      <c r="K178" s="14">
        <v>28322.42911241181</v>
      </c>
      <c r="L178" s="14">
        <v>24536.204930834065</v>
      </c>
      <c r="M178" s="14">
        <v>11499.894186218202</v>
      </c>
      <c r="N178" s="14">
        <v>17330.595403418931</v>
      </c>
      <c r="O178" s="14">
        <v>23229.062383557935</v>
      </c>
    </row>
    <row r="179" spans="1:15" x14ac:dyDescent="0.3">
      <c r="A179" s="3" t="str">
        <f>INDEX('R1. Scenario specifications'!$C$11:$C$49,MATCH($B179,'R1. Scenario specifications'!$A$11:$A$49,0))</f>
        <v>Current 1.5DS, 2020 start, 'Expect the Unexpected' but with cheap CCS</v>
      </c>
      <c r="B179" s="3" t="s">
        <v>23</v>
      </c>
      <c r="C179" s="3" t="s">
        <v>70</v>
      </c>
      <c r="D179" s="3" t="s">
        <v>259</v>
      </c>
      <c r="E179" s="14">
        <v>67.937052631788802</v>
      </c>
      <c r="F179" s="14">
        <v>458.66984800047192</v>
      </c>
      <c r="G179" s="14">
        <v>917.48161125092997</v>
      </c>
      <c r="H179" s="14">
        <v>4403.8172003886039</v>
      </c>
      <c r="I179" s="14">
        <v>17792.25266991862</v>
      </c>
      <c r="J179" s="14">
        <v>42423.957268057711</v>
      </c>
      <c r="K179" s="14">
        <v>68623.413676752927</v>
      </c>
      <c r="L179" s="14">
        <v>63322.745799126795</v>
      </c>
      <c r="M179" s="14">
        <v>83556.960673483642</v>
      </c>
      <c r="N179" s="14">
        <v>96731.158538150092</v>
      </c>
      <c r="O179" s="14">
        <v>111839.18109584054</v>
      </c>
    </row>
    <row r="180" spans="1:15" x14ac:dyDescent="0.3">
      <c r="A180" s="3" t="str">
        <f>INDEX('R1. Scenario specifications'!$C$11:$C$49,MATCH($B180,'R1. Scenario specifications'!$A$11:$A$49,0))</f>
        <v>Current 1.5DS, 2020 start, 'Expect the Unexpected' but with cheap CCS</v>
      </c>
      <c r="B180" s="3" t="s">
        <v>23</v>
      </c>
      <c r="C180" s="3" t="s">
        <v>71</v>
      </c>
      <c r="D180" s="3" t="s">
        <v>259</v>
      </c>
      <c r="E180" s="14">
        <v>55.461114646679903</v>
      </c>
      <c r="F180" s="14">
        <v>60.524118034134894</v>
      </c>
      <c r="G180" s="14">
        <v>64.687762917592892</v>
      </c>
      <c r="H180" s="14">
        <v>91.957578386436396</v>
      </c>
      <c r="I180" s="14">
        <v>787.94974875176467</v>
      </c>
      <c r="J180" s="14">
        <v>2334.5308001943354</v>
      </c>
      <c r="K180" s="14">
        <v>3805.4812197261253</v>
      </c>
      <c r="L180" s="14">
        <v>3769.8049861708519</v>
      </c>
      <c r="M180" s="14">
        <v>3805.422215386759</v>
      </c>
      <c r="N180" s="14">
        <v>3805.3927107592763</v>
      </c>
      <c r="O180" s="14">
        <v>3805.3634149785703</v>
      </c>
    </row>
    <row r="181" spans="1:15" x14ac:dyDescent="0.3">
      <c r="A181" s="3" t="str">
        <f>INDEX('R1. Scenario specifications'!$C$11:$C$49,MATCH($B181,'R1. Scenario specifications'!$A$11:$A$49,0))</f>
        <v>Current 1.5DS, 2020 start, 'Expect the Unexpected' but with cheap CCS</v>
      </c>
      <c r="B181" s="3" t="s">
        <v>23</v>
      </c>
      <c r="C181" s="3" t="s">
        <v>75</v>
      </c>
      <c r="D181" s="3" t="s">
        <v>258</v>
      </c>
      <c r="E181" s="14">
        <v>1.963099940637433</v>
      </c>
      <c r="F181" s="14">
        <v>1.7858497922310126</v>
      </c>
      <c r="G181" s="14">
        <v>1.5022495547807513</v>
      </c>
      <c r="H181" s="14">
        <v>1.0014997031871673</v>
      </c>
      <c r="I181" s="14">
        <v>0.50074985159358421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</row>
    <row r="182" spans="1:15" x14ac:dyDescent="0.3">
      <c r="A182" s="3" t="str">
        <f>INDEX('R1. Scenario specifications'!$C$11:$C$49,MATCH($B182,'R1. Scenario specifications'!$A$11:$A$49,0))</f>
        <v>Current 1.5DS, 2020 start, 'Expect the Unexpected' but with cheap CCS</v>
      </c>
      <c r="B182" s="3" t="s">
        <v>23</v>
      </c>
      <c r="C182" s="3" t="s">
        <v>72</v>
      </c>
      <c r="D182" s="3" t="s">
        <v>260</v>
      </c>
      <c r="E182" s="14">
        <v>1517.4635089937533</v>
      </c>
      <c r="F182" s="14">
        <v>1704.9418897085425</v>
      </c>
      <c r="G182" s="14">
        <v>2685.5545190640855</v>
      </c>
      <c r="H182" s="14">
        <v>13084.955487531341</v>
      </c>
      <c r="I182" s="14">
        <v>28411.318547520939</v>
      </c>
      <c r="J182" s="14">
        <v>59060.336954633458</v>
      </c>
      <c r="K182" s="14">
        <v>91431.677029547369</v>
      </c>
      <c r="L182" s="14">
        <v>82212.073799169695</v>
      </c>
      <c r="M182" s="14">
        <v>113451.01552967538</v>
      </c>
      <c r="N182" s="14">
        <v>150624.01998242337</v>
      </c>
      <c r="O182" s="14">
        <v>193089.30557190347</v>
      </c>
    </row>
    <row r="183" spans="1:15" x14ac:dyDescent="0.3">
      <c r="A183" s="3" t="str">
        <f>INDEX('R1. Scenario specifications'!$C$11:$C$49,MATCH($B183,'R1. Scenario specifications'!$A$11:$A$49,0))</f>
        <v>Current 1.5DS, 2030 start, 'Expect the Unexpected' but with cheap CCS</v>
      </c>
      <c r="B183" s="3" t="s">
        <v>24</v>
      </c>
      <c r="C183" s="3" t="s">
        <v>262</v>
      </c>
      <c r="D183" s="3" t="s">
        <v>253</v>
      </c>
      <c r="E183" s="14">
        <v>49803.376306806284</v>
      </c>
      <c r="F183" s="14">
        <v>54246.265938380871</v>
      </c>
      <c r="G183" s="14">
        <v>71262.17128058261</v>
      </c>
      <c r="H183" s="14">
        <v>95987.494917697361</v>
      </c>
      <c r="I183" s="14">
        <v>171100.54583910276</v>
      </c>
      <c r="J183" s="14">
        <v>187545.43321462197</v>
      </c>
      <c r="K183" s="14">
        <v>260421.34016562245</v>
      </c>
      <c r="L183" s="14">
        <v>200830.00848010756</v>
      </c>
      <c r="M183" s="14">
        <v>228704.47495803321</v>
      </c>
      <c r="N183" s="14">
        <v>250180.76028505867</v>
      </c>
      <c r="O183" s="14">
        <v>313616.85939408781</v>
      </c>
    </row>
    <row r="184" spans="1:15" x14ac:dyDescent="0.3">
      <c r="A184" s="3" t="str">
        <f>INDEX('R1. Scenario specifications'!$C$11:$C$49,MATCH($B184,'R1. Scenario specifications'!$A$11:$A$49,0))</f>
        <v>Current 1.5DS, 2030 start, 'Expect the Unexpected' but with cheap CCS</v>
      </c>
      <c r="B184" s="3" t="s">
        <v>24</v>
      </c>
      <c r="C184" s="3" t="s">
        <v>60</v>
      </c>
      <c r="D184" s="3" t="s">
        <v>254</v>
      </c>
      <c r="E184" s="14">
        <v>132862.88014752162</v>
      </c>
      <c r="F184" s="14">
        <v>167772.98687500271</v>
      </c>
      <c r="G184" s="14">
        <v>133988.90917691623</v>
      </c>
      <c r="H184" s="14">
        <v>141587.52010422843</v>
      </c>
      <c r="I184" s="14">
        <v>51689.394252266655</v>
      </c>
      <c r="J184" s="14">
        <v>44073.439940014548</v>
      </c>
      <c r="K184" s="14">
        <v>16186.649023765412</v>
      </c>
      <c r="L184" s="14">
        <v>107221.94316159408</v>
      </c>
      <c r="M184" s="14">
        <v>120970.24869638657</v>
      </c>
      <c r="N184" s="14">
        <v>95445.925349149751</v>
      </c>
      <c r="O184" s="14">
        <v>99127.745748349116</v>
      </c>
    </row>
    <row r="185" spans="1:15" x14ac:dyDescent="0.3">
      <c r="A185" s="3" t="str">
        <f>INDEX('R1. Scenario specifications'!$C$11:$C$49,MATCH($B185,'R1. Scenario specifications'!$A$11:$A$49,0))</f>
        <v>Current 1.5DS, 2030 start, 'Expect the Unexpected' but with cheap CCS</v>
      </c>
      <c r="B185" s="3" t="s">
        <v>24</v>
      </c>
      <c r="C185" s="3" t="s">
        <v>61</v>
      </c>
      <c r="D185" s="3" t="s">
        <v>255</v>
      </c>
      <c r="E185" s="14">
        <v>113361.40893082572</v>
      </c>
      <c r="F185" s="14">
        <v>125068.22780197491</v>
      </c>
      <c r="G185" s="14">
        <v>164552.1853192726</v>
      </c>
      <c r="H185" s="14">
        <v>176766.93010542684</v>
      </c>
      <c r="I185" s="14">
        <v>98640.036260961715</v>
      </c>
      <c r="J185" s="14">
        <v>56456.094738970365</v>
      </c>
      <c r="K185" s="14">
        <v>104151.13716691443</v>
      </c>
      <c r="L185" s="14">
        <v>141818.18305785788</v>
      </c>
      <c r="M185" s="14">
        <v>158806.31921605673</v>
      </c>
      <c r="N185" s="14">
        <v>167834.72253165566</v>
      </c>
      <c r="O185" s="14">
        <v>153666.35602515697</v>
      </c>
    </row>
    <row r="186" spans="1:15" x14ac:dyDescent="0.3">
      <c r="A186" s="3" t="str">
        <f>INDEX('R1. Scenario specifications'!$C$11:$C$49,MATCH($B186,'R1. Scenario specifications'!$A$11:$A$49,0))</f>
        <v>Current 1.5DS, 2030 start, 'Expect the Unexpected' but with cheap CCS</v>
      </c>
      <c r="B186" s="3" t="s">
        <v>24</v>
      </c>
      <c r="C186" s="3" t="s">
        <v>263</v>
      </c>
      <c r="D186" s="3" t="s">
        <v>256</v>
      </c>
      <c r="E186" s="14">
        <v>10361.182910638019</v>
      </c>
      <c r="F186" s="14">
        <v>10438.652617147358</v>
      </c>
      <c r="G186" s="14">
        <v>14734.740994143709</v>
      </c>
      <c r="H186" s="14">
        <v>17241.713076375538</v>
      </c>
      <c r="I186" s="14">
        <v>20779.021329371008</v>
      </c>
      <c r="J186" s="14">
        <v>29545.026506777111</v>
      </c>
      <c r="K186" s="14">
        <v>34119.309017439897</v>
      </c>
      <c r="L186" s="14">
        <v>36219.739988302739</v>
      </c>
      <c r="M186" s="14">
        <v>30692.368442995368</v>
      </c>
      <c r="N186" s="14">
        <v>35381.900330177465</v>
      </c>
      <c r="O186" s="14">
        <v>37973.666194926787</v>
      </c>
    </row>
    <row r="187" spans="1:15" x14ac:dyDescent="0.3">
      <c r="A187" s="3" t="str">
        <f>INDEX('R1. Scenario specifications'!$C$11:$C$49,MATCH($B187,'R1. Scenario specifications'!$A$11:$A$49,0))</f>
        <v>Current 1.5DS, 2030 start, 'Expect the Unexpected' but with cheap CCS</v>
      </c>
      <c r="B187" s="3" t="s">
        <v>24</v>
      </c>
      <c r="C187" s="3" t="s">
        <v>264</v>
      </c>
      <c r="D187" s="3" t="s">
        <v>257</v>
      </c>
      <c r="E187" s="14">
        <v>9499.4101148835834</v>
      </c>
      <c r="F187" s="14">
        <v>9854.7685931259057</v>
      </c>
      <c r="G187" s="14">
        <v>13753.197500000002</v>
      </c>
      <c r="H187" s="14">
        <v>14514.167854150608</v>
      </c>
      <c r="I187" s="14">
        <v>15191.631806438925</v>
      </c>
      <c r="J187" s="14">
        <v>22237.50176860678</v>
      </c>
      <c r="K187" s="14">
        <v>26150.39333029338</v>
      </c>
      <c r="L187" s="14">
        <v>28214.064929933294</v>
      </c>
      <c r="M187" s="14">
        <v>29596.559741268531</v>
      </c>
      <c r="N187" s="14">
        <v>34348.93</v>
      </c>
      <c r="O187" s="14">
        <v>32998.118842553726</v>
      </c>
    </row>
    <row r="188" spans="1:15" x14ac:dyDescent="0.3">
      <c r="A188" s="3" t="str">
        <f>INDEX('R1. Scenario specifications'!$C$11:$C$49,MATCH($B188,'R1. Scenario specifications'!$A$11:$A$49,0))</f>
        <v>Current 1.5DS, 2030 start, 'Expect the Unexpected' but with cheap CCS</v>
      </c>
      <c r="B188" s="3" t="s">
        <v>24</v>
      </c>
      <c r="C188" s="3" t="s">
        <v>62</v>
      </c>
      <c r="D188" s="3" t="s">
        <v>266</v>
      </c>
      <c r="E188" s="14">
        <v>152832.4479725429</v>
      </c>
      <c r="F188" s="14">
        <v>158538.7874200783</v>
      </c>
      <c r="G188" s="14">
        <v>170699.74489631387</v>
      </c>
      <c r="H188" s="14">
        <v>176541.28948572898</v>
      </c>
      <c r="I188" s="14">
        <v>153101.1453635181</v>
      </c>
      <c r="J188" s="14">
        <v>117518.71841245289</v>
      </c>
      <c r="K188" s="14">
        <v>109501.2653384679</v>
      </c>
      <c r="L188" s="14">
        <v>164034.56325145983</v>
      </c>
      <c r="M188" s="14">
        <v>168640.86303147799</v>
      </c>
      <c r="N188" s="14">
        <v>165480.34627255215</v>
      </c>
      <c r="O188" s="14">
        <v>149601.29188061543</v>
      </c>
    </row>
    <row r="189" spans="1:15" x14ac:dyDescent="0.3">
      <c r="A189" s="3" t="str">
        <f>INDEX('R1. Scenario specifications'!$C$11:$C$49,MATCH($B189,'R1. Scenario specifications'!$A$11:$A$49,0))</f>
        <v>Current 1.5DS, 2030 start, 'Expect the Unexpected' but with cheap CCS</v>
      </c>
      <c r="B189" s="3" t="s">
        <v>24</v>
      </c>
      <c r="C189" s="3" t="s">
        <v>66</v>
      </c>
      <c r="D189" s="3" t="s">
        <v>258</v>
      </c>
      <c r="E189" s="14">
        <v>202.7012537766515</v>
      </c>
      <c r="F189" s="14">
        <v>194.90848865877462</v>
      </c>
      <c r="G189" s="14">
        <v>2771.4154518439864</v>
      </c>
      <c r="H189" s="14">
        <v>4278.9486538824649</v>
      </c>
      <c r="I189" s="14">
        <v>15762.571584407744</v>
      </c>
      <c r="J189" s="14">
        <v>35965.512431627023</v>
      </c>
      <c r="K189" s="14">
        <v>34769.482660643029</v>
      </c>
      <c r="L189" s="14">
        <v>32996.801853092955</v>
      </c>
      <c r="M189" s="14">
        <v>20842.683172585137</v>
      </c>
      <c r="N189" s="14">
        <v>6833.0985028696441</v>
      </c>
      <c r="O189" s="14">
        <v>10104.217953998625</v>
      </c>
    </row>
    <row r="190" spans="1:15" x14ac:dyDescent="0.3">
      <c r="A190" s="3" t="str">
        <f>INDEX('R1. Scenario specifications'!$C$11:$C$49,MATCH($B190,'R1. Scenario specifications'!$A$11:$A$49,0))</f>
        <v>Current 1.5DS, 2030 start, 'Expect the Unexpected' but with cheap CCS</v>
      </c>
      <c r="B190" s="3" t="s">
        <v>24</v>
      </c>
      <c r="C190" s="3" t="s">
        <v>70</v>
      </c>
      <c r="D190" s="3" t="s">
        <v>259</v>
      </c>
      <c r="E190" s="14">
        <v>67.937052631788802</v>
      </c>
      <c r="F190" s="14">
        <v>458.66984800047192</v>
      </c>
      <c r="G190" s="14">
        <v>917.48161125092997</v>
      </c>
      <c r="H190" s="14">
        <v>2670.3548260954558</v>
      </c>
      <c r="I190" s="14">
        <v>11369.021149564496</v>
      </c>
      <c r="J190" s="14">
        <v>33518.21895905889</v>
      </c>
      <c r="K190" s="14">
        <v>79111.083544082765</v>
      </c>
      <c r="L190" s="14">
        <v>64464.395490616196</v>
      </c>
      <c r="M190" s="14">
        <v>62729.049425912577</v>
      </c>
      <c r="N190" s="14">
        <v>80146.014262762052</v>
      </c>
      <c r="O190" s="14">
        <v>89451.976827301172</v>
      </c>
    </row>
    <row r="191" spans="1:15" x14ac:dyDescent="0.3">
      <c r="A191" s="3" t="str">
        <f>INDEX('R1. Scenario specifications'!$C$11:$C$49,MATCH($B191,'R1. Scenario specifications'!$A$11:$A$49,0))</f>
        <v>Current 1.5DS, 2030 start, 'Expect the Unexpected' but with cheap CCS</v>
      </c>
      <c r="B191" s="3" t="s">
        <v>24</v>
      </c>
      <c r="C191" s="3" t="s">
        <v>71</v>
      </c>
      <c r="D191" s="3" t="s">
        <v>259</v>
      </c>
      <c r="E191" s="14">
        <v>55.461114646679903</v>
      </c>
      <c r="F191" s="14">
        <v>60.524118034134894</v>
      </c>
      <c r="G191" s="14">
        <v>64.687762917592892</v>
      </c>
      <c r="H191" s="14">
        <v>64.713826068531574</v>
      </c>
      <c r="I191" s="14">
        <v>277.53385064902614</v>
      </c>
      <c r="J191" s="14">
        <v>404.40779192055021</v>
      </c>
      <c r="K191" s="14">
        <v>438.56716387290624</v>
      </c>
      <c r="L191" s="14">
        <v>431.52338293823794</v>
      </c>
      <c r="M191" s="14">
        <v>416.175140745389</v>
      </c>
      <c r="N191" s="14">
        <v>431.4715448461215</v>
      </c>
      <c r="O191" s="14">
        <v>439.02617103358097</v>
      </c>
    </row>
    <row r="192" spans="1:15" x14ac:dyDescent="0.3">
      <c r="A192" s="3" t="str">
        <f>INDEX('R1. Scenario specifications'!$C$11:$C$49,MATCH($B192,'R1. Scenario specifications'!$A$11:$A$49,0))</f>
        <v>Current 1.5DS, 2030 start, 'Expect the Unexpected' but with cheap CCS</v>
      </c>
      <c r="B192" s="3" t="s">
        <v>24</v>
      </c>
      <c r="C192" s="3" t="s">
        <v>75</v>
      </c>
      <c r="D192" s="3" t="s">
        <v>258</v>
      </c>
      <c r="E192" s="14">
        <v>1.963099940637433</v>
      </c>
      <c r="F192" s="14">
        <v>1.7858497922310126</v>
      </c>
      <c r="G192" s="14">
        <v>1.5022495547807513</v>
      </c>
      <c r="H192" s="14">
        <v>1.0014997031871682</v>
      </c>
      <c r="I192" s="14">
        <v>0.50074985159358421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</row>
    <row r="193" spans="1:15" x14ac:dyDescent="0.3">
      <c r="A193" s="3" t="str">
        <f>INDEX('R1. Scenario specifications'!$C$11:$C$49,MATCH($B193,'R1. Scenario specifications'!$A$11:$A$49,0))</f>
        <v>Current 1.5DS, 2030 start, 'Expect the Unexpected' but with cheap CCS</v>
      </c>
      <c r="B193" s="3" t="s">
        <v>24</v>
      </c>
      <c r="C193" s="3" t="s">
        <v>72</v>
      </c>
      <c r="D193" s="3" t="s">
        <v>260</v>
      </c>
      <c r="E193" s="14">
        <v>1517.4635089937533</v>
      </c>
      <c r="F193" s="14">
        <v>1704.9418897085425</v>
      </c>
      <c r="G193" s="14">
        <v>2685.5545190640855</v>
      </c>
      <c r="H193" s="14">
        <v>10882.32058635127</v>
      </c>
      <c r="I193" s="14">
        <v>24084.253617193102</v>
      </c>
      <c r="J193" s="14">
        <v>48641.893581037868</v>
      </c>
      <c r="K193" s="14">
        <v>100707.86142039642</v>
      </c>
      <c r="L193" s="14">
        <v>75909.943436818925</v>
      </c>
      <c r="M193" s="14">
        <v>76116.69057671052</v>
      </c>
      <c r="N193" s="14">
        <v>95068.172569746035</v>
      </c>
      <c r="O193" s="14">
        <v>123057.68815670459</v>
      </c>
    </row>
    <row r="194" spans="1:15" x14ac:dyDescent="0.3">
      <c r="A194" s="3" t="str">
        <f>INDEX('R1. Scenario specifications'!$C$11:$C$49,MATCH($B194,'R1. Scenario specifications'!$A$11:$A$49,0))</f>
        <v>Current 1.5DS, 2020 start, 'Expect the Unexpected' but with cheap EVs</v>
      </c>
      <c r="B194" s="3" t="s">
        <v>25</v>
      </c>
      <c r="C194" s="3" t="s">
        <v>262</v>
      </c>
      <c r="D194" s="3" t="s">
        <v>253</v>
      </c>
      <c r="E194" s="14">
        <v>49803.376306806284</v>
      </c>
      <c r="F194" s="14">
        <v>54246.265938380871</v>
      </c>
      <c r="G194" s="14">
        <v>71262.17128058261</v>
      </c>
      <c r="H194" s="14">
        <v>130881.62754309629</v>
      </c>
      <c r="I194" s="14">
        <v>172938.40016484223</v>
      </c>
      <c r="J194" s="14">
        <v>186831.63655395067</v>
      </c>
      <c r="K194" s="14">
        <v>243292.45426366286</v>
      </c>
      <c r="L194" s="14">
        <v>254982.87449445471</v>
      </c>
      <c r="M194" s="14">
        <v>282630.89068947925</v>
      </c>
      <c r="N194" s="14">
        <v>311014.18179459142</v>
      </c>
      <c r="O194" s="14">
        <v>327792.99696442939</v>
      </c>
    </row>
    <row r="195" spans="1:15" x14ac:dyDescent="0.3">
      <c r="A195" s="3" t="str">
        <f>INDEX('R1. Scenario specifications'!$C$11:$C$49,MATCH($B195,'R1. Scenario specifications'!$A$11:$A$49,0))</f>
        <v>Current 1.5DS, 2020 start, 'Expect the Unexpected' but with cheap EVs</v>
      </c>
      <c r="B195" s="3" t="s">
        <v>25</v>
      </c>
      <c r="C195" s="3" t="s">
        <v>60</v>
      </c>
      <c r="D195" s="3" t="s">
        <v>254</v>
      </c>
      <c r="E195" s="14">
        <v>132862.88014752162</v>
      </c>
      <c r="F195" s="14">
        <v>167772.98687500271</v>
      </c>
      <c r="G195" s="14">
        <v>133988.90917691623</v>
      </c>
      <c r="H195" s="14">
        <v>74086.302770389375</v>
      </c>
      <c r="I195" s="14">
        <v>51689.988339574149</v>
      </c>
      <c r="J195" s="14">
        <v>42902.119057526099</v>
      </c>
      <c r="K195" s="14">
        <v>48201.136937573028</v>
      </c>
      <c r="L195" s="14">
        <v>89256.352026469584</v>
      </c>
      <c r="M195" s="14">
        <v>93771.747210143076</v>
      </c>
      <c r="N195" s="14">
        <v>94744.374075497108</v>
      </c>
      <c r="O195" s="14">
        <v>74115.989064831723</v>
      </c>
    </row>
    <row r="196" spans="1:15" x14ac:dyDescent="0.3">
      <c r="A196" s="3" t="str">
        <f>INDEX('R1. Scenario specifications'!$C$11:$C$49,MATCH($B196,'R1. Scenario specifications'!$A$11:$A$49,0))</f>
        <v>Current 1.5DS, 2020 start, 'Expect the Unexpected' but with cheap EVs</v>
      </c>
      <c r="B196" s="3" t="s">
        <v>25</v>
      </c>
      <c r="C196" s="3" t="s">
        <v>61</v>
      </c>
      <c r="D196" s="3" t="s">
        <v>255</v>
      </c>
      <c r="E196" s="14">
        <v>113361.40893082572</v>
      </c>
      <c r="F196" s="14">
        <v>125068.22780197491</v>
      </c>
      <c r="G196" s="14">
        <v>164552.1853192726</v>
      </c>
      <c r="H196" s="14">
        <v>191458.70932609253</v>
      </c>
      <c r="I196" s="14">
        <v>88560.459150411902</v>
      </c>
      <c r="J196" s="14">
        <v>97559.092971893813</v>
      </c>
      <c r="K196" s="14">
        <v>110024.02149922086</v>
      </c>
      <c r="L196" s="14">
        <v>123863.04871726678</v>
      </c>
      <c r="M196" s="14">
        <v>112125.98395754429</v>
      </c>
      <c r="N196" s="14">
        <v>87901.021963692445</v>
      </c>
      <c r="O196" s="14">
        <v>79729.254335775491</v>
      </c>
    </row>
    <row r="197" spans="1:15" x14ac:dyDescent="0.3">
      <c r="A197" s="3" t="str">
        <f>INDEX('R1. Scenario specifications'!$C$11:$C$49,MATCH($B197,'R1. Scenario specifications'!$A$11:$A$49,0))</f>
        <v>Current 1.5DS, 2020 start, 'Expect the Unexpected' but with cheap EVs</v>
      </c>
      <c r="B197" s="3" t="s">
        <v>25</v>
      </c>
      <c r="C197" s="3" t="s">
        <v>263</v>
      </c>
      <c r="D197" s="3" t="s">
        <v>256</v>
      </c>
      <c r="E197" s="14">
        <v>10361.182910638019</v>
      </c>
      <c r="F197" s="14">
        <v>10438.652617147358</v>
      </c>
      <c r="G197" s="14">
        <v>14734.740994143709</v>
      </c>
      <c r="H197" s="14">
        <v>18195.659720936157</v>
      </c>
      <c r="I197" s="14">
        <v>27141.228851067543</v>
      </c>
      <c r="J197" s="14">
        <v>31366.606695745457</v>
      </c>
      <c r="K197" s="14">
        <v>35765.636169073448</v>
      </c>
      <c r="L197" s="14">
        <v>36649.12565805122</v>
      </c>
      <c r="M197" s="14">
        <v>40319.523289413475</v>
      </c>
      <c r="N197" s="14">
        <v>41612.033410422569</v>
      </c>
      <c r="O197" s="14">
        <v>42833.259911888403</v>
      </c>
    </row>
    <row r="198" spans="1:15" x14ac:dyDescent="0.3">
      <c r="A198" s="3" t="str">
        <f>INDEX('R1. Scenario specifications'!$C$11:$C$49,MATCH($B198,'R1. Scenario specifications'!$A$11:$A$49,0))</f>
        <v>Current 1.5DS, 2020 start, 'Expect the Unexpected' but with cheap EVs</v>
      </c>
      <c r="B198" s="3" t="s">
        <v>25</v>
      </c>
      <c r="C198" s="3" t="s">
        <v>264</v>
      </c>
      <c r="D198" s="3" t="s">
        <v>257</v>
      </c>
      <c r="E198" s="14">
        <v>9499.4101148835834</v>
      </c>
      <c r="F198" s="14">
        <v>9854.7685931259057</v>
      </c>
      <c r="G198" s="14">
        <v>13753.197500000002</v>
      </c>
      <c r="H198" s="14">
        <v>14514.167854150608</v>
      </c>
      <c r="I198" s="14">
        <v>17768.724696857516</v>
      </c>
      <c r="J198" s="14">
        <v>24733.869122662087</v>
      </c>
      <c r="K198" s="14">
        <v>29447.081752809063</v>
      </c>
      <c r="L198" s="14">
        <v>31157.254900431981</v>
      </c>
      <c r="M198" s="14">
        <v>35855.340823261453</v>
      </c>
      <c r="N198" s="14">
        <v>38100.824119550671</v>
      </c>
      <c r="O198" s="14">
        <v>39637.54012412767</v>
      </c>
    </row>
    <row r="199" spans="1:15" x14ac:dyDescent="0.3">
      <c r="A199" s="3" t="str">
        <f>INDEX('R1. Scenario specifications'!$C$11:$C$49,MATCH($B199,'R1. Scenario specifications'!$A$11:$A$49,0))</f>
        <v>Current 1.5DS, 2020 start, 'Expect the Unexpected' but with cheap EVs</v>
      </c>
      <c r="B199" s="3" t="s">
        <v>25</v>
      </c>
      <c r="C199" s="3" t="s">
        <v>62</v>
      </c>
      <c r="D199" s="3" t="s">
        <v>266</v>
      </c>
      <c r="E199" s="14">
        <v>152832.4479725429</v>
      </c>
      <c r="F199" s="14">
        <v>158538.7874200783</v>
      </c>
      <c r="G199" s="14">
        <v>170699.74489631387</v>
      </c>
      <c r="H199" s="14">
        <v>151419.82581076198</v>
      </c>
      <c r="I199" s="14">
        <v>107974.15255254305</v>
      </c>
      <c r="J199" s="14">
        <v>100471.80572531604</v>
      </c>
      <c r="K199" s="14">
        <v>131508.41275098821</v>
      </c>
      <c r="L199" s="14">
        <v>160157.98630860611</v>
      </c>
      <c r="M199" s="14">
        <v>160512.61282426727</v>
      </c>
      <c r="N199" s="14">
        <v>153700.37588748566</v>
      </c>
      <c r="O199" s="14">
        <v>138224.13674455538</v>
      </c>
    </row>
    <row r="200" spans="1:15" x14ac:dyDescent="0.3">
      <c r="A200" s="3" t="str">
        <f>INDEX('R1. Scenario specifications'!$C$11:$C$49,MATCH($B200,'R1. Scenario specifications'!$A$11:$A$49,0))</f>
        <v>Current 1.5DS, 2020 start, 'Expect the Unexpected' but with cheap EVs</v>
      </c>
      <c r="B200" s="3" t="s">
        <v>25</v>
      </c>
      <c r="C200" s="3" t="s">
        <v>66</v>
      </c>
      <c r="D200" s="3" t="s">
        <v>258</v>
      </c>
      <c r="E200" s="14">
        <v>202.7012537766515</v>
      </c>
      <c r="F200" s="14">
        <v>194.90848865877462</v>
      </c>
      <c r="G200" s="14">
        <v>2771.4154518439864</v>
      </c>
      <c r="H200" s="14">
        <v>6320.7804139527843</v>
      </c>
      <c r="I200" s="14">
        <v>24095.216528694156</v>
      </c>
      <c r="J200" s="14">
        <v>28554.806410723213</v>
      </c>
      <c r="K200" s="14">
        <v>28371.003854391565</v>
      </c>
      <c r="L200" s="14">
        <v>24799.813201678822</v>
      </c>
      <c r="M200" s="14">
        <v>12133.416722237327</v>
      </c>
      <c r="N200" s="14">
        <v>17790.044739297045</v>
      </c>
      <c r="O200" s="14">
        <v>23937.269841469533</v>
      </c>
    </row>
    <row r="201" spans="1:15" x14ac:dyDescent="0.3">
      <c r="A201" s="3" t="str">
        <f>INDEX('R1. Scenario specifications'!$C$11:$C$49,MATCH($B201,'R1. Scenario specifications'!$A$11:$A$49,0))</f>
        <v>Current 1.5DS, 2020 start, 'Expect the Unexpected' but with cheap EVs</v>
      </c>
      <c r="B201" s="3" t="s">
        <v>25</v>
      </c>
      <c r="C201" s="3" t="s">
        <v>70</v>
      </c>
      <c r="D201" s="3" t="s">
        <v>259</v>
      </c>
      <c r="E201" s="14">
        <v>67.937052631788802</v>
      </c>
      <c r="F201" s="14">
        <v>458.66984800047192</v>
      </c>
      <c r="G201" s="14">
        <v>917.48161125092997</v>
      </c>
      <c r="H201" s="14">
        <v>4403.8172003886039</v>
      </c>
      <c r="I201" s="14">
        <v>17762.24164702648</v>
      </c>
      <c r="J201" s="14">
        <v>42443.569447221395</v>
      </c>
      <c r="K201" s="14">
        <v>68463.0356064472</v>
      </c>
      <c r="L201" s="14">
        <v>63376.381643149631</v>
      </c>
      <c r="M201" s="14">
        <v>83374.544198614967</v>
      </c>
      <c r="N201" s="14">
        <v>96883.430184293189</v>
      </c>
      <c r="O201" s="14">
        <v>112297.8975490913</v>
      </c>
    </row>
    <row r="202" spans="1:15" x14ac:dyDescent="0.3">
      <c r="A202" s="3" t="str">
        <f>INDEX('R1. Scenario specifications'!$C$11:$C$49,MATCH($B202,'R1. Scenario specifications'!$A$11:$A$49,0))</f>
        <v>Current 1.5DS, 2020 start, 'Expect the Unexpected' but with cheap EVs</v>
      </c>
      <c r="B202" s="3" t="s">
        <v>25</v>
      </c>
      <c r="C202" s="3" t="s">
        <v>71</v>
      </c>
      <c r="D202" s="3" t="s">
        <v>259</v>
      </c>
      <c r="E202" s="14">
        <v>55.461114646679903</v>
      </c>
      <c r="F202" s="14">
        <v>60.524118034134894</v>
      </c>
      <c r="G202" s="14">
        <v>64.687762917592892</v>
      </c>
      <c r="H202" s="14">
        <v>90.055078600768837</v>
      </c>
      <c r="I202" s="14">
        <v>657.37698917963542</v>
      </c>
      <c r="J202" s="14">
        <v>1741.6570022147239</v>
      </c>
      <c r="K202" s="14">
        <v>3530.2514288474808</v>
      </c>
      <c r="L202" s="14">
        <v>3525.164975247299</v>
      </c>
      <c r="M202" s="14">
        <v>3530.1921170205205</v>
      </c>
      <c r="N202" s="14">
        <v>3530.1626123930382</v>
      </c>
      <c r="O202" s="14">
        <v>3530.1333166123313</v>
      </c>
    </row>
    <row r="203" spans="1:15" x14ac:dyDescent="0.3">
      <c r="A203" s="3" t="str">
        <f>INDEX('R1. Scenario specifications'!$C$11:$C$49,MATCH($B203,'R1. Scenario specifications'!$A$11:$A$49,0))</f>
        <v>Current 1.5DS, 2020 start, 'Expect the Unexpected' but with cheap EVs</v>
      </c>
      <c r="B203" s="3" t="s">
        <v>25</v>
      </c>
      <c r="C203" s="3" t="s">
        <v>75</v>
      </c>
      <c r="D203" s="3" t="s">
        <v>258</v>
      </c>
      <c r="E203" s="14">
        <v>1.963099940637433</v>
      </c>
      <c r="F203" s="14">
        <v>1.7858497922310126</v>
      </c>
      <c r="G203" s="14">
        <v>1.5022495547807513</v>
      </c>
      <c r="H203" s="14">
        <v>1.0014997031871673</v>
      </c>
      <c r="I203" s="14">
        <v>0.50074985159358409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</row>
    <row r="204" spans="1:15" x14ac:dyDescent="0.3">
      <c r="A204" s="3" t="str">
        <f>INDEX('R1. Scenario specifications'!$C$11:$C$49,MATCH($B204,'R1. Scenario specifications'!$A$11:$A$49,0))</f>
        <v>Current 1.5DS, 2020 start, 'Expect the Unexpected' but with cheap EVs</v>
      </c>
      <c r="B204" s="3" t="s">
        <v>25</v>
      </c>
      <c r="C204" s="3" t="s">
        <v>72</v>
      </c>
      <c r="D204" s="3" t="s">
        <v>260</v>
      </c>
      <c r="E204" s="14">
        <v>1517.4635089937533</v>
      </c>
      <c r="F204" s="14">
        <v>1704.9418897085425</v>
      </c>
      <c r="G204" s="14">
        <v>2685.5545190640855</v>
      </c>
      <c r="H204" s="14">
        <v>13084.955487531341</v>
      </c>
      <c r="I204" s="14">
        <v>28296.763540436554</v>
      </c>
      <c r="J204" s="14">
        <v>58977.692966210896</v>
      </c>
      <c r="K204" s="14">
        <v>91603.086742068728</v>
      </c>
      <c r="L204" s="14">
        <v>83207.931727390896</v>
      </c>
      <c r="M204" s="14">
        <v>114326.46394186703</v>
      </c>
      <c r="N204" s="14">
        <v>152163.83458804138</v>
      </c>
      <c r="O204" s="14">
        <v>194443.89510976616</v>
      </c>
    </row>
    <row r="205" spans="1:15" x14ac:dyDescent="0.3">
      <c r="A205" s="3" t="str">
        <f>INDEX('R1. Scenario specifications'!$C$11:$C$49,MATCH($B205,'R1. Scenario specifications'!$A$11:$A$49,0))</f>
        <v>Current 2DS, 2030 start, 'Expect the Unexpected'</v>
      </c>
      <c r="B205" s="3" t="s">
        <v>26</v>
      </c>
      <c r="C205" s="3" t="s">
        <v>262</v>
      </c>
      <c r="D205" s="3" t="s">
        <v>253</v>
      </c>
      <c r="E205" s="14">
        <v>49803.376306806284</v>
      </c>
      <c r="F205" s="14">
        <v>54246.265938380871</v>
      </c>
      <c r="G205" s="14">
        <v>71262.17128058261</v>
      </c>
      <c r="H205" s="14">
        <v>95987.494917697361</v>
      </c>
      <c r="I205" s="14">
        <v>122058.65655904301</v>
      </c>
      <c r="J205" s="14">
        <v>151972.27198691817</v>
      </c>
      <c r="K205" s="14">
        <v>168669.73704658079</v>
      </c>
      <c r="L205" s="14">
        <v>222171.01369535629</v>
      </c>
      <c r="M205" s="14">
        <v>276672.52063417155</v>
      </c>
      <c r="N205" s="14">
        <v>308950.82914477162</v>
      </c>
      <c r="O205" s="14">
        <v>327787.549610482</v>
      </c>
    </row>
    <row r="206" spans="1:15" x14ac:dyDescent="0.3">
      <c r="A206" s="3" t="str">
        <f>INDEX('R1. Scenario specifications'!$C$11:$C$49,MATCH($B206,'R1. Scenario specifications'!$A$11:$A$49,0))</f>
        <v>Current 2DS, 2030 start, 'Expect the Unexpected'</v>
      </c>
      <c r="B206" s="3" t="s">
        <v>26</v>
      </c>
      <c r="C206" s="3" t="s">
        <v>60</v>
      </c>
      <c r="D206" s="3" t="s">
        <v>254</v>
      </c>
      <c r="E206" s="14">
        <v>132862.88014752162</v>
      </c>
      <c r="F206" s="14">
        <v>167772.98687500271</v>
      </c>
      <c r="G206" s="14">
        <v>133988.90917691623</v>
      </c>
      <c r="H206" s="14">
        <v>141587.52010422843</v>
      </c>
      <c r="I206" s="14">
        <v>96386.512888794095</v>
      </c>
      <c r="J206" s="14">
        <v>75120.578902980575</v>
      </c>
      <c r="K206" s="14">
        <v>80401.077617929986</v>
      </c>
      <c r="L206" s="14">
        <v>91290.137031372622</v>
      </c>
      <c r="M206" s="14">
        <v>95603.456467651209</v>
      </c>
      <c r="N206" s="14">
        <v>95754.927490084112</v>
      </c>
      <c r="O206" s="14">
        <v>93094.472591201877</v>
      </c>
    </row>
    <row r="207" spans="1:15" x14ac:dyDescent="0.3">
      <c r="A207" s="3" t="str">
        <f>INDEX('R1. Scenario specifications'!$C$11:$C$49,MATCH($B207,'R1. Scenario specifications'!$A$11:$A$49,0))</f>
        <v>Current 2DS, 2030 start, 'Expect the Unexpected'</v>
      </c>
      <c r="B207" s="3" t="s">
        <v>26</v>
      </c>
      <c r="C207" s="3" t="s">
        <v>61</v>
      </c>
      <c r="D207" s="3" t="s">
        <v>255</v>
      </c>
      <c r="E207" s="14">
        <v>113361.40893082572</v>
      </c>
      <c r="F207" s="14">
        <v>125068.22780197491</v>
      </c>
      <c r="G207" s="14">
        <v>164552.1853192726</v>
      </c>
      <c r="H207" s="14">
        <v>176766.93010542684</v>
      </c>
      <c r="I207" s="14">
        <v>193469.93034685316</v>
      </c>
      <c r="J207" s="14">
        <v>197662.35279108427</v>
      </c>
      <c r="K207" s="14">
        <v>190876.63220136912</v>
      </c>
      <c r="L207" s="14">
        <v>165161.63049469003</v>
      </c>
      <c r="M207" s="14">
        <v>140622.37782796274</v>
      </c>
      <c r="N207" s="14">
        <v>91723.447785813478</v>
      </c>
      <c r="O207" s="14">
        <v>81288.584368128271</v>
      </c>
    </row>
    <row r="208" spans="1:15" x14ac:dyDescent="0.3">
      <c r="A208" s="3" t="str">
        <f>INDEX('R1. Scenario specifications'!$C$11:$C$49,MATCH($B208,'R1. Scenario specifications'!$A$11:$A$49,0))</f>
        <v>Current 2DS, 2030 start, 'Expect the Unexpected'</v>
      </c>
      <c r="B208" s="3" t="s">
        <v>26</v>
      </c>
      <c r="C208" s="3" t="s">
        <v>263</v>
      </c>
      <c r="D208" s="3" t="s">
        <v>256</v>
      </c>
      <c r="E208" s="14">
        <v>10361.182910638019</v>
      </c>
      <c r="F208" s="14">
        <v>10438.652617147358</v>
      </c>
      <c r="G208" s="14">
        <v>14734.740994143709</v>
      </c>
      <c r="H208" s="14">
        <v>17241.713076375538</v>
      </c>
      <c r="I208" s="14">
        <v>19683.776713159183</v>
      </c>
      <c r="J208" s="14">
        <v>24529.34491063984</v>
      </c>
      <c r="K208" s="14">
        <v>26240.22834639101</v>
      </c>
      <c r="L208" s="14">
        <v>27203.153573047101</v>
      </c>
      <c r="M208" s="14">
        <v>30050.462436225185</v>
      </c>
      <c r="N208" s="14">
        <v>36654.414028672065</v>
      </c>
      <c r="O208" s="14">
        <v>38787.139304742625</v>
      </c>
    </row>
    <row r="209" spans="1:15" x14ac:dyDescent="0.3">
      <c r="A209" s="3" t="str">
        <f>INDEX('R1. Scenario specifications'!$C$11:$C$49,MATCH($B209,'R1. Scenario specifications'!$A$11:$A$49,0))</f>
        <v>Current 2DS, 2030 start, 'Expect the Unexpected'</v>
      </c>
      <c r="B209" s="3" t="s">
        <v>26</v>
      </c>
      <c r="C209" s="3" t="s">
        <v>264</v>
      </c>
      <c r="D209" s="3" t="s">
        <v>257</v>
      </c>
      <c r="E209" s="14">
        <v>9499.4101148835834</v>
      </c>
      <c r="F209" s="14">
        <v>9854.7685931259057</v>
      </c>
      <c r="G209" s="14">
        <v>13753.197500000002</v>
      </c>
      <c r="H209" s="14">
        <v>14514.167854150608</v>
      </c>
      <c r="I209" s="14">
        <v>15191.631806438925</v>
      </c>
      <c r="J209" s="14">
        <v>23771.416194236695</v>
      </c>
      <c r="K209" s="14">
        <v>29226.529402157921</v>
      </c>
      <c r="L209" s="14">
        <v>32695.732240094701</v>
      </c>
      <c r="M209" s="14">
        <v>35726.452283454069</v>
      </c>
      <c r="N209" s="14">
        <v>38404.324322916167</v>
      </c>
      <c r="O209" s="14">
        <v>39733.175000000003</v>
      </c>
    </row>
    <row r="210" spans="1:15" x14ac:dyDescent="0.3">
      <c r="A210" s="3" t="str">
        <f>INDEX('R1. Scenario specifications'!$C$11:$C$49,MATCH($B210,'R1. Scenario specifications'!$A$11:$A$49,0))</f>
        <v>Current 2DS, 2030 start, 'Expect the Unexpected'</v>
      </c>
      <c r="B210" s="3" t="s">
        <v>26</v>
      </c>
      <c r="C210" s="3" t="s">
        <v>62</v>
      </c>
      <c r="D210" s="3" t="s">
        <v>266</v>
      </c>
      <c r="E210" s="14">
        <v>152832.4479725429</v>
      </c>
      <c r="F210" s="14">
        <v>158538.7874200783</v>
      </c>
      <c r="G210" s="14">
        <v>170699.74489631387</v>
      </c>
      <c r="H210" s="14">
        <v>176541.28948572898</v>
      </c>
      <c r="I210" s="14">
        <v>171293.14235974263</v>
      </c>
      <c r="J210" s="14">
        <v>157755.02563447127</v>
      </c>
      <c r="K210" s="14">
        <v>156854.90653399739</v>
      </c>
      <c r="L210" s="14">
        <v>158535.95534306692</v>
      </c>
      <c r="M210" s="14">
        <v>159135.84112456886</v>
      </c>
      <c r="N210" s="14">
        <v>154277.54801847241</v>
      </c>
      <c r="O210" s="14">
        <v>137563.39720466721</v>
      </c>
    </row>
    <row r="211" spans="1:15" x14ac:dyDescent="0.3">
      <c r="A211" s="3" t="str">
        <f>INDEX('R1. Scenario specifications'!$C$11:$C$49,MATCH($B211,'R1. Scenario specifications'!$A$11:$A$49,0))</f>
        <v>Current 2DS, 2030 start, 'Expect the Unexpected'</v>
      </c>
      <c r="B211" s="3" t="s">
        <v>26</v>
      </c>
      <c r="C211" s="3" t="s">
        <v>66</v>
      </c>
      <c r="D211" s="3" t="s">
        <v>258</v>
      </c>
      <c r="E211" s="14">
        <v>202.7012537766515</v>
      </c>
      <c r="F211" s="14">
        <v>194.90848865877462</v>
      </c>
      <c r="G211" s="14">
        <v>2771.4154518439864</v>
      </c>
      <c r="H211" s="14">
        <v>4278.9486538824649</v>
      </c>
      <c r="I211" s="14">
        <v>5842.7625726816541</v>
      </c>
      <c r="J211" s="14">
        <v>8523.2253425070521</v>
      </c>
      <c r="K211" s="14">
        <v>14115.860726178054</v>
      </c>
      <c r="L211" s="14">
        <v>14491.288751411885</v>
      </c>
      <c r="M211" s="14">
        <v>15665.364169179744</v>
      </c>
      <c r="N211" s="14">
        <v>22649.427788946032</v>
      </c>
      <c r="O211" s="14">
        <v>27964.720233878772</v>
      </c>
    </row>
    <row r="212" spans="1:15" x14ac:dyDescent="0.3">
      <c r="A212" s="3" t="str">
        <f>INDEX('R1. Scenario specifications'!$C$11:$C$49,MATCH($B212,'R1. Scenario specifications'!$A$11:$A$49,0))</f>
        <v>Current 2DS, 2030 start, 'Expect the Unexpected'</v>
      </c>
      <c r="B212" s="3" t="s">
        <v>26</v>
      </c>
      <c r="C212" s="3" t="s">
        <v>70</v>
      </c>
      <c r="D212" s="3" t="s">
        <v>259</v>
      </c>
      <c r="E212" s="14">
        <v>67.937052631788802</v>
      </c>
      <c r="F212" s="14">
        <v>458.66984800047192</v>
      </c>
      <c r="G212" s="14">
        <v>917.48161125092997</v>
      </c>
      <c r="H212" s="14">
        <v>2670.3548260954558</v>
      </c>
      <c r="I212" s="14">
        <v>11031.398228755243</v>
      </c>
      <c r="J212" s="14">
        <v>25238.428055700046</v>
      </c>
      <c r="K212" s="14">
        <v>34159.125342258048</v>
      </c>
      <c r="L212" s="14">
        <v>42746.915527638157</v>
      </c>
      <c r="M212" s="14">
        <v>60475.97743641428</v>
      </c>
      <c r="N212" s="14">
        <v>91671.841544991621</v>
      </c>
      <c r="O212" s="14">
        <v>101863.6743391616</v>
      </c>
    </row>
    <row r="213" spans="1:15" x14ac:dyDescent="0.3">
      <c r="A213" s="3" t="str">
        <f>INDEX('R1. Scenario specifications'!$C$11:$C$49,MATCH($B213,'R1. Scenario specifications'!$A$11:$A$49,0))</f>
        <v>Current 2DS, 2030 start, 'Expect the Unexpected'</v>
      </c>
      <c r="B213" s="3" t="s">
        <v>26</v>
      </c>
      <c r="C213" s="3" t="s">
        <v>71</v>
      </c>
      <c r="D213" s="3" t="s">
        <v>259</v>
      </c>
      <c r="E213" s="14">
        <v>55.461114646679903</v>
      </c>
      <c r="F213" s="14">
        <v>60.524118034134894</v>
      </c>
      <c r="G213" s="14">
        <v>64.687762917592892</v>
      </c>
      <c r="H213" s="14">
        <v>64.713826068531574</v>
      </c>
      <c r="I213" s="14">
        <v>64.7262990678432</v>
      </c>
      <c r="J213" s="14">
        <v>64.790481457756187</v>
      </c>
      <c r="K213" s="14">
        <v>65.01389003802727</v>
      </c>
      <c r="L213" s="14">
        <v>66.120069019169364</v>
      </c>
      <c r="M213" s="14">
        <v>68.802244857771683</v>
      </c>
      <c r="N213" s="14">
        <v>81.752819141301771</v>
      </c>
      <c r="O213" s="14">
        <v>81.732580623170549</v>
      </c>
    </row>
    <row r="214" spans="1:15" x14ac:dyDescent="0.3">
      <c r="A214" s="3" t="str">
        <f>INDEX('R1. Scenario specifications'!$C$11:$C$49,MATCH($B214,'R1. Scenario specifications'!$A$11:$A$49,0))</f>
        <v>Current 2DS, 2030 start, 'Expect the Unexpected'</v>
      </c>
      <c r="B214" s="3" t="s">
        <v>26</v>
      </c>
      <c r="C214" s="3" t="s">
        <v>75</v>
      </c>
      <c r="D214" s="3" t="s">
        <v>258</v>
      </c>
      <c r="E214" s="14">
        <v>1.963099940637433</v>
      </c>
      <c r="F214" s="14">
        <v>1.7858497922310126</v>
      </c>
      <c r="G214" s="14">
        <v>1.5022495547807513</v>
      </c>
      <c r="H214" s="14">
        <v>1.0014997031871682</v>
      </c>
      <c r="I214" s="14">
        <v>0.50074985159358421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</row>
    <row r="215" spans="1:15" x14ac:dyDescent="0.3">
      <c r="A215" s="3" t="str">
        <f>INDEX('R1. Scenario specifications'!$C$11:$C$49,MATCH($B215,'R1. Scenario specifications'!$A$11:$A$49,0))</f>
        <v>Current 2DS, 2030 start, 'Expect the Unexpected'</v>
      </c>
      <c r="B215" s="3" t="s">
        <v>26</v>
      </c>
      <c r="C215" s="3" t="s">
        <v>72</v>
      </c>
      <c r="D215" s="3" t="s">
        <v>260</v>
      </c>
      <c r="E215" s="14">
        <v>1517.4635089937533</v>
      </c>
      <c r="F215" s="14">
        <v>1704.9418897085425</v>
      </c>
      <c r="G215" s="14">
        <v>2685.5545190640855</v>
      </c>
      <c r="H215" s="14">
        <v>10882.32058635127</v>
      </c>
      <c r="I215" s="14">
        <v>27461.490665347628</v>
      </c>
      <c r="J215" s="14">
        <v>34981.449026780552</v>
      </c>
      <c r="K215" s="14">
        <v>48538.665888058436</v>
      </c>
      <c r="L215" s="14">
        <v>63032.933129040553</v>
      </c>
      <c r="M215" s="14">
        <v>92354.388092596811</v>
      </c>
      <c r="N215" s="14">
        <v>146572.01402902466</v>
      </c>
      <c r="O215" s="14">
        <v>184315.10915030775</v>
      </c>
    </row>
    <row r="216" spans="1:15" x14ac:dyDescent="0.3">
      <c r="A216" s="3" t="str">
        <f>INDEX('R1. Scenario specifications'!$C$11:$C$49,MATCH($B216,'R1. Scenario specifications'!$A$11:$A$49,0))</f>
        <v>Current 1.5DS, 2030 start, 'Expect the Unexpected' but with cheap EVs</v>
      </c>
      <c r="B216" s="3" t="s">
        <v>27</v>
      </c>
      <c r="C216" s="3" t="s">
        <v>262</v>
      </c>
      <c r="D216" s="3" t="s">
        <v>253</v>
      </c>
      <c r="E216" s="14">
        <v>49803.376306806284</v>
      </c>
      <c r="F216" s="14">
        <v>54246.265938380871</v>
      </c>
      <c r="G216" s="14">
        <v>71262.17128058261</v>
      </c>
      <c r="H216" s="14">
        <v>95987.494917697361</v>
      </c>
      <c r="I216" s="14">
        <v>171067.30291793845</v>
      </c>
      <c r="J216" s="14">
        <v>187545.7637340354</v>
      </c>
      <c r="K216" s="14">
        <v>260386.54479583885</v>
      </c>
      <c r="L216" s="14">
        <v>199573.64936670641</v>
      </c>
      <c r="M216" s="14">
        <v>227839.32279806261</v>
      </c>
      <c r="N216" s="14">
        <v>248544.28442519219</v>
      </c>
      <c r="O216" s="14">
        <v>313000.16839874978</v>
      </c>
    </row>
    <row r="217" spans="1:15" x14ac:dyDescent="0.3">
      <c r="A217" s="3" t="str">
        <f>INDEX('R1. Scenario specifications'!$C$11:$C$49,MATCH($B217,'R1. Scenario specifications'!$A$11:$A$49,0))</f>
        <v>Current 1.5DS, 2030 start, 'Expect the Unexpected' but with cheap EVs</v>
      </c>
      <c r="B217" s="3" t="s">
        <v>27</v>
      </c>
      <c r="C217" s="3" t="s">
        <v>60</v>
      </c>
      <c r="D217" s="3" t="s">
        <v>254</v>
      </c>
      <c r="E217" s="14">
        <v>132862.88014752162</v>
      </c>
      <c r="F217" s="14">
        <v>167772.98687500271</v>
      </c>
      <c r="G217" s="14">
        <v>133988.90917691623</v>
      </c>
      <c r="H217" s="14">
        <v>141587.52010422843</v>
      </c>
      <c r="I217" s="14">
        <v>51689.396988981367</v>
      </c>
      <c r="J217" s="14">
        <v>44882.474320505651</v>
      </c>
      <c r="K217" s="14">
        <v>16235.563185016143</v>
      </c>
      <c r="L217" s="14">
        <v>107004.11147477097</v>
      </c>
      <c r="M217" s="14">
        <v>113797.01767626478</v>
      </c>
      <c r="N217" s="14">
        <v>92539.985231100625</v>
      </c>
      <c r="O217" s="14">
        <v>99758.623044558233</v>
      </c>
    </row>
    <row r="218" spans="1:15" x14ac:dyDescent="0.3">
      <c r="A218" s="3" t="str">
        <f>INDEX('R1. Scenario specifications'!$C$11:$C$49,MATCH($B218,'R1. Scenario specifications'!$A$11:$A$49,0))</f>
        <v>Current 1.5DS, 2030 start, 'Expect the Unexpected' but with cheap EVs</v>
      </c>
      <c r="B218" s="3" t="s">
        <v>27</v>
      </c>
      <c r="C218" s="3" t="s">
        <v>61</v>
      </c>
      <c r="D218" s="3" t="s">
        <v>255</v>
      </c>
      <c r="E218" s="14">
        <v>113361.40893082572</v>
      </c>
      <c r="F218" s="14">
        <v>125068.22780197491</v>
      </c>
      <c r="G218" s="14">
        <v>164552.1853192726</v>
      </c>
      <c r="H218" s="14">
        <v>176766.93010542684</v>
      </c>
      <c r="I218" s="14">
        <v>97653.305166919105</v>
      </c>
      <c r="J218" s="14">
        <v>55756.658844671925</v>
      </c>
      <c r="K218" s="14">
        <v>103286.43814546501</v>
      </c>
      <c r="L218" s="14">
        <v>141151.43748191121</v>
      </c>
      <c r="M218" s="14">
        <v>158728.71918126871</v>
      </c>
      <c r="N218" s="14">
        <v>167920.38300285814</v>
      </c>
      <c r="O218" s="14">
        <v>152399.43767191525</v>
      </c>
    </row>
    <row r="219" spans="1:15" x14ac:dyDescent="0.3">
      <c r="A219" s="3" t="str">
        <f>INDEX('R1. Scenario specifications'!$C$11:$C$49,MATCH($B219,'R1. Scenario specifications'!$A$11:$A$49,0))</f>
        <v>Current 1.5DS, 2030 start, 'Expect the Unexpected' but with cheap EVs</v>
      </c>
      <c r="B219" s="3" t="s">
        <v>27</v>
      </c>
      <c r="C219" s="3" t="s">
        <v>263</v>
      </c>
      <c r="D219" s="3" t="s">
        <v>256</v>
      </c>
      <c r="E219" s="14">
        <v>10361.182910638019</v>
      </c>
      <c r="F219" s="14">
        <v>10438.652617147358</v>
      </c>
      <c r="G219" s="14">
        <v>14734.740994143709</v>
      </c>
      <c r="H219" s="14">
        <v>17241.713076375538</v>
      </c>
      <c r="I219" s="14">
        <v>20784.612119386929</v>
      </c>
      <c r="J219" s="14">
        <v>29555.994293675474</v>
      </c>
      <c r="K219" s="14">
        <v>34190.443379023993</v>
      </c>
      <c r="L219" s="14">
        <v>36194.076520373659</v>
      </c>
      <c r="M219" s="14">
        <v>30622.705564939068</v>
      </c>
      <c r="N219" s="14">
        <v>35082.698616003545</v>
      </c>
      <c r="O219" s="14">
        <v>37063.005608887572</v>
      </c>
    </row>
    <row r="220" spans="1:15" x14ac:dyDescent="0.3">
      <c r="A220" s="3" t="str">
        <f>INDEX('R1. Scenario specifications'!$C$11:$C$49,MATCH($B220,'R1. Scenario specifications'!$A$11:$A$49,0))</f>
        <v>Current 1.5DS, 2030 start, 'Expect the Unexpected' but with cheap EVs</v>
      </c>
      <c r="B220" s="3" t="s">
        <v>27</v>
      </c>
      <c r="C220" s="3" t="s">
        <v>264</v>
      </c>
      <c r="D220" s="3" t="s">
        <v>257</v>
      </c>
      <c r="E220" s="14">
        <v>9499.4101148835834</v>
      </c>
      <c r="F220" s="14">
        <v>9854.7685931259057</v>
      </c>
      <c r="G220" s="14">
        <v>13753.197500000002</v>
      </c>
      <c r="H220" s="14">
        <v>14514.167854150608</v>
      </c>
      <c r="I220" s="14">
        <v>15191.631806438925</v>
      </c>
      <c r="J220" s="14">
        <v>22237.50176860678</v>
      </c>
      <c r="K220" s="14">
        <v>26150.39333029338</v>
      </c>
      <c r="L220" s="14">
        <v>28214.064929933294</v>
      </c>
      <c r="M220" s="14">
        <v>29900.116184521801</v>
      </c>
      <c r="N220" s="14">
        <v>34173.566821146582</v>
      </c>
      <c r="O220" s="14">
        <v>32964.393909722006</v>
      </c>
    </row>
    <row r="221" spans="1:15" x14ac:dyDescent="0.3">
      <c r="A221" s="3" t="str">
        <f>INDEX('R1. Scenario specifications'!$C$11:$C$49,MATCH($B221,'R1. Scenario specifications'!$A$11:$A$49,0))</f>
        <v>Current 1.5DS, 2030 start, 'Expect the Unexpected' but with cheap EVs</v>
      </c>
      <c r="B221" s="3" t="s">
        <v>27</v>
      </c>
      <c r="C221" s="3" t="s">
        <v>62</v>
      </c>
      <c r="D221" s="3" t="s">
        <v>266</v>
      </c>
      <c r="E221" s="14">
        <v>152832.4479725429</v>
      </c>
      <c r="F221" s="14">
        <v>158538.7874200783</v>
      </c>
      <c r="G221" s="14">
        <v>170699.74489631387</v>
      </c>
      <c r="H221" s="14">
        <v>176541.28948572898</v>
      </c>
      <c r="I221" s="14">
        <v>153917.50348464592</v>
      </c>
      <c r="J221" s="14">
        <v>116985.62804633012</v>
      </c>
      <c r="K221" s="14">
        <v>109454.72968265689</v>
      </c>
      <c r="L221" s="14">
        <v>161373.62860359607</v>
      </c>
      <c r="M221" s="14">
        <v>164480.45809946713</v>
      </c>
      <c r="N221" s="14">
        <v>160289.79079203843</v>
      </c>
      <c r="O221" s="14">
        <v>146076.22429604401</v>
      </c>
    </row>
    <row r="222" spans="1:15" x14ac:dyDescent="0.3">
      <c r="A222" s="3" t="str">
        <f>INDEX('R1. Scenario specifications'!$C$11:$C$49,MATCH($B222,'R1. Scenario specifications'!$A$11:$A$49,0))</f>
        <v>Current 1.5DS, 2030 start, 'Expect the Unexpected' but with cheap EVs</v>
      </c>
      <c r="B222" s="3" t="s">
        <v>27</v>
      </c>
      <c r="C222" s="3" t="s">
        <v>66</v>
      </c>
      <c r="D222" s="3" t="s">
        <v>258</v>
      </c>
      <c r="E222" s="14">
        <v>202.7012537766515</v>
      </c>
      <c r="F222" s="14">
        <v>194.90848865877462</v>
      </c>
      <c r="G222" s="14">
        <v>2771.4154518439864</v>
      </c>
      <c r="H222" s="14">
        <v>4278.9486538824649</v>
      </c>
      <c r="I222" s="14">
        <v>16386.647385616066</v>
      </c>
      <c r="J222" s="14">
        <v>36802.25499357425</v>
      </c>
      <c r="K222" s="14">
        <v>35530.398508016151</v>
      </c>
      <c r="L222" s="14">
        <v>33718.353069866731</v>
      </c>
      <c r="M222" s="14">
        <v>20981.954121209768</v>
      </c>
      <c r="N222" s="14">
        <v>6921.5220314170301</v>
      </c>
      <c r="O222" s="14">
        <v>10376.810848209028</v>
      </c>
    </row>
    <row r="223" spans="1:15" x14ac:dyDescent="0.3">
      <c r="A223" s="3" t="str">
        <f>INDEX('R1. Scenario specifications'!$C$11:$C$49,MATCH($B223,'R1. Scenario specifications'!$A$11:$A$49,0))</f>
        <v>Current 1.5DS, 2030 start, 'Expect the Unexpected' but with cheap EVs</v>
      </c>
      <c r="B223" s="3" t="s">
        <v>27</v>
      </c>
      <c r="C223" s="3" t="s">
        <v>70</v>
      </c>
      <c r="D223" s="3" t="s">
        <v>259</v>
      </c>
      <c r="E223" s="14">
        <v>67.937052631788802</v>
      </c>
      <c r="F223" s="14">
        <v>458.66984800047192</v>
      </c>
      <c r="G223" s="14">
        <v>917.48161125092997</v>
      </c>
      <c r="H223" s="14">
        <v>2670.3548260954558</v>
      </c>
      <c r="I223" s="14">
        <v>11369.024495814108</v>
      </c>
      <c r="J223" s="14">
        <v>33392.778292564224</v>
      </c>
      <c r="K223" s="14">
        <v>78968.403219017899</v>
      </c>
      <c r="L223" s="14">
        <v>64632.55443220336</v>
      </c>
      <c r="M223" s="14">
        <v>63098.372922483512</v>
      </c>
      <c r="N223" s="14">
        <v>78792.43491874446</v>
      </c>
      <c r="O223" s="14">
        <v>87619.276770735625</v>
      </c>
    </row>
    <row r="224" spans="1:15" x14ac:dyDescent="0.3">
      <c r="A224" s="3" t="str">
        <f>INDEX('R1. Scenario specifications'!$C$11:$C$49,MATCH($B224,'R1. Scenario specifications'!$A$11:$A$49,0))</f>
        <v>Current 1.5DS, 2030 start, 'Expect the Unexpected' but with cheap EVs</v>
      </c>
      <c r="B224" s="3" t="s">
        <v>27</v>
      </c>
      <c r="C224" s="3" t="s">
        <v>71</v>
      </c>
      <c r="D224" s="3" t="s">
        <v>259</v>
      </c>
      <c r="E224" s="14">
        <v>55.461114646679903</v>
      </c>
      <c r="F224" s="14">
        <v>60.524118034134894</v>
      </c>
      <c r="G224" s="14">
        <v>64.687762917592892</v>
      </c>
      <c r="H224" s="14">
        <v>64.713826068531574</v>
      </c>
      <c r="I224" s="14">
        <v>277.53385064902614</v>
      </c>
      <c r="J224" s="14">
        <v>298.72449859171542</v>
      </c>
      <c r="K224" s="14">
        <v>332.88387054407144</v>
      </c>
      <c r="L224" s="14">
        <v>325.84008960940326</v>
      </c>
      <c r="M224" s="14">
        <v>310.49184741655432</v>
      </c>
      <c r="N224" s="14">
        <v>325.78825151728682</v>
      </c>
      <c r="O224" s="14">
        <v>333.34287770474623</v>
      </c>
    </row>
    <row r="225" spans="1:15" x14ac:dyDescent="0.3">
      <c r="A225" s="3" t="str">
        <f>INDEX('R1. Scenario specifications'!$C$11:$C$49,MATCH($B225,'R1. Scenario specifications'!$A$11:$A$49,0))</f>
        <v>Current 1.5DS, 2030 start, 'Expect the Unexpected' but with cheap EVs</v>
      </c>
      <c r="B225" s="3" t="s">
        <v>27</v>
      </c>
      <c r="C225" s="3" t="s">
        <v>75</v>
      </c>
      <c r="D225" s="3" t="s">
        <v>258</v>
      </c>
      <c r="E225" s="14">
        <v>1.963099940637433</v>
      </c>
      <c r="F225" s="14">
        <v>1.7858497922310126</v>
      </c>
      <c r="G225" s="14">
        <v>1.5022495547807513</v>
      </c>
      <c r="H225" s="14">
        <v>1.0014997031871682</v>
      </c>
      <c r="I225" s="14">
        <v>0.50074985159358421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</row>
    <row r="226" spans="1:15" x14ac:dyDescent="0.3">
      <c r="A226" s="3" t="str">
        <f>INDEX('R1. Scenario specifications'!$C$11:$C$49,MATCH($B226,'R1. Scenario specifications'!$A$11:$A$49,0))</f>
        <v>Current 1.5DS, 2030 start, 'Expect the Unexpected' but with cheap EVs</v>
      </c>
      <c r="B226" s="3" t="s">
        <v>27</v>
      </c>
      <c r="C226" s="3" t="s">
        <v>72</v>
      </c>
      <c r="D226" s="3" t="s">
        <v>260</v>
      </c>
      <c r="E226" s="14">
        <v>1517.4635089937533</v>
      </c>
      <c r="F226" s="14">
        <v>1704.9418897085425</v>
      </c>
      <c r="G226" s="14">
        <v>2685.5545190640855</v>
      </c>
      <c r="H226" s="14">
        <v>10882.32058635127</v>
      </c>
      <c r="I226" s="14">
        <v>24086.798884443124</v>
      </c>
      <c r="J226" s="14">
        <v>48760.866015567968</v>
      </c>
      <c r="K226" s="14">
        <v>100755.21847869596</v>
      </c>
      <c r="L226" s="14">
        <v>76215.646251626938</v>
      </c>
      <c r="M226" s="14">
        <v>76772.385622555084</v>
      </c>
      <c r="N226" s="14">
        <v>93307.753860734112</v>
      </c>
      <c r="O226" s="14">
        <v>121754.59461337674</v>
      </c>
    </row>
    <row r="227" spans="1:15" x14ac:dyDescent="0.3">
      <c r="A227" s="3" t="str">
        <f>INDEX('R1. Scenario specifications'!$C$11:$C$49,MATCH($B227,'R1. Scenario specifications'!$A$11:$A$49,0))</f>
        <v>Current 1.5DS, 2020 start, 'Expect the Unexpected' but with cheap energy efficiency</v>
      </c>
      <c r="B227" s="3" t="s">
        <v>28</v>
      </c>
      <c r="C227" s="3" t="s">
        <v>262</v>
      </c>
      <c r="D227" s="3" t="s">
        <v>253</v>
      </c>
      <c r="E227" s="14">
        <v>49803.376306806284</v>
      </c>
      <c r="F227" s="14">
        <v>54246.265938380871</v>
      </c>
      <c r="G227" s="14">
        <v>71262.17128058261</v>
      </c>
      <c r="H227" s="14">
        <v>129364.83522619617</v>
      </c>
      <c r="I227" s="14">
        <v>169578.78433098001</v>
      </c>
      <c r="J227" s="14">
        <v>184797.63828802475</v>
      </c>
      <c r="K227" s="14">
        <v>242583.86166863862</v>
      </c>
      <c r="L227" s="14">
        <v>254120.36362005066</v>
      </c>
      <c r="M227" s="14">
        <v>279294.30013658875</v>
      </c>
      <c r="N227" s="14">
        <v>309362.31511319621</v>
      </c>
      <c r="O227" s="14">
        <v>327506.21800185059</v>
      </c>
    </row>
    <row r="228" spans="1:15" x14ac:dyDescent="0.3">
      <c r="A228" s="3" t="str">
        <f>INDEX('R1. Scenario specifications'!$C$11:$C$49,MATCH($B228,'R1. Scenario specifications'!$A$11:$A$49,0))</f>
        <v>Current 1.5DS, 2020 start, 'Expect the Unexpected' but with cheap energy efficiency</v>
      </c>
      <c r="B228" s="3" t="s">
        <v>28</v>
      </c>
      <c r="C228" s="3" t="s">
        <v>60</v>
      </c>
      <c r="D228" s="3" t="s">
        <v>254</v>
      </c>
      <c r="E228" s="14">
        <v>132862.88014752162</v>
      </c>
      <c r="F228" s="14">
        <v>167772.98687500271</v>
      </c>
      <c r="G228" s="14">
        <v>133988.90917691623</v>
      </c>
      <c r="H228" s="14">
        <v>74087.285235461226</v>
      </c>
      <c r="I228" s="14">
        <v>51689.981973937058</v>
      </c>
      <c r="J228" s="14">
        <v>42902.382338679432</v>
      </c>
      <c r="K228" s="14">
        <v>50627.738578037824</v>
      </c>
      <c r="L228" s="14">
        <v>69779.543074661444</v>
      </c>
      <c r="M228" s="14">
        <v>74533.444412369514</v>
      </c>
      <c r="N228" s="14">
        <v>76471.781502010563</v>
      </c>
      <c r="O228" s="14">
        <v>64074.246160268784</v>
      </c>
    </row>
    <row r="229" spans="1:15" x14ac:dyDescent="0.3">
      <c r="A229" s="3" t="str">
        <f>INDEX('R1. Scenario specifications'!$C$11:$C$49,MATCH($B229,'R1. Scenario specifications'!$A$11:$A$49,0))</f>
        <v>Current 1.5DS, 2020 start, 'Expect the Unexpected' but with cheap energy efficiency</v>
      </c>
      <c r="B229" s="3" t="s">
        <v>28</v>
      </c>
      <c r="C229" s="3" t="s">
        <v>61</v>
      </c>
      <c r="D229" s="3" t="s">
        <v>255</v>
      </c>
      <c r="E229" s="14">
        <v>113361.40893082572</v>
      </c>
      <c r="F229" s="14">
        <v>125068.22780197491</v>
      </c>
      <c r="G229" s="14">
        <v>164552.1853192726</v>
      </c>
      <c r="H229" s="14">
        <v>187683.3412136485</v>
      </c>
      <c r="I229" s="14">
        <v>87924.69943957284</v>
      </c>
      <c r="J229" s="14">
        <v>86362.655891591217</v>
      </c>
      <c r="K229" s="14">
        <v>84702.302770229289</v>
      </c>
      <c r="L229" s="14">
        <v>114027.94074133046</v>
      </c>
      <c r="M229" s="14">
        <v>103123.91776058957</v>
      </c>
      <c r="N229" s="14">
        <v>68725.211869406994</v>
      </c>
      <c r="O229" s="14">
        <v>60747.755663779171</v>
      </c>
    </row>
    <row r="230" spans="1:15" x14ac:dyDescent="0.3">
      <c r="A230" s="3" t="str">
        <f>INDEX('R1. Scenario specifications'!$C$11:$C$49,MATCH($B230,'R1. Scenario specifications'!$A$11:$A$49,0))</f>
        <v>Current 1.5DS, 2020 start, 'Expect the Unexpected' but with cheap energy efficiency</v>
      </c>
      <c r="B230" s="3" t="s">
        <v>28</v>
      </c>
      <c r="C230" s="3" t="s">
        <v>263</v>
      </c>
      <c r="D230" s="3" t="s">
        <v>256</v>
      </c>
      <c r="E230" s="14">
        <v>10361.182910638019</v>
      </c>
      <c r="F230" s="14">
        <v>10438.652617147358</v>
      </c>
      <c r="G230" s="14">
        <v>14734.740994143709</v>
      </c>
      <c r="H230" s="14">
        <v>18026.516453305198</v>
      </c>
      <c r="I230" s="14">
        <v>25633.888409403487</v>
      </c>
      <c r="J230" s="14">
        <v>29555.044198911244</v>
      </c>
      <c r="K230" s="14">
        <v>33566.203537503687</v>
      </c>
      <c r="L230" s="14">
        <v>34148.405914135044</v>
      </c>
      <c r="M230" s="14">
        <v>34756.47443305418</v>
      </c>
      <c r="N230" s="14">
        <v>36656.130886985666</v>
      </c>
      <c r="O230" s="14">
        <v>38097.454206516071</v>
      </c>
    </row>
    <row r="231" spans="1:15" x14ac:dyDescent="0.3">
      <c r="A231" s="3" t="str">
        <f>INDEX('R1. Scenario specifications'!$C$11:$C$49,MATCH($B231,'R1. Scenario specifications'!$A$11:$A$49,0))</f>
        <v>Current 1.5DS, 2020 start, 'Expect the Unexpected' but with cheap energy efficiency</v>
      </c>
      <c r="B231" s="3" t="s">
        <v>28</v>
      </c>
      <c r="C231" s="3" t="s">
        <v>264</v>
      </c>
      <c r="D231" s="3" t="s">
        <v>257</v>
      </c>
      <c r="E231" s="14">
        <v>9499.4101148835834</v>
      </c>
      <c r="F231" s="14">
        <v>9854.7685931259057</v>
      </c>
      <c r="G231" s="14">
        <v>13753.197500000002</v>
      </c>
      <c r="H231" s="14">
        <v>14514.167854150608</v>
      </c>
      <c r="I231" s="14">
        <v>17854.165000000001</v>
      </c>
      <c r="J231" s="14">
        <v>24317.573565047031</v>
      </c>
      <c r="K231" s="14">
        <v>25909.055475677345</v>
      </c>
      <c r="L231" s="14">
        <v>27913.644743563284</v>
      </c>
      <c r="M231" s="14">
        <v>29154.962054802079</v>
      </c>
      <c r="N231" s="14">
        <v>37908.53</v>
      </c>
      <c r="O231" s="14">
        <v>39237.675000000003</v>
      </c>
    </row>
    <row r="232" spans="1:15" x14ac:dyDescent="0.3">
      <c r="A232" s="3" t="str">
        <f>INDEX('R1. Scenario specifications'!$C$11:$C$49,MATCH($B232,'R1. Scenario specifications'!$A$11:$A$49,0))</f>
        <v>Current 1.5DS, 2020 start, 'Expect the Unexpected' but with cheap energy efficiency</v>
      </c>
      <c r="B232" s="3" t="s">
        <v>28</v>
      </c>
      <c r="C232" s="3" t="s">
        <v>62</v>
      </c>
      <c r="D232" s="3" t="s">
        <v>266</v>
      </c>
      <c r="E232" s="14">
        <v>152832.4479725429</v>
      </c>
      <c r="F232" s="14">
        <v>158538.7874200783</v>
      </c>
      <c r="G232" s="14">
        <v>170699.74489631387</v>
      </c>
      <c r="H232" s="14">
        <v>147692.61527753717</v>
      </c>
      <c r="I232" s="14">
        <v>108641.33758034663</v>
      </c>
      <c r="J232" s="14">
        <v>96879.054035751804</v>
      </c>
      <c r="K232" s="14">
        <v>127453.52628766703</v>
      </c>
      <c r="L232" s="14">
        <v>138862.21228043173</v>
      </c>
      <c r="M232" s="14">
        <v>140426.94389382639</v>
      </c>
      <c r="N232" s="14">
        <v>138178.35176206171</v>
      </c>
      <c r="O232" s="14">
        <v>125818.83805875378</v>
      </c>
    </row>
    <row r="233" spans="1:15" x14ac:dyDescent="0.3">
      <c r="A233" s="3" t="str">
        <f>INDEX('R1. Scenario specifications'!$C$11:$C$49,MATCH($B233,'R1. Scenario specifications'!$A$11:$A$49,0))</f>
        <v>Current 1.5DS, 2020 start, 'Expect the Unexpected' but with cheap energy efficiency</v>
      </c>
      <c r="B233" s="3" t="s">
        <v>28</v>
      </c>
      <c r="C233" s="3" t="s">
        <v>66</v>
      </c>
      <c r="D233" s="3" t="s">
        <v>258</v>
      </c>
      <c r="E233" s="14">
        <v>202.7012537766515</v>
      </c>
      <c r="F233" s="14">
        <v>194.90848865877462</v>
      </c>
      <c r="G233" s="14">
        <v>2771.4154518439864</v>
      </c>
      <c r="H233" s="14">
        <v>5761.8259290108936</v>
      </c>
      <c r="I233" s="14">
        <v>15533.080148218474</v>
      </c>
      <c r="J233" s="14">
        <v>20276.212941113961</v>
      </c>
      <c r="K233" s="14">
        <v>19781.227393545079</v>
      </c>
      <c r="L233" s="14">
        <v>17010.378459291504</v>
      </c>
      <c r="M233" s="14">
        <v>10651.409706741466</v>
      </c>
      <c r="N233" s="14">
        <v>13637.276334569431</v>
      </c>
      <c r="O233" s="14">
        <v>15406.651778691748</v>
      </c>
    </row>
    <row r="234" spans="1:15" x14ac:dyDescent="0.3">
      <c r="A234" s="3" t="str">
        <f>INDEX('R1. Scenario specifications'!$C$11:$C$49,MATCH($B234,'R1. Scenario specifications'!$A$11:$A$49,0))</f>
        <v>Current 1.5DS, 2020 start, 'Expect the Unexpected' but with cheap energy efficiency</v>
      </c>
      <c r="B234" s="3" t="s">
        <v>28</v>
      </c>
      <c r="C234" s="3" t="s">
        <v>70</v>
      </c>
      <c r="D234" s="3" t="s">
        <v>259</v>
      </c>
      <c r="E234" s="14">
        <v>67.937052631788802</v>
      </c>
      <c r="F234" s="14">
        <v>458.66984800047192</v>
      </c>
      <c r="G234" s="14">
        <v>917.48161125092997</v>
      </c>
      <c r="H234" s="14">
        <v>4403.8172003886011</v>
      </c>
      <c r="I234" s="14">
        <v>17228.181448363328</v>
      </c>
      <c r="J234" s="14">
        <v>34524.489923872279</v>
      </c>
      <c r="K234" s="14">
        <v>53731.076972387367</v>
      </c>
      <c r="L234" s="14">
        <v>49877.352297482583</v>
      </c>
      <c r="M234" s="14">
        <v>64506.8155214406</v>
      </c>
      <c r="N234" s="14">
        <v>79297.823932773026</v>
      </c>
      <c r="O234" s="14">
        <v>90246.690886204771</v>
      </c>
    </row>
    <row r="235" spans="1:15" x14ac:dyDescent="0.3">
      <c r="A235" s="3" t="str">
        <f>INDEX('R1. Scenario specifications'!$C$11:$C$49,MATCH($B235,'R1. Scenario specifications'!$A$11:$A$49,0))</f>
        <v>Current 1.5DS, 2020 start, 'Expect the Unexpected' but with cheap energy efficiency</v>
      </c>
      <c r="B235" s="3" t="s">
        <v>28</v>
      </c>
      <c r="C235" s="3" t="s">
        <v>71</v>
      </c>
      <c r="D235" s="3" t="s">
        <v>259</v>
      </c>
      <c r="E235" s="14">
        <v>55.461114646679903</v>
      </c>
      <c r="F235" s="14">
        <v>60.524118034134894</v>
      </c>
      <c r="G235" s="14">
        <v>64.687762917592892</v>
      </c>
      <c r="H235" s="14">
        <v>69.132335905653719</v>
      </c>
      <c r="I235" s="14">
        <v>90.403676845963517</v>
      </c>
      <c r="J235" s="14">
        <v>124.59616598426777</v>
      </c>
      <c r="K235" s="14">
        <v>125.688140871572</v>
      </c>
      <c r="L235" s="14">
        <v>128.36098054834824</v>
      </c>
      <c r="M235" s="14">
        <v>120.75098879077804</v>
      </c>
      <c r="N235" s="14">
        <v>128.30308915908228</v>
      </c>
      <c r="O235" s="14">
        <v>128.27379337837544</v>
      </c>
    </row>
    <row r="236" spans="1:15" x14ac:dyDescent="0.3">
      <c r="A236" s="3" t="str">
        <f>INDEX('R1. Scenario specifications'!$C$11:$C$49,MATCH($B236,'R1. Scenario specifications'!$A$11:$A$49,0))</f>
        <v>Current 1.5DS, 2020 start, 'Expect the Unexpected' but with cheap energy efficiency</v>
      </c>
      <c r="B236" s="3" t="s">
        <v>28</v>
      </c>
      <c r="C236" s="3" t="s">
        <v>75</v>
      </c>
      <c r="D236" s="3" t="s">
        <v>258</v>
      </c>
      <c r="E236" s="14">
        <v>1.963099940637433</v>
      </c>
      <c r="F236" s="14">
        <v>1.7858497922310126</v>
      </c>
      <c r="G236" s="14">
        <v>1.5022495547807513</v>
      </c>
      <c r="H236" s="14">
        <v>1.0014997031871682</v>
      </c>
      <c r="I236" s="14">
        <v>0.50074985159358421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</row>
    <row r="237" spans="1:15" x14ac:dyDescent="0.3">
      <c r="A237" s="3" t="str">
        <f>INDEX('R1. Scenario specifications'!$C$11:$C$49,MATCH($B237,'R1. Scenario specifications'!$A$11:$A$49,0))</f>
        <v>Current 1.5DS, 2020 start, 'Expect the Unexpected' but with cheap energy efficiency</v>
      </c>
      <c r="B237" s="3" t="s">
        <v>28</v>
      </c>
      <c r="C237" s="3" t="s">
        <v>72</v>
      </c>
      <c r="D237" s="3" t="s">
        <v>260</v>
      </c>
      <c r="E237" s="14">
        <v>1517.4635089937533</v>
      </c>
      <c r="F237" s="14">
        <v>1704.9418897085425</v>
      </c>
      <c r="G237" s="14">
        <v>2685.5545190640855</v>
      </c>
      <c r="H237" s="14">
        <v>13084.992759087228</v>
      </c>
      <c r="I237" s="14">
        <v>27544.8295132778</v>
      </c>
      <c r="J237" s="14">
        <v>50454.553242518268</v>
      </c>
      <c r="K237" s="14">
        <v>73372.17644085559</v>
      </c>
      <c r="L237" s="14">
        <v>67551.073970114579</v>
      </c>
      <c r="M237" s="14">
        <v>90259.850032026632</v>
      </c>
      <c r="N237" s="14">
        <v>128596.29722143643</v>
      </c>
      <c r="O237" s="14">
        <v>161067.10290895979</v>
      </c>
    </row>
    <row r="238" spans="1:15" x14ac:dyDescent="0.3">
      <c r="A238" s="3" t="str">
        <f>INDEX('R1. Scenario specifications'!$C$11:$C$49,MATCH($B238,'R1. Scenario specifications'!$A$11:$A$49,0))</f>
        <v>Current 1.5DS, 2030 start, 'Expect the Unexpected' but with cheap energy efficiency</v>
      </c>
      <c r="B238" s="3" t="s">
        <v>29</v>
      </c>
      <c r="C238" s="3" t="s">
        <v>262</v>
      </c>
      <c r="D238" s="3" t="s">
        <v>253</v>
      </c>
      <c r="E238" s="14">
        <v>49803.376306806284</v>
      </c>
      <c r="F238" s="14">
        <v>54246.265938380871</v>
      </c>
      <c r="G238" s="14">
        <v>71262.17128058261</v>
      </c>
      <c r="H238" s="14">
        <v>95987.494917697361</v>
      </c>
      <c r="I238" s="14">
        <v>165150.73145943708</v>
      </c>
      <c r="J238" s="14">
        <v>185379.47743549477</v>
      </c>
      <c r="K238" s="14">
        <v>259509.34788311768</v>
      </c>
      <c r="L238" s="14">
        <v>188254.03602926031</v>
      </c>
      <c r="M238" s="14">
        <v>205958.61188215262</v>
      </c>
      <c r="N238" s="14">
        <v>229531.30154436213</v>
      </c>
      <c r="O238" s="14">
        <v>306341.67480128614</v>
      </c>
    </row>
    <row r="239" spans="1:15" x14ac:dyDescent="0.3">
      <c r="A239" s="3" t="str">
        <f>INDEX('R1. Scenario specifications'!$C$11:$C$49,MATCH($B239,'R1. Scenario specifications'!$A$11:$A$49,0))</f>
        <v>Current 1.5DS, 2030 start, 'Expect the Unexpected' but with cheap energy efficiency</v>
      </c>
      <c r="B239" s="3" t="s">
        <v>29</v>
      </c>
      <c r="C239" s="3" t="s">
        <v>60</v>
      </c>
      <c r="D239" s="3" t="s">
        <v>254</v>
      </c>
      <c r="E239" s="14">
        <v>132862.88014752162</v>
      </c>
      <c r="F239" s="14">
        <v>167772.98687500271</v>
      </c>
      <c r="G239" s="14">
        <v>133988.90917691623</v>
      </c>
      <c r="H239" s="14">
        <v>141587.52010422843</v>
      </c>
      <c r="I239" s="14">
        <v>51690.273895835817</v>
      </c>
      <c r="J239" s="14">
        <v>42902.701145257102</v>
      </c>
      <c r="K239" s="14">
        <v>16155.440002277071</v>
      </c>
      <c r="L239" s="14">
        <v>80702.257864722284</v>
      </c>
      <c r="M239" s="14">
        <v>80027.201931342759</v>
      </c>
      <c r="N239" s="14">
        <v>59490.238866519321</v>
      </c>
      <c r="O239" s="14">
        <v>63120.126198972983</v>
      </c>
    </row>
    <row r="240" spans="1:15" x14ac:dyDescent="0.3">
      <c r="A240" s="3" t="str">
        <f>INDEX('R1. Scenario specifications'!$C$11:$C$49,MATCH($B240,'R1. Scenario specifications'!$A$11:$A$49,0))</f>
        <v>Current 1.5DS, 2030 start, 'Expect the Unexpected' but with cheap energy efficiency</v>
      </c>
      <c r="B240" s="3" t="s">
        <v>29</v>
      </c>
      <c r="C240" s="3" t="s">
        <v>61</v>
      </c>
      <c r="D240" s="3" t="s">
        <v>255</v>
      </c>
      <c r="E240" s="14">
        <v>113361.40893082572</v>
      </c>
      <c r="F240" s="14">
        <v>125068.22780197491</v>
      </c>
      <c r="G240" s="14">
        <v>164552.1853192726</v>
      </c>
      <c r="H240" s="14">
        <v>176766.93010542684</v>
      </c>
      <c r="I240" s="14">
        <v>101764.56138572766</v>
      </c>
      <c r="J240" s="14">
        <v>55385.698226476627</v>
      </c>
      <c r="K240" s="14">
        <v>84257.21487137246</v>
      </c>
      <c r="L240" s="14">
        <v>127313.69782405814</v>
      </c>
      <c r="M240" s="14">
        <v>143402.93894863359</v>
      </c>
      <c r="N240" s="14">
        <v>153371.68597732665</v>
      </c>
      <c r="O240" s="14">
        <v>137146.14303598125</v>
      </c>
    </row>
    <row r="241" spans="1:15" x14ac:dyDescent="0.3">
      <c r="A241" s="3" t="str">
        <f>INDEX('R1. Scenario specifications'!$C$11:$C$49,MATCH($B241,'R1. Scenario specifications'!$A$11:$A$49,0))</f>
        <v>Current 1.5DS, 2030 start, 'Expect the Unexpected' but with cheap energy efficiency</v>
      </c>
      <c r="B241" s="3" t="s">
        <v>29</v>
      </c>
      <c r="C241" s="3" t="s">
        <v>263</v>
      </c>
      <c r="D241" s="3" t="s">
        <v>256</v>
      </c>
      <c r="E241" s="14">
        <v>10361.182910638019</v>
      </c>
      <c r="F241" s="14">
        <v>10438.652617147358</v>
      </c>
      <c r="G241" s="14">
        <v>14734.740994143709</v>
      </c>
      <c r="H241" s="14">
        <v>17241.713076375538</v>
      </c>
      <c r="I241" s="14">
        <v>20304.616897018859</v>
      </c>
      <c r="J241" s="14">
        <v>26679.048030603168</v>
      </c>
      <c r="K241" s="14">
        <v>33399.869431748215</v>
      </c>
      <c r="L241" s="14">
        <v>33298.158373540973</v>
      </c>
      <c r="M241" s="14">
        <v>26066.199579054741</v>
      </c>
      <c r="N241" s="14">
        <v>32603.278661566346</v>
      </c>
      <c r="O241" s="14">
        <v>32498.443455109435</v>
      </c>
    </row>
    <row r="242" spans="1:15" x14ac:dyDescent="0.3">
      <c r="A242" s="3" t="str">
        <f>INDEX('R1. Scenario specifications'!$C$11:$C$49,MATCH($B242,'R1. Scenario specifications'!$A$11:$A$49,0))</f>
        <v>Current 1.5DS, 2030 start, 'Expect the Unexpected' but with cheap energy efficiency</v>
      </c>
      <c r="B242" s="3" t="s">
        <v>29</v>
      </c>
      <c r="C242" s="3" t="s">
        <v>264</v>
      </c>
      <c r="D242" s="3" t="s">
        <v>257</v>
      </c>
      <c r="E242" s="14">
        <v>9499.4101148835834</v>
      </c>
      <c r="F242" s="14">
        <v>9854.7685931259057</v>
      </c>
      <c r="G242" s="14">
        <v>13753.197500000002</v>
      </c>
      <c r="H242" s="14">
        <v>14514.167854150608</v>
      </c>
      <c r="I242" s="14">
        <v>15191.631806438925</v>
      </c>
      <c r="J242" s="14">
        <v>22578.301768606783</v>
      </c>
      <c r="K242" s="14">
        <v>26148.12051795805</v>
      </c>
      <c r="L242" s="14">
        <v>28385.714929933296</v>
      </c>
      <c r="M242" s="14">
        <v>28952.376973882143</v>
      </c>
      <c r="N242" s="14">
        <v>32487.608526308286</v>
      </c>
      <c r="O242" s="14">
        <v>31850.321769269049</v>
      </c>
    </row>
    <row r="243" spans="1:15" x14ac:dyDescent="0.3">
      <c r="A243" s="3" t="str">
        <f>INDEX('R1. Scenario specifications'!$C$11:$C$49,MATCH($B243,'R1. Scenario specifications'!$A$11:$A$49,0))</f>
        <v>Current 1.5DS, 2030 start, 'Expect the Unexpected' but with cheap energy efficiency</v>
      </c>
      <c r="B243" s="3" t="s">
        <v>29</v>
      </c>
      <c r="C243" s="3" t="s">
        <v>62</v>
      </c>
      <c r="D243" s="3" t="s">
        <v>266</v>
      </c>
      <c r="E243" s="14">
        <v>152832.4479725429</v>
      </c>
      <c r="F243" s="14">
        <v>158538.7874200783</v>
      </c>
      <c r="G243" s="14">
        <v>170699.74489631387</v>
      </c>
      <c r="H243" s="14">
        <v>176541.28948572898</v>
      </c>
      <c r="I243" s="14">
        <v>137695.56349542164</v>
      </c>
      <c r="J243" s="14">
        <v>104551.34224193427</v>
      </c>
      <c r="K243" s="14">
        <v>98784.007627830288</v>
      </c>
      <c r="L243" s="14">
        <v>144858.81614470572</v>
      </c>
      <c r="M243" s="14">
        <v>149556.50042722197</v>
      </c>
      <c r="N243" s="14">
        <v>147566.81432463083</v>
      </c>
      <c r="O243" s="14">
        <v>132973.3027303766</v>
      </c>
    </row>
    <row r="244" spans="1:15" x14ac:dyDescent="0.3">
      <c r="A244" s="3" t="str">
        <f>INDEX('R1. Scenario specifications'!$C$11:$C$49,MATCH($B244,'R1. Scenario specifications'!$A$11:$A$49,0))</f>
        <v>Current 1.5DS, 2030 start, 'Expect the Unexpected' but with cheap energy efficiency</v>
      </c>
      <c r="B244" s="3" t="s">
        <v>29</v>
      </c>
      <c r="C244" s="3" t="s">
        <v>66</v>
      </c>
      <c r="D244" s="3" t="s">
        <v>258</v>
      </c>
      <c r="E244" s="14">
        <v>202.7012537766515</v>
      </c>
      <c r="F244" s="14">
        <v>194.90848865877462</v>
      </c>
      <c r="G244" s="14">
        <v>2771.4154518439864</v>
      </c>
      <c r="H244" s="14">
        <v>4278.9486538824649</v>
      </c>
      <c r="I244" s="14">
        <v>9226.0603289784904</v>
      </c>
      <c r="J244" s="14">
        <v>24990.489522233624</v>
      </c>
      <c r="K244" s="14">
        <v>24490.400586677446</v>
      </c>
      <c r="L244" s="14">
        <v>23175.493282420481</v>
      </c>
      <c r="M244" s="14">
        <v>19385.575914688106</v>
      </c>
      <c r="N244" s="14">
        <v>6364.3727486835405</v>
      </c>
      <c r="O244" s="14">
        <v>6563.6241617269661</v>
      </c>
    </row>
    <row r="245" spans="1:15" x14ac:dyDescent="0.3">
      <c r="A245" s="3" t="str">
        <f>INDEX('R1. Scenario specifications'!$C$11:$C$49,MATCH($B245,'R1. Scenario specifications'!$A$11:$A$49,0))</f>
        <v>Current 1.5DS, 2030 start, 'Expect the Unexpected' but with cheap energy efficiency</v>
      </c>
      <c r="B245" s="3" t="s">
        <v>29</v>
      </c>
      <c r="C245" s="3" t="s">
        <v>70</v>
      </c>
      <c r="D245" s="3" t="s">
        <v>259</v>
      </c>
      <c r="E245" s="14">
        <v>67.937052631788802</v>
      </c>
      <c r="F245" s="14">
        <v>458.66984800047192</v>
      </c>
      <c r="G245" s="14">
        <v>917.48161125092997</v>
      </c>
      <c r="H245" s="14">
        <v>2670.3548260954558</v>
      </c>
      <c r="I245" s="14">
        <v>11450.833555384666</v>
      </c>
      <c r="J245" s="14">
        <v>30238.261373926809</v>
      </c>
      <c r="K245" s="14">
        <v>67148.404269917126</v>
      </c>
      <c r="L245" s="14">
        <v>53037.789873465488</v>
      </c>
      <c r="M245" s="14">
        <v>51638.338471038129</v>
      </c>
      <c r="N245" s="14">
        <v>67134.307167215593</v>
      </c>
      <c r="O245" s="14">
        <v>74159.282850486692</v>
      </c>
    </row>
    <row r="246" spans="1:15" x14ac:dyDescent="0.3">
      <c r="A246" s="3" t="str">
        <f>INDEX('R1. Scenario specifications'!$C$11:$C$49,MATCH($B246,'R1. Scenario specifications'!$A$11:$A$49,0))</f>
        <v>Current 1.5DS, 2030 start, 'Expect the Unexpected' but with cheap energy efficiency</v>
      </c>
      <c r="B246" s="3" t="s">
        <v>29</v>
      </c>
      <c r="C246" s="3" t="s">
        <v>71</v>
      </c>
      <c r="D246" s="3" t="s">
        <v>259</v>
      </c>
      <c r="E246" s="14">
        <v>55.461114646679903</v>
      </c>
      <c r="F246" s="14">
        <v>60.524118034134894</v>
      </c>
      <c r="G246" s="14">
        <v>64.687762917592892</v>
      </c>
      <c r="H246" s="14">
        <v>64.713826068531574</v>
      </c>
      <c r="I246" s="14">
        <v>97.728769014728215</v>
      </c>
      <c r="J246" s="14">
        <v>118.91314117072224</v>
      </c>
      <c r="K246" s="14">
        <v>153.07878890977344</v>
      </c>
      <c r="L246" s="14">
        <v>153.05181325961559</v>
      </c>
      <c r="M246" s="14">
        <v>135.30453169996579</v>
      </c>
      <c r="N246" s="14">
        <v>145.41668236499319</v>
      </c>
      <c r="O246" s="14">
        <v>152.97130855245263</v>
      </c>
    </row>
    <row r="247" spans="1:15" x14ac:dyDescent="0.3">
      <c r="A247" s="3" t="str">
        <f>INDEX('R1. Scenario specifications'!$C$11:$C$49,MATCH($B247,'R1. Scenario specifications'!$A$11:$A$49,0))</f>
        <v>Current 1.5DS, 2030 start, 'Expect the Unexpected' but with cheap energy efficiency</v>
      </c>
      <c r="B247" s="3" t="s">
        <v>29</v>
      </c>
      <c r="C247" s="3" t="s">
        <v>75</v>
      </c>
      <c r="D247" s="3" t="s">
        <v>258</v>
      </c>
      <c r="E247" s="14">
        <v>1.963099940637433</v>
      </c>
      <c r="F247" s="14">
        <v>1.7858497922310126</v>
      </c>
      <c r="G247" s="14">
        <v>1.5022495547807513</v>
      </c>
      <c r="H247" s="14">
        <v>1.0014997031871682</v>
      </c>
      <c r="I247" s="14">
        <v>0.50074985159358409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</row>
    <row r="248" spans="1:15" x14ac:dyDescent="0.3">
      <c r="A248" s="3" t="str">
        <f>INDEX('R1. Scenario specifications'!$C$11:$C$49,MATCH($B248,'R1. Scenario specifications'!$A$11:$A$49,0))</f>
        <v>Current 1.5DS, 2030 start, 'Expect the Unexpected' but with cheap energy efficiency</v>
      </c>
      <c r="B248" s="3" t="s">
        <v>29</v>
      </c>
      <c r="C248" s="3" t="s">
        <v>72</v>
      </c>
      <c r="D248" s="3" t="s">
        <v>260</v>
      </c>
      <c r="E248" s="14">
        <v>1517.4635089937533</v>
      </c>
      <c r="F248" s="14">
        <v>1704.9418897085425</v>
      </c>
      <c r="G248" s="14">
        <v>2685.5545190640855</v>
      </c>
      <c r="H248" s="14">
        <v>10882.32058635127</v>
      </c>
      <c r="I248" s="14">
        <v>23243.307887034811</v>
      </c>
      <c r="J248" s="14">
        <v>45132.176504671872</v>
      </c>
      <c r="K248" s="14">
        <v>89336.317746564455</v>
      </c>
      <c r="L248" s="14">
        <v>65447.458289487389</v>
      </c>
      <c r="M248" s="14">
        <v>64923.472506809019</v>
      </c>
      <c r="N248" s="14">
        <v>75219.545156558495</v>
      </c>
      <c r="O248" s="14">
        <v>98197.219099843322</v>
      </c>
    </row>
    <row r="249" spans="1:15" x14ac:dyDescent="0.3">
      <c r="A249" s="3" t="str">
        <f>INDEX('R1. Scenario specifications'!$C$11:$C$49,MATCH($B249,'R1. Scenario specifications'!$A$11:$A$49,0))</f>
        <v>Current 1.5DS, 2020 start, 'Expect the Unexpected' but with most conservative biomass CCS / NET technology cost assumptions</v>
      </c>
      <c r="B249" s="3" t="s">
        <v>30</v>
      </c>
      <c r="C249" s="3" t="s">
        <v>262</v>
      </c>
      <c r="D249" s="3" t="s">
        <v>253</v>
      </c>
      <c r="E249" s="14">
        <v>49803.376306806284</v>
      </c>
      <c r="F249" s="14">
        <v>54246.265938380871</v>
      </c>
      <c r="G249" s="14">
        <v>71262.17128058261</v>
      </c>
      <c r="H249" s="14">
        <v>126787.48675128687</v>
      </c>
      <c r="I249" s="14">
        <v>150465.15204985306</v>
      </c>
      <c r="J249" s="14">
        <v>160662.76818704317</v>
      </c>
      <c r="K249" s="14">
        <v>242922.89589422607</v>
      </c>
      <c r="L249" s="14">
        <v>254006.17545830293</v>
      </c>
      <c r="M249" s="14">
        <v>281150.01478090219</v>
      </c>
      <c r="N249" s="14">
        <v>311061.79001172783</v>
      </c>
      <c r="O249" s="14">
        <v>327825.21108004393</v>
      </c>
    </row>
    <row r="250" spans="1:15" x14ac:dyDescent="0.3">
      <c r="A250" s="3" t="str">
        <f>INDEX('R1. Scenario specifications'!$C$11:$C$49,MATCH($B250,'R1. Scenario specifications'!$A$11:$A$49,0))</f>
        <v>Current 1.5DS, 2020 start, 'Expect the Unexpected' but with most conservative biomass CCS / NET technology cost assumptions</v>
      </c>
      <c r="B250" s="3" t="s">
        <v>30</v>
      </c>
      <c r="C250" s="3" t="s">
        <v>60</v>
      </c>
      <c r="D250" s="3" t="s">
        <v>254</v>
      </c>
      <c r="E250" s="14">
        <v>132862.88014752162</v>
      </c>
      <c r="F250" s="14">
        <v>167772.98687500271</v>
      </c>
      <c r="G250" s="14">
        <v>133988.90917691623</v>
      </c>
      <c r="H250" s="14">
        <v>74078.239224674966</v>
      </c>
      <c r="I250" s="14">
        <v>51689.984655245236</v>
      </c>
      <c r="J250" s="14">
        <v>42897.684669806207</v>
      </c>
      <c r="K250" s="14">
        <v>62609.231597928905</v>
      </c>
      <c r="L250" s="14">
        <v>88098.794517471179</v>
      </c>
      <c r="M250" s="14">
        <v>95052.370504269187</v>
      </c>
      <c r="N250" s="14">
        <v>96268.785215999917</v>
      </c>
      <c r="O250" s="14">
        <v>80727.628694369239</v>
      </c>
    </row>
    <row r="251" spans="1:15" x14ac:dyDescent="0.3">
      <c r="A251" s="3" t="str">
        <f>INDEX('R1. Scenario specifications'!$C$11:$C$49,MATCH($B251,'R1. Scenario specifications'!$A$11:$A$49,0))</f>
        <v>Current 1.5DS, 2020 start, 'Expect the Unexpected' but with most conservative biomass CCS / NET technology cost assumptions</v>
      </c>
      <c r="B251" s="3" t="s">
        <v>30</v>
      </c>
      <c r="C251" s="3" t="s">
        <v>61</v>
      </c>
      <c r="D251" s="3" t="s">
        <v>255</v>
      </c>
      <c r="E251" s="14">
        <v>113361.40893082572</v>
      </c>
      <c r="F251" s="14">
        <v>125068.22780197491</v>
      </c>
      <c r="G251" s="14">
        <v>164552.1853192726</v>
      </c>
      <c r="H251" s="14">
        <v>187739.8227562313</v>
      </c>
      <c r="I251" s="14">
        <v>87168.532769399884</v>
      </c>
      <c r="J251" s="14">
        <v>98449.678658321005</v>
      </c>
      <c r="K251" s="14">
        <v>94800.964894753881</v>
      </c>
      <c r="L251" s="14">
        <v>125538.68609555934</v>
      </c>
      <c r="M251" s="14">
        <v>122990.65089723615</v>
      </c>
      <c r="N251" s="14">
        <v>92895.261340613375</v>
      </c>
      <c r="O251" s="14">
        <v>83289.320934236253</v>
      </c>
    </row>
    <row r="252" spans="1:15" x14ac:dyDescent="0.3">
      <c r="A252" s="3" t="str">
        <f>INDEX('R1. Scenario specifications'!$C$11:$C$49,MATCH($B252,'R1. Scenario specifications'!$A$11:$A$49,0))</f>
        <v>Current 1.5DS, 2020 start, 'Expect the Unexpected' but with most conservative biomass CCS / NET technology cost assumptions</v>
      </c>
      <c r="B252" s="3" t="s">
        <v>30</v>
      </c>
      <c r="C252" s="3" t="s">
        <v>263</v>
      </c>
      <c r="D252" s="3" t="s">
        <v>256</v>
      </c>
      <c r="E252" s="14">
        <v>10361.182910638019</v>
      </c>
      <c r="F252" s="14">
        <v>10438.652617147358</v>
      </c>
      <c r="G252" s="14">
        <v>14734.740994143709</v>
      </c>
      <c r="H252" s="14">
        <v>18147.343106627763</v>
      </c>
      <c r="I252" s="14">
        <v>28202.858927074063</v>
      </c>
      <c r="J252" s="14">
        <v>33595.789961011491</v>
      </c>
      <c r="K252" s="14">
        <v>36101.751341675073</v>
      </c>
      <c r="L252" s="14">
        <v>37313.181957679837</v>
      </c>
      <c r="M252" s="14">
        <v>38590.101323780269</v>
      </c>
      <c r="N252" s="14">
        <v>40329.631046014241</v>
      </c>
      <c r="O252" s="14">
        <v>41117.785329834878</v>
      </c>
    </row>
    <row r="253" spans="1:15" x14ac:dyDescent="0.3">
      <c r="A253" s="3" t="str">
        <f>INDEX('R1. Scenario specifications'!$C$11:$C$49,MATCH($B253,'R1. Scenario specifications'!$A$11:$A$49,0))</f>
        <v>Current 1.5DS, 2020 start, 'Expect the Unexpected' but with most conservative biomass CCS / NET technology cost assumptions</v>
      </c>
      <c r="B253" s="3" t="s">
        <v>30</v>
      </c>
      <c r="C253" s="3" t="s">
        <v>264</v>
      </c>
      <c r="D253" s="3" t="s">
        <v>257</v>
      </c>
      <c r="E253" s="14">
        <v>9499.4101148835834</v>
      </c>
      <c r="F253" s="14">
        <v>9854.7685931259057</v>
      </c>
      <c r="G253" s="14">
        <v>13753.197500000002</v>
      </c>
      <c r="H253" s="14">
        <v>14514.167854150608</v>
      </c>
      <c r="I253" s="14">
        <v>17944.159569507134</v>
      </c>
      <c r="J253" s="14">
        <v>24650.255642953234</v>
      </c>
      <c r="K253" s="14">
        <v>26625.87896257277</v>
      </c>
      <c r="L253" s="14">
        <v>28729.061029420576</v>
      </c>
      <c r="M253" s="14">
        <v>33810.916486129121</v>
      </c>
      <c r="N253" s="14">
        <v>38231.46258722023</v>
      </c>
      <c r="O253" s="14">
        <v>39733.175000000003</v>
      </c>
    </row>
    <row r="254" spans="1:15" x14ac:dyDescent="0.3">
      <c r="A254" s="3" t="str">
        <f>INDEX('R1. Scenario specifications'!$C$11:$C$49,MATCH($B254,'R1. Scenario specifications'!$A$11:$A$49,0))</f>
        <v>Current 1.5DS, 2020 start, 'Expect the Unexpected' but with most conservative biomass CCS / NET technology cost assumptions</v>
      </c>
      <c r="B254" s="3" t="s">
        <v>30</v>
      </c>
      <c r="C254" s="3" t="s">
        <v>62</v>
      </c>
      <c r="D254" s="3" t="s">
        <v>266</v>
      </c>
      <c r="E254" s="14">
        <v>152832.4479725429</v>
      </c>
      <c r="F254" s="14">
        <v>158538.7874200783</v>
      </c>
      <c r="G254" s="14">
        <v>170699.74489631387</v>
      </c>
      <c r="H254" s="14">
        <v>156235.5207645465</v>
      </c>
      <c r="I254" s="14">
        <v>108892.37210265316</v>
      </c>
      <c r="J254" s="14">
        <v>100066.86931589495</v>
      </c>
      <c r="K254" s="14">
        <v>143896.84741226383</v>
      </c>
      <c r="L254" s="14">
        <v>156650.46388405818</v>
      </c>
      <c r="M254" s="14">
        <v>159502.45875057855</v>
      </c>
      <c r="N254" s="14">
        <v>154030.24445864279</v>
      </c>
      <c r="O254" s="14">
        <v>137805.73711147427</v>
      </c>
    </row>
    <row r="255" spans="1:15" x14ac:dyDescent="0.3">
      <c r="A255" s="3" t="str">
        <f>INDEX('R1. Scenario specifications'!$C$11:$C$49,MATCH($B255,'R1. Scenario specifications'!$A$11:$A$49,0))</f>
        <v>Current 1.5DS, 2020 start, 'Expect the Unexpected' but with most conservative biomass CCS / NET technology cost assumptions</v>
      </c>
      <c r="B255" s="3" t="s">
        <v>30</v>
      </c>
      <c r="C255" s="3" t="s">
        <v>66</v>
      </c>
      <c r="D255" s="3" t="s">
        <v>258</v>
      </c>
      <c r="E255" s="14">
        <v>202.7012537766515</v>
      </c>
      <c r="F255" s="14">
        <v>194.90848865877462</v>
      </c>
      <c r="G255" s="14">
        <v>2771.4154518439864</v>
      </c>
      <c r="H255" s="14">
        <v>6922.9585428194641</v>
      </c>
      <c r="I255" s="14">
        <v>26735.098720123395</v>
      </c>
      <c r="J255" s="14">
        <v>32243.395438545904</v>
      </c>
      <c r="K255" s="14">
        <v>31516.305850725963</v>
      </c>
      <c r="L255" s="14">
        <v>27717.376385904598</v>
      </c>
      <c r="M255" s="14">
        <v>13218.459561763255</v>
      </c>
      <c r="N255" s="14">
        <v>21117.758764106871</v>
      </c>
      <c r="O255" s="14">
        <v>26026.304678078413</v>
      </c>
    </row>
    <row r="256" spans="1:15" x14ac:dyDescent="0.3">
      <c r="A256" s="3" t="str">
        <f>INDEX('R1. Scenario specifications'!$C$11:$C$49,MATCH($B256,'R1. Scenario specifications'!$A$11:$A$49,0))</f>
        <v>Current 1.5DS, 2020 start, 'Expect the Unexpected' but with most conservative biomass CCS / NET technology cost assumptions</v>
      </c>
      <c r="B256" s="3" t="s">
        <v>30</v>
      </c>
      <c r="C256" s="3" t="s">
        <v>70</v>
      </c>
      <c r="D256" s="3" t="s">
        <v>259</v>
      </c>
      <c r="E256" s="14">
        <v>67.937052631788802</v>
      </c>
      <c r="F256" s="14">
        <v>458.66984800047192</v>
      </c>
      <c r="G256" s="14">
        <v>917.48161125092997</v>
      </c>
      <c r="H256" s="14">
        <v>4403.8172003886011</v>
      </c>
      <c r="I256" s="14">
        <v>17737.65169630996</v>
      </c>
      <c r="J256" s="14">
        <v>42451.613120304602</v>
      </c>
      <c r="K256" s="14">
        <v>60399.835748577345</v>
      </c>
      <c r="L256" s="14">
        <v>57982.617390888125</v>
      </c>
      <c r="M256" s="14">
        <v>73330.096327394756</v>
      </c>
      <c r="N256" s="14">
        <v>89148.893636663983</v>
      </c>
      <c r="O256" s="14">
        <v>104206.51765377317</v>
      </c>
    </row>
    <row r="257" spans="1:15" x14ac:dyDescent="0.3">
      <c r="A257" s="3" t="str">
        <f>INDEX('R1. Scenario specifications'!$C$11:$C$49,MATCH($B257,'R1. Scenario specifications'!$A$11:$A$49,0))</f>
        <v>Current 1.5DS, 2020 start, 'Expect the Unexpected' but with most conservative biomass CCS / NET technology cost assumptions</v>
      </c>
      <c r="B257" s="3" t="s">
        <v>30</v>
      </c>
      <c r="C257" s="3" t="s">
        <v>71</v>
      </c>
      <c r="D257" s="3" t="s">
        <v>259</v>
      </c>
      <c r="E257" s="14">
        <v>55.461114646679903</v>
      </c>
      <c r="F257" s="14">
        <v>60.524118034134894</v>
      </c>
      <c r="G257" s="14">
        <v>64.687762917592892</v>
      </c>
      <c r="H257" s="14">
        <v>210.36941393708787</v>
      </c>
      <c r="I257" s="14">
        <v>1432.0537296356238</v>
      </c>
      <c r="J257" s="14">
        <v>3810.8949060568675</v>
      </c>
      <c r="K257" s="14">
        <v>3658.8839722614275</v>
      </c>
      <c r="L257" s="14">
        <v>3843.3753065313895</v>
      </c>
      <c r="M257" s="14">
        <v>4326.5838664807507</v>
      </c>
      <c r="N257" s="14">
        <v>4326.5523910677148</v>
      </c>
      <c r="O257" s="14">
        <v>4326.5211245014534</v>
      </c>
    </row>
    <row r="258" spans="1:15" x14ac:dyDescent="0.3">
      <c r="A258" s="3" t="str">
        <f>INDEX('R1. Scenario specifications'!$C$11:$C$49,MATCH($B258,'R1. Scenario specifications'!$A$11:$A$49,0))</f>
        <v>Current 1.5DS, 2020 start, 'Expect the Unexpected' but with most conservative biomass CCS / NET technology cost assumptions</v>
      </c>
      <c r="B258" s="3" t="s">
        <v>30</v>
      </c>
      <c r="C258" s="3" t="s">
        <v>75</v>
      </c>
      <c r="D258" s="3" t="s">
        <v>258</v>
      </c>
      <c r="E258" s="14">
        <v>1.963099940637433</v>
      </c>
      <c r="F258" s="14">
        <v>1.7858497922310126</v>
      </c>
      <c r="G258" s="14">
        <v>1.5022495547807513</v>
      </c>
      <c r="H258" s="14">
        <v>1.0014997031871673</v>
      </c>
      <c r="I258" s="14">
        <v>0.50074985159358421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</row>
    <row r="259" spans="1:15" x14ac:dyDescent="0.3">
      <c r="A259" s="3" t="str">
        <f>INDEX('R1. Scenario specifications'!$C$11:$C$49,MATCH($B259,'R1. Scenario specifications'!$A$11:$A$49,0))</f>
        <v>Current 1.5DS, 2020 start, 'Expect the Unexpected' but with most conservative biomass CCS / NET technology cost assumptions</v>
      </c>
      <c r="B259" s="3" t="s">
        <v>30</v>
      </c>
      <c r="C259" s="3" t="s">
        <v>72</v>
      </c>
      <c r="D259" s="3" t="s">
        <v>260</v>
      </c>
      <c r="E259" s="14">
        <v>1517.4635089937533</v>
      </c>
      <c r="F259" s="14">
        <v>1704.9418897085425</v>
      </c>
      <c r="G259" s="14">
        <v>2685.5545190640855</v>
      </c>
      <c r="H259" s="14">
        <v>13084.955487531341</v>
      </c>
      <c r="I259" s="14">
        <v>28106.351537580471</v>
      </c>
      <c r="J259" s="14">
        <v>60495.276065775666</v>
      </c>
      <c r="K259" s="14">
        <v>83032.295927431653</v>
      </c>
      <c r="L259" s="14">
        <v>77674.80756524569</v>
      </c>
      <c r="M259" s="14">
        <v>102062.15859314353</v>
      </c>
      <c r="N259" s="14">
        <v>144000.21212384416</v>
      </c>
      <c r="O259" s="14">
        <v>184296.19649903607</v>
      </c>
    </row>
    <row r="260" spans="1:15" x14ac:dyDescent="0.3">
      <c r="A260" s="3" t="str">
        <f>INDEX('R1. Scenario specifications'!$C$11:$C$49,MATCH($B260,'R1. Scenario specifications'!$A$11:$A$49,0))</f>
        <v>Current 1.5DS, 2030 start, 'Expect the Unexpected' but with most conservative biomass CCS / NET technology cost assumptions</v>
      </c>
      <c r="B260" s="3" t="s">
        <v>31</v>
      </c>
      <c r="C260" s="3" t="s">
        <v>262</v>
      </c>
      <c r="D260" s="3" t="s">
        <v>253</v>
      </c>
      <c r="E260" s="14">
        <v>49803.376306806284</v>
      </c>
      <c r="F260" s="14">
        <v>54246.265938380871</v>
      </c>
      <c r="G260" s="14">
        <v>71262.17128058261</v>
      </c>
      <c r="H260" s="14">
        <v>95987.494917697361</v>
      </c>
      <c r="I260" s="14">
        <v>149876.50798173479</v>
      </c>
      <c r="J260" s="14">
        <v>160420.83322920316</v>
      </c>
      <c r="K260" s="14">
        <v>260453.11423273149</v>
      </c>
      <c r="L260" s="14">
        <v>200479.95802343625</v>
      </c>
      <c r="M260" s="14">
        <v>233515.64918184688</v>
      </c>
      <c r="N260" s="14">
        <v>264283.76907372044</v>
      </c>
      <c r="O260" s="14">
        <v>313066.76132724172</v>
      </c>
    </row>
    <row r="261" spans="1:15" x14ac:dyDescent="0.3">
      <c r="A261" s="3" t="str">
        <f>INDEX('R1. Scenario specifications'!$C$11:$C$49,MATCH($B261,'R1. Scenario specifications'!$A$11:$A$49,0))</f>
        <v>Current 1.5DS, 2030 start, 'Expect the Unexpected' but with most conservative biomass CCS / NET technology cost assumptions</v>
      </c>
      <c r="B261" s="3" t="s">
        <v>31</v>
      </c>
      <c r="C261" s="3" t="s">
        <v>60</v>
      </c>
      <c r="D261" s="3" t="s">
        <v>254</v>
      </c>
      <c r="E261" s="14">
        <v>132862.88014752162</v>
      </c>
      <c r="F261" s="14">
        <v>167772.98687500271</v>
      </c>
      <c r="G261" s="14">
        <v>133988.90917691623</v>
      </c>
      <c r="H261" s="14">
        <v>141587.52010422843</v>
      </c>
      <c r="I261" s="14">
        <v>51689.391669551434</v>
      </c>
      <c r="J261" s="14">
        <v>47555.156593118525</v>
      </c>
      <c r="K261" s="14">
        <v>16191.648890071432</v>
      </c>
      <c r="L261" s="14">
        <v>109615.97223838727</v>
      </c>
      <c r="M261" s="14">
        <v>113867.80284166425</v>
      </c>
      <c r="N261" s="14">
        <v>88321.700831769573</v>
      </c>
      <c r="O261" s="14">
        <v>99300.766453224191</v>
      </c>
    </row>
    <row r="262" spans="1:15" x14ac:dyDescent="0.3">
      <c r="A262" s="3" t="str">
        <f>INDEX('R1. Scenario specifications'!$C$11:$C$49,MATCH($B262,'R1. Scenario specifications'!$A$11:$A$49,0))</f>
        <v>Current 1.5DS, 2030 start, 'Expect the Unexpected' but with most conservative biomass CCS / NET technology cost assumptions</v>
      </c>
      <c r="B262" s="3" t="s">
        <v>31</v>
      </c>
      <c r="C262" s="3" t="s">
        <v>61</v>
      </c>
      <c r="D262" s="3" t="s">
        <v>255</v>
      </c>
      <c r="E262" s="14">
        <v>113361.40893082572</v>
      </c>
      <c r="F262" s="14">
        <v>125068.22780197491</v>
      </c>
      <c r="G262" s="14">
        <v>164552.1853192726</v>
      </c>
      <c r="H262" s="14">
        <v>176766.93010542684</v>
      </c>
      <c r="I262" s="14">
        <v>98087.760412211064</v>
      </c>
      <c r="J262" s="14">
        <v>55142.010481684199</v>
      </c>
      <c r="K262" s="14">
        <v>101751.310822905</v>
      </c>
      <c r="L262" s="14">
        <v>135687.20861591428</v>
      </c>
      <c r="M262" s="14">
        <v>159090.7171656102</v>
      </c>
      <c r="N262" s="14">
        <v>167568.13433529591</v>
      </c>
      <c r="O262" s="14">
        <v>155685.39102458264</v>
      </c>
    </row>
    <row r="263" spans="1:15" x14ac:dyDescent="0.3">
      <c r="A263" s="3" t="str">
        <f>INDEX('R1. Scenario specifications'!$C$11:$C$49,MATCH($B263,'R1. Scenario specifications'!$A$11:$A$49,0))</f>
        <v>Current 1.5DS, 2030 start, 'Expect the Unexpected' but with most conservative biomass CCS / NET technology cost assumptions</v>
      </c>
      <c r="B263" s="3" t="s">
        <v>31</v>
      </c>
      <c r="C263" s="3" t="s">
        <v>263</v>
      </c>
      <c r="D263" s="3" t="s">
        <v>256</v>
      </c>
      <c r="E263" s="14">
        <v>10361.182910638019</v>
      </c>
      <c r="F263" s="14">
        <v>10438.652617147358</v>
      </c>
      <c r="G263" s="14">
        <v>14734.740994143709</v>
      </c>
      <c r="H263" s="14">
        <v>17241.713076375538</v>
      </c>
      <c r="I263" s="14">
        <v>21106.685983350926</v>
      </c>
      <c r="J263" s="14">
        <v>30511.466960396356</v>
      </c>
      <c r="K263" s="14">
        <v>34429.401350196582</v>
      </c>
      <c r="L263" s="14">
        <v>37294.45443677713</v>
      </c>
      <c r="M263" s="14">
        <v>31159.543562614119</v>
      </c>
      <c r="N263" s="14">
        <v>36256.210675185714</v>
      </c>
      <c r="O263" s="14">
        <v>38595.483515572043</v>
      </c>
    </row>
    <row r="264" spans="1:15" x14ac:dyDescent="0.3">
      <c r="A264" s="3" t="str">
        <f>INDEX('R1. Scenario specifications'!$C$11:$C$49,MATCH($B264,'R1. Scenario specifications'!$A$11:$A$49,0))</f>
        <v>Current 1.5DS, 2030 start, 'Expect the Unexpected' but with most conservative biomass CCS / NET technology cost assumptions</v>
      </c>
      <c r="B264" s="3" t="s">
        <v>31</v>
      </c>
      <c r="C264" s="3" t="s">
        <v>264</v>
      </c>
      <c r="D264" s="3" t="s">
        <v>257</v>
      </c>
      <c r="E264" s="14">
        <v>9499.4101148835834</v>
      </c>
      <c r="F264" s="14">
        <v>9854.7685931259057</v>
      </c>
      <c r="G264" s="14">
        <v>13753.197500000002</v>
      </c>
      <c r="H264" s="14">
        <v>14514.167854150608</v>
      </c>
      <c r="I264" s="14">
        <v>15191.631806438925</v>
      </c>
      <c r="J264" s="14">
        <v>22295.076922334178</v>
      </c>
      <c r="K264" s="14">
        <v>26180.947051496041</v>
      </c>
      <c r="L264" s="14">
        <v>28214.064929933294</v>
      </c>
      <c r="M264" s="14">
        <v>29615.385481592661</v>
      </c>
      <c r="N264" s="14">
        <v>34357.45922752966</v>
      </c>
      <c r="O264" s="14">
        <v>34092.058784753666</v>
      </c>
    </row>
    <row r="265" spans="1:15" x14ac:dyDescent="0.3">
      <c r="A265" s="3" t="str">
        <f>INDEX('R1. Scenario specifications'!$C$11:$C$49,MATCH($B265,'R1. Scenario specifications'!$A$11:$A$49,0))</f>
        <v>Current 1.5DS, 2030 start, 'Expect the Unexpected' but with most conservative biomass CCS / NET technology cost assumptions</v>
      </c>
      <c r="B265" s="3" t="s">
        <v>31</v>
      </c>
      <c r="C265" s="3" t="s">
        <v>62</v>
      </c>
      <c r="D265" s="3" t="s">
        <v>266</v>
      </c>
      <c r="E265" s="14">
        <v>152832.4479725429</v>
      </c>
      <c r="F265" s="14">
        <v>158538.7874200783</v>
      </c>
      <c r="G265" s="14">
        <v>170699.74489631387</v>
      </c>
      <c r="H265" s="14">
        <v>176541.28948572898</v>
      </c>
      <c r="I265" s="14">
        <v>156272.21996072197</v>
      </c>
      <c r="J265" s="14">
        <v>117933.10943906316</v>
      </c>
      <c r="K265" s="14">
        <v>109701.4097716047</v>
      </c>
      <c r="L265" s="14">
        <v>164134.2690712483</v>
      </c>
      <c r="M265" s="14">
        <v>169048.67067018698</v>
      </c>
      <c r="N265" s="14">
        <v>166087.39320074211</v>
      </c>
      <c r="O265" s="14">
        <v>149962.62237208689</v>
      </c>
    </row>
    <row r="266" spans="1:15" x14ac:dyDescent="0.3">
      <c r="A266" s="3" t="str">
        <f>INDEX('R1. Scenario specifications'!$C$11:$C$49,MATCH($B266,'R1. Scenario specifications'!$A$11:$A$49,0))</f>
        <v>Current 1.5DS, 2030 start, 'Expect the Unexpected' but with most conservative biomass CCS / NET technology cost assumptions</v>
      </c>
      <c r="B266" s="3" t="s">
        <v>31</v>
      </c>
      <c r="C266" s="3" t="s">
        <v>66</v>
      </c>
      <c r="D266" s="3" t="s">
        <v>258</v>
      </c>
      <c r="E266" s="14">
        <v>202.7012537766515</v>
      </c>
      <c r="F266" s="14">
        <v>194.90848865877462</v>
      </c>
      <c r="G266" s="14">
        <v>2771.4154518439864</v>
      </c>
      <c r="H266" s="14">
        <v>4278.9486538824649</v>
      </c>
      <c r="I266" s="14">
        <v>17490.443958319785</v>
      </c>
      <c r="J266" s="14">
        <v>38448.996109390639</v>
      </c>
      <c r="K266" s="14">
        <v>36924.610297209525</v>
      </c>
      <c r="L266" s="14">
        <v>35790.914708638797</v>
      </c>
      <c r="M266" s="14">
        <v>22400.152295552918</v>
      </c>
      <c r="N266" s="14">
        <v>7166.0010271161173</v>
      </c>
      <c r="O266" s="14">
        <v>9982.8490588963759</v>
      </c>
    </row>
    <row r="267" spans="1:15" x14ac:dyDescent="0.3">
      <c r="A267" s="3" t="str">
        <f>INDEX('R1. Scenario specifications'!$C$11:$C$49,MATCH($B267,'R1. Scenario specifications'!$A$11:$A$49,0))</f>
        <v>Current 1.5DS, 2030 start, 'Expect the Unexpected' but with most conservative biomass CCS / NET technology cost assumptions</v>
      </c>
      <c r="B267" s="3" t="s">
        <v>31</v>
      </c>
      <c r="C267" s="3" t="s">
        <v>70</v>
      </c>
      <c r="D267" s="3" t="s">
        <v>259</v>
      </c>
      <c r="E267" s="14">
        <v>67.937052631788802</v>
      </c>
      <c r="F267" s="14">
        <v>458.66984800047192</v>
      </c>
      <c r="G267" s="14">
        <v>917.48161125092997</v>
      </c>
      <c r="H267" s="14">
        <v>2670.3548260954558</v>
      </c>
      <c r="I267" s="14">
        <v>11471.501553833521</v>
      </c>
      <c r="J267" s="14">
        <v>33553.900454676463</v>
      </c>
      <c r="K267" s="14">
        <v>77511.110141594807</v>
      </c>
      <c r="L267" s="14">
        <v>63488.165464277154</v>
      </c>
      <c r="M267" s="14">
        <v>60882.444997668252</v>
      </c>
      <c r="N267" s="14">
        <v>81620.813229961001</v>
      </c>
      <c r="O267" s="14">
        <v>87699.975044683481</v>
      </c>
    </row>
    <row r="268" spans="1:15" x14ac:dyDescent="0.3">
      <c r="A268" s="3" t="str">
        <f>INDEX('R1. Scenario specifications'!$C$11:$C$49,MATCH($B268,'R1. Scenario specifications'!$A$11:$A$49,0))</f>
        <v>Current 1.5DS, 2030 start, 'Expect the Unexpected' but with most conservative biomass CCS / NET technology cost assumptions</v>
      </c>
      <c r="B268" s="3" t="s">
        <v>31</v>
      </c>
      <c r="C268" s="3" t="s">
        <v>71</v>
      </c>
      <c r="D268" s="3" t="s">
        <v>259</v>
      </c>
      <c r="E268" s="14">
        <v>55.461114646679903</v>
      </c>
      <c r="F268" s="14">
        <v>60.524118034134894</v>
      </c>
      <c r="G268" s="14">
        <v>64.687762917592892</v>
      </c>
      <c r="H268" s="14">
        <v>64.713826068531574</v>
      </c>
      <c r="I268" s="14">
        <v>311.29911356451129</v>
      </c>
      <c r="J268" s="14">
        <v>796.32359140644928</v>
      </c>
      <c r="K268" s="14">
        <v>830.46965453346286</v>
      </c>
      <c r="L268" s="14">
        <v>1389.7352786772115</v>
      </c>
      <c r="M268" s="14">
        <v>1374.3828842388959</v>
      </c>
      <c r="N268" s="14">
        <v>1389.6792889851417</v>
      </c>
      <c r="O268" s="14">
        <v>1565.0685597950924</v>
      </c>
    </row>
    <row r="269" spans="1:15" x14ac:dyDescent="0.3">
      <c r="A269" s="3" t="str">
        <f>INDEX('R1. Scenario specifications'!$C$11:$C$49,MATCH($B269,'R1. Scenario specifications'!$A$11:$A$49,0))</f>
        <v>Current 1.5DS, 2030 start, 'Expect the Unexpected' but with most conservative biomass CCS / NET technology cost assumptions</v>
      </c>
      <c r="B269" s="3" t="s">
        <v>31</v>
      </c>
      <c r="C269" s="3" t="s">
        <v>75</v>
      </c>
      <c r="D269" s="3" t="s">
        <v>258</v>
      </c>
      <c r="E269" s="14">
        <v>1.963099940637433</v>
      </c>
      <c r="F269" s="14">
        <v>1.7858497922310126</v>
      </c>
      <c r="G269" s="14">
        <v>1.5022495547807513</v>
      </c>
      <c r="H269" s="14">
        <v>1.0014997031871682</v>
      </c>
      <c r="I269" s="14">
        <v>0.50074985159358409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</row>
    <row r="270" spans="1:15" x14ac:dyDescent="0.3">
      <c r="A270" s="3" t="str">
        <f>INDEX('R1. Scenario specifications'!$C$11:$C$49,MATCH($B270,'R1. Scenario specifications'!$A$11:$A$49,0))</f>
        <v>Current 1.5DS, 2030 start, 'Expect the Unexpected' but with most conservative biomass CCS / NET technology cost assumptions</v>
      </c>
      <c r="B270" s="3" t="s">
        <v>31</v>
      </c>
      <c r="C270" s="3" t="s">
        <v>72</v>
      </c>
      <c r="D270" s="3" t="s">
        <v>260</v>
      </c>
      <c r="E270" s="14">
        <v>1517.4635089937533</v>
      </c>
      <c r="F270" s="14">
        <v>1704.9418897085425</v>
      </c>
      <c r="G270" s="14">
        <v>2685.5545190640855</v>
      </c>
      <c r="H270" s="14">
        <v>10882.32058635127</v>
      </c>
      <c r="I270" s="14">
        <v>24074.657461156083</v>
      </c>
      <c r="J270" s="14">
        <v>48242.562952275388</v>
      </c>
      <c r="K270" s="14">
        <v>100234.66403911736</v>
      </c>
      <c r="L270" s="14">
        <v>75972.064141193914</v>
      </c>
      <c r="M270" s="14">
        <v>74502.038539766174</v>
      </c>
      <c r="N270" s="14">
        <v>91464.770948859106</v>
      </c>
      <c r="O270" s="14">
        <v>118491.23588447615</v>
      </c>
    </row>
    <row r="271" spans="1:15" x14ac:dyDescent="0.3">
      <c r="A271" s="3" t="str">
        <f>INDEX('R1. Scenario specifications'!$C$11:$C$49,MATCH($B271,'R1. Scenario specifications'!$A$11:$A$49,0))</f>
        <v>Current 1.75DS, 2020 start, 'Expect the Unexpected'</v>
      </c>
      <c r="B271" s="3" t="s">
        <v>32</v>
      </c>
      <c r="C271" s="3" t="s">
        <v>262</v>
      </c>
      <c r="D271" s="3" t="s">
        <v>253</v>
      </c>
      <c r="E271" s="14">
        <v>49803.376306806284</v>
      </c>
      <c r="F271" s="14">
        <v>54246.265938380871</v>
      </c>
      <c r="G271" s="14">
        <v>71262.17128058261</v>
      </c>
      <c r="H271" s="14">
        <v>110645.3805670461</v>
      </c>
      <c r="I271" s="14">
        <v>133407.51346828416</v>
      </c>
      <c r="J271" s="14">
        <v>168023.66238076251</v>
      </c>
      <c r="K271" s="14">
        <v>209867.56368519165</v>
      </c>
      <c r="L271" s="14">
        <v>261521.91651993027</v>
      </c>
      <c r="M271" s="14">
        <v>294154.62901156134</v>
      </c>
      <c r="N271" s="14">
        <v>310994.24100277427</v>
      </c>
      <c r="O271" s="14">
        <v>327798.67336022074</v>
      </c>
    </row>
    <row r="272" spans="1:15" x14ac:dyDescent="0.3">
      <c r="A272" s="3" t="str">
        <f>INDEX('R1. Scenario specifications'!$C$11:$C$49,MATCH($B272,'R1. Scenario specifications'!$A$11:$A$49,0))</f>
        <v>Current 1.75DS, 2020 start, 'Expect the Unexpected'</v>
      </c>
      <c r="B272" s="3" t="s">
        <v>32</v>
      </c>
      <c r="C272" s="3" t="s">
        <v>60</v>
      </c>
      <c r="D272" s="3" t="s">
        <v>254</v>
      </c>
      <c r="E272" s="14">
        <v>132862.88014752162</v>
      </c>
      <c r="F272" s="14">
        <v>167772.98687500271</v>
      </c>
      <c r="G272" s="14">
        <v>133988.90917691623</v>
      </c>
      <c r="H272" s="14">
        <v>78298.506735573581</v>
      </c>
      <c r="I272" s="14">
        <v>51683.66458780002</v>
      </c>
      <c r="J272" s="14">
        <v>59667.165752929635</v>
      </c>
      <c r="K272" s="14">
        <v>86302.355596739682</v>
      </c>
      <c r="L272" s="14">
        <v>91122.631763943005</v>
      </c>
      <c r="M272" s="14">
        <v>93552.011761396148</v>
      </c>
      <c r="N272" s="14">
        <v>72780.259980533112</v>
      </c>
      <c r="O272" s="14">
        <v>65052.164710389487</v>
      </c>
    </row>
    <row r="273" spans="1:15" x14ac:dyDescent="0.3">
      <c r="A273" s="3" t="str">
        <f>INDEX('R1. Scenario specifications'!$C$11:$C$49,MATCH($B273,'R1. Scenario specifications'!$A$11:$A$49,0))</f>
        <v>Current 1.75DS, 2020 start, 'Expect the Unexpected'</v>
      </c>
      <c r="B273" s="3" t="s">
        <v>32</v>
      </c>
      <c r="C273" s="3" t="s">
        <v>61</v>
      </c>
      <c r="D273" s="3" t="s">
        <v>255</v>
      </c>
      <c r="E273" s="14">
        <v>113361.40893082572</v>
      </c>
      <c r="F273" s="14">
        <v>125068.22780197491</v>
      </c>
      <c r="G273" s="14">
        <v>164552.1853192726</v>
      </c>
      <c r="H273" s="14">
        <v>192915.71703120167</v>
      </c>
      <c r="I273" s="14">
        <v>193798.76851038981</v>
      </c>
      <c r="J273" s="14">
        <v>197148.91761156073</v>
      </c>
      <c r="K273" s="14">
        <v>168179.60732139551</v>
      </c>
      <c r="L273" s="14">
        <v>137790.1253976055</v>
      </c>
      <c r="M273" s="14">
        <v>95920.871275323443</v>
      </c>
      <c r="N273" s="14">
        <v>80194.017616009864</v>
      </c>
      <c r="O273" s="14">
        <v>73788.458192639737</v>
      </c>
    </row>
    <row r="274" spans="1:15" x14ac:dyDescent="0.3">
      <c r="A274" s="3" t="str">
        <f>INDEX('R1. Scenario specifications'!$C$11:$C$49,MATCH($B274,'R1. Scenario specifications'!$A$11:$A$49,0))</f>
        <v>Current 1.75DS, 2020 start, 'Expect the Unexpected'</v>
      </c>
      <c r="B274" s="3" t="s">
        <v>32</v>
      </c>
      <c r="C274" s="3" t="s">
        <v>263</v>
      </c>
      <c r="D274" s="3" t="s">
        <v>256</v>
      </c>
      <c r="E274" s="14">
        <v>10361.182910638019</v>
      </c>
      <c r="F274" s="14">
        <v>10438.652617147358</v>
      </c>
      <c r="G274" s="14">
        <v>14734.740994143709</v>
      </c>
      <c r="H274" s="14">
        <v>17812.023045098293</v>
      </c>
      <c r="I274" s="14">
        <v>21860.241221484794</v>
      </c>
      <c r="J274" s="14">
        <v>25435.876568493761</v>
      </c>
      <c r="K274" s="14">
        <v>26852.371666234798</v>
      </c>
      <c r="L274" s="14">
        <v>29420.800670488898</v>
      </c>
      <c r="M274" s="14">
        <v>33762.851946734532</v>
      </c>
      <c r="N274" s="14">
        <v>36874.548309294041</v>
      </c>
      <c r="O274" s="14">
        <v>38191.597523056538</v>
      </c>
    </row>
    <row r="275" spans="1:15" x14ac:dyDescent="0.3">
      <c r="A275" s="3" t="str">
        <f>INDEX('R1. Scenario specifications'!$C$11:$C$49,MATCH($B275,'R1. Scenario specifications'!$A$11:$A$49,0))</f>
        <v>Current 1.75DS, 2020 start, 'Expect the Unexpected'</v>
      </c>
      <c r="B275" s="3" t="s">
        <v>32</v>
      </c>
      <c r="C275" s="3" t="s">
        <v>264</v>
      </c>
      <c r="D275" s="3" t="s">
        <v>257</v>
      </c>
      <c r="E275" s="14">
        <v>9499.4101148835834</v>
      </c>
      <c r="F275" s="14">
        <v>9854.7685931259057</v>
      </c>
      <c r="G275" s="14">
        <v>13753.197500000002</v>
      </c>
      <c r="H275" s="14">
        <v>14514.167854150608</v>
      </c>
      <c r="I275" s="14">
        <v>17132.08644893012</v>
      </c>
      <c r="J275" s="14">
        <v>24552.996119163538</v>
      </c>
      <c r="K275" s="14">
        <v>29337.793560134902</v>
      </c>
      <c r="L275" s="14">
        <v>33225.799599336147</v>
      </c>
      <c r="M275" s="14">
        <v>36349.660635270811</v>
      </c>
      <c r="N275" s="14">
        <v>38453.58</v>
      </c>
      <c r="O275" s="14">
        <v>38703.086392954072</v>
      </c>
    </row>
    <row r="276" spans="1:15" x14ac:dyDescent="0.3">
      <c r="A276" s="3" t="str">
        <f>INDEX('R1. Scenario specifications'!$C$11:$C$49,MATCH($B276,'R1. Scenario specifications'!$A$11:$A$49,0))</f>
        <v>Current 1.75DS, 2020 start, 'Expect the Unexpected'</v>
      </c>
      <c r="B276" s="3" t="s">
        <v>32</v>
      </c>
      <c r="C276" s="3" t="s">
        <v>62</v>
      </c>
      <c r="D276" s="3" t="s">
        <v>266</v>
      </c>
      <c r="E276" s="14">
        <v>152832.4479725429</v>
      </c>
      <c r="F276" s="14">
        <v>158538.7874200783</v>
      </c>
      <c r="G276" s="14">
        <v>170699.74489631387</v>
      </c>
      <c r="H276" s="14">
        <v>169562.31890813055</v>
      </c>
      <c r="I276" s="14">
        <v>161193.81815585829</v>
      </c>
      <c r="J276" s="14">
        <v>151112.05138907253</v>
      </c>
      <c r="K276" s="14">
        <v>150582.15992195604</v>
      </c>
      <c r="L276" s="14">
        <v>154704.69336430359</v>
      </c>
      <c r="M276" s="14">
        <v>152043.08820222548</v>
      </c>
      <c r="N276" s="14">
        <v>145146.72618056933</v>
      </c>
      <c r="O276" s="14">
        <v>133194.94737279008</v>
      </c>
    </row>
    <row r="277" spans="1:15" x14ac:dyDescent="0.3">
      <c r="A277" s="3" t="str">
        <f>INDEX('R1. Scenario specifications'!$C$11:$C$49,MATCH($B277,'R1. Scenario specifications'!$A$11:$A$49,0))</f>
        <v>Current 1.75DS, 2020 start, 'Expect the Unexpected'</v>
      </c>
      <c r="B277" s="3" t="s">
        <v>32</v>
      </c>
      <c r="C277" s="3" t="s">
        <v>66</v>
      </c>
      <c r="D277" s="3" t="s">
        <v>258</v>
      </c>
      <c r="E277" s="14">
        <v>202.7012537766515</v>
      </c>
      <c r="F277" s="14">
        <v>194.90848865877462</v>
      </c>
      <c r="G277" s="14">
        <v>2771.4154518439864</v>
      </c>
      <c r="H277" s="14">
        <v>4289.802543453764</v>
      </c>
      <c r="I277" s="14">
        <v>5758.5485986333215</v>
      </c>
      <c r="J277" s="14">
        <v>8300.0638732088046</v>
      </c>
      <c r="K277" s="14">
        <v>13489.100082937392</v>
      </c>
      <c r="L277" s="14">
        <v>15414.816562855436</v>
      </c>
      <c r="M277" s="14">
        <v>21529.69938436423</v>
      </c>
      <c r="N277" s="14">
        <v>25534.926167626578</v>
      </c>
      <c r="O277" s="14">
        <v>27351.283926922519</v>
      </c>
    </row>
    <row r="278" spans="1:15" x14ac:dyDescent="0.3">
      <c r="A278" s="3" t="str">
        <f>INDEX('R1. Scenario specifications'!$C$11:$C$49,MATCH($B278,'R1. Scenario specifications'!$A$11:$A$49,0))</f>
        <v>Current 1.75DS, 2020 start, 'Expect the Unexpected'</v>
      </c>
      <c r="B278" s="3" t="s">
        <v>32</v>
      </c>
      <c r="C278" s="3" t="s">
        <v>70</v>
      </c>
      <c r="D278" s="3" t="s">
        <v>259</v>
      </c>
      <c r="E278" s="14">
        <v>67.937052631788802</v>
      </c>
      <c r="F278" s="14">
        <v>458.66984800047192</v>
      </c>
      <c r="G278" s="14">
        <v>917.48161125092997</v>
      </c>
      <c r="H278" s="14">
        <v>4272.9290423621815</v>
      </c>
      <c r="I278" s="14">
        <v>15825.196110255392</v>
      </c>
      <c r="J278" s="14">
        <v>25600.1453939479</v>
      </c>
      <c r="K278" s="14">
        <v>34398.423682521425</v>
      </c>
      <c r="L278" s="14">
        <v>53529.83919986472</v>
      </c>
      <c r="M278" s="14">
        <v>89724.994996271256</v>
      </c>
      <c r="N278" s="14">
        <v>112168.05107651687</v>
      </c>
      <c r="O278" s="14">
        <v>122366.75250543011</v>
      </c>
    </row>
    <row r="279" spans="1:15" x14ac:dyDescent="0.3">
      <c r="A279" s="3" t="str">
        <f>INDEX('R1. Scenario specifications'!$C$11:$C$49,MATCH($B279,'R1. Scenario specifications'!$A$11:$A$49,0))</f>
        <v>Current 1.75DS, 2020 start, 'Expect the Unexpected'</v>
      </c>
      <c r="B279" s="3" t="s">
        <v>32</v>
      </c>
      <c r="C279" s="3" t="s">
        <v>71</v>
      </c>
      <c r="D279" s="3" t="s">
        <v>259</v>
      </c>
      <c r="E279" s="14">
        <v>55.461114646679903</v>
      </c>
      <c r="F279" s="14">
        <v>60.524118034134894</v>
      </c>
      <c r="G279" s="14">
        <v>64.687762917592892</v>
      </c>
      <c r="H279" s="14">
        <v>64.716528064517092</v>
      </c>
      <c r="I279" s="14">
        <v>66.388572763390997</v>
      </c>
      <c r="J279" s="14">
        <v>74.209667598880714</v>
      </c>
      <c r="K279" s="14">
        <v>77.86887963793059</v>
      </c>
      <c r="L279" s="14">
        <v>92.841434517489205</v>
      </c>
      <c r="M279" s="14">
        <v>167.55426820017775</v>
      </c>
      <c r="N279" s="14">
        <v>513.83981609799537</v>
      </c>
      <c r="O279" s="14">
        <v>513.81957757986424</v>
      </c>
    </row>
    <row r="280" spans="1:15" x14ac:dyDescent="0.3">
      <c r="A280" s="3" t="str">
        <f>INDEX('R1. Scenario specifications'!$C$11:$C$49,MATCH($B280,'R1. Scenario specifications'!$A$11:$A$49,0))</f>
        <v>Current 1.75DS, 2020 start, 'Expect the Unexpected'</v>
      </c>
      <c r="B280" s="3" t="s">
        <v>32</v>
      </c>
      <c r="C280" s="3" t="s">
        <v>75</v>
      </c>
      <c r="D280" s="3" t="s">
        <v>258</v>
      </c>
      <c r="E280" s="14">
        <v>1.963099940637433</v>
      </c>
      <c r="F280" s="14">
        <v>1.7858497922310126</v>
      </c>
      <c r="G280" s="14">
        <v>1.5022495547807513</v>
      </c>
      <c r="H280" s="14">
        <v>1.0014997031871682</v>
      </c>
      <c r="I280" s="14">
        <v>0.50074985159358421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</row>
    <row r="281" spans="1:15" x14ac:dyDescent="0.3">
      <c r="A281" s="3" t="str">
        <f>INDEX('R1. Scenario specifications'!$C$11:$C$49,MATCH($B281,'R1. Scenario specifications'!$A$11:$A$49,0))</f>
        <v>Current 1.75DS, 2020 start, 'Expect the Unexpected'</v>
      </c>
      <c r="B281" s="3" t="s">
        <v>32</v>
      </c>
      <c r="C281" s="3" t="s">
        <v>72</v>
      </c>
      <c r="D281" s="3" t="s">
        <v>260</v>
      </c>
      <c r="E281" s="14">
        <v>1517.4635089937533</v>
      </c>
      <c r="F281" s="14">
        <v>1704.9418897085425</v>
      </c>
      <c r="G281" s="14">
        <v>2685.5545190640855</v>
      </c>
      <c r="H281" s="14">
        <v>12230.817081009372</v>
      </c>
      <c r="I281" s="14">
        <v>27450.538961751263</v>
      </c>
      <c r="J281" s="14">
        <v>35889.905723426833</v>
      </c>
      <c r="K281" s="14">
        <v>51297.188060637847</v>
      </c>
      <c r="L281" s="14">
        <v>77167.3279409838</v>
      </c>
      <c r="M281" s="14">
        <v>125979.65084612844</v>
      </c>
      <c r="N281" s="14">
        <v>171029.47456632816</v>
      </c>
      <c r="O281" s="14">
        <v>204915.61713400381</v>
      </c>
    </row>
    <row r="282" spans="1:15" x14ac:dyDescent="0.3">
      <c r="A282" s="3" t="str">
        <f>INDEX('R1. Scenario specifications'!$C$11:$C$49,MATCH($B282,'R1. Scenario specifications'!$A$11:$A$49,0))</f>
        <v>Current 1.75DS, 2030 start, 'Expect the Unexpected'</v>
      </c>
      <c r="B282" s="3" t="s">
        <v>33</v>
      </c>
      <c r="C282" s="3" t="s">
        <v>262</v>
      </c>
      <c r="D282" s="3" t="s">
        <v>253</v>
      </c>
      <c r="E282" s="14">
        <v>49803.376306806284</v>
      </c>
      <c r="F282" s="14">
        <v>54246.265938380871</v>
      </c>
      <c r="G282" s="14">
        <v>71262.17128058261</v>
      </c>
      <c r="H282" s="14">
        <v>95987.494917697361</v>
      </c>
      <c r="I282" s="14">
        <v>134167.96076140917</v>
      </c>
      <c r="J282" s="14">
        <v>169759.94537136634</v>
      </c>
      <c r="K282" s="14">
        <v>238001.61610260615</v>
      </c>
      <c r="L282" s="14">
        <v>262704.63126014278</v>
      </c>
      <c r="M282" s="14">
        <v>291904.65682121803</v>
      </c>
      <c r="N282" s="14">
        <v>310987.43618390593</v>
      </c>
      <c r="O282" s="14">
        <v>327769.11716496316</v>
      </c>
    </row>
    <row r="283" spans="1:15" x14ac:dyDescent="0.3">
      <c r="A283" s="3" t="str">
        <f>INDEX('R1. Scenario specifications'!$C$11:$C$49,MATCH($B283,'R1. Scenario specifications'!$A$11:$A$49,0))</f>
        <v>Current 1.75DS, 2030 start, 'Expect the Unexpected'</v>
      </c>
      <c r="B283" s="3" t="s">
        <v>33</v>
      </c>
      <c r="C283" s="3" t="s">
        <v>60</v>
      </c>
      <c r="D283" s="3" t="s">
        <v>254</v>
      </c>
      <c r="E283" s="14">
        <v>132862.88014752162</v>
      </c>
      <c r="F283" s="14">
        <v>167772.98687500271</v>
      </c>
      <c r="G283" s="14">
        <v>133988.90917691623</v>
      </c>
      <c r="H283" s="14">
        <v>141587.52010422843</v>
      </c>
      <c r="I283" s="14">
        <v>60247.21510125295</v>
      </c>
      <c r="J283" s="14">
        <v>64624.319165573841</v>
      </c>
      <c r="K283" s="14">
        <v>68000.336733688353</v>
      </c>
      <c r="L283" s="14">
        <v>90750.593419912504</v>
      </c>
      <c r="M283" s="14">
        <v>93534.561765536957</v>
      </c>
      <c r="N283" s="14">
        <v>89253.847895735933</v>
      </c>
      <c r="O283" s="14">
        <v>74169.200414294857</v>
      </c>
    </row>
    <row r="284" spans="1:15" x14ac:dyDescent="0.3">
      <c r="A284" s="3" t="str">
        <f>INDEX('R1. Scenario specifications'!$C$11:$C$49,MATCH($B284,'R1. Scenario specifications'!$A$11:$A$49,0))</f>
        <v>Current 1.75DS, 2030 start, 'Expect the Unexpected'</v>
      </c>
      <c r="B284" s="3" t="s">
        <v>33</v>
      </c>
      <c r="C284" s="3" t="s">
        <v>61</v>
      </c>
      <c r="D284" s="3" t="s">
        <v>255</v>
      </c>
      <c r="E284" s="14">
        <v>113361.40893082572</v>
      </c>
      <c r="F284" s="14">
        <v>125068.22780197491</v>
      </c>
      <c r="G284" s="14">
        <v>164552.1853192726</v>
      </c>
      <c r="H284" s="14">
        <v>176766.93010542684</v>
      </c>
      <c r="I284" s="14">
        <v>195742.44360980851</v>
      </c>
      <c r="J284" s="14">
        <v>147385.47978839529</v>
      </c>
      <c r="K284" s="14">
        <v>106227.22782878694</v>
      </c>
      <c r="L284" s="14">
        <v>128991.37276283187</v>
      </c>
      <c r="M284" s="14">
        <v>104438.32270764749</v>
      </c>
      <c r="N284" s="14">
        <v>81436.162508538531</v>
      </c>
      <c r="O284" s="14">
        <v>74223.514221891382</v>
      </c>
    </row>
    <row r="285" spans="1:15" x14ac:dyDescent="0.3">
      <c r="A285" s="3" t="str">
        <f>INDEX('R1. Scenario specifications'!$C$11:$C$49,MATCH($B285,'R1. Scenario specifications'!$A$11:$A$49,0))</f>
        <v>Current 1.75DS, 2030 start, 'Expect the Unexpected'</v>
      </c>
      <c r="B285" s="3" t="s">
        <v>33</v>
      </c>
      <c r="C285" s="3" t="s">
        <v>263</v>
      </c>
      <c r="D285" s="3" t="s">
        <v>256</v>
      </c>
      <c r="E285" s="14">
        <v>10361.182910638019</v>
      </c>
      <c r="F285" s="14">
        <v>10438.652617147358</v>
      </c>
      <c r="G285" s="14">
        <v>14734.740994143709</v>
      </c>
      <c r="H285" s="14">
        <v>17241.713076375538</v>
      </c>
      <c r="I285" s="14">
        <v>19906.466304834823</v>
      </c>
      <c r="J285" s="14">
        <v>27586.463990941778</v>
      </c>
      <c r="K285" s="14">
        <v>31343.028232991401</v>
      </c>
      <c r="L285" s="14">
        <v>32365.677411330435</v>
      </c>
      <c r="M285" s="14">
        <v>34738.650869063997</v>
      </c>
      <c r="N285" s="14">
        <v>36540.473809789088</v>
      </c>
      <c r="O285" s="14">
        <v>37484.711128039482</v>
      </c>
    </row>
    <row r="286" spans="1:15" x14ac:dyDescent="0.3">
      <c r="A286" s="3" t="str">
        <f>INDEX('R1. Scenario specifications'!$C$11:$C$49,MATCH($B286,'R1. Scenario specifications'!$A$11:$A$49,0))</f>
        <v>Current 1.75DS, 2030 start, 'Expect the Unexpected'</v>
      </c>
      <c r="B286" s="3" t="s">
        <v>33</v>
      </c>
      <c r="C286" s="3" t="s">
        <v>264</v>
      </c>
      <c r="D286" s="3" t="s">
        <v>257</v>
      </c>
      <c r="E286" s="14">
        <v>9499.4101148835834</v>
      </c>
      <c r="F286" s="14">
        <v>9854.7685931259057</v>
      </c>
      <c r="G286" s="14">
        <v>13753.197500000002</v>
      </c>
      <c r="H286" s="14">
        <v>14514.167854150608</v>
      </c>
      <c r="I286" s="14">
        <v>15191.631806438925</v>
      </c>
      <c r="J286" s="14">
        <v>24925.344846272601</v>
      </c>
      <c r="K286" s="14">
        <v>29553.5415551074</v>
      </c>
      <c r="L286" s="14">
        <v>31659.805255019251</v>
      </c>
      <c r="M286" s="14">
        <v>36424.770204721492</v>
      </c>
      <c r="N286" s="14">
        <v>38453.58</v>
      </c>
      <c r="O286" s="14">
        <v>38730.39468277806</v>
      </c>
    </row>
    <row r="287" spans="1:15" x14ac:dyDescent="0.3">
      <c r="A287" s="3" t="str">
        <f>INDEX('R1. Scenario specifications'!$C$11:$C$49,MATCH($B287,'R1. Scenario specifications'!$A$11:$A$49,0))</f>
        <v>Current 1.75DS, 2030 start, 'Expect the Unexpected'</v>
      </c>
      <c r="B287" s="3" t="s">
        <v>33</v>
      </c>
      <c r="C287" s="3" t="s">
        <v>62</v>
      </c>
      <c r="D287" s="3" t="s">
        <v>266</v>
      </c>
      <c r="E287" s="14">
        <v>152832.4479725429</v>
      </c>
      <c r="F287" s="14">
        <v>158538.7874200783</v>
      </c>
      <c r="G287" s="14">
        <v>170699.74489631387</v>
      </c>
      <c r="H287" s="14">
        <v>176541.28948572898</v>
      </c>
      <c r="I287" s="14">
        <v>164717.56805319959</v>
      </c>
      <c r="J287" s="14">
        <v>157577.14433588501</v>
      </c>
      <c r="K287" s="14">
        <v>149340.23832723091</v>
      </c>
      <c r="L287" s="14">
        <v>155109.76686199737</v>
      </c>
      <c r="M287" s="14">
        <v>152897.29192046201</v>
      </c>
      <c r="N287" s="14">
        <v>146944.91928639435</v>
      </c>
      <c r="O287" s="14">
        <v>134356.61597092665</v>
      </c>
    </row>
    <row r="288" spans="1:15" x14ac:dyDescent="0.3">
      <c r="A288" s="3" t="str">
        <f>INDEX('R1. Scenario specifications'!$C$11:$C$49,MATCH($B288,'R1. Scenario specifications'!$A$11:$A$49,0))</f>
        <v>Current 1.75DS, 2030 start, 'Expect the Unexpected'</v>
      </c>
      <c r="B288" s="3" t="s">
        <v>33</v>
      </c>
      <c r="C288" s="3" t="s">
        <v>66</v>
      </c>
      <c r="D288" s="3" t="s">
        <v>258</v>
      </c>
      <c r="E288" s="14">
        <v>202.7012537766515</v>
      </c>
      <c r="F288" s="14">
        <v>194.90848865877462</v>
      </c>
      <c r="G288" s="14">
        <v>2771.4154518439864</v>
      </c>
      <c r="H288" s="14">
        <v>4278.9486538824649</v>
      </c>
      <c r="I288" s="14">
        <v>6309.6587084566008</v>
      </c>
      <c r="J288" s="14">
        <v>11996.890419244633</v>
      </c>
      <c r="K288" s="14">
        <v>20395.562339579988</v>
      </c>
      <c r="L288" s="14">
        <v>20377.129886517399</v>
      </c>
      <c r="M288" s="14">
        <v>21417.504220602783</v>
      </c>
      <c r="N288" s="14">
        <v>25673.849338101318</v>
      </c>
      <c r="O288" s="14">
        <v>27381.865856579425</v>
      </c>
    </row>
    <row r="289" spans="1:15" x14ac:dyDescent="0.3">
      <c r="A289" s="3" t="str">
        <f>INDEX('R1. Scenario specifications'!$C$11:$C$49,MATCH($B289,'R1. Scenario specifications'!$A$11:$A$49,0))</f>
        <v>Current 1.75DS, 2030 start, 'Expect the Unexpected'</v>
      </c>
      <c r="B289" s="3" t="s">
        <v>33</v>
      </c>
      <c r="C289" s="3" t="s">
        <v>70</v>
      </c>
      <c r="D289" s="3" t="s">
        <v>259</v>
      </c>
      <c r="E289" s="14">
        <v>67.937052631788802</v>
      </c>
      <c r="F289" s="14">
        <v>458.66984800047192</v>
      </c>
      <c r="G289" s="14">
        <v>917.48161125092997</v>
      </c>
      <c r="H289" s="14">
        <v>2670.3548260954558</v>
      </c>
      <c r="I289" s="14">
        <v>11256.799579487264</v>
      </c>
      <c r="J289" s="14">
        <v>27104.68345653604</v>
      </c>
      <c r="K289" s="14">
        <v>45831.210014330856</v>
      </c>
      <c r="L289" s="14">
        <v>62210.033024836113</v>
      </c>
      <c r="M289" s="14">
        <v>86010.223324917606</v>
      </c>
      <c r="N289" s="14">
        <v>105068.35335536097</v>
      </c>
      <c r="O289" s="14">
        <v>117815.2014251145</v>
      </c>
    </row>
    <row r="290" spans="1:15" x14ac:dyDescent="0.3">
      <c r="A290" s="3" t="str">
        <f>INDEX('R1. Scenario specifications'!$C$11:$C$49,MATCH($B290,'R1. Scenario specifications'!$A$11:$A$49,0))</f>
        <v>Current 1.75DS, 2030 start, 'Expect the Unexpected'</v>
      </c>
      <c r="B290" s="3" t="s">
        <v>33</v>
      </c>
      <c r="C290" s="3" t="s">
        <v>71</v>
      </c>
      <c r="D290" s="3" t="s">
        <v>259</v>
      </c>
      <c r="E290" s="14">
        <v>55.461114646679903</v>
      </c>
      <c r="F290" s="14">
        <v>60.524118034134894</v>
      </c>
      <c r="G290" s="14">
        <v>64.687762917592892</v>
      </c>
      <c r="H290" s="14">
        <v>64.713826068531574</v>
      </c>
      <c r="I290" s="14">
        <v>66.201487811954081</v>
      </c>
      <c r="J290" s="14">
        <v>73.332525749779734</v>
      </c>
      <c r="K290" s="14">
        <v>107.49486175270624</v>
      </c>
      <c r="L290" s="14">
        <v>102.97913405832723</v>
      </c>
      <c r="M290" s="14">
        <v>110.71036648640461</v>
      </c>
      <c r="N290" s="14">
        <v>123.65588828645951</v>
      </c>
      <c r="O290" s="14">
        <v>123.63059728485308</v>
      </c>
    </row>
    <row r="291" spans="1:15" x14ac:dyDescent="0.3">
      <c r="A291" s="3" t="str">
        <f>INDEX('R1. Scenario specifications'!$C$11:$C$49,MATCH($B291,'R1. Scenario specifications'!$A$11:$A$49,0))</f>
        <v>Current 1.75DS, 2030 start, 'Expect the Unexpected'</v>
      </c>
      <c r="B291" s="3" t="s">
        <v>33</v>
      </c>
      <c r="C291" s="3" t="s">
        <v>75</v>
      </c>
      <c r="D291" s="3" t="s">
        <v>258</v>
      </c>
      <c r="E291" s="14">
        <v>1.963099940637433</v>
      </c>
      <c r="F291" s="14">
        <v>1.7858497922310126</v>
      </c>
      <c r="G291" s="14">
        <v>1.5022495547807513</v>
      </c>
      <c r="H291" s="14">
        <v>1.0014997031871682</v>
      </c>
      <c r="I291" s="14">
        <v>0.50074985159358421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</row>
    <row r="292" spans="1:15" x14ac:dyDescent="0.3">
      <c r="A292" s="3" t="str">
        <f>INDEX('R1. Scenario specifications'!$C$11:$C$49,MATCH($B292,'R1. Scenario specifications'!$A$11:$A$49,0))</f>
        <v>Current 1.75DS, 2030 start, 'Expect the Unexpected'</v>
      </c>
      <c r="B292" s="3" t="s">
        <v>33</v>
      </c>
      <c r="C292" s="3" t="s">
        <v>72</v>
      </c>
      <c r="D292" s="3" t="s">
        <v>260</v>
      </c>
      <c r="E292" s="14">
        <v>1517.4635089937533</v>
      </c>
      <c r="F292" s="14">
        <v>1704.9418897085425</v>
      </c>
      <c r="G292" s="14">
        <v>2685.5545190640855</v>
      </c>
      <c r="H292" s="14">
        <v>10882.32058635127</v>
      </c>
      <c r="I292" s="14">
        <v>27755.620114407986</v>
      </c>
      <c r="J292" s="14">
        <v>37655.530009808834</v>
      </c>
      <c r="K292" s="14">
        <v>60236.341434375943</v>
      </c>
      <c r="L292" s="14">
        <v>81789.600850981238</v>
      </c>
      <c r="M292" s="14">
        <v>120119.35287572876</v>
      </c>
      <c r="N292" s="14">
        <v>161378.84758500603</v>
      </c>
      <c r="O292" s="14">
        <v>198919.97482661688</v>
      </c>
    </row>
    <row r="293" spans="1:15" x14ac:dyDescent="0.3">
      <c r="A293" s="3" t="str">
        <f>INDEX('R1. Scenario specifications'!$C$11:$C$49,MATCH($B293,'R1. Scenario specifications'!$A$11:$A$49,0))</f>
        <v>Current 1.75DS, 2020 start, 'Expect the Unexpected' but with cheap renewables</v>
      </c>
      <c r="B293" s="3" t="s">
        <v>34</v>
      </c>
      <c r="C293" s="3" t="s">
        <v>262</v>
      </c>
      <c r="D293" s="3" t="s">
        <v>253</v>
      </c>
      <c r="E293" s="14">
        <v>49803.376306806284</v>
      </c>
      <c r="F293" s="14">
        <v>54246.265938380871</v>
      </c>
      <c r="G293" s="14">
        <v>71262.17128058261</v>
      </c>
      <c r="H293" s="14">
        <v>107153.21429271268</v>
      </c>
      <c r="I293" s="14">
        <v>131897.62225977005</v>
      </c>
      <c r="J293" s="14">
        <v>165166.74722743305</v>
      </c>
      <c r="K293" s="14">
        <v>210461.01752170597</v>
      </c>
      <c r="L293" s="14">
        <v>264114.87311444437</v>
      </c>
      <c r="M293" s="14">
        <v>294045.45176016004</v>
      </c>
      <c r="N293" s="14">
        <v>310979.02577231266</v>
      </c>
      <c r="O293" s="14">
        <v>327797.81224538921</v>
      </c>
    </row>
    <row r="294" spans="1:15" x14ac:dyDescent="0.3">
      <c r="A294" s="3" t="str">
        <f>INDEX('R1. Scenario specifications'!$C$11:$C$49,MATCH($B294,'R1. Scenario specifications'!$A$11:$A$49,0))</f>
        <v>Current 1.75DS, 2020 start, 'Expect the Unexpected' but with cheap renewables</v>
      </c>
      <c r="B294" s="3" t="s">
        <v>34</v>
      </c>
      <c r="C294" s="3" t="s">
        <v>60</v>
      </c>
      <c r="D294" s="3" t="s">
        <v>254</v>
      </c>
      <c r="E294" s="14">
        <v>132862.88014752162</v>
      </c>
      <c r="F294" s="14">
        <v>167772.98687500271</v>
      </c>
      <c r="G294" s="14">
        <v>133988.90917691623</v>
      </c>
      <c r="H294" s="14">
        <v>81250.444491582559</v>
      </c>
      <c r="I294" s="14">
        <v>52540.982659469795</v>
      </c>
      <c r="J294" s="14">
        <v>58467.014036236964</v>
      </c>
      <c r="K294" s="14">
        <v>86357.286062751853</v>
      </c>
      <c r="L294" s="14">
        <v>90595.130459169639</v>
      </c>
      <c r="M294" s="14">
        <v>93472.666389151927</v>
      </c>
      <c r="N294" s="14">
        <v>70583.14562137796</v>
      </c>
      <c r="O294" s="14">
        <v>65146.395352053012</v>
      </c>
    </row>
    <row r="295" spans="1:15" x14ac:dyDescent="0.3">
      <c r="A295" s="3" t="str">
        <f>INDEX('R1. Scenario specifications'!$C$11:$C$49,MATCH($B295,'R1. Scenario specifications'!$A$11:$A$49,0))</f>
        <v>Current 1.75DS, 2020 start, 'Expect the Unexpected' but with cheap renewables</v>
      </c>
      <c r="B295" s="3" t="s">
        <v>34</v>
      </c>
      <c r="C295" s="3" t="s">
        <v>61</v>
      </c>
      <c r="D295" s="3" t="s">
        <v>255</v>
      </c>
      <c r="E295" s="14">
        <v>113361.40893082572</v>
      </c>
      <c r="F295" s="14">
        <v>125068.22780197491</v>
      </c>
      <c r="G295" s="14">
        <v>164552.1853192726</v>
      </c>
      <c r="H295" s="14">
        <v>187182.92590254088</v>
      </c>
      <c r="I295" s="14">
        <v>190460.8235275367</v>
      </c>
      <c r="J295" s="14">
        <v>195925.60146641816</v>
      </c>
      <c r="K295" s="14">
        <v>166915.30944919333</v>
      </c>
      <c r="L295" s="14">
        <v>136006.30242893778</v>
      </c>
      <c r="M295" s="14">
        <v>93352.929485235873</v>
      </c>
      <c r="N295" s="14">
        <v>79732.020366020806</v>
      </c>
      <c r="O295" s="14">
        <v>71832.822377210061</v>
      </c>
    </row>
    <row r="296" spans="1:15" x14ac:dyDescent="0.3">
      <c r="A296" s="3" t="str">
        <f>INDEX('R1. Scenario specifications'!$C$11:$C$49,MATCH($B296,'R1. Scenario specifications'!$A$11:$A$49,0))</f>
        <v>Current 1.75DS, 2020 start, 'Expect the Unexpected' but with cheap renewables</v>
      </c>
      <c r="B296" s="3" t="s">
        <v>34</v>
      </c>
      <c r="C296" s="3" t="s">
        <v>263</v>
      </c>
      <c r="D296" s="3" t="s">
        <v>256</v>
      </c>
      <c r="E296" s="14">
        <v>10361.182910638019</v>
      </c>
      <c r="F296" s="14">
        <v>10438.652617147358</v>
      </c>
      <c r="G296" s="14">
        <v>14734.740994143709</v>
      </c>
      <c r="H296" s="14">
        <v>17432.350793634621</v>
      </c>
      <c r="I296" s="14">
        <v>21568.015096008152</v>
      </c>
      <c r="J296" s="14">
        <v>24696.947992723854</v>
      </c>
      <c r="K296" s="14">
        <v>25936.051254821457</v>
      </c>
      <c r="L296" s="14">
        <v>28506.951315681938</v>
      </c>
      <c r="M296" s="14">
        <v>33723.747950890393</v>
      </c>
      <c r="N296" s="14">
        <v>36444.215810346301</v>
      </c>
      <c r="O296" s="14">
        <v>38025.87183243694</v>
      </c>
    </row>
    <row r="297" spans="1:15" x14ac:dyDescent="0.3">
      <c r="A297" s="3" t="str">
        <f>INDEX('R1. Scenario specifications'!$C$11:$C$49,MATCH($B297,'R1. Scenario specifications'!$A$11:$A$49,0))</f>
        <v>Current 1.75DS, 2020 start, 'Expect the Unexpected' but with cheap renewables</v>
      </c>
      <c r="B297" s="3" t="s">
        <v>34</v>
      </c>
      <c r="C297" s="3" t="s">
        <v>264</v>
      </c>
      <c r="D297" s="3" t="s">
        <v>257</v>
      </c>
      <c r="E297" s="14">
        <v>9499.4101148835834</v>
      </c>
      <c r="F297" s="14">
        <v>9854.7685931259057</v>
      </c>
      <c r="G297" s="14">
        <v>13753.197500000002</v>
      </c>
      <c r="H297" s="14">
        <v>14514.167854150608</v>
      </c>
      <c r="I297" s="14">
        <v>16886.912052662501</v>
      </c>
      <c r="J297" s="14">
        <v>24510.119999999995</v>
      </c>
      <c r="K297" s="14">
        <v>28863.774052393859</v>
      </c>
      <c r="L297" s="14">
        <v>33112.734520092432</v>
      </c>
      <c r="M297" s="14">
        <v>36368.22</v>
      </c>
      <c r="N297" s="14">
        <v>38453.58</v>
      </c>
      <c r="O297" s="14">
        <v>38567.968463010053</v>
      </c>
    </row>
    <row r="298" spans="1:15" x14ac:dyDescent="0.3">
      <c r="A298" s="3" t="str">
        <f>INDEX('R1. Scenario specifications'!$C$11:$C$49,MATCH($B298,'R1. Scenario specifications'!$A$11:$A$49,0))</f>
        <v>Current 1.75DS, 2020 start, 'Expect the Unexpected' but with cheap renewables</v>
      </c>
      <c r="B298" s="3" t="s">
        <v>34</v>
      </c>
      <c r="C298" s="3" t="s">
        <v>62</v>
      </c>
      <c r="D298" s="3" t="s">
        <v>266</v>
      </c>
      <c r="E298" s="14">
        <v>152832.4479725429</v>
      </c>
      <c r="F298" s="14">
        <v>158538.7874200783</v>
      </c>
      <c r="G298" s="14">
        <v>170699.74489631387</v>
      </c>
      <c r="H298" s="14">
        <v>169685.76368191044</v>
      </c>
      <c r="I298" s="14">
        <v>163464.99500246666</v>
      </c>
      <c r="J298" s="14">
        <v>152458.37540524878</v>
      </c>
      <c r="K298" s="14">
        <v>150595.77254507944</v>
      </c>
      <c r="L298" s="14">
        <v>154929.07983919478</v>
      </c>
      <c r="M298" s="14">
        <v>151954.17921764884</v>
      </c>
      <c r="N298" s="14">
        <v>146033.55266715522</v>
      </c>
      <c r="O298" s="14">
        <v>133506.31110034417</v>
      </c>
    </row>
    <row r="299" spans="1:15" x14ac:dyDescent="0.3">
      <c r="A299" s="3" t="str">
        <f>INDEX('R1. Scenario specifications'!$C$11:$C$49,MATCH($B299,'R1. Scenario specifications'!$A$11:$A$49,0))</f>
        <v>Current 1.75DS, 2020 start, 'Expect the Unexpected' but with cheap renewables</v>
      </c>
      <c r="B299" s="3" t="s">
        <v>34</v>
      </c>
      <c r="C299" s="3" t="s">
        <v>66</v>
      </c>
      <c r="D299" s="3" t="s">
        <v>258</v>
      </c>
      <c r="E299" s="14">
        <v>202.7012537766515</v>
      </c>
      <c r="F299" s="14">
        <v>194.90848865877462</v>
      </c>
      <c r="G299" s="14">
        <v>2771.4154518439864</v>
      </c>
      <c r="H299" s="14">
        <v>4289.802543453764</v>
      </c>
      <c r="I299" s="14">
        <v>5832.3492707625846</v>
      </c>
      <c r="J299" s="14">
        <v>8559.1823442107507</v>
      </c>
      <c r="K299" s="14">
        <v>12372.88036269517</v>
      </c>
      <c r="L299" s="14">
        <v>14302.157197917662</v>
      </c>
      <c r="M299" s="14">
        <v>21044.604720231975</v>
      </c>
      <c r="N299" s="14">
        <v>24800.123806038344</v>
      </c>
      <c r="O299" s="14">
        <v>24550.240680350129</v>
      </c>
    </row>
    <row r="300" spans="1:15" x14ac:dyDescent="0.3">
      <c r="A300" s="3" t="str">
        <f>INDEX('R1. Scenario specifications'!$C$11:$C$49,MATCH($B300,'R1. Scenario specifications'!$A$11:$A$49,0))</f>
        <v>Current 1.75DS, 2020 start, 'Expect the Unexpected' but with cheap renewables</v>
      </c>
      <c r="B300" s="3" t="s">
        <v>34</v>
      </c>
      <c r="C300" s="3" t="s">
        <v>70</v>
      </c>
      <c r="D300" s="3" t="s">
        <v>259</v>
      </c>
      <c r="E300" s="14">
        <v>67.937052631788802</v>
      </c>
      <c r="F300" s="14">
        <v>458.66984800047192</v>
      </c>
      <c r="G300" s="14">
        <v>917.48161125092997</v>
      </c>
      <c r="H300" s="14">
        <v>5670.9143759803937</v>
      </c>
      <c r="I300" s="14">
        <v>19186.782705162535</v>
      </c>
      <c r="J300" s="14">
        <v>29861.259268250033</v>
      </c>
      <c r="K300" s="14">
        <v>39375.540586923504</v>
      </c>
      <c r="L300" s="14">
        <v>57880.648151006331</v>
      </c>
      <c r="M300" s="14">
        <v>91829.043693041793</v>
      </c>
      <c r="N300" s="14">
        <v>113634.02444291061</v>
      </c>
      <c r="O300" s="14">
        <v>125652.94120385326</v>
      </c>
    </row>
    <row r="301" spans="1:15" x14ac:dyDescent="0.3">
      <c r="A301" s="3" t="str">
        <f>INDEX('R1. Scenario specifications'!$C$11:$C$49,MATCH($B301,'R1. Scenario specifications'!$A$11:$A$49,0))</f>
        <v>Current 1.75DS, 2020 start, 'Expect the Unexpected' but with cheap renewables</v>
      </c>
      <c r="B301" s="3" t="s">
        <v>34</v>
      </c>
      <c r="C301" s="3" t="s">
        <v>71</v>
      </c>
      <c r="D301" s="3" t="s">
        <v>259</v>
      </c>
      <c r="E301" s="14">
        <v>55.461114646679903</v>
      </c>
      <c r="F301" s="14">
        <v>60.524118034134894</v>
      </c>
      <c r="G301" s="14">
        <v>64.687762917592892</v>
      </c>
      <c r="H301" s="14">
        <v>64.711658906117094</v>
      </c>
      <c r="I301" s="14">
        <v>66.757957960495631</v>
      </c>
      <c r="J301" s="14">
        <v>79.325429010604665</v>
      </c>
      <c r="K301" s="14">
        <v>80.51018939516986</v>
      </c>
      <c r="L301" s="14">
        <v>747.25532821185266</v>
      </c>
      <c r="M301" s="14">
        <v>1336.7104032460795</v>
      </c>
      <c r="N301" s="14">
        <v>1336.6901647279483</v>
      </c>
      <c r="O301" s="14">
        <v>1336.669926209818</v>
      </c>
    </row>
    <row r="302" spans="1:15" x14ac:dyDescent="0.3">
      <c r="A302" s="3" t="str">
        <f>INDEX('R1. Scenario specifications'!$C$11:$C$49,MATCH($B302,'R1. Scenario specifications'!$A$11:$A$49,0))</f>
        <v>Current 1.75DS, 2020 start, 'Expect the Unexpected' but with cheap renewables</v>
      </c>
      <c r="B302" s="3" t="s">
        <v>34</v>
      </c>
      <c r="C302" s="3" t="s">
        <v>75</v>
      </c>
      <c r="D302" s="3" t="s">
        <v>258</v>
      </c>
      <c r="E302" s="14">
        <v>1.963099940637433</v>
      </c>
      <c r="F302" s="14">
        <v>1.7858497922310126</v>
      </c>
      <c r="G302" s="14">
        <v>1.5022495547807513</v>
      </c>
      <c r="H302" s="14">
        <v>1.0014997031871673</v>
      </c>
      <c r="I302" s="14">
        <v>0.50074985159358421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</row>
    <row r="303" spans="1:15" x14ac:dyDescent="0.3">
      <c r="A303" s="3" t="str">
        <f>INDEX('R1. Scenario specifications'!$C$11:$C$49,MATCH($B303,'R1. Scenario specifications'!$A$11:$A$49,0))</f>
        <v>Current 1.75DS, 2020 start, 'Expect the Unexpected' but with cheap renewables</v>
      </c>
      <c r="B303" s="3" t="s">
        <v>34</v>
      </c>
      <c r="C303" s="3" t="s">
        <v>72</v>
      </c>
      <c r="D303" s="3" t="s">
        <v>260</v>
      </c>
      <c r="E303" s="14">
        <v>1517.4635089937533</v>
      </c>
      <c r="F303" s="14">
        <v>1704.9418897085425</v>
      </c>
      <c r="G303" s="14">
        <v>2685.5545190640855</v>
      </c>
      <c r="H303" s="14">
        <v>15535.432273227558</v>
      </c>
      <c r="I303" s="14">
        <v>29131.190074896167</v>
      </c>
      <c r="J303" s="14">
        <v>37935.755694526139</v>
      </c>
      <c r="K303" s="14">
        <v>52639.391893701402</v>
      </c>
      <c r="L303" s="14">
        <v>78775.675517924319</v>
      </c>
      <c r="M303" s="14">
        <v>127704.05622812505</v>
      </c>
      <c r="N303" s="14">
        <v>171337.72141024336</v>
      </c>
      <c r="O303" s="14">
        <v>206089.51380056015</v>
      </c>
    </row>
    <row r="304" spans="1:15" x14ac:dyDescent="0.3">
      <c r="A304" s="3" t="str">
        <f>INDEX('R1. Scenario specifications'!$C$11:$C$49,MATCH($B304,'R1. Scenario specifications'!$A$11:$A$49,0))</f>
        <v>Current 1.75DS, 2030 start, 'Expect the Unexpected' but with cheap renewables</v>
      </c>
      <c r="B304" s="3" t="s">
        <v>35</v>
      </c>
      <c r="C304" s="3" t="s">
        <v>262</v>
      </c>
      <c r="D304" s="3" t="s">
        <v>253</v>
      </c>
      <c r="E304" s="14">
        <v>49803.376306806284</v>
      </c>
      <c r="F304" s="14">
        <v>54246.265938380871</v>
      </c>
      <c r="G304" s="14">
        <v>71262.17128058261</v>
      </c>
      <c r="H304" s="14">
        <v>95987.494917697361</v>
      </c>
      <c r="I304" s="14">
        <v>131608.34596492402</v>
      </c>
      <c r="J304" s="14">
        <v>166851.77606872545</v>
      </c>
      <c r="K304" s="14">
        <v>237216.59574479604</v>
      </c>
      <c r="L304" s="14">
        <v>263477.29822231916</v>
      </c>
      <c r="M304" s="14">
        <v>292001.44550788752</v>
      </c>
      <c r="N304" s="14">
        <v>310906.29256566404</v>
      </c>
      <c r="O304" s="14">
        <v>327774.89574659074</v>
      </c>
    </row>
    <row r="305" spans="1:15" x14ac:dyDescent="0.3">
      <c r="A305" s="3" t="str">
        <f>INDEX('R1. Scenario specifications'!$C$11:$C$49,MATCH($B305,'R1. Scenario specifications'!$A$11:$A$49,0))</f>
        <v>Current 1.75DS, 2030 start, 'Expect the Unexpected' but with cheap renewables</v>
      </c>
      <c r="B305" s="3" t="s">
        <v>35</v>
      </c>
      <c r="C305" s="3" t="s">
        <v>60</v>
      </c>
      <c r="D305" s="3" t="s">
        <v>254</v>
      </c>
      <c r="E305" s="14">
        <v>132862.88014752162</v>
      </c>
      <c r="F305" s="14">
        <v>167772.98687500271</v>
      </c>
      <c r="G305" s="14">
        <v>133988.90917691623</v>
      </c>
      <c r="H305" s="14">
        <v>141587.52010422843</v>
      </c>
      <c r="I305" s="14">
        <v>62217.671734750671</v>
      </c>
      <c r="J305" s="14">
        <v>64909.937676673704</v>
      </c>
      <c r="K305" s="14">
        <v>67464.792673451127</v>
      </c>
      <c r="L305" s="14">
        <v>89529.211955870807</v>
      </c>
      <c r="M305" s="14">
        <v>92444.045264837012</v>
      </c>
      <c r="N305" s="14">
        <v>87061.571007635022</v>
      </c>
      <c r="O305" s="14">
        <v>72947.682215819063</v>
      </c>
    </row>
    <row r="306" spans="1:15" x14ac:dyDescent="0.3">
      <c r="A306" s="3" t="str">
        <f>INDEX('R1. Scenario specifications'!$C$11:$C$49,MATCH($B306,'R1. Scenario specifications'!$A$11:$A$49,0))</f>
        <v>Current 1.75DS, 2030 start, 'Expect the Unexpected' but with cheap renewables</v>
      </c>
      <c r="B306" s="3" t="s">
        <v>35</v>
      </c>
      <c r="C306" s="3" t="s">
        <v>61</v>
      </c>
      <c r="D306" s="3" t="s">
        <v>255</v>
      </c>
      <c r="E306" s="14">
        <v>113361.40893082572</v>
      </c>
      <c r="F306" s="14">
        <v>125068.22780197491</v>
      </c>
      <c r="G306" s="14">
        <v>164552.1853192726</v>
      </c>
      <c r="H306" s="14">
        <v>176766.93010542684</v>
      </c>
      <c r="I306" s="14">
        <v>192970.63960558455</v>
      </c>
      <c r="J306" s="14">
        <v>145368.69880191912</v>
      </c>
      <c r="K306" s="14">
        <v>104929.52504126352</v>
      </c>
      <c r="L306" s="14">
        <v>128027.5799244652</v>
      </c>
      <c r="M306" s="14">
        <v>104148.78335994716</v>
      </c>
      <c r="N306" s="14">
        <v>81241.627007096336</v>
      </c>
      <c r="O306" s="14">
        <v>73200.365335305527</v>
      </c>
    </row>
    <row r="307" spans="1:15" x14ac:dyDescent="0.3">
      <c r="A307" s="3" t="str">
        <f>INDEX('R1. Scenario specifications'!$C$11:$C$49,MATCH($B307,'R1. Scenario specifications'!$A$11:$A$49,0))</f>
        <v>Current 1.75DS, 2030 start, 'Expect the Unexpected' but with cheap renewables</v>
      </c>
      <c r="B307" s="3" t="s">
        <v>35</v>
      </c>
      <c r="C307" s="3" t="s">
        <v>263</v>
      </c>
      <c r="D307" s="3" t="s">
        <v>256</v>
      </c>
      <c r="E307" s="14">
        <v>10361.182910638019</v>
      </c>
      <c r="F307" s="14">
        <v>10438.652617147358</v>
      </c>
      <c r="G307" s="14">
        <v>14734.740994143709</v>
      </c>
      <c r="H307" s="14">
        <v>17241.713076375538</v>
      </c>
      <c r="I307" s="14">
        <v>19845.274139961562</v>
      </c>
      <c r="J307" s="14">
        <v>26635.426308652055</v>
      </c>
      <c r="K307" s="14">
        <v>28305.530532084344</v>
      </c>
      <c r="L307" s="14">
        <v>30477.786541430378</v>
      </c>
      <c r="M307" s="14">
        <v>34174.229212738937</v>
      </c>
      <c r="N307" s="14">
        <v>36359.518960125497</v>
      </c>
      <c r="O307" s="14">
        <v>36942.381228066974</v>
      </c>
    </row>
    <row r="308" spans="1:15" x14ac:dyDescent="0.3">
      <c r="A308" s="3" t="str">
        <f>INDEX('R1. Scenario specifications'!$C$11:$C$49,MATCH($B308,'R1. Scenario specifications'!$A$11:$A$49,0))</f>
        <v>Current 1.75DS, 2030 start, 'Expect the Unexpected' but with cheap renewables</v>
      </c>
      <c r="B308" s="3" t="s">
        <v>35</v>
      </c>
      <c r="C308" s="3" t="s">
        <v>264</v>
      </c>
      <c r="D308" s="3" t="s">
        <v>257</v>
      </c>
      <c r="E308" s="14">
        <v>9499.4101148835834</v>
      </c>
      <c r="F308" s="14">
        <v>9854.7685931259057</v>
      </c>
      <c r="G308" s="14">
        <v>13753.197500000002</v>
      </c>
      <c r="H308" s="14">
        <v>14514.167854150608</v>
      </c>
      <c r="I308" s="14">
        <v>15191.631806438925</v>
      </c>
      <c r="J308" s="14">
        <v>24925.344846272601</v>
      </c>
      <c r="K308" s="14">
        <v>29978.901099070365</v>
      </c>
      <c r="L308" s="14">
        <v>32059.540117161763</v>
      </c>
      <c r="M308" s="14">
        <v>35499.888650224551</v>
      </c>
      <c r="N308" s="14">
        <v>38453.58</v>
      </c>
      <c r="O308" s="14">
        <v>38583.143604023338</v>
      </c>
    </row>
    <row r="309" spans="1:15" x14ac:dyDescent="0.3">
      <c r="A309" s="3" t="str">
        <f>INDEX('R1. Scenario specifications'!$C$11:$C$49,MATCH($B309,'R1. Scenario specifications'!$A$11:$A$49,0))</f>
        <v>Current 1.75DS, 2030 start, 'Expect the Unexpected' but with cheap renewables</v>
      </c>
      <c r="B309" s="3" t="s">
        <v>35</v>
      </c>
      <c r="C309" s="3" t="s">
        <v>62</v>
      </c>
      <c r="D309" s="3" t="s">
        <v>266</v>
      </c>
      <c r="E309" s="14">
        <v>152832.4479725429</v>
      </c>
      <c r="F309" s="14">
        <v>158538.7874200783</v>
      </c>
      <c r="G309" s="14">
        <v>170699.74489631387</v>
      </c>
      <c r="H309" s="14">
        <v>176541.28948572898</v>
      </c>
      <c r="I309" s="14">
        <v>164024.02956617172</v>
      </c>
      <c r="J309" s="14">
        <v>158365.05647349395</v>
      </c>
      <c r="K309" s="14">
        <v>149699.03134159307</v>
      </c>
      <c r="L309" s="14">
        <v>155116.01202483612</v>
      </c>
      <c r="M309" s="14">
        <v>152812.62901562671</v>
      </c>
      <c r="N309" s="14">
        <v>147313.93703050743</v>
      </c>
      <c r="O309" s="14">
        <v>134591.54629396272</v>
      </c>
    </row>
    <row r="310" spans="1:15" x14ac:dyDescent="0.3">
      <c r="A310" s="3" t="str">
        <f>INDEX('R1. Scenario specifications'!$C$11:$C$49,MATCH($B310,'R1. Scenario specifications'!$A$11:$A$49,0))</f>
        <v>Current 1.75DS, 2030 start, 'Expect the Unexpected' but with cheap renewables</v>
      </c>
      <c r="B310" s="3" t="s">
        <v>35</v>
      </c>
      <c r="C310" s="3" t="s">
        <v>66</v>
      </c>
      <c r="D310" s="3" t="s">
        <v>258</v>
      </c>
      <c r="E310" s="14">
        <v>202.7012537766515</v>
      </c>
      <c r="F310" s="14">
        <v>194.90848865877462</v>
      </c>
      <c r="G310" s="14">
        <v>2771.4154518439864</v>
      </c>
      <c r="H310" s="14">
        <v>4278.9486538824649</v>
      </c>
      <c r="I310" s="14">
        <v>6309.6587084566008</v>
      </c>
      <c r="J310" s="14">
        <v>11906.635376283342</v>
      </c>
      <c r="K310" s="14">
        <v>19850.402492290479</v>
      </c>
      <c r="L310" s="14">
        <v>19794.002347832356</v>
      </c>
      <c r="M310" s="14">
        <v>20634.161873455978</v>
      </c>
      <c r="N310" s="14">
        <v>23799.566406358426</v>
      </c>
      <c r="O310" s="14">
        <v>24846.063811316642</v>
      </c>
    </row>
    <row r="311" spans="1:15" x14ac:dyDescent="0.3">
      <c r="A311" s="3" t="str">
        <f>INDEX('R1. Scenario specifications'!$C$11:$C$49,MATCH($B311,'R1. Scenario specifications'!$A$11:$A$49,0))</f>
        <v>Current 1.75DS, 2030 start, 'Expect the Unexpected' but with cheap renewables</v>
      </c>
      <c r="B311" s="3" t="s">
        <v>35</v>
      </c>
      <c r="C311" s="3" t="s">
        <v>70</v>
      </c>
      <c r="D311" s="3" t="s">
        <v>259</v>
      </c>
      <c r="E311" s="14">
        <v>67.937052631788802</v>
      </c>
      <c r="F311" s="14">
        <v>458.66984800047192</v>
      </c>
      <c r="G311" s="14">
        <v>917.48161125092997</v>
      </c>
      <c r="H311" s="14">
        <v>2670.3548260954558</v>
      </c>
      <c r="I311" s="14">
        <v>13522.893273489977</v>
      </c>
      <c r="J311" s="14">
        <v>31642.292527667407</v>
      </c>
      <c r="K311" s="14">
        <v>50273.859198123304</v>
      </c>
      <c r="L311" s="14">
        <v>64468.352086755913</v>
      </c>
      <c r="M311" s="14">
        <v>88926.390527393974</v>
      </c>
      <c r="N311" s="14">
        <v>107724.59311037425</v>
      </c>
      <c r="O311" s="14">
        <v>122149.94181254304</v>
      </c>
    </row>
    <row r="312" spans="1:15" x14ac:dyDescent="0.3">
      <c r="A312" s="3" t="str">
        <f>INDEX('R1. Scenario specifications'!$C$11:$C$49,MATCH($B312,'R1. Scenario specifications'!$A$11:$A$49,0))</f>
        <v>Current 1.75DS, 2030 start, 'Expect the Unexpected' but with cheap renewables</v>
      </c>
      <c r="B312" s="3" t="s">
        <v>35</v>
      </c>
      <c r="C312" s="3" t="s">
        <v>71</v>
      </c>
      <c r="D312" s="3" t="s">
        <v>259</v>
      </c>
      <c r="E312" s="14">
        <v>55.461114646679903</v>
      </c>
      <c r="F312" s="14">
        <v>60.524118034134894</v>
      </c>
      <c r="G312" s="14">
        <v>64.687762917592892</v>
      </c>
      <c r="H312" s="14">
        <v>64.713826068531574</v>
      </c>
      <c r="I312" s="14">
        <v>66.728649628657152</v>
      </c>
      <c r="J312" s="14">
        <v>79.173918016903457</v>
      </c>
      <c r="K312" s="14">
        <v>156.04656045219849</v>
      </c>
      <c r="L312" s="14">
        <v>376.52443429967047</v>
      </c>
      <c r="M312" s="14">
        <v>376.49914329806398</v>
      </c>
      <c r="N312" s="14">
        <v>376.47890477993286</v>
      </c>
      <c r="O312" s="14">
        <v>376.45866626180162</v>
      </c>
    </row>
    <row r="313" spans="1:15" x14ac:dyDescent="0.3">
      <c r="A313" s="3" t="str">
        <f>INDEX('R1. Scenario specifications'!$C$11:$C$49,MATCH($B313,'R1. Scenario specifications'!$A$11:$A$49,0))</f>
        <v>Current 1.75DS, 2030 start, 'Expect the Unexpected' but with cheap renewables</v>
      </c>
      <c r="B313" s="3" t="s">
        <v>35</v>
      </c>
      <c r="C313" s="3" t="s">
        <v>75</v>
      </c>
      <c r="D313" s="3" t="s">
        <v>258</v>
      </c>
      <c r="E313" s="14">
        <v>1.963099940637433</v>
      </c>
      <c r="F313" s="14">
        <v>1.7858497922310126</v>
      </c>
      <c r="G313" s="14">
        <v>1.5022495547807513</v>
      </c>
      <c r="H313" s="14">
        <v>1.0014997031871682</v>
      </c>
      <c r="I313" s="14">
        <v>0.50074985159358421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</row>
    <row r="314" spans="1:15" x14ac:dyDescent="0.3">
      <c r="A314" s="3" t="str">
        <f>INDEX('R1. Scenario specifications'!$C$11:$C$49,MATCH($B314,'R1. Scenario specifications'!$A$11:$A$49,0))</f>
        <v>Current 1.75DS, 2030 start, 'Expect the Unexpected' but with cheap renewables</v>
      </c>
      <c r="B314" s="3" t="s">
        <v>35</v>
      </c>
      <c r="C314" s="3" t="s">
        <v>72</v>
      </c>
      <c r="D314" s="3" t="s">
        <v>260</v>
      </c>
      <c r="E314" s="14">
        <v>1517.4635089937533</v>
      </c>
      <c r="F314" s="14">
        <v>1704.9418897085425</v>
      </c>
      <c r="G314" s="14">
        <v>2685.5545190640855</v>
      </c>
      <c r="H314" s="14">
        <v>10882.32058635127</v>
      </c>
      <c r="I314" s="14">
        <v>28918.502254344032</v>
      </c>
      <c r="J314" s="14">
        <v>39873.901223790948</v>
      </c>
      <c r="K314" s="14">
        <v>62317.293746342919</v>
      </c>
      <c r="L314" s="14">
        <v>83321.616253926011</v>
      </c>
      <c r="M314" s="14">
        <v>122212.54426314302</v>
      </c>
      <c r="N314" s="14">
        <v>162534.92440186991</v>
      </c>
      <c r="O314" s="14">
        <v>199939.6056521323</v>
      </c>
    </row>
    <row r="315" spans="1:15" x14ac:dyDescent="0.3">
      <c r="A315" s="3" t="str">
        <f>INDEX('R1. Scenario specifications'!$C$11:$C$49,MATCH($B315,'R1. Scenario specifications'!$A$11:$A$49,0))</f>
        <v>Current 1.75DS, 2020 start, 'Expect the Unexpected' but with cheap CCS</v>
      </c>
      <c r="B315" s="3" t="s">
        <v>36</v>
      </c>
      <c r="C315" s="3" t="s">
        <v>262</v>
      </c>
      <c r="D315" s="3" t="s">
        <v>253</v>
      </c>
      <c r="E315" s="14">
        <v>49803.376306806284</v>
      </c>
      <c r="F315" s="14">
        <v>54246.265938380871</v>
      </c>
      <c r="G315" s="14">
        <v>71262.17128058261</v>
      </c>
      <c r="H315" s="14">
        <v>110645.3805678722</v>
      </c>
      <c r="I315" s="14">
        <v>133407.5134669992</v>
      </c>
      <c r="J315" s="14">
        <v>168023.6623797628</v>
      </c>
      <c r="K315" s="14">
        <v>209867.56368411597</v>
      </c>
      <c r="L315" s="14">
        <v>261521.91651993024</v>
      </c>
      <c r="M315" s="14">
        <v>294154.62901156128</v>
      </c>
      <c r="N315" s="14">
        <v>310994.24100277427</v>
      </c>
      <c r="O315" s="14">
        <v>327798.67336024216</v>
      </c>
    </row>
    <row r="316" spans="1:15" x14ac:dyDescent="0.3">
      <c r="A316" s="3" t="str">
        <f>INDEX('R1. Scenario specifications'!$C$11:$C$49,MATCH($B316,'R1. Scenario specifications'!$A$11:$A$49,0))</f>
        <v>Current 1.75DS, 2020 start, 'Expect the Unexpected' but with cheap CCS</v>
      </c>
      <c r="B316" s="3" t="s">
        <v>36</v>
      </c>
      <c r="C316" s="3" t="s">
        <v>60</v>
      </c>
      <c r="D316" s="3" t="s">
        <v>254</v>
      </c>
      <c r="E316" s="14">
        <v>132862.88014752162</v>
      </c>
      <c r="F316" s="14">
        <v>167772.98687500271</v>
      </c>
      <c r="G316" s="14">
        <v>133988.90917691623</v>
      </c>
      <c r="H316" s="14">
        <v>78298.506735254326</v>
      </c>
      <c r="I316" s="14">
        <v>51683.664587800093</v>
      </c>
      <c r="J316" s="14">
        <v>59667.165752933965</v>
      </c>
      <c r="K316" s="14">
        <v>86302.355596614711</v>
      </c>
      <c r="L316" s="14">
        <v>91122.631763700978</v>
      </c>
      <c r="M316" s="14">
        <v>93552.01176115885</v>
      </c>
      <c r="N316" s="14">
        <v>72780.259980592877</v>
      </c>
      <c r="O316" s="14">
        <v>65052.164710389661</v>
      </c>
    </row>
    <row r="317" spans="1:15" x14ac:dyDescent="0.3">
      <c r="A317" s="3" t="str">
        <f>INDEX('R1. Scenario specifications'!$C$11:$C$49,MATCH($B317,'R1. Scenario specifications'!$A$11:$A$49,0))</f>
        <v>Current 1.75DS, 2020 start, 'Expect the Unexpected' but with cheap CCS</v>
      </c>
      <c r="B317" s="3" t="s">
        <v>36</v>
      </c>
      <c r="C317" s="3" t="s">
        <v>61</v>
      </c>
      <c r="D317" s="3" t="s">
        <v>255</v>
      </c>
      <c r="E317" s="14">
        <v>113361.40893082572</v>
      </c>
      <c r="F317" s="14">
        <v>125068.22780197491</v>
      </c>
      <c r="G317" s="14">
        <v>164552.1853192726</v>
      </c>
      <c r="H317" s="14">
        <v>192915.71703178453</v>
      </c>
      <c r="I317" s="14">
        <v>193798.76851100966</v>
      </c>
      <c r="J317" s="14">
        <v>197148.91761143677</v>
      </c>
      <c r="K317" s="14">
        <v>168179.60732245361</v>
      </c>
      <c r="L317" s="14">
        <v>137790.12539734654</v>
      </c>
      <c r="M317" s="14">
        <v>95920.871275454367</v>
      </c>
      <c r="N317" s="14">
        <v>80194.017616008772</v>
      </c>
      <c r="O317" s="14">
        <v>73788.45819250925</v>
      </c>
    </row>
    <row r="318" spans="1:15" x14ac:dyDescent="0.3">
      <c r="A318" s="3" t="str">
        <f>INDEX('R1. Scenario specifications'!$C$11:$C$49,MATCH($B318,'R1. Scenario specifications'!$A$11:$A$49,0))</f>
        <v>Current 1.75DS, 2020 start, 'Expect the Unexpected' but with cheap CCS</v>
      </c>
      <c r="B318" s="3" t="s">
        <v>36</v>
      </c>
      <c r="C318" s="3" t="s">
        <v>263</v>
      </c>
      <c r="D318" s="3" t="s">
        <v>256</v>
      </c>
      <c r="E318" s="14">
        <v>10361.182910638019</v>
      </c>
      <c r="F318" s="14">
        <v>10438.652617147358</v>
      </c>
      <c r="G318" s="14">
        <v>14734.740994143709</v>
      </c>
      <c r="H318" s="14">
        <v>17812.023044714093</v>
      </c>
      <c r="I318" s="14">
        <v>21860.241220609634</v>
      </c>
      <c r="J318" s="14">
        <v>25435.876567619154</v>
      </c>
      <c r="K318" s="14">
        <v>26852.371665360206</v>
      </c>
      <c r="L318" s="14">
        <v>29420.800669614338</v>
      </c>
      <c r="M318" s="14">
        <v>33762.851945861541</v>
      </c>
      <c r="N318" s="14">
        <v>36874.548308471582</v>
      </c>
      <c r="O318" s="14">
        <v>38191.597522225071</v>
      </c>
    </row>
    <row r="319" spans="1:15" x14ac:dyDescent="0.3">
      <c r="A319" s="3" t="str">
        <f>INDEX('R1. Scenario specifications'!$C$11:$C$49,MATCH($B319,'R1. Scenario specifications'!$A$11:$A$49,0))</f>
        <v>Current 1.75DS, 2020 start, 'Expect the Unexpected' but with cheap CCS</v>
      </c>
      <c r="B319" s="3" t="s">
        <v>36</v>
      </c>
      <c r="C319" s="3" t="s">
        <v>264</v>
      </c>
      <c r="D319" s="3" t="s">
        <v>257</v>
      </c>
      <c r="E319" s="14">
        <v>9499.4101148835834</v>
      </c>
      <c r="F319" s="14">
        <v>9854.7685931259057</v>
      </c>
      <c r="G319" s="14">
        <v>13753.197500000002</v>
      </c>
      <c r="H319" s="14">
        <v>14514.167854150608</v>
      </c>
      <c r="I319" s="14">
        <v>17132.08644893012</v>
      </c>
      <c r="J319" s="14">
        <v>24552.996119631687</v>
      </c>
      <c r="K319" s="14">
        <v>29337.79356013492</v>
      </c>
      <c r="L319" s="14">
        <v>33225.799599336184</v>
      </c>
      <c r="M319" s="14">
        <v>36349.660635270811</v>
      </c>
      <c r="N319" s="14">
        <v>38453.58</v>
      </c>
      <c r="O319" s="14">
        <v>38703.08639300512</v>
      </c>
    </row>
    <row r="320" spans="1:15" x14ac:dyDescent="0.3">
      <c r="A320" s="3" t="str">
        <f>INDEX('R1. Scenario specifications'!$C$11:$C$49,MATCH($B320,'R1. Scenario specifications'!$A$11:$A$49,0))</f>
        <v>Current 1.75DS, 2020 start, 'Expect the Unexpected' but with cheap CCS</v>
      </c>
      <c r="B320" s="3" t="s">
        <v>36</v>
      </c>
      <c r="C320" s="3" t="s">
        <v>62</v>
      </c>
      <c r="D320" s="3" t="s">
        <v>266</v>
      </c>
      <c r="E320" s="14">
        <v>152832.4479725429</v>
      </c>
      <c r="F320" s="14">
        <v>158538.7874200783</v>
      </c>
      <c r="G320" s="14">
        <v>170699.74489631387</v>
      </c>
      <c r="H320" s="14">
        <v>169562.31890804518</v>
      </c>
      <c r="I320" s="14">
        <v>161193.81815535575</v>
      </c>
      <c r="J320" s="14">
        <v>151112.05138910326</v>
      </c>
      <c r="K320" s="14">
        <v>150582.15992180363</v>
      </c>
      <c r="L320" s="14">
        <v>154704.69336416744</v>
      </c>
      <c r="M320" s="14">
        <v>152043.08820247633</v>
      </c>
      <c r="N320" s="14">
        <v>145146.72618051083</v>
      </c>
      <c r="O320" s="14">
        <v>133194.94737277375</v>
      </c>
    </row>
    <row r="321" spans="1:15" x14ac:dyDescent="0.3">
      <c r="A321" s="3" t="str">
        <f>INDEX('R1. Scenario specifications'!$C$11:$C$49,MATCH($B321,'R1. Scenario specifications'!$A$11:$A$49,0))</f>
        <v>Current 1.75DS, 2020 start, 'Expect the Unexpected' but with cheap CCS</v>
      </c>
      <c r="B321" s="3" t="s">
        <v>36</v>
      </c>
      <c r="C321" s="3" t="s">
        <v>66</v>
      </c>
      <c r="D321" s="3" t="s">
        <v>258</v>
      </c>
      <c r="E321" s="14">
        <v>202.7012537766515</v>
      </c>
      <c r="F321" s="14">
        <v>194.90848865877462</v>
      </c>
      <c r="G321" s="14">
        <v>2771.4154518439864</v>
      </c>
      <c r="H321" s="14">
        <v>4289.802543453764</v>
      </c>
      <c r="I321" s="14">
        <v>5758.5485986333215</v>
      </c>
      <c r="J321" s="14">
        <v>8300.0638732048865</v>
      </c>
      <c r="K321" s="14">
        <v>13489.100082940433</v>
      </c>
      <c r="L321" s="14">
        <v>15414.816562853799</v>
      </c>
      <c r="M321" s="14">
        <v>21529.699384365827</v>
      </c>
      <c r="N321" s="14">
        <v>25534.926167626578</v>
      </c>
      <c r="O321" s="14">
        <v>27351.283926945958</v>
      </c>
    </row>
    <row r="322" spans="1:15" x14ac:dyDescent="0.3">
      <c r="A322" s="3" t="str">
        <f>INDEX('R1. Scenario specifications'!$C$11:$C$49,MATCH($B322,'R1. Scenario specifications'!$A$11:$A$49,0))</f>
        <v>Current 1.75DS, 2020 start, 'Expect the Unexpected' but with cheap CCS</v>
      </c>
      <c r="B322" s="3" t="s">
        <v>36</v>
      </c>
      <c r="C322" s="3" t="s">
        <v>70</v>
      </c>
      <c r="D322" s="3" t="s">
        <v>259</v>
      </c>
      <c r="E322" s="14">
        <v>67.937052631788802</v>
      </c>
      <c r="F322" s="14">
        <v>458.66984800047192</v>
      </c>
      <c r="G322" s="14">
        <v>917.48161125092997</v>
      </c>
      <c r="H322" s="14">
        <v>4272.9290423621796</v>
      </c>
      <c r="I322" s="14">
        <v>15825.196110254696</v>
      </c>
      <c r="J322" s="14">
        <v>25600.145393957882</v>
      </c>
      <c r="K322" s="14">
        <v>34398.423682529166</v>
      </c>
      <c r="L322" s="14">
        <v>53529.839199950315</v>
      </c>
      <c r="M322" s="14">
        <v>89724.99499630752</v>
      </c>
      <c r="N322" s="14">
        <v>112168.05107649756</v>
      </c>
      <c r="O322" s="14">
        <v>122366.75250542378</v>
      </c>
    </row>
    <row r="323" spans="1:15" x14ac:dyDescent="0.3">
      <c r="A323" s="3" t="str">
        <f>INDEX('R1. Scenario specifications'!$C$11:$C$49,MATCH($B323,'R1. Scenario specifications'!$A$11:$A$49,0))</f>
        <v>Current 1.75DS, 2020 start, 'Expect the Unexpected' but with cheap CCS</v>
      </c>
      <c r="B323" s="3" t="s">
        <v>36</v>
      </c>
      <c r="C323" s="3" t="s">
        <v>71</v>
      </c>
      <c r="D323" s="3" t="s">
        <v>259</v>
      </c>
      <c r="E323" s="14">
        <v>55.461114646679903</v>
      </c>
      <c r="F323" s="14">
        <v>60.524118034134894</v>
      </c>
      <c r="G323" s="14">
        <v>64.687762917592892</v>
      </c>
      <c r="H323" s="14">
        <v>64.716528064517092</v>
      </c>
      <c r="I323" s="14">
        <v>66.388572763391181</v>
      </c>
      <c r="J323" s="14">
        <v>74.209667598881651</v>
      </c>
      <c r="K323" s="14">
        <v>77.868879637935009</v>
      </c>
      <c r="L323" s="14">
        <v>92.84143451751045</v>
      </c>
      <c r="M323" s="14">
        <v>167.55426820027984</v>
      </c>
      <c r="N323" s="14">
        <v>513.83981609848684</v>
      </c>
      <c r="O323" s="14">
        <v>513.8195775803556</v>
      </c>
    </row>
    <row r="324" spans="1:15" x14ac:dyDescent="0.3">
      <c r="A324" s="3" t="str">
        <f>INDEX('R1. Scenario specifications'!$C$11:$C$49,MATCH($B324,'R1. Scenario specifications'!$A$11:$A$49,0))</f>
        <v>Current 1.75DS, 2020 start, 'Expect the Unexpected' but with cheap CCS</v>
      </c>
      <c r="B324" s="3" t="s">
        <v>36</v>
      </c>
      <c r="C324" s="3" t="s">
        <v>75</v>
      </c>
      <c r="D324" s="3" t="s">
        <v>258</v>
      </c>
      <c r="E324" s="14">
        <v>1.963099940637433</v>
      </c>
      <c r="F324" s="14">
        <v>1.7858497922310126</v>
      </c>
      <c r="G324" s="14">
        <v>1.5022495547807513</v>
      </c>
      <c r="H324" s="14">
        <v>1.0014997031871682</v>
      </c>
      <c r="I324" s="14">
        <v>0.50074985159358421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</row>
    <row r="325" spans="1:15" x14ac:dyDescent="0.3">
      <c r="A325" s="3" t="str">
        <f>INDEX('R1. Scenario specifications'!$C$11:$C$49,MATCH($B325,'R1. Scenario specifications'!$A$11:$A$49,0))</f>
        <v>Current 1.75DS, 2020 start, 'Expect the Unexpected' but with cheap CCS</v>
      </c>
      <c r="B325" s="3" t="s">
        <v>36</v>
      </c>
      <c r="C325" s="3" t="s">
        <v>72</v>
      </c>
      <c r="D325" s="3" t="s">
        <v>260</v>
      </c>
      <c r="E325" s="14">
        <v>1517.4635089937533</v>
      </c>
      <c r="F325" s="14">
        <v>1704.9418897085425</v>
      </c>
      <c r="G325" s="14">
        <v>2685.5545190640855</v>
      </c>
      <c r="H325" s="14">
        <v>12230.817080935771</v>
      </c>
      <c r="I325" s="14">
        <v>27450.538961317914</v>
      </c>
      <c r="J325" s="14">
        <v>35889.905723197204</v>
      </c>
      <c r="K325" s="14">
        <v>51297.188060711233</v>
      </c>
      <c r="L325" s="14">
        <v>77167.327941912852</v>
      </c>
      <c r="M325" s="14">
        <v>125979.65084706071</v>
      </c>
      <c r="N325" s="14">
        <v>171029.4745671612</v>
      </c>
      <c r="O325" s="14">
        <v>204915.61713467733</v>
      </c>
    </row>
    <row r="326" spans="1:15" x14ac:dyDescent="0.3">
      <c r="A326" s="3" t="str">
        <f>INDEX('R1. Scenario specifications'!$C$11:$C$49,MATCH($B326,'R1. Scenario specifications'!$A$11:$A$49,0))</f>
        <v>Current 2DS, 2020 start, 'Expect the Unexpected' but with cheap renewables</v>
      </c>
      <c r="B326" s="3" t="s">
        <v>37</v>
      </c>
      <c r="C326" s="3" t="s">
        <v>262</v>
      </c>
      <c r="D326" s="3" t="s">
        <v>253</v>
      </c>
      <c r="E326" s="14">
        <v>49803.376306806284</v>
      </c>
      <c r="F326" s="14">
        <v>54246.265938380871</v>
      </c>
      <c r="G326" s="14">
        <v>71262.17128058261</v>
      </c>
      <c r="H326" s="14">
        <v>98270.486128721328</v>
      </c>
      <c r="I326" s="14">
        <v>113724.1421325499</v>
      </c>
      <c r="J326" s="14">
        <v>142939.88655346082</v>
      </c>
      <c r="K326" s="14">
        <v>171718.78964556841</v>
      </c>
      <c r="L326" s="14">
        <v>225781.27452583646</v>
      </c>
      <c r="M326" s="14">
        <v>275089.03571820911</v>
      </c>
      <c r="N326" s="14">
        <v>307853.46760932216</v>
      </c>
      <c r="O326" s="14">
        <v>327801.82519987621</v>
      </c>
    </row>
    <row r="327" spans="1:15" x14ac:dyDescent="0.3">
      <c r="A327" s="3" t="str">
        <f>INDEX('R1. Scenario specifications'!$C$11:$C$49,MATCH($B327,'R1. Scenario specifications'!$A$11:$A$49,0))</f>
        <v>Current 2DS, 2020 start, 'Expect the Unexpected' but with cheap renewables</v>
      </c>
      <c r="B327" s="3" t="s">
        <v>37</v>
      </c>
      <c r="C327" s="3" t="s">
        <v>60</v>
      </c>
      <c r="D327" s="3" t="s">
        <v>254</v>
      </c>
      <c r="E327" s="14">
        <v>132862.88014752162</v>
      </c>
      <c r="F327" s="14">
        <v>167772.98687500271</v>
      </c>
      <c r="G327" s="14">
        <v>133988.90917691623</v>
      </c>
      <c r="H327" s="14">
        <v>109332.44432974236</v>
      </c>
      <c r="I327" s="14">
        <v>88916.585513843602</v>
      </c>
      <c r="J327" s="14">
        <v>83459.811699515471</v>
      </c>
      <c r="K327" s="14">
        <v>88926.867360270669</v>
      </c>
      <c r="L327" s="14">
        <v>89908.102927354776</v>
      </c>
      <c r="M327" s="14">
        <v>95689.182055415076</v>
      </c>
      <c r="N327" s="14">
        <v>96690.953634541424</v>
      </c>
      <c r="O327" s="14">
        <v>95441.855151337659</v>
      </c>
    </row>
    <row r="328" spans="1:15" x14ac:dyDescent="0.3">
      <c r="A328" s="3" t="str">
        <f>INDEX('R1. Scenario specifications'!$C$11:$C$49,MATCH($B328,'R1. Scenario specifications'!$A$11:$A$49,0))</f>
        <v>Current 2DS, 2020 start, 'Expect the Unexpected' but with cheap renewables</v>
      </c>
      <c r="B328" s="3" t="s">
        <v>37</v>
      </c>
      <c r="C328" s="3" t="s">
        <v>61</v>
      </c>
      <c r="D328" s="3" t="s">
        <v>255</v>
      </c>
      <c r="E328" s="14">
        <v>113361.40893082572</v>
      </c>
      <c r="F328" s="14">
        <v>125068.22780197491</v>
      </c>
      <c r="G328" s="14">
        <v>164552.1853192726</v>
      </c>
      <c r="H328" s="14">
        <v>175522.09526600322</v>
      </c>
      <c r="I328" s="14">
        <v>186485.67183568937</v>
      </c>
      <c r="J328" s="14">
        <v>198629.85633418793</v>
      </c>
      <c r="K328" s="14">
        <v>187744.77267399975</v>
      </c>
      <c r="L328" s="14">
        <v>167361.10298423949</v>
      </c>
      <c r="M328" s="14">
        <v>142692.51977020447</v>
      </c>
      <c r="N328" s="14">
        <v>94018.996244021328</v>
      </c>
      <c r="O328" s="14">
        <v>80630.75303423623</v>
      </c>
    </row>
    <row r="329" spans="1:15" x14ac:dyDescent="0.3">
      <c r="A329" s="3" t="str">
        <f>INDEX('R1. Scenario specifications'!$C$11:$C$49,MATCH($B329,'R1. Scenario specifications'!$A$11:$A$49,0))</f>
        <v>Current 2DS, 2020 start, 'Expect the Unexpected' but with cheap renewables</v>
      </c>
      <c r="B329" s="3" t="s">
        <v>37</v>
      </c>
      <c r="C329" s="3" t="s">
        <v>263</v>
      </c>
      <c r="D329" s="3" t="s">
        <v>256</v>
      </c>
      <c r="E329" s="14">
        <v>10361.182910638019</v>
      </c>
      <c r="F329" s="14">
        <v>10438.652617147358</v>
      </c>
      <c r="G329" s="14">
        <v>14734.740994143709</v>
      </c>
      <c r="H329" s="14">
        <v>17418.209653652688</v>
      </c>
      <c r="I329" s="14">
        <v>20095.689658693947</v>
      </c>
      <c r="J329" s="14">
        <v>24148.940166317072</v>
      </c>
      <c r="K329" s="14">
        <v>25507.509903029553</v>
      </c>
      <c r="L329" s="14">
        <v>25719.562945143894</v>
      </c>
      <c r="M329" s="14">
        <v>29967.717190308584</v>
      </c>
      <c r="N329" s="14">
        <v>35717.97694919724</v>
      </c>
      <c r="O329" s="14">
        <v>37884.730298894428</v>
      </c>
    </row>
    <row r="330" spans="1:15" x14ac:dyDescent="0.3">
      <c r="A330" s="3" t="str">
        <f>INDEX('R1. Scenario specifications'!$C$11:$C$49,MATCH($B330,'R1. Scenario specifications'!$A$11:$A$49,0))</f>
        <v>Current 2DS, 2020 start, 'Expect the Unexpected' but with cheap renewables</v>
      </c>
      <c r="B330" s="3" t="s">
        <v>37</v>
      </c>
      <c r="C330" s="3" t="s">
        <v>264</v>
      </c>
      <c r="D330" s="3" t="s">
        <v>257</v>
      </c>
      <c r="E330" s="14">
        <v>9499.4101148835834</v>
      </c>
      <c r="F330" s="14">
        <v>9854.7685931259057</v>
      </c>
      <c r="G330" s="14">
        <v>13753.197500000002</v>
      </c>
      <c r="H330" s="14">
        <v>14514.167854150608</v>
      </c>
      <c r="I330" s="14">
        <v>16218.313795067785</v>
      </c>
      <c r="J330" s="14">
        <v>23095.66355195201</v>
      </c>
      <c r="K330" s="14">
        <v>27419.988527939138</v>
      </c>
      <c r="L330" s="14">
        <v>32696.745166086286</v>
      </c>
      <c r="M330" s="14">
        <v>35075.991081677741</v>
      </c>
      <c r="N330" s="14">
        <v>38075.79880698771</v>
      </c>
      <c r="O330" s="14">
        <v>39733.175000000003</v>
      </c>
    </row>
    <row r="331" spans="1:15" x14ac:dyDescent="0.3">
      <c r="A331" s="3" t="str">
        <f>INDEX('R1. Scenario specifications'!$C$11:$C$49,MATCH($B331,'R1. Scenario specifications'!$A$11:$A$49,0))</f>
        <v>Current 2DS, 2020 start, 'Expect the Unexpected' but with cheap renewables</v>
      </c>
      <c r="B331" s="3" t="s">
        <v>37</v>
      </c>
      <c r="C331" s="3" t="s">
        <v>62</v>
      </c>
      <c r="D331" s="3" t="s">
        <v>266</v>
      </c>
      <c r="E331" s="14">
        <v>152832.4479725429</v>
      </c>
      <c r="F331" s="14">
        <v>158538.7874200783</v>
      </c>
      <c r="G331" s="14">
        <v>170699.74489631387</v>
      </c>
      <c r="H331" s="14">
        <v>173759.08992337427</v>
      </c>
      <c r="I331" s="14">
        <v>172352.27879695277</v>
      </c>
      <c r="J331" s="14">
        <v>158316.23067812435</v>
      </c>
      <c r="K331" s="14">
        <v>158436.26406625914</v>
      </c>
      <c r="L331" s="14">
        <v>158533.17948600004</v>
      </c>
      <c r="M331" s="14">
        <v>159026.09235305252</v>
      </c>
      <c r="N331" s="14">
        <v>154629.50948995224</v>
      </c>
      <c r="O331" s="14">
        <v>137900.228903535</v>
      </c>
    </row>
    <row r="332" spans="1:15" x14ac:dyDescent="0.3">
      <c r="A332" s="3" t="str">
        <f>INDEX('R1. Scenario specifications'!$C$11:$C$49,MATCH($B332,'R1. Scenario specifications'!$A$11:$A$49,0))</f>
        <v>Current 2DS, 2020 start, 'Expect the Unexpected' but with cheap renewables</v>
      </c>
      <c r="B332" s="3" t="s">
        <v>37</v>
      </c>
      <c r="C332" s="3" t="s">
        <v>66</v>
      </c>
      <c r="D332" s="3" t="s">
        <v>258</v>
      </c>
      <c r="E332" s="14">
        <v>202.7012537766515</v>
      </c>
      <c r="F332" s="14">
        <v>194.90848865877462</v>
      </c>
      <c r="G332" s="14">
        <v>2771.4154518439864</v>
      </c>
      <c r="H332" s="14">
        <v>4294.3755578431656</v>
      </c>
      <c r="I332" s="14">
        <v>5842.7587535486773</v>
      </c>
      <c r="J332" s="14">
        <v>8130.0094761562414</v>
      </c>
      <c r="K332" s="14">
        <v>11940.122119609669</v>
      </c>
      <c r="L332" s="14">
        <v>13947.636413109607</v>
      </c>
      <c r="M332" s="14">
        <v>15203.57135688686</v>
      </c>
      <c r="N332" s="14">
        <v>21115.91932216534</v>
      </c>
      <c r="O332" s="14">
        <v>24785.949791675823</v>
      </c>
    </row>
    <row r="333" spans="1:15" x14ac:dyDescent="0.3">
      <c r="A333" s="3" t="str">
        <f>INDEX('R1. Scenario specifications'!$C$11:$C$49,MATCH($B333,'R1. Scenario specifications'!$A$11:$A$49,0))</f>
        <v>Current 2DS, 2020 start, 'Expect the Unexpected' but with cheap renewables</v>
      </c>
      <c r="B333" s="3" t="s">
        <v>37</v>
      </c>
      <c r="C333" s="3" t="s">
        <v>70</v>
      </c>
      <c r="D333" s="3" t="s">
        <v>259</v>
      </c>
      <c r="E333" s="14">
        <v>67.937052631788802</v>
      </c>
      <c r="F333" s="14">
        <v>458.66984800047192</v>
      </c>
      <c r="G333" s="14">
        <v>917.48161125092997</v>
      </c>
      <c r="H333" s="14">
        <v>5402.7430998719665</v>
      </c>
      <c r="I333" s="14">
        <v>19115.827457997169</v>
      </c>
      <c r="J333" s="14">
        <v>29187.805932568423</v>
      </c>
      <c r="K333" s="14">
        <v>35691.503294129026</v>
      </c>
      <c r="L333" s="14">
        <v>42469.979635314223</v>
      </c>
      <c r="M333" s="14">
        <v>60040.441989048159</v>
      </c>
      <c r="N333" s="14">
        <v>92903.336306134166</v>
      </c>
      <c r="O333" s="14">
        <v>103979.07936970123</v>
      </c>
    </row>
    <row r="334" spans="1:15" x14ac:dyDescent="0.3">
      <c r="A334" s="3" t="str">
        <f>INDEX('R1. Scenario specifications'!$C$11:$C$49,MATCH($B334,'R1. Scenario specifications'!$A$11:$A$49,0))</f>
        <v>Current 2DS, 2020 start, 'Expect the Unexpected' but with cheap renewables</v>
      </c>
      <c r="B334" s="3" t="s">
        <v>37</v>
      </c>
      <c r="C334" s="3" t="s">
        <v>71</v>
      </c>
      <c r="D334" s="3" t="s">
        <v>259</v>
      </c>
      <c r="E334" s="14">
        <v>55.461114646679903</v>
      </c>
      <c r="F334" s="14">
        <v>60.524118034134894</v>
      </c>
      <c r="G334" s="14">
        <v>64.687762917592892</v>
      </c>
      <c r="H334" s="14">
        <v>64.711658906117094</v>
      </c>
      <c r="I334" s="14">
        <v>64.759464647958225</v>
      </c>
      <c r="J334" s="14">
        <v>64.968858880071778</v>
      </c>
      <c r="K334" s="14">
        <v>66.156986668022469</v>
      </c>
      <c r="L334" s="14">
        <v>851.29815970337575</v>
      </c>
      <c r="M334" s="14">
        <v>1041.662573770072</v>
      </c>
      <c r="N334" s="14">
        <v>1101.1285866973371</v>
      </c>
      <c r="O334" s="14">
        <v>1101.1083481792061</v>
      </c>
    </row>
    <row r="335" spans="1:15" x14ac:dyDescent="0.3">
      <c r="A335" s="3" t="str">
        <f>INDEX('R1. Scenario specifications'!$C$11:$C$49,MATCH($B335,'R1. Scenario specifications'!$A$11:$A$49,0))</f>
        <v>Current 2DS, 2020 start, 'Expect the Unexpected' but with cheap renewables</v>
      </c>
      <c r="B335" s="3" t="s">
        <v>37</v>
      </c>
      <c r="C335" s="3" t="s">
        <v>75</v>
      </c>
      <c r="D335" s="3" t="s">
        <v>258</v>
      </c>
      <c r="E335" s="14">
        <v>1.963099940637433</v>
      </c>
      <c r="F335" s="14">
        <v>1.7858497922310126</v>
      </c>
      <c r="G335" s="14">
        <v>1.5022495547807513</v>
      </c>
      <c r="H335" s="14">
        <v>1.0014997031871682</v>
      </c>
      <c r="I335" s="14">
        <v>0.50074985159358421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</row>
    <row r="336" spans="1:15" x14ac:dyDescent="0.3">
      <c r="A336" s="3" t="str">
        <f>INDEX('R1. Scenario specifications'!$C$11:$C$49,MATCH($B336,'R1. Scenario specifications'!$A$11:$A$49,0))</f>
        <v>Current 2DS, 2020 start, 'Expect the Unexpected' but with cheap renewables</v>
      </c>
      <c r="B336" s="3" t="s">
        <v>37</v>
      </c>
      <c r="C336" s="3" t="s">
        <v>72</v>
      </c>
      <c r="D336" s="3" t="s">
        <v>260</v>
      </c>
      <c r="E336" s="14">
        <v>1517.4635089937533</v>
      </c>
      <c r="F336" s="14">
        <v>1704.9418897085425</v>
      </c>
      <c r="G336" s="14">
        <v>2685.5545190640855</v>
      </c>
      <c r="H336" s="14">
        <v>15995.963524006083</v>
      </c>
      <c r="I336" s="14">
        <v>29245.710641954556</v>
      </c>
      <c r="J336" s="14">
        <v>36710.518160645828</v>
      </c>
      <c r="K336" s="14">
        <v>49050.755611872555</v>
      </c>
      <c r="L336" s="14">
        <v>63899.43016860354</v>
      </c>
      <c r="M336" s="14">
        <v>91648.732215465876</v>
      </c>
      <c r="N336" s="14">
        <v>146730.89393366547</v>
      </c>
      <c r="O336" s="14">
        <v>184498.44499731564</v>
      </c>
    </row>
    <row r="337" spans="1:15" x14ac:dyDescent="0.3">
      <c r="A337" s="3" t="str">
        <f>INDEX('R1. Scenario specifications'!$C$11:$C$49,MATCH($B337,'R1. Scenario specifications'!$A$11:$A$49,0))</f>
        <v>Current 1.75DS, 2030 start, 'Expect the Unexpected' but with cheap CCS</v>
      </c>
      <c r="B337" s="3" t="s">
        <v>38</v>
      </c>
      <c r="C337" s="3" t="s">
        <v>262</v>
      </c>
      <c r="D337" s="3" t="s">
        <v>253</v>
      </c>
      <c r="E337" s="14">
        <v>49803.376306806284</v>
      </c>
      <c r="F337" s="14">
        <v>54246.265938380871</v>
      </c>
      <c r="G337" s="14">
        <v>71262.17128058261</v>
      </c>
      <c r="H337" s="14">
        <v>95987.494917697361</v>
      </c>
      <c r="I337" s="14">
        <v>134167.96076139764</v>
      </c>
      <c r="J337" s="14">
        <v>169759.94537142079</v>
      </c>
      <c r="K337" s="14">
        <v>238001.61610284014</v>
      </c>
      <c r="L337" s="14">
        <v>262704.63126049389</v>
      </c>
      <c r="M337" s="14">
        <v>291904.65682121803</v>
      </c>
      <c r="N337" s="14">
        <v>310987.43618388823</v>
      </c>
      <c r="O337" s="14">
        <v>327769.11716496316</v>
      </c>
    </row>
    <row r="338" spans="1:15" x14ac:dyDescent="0.3">
      <c r="A338" s="3" t="str">
        <f>INDEX('R1. Scenario specifications'!$C$11:$C$49,MATCH($B338,'R1. Scenario specifications'!$A$11:$A$49,0))</f>
        <v>Current 1.75DS, 2030 start, 'Expect the Unexpected' but with cheap CCS</v>
      </c>
      <c r="B338" s="3" t="s">
        <v>38</v>
      </c>
      <c r="C338" s="3" t="s">
        <v>60</v>
      </c>
      <c r="D338" s="3" t="s">
        <v>254</v>
      </c>
      <c r="E338" s="14">
        <v>132862.88014752162</v>
      </c>
      <c r="F338" s="14">
        <v>167772.98687500271</v>
      </c>
      <c r="G338" s="14">
        <v>133988.90917691623</v>
      </c>
      <c r="H338" s="14">
        <v>141587.52010422843</v>
      </c>
      <c r="I338" s="14">
        <v>60247.215101266149</v>
      </c>
      <c r="J338" s="14">
        <v>64624.31916557339</v>
      </c>
      <c r="K338" s="14">
        <v>68000.336733692689</v>
      </c>
      <c r="L338" s="14">
        <v>90750.593419925106</v>
      </c>
      <c r="M338" s="14">
        <v>93534.561765535502</v>
      </c>
      <c r="N338" s="14">
        <v>89253.847895736442</v>
      </c>
      <c r="O338" s="14">
        <v>74169.200414297957</v>
      </c>
    </row>
    <row r="339" spans="1:15" x14ac:dyDescent="0.3">
      <c r="A339" s="3" t="str">
        <f>INDEX('R1. Scenario specifications'!$C$11:$C$49,MATCH($B339,'R1. Scenario specifications'!$A$11:$A$49,0))</f>
        <v>Current 1.75DS, 2030 start, 'Expect the Unexpected' but with cheap CCS</v>
      </c>
      <c r="B339" s="3" t="s">
        <v>38</v>
      </c>
      <c r="C339" s="3" t="s">
        <v>61</v>
      </c>
      <c r="D339" s="3" t="s">
        <v>255</v>
      </c>
      <c r="E339" s="14">
        <v>113361.40893082572</v>
      </c>
      <c r="F339" s="14">
        <v>125068.22780197491</v>
      </c>
      <c r="G339" s="14">
        <v>164552.1853192726</v>
      </c>
      <c r="H339" s="14">
        <v>176766.93010542684</v>
      </c>
      <c r="I339" s="14">
        <v>195742.44360731263</v>
      </c>
      <c r="J339" s="14">
        <v>147385.47978952524</v>
      </c>
      <c r="K339" s="14">
        <v>106227.22782857025</v>
      </c>
      <c r="L339" s="14">
        <v>128991.37277077948</v>
      </c>
      <c r="M339" s="14">
        <v>104438.32272124138</v>
      </c>
      <c r="N339" s="14">
        <v>81436.162516160926</v>
      </c>
      <c r="O339" s="14">
        <v>74223.514216043506</v>
      </c>
    </row>
    <row r="340" spans="1:15" x14ac:dyDescent="0.3">
      <c r="A340" s="3" t="str">
        <f>INDEX('R1. Scenario specifications'!$C$11:$C$49,MATCH($B340,'R1. Scenario specifications'!$A$11:$A$49,0))</f>
        <v>Current 1.75DS, 2030 start, 'Expect the Unexpected' but with cheap CCS</v>
      </c>
      <c r="B340" s="3" t="s">
        <v>38</v>
      </c>
      <c r="C340" s="3" t="s">
        <v>263</v>
      </c>
      <c r="D340" s="3" t="s">
        <v>256</v>
      </c>
      <c r="E340" s="14">
        <v>10361.182910638019</v>
      </c>
      <c r="F340" s="14">
        <v>10438.652617147358</v>
      </c>
      <c r="G340" s="14">
        <v>14734.740994143709</v>
      </c>
      <c r="H340" s="14">
        <v>17241.713076375538</v>
      </c>
      <c r="I340" s="14">
        <v>19906.466304834823</v>
      </c>
      <c r="J340" s="14">
        <v>27586.463990941989</v>
      </c>
      <c r="K340" s="14">
        <v>31343.028231430122</v>
      </c>
      <c r="L340" s="14">
        <v>32365.677411330646</v>
      </c>
      <c r="M340" s="14">
        <v>34738.650869059129</v>
      </c>
      <c r="N340" s="14">
        <v>36540.473809784227</v>
      </c>
      <c r="O340" s="14">
        <v>37484.711128900104</v>
      </c>
    </row>
    <row r="341" spans="1:15" x14ac:dyDescent="0.3">
      <c r="A341" s="3" t="str">
        <f>INDEX('R1. Scenario specifications'!$C$11:$C$49,MATCH($B341,'R1. Scenario specifications'!$A$11:$A$49,0))</f>
        <v>Current 1.75DS, 2030 start, 'Expect the Unexpected' but with cheap CCS</v>
      </c>
      <c r="B341" s="3" t="s">
        <v>38</v>
      </c>
      <c r="C341" s="3" t="s">
        <v>264</v>
      </c>
      <c r="D341" s="3" t="s">
        <v>257</v>
      </c>
      <c r="E341" s="14">
        <v>9499.4101148835834</v>
      </c>
      <c r="F341" s="14">
        <v>9854.7685931259057</v>
      </c>
      <c r="G341" s="14">
        <v>13753.197500000002</v>
      </c>
      <c r="H341" s="14">
        <v>14514.167854150608</v>
      </c>
      <c r="I341" s="14">
        <v>15191.631806438925</v>
      </c>
      <c r="J341" s="14">
        <v>24925.344846272601</v>
      </c>
      <c r="K341" s="14">
        <v>29553.541555107942</v>
      </c>
      <c r="L341" s="14">
        <v>31659.80525501979</v>
      </c>
      <c r="M341" s="14">
        <v>36424.770204721492</v>
      </c>
      <c r="N341" s="14">
        <v>38453.58</v>
      </c>
      <c r="O341" s="14">
        <v>38730.394682797283</v>
      </c>
    </row>
    <row r="342" spans="1:15" x14ac:dyDescent="0.3">
      <c r="A342" s="3" t="str">
        <f>INDEX('R1. Scenario specifications'!$C$11:$C$49,MATCH($B342,'R1. Scenario specifications'!$A$11:$A$49,0))</f>
        <v>Current 1.75DS, 2030 start, 'Expect the Unexpected' but with cheap CCS</v>
      </c>
      <c r="B342" s="3" t="s">
        <v>38</v>
      </c>
      <c r="C342" s="3" t="s">
        <v>62</v>
      </c>
      <c r="D342" s="3" t="s">
        <v>266</v>
      </c>
      <c r="E342" s="14">
        <v>152832.4479725429</v>
      </c>
      <c r="F342" s="14">
        <v>158538.7874200783</v>
      </c>
      <c r="G342" s="14">
        <v>170699.74489631387</v>
      </c>
      <c r="H342" s="14">
        <v>176541.28948572898</v>
      </c>
      <c r="I342" s="14">
        <v>164717.56805491771</v>
      </c>
      <c r="J342" s="14">
        <v>157577.14433563859</v>
      </c>
      <c r="K342" s="14">
        <v>149340.23832723004</v>
      </c>
      <c r="L342" s="14">
        <v>155109.76686601611</v>
      </c>
      <c r="M342" s="14">
        <v>152897.29191968366</v>
      </c>
      <c r="N342" s="14">
        <v>146944.91928594821</v>
      </c>
      <c r="O342" s="14">
        <v>134356.6159714293</v>
      </c>
    </row>
    <row r="343" spans="1:15" x14ac:dyDescent="0.3">
      <c r="A343" s="3" t="str">
        <f>INDEX('R1. Scenario specifications'!$C$11:$C$49,MATCH($B343,'R1. Scenario specifications'!$A$11:$A$49,0))</f>
        <v>Current 1.75DS, 2030 start, 'Expect the Unexpected' but with cheap CCS</v>
      </c>
      <c r="B343" s="3" t="s">
        <v>38</v>
      </c>
      <c r="C343" s="3" t="s">
        <v>66</v>
      </c>
      <c r="D343" s="3" t="s">
        <v>258</v>
      </c>
      <c r="E343" s="14">
        <v>202.7012537766515</v>
      </c>
      <c r="F343" s="14">
        <v>194.90848865877462</v>
      </c>
      <c r="G343" s="14">
        <v>2771.4154518439864</v>
      </c>
      <c r="H343" s="14">
        <v>4278.9486538824649</v>
      </c>
      <c r="I343" s="14">
        <v>6309.6587084566008</v>
      </c>
      <c r="J343" s="14">
        <v>11996.890419244515</v>
      </c>
      <c r="K343" s="14">
        <v>20395.562339579275</v>
      </c>
      <c r="L343" s="14">
        <v>20377.129886516796</v>
      </c>
      <c r="M343" s="14">
        <v>21417.504220603572</v>
      </c>
      <c r="N343" s="14">
        <v>25673.849338109878</v>
      </c>
      <c r="O343" s="14">
        <v>27381.86585658625</v>
      </c>
    </row>
    <row r="344" spans="1:15" x14ac:dyDescent="0.3">
      <c r="A344" s="3" t="str">
        <f>INDEX('R1. Scenario specifications'!$C$11:$C$49,MATCH($B344,'R1. Scenario specifications'!$A$11:$A$49,0))</f>
        <v>Current 1.75DS, 2030 start, 'Expect the Unexpected' but with cheap CCS</v>
      </c>
      <c r="B344" s="3" t="s">
        <v>38</v>
      </c>
      <c r="C344" s="3" t="s">
        <v>70</v>
      </c>
      <c r="D344" s="3" t="s">
        <v>259</v>
      </c>
      <c r="E344" s="14">
        <v>67.937052631788802</v>
      </c>
      <c r="F344" s="14">
        <v>458.66984800047192</v>
      </c>
      <c r="G344" s="14">
        <v>917.48161125092997</v>
      </c>
      <c r="H344" s="14">
        <v>2670.3548260954558</v>
      </c>
      <c r="I344" s="14">
        <v>11256.799579487266</v>
      </c>
      <c r="J344" s="14">
        <v>27104.683456599334</v>
      </c>
      <c r="K344" s="14">
        <v>45831.210015633886</v>
      </c>
      <c r="L344" s="14">
        <v>62210.033026672834</v>
      </c>
      <c r="M344" s="14">
        <v>86010.223324444276</v>
      </c>
      <c r="N344" s="14">
        <v>105068.35336558083</v>
      </c>
      <c r="O344" s="14">
        <v>117815.20143210422</v>
      </c>
    </row>
    <row r="345" spans="1:15" x14ac:dyDescent="0.3">
      <c r="A345" s="3" t="str">
        <f>INDEX('R1. Scenario specifications'!$C$11:$C$49,MATCH($B345,'R1. Scenario specifications'!$A$11:$A$49,0))</f>
        <v>Current 1.75DS, 2030 start, 'Expect the Unexpected' but with cheap CCS</v>
      </c>
      <c r="B345" s="3" t="s">
        <v>38</v>
      </c>
      <c r="C345" s="3" t="s">
        <v>71</v>
      </c>
      <c r="D345" s="3" t="s">
        <v>259</v>
      </c>
      <c r="E345" s="14">
        <v>55.461114646679903</v>
      </c>
      <c r="F345" s="14">
        <v>60.524118034134894</v>
      </c>
      <c r="G345" s="14">
        <v>64.687762917592892</v>
      </c>
      <c r="H345" s="14">
        <v>64.713826068531574</v>
      </c>
      <c r="I345" s="14">
        <v>66.201487811954081</v>
      </c>
      <c r="J345" s="14">
        <v>73.332525749779734</v>
      </c>
      <c r="K345" s="14">
        <v>107.49486175270624</v>
      </c>
      <c r="L345" s="14">
        <v>102.97913405832723</v>
      </c>
      <c r="M345" s="14">
        <v>110.71036648640461</v>
      </c>
      <c r="N345" s="14">
        <v>123.65588828645951</v>
      </c>
      <c r="O345" s="14">
        <v>123.63059728485308</v>
      </c>
    </row>
    <row r="346" spans="1:15" x14ac:dyDescent="0.3">
      <c r="A346" s="3" t="str">
        <f>INDEX('R1. Scenario specifications'!$C$11:$C$49,MATCH($B346,'R1. Scenario specifications'!$A$11:$A$49,0))</f>
        <v>Current 1.75DS, 2030 start, 'Expect the Unexpected' but with cheap CCS</v>
      </c>
      <c r="B346" s="3" t="s">
        <v>38</v>
      </c>
      <c r="C346" s="3" t="s">
        <v>75</v>
      </c>
      <c r="D346" s="3" t="s">
        <v>258</v>
      </c>
      <c r="E346" s="14">
        <v>1.963099940637433</v>
      </c>
      <c r="F346" s="14">
        <v>1.7858497922310126</v>
      </c>
      <c r="G346" s="14">
        <v>1.5022495547807513</v>
      </c>
      <c r="H346" s="14">
        <v>1.0014997031871682</v>
      </c>
      <c r="I346" s="14">
        <v>0.50074985159358421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</row>
    <row r="347" spans="1:15" x14ac:dyDescent="0.3">
      <c r="A347" s="3" t="str">
        <f>INDEX('R1. Scenario specifications'!$C$11:$C$49,MATCH($B347,'R1. Scenario specifications'!$A$11:$A$49,0))</f>
        <v>Current 1.75DS, 2030 start, 'Expect the Unexpected' but with cheap CCS</v>
      </c>
      <c r="B347" s="3" t="s">
        <v>38</v>
      </c>
      <c r="C347" s="3" t="s">
        <v>72</v>
      </c>
      <c r="D347" s="3" t="s">
        <v>260</v>
      </c>
      <c r="E347" s="14">
        <v>1517.4635089937533</v>
      </c>
      <c r="F347" s="14">
        <v>1704.9418897085425</v>
      </c>
      <c r="G347" s="14">
        <v>2685.5545190640855</v>
      </c>
      <c r="H347" s="14">
        <v>10882.32058635127</v>
      </c>
      <c r="I347" s="14">
        <v>27755.620114411056</v>
      </c>
      <c r="J347" s="14">
        <v>37655.530009876522</v>
      </c>
      <c r="K347" s="14">
        <v>60236.341436906368</v>
      </c>
      <c r="L347" s="14">
        <v>81789.600853042066</v>
      </c>
      <c r="M347" s="14">
        <v>120119.35287544975</v>
      </c>
      <c r="N347" s="14">
        <v>161378.8475933531</v>
      </c>
      <c r="O347" s="14">
        <v>198919.97483373084</v>
      </c>
    </row>
    <row r="348" spans="1:15" x14ac:dyDescent="0.3">
      <c r="A348" s="3" t="str">
        <f>INDEX('R1. Scenario specifications'!$C$11:$C$49,MATCH($B348,'R1. Scenario specifications'!$A$11:$A$49,0))</f>
        <v>Current 1.75DS, 2020 start, 'Expect the Unexpected' but with cheap EVs</v>
      </c>
      <c r="B348" s="3" t="s">
        <v>39</v>
      </c>
      <c r="C348" s="3" t="s">
        <v>262</v>
      </c>
      <c r="D348" s="3" t="s">
        <v>253</v>
      </c>
      <c r="E348" s="14">
        <v>49803.376306806284</v>
      </c>
      <c r="F348" s="14">
        <v>54246.265938380871</v>
      </c>
      <c r="G348" s="14">
        <v>71262.17128058261</v>
      </c>
      <c r="H348" s="14">
        <v>109660.8609083357</v>
      </c>
      <c r="I348" s="14">
        <v>131878.56326646567</v>
      </c>
      <c r="J348" s="14">
        <v>165609.2833529429</v>
      </c>
      <c r="K348" s="14">
        <v>209764.33482848477</v>
      </c>
      <c r="L348" s="14">
        <v>261487.98169029068</v>
      </c>
      <c r="M348" s="14">
        <v>294139.60642044467</v>
      </c>
      <c r="N348" s="14">
        <v>311001.82861754275</v>
      </c>
      <c r="O348" s="14">
        <v>327776.7896639005</v>
      </c>
    </row>
    <row r="349" spans="1:15" x14ac:dyDescent="0.3">
      <c r="A349" s="3" t="str">
        <f>INDEX('R1. Scenario specifications'!$C$11:$C$49,MATCH($B349,'R1. Scenario specifications'!$A$11:$A$49,0))</f>
        <v>Current 1.75DS, 2020 start, 'Expect the Unexpected' but with cheap EVs</v>
      </c>
      <c r="B349" s="3" t="s">
        <v>39</v>
      </c>
      <c r="C349" s="3" t="s">
        <v>60</v>
      </c>
      <c r="D349" s="3" t="s">
        <v>254</v>
      </c>
      <c r="E349" s="14">
        <v>132862.88014752162</v>
      </c>
      <c r="F349" s="14">
        <v>167772.98687500271</v>
      </c>
      <c r="G349" s="14">
        <v>133988.90917691623</v>
      </c>
      <c r="H349" s="14">
        <v>80954.273800917363</v>
      </c>
      <c r="I349" s="14">
        <v>54152.646865211325</v>
      </c>
      <c r="J349" s="14">
        <v>60262.832798892734</v>
      </c>
      <c r="K349" s="14">
        <v>86146.491576444285</v>
      </c>
      <c r="L349" s="14">
        <v>91112.893988639757</v>
      </c>
      <c r="M349" s="14">
        <v>93515.885908905155</v>
      </c>
      <c r="N349" s="14">
        <v>72650.442243929981</v>
      </c>
      <c r="O349" s="14">
        <v>65419.203333042802</v>
      </c>
    </row>
    <row r="350" spans="1:15" x14ac:dyDescent="0.3">
      <c r="A350" s="3" t="str">
        <f>INDEX('R1. Scenario specifications'!$C$11:$C$49,MATCH($B350,'R1. Scenario specifications'!$A$11:$A$49,0))</f>
        <v>Current 1.75DS, 2020 start, 'Expect the Unexpected' but with cheap EVs</v>
      </c>
      <c r="B350" s="3" t="s">
        <v>39</v>
      </c>
      <c r="C350" s="3" t="s">
        <v>61</v>
      </c>
      <c r="D350" s="3" t="s">
        <v>255</v>
      </c>
      <c r="E350" s="14">
        <v>113361.40893082572</v>
      </c>
      <c r="F350" s="14">
        <v>125068.22780197491</v>
      </c>
      <c r="G350" s="14">
        <v>164552.1853192726</v>
      </c>
      <c r="H350" s="14">
        <v>188296.38762794147</v>
      </c>
      <c r="I350" s="14">
        <v>191070.32050056121</v>
      </c>
      <c r="J350" s="14">
        <v>196536.90585300472</v>
      </c>
      <c r="K350" s="14">
        <v>167407.98441787876</v>
      </c>
      <c r="L350" s="14">
        <v>136786.41315548087</v>
      </c>
      <c r="M350" s="14">
        <v>95771.756143051156</v>
      </c>
      <c r="N350" s="14">
        <v>81148.078208838691</v>
      </c>
      <c r="O350" s="14">
        <v>74196.670270829956</v>
      </c>
    </row>
    <row r="351" spans="1:15" x14ac:dyDescent="0.3">
      <c r="A351" s="3" t="str">
        <f>INDEX('R1. Scenario specifications'!$C$11:$C$49,MATCH($B351,'R1. Scenario specifications'!$A$11:$A$49,0))</f>
        <v>Current 1.75DS, 2020 start, 'Expect the Unexpected' but with cheap EVs</v>
      </c>
      <c r="B351" s="3" t="s">
        <v>39</v>
      </c>
      <c r="C351" s="3" t="s">
        <v>263</v>
      </c>
      <c r="D351" s="3" t="s">
        <v>256</v>
      </c>
      <c r="E351" s="14">
        <v>10361.182910638019</v>
      </c>
      <c r="F351" s="14">
        <v>10438.652617147358</v>
      </c>
      <c r="G351" s="14">
        <v>14734.740994143709</v>
      </c>
      <c r="H351" s="14">
        <v>17551.816847301074</v>
      </c>
      <c r="I351" s="14">
        <v>21791.229007303526</v>
      </c>
      <c r="J351" s="14">
        <v>25326.819469706312</v>
      </c>
      <c r="K351" s="14">
        <v>26824.21308520154</v>
      </c>
      <c r="L351" s="14">
        <v>29314.718250992551</v>
      </c>
      <c r="M351" s="14">
        <v>33744.993975920566</v>
      </c>
      <c r="N351" s="14">
        <v>37161.455457062228</v>
      </c>
      <c r="O351" s="14">
        <v>38552.701515414235</v>
      </c>
    </row>
    <row r="352" spans="1:15" x14ac:dyDescent="0.3">
      <c r="A352" s="3" t="str">
        <f>INDEX('R1. Scenario specifications'!$C$11:$C$49,MATCH($B352,'R1. Scenario specifications'!$A$11:$A$49,0))</f>
        <v>Current 1.75DS, 2020 start, 'Expect the Unexpected' but with cheap EVs</v>
      </c>
      <c r="B352" s="3" t="s">
        <v>39</v>
      </c>
      <c r="C352" s="3" t="s">
        <v>264</v>
      </c>
      <c r="D352" s="3" t="s">
        <v>257</v>
      </c>
      <c r="E352" s="14">
        <v>9499.4101148835834</v>
      </c>
      <c r="F352" s="14">
        <v>9854.7685931259057</v>
      </c>
      <c r="G352" s="14">
        <v>13753.197500000002</v>
      </c>
      <c r="H352" s="14">
        <v>14514.167854150608</v>
      </c>
      <c r="I352" s="14">
        <v>17132.08644893012</v>
      </c>
      <c r="J352" s="14">
        <v>24387.801920924288</v>
      </c>
      <c r="K352" s="14">
        <v>29339.946829147291</v>
      </c>
      <c r="L352" s="14">
        <v>33212.80407137156</v>
      </c>
      <c r="M352" s="14">
        <v>36349.660635270811</v>
      </c>
      <c r="N352" s="14">
        <v>38453.58</v>
      </c>
      <c r="O352" s="14">
        <v>38835.964308423958</v>
      </c>
    </row>
    <row r="353" spans="1:15" x14ac:dyDescent="0.3">
      <c r="A353" s="3" t="str">
        <f>INDEX('R1. Scenario specifications'!$C$11:$C$49,MATCH($B353,'R1. Scenario specifications'!$A$11:$A$49,0))</f>
        <v>Current 1.75DS, 2020 start, 'Expect the Unexpected' but with cheap EVs</v>
      </c>
      <c r="B353" s="3" t="s">
        <v>39</v>
      </c>
      <c r="C353" s="3" t="s">
        <v>62</v>
      </c>
      <c r="D353" s="3" t="s">
        <v>266</v>
      </c>
      <c r="E353" s="14">
        <v>152832.4479725429</v>
      </c>
      <c r="F353" s="14">
        <v>158538.7874200783</v>
      </c>
      <c r="G353" s="14">
        <v>170699.74489631387</v>
      </c>
      <c r="H353" s="14">
        <v>168643.02569767734</v>
      </c>
      <c r="I353" s="14">
        <v>155355.47965954468</v>
      </c>
      <c r="J353" s="14">
        <v>148482.78617942944</v>
      </c>
      <c r="K353" s="14">
        <v>149670.20643159642</v>
      </c>
      <c r="L353" s="14">
        <v>155077.89401526609</v>
      </c>
      <c r="M353" s="14">
        <v>152699.98795930526</v>
      </c>
      <c r="N353" s="14">
        <v>146381.0684116621</v>
      </c>
      <c r="O353" s="14">
        <v>133724.84049717025</v>
      </c>
    </row>
    <row r="354" spans="1:15" x14ac:dyDescent="0.3">
      <c r="A354" s="3" t="str">
        <f>INDEX('R1. Scenario specifications'!$C$11:$C$49,MATCH($B354,'R1. Scenario specifications'!$A$11:$A$49,0))</f>
        <v>Current 1.75DS, 2020 start, 'Expect the Unexpected' but with cheap EVs</v>
      </c>
      <c r="B354" s="3" t="s">
        <v>39</v>
      </c>
      <c r="C354" s="3" t="s">
        <v>66</v>
      </c>
      <c r="D354" s="3" t="s">
        <v>258</v>
      </c>
      <c r="E354" s="14">
        <v>202.7012537766515</v>
      </c>
      <c r="F354" s="14">
        <v>194.90848865877462</v>
      </c>
      <c r="G354" s="14">
        <v>2771.4154518439864</v>
      </c>
      <c r="H354" s="14">
        <v>4289.802543453764</v>
      </c>
      <c r="I354" s="14">
        <v>5758.5485986333215</v>
      </c>
      <c r="J354" s="14">
        <v>8329.6066618002387</v>
      </c>
      <c r="K354" s="14">
        <v>14038.885510924858</v>
      </c>
      <c r="L354" s="14">
        <v>15831.348515515569</v>
      </c>
      <c r="M354" s="14">
        <v>22025.482558547559</v>
      </c>
      <c r="N354" s="14">
        <v>26424.9616082875</v>
      </c>
      <c r="O354" s="14">
        <v>28021.896360127965</v>
      </c>
    </row>
    <row r="355" spans="1:15" x14ac:dyDescent="0.3">
      <c r="A355" s="3" t="str">
        <f>INDEX('R1. Scenario specifications'!$C$11:$C$49,MATCH($B355,'R1. Scenario specifications'!$A$11:$A$49,0))</f>
        <v>Current 1.75DS, 2020 start, 'Expect the Unexpected' but with cheap EVs</v>
      </c>
      <c r="B355" s="3" t="s">
        <v>39</v>
      </c>
      <c r="C355" s="3" t="s">
        <v>70</v>
      </c>
      <c r="D355" s="3" t="s">
        <v>259</v>
      </c>
      <c r="E355" s="14">
        <v>67.937052631788802</v>
      </c>
      <c r="F355" s="14">
        <v>458.66984800047192</v>
      </c>
      <c r="G355" s="14">
        <v>917.48161125092997</v>
      </c>
      <c r="H355" s="14">
        <v>4260.8341842059763</v>
      </c>
      <c r="I355" s="14">
        <v>15465.245121357209</v>
      </c>
      <c r="J355" s="14">
        <v>25494.629689325873</v>
      </c>
      <c r="K355" s="14">
        <v>34472.920250672301</v>
      </c>
      <c r="L355" s="14">
        <v>53552.829804875226</v>
      </c>
      <c r="M355" s="14">
        <v>89361.862801641255</v>
      </c>
      <c r="N355" s="14">
        <v>110582.40842204963</v>
      </c>
      <c r="O355" s="14">
        <v>121163.15954757205</v>
      </c>
    </row>
    <row r="356" spans="1:15" x14ac:dyDescent="0.3">
      <c r="A356" s="3" t="str">
        <f>INDEX('R1. Scenario specifications'!$C$11:$C$49,MATCH($B356,'R1. Scenario specifications'!$A$11:$A$49,0))</f>
        <v>Current 1.75DS, 2020 start, 'Expect the Unexpected' but with cheap EVs</v>
      </c>
      <c r="B356" s="3" t="s">
        <v>39</v>
      </c>
      <c r="C356" s="3" t="s">
        <v>71</v>
      </c>
      <c r="D356" s="3" t="s">
        <v>259</v>
      </c>
      <c r="E356" s="14">
        <v>55.461114646679903</v>
      </c>
      <c r="F356" s="14">
        <v>60.524118034134894</v>
      </c>
      <c r="G356" s="14">
        <v>64.687762917592892</v>
      </c>
      <c r="H356" s="14">
        <v>64.716528064517092</v>
      </c>
      <c r="I356" s="14">
        <v>64.781802833529241</v>
      </c>
      <c r="J356" s="14">
        <v>66.486200285036432</v>
      </c>
      <c r="K356" s="14">
        <v>67.588556566366179</v>
      </c>
      <c r="L356" s="14">
        <v>70.270731046034967</v>
      </c>
      <c r="M356" s="14">
        <v>83.221305329565055</v>
      </c>
      <c r="N356" s="14">
        <v>145.53030408050915</v>
      </c>
      <c r="O356" s="14">
        <v>145.51006556237795</v>
      </c>
    </row>
    <row r="357" spans="1:15" x14ac:dyDescent="0.3">
      <c r="A357" s="3" t="str">
        <f>INDEX('R1. Scenario specifications'!$C$11:$C$49,MATCH($B357,'R1. Scenario specifications'!$A$11:$A$49,0))</f>
        <v>Current 1.75DS, 2020 start, 'Expect the Unexpected' but with cheap EVs</v>
      </c>
      <c r="B357" s="3" t="s">
        <v>39</v>
      </c>
      <c r="C357" s="3" t="s">
        <v>75</v>
      </c>
      <c r="D357" s="3" t="s">
        <v>258</v>
      </c>
      <c r="E357" s="14">
        <v>1.963099940637433</v>
      </c>
      <c r="F357" s="14">
        <v>1.7858497922310126</v>
      </c>
      <c r="G357" s="14">
        <v>1.5022495547807513</v>
      </c>
      <c r="H357" s="14">
        <v>1.0014997031871682</v>
      </c>
      <c r="I357" s="14">
        <v>0.50074985159358409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</row>
    <row r="358" spans="1:15" x14ac:dyDescent="0.3">
      <c r="A358" s="3" t="str">
        <f>INDEX('R1. Scenario specifications'!$C$11:$C$49,MATCH($B358,'R1. Scenario specifications'!$A$11:$A$49,0))</f>
        <v>Current 1.75DS, 2020 start, 'Expect the Unexpected' but with cheap EVs</v>
      </c>
      <c r="B358" s="3" t="s">
        <v>39</v>
      </c>
      <c r="C358" s="3" t="s">
        <v>72</v>
      </c>
      <c r="D358" s="3" t="s">
        <v>260</v>
      </c>
      <c r="E358" s="14">
        <v>1517.4635089937533</v>
      </c>
      <c r="F358" s="14">
        <v>1704.9418897085425</v>
      </c>
      <c r="G358" s="14">
        <v>2685.5545190640855</v>
      </c>
      <c r="H358" s="14">
        <v>12163.37910459912</v>
      </c>
      <c r="I358" s="14">
        <v>27792.291756234787</v>
      </c>
      <c r="J358" s="14">
        <v>36113.544756779032</v>
      </c>
      <c r="K358" s="14">
        <v>51848.715436466257</v>
      </c>
      <c r="L358" s="14">
        <v>77950.035359350615</v>
      </c>
      <c r="M358" s="14">
        <v>126401.91400396528</v>
      </c>
      <c r="N358" s="14">
        <v>171082.93061148259</v>
      </c>
      <c r="O358" s="14">
        <v>205505.4488507123</v>
      </c>
    </row>
    <row r="359" spans="1:15" x14ac:dyDescent="0.3">
      <c r="A359" s="3" t="str">
        <f>INDEX('R1. Scenario specifications'!$C$11:$C$49,MATCH($B359,'R1. Scenario specifications'!$A$11:$A$49,0))</f>
        <v>Current 1.75DS, 2030 start, 'Expect the Unexpected' but with cheap EVs</v>
      </c>
      <c r="B359" s="3" t="s">
        <v>40</v>
      </c>
      <c r="C359" s="3" t="s">
        <v>262</v>
      </c>
      <c r="D359" s="3" t="s">
        <v>253</v>
      </c>
      <c r="E359" s="14">
        <v>49803.376306806284</v>
      </c>
      <c r="F359" s="14">
        <v>54246.265938380871</v>
      </c>
      <c r="G359" s="14">
        <v>71262.17128058261</v>
      </c>
      <c r="H359" s="14">
        <v>95987.494917697361</v>
      </c>
      <c r="I359" s="14">
        <v>131434.06667701868</v>
      </c>
      <c r="J359" s="14">
        <v>166575.92351928743</v>
      </c>
      <c r="K359" s="14">
        <v>233929.60946230026</v>
      </c>
      <c r="L359" s="14">
        <v>262812.2329188346</v>
      </c>
      <c r="M359" s="14">
        <v>291251.56409879576</v>
      </c>
      <c r="N359" s="14">
        <v>311018.05817772093</v>
      </c>
      <c r="O359" s="14">
        <v>327758.29974604148</v>
      </c>
    </row>
    <row r="360" spans="1:15" x14ac:dyDescent="0.3">
      <c r="A360" s="3" t="str">
        <f>INDEX('R1. Scenario specifications'!$C$11:$C$49,MATCH($B360,'R1. Scenario specifications'!$A$11:$A$49,0))</f>
        <v>Current 1.75DS, 2030 start, 'Expect the Unexpected' but with cheap EVs</v>
      </c>
      <c r="B360" s="3" t="s">
        <v>40</v>
      </c>
      <c r="C360" s="3" t="s">
        <v>60</v>
      </c>
      <c r="D360" s="3" t="s">
        <v>254</v>
      </c>
      <c r="E360" s="14">
        <v>132862.88014752162</v>
      </c>
      <c r="F360" s="14">
        <v>167772.98687500271</v>
      </c>
      <c r="G360" s="14">
        <v>133988.90917691623</v>
      </c>
      <c r="H360" s="14">
        <v>141587.52010422843</v>
      </c>
      <c r="I360" s="14">
        <v>64391.840267431231</v>
      </c>
      <c r="J360" s="14">
        <v>64724.112854575287</v>
      </c>
      <c r="K360" s="14">
        <v>67724.162903468648</v>
      </c>
      <c r="L360" s="14">
        <v>90705.805983314567</v>
      </c>
      <c r="M360" s="14">
        <v>93574.067001803487</v>
      </c>
      <c r="N360" s="14">
        <v>88952.455784547637</v>
      </c>
      <c r="O360" s="14">
        <v>74139.502767855287</v>
      </c>
    </row>
    <row r="361" spans="1:15" x14ac:dyDescent="0.3">
      <c r="A361" s="3" t="str">
        <f>INDEX('R1. Scenario specifications'!$C$11:$C$49,MATCH($B361,'R1. Scenario specifications'!$A$11:$A$49,0))</f>
        <v>Current 1.75DS, 2030 start, 'Expect the Unexpected' but with cheap EVs</v>
      </c>
      <c r="B361" s="3" t="s">
        <v>40</v>
      </c>
      <c r="C361" s="3" t="s">
        <v>61</v>
      </c>
      <c r="D361" s="3" t="s">
        <v>255</v>
      </c>
      <c r="E361" s="14">
        <v>113361.40893082572</v>
      </c>
      <c r="F361" s="14">
        <v>125068.22780197491</v>
      </c>
      <c r="G361" s="14">
        <v>164552.1853192726</v>
      </c>
      <c r="H361" s="14">
        <v>176766.93010542684</v>
      </c>
      <c r="I361" s="14">
        <v>197326.09757433919</v>
      </c>
      <c r="J361" s="14">
        <v>146706.26091197081</v>
      </c>
      <c r="K361" s="14">
        <v>104000.47679646309</v>
      </c>
      <c r="L361" s="14">
        <v>127539.62209337702</v>
      </c>
      <c r="M361" s="14">
        <v>104323.31013521946</v>
      </c>
      <c r="N361" s="14">
        <v>81679.796249146864</v>
      </c>
      <c r="O361" s="14">
        <v>74666.263020591548</v>
      </c>
    </row>
    <row r="362" spans="1:15" x14ac:dyDescent="0.3">
      <c r="A362" s="3" t="str">
        <f>INDEX('R1. Scenario specifications'!$C$11:$C$49,MATCH($B362,'R1. Scenario specifications'!$A$11:$A$49,0))</f>
        <v>Current 1.75DS, 2030 start, 'Expect the Unexpected' but with cheap EVs</v>
      </c>
      <c r="B362" s="3" t="s">
        <v>40</v>
      </c>
      <c r="C362" s="3" t="s">
        <v>263</v>
      </c>
      <c r="D362" s="3" t="s">
        <v>256</v>
      </c>
      <c r="E362" s="14">
        <v>10361.182910638019</v>
      </c>
      <c r="F362" s="14">
        <v>10438.652617147358</v>
      </c>
      <c r="G362" s="14">
        <v>14734.740994143709</v>
      </c>
      <c r="H362" s="14">
        <v>17241.713076375538</v>
      </c>
      <c r="I362" s="14">
        <v>19879.804032941971</v>
      </c>
      <c r="J362" s="14">
        <v>27388.032053583629</v>
      </c>
      <c r="K362" s="14">
        <v>31348.124736371614</v>
      </c>
      <c r="L362" s="14">
        <v>32533.060538672045</v>
      </c>
      <c r="M362" s="14">
        <v>34856.170011092625</v>
      </c>
      <c r="N362" s="14">
        <v>36875.789414411724</v>
      </c>
      <c r="O362" s="14">
        <v>37965.293454316292</v>
      </c>
    </row>
    <row r="363" spans="1:15" x14ac:dyDescent="0.3">
      <c r="A363" s="3" t="str">
        <f>INDEX('R1. Scenario specifications'!$C$11:$C$49,MATCH($B363,'R1. Scenario specifications'!$A$11:$A$49,0))</f>
        <v>Current 1.75DS, 2030 start, 'Expect the Unexpected' but with cheap EVs</v>
      </c>
      <c r="B363" s="3" t="s">
        <v>40</v>
      </c>
      <c r="C363" s="3" t="s">
        <v>264</v>
      </c>
      <c r="D363" s="3" t="s">
        <v>257</v>
      </c>
      <c r="E363" s="14">
        <v>9499.4101148835834</v>
      </c>
      <c r="F363" s="14">
        <v>9854.7685931259057</v>
      </c>
      <c r="G363" s="14">
        <v>13753.197500000002</v>
      </c>
      <c r="H363" s="14">
        <v>14514.167854150608</v>
      </c>
      <c r="I363" s="14">
        <v>15191.631806438925</v>
      </c>
      <c r="J363" s="14">
        <v>24925.344846272601</v>
      </c>
      <c r="K363" s="14">
        <v>29922.42636139792</v>
      </c>
      <c r="L363" s="14">
        <v>32028.690061309768</v>
      </c>
      <c r="M363" s="14">
        <v>36380.869945009479</v>
      </c>
      <c r="N363" s="14">
        <v>38453.58</v>
      </c>
      <c r="O363" s="14">
        <v>38867.372181180232</v>
      </c>
    </row>
    <row r="364" spans="1:15" x14ac:dyDescent="0.3">
      <c r="A364" s="3" t="str">
        <f>INDEX('R1. Scenario specifications'!$C$11:$C$49,MATCH($B364,'R1. Scenario specifications'!$A$11:$A$49,0))</f>
        <v>Current 1.75DS, 2030 start, 'Expect the Unexpected' but with cheap EVs</v>
      </c>
      <c r="B364" s="3" t="s">
        <v>40</v>
      </c>
      <c r="C364" s="3" t="s">
        <v>62</v>
      </c>
      <c r="D364" s="3" t="s">
        <v>266</v>
      </c>
      <c r="E364" s="14">
        <v>152832.4479725429</v>
      </c>
      <c r="F364" s="14">
        <v>158538.7874200783</v>
      </c>
      <c r="G364" s="14">
        <v>170699.74489631387</v>
      </c>
      <c r="H364" s="14">
        <v>176541.28948572898</v>
      </c>
      <c r="I364" s="14">
        <v>157696.20030085687</v>
      </c>
      <c r="J364" s="14">
        <v>152774.11538777195</v>
      </c>
      <c r="K364" s="14">
        <v>146660.9705186573</v>
      </c>
      <c r="L364" s="14">
        <v>153368.14912934834</v>
      </c>
      <c r="M364" s="14">
        <v>152845.87145411878</v>
      </c>
      <c r="N364" s="14">
        <v>147651.92283897844</v>
      </c>
      <c r="O364" s="14">
        <v>134875.02227776783</v>
      </c>
    </row>
    <row r="365" spans="1:15" x14ac:dyDescent="0.3">
      <c r="A365" s="3" t="str">
        <f>INDEX('R1. Scenario specifications'!$C$11:$C$49,MATCH($B365,'R1. Scenario specifications'!$A$11:$A$49,0))</f>
        <v>Current 1.75DS, 2030 start, 'Expect the Unexpected' but with cheap EVs</v>
      </c>
      <c r="B365" s="3" t="s">
        <v>40</v>
      </c>
      <c r="C365" s="3" t="s">
        <v>66</v>
      </c>
      <c r="D365" s="3" t="s">
        <v>258</v>
      </c>
      <c r="E365" s="14">
        <v>202.7012537766515</v>
      </c>
      <c r="F365" s="14">
        <v>194.90848865877462</v>
      </c>
      <c r="G365" s="14">
        <v>2771.4154518439864</v>
      </c>
      <c r="H365" s="14">
        <v>4278.9486538824649</v>
      </c>
      <c r="I365" s="14">
        <v>6309.6587084566008</v>
      </c>
      <c r="J365" s="14">
        <v>11971.702019307666</v>
      </c>
      <c r="K365" s="14">
        <v>20454.867832417487</v>
      </c>
      <c r="L365" s="14">
        <v>20458.984790256294</v>
      </c>
      <c r="M365" s="14">
        <v>21562.089840423363</v>
      </c>
      <c r="N365" s="14">
        <v>26315.004105234118</v>
      </c>
      <c r="O365" s="14">
        <v>27383.228623831561</v>
      </c>
    </row>
    <row r="366" spans="1:15" x14ac:dyDescent="0.3">
      <c r="A366" s="3" t="str">
        <f>INDEX('R1. Scenario specifications'!$C$11:$C$49,MATCH($B366,'R1. Scenario specifications'!$A$11:$A$49,0))</f>
        <v>Current 1.75DS, 2030 start, 'Expect the Unexpected' but with cheap EVs</v>
      </c>
      <c r="B366" s="3" t="s">
        <v>40</v>
      </c>
      <c r="C366" s="3" t="s">
        <v>70</v>
      </c>
      <c r="D366" s="3" t="s">
        <v>259</v>
      </c>
      <c r="E366" s="14">
        <v>67.937052631788802</v>
      </c>
      <c r="F366" s="14">
        <v>458.66984800047192</v>
      </c>
      <c r="G366" s="14">
        <v>917.48161125092997</v>
      </c>
      <c r="H366" s="14">
        <v>2670.3548260954558</v>
      </c>
      <c r="I366" s="14">
        <v>11304.718523439056</v>
      </c>
      <c r="J366" s="14">
        <v>27271.576910312651</v>
      </c>
      <c r="K366" s="14">
        <v>45446.520843496335</v>
      </c>
      <c r="L366" s="14">
        <v>61202.497157027581</v>
      </c>
      <c r="M366" s="14">
        <v>84903.054966893309</v>
      </c>
      <c r="N366" s="14">
        <v>103321.20083174817</v>
      </c>
      <c r="O366" s="14">
        <v>116811.97262916501</v>
      </c>
    </row>
    <row r="367" spans="1:15" x14ac:dyDescent="0.3">
      <c r="A367" s="3" t="str">
        <f>INDEX('R1. Scenario specifications'!$C$11:$C$49,MATCH($B367,'R1. Scenario specifications'!$A$11:$A$49,0))</f>
        <v>Current 1.75DS, 2030 start, 'Expect the Unexpected' but with cheap EVs</v>
      </c>
      <c r="B367" s="3" t="s">
        <v>40</v>
      </c>
      <c r="C367" s="3" t="s">
        <v>71</v>
      </c>
      <c r="D367" s="3" t="s">
        <v>259</v>
      </c>
      <c r="E367" s="14">
        <v>55.461114646679903</v>
      </c>
      <c r="F367" s="14">
        <v>60.524118034134894</v>
      </c>
      <c r="G367" s="14">
        <v>64.687762917592892</v>
      </c>
      <c r="H367" s="14">
        <v>64.713826068531574</v>
      </c>
      <c r="I367" s="14">
        <v>66.201487811954081</v>
      </c>
      <c r="J367" s="14">
        <v>73.332525749779734</v>
      </c>
      <c r="K367" s="14">
        <v>107.49486175270624</v>
      </c>
      <c r="L367" s="14">
        <v>102.97913405832723</v>
      </c>
      <c r="M367" s="14">
        <v>110.71036648640461</v>
      </c>
      <c r="N367" s="14">
        <v>123.65588828645951</v>
      </c>
      <c r="O367" s="14">
        <v>123.63059728485308</v>
      </c>
    </row>
    <row r="368" spans="1:15" x14ac:dyDescent="0.3">
      <c r="A368" s="3" t="str">
        <f>INDEX('R1. Scenario specifications'!$C$11:$C$49,MATCH($B368,'R1. Scenario specifications'!$A$11:$A$49,0))</f>
        <v>Current 1.75DS, 2030 start, 'Expect the Unexpected' but with cheap EVs</v>
      </c>
      <c r="B368" s="3" t="s">
        <v>40</v>
      </c>
      <c r="C368" s="3" t="s">
        <v>75</v>
      </c>
      <c r="D368" s="3" t="s">
        <v>258</v>
      </c>
      <c r="E368" s="14">
        <v>1.963099940637433</v>
      </c>
      <c r="F368" s="14">
        <v>1.7858497922310126</v>
      </c>
      <c r="G368" s="14">
        <v>1.5022495547807513</v>
      </c>
      <c r="H368" s="14">
        <v>1.0014997031871682</v>
      </c>
      <c r="I368" s="14">
        <v>0.50074985159358421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</row>
    <row r="369" spans="1:15" x14ac:dyDescent="0.3">
      <c r="A369" s="3" t="str">
        <f>INDEX('R1. Scenario specifications'!$C$11:$C$49,MATCH($B369,'R1. Scenario specifications'!$A$11:$A$49,0))</f>
        <v>Current 1.75DS, 2030 start, 'Expect the Unexpected' but with cheap EVs</v>
      </c>
      <c r="B369" s="3" t="s">
        <v>40</v>
      </c>
      <c r="C369" s="3" t="s">
        <v>72</v>
      </c>
      <c r="D369" s="3" t="s">
        <v>260</v>
      </c>
      <c r="E369" s="14">
        <v>1517.4635089937533</v>
      </c>
      <c r="F369" s="14">
        <v>1704.9418897085425</v>
      </c>
      <c r="G369" s="14">
        <v>2685.5545190640855</v>
      </c>
      <c r="H369" s="14">
        <v>10882.32058635127</v>
      </c>
      <c r="I369" s="14">
        <v>28058.422706789308</v>
      </c>
      <c r="J369" s="14">
        <v>38258.187134722182</v>
      </c>
      <c r="K369" s="14">
        <v>60639.233343819935</v>
      </c>
      <c r="L369" s="14">
        <v>82053.56498710296</v>
      </c>
      <c r="M369" s="14">
        <v>119708.96229935734</v>
      </c>
      <c r="N369" s="14">
        <v>160857.29811496238</v>
      </c>
      <c r="O369" s="14">
        <v>198450.07253776406</v>
      </c>
    </row>
    <row r="370" spans="1:15" x14ac:dyDescent="0.3">
      <c r="A370" s="3" t="str">
        <f>INDEX('R1. Scenario specifications'!$C$11:$C$49,MATCH($B370,'R1. Scenario specifications'!$A$11:$A$49,0))</f>
        <v>Current 1.75DS, 2020 start, 'Expect the Unexpected' but with cheap energy efficiency</v>
      </c>
      <c r="B370" s="3" t="s">
        <v>41</v>
      </c>
      <c r="C370" s="3" t="s">
        <v>262</v>
      </c>
      <c r="D370" s="3" t="s">
        <v>253</v>
      </c>
      <c r="E370" s="14">
        <v>49803.376306806284</v>
      </c>
      <c r="F370" s="14">
        <v>54246.265938380871</v>
      </c>
      <c r="G370" s="14">
        <v>71262.17128058261</v>
      </c>
      <c r="H370" s="14">
        <v>106747.39695414968</v>
      </c>
      <c r="I370" s="14">
        <v>126276.23123513718</v>
      </c>
      <c r="J370" s="14">
        <v>154802.45372343046</v>
      </c>
      <c r="K370" s="14">
        <v>193608.70516789856</v>
      </c>
      <c r="L370" s="14">
        <v>251502.7537802319</v>
      </c>
      <c r="M370" s="14">
        <v>287776.39170176466</v>
      </c>
      <c r="N370" s="14">
        <v>310530.36957014358</v>
      </c>
      <c r="O370" s="14">
        <v>327783.56466479448</v>
      </c>
    </row>
    <row r="371" spans="1:15" x14ac:dyDescent="0.3">
      <c r="A371" s="3" t="str">
        <f>INDEX('R1. Scenario specifications'!$C$11:$C$49,MATCH($B371,'R1. Scenario specifications'!$A$11:$A$49,0))</f>
        <v>Current 1.75DS, 2020 start, 'Expect the Unexpected' but with cheap energy efficiency</v>
      </c>
      <c r="B371" s="3" t="s">
        <v>41</v>
      </c>
      <c r="C371" s="3" t="s">
        <v>60</v>
      </c>
      <c r="D371" s="3" t="s">
        <v>254</v>
      </c>
      <c r="E371" s="14">
        <v>132862.88014752162</v>
      </c>
      <c r="F371" s="14">
        <v>167772.98687500271</v>
      </c>
      <c r="G371" s="14">
        <v>133988.90917691623</v>
      </c>
      <c r="H371" s="14">
        <v>91722.239465830164</v>
      </c>
      <c r="I371" s="14">
        <v>55445.624724772104</v>
      </c>
      <c r="J371" s="14">
        <v>47356.156374648403</v>
      </c>
      <c r="K371" s="14">
        <v>54887.47498349558</v>
      </c>
      <c r="L371" s="14">
        <v>72137.318236203937</v>
      </c>
      <c r="M371" s="14">
        <v>74970.720811118648</v>
      </c>
      <c r="N371" s="14">
        <v>70036.568605482811</v>
      </c>
      <c r="O371" s="14">
        <v>52395.887526749844</v>
      </c>
    </row>
    <row r="372" spans="1:15" x14ac:dyDescent="0.3">
      <c r="A372" s="3" t="str">
        <f>INDEX('R1. Scenario specifications'!$C$11:$C$49,MATCH($B372,'R1. Scenario specifications'!$A$11:$A$49,0))</f>
        <v>Current 1.75DS, 2020 start, 'Expect the Unexpected' but with cheap energy efficiency</v>
      </c>
      <c r="B372" s="3" t="s">
        <v>41</v>
      </c>
      <c r="C372" s="3" t="s">
        <v>61</v>
      </c>
      <c r="D372" s="3" t="s">
        <v>255</v>
      </c>
      <c r="E372" s="14">
        <v>113361.40893082572</v>
      </c>
      <c r="F372" s="14">
        <v>125068.22780197491</v>
      </c>
      <c r="G372" s="14">
        <v>164552.1853192726</v>
      </c>
      <c r="H372" s="14">
        <v>177949.70353983087</v>
      </c>
      <c r="I372" s="14">
        <v>179276.13589213681</v>
      </c>
      <c r="J372" s="14">
        <v>175533.11969510315</v>
      </c>
      <c r="K372" s="14">
        <v>156044.77354242589</v>
      </c>
      <c r="L372" s="14">
        <v>122845.05315122083</v>
      </c>
      <c r="M372" s="14">
        <v>80327.039555130046</v>
      </c>
      <c r="N372" s="14">
        <v>58764.652702252912</v>
      </c>
      <c r="O372" s="14">
        <v>53963.567366590847</v>
      </c>
    </row>
    <row r="373" spans="1:15" x14ac:dyDescent="0.3">
      <c r="A373" s="3" t="str">
        <f>INDEX('R1. Scenario specifications'!$C$11:$C$49,MATCH($B373,'R1. Scenario specifications'!$A$11:$A$49,0))</f>
        <v>Current 1.75DS, 2020 start, 'Expect the Unexpected' but with cheap energy efficiency</v>
      </c>
      <c r="B373" s="3" t="s">
        <v>41</v>
      </c>
      <c r="C373" s="3" t="s">
        <v>263</v>
      </c>
      <c r="D373" s="3" t="s">
        <v>256</v>
      </c>
      <c r="E373" s="14">
        <v>10361.182910638019</v>
      </c>
      <c r="F373" s="14">
        <v>10438.652617147358</v>
      </c>
      <c r="G373" s="14">
        <v>14734.740994143709</v>
      </c>
      <c r="H373" s="14">
        <v>17429.809263707262</v>
      </c>
      <c r="I373" s="14">
        <v>20575.628565263443</v>
      </c>
      <c r="J373" s="14">
        <v>23298.850234313955</v>
      </c>
      <c r="K373" s="14">
        <v>24562.454065828784</v>
      </c>
      <c r="L373" s="14">
        <v>25990.685613598529</v>
      </c>
      <c r="M373" s="14">
        <v>30597.787261179565</v>
      </c>
      <c r="N373" s="14">
        <v>33463.797477550615</v>
      </c>
      <c r="O373" s="14">
        <v>34596.924604444823</v>
      </c>
    </row>
    <row r="374" spans="1:15" x14ac:dyDescent="0.3">
      <c r="A374" s="3" t="str">
        <f>INDEX('R1. Scenario specifications'!$C$11:$C$49,MATCH($B374,'R1. Scenario specifications'!$A$11:$A$49,0))</f>
        <v>Current 1.75DS, 2020 start, 'Expect the Unexpected' but with cheap energy efficiency</v>
      </c>
      <c r="B374" s="3" t="s">
        <v>41</v>
      </c>
      <c r="C374" s="3" t="s">
        <v>264</v>
      </c>
      <c r="D374" s="3" t="s">
        <v>257</v>
      </c>
      <c r="E374" s="14">
        <v>9499.4101148835834</v>
      </c>
      <c r="F374" s="14">
        <v>9854.7685931259057</v>
      </c>
      <c r="G374" s="14">
        <v>13753.197500000002</v>
      </c>
      <c r="H374" s="14">
        <v>14514.167854150608</v>
      </c>
      <c r="I374" s="14">
        <v>16970.054065313703</v>
      </c>
      <c r="J374" s="14">
        <v>21808.685864935163</v>
      </c>
      <c r="K374" s="14">
        <v>25298.151988299887</v>
      </c>
      <c r="L374" s="14">
        <v>28409.428874508598</v>
      </c>
      <c r="M374" s="14">
        <v>35773.620000000003</v>
      </c>
      <c r="N374" s="14">
        <v>37908.53</v>
      </c>
      <c r="O374" s="14">
        <v>39172.206247214352</v>
      </c>
    </row>
    <row r="375" spans="1:15" x14ac:dyDescent="0.3">
      <c r="A375" s="3" t="str">
        <f>INDEX('R1. Scenario specifications'!$C$11:$C$49,MATCH($B375,'R1. Scenario specifications'!$A$11:$A$49,0))</f>
        <v>Current 1.75DS, 2020 start, 'Expect the Unexpected' but with cheap energy efficiency</v>
      </c>
      <c r="B375" s="3" t="s">
        <v>41</v>
      </c>
      <c r="C375" s="3" t="s">
        <v>62</v>
      </c>
      <c r="D375" s="3" t="s">
        <v>266</v>
      </c>
      <c r="E375" s="14">
        <v>152832.4479725429</v>
      </c>
      <c r="F375" s="14">
        <v>158538.7874200783</v>
      </c>
      <c r="G375" s="14">
        <v>170699.74489631387</v>
      </c>
      <c r="H375" s="14">
        <v>161658.29242975696</v>
      </c>
      <c r="I375" s="14">
        <v>156000.62096924766</v>
      </c>
      <c r="J375" s="14">
        <v>137647.51013901827</v>
      </c>
      <c r="K375" s="14">
        <v>136372.73174709463</v>
      </c>
      <c r="L375" s="14">
        <v>138674.89238388458</v>
      </c>
      <c r="M375" s="14">
        <v>136466.25551058393</v>
      </c>
      <c r="N375" s="14">
        <v>133980.41835477052</v>
      </c>
      <c r="O375" s="14">
        <v>123108.81636050406</v>
      </c>
    </row>
    <row r="376" spans="1:15" x14ac:dyDescent="0.3">
      <c r="A376" s="3" t="str">
        <f>INDEX('R1. Scenario specifications'!$C$11:$C$49,MATCH($B376,'R1. Scenario specifications'!$A$11:$A$49,0))</f>
        <v>Current 1.75DS, 2020 start, 'Expect the Unexpected' but with cheap energy efficiency</v>
      </c>
      <c r="B376" s="3" t="s">
        <v>41</v>
      </c>
      <c r="C376" s="3" t="s">
        <v>66</v>
      </c>
      <c r="D376" s="3" t="s">
        <v>258</v>
      </c>
      <c r="E376" s="14">
        <v>202.7012537766515</v>
      </c>
      <c r="F376" s="14">
        <v>194.90848865877462</v>
      </c>
      <c r="G376" s="14">
        <v>2771.4154518439864</v>
      </c>
      <c r="H376" s="14">
        <v>4289.802543453764</v>
      </c>
      <c r="I376" s="14">
        <v>5769.4005786381322</v>
      </c>
      <c r="J376" s="14">
        <v>7512.0888962574527</v>
      </c>
      <c r="K376" s="14">
        <v>8615.2128458758689</v>
      </c>
      <c r="L376" s="14">
        <v>9936.3858024527235</v>
      </c>
      <c r="M376" s="14">
        <v>17308.019289415926</v>
      </c>
      <c r="N376" s="14">
        <v>19348.142519854402</v>
      </c>
      <c r="O376" s="14">
        <v>20438.145331448563</v>
      </c>
    </row>
    <row r="377" spans="1:15" x14ac:dyDescent="0.3">
      <c r="A377" s="3" t="str">
        <f>INDEX('R1. Scenario specifications'!$C$11:$C$49,MATCH($B377,'R1. Scenario specifications'!$A$11:$A$49,0))</f>
        <v>Current 1.75DS, 2020 start, 'Expect the Unexpected' but with cheap energy efficiency</v>
      </c>
      <c r="B377" s="3" t="s">
        <v>41</v>
      </c>
      <c r="C377" s="3" t="s">
        <v>70</v>
      </c>
      <c r="D377" s="3" t="s">
        <v>259</v>
      </c>
      <c r="E377" s="14">
        <v>67.937052631788802</v>
      </c>
      <c r="F377" s="14">
        <v>458.66984800047192</v>
      </c>
      <c r="G377" s="14">
        <v>917.48161125092997</v>
      </c>
      <c r="H377" s="14">
        <v>4161.0793988485239</v>
      </c>
      <c r="I377" s="14">
        <v>14481.737824846059</v>
      </c>
      <c r="J377" s="14">
        <v>23342.217553300434</v>
      </c>
      <c r="K377" s="14">
        <v>31291.146342126831</v>
      </c>
      <c r="L377" s="14">
        <v>44670.070567728886</v>
      </c>
      <c r="M377" s="14">
        <v>68510.026757162777</v>
      </c>
      <c r="N377" s="14">
        <v>85277.564141506547</v>
      </c>
      <c r="O377" s="14">
        <v>100879.60205135096</v>
      </c>
    </row>
    <row r="378" spans="1:15" x14ac:dyDescent="0.3">
      <c r="A378" s="3" t="str">
        <f>INDEX('R1. Scenario specifications'!$C$11:$C$49,MATCH($B378,'R1. Scenario specifications'!$A$11:$A$49,0))</f>
        <v>Current 1.75DS, 2020 start, 'Expect the Unexpected' but with cheap energy efficiency</v>
      </c>
      <c r="B378" s="3" t="s">
        <v>41</v>
      </c>
      <c r="C378" s="3" t="s">
        <v>71</v>
      </c>
      <c r="D378" s="3" t="s">
        <v>259</v>
      </c>
      <c r="E378" s="14">
        <v>55.461114646679903</v>
      </c>
      <c r="F378" s="14">
        <v>60.524118034134894</v>
      </c>
      <c r="G378" s="14">
        <v>64.687762917592892</v>
      </c>
      <c r="H378" s="14">
        <v>64.716528064517092</v>
      </c>
      <c r="I378" s="14">
        <v>64.781802833529241</v>
      </c>
      <c r="J378" s="14">
        <v>65.030939862953346</v>
      </c>
      <c r="K378" s="14">
        <v>66.133293809708022</v>
      </c>
      <c r="L378" s="14">
        <v>68.815470623951882</v>
      </c>
      <c r="M378" s="14">
        <v>81.76604490748197</v>
      </c>
      <c r="N378" s="14">
        <v>81.745806389350733</v>
      </c>
      <c r="O378" s="14">
        <v>81.725567871219539</v>
      </c>
    </row>
    <row r="379" spans="1:15" x14ac:dyDescent="0.3">
      <c r="A379" s="3" t="str">
        <f>INDEX('R1. Scenario specifications'!$C$11:$C$49,MATCH($B379,'R1. Scenario specifications'!$A$11:$A$49,0))</f>
        <v>Current 1.75DS, 2020 start, 'Expect the Unexpected' but with cheap energy efficiency</v>
      </c>
      <c r="B379" s="3" t="s">
        <v>41</v>
      </c>
      <c r="C379" s="3" t="s">
        <v>75</v>
      </c>
      <c r="D379" s="3" t="s">
        <v>258</v>
      </c>
      <c r="E379" s="14">
        <v>1.963099940637433</v>
      </c>
      <c r="F379" s="14">
        <v>1.7858497922310126</v>
      </c>
      <c r="G379" s="14">
        <v>1.5022495547807513</v>
      </c>
      <c r="H379" s="14">
        <v>1.0014997031871673</v>
      </c>
      <c r="I379" s="14">
        <v>0.50074985159358421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</row>
    <row r="380" spans="1:15" x14ac:dyDescent="0.3">
      <c r="A380" s="3" t="str">
        <f>INDEX('R1. Scenario specifications'!$C$11:$C$49,MATCH($B380,'R1. Scenario specifications'!$A$11:$A$49,0))</f>
        <v>Current 1.75DS, 2020 start, 'Expect the Unexpected' but with cheap energy efficiency</v>
      </c>
      <c r="B380" s="3" t="s">
        <v>41</v>
      </c>
      <c r="C380" s="3" t="s">
        <v>72</v>
      </c>
      <c r="D380" s="3" t="s">
        <v>260</v>
      </c>
      <c r="E380" s="14">
        <v>1517.4635089937533</v>
      </c>
      <c r="F380" s="14">
        <v>1704.9418897085425</v>
      </c>
      <c r="G380" s="14">
        <v>2685.5545190640855</v>
      </c>
      <c r="H380" s="14">
        <v>12185.228620637945</v>
      </c>
      <c r="I380" s="14">
        <v>26703.320924165288</v>
      </c>
      <c r="J380" s="14">
        <v>32376.28792287879</v>
      </c>
      <c r="K380" s="14">
        <v>42733.952260776743</v>
      </c>
      <c r="L380" s="14">
        <v>63341.857717189298</v>
      </c>
      <c r="M380" s="14">
        <v>103097.25381835803</v>
      </c>
      <c r="N380" s="14">
        <v>138927.94270948754</v>
      </c>
      <c r="O380" s="14">
        <v>173366.16241880174</v>
      </c>
    </row>
    <row r="381" spans="1:15" x14ac:dyDescent="0.3">
      <c r="A381" s="3" t="str">
        <f>INDEX('R1. Scenario specifications'!$C$11:$C$49,MATCH($B381,'R1. Scenario specifications'!$A$11:$A$49,0))</f>
        <v>Current 1.75DS, 2030 start, 'Expect the Unexpected' but with cheap energy efficiency</v>
      </c>
      <c r="B381" s="3" t="s">
        <v>42</v>
      </c>
      <c r="C381" s="3" t="s">
        <v>262</v>
      </c>
      <c r="D381" s="3" t="s">
        <v>253</v>
      </c>
      <c r="E381" s="14">
        <v>49803.376306806284</v>
      </c>
      <c r="F381" s="14">
        <v>54246.265938380871</v>
      </c>
      <c r="G381" s="14">
        <v>71262.17128058261</v>
      </c>
      <c r="H381" s="14">
        <v>95987.494917697361</v>
      </c>
      <c r="I381" s="14">
        <v>122182.55076545553</v>
      </c>
      <c r="J381" s="14">
        <v>154266.57913177542</v>
      </c>
      <c r="K381" s="14">
        <v>215186.67298743478</v>
      </c>
      <c r="L381" s="14">
        <v>253320.6673111337</v>
      </c>
      <c r="M381" s="14">
        <v>278850.68886856077</v>
      </c>
      <c r="N381" s="14">
        <v>310894.74978704582</v>
      </c>
      <c r="O381" s="14">
        <v>327688.36325122719</v>
      </c>
    </row>
    <row r="382" spans="1:15" x14ac:dyDescent="0.3">
      <c r="A382" s="3" t="str">
        <f>INDEX('R1. Scenario specifications'!$C$11:$C$49,MATCH($B382,'R1. Scenario specifications'!$A$11:$A$49,0))</f>
        <v>Current 1.75DS, 2030 start, 'Expect the Unexpected' but with cheap energy efficiency</v>
      </c>
      <c r="B382" s="3" t="s">
        <v>42</v>
      </c>
      <c r="C382" s="3" t="s">
        <v>60</v>
      </c>
      <c r="D382" s="3" t="s">
        <v>254</v>
      </c>
      <c r="E382" s="14">
        <v>132862.88014752162</v>
      </c>
      <c r="F382" s="14">
        <v>167772.98687500271</v>
      </c>
      <c r="G382" s="14">
        <v>133988.90917691623</v>
      </c>
      <c r="H382" s="14">
        <v>141587.52010422843</v>
      </c>
      <c r="I382" s="14">
        <v>66913.766607837679</v>
      </c>
      <c r="J382" s="14">
        <v>51139.267472208339</v>
      </c>
      <c r="K382" s="14">
        <v>51015.115302884864</v>
      </c>
      <c r="L382" s="14">
        <v>72527.515583808694</v>
      </c>
      <c r="M382" s="14">
        <v>75388.08202840302</v>
      </c>
      <c r="N382" s="14">
        <v>77166.310720471563</v>
      </c>
      <c r="O382" s="14">
        <v>61327.275353228557</v>
      </c>
    </row>
    <row r="383" spans="1:15" x14ac:dyDescent="0.3">
      <c r="A383" s="3" t="str">
        <f>INDEX('R1. Scenario specifications'!$C$11:$C$49,MATCH($B383,'R1. Scenario specifications'!$A$11:$A$49,0))</f>
        <v>Current 1.75DS, 2030 start, 'Expect the Unexpected' but with cheap energy efficiency</v>
      </c>
      <c r="B383" s="3" t="s">
        <v>42</v>
      </c>
      <c r="C383" s="3" t="s">
        <v>61</v>
      </c>
      <c r="D383" s="3" t="s">
        <v>255</v>
      </c>
      <c r="E383" s="14">
        <v>113361.40893082572</v>
      </c>
      <c r="F383" s="14">
        <v>125068.22780197491</v>
      </c>
      <c r="G383" s="14">
        <v>164552.1853192726</v>
      </c>
      <c r="H383" s="14">
        <v>176766.93010542684</v>
      </c>
      <c r="I383" s="14">
        <v>187169.98039094862</v>
      </c>
      <c r="J383" s="14">
        <v>141537.2371155248</v>
      </c>
      <c r="K383" s="14">
        <v>85946.700649356062</v>
      </c>
      <c r="L383" s="14">
        <v>111725.30881460328</v>
      </c>
      <c r="M383" s="14">
        <v>92029.628115093248</v>
      </c>
      <c r="N383" s="14">
        <v>66584.727603928288</v>
      </c>
      <c r="O383" s="14">
        <v>61449.784264192545</v>
      </c>
    </row>
    <row r="384" spans="1:15" x14ac:dyDescent="0.3">
      <c r="A384" s="3" t="str">
        <f>INDEX('R1. Scenario specifications'!$C$11:$C$49,MATCH($B384,'R1. Scenario specifications'!$A$11:$A$49,0))</f>
        <v>Current 1.75DS, 2030 start, 'Expect the Unexpected' but with cheap energy efficiency</v>
      </c>
      <c r="B384" s="3" t="s">
        <v>42</v>
      </c>
      <c r="C384" s="3" t="s">
        <v>263</v>
      </c>
      <c r="D384" s="3" t="s">
        <v>256</v>
      </c>
      <c r="E384" s="14">
        <v>10361.182910638019</v>
      </c>
      <c r="F384" s="14">
        <v>10438.652617147358</v>
      </c>
      <c r="G384" s="14">
        <v>14734.740994143709</v>
      </c>
      <c r="H384" s="14">
        <v>17241.713076375538</v>
      </c>
      <c r="I384" s="14">
        <v>19656.978487898239</v>
      </c>
      <c r="J384" s="14">
        <v>25201.445895567958</v>
      </c>
      <c r="K384" s="14">
        <v>27571.862985799689</v>
      </c>
      <c r="L384" s="14">
        <v>28442.580003979674</v>
      </c>
      <c r="M384" s="14">
        <v>30799.805923829463</v>
      </c>
      <c r="N384" s="14">
        <v>34256.827976989334</v>
      </c>
      <c r="O384" s="14">
        <v>35471.115290270543</v>
      </c>
    </row>
    <row r="385" spans="1:15" x14ac:dyDescent="0.3">
      <c r="A385" s="3" t="str">
        <f>INDEX('R1. Scenario specifications'!$C$11:$C$49,MATCH($B385,'R1. Scenario specifications'!$A$11:$A$49,0))</f>
        <v>Current 1.75DS, 2030 start, 'Expect the Unexpected' but with cheap energy efficiency</v>
      </c>
      <c r="B385" s="3" t="s">
        <v>42</v>
      </c>
      <c r="C385" s="3" t="s">
        <v>264</v>
      </c>
      <c r="D385" s="3" t="s">
        <v>257</v>
      </c>
      <c r="E385" s="14">
        <v>9499.4101148835834</v>
      </c>
      <c r="F385" s="14">
        <v>9854.7685931259057</v>
      </c>
      <c r="G385" s="14">
        <v>13753.197500000002</v>
      </c>
      <c r="H385" s="14">
        <v>14514.167854150608</v>
      </c>
      <c r="I385" s="14">
        <v>15191.631806438925</v>
      </c>
      <c r="J385" s="14">
        <v>23054.589344872682</v>
      </c>
      <c r="K385" s="14">
        <v>29865.387834399109</v>
      </c>
      <c r="L385" s="14">
        <v>31781.392870893214</v>
      </c>
      <c r="M385" s="14">
        <v>34918.789850431647</v>
      </c>
      <c r="N385" s="14">
        <v>37493.721999544257</v>
      </c>
      <c r="O385" s="14">
        <v>39307.898370938521</v>
      </c>
    </row>
    <row r="386" spans="1:15" x14ac:dyDescent="0.3">
      <c r="A386" s="3" t="str">
        <f>INDEX('R1. Scenario specifications'!$C$11:$C$49,MATCH($B386,'R1. Scenario specifications'!$A$11:$A$49,0))</f>
        <v>Current 1.75DS, 2030 start, 'Expect the Unexpected' but with cheap energy efficiency</v>
      </c>
      <c r="B386" s="3" t="s">
        <v>42</v>
      </c>
      <c r="C386" s="3" t="s">
        <v>62</v>
      </c>
      <c r="D386" s="3" t="s">
        <v>266</v>
      </c>
      <c r="E386" s="14">
        <v>152832.4479725429</v>
      </c>
      <c r="F386" s="14">
        <v>158538.7874200783</v>
      </c>
      <c r="G386" s="14">
        <v>170699.74489631387</v>
      </c>
      <c r="H386" s="14">
        <v>176541.28948572898</v>
      </c>
      <c r="I386" s="14">
        <v>154028.20556073016</v>
      </c>
      <c r="J386" s="14">
        <v>143495.0278842056</v>
      </c>
      <c r="K386" s="14">
        <v>134430.14614506435</v>
      </c>
      <c r="L386" s="14">
        <v>135916.74037702789</v>
      </c>
      <c r="M386" s="14">
        <v>137080.04627657289</v>
      </c>
      <c r="N386" s="14">
        <v>135230.17293597141</v>
      </c>
      <c r="O386" s="14">
        <v>123789.95711707941</v>
      </c>
    </row>
    <row r="387" spans="1:15" x14ac:dyDescent="0.3">
      <c r="A387" s="3" t="str">
        <f>INDEX('R1. Scenario specifications'!$C$11:$C$49,MATCH($B387,'R1. Scenario specifications'!$A$11:$A$49,0))</f>
        <v>Current 1.75DS, 2030 start, 'Expect the Unexpected' but with cheap energy efficiency</v>
      </c>
      <c r="B387" s="3" t="s">
        <v>42</v>
      </c>
      <c r="C387" s="3" t="s">
        <v>66</v>
      </c>
      <c r="D387" s="3" t="s">
        <v>258</v>
      </c>
      <c r="E387" s="14">
        <v>202.7012537766515</v>
      </c>
      <c r="F387" s="14">
        <v>194.90848865877462</v>
      </c>
      <c r="G387" s="14">
        <v>2771.4154518439864</v>
      </c>
      <c r="H387" s="14">
        <v>4278.9486538824649</v>
      </c>
      <c r="I387" s="14">
        <v>5811.9106743267403</v>
      </c>
      <c r="J387" s="14">
        <v>8933.4682889084906</v>
      </c>
      <c r="K387" s="14">
        <v>16553.100742347906</v>
      </c>
      <c r="L387" s="14">
        <v>15500.344679210726</v>
      </c>
      <c r="M387" s="14">
        <v>16781.533396843595</v>
      </c>
      <c r="N387" s="14">
        <v>17740.067256039456</v>
      </c>
      <c r="O387" s="14">
        <v>18134.495589745242</v>
      </c>
    </row>
    <row r="388" spans="1:15" x14ac:dyDescent="0.3">
      <c r="A388" s="3" t="str">
        <f>INDEX('R1. Scenario specifications'!$C$11:$C$49,MATCH($B388,'R1. Scenario specifications'!$A$11:$A$49,0))</f>
        <v>Current 1.75DS, 2030 start, 'Expect the Unexpected' but with cheap energy efficiency</v>
      </c>
      <c r="B388" s="3" t="s">
        <v>42</v>
      </c>
      <c r="C388" s="3" t="s">
        <v>70</v>
      </c>
      <c r="D388" s="3" t="s">
        <v>259</v>
      </c>
      <c r="E388" s="14">
        <v>67.937052631788802</v>
      </c>
      <c r="F388" s="14">
        <v>458.66984800047192</v>
      </c>
      <c r="G388" s="14">
        <v>917.48161125092997</v>
      </c>
      <c r="H388" s="14">
        <v>2670.3548260954558</v>
      </c>
      <c r="I388" s="14">
        <v>10870.605057566898</v>
      </c>
      <c r="J388" s="14">
        <v>24125.369742572464</v>
      </c>
      <c r="K388" s="14">
        <v>37453.306298722469</v>
      </c>
      <c r="L388" s="14">
        <v>46035.128332511762</v>
      </c>
      <c r="M388" s="14">
        <v>63019.614245937744</v>
      </c>
      <c r="N388" s="14">
        <v>81313.668493367149</v>
      </c>
      <c r="O388" s="14">
        <v>95384.931697684544</v>
      </c>
    </row>
    <row r="389" spans="1:15" x14ac:dyDescent="0.3">
      <c r="A389" s="3" t="str">
        <f>INDEX('R1. Scenario specifications'!$C$11:$C$49,MATCH($B389,'R1. Scenario specifications'!$A$11:$A$49,0))</f>
        <v>Current 1.75DS, 2030 start, 'Expect the Unexpected' but with cheap energy efficiency</v>
      </c>
      <c r="B389" s="3" t="s">
        <v>42</v>
      </c>
      <c r="C389" s="3" t="s">
        <v>71</v>
      </c>
      <c r="D389" s="3" t="s">
        <v>259</v>
      </c>
      <c r="E389" s="14">
        <v>55.461114646679903</v>
      </c>
      <c r="F389" s="14">
        <v>60.524118034134894</v>
      </c>
      <c r="G389" s="14">
        <v>64.687762917592892</v>
      </c>
      <c r="H389" s="14">
        <v>64.713826068531574</v>
      </c>
      <c r="I389" s="14">
        <v>66.197703920261077</v>
      </c>
      <c r="J389" s="14">
        <v>73.311803843972768</v>
      </c>
      <c r="K389" s="14">
        <v>107.40489928017374</v>
      </c>
      <c r="L389" s="14">
        <v>107.37960827856735</v>
      </c>
      <c r="M389" s="14">
        <v>107.35431727696094</v>
      </c>
      <c r="N389" s="14">
        <v>107.32902627535455</v>
      </c>
      <c r="O389" s="14">
        <v>107.30373527374813</v>
      </c>
    </row>
    <row r="390" spans="1:15" x14ac:dyDescent="0.3">
      <c r="A390" s="3" t="str">
        <f>INDEX('R1. Scenario specifications'!$C$11:$C$49,MATCH($B390,'R1. Scenario specifications'!$A$11:$A$49,0))</f>
        <v>Current 1.75DS, 2030 start, 'Expect the Unexpected' but with cheap energy efficiency</v>
      </c>
      <c r="B390" s="3" t="s">
        <v>42</v>
      </c>
      <c r="C390" s="3" t="s">
        <v>75</v>
      </c>
      <c r="D390" s="3" t="s">
        <v>258</v>
      </c>
      <c r="E390" s="14">
        <v>1.963099940637433</v>
      </c>
      <c r="F390" s="14">
        <v>1.7858497922310126</v>
      </c>
      <c r="G390" s="14">
        <v>1.5022495547807513</v>
      </c>
      <c r="H390" s="14">
        <v>1.0014997031871682</v>
      </c>
      <c r="I390" s="14">
        <v>0.50074985159358421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</row>
    <row r="391" spans="1:15" x14ac:dyDescent="0.3">
      <c r="A391" s="3" t="str">
        <f>INDEX('R1. Scenario specifications'!$C$11:$C$49,MATCH($B391,'R1. Scenario specifications'!$A$11:$A$49,0))</f>
        <v>Current 1.75DS, 2030 start, 'Expect the Unexpected' but with cheap energy efficiency</v>
      </c>
      <c r="B391" s="3" t="s">
        <v>42</v>
      </c>
      <c r="C391" s="3" t="s">
        <v>72</v>
      </c>
      <c r="D391" s="3" t="s">
        <v>260</v>
      </c>
      <c r="E391" s="14">
        <v>1517.4635089937533</v>
      </c>
      <c r="F391" s="14">
        <v>1704.9418897085425</v>
      </c>
      <c r="G391" s="14">
        <v>2685.5545190640855</v>
      </c>
      <c r="H391" s="14">
        <v>10882.32058635127</v>
      </c>
      <c r="I391" s="14">
        <v>26197.34904533016</v>
      </c>
      <c r="J391" s="14">
        <v>32678.24608128213</v>
      </c>
      <c r="K391" s="14">
        <v>50852.069095025246</v>
      </c>
      <c r="L391" s="14">
        <v>63687.278716971952</v>
      </c>
      <c r="M391" s="14">
        <v>94397.838715365113</v>
      </c>
      <c r="N391" s="14">
        <v>132599.12156369686</v>
      </c>
      <c r="O391" s="14">
        <v>166233.91414545765</v>
      </c>
    </row>
    <row r="392" spans="1:15" x14ac:dyDescent="0.3">
      <c r="A392" s="3" t="str">
        <f>INDEX('R1. Scenario specifications'!$C$11:$C$49,MATCH($B392,'R1. Scenario specifications'!$A$11:$A$49,0))</f>
        <v>Current 1.75DS, 2020 start, 'Expect the Unexpected' but with most conservative biomass CCS / NET technology cost assumptions</v>
      </c>
      <c r="B392" s="3" t="s">
        <v>43</v>
      </c>
      <c r="C392" s="3" t="s">
        <v>262</v>
      </c>
      <c r="D392" s="3" t="s">
        <v>253</v>
      </c>
      <c r="E392" s="14">
        <v>49803.376306806284</v>
      </c>
      <c r="F392" s="14">
        <v>54246.265938380871</v>
      </c>
      <c r="G392" s="14">
        <v>71262.17128058261</v>
      </c>
      <c r="H392" s="14">
        <v>108615.05341732076</v>
      </c>
      <c r="I392" s="14">
        <v>131426.08167502016</v>
      </c>
      <c r="J392" s="14">
        <v>156974.00461474451</v>
      </c>
      <c r="K392" s="14">
        <v>207407.7077133072</v>
      </c>
      <c r="L392" s="14">
        <v>263278.88555660145</v>
      </c>
      <c r="M392" s="14">
        <v>294134.23466394318</v>
      </c>
      <c r="N392" s="14">
        <v>310990.62967487762</v>
      </c>
      <c r="O392" s="14">
        <v>327798.39083808195</v>
      </c>
    </row>
    <row r="393" spans="1:15" x14ac:dyDescent="0.3">
      <c r="A393" s="3" t="str">
        <f>INDEX('R1. Scenario specifications'!$C$11:$C$49,MATCH($B393,'R1. Scenario specifications'!$A$11:$A$49,0))</f>
        <v>Current 1.75DS, 2020 start, 'Expect the Unexpected' but with most conservative biomass CCS / NET technology cost assumptions</v>
      </c>
      <c r="B393" s="3" t="s">
        <v>43</v>
      </c>
      <c r="C393" s="3" t="s">
        <v>60</v>
      </c>
      <c r="D393" s="3" t="s">
        <v>254</v>
      </c>
      <c r="E393" s="14">
        <v>132862.88014752162</v>
      </c>
      <c r="F393" s="14">
        <v>167772.98687500271</v>
      </c>
      <c r="G393" s="14">
        <v>133988.90917691623</v>
      </c>
      <c r="H393" s="14">
        <v>78335.851731385774</v>
      </c>
      <c r="I393" s="14">
        <v>51683.655804972339</v>
      </c>
      <c r="J393" s="14">
        <v>60785.226998565791</v>
      </c>
      <c r="K393" s="14">
        <v>86362.047736010019</v>
      </c>
      <c r="L393" s="14">
        <v>90543.971741688889</v>
      </c>
      <c r="M393" s="14">
        <v>93450.636485734722</v>
      </c>
      <c r="N393" s="14">
        <v>73571.099712138966</v>
      </c>
      <c r="O393" s="14">
        <v>64586.990330167871</v>
      </c>
    </row>
    <row r="394" spans="1:15" x14ac:dyDescent="0.3">
      <c r="A394" s="3" t="str">
        <f>INDEX('R1. Scenario specifications'!$C$11:$C$49,MATCH($B394,'R1. Scenario specifications'!$A$11:$A$49,0))</f>
        <v>Current 1.75DS, 2020 start, 'Expect the Unexpected' but with most conservative biomass CCS / NET technology cost assumptions</v>
      </c>
      <c r="B394" s="3" t="s">
        <v>43</v>
      </c>
      <c r="C394" s="3" t="s">
        <v>61</v>
      </c>
      <c r="D394" s="3" t="s">
        <v>255</v>
      </c>
      <c r="E394" s="14">
        <v>113361.40893082572</v>
      </c>
      <c r="F394" s="14">
        <v>125068.22780197491</v>
      </c>
      <c r="G394" s="14">
        <v>164552.1853192726</v>
      </c>
      <c r="H394" s="14">
        <v>193244.10903902381</v>
      </c>
      <c r="I394" s="14">
        <v>196102.47592063851</v>
      </c>
      <c r="J394" s="14">
        <v>194763.37448413821</v>
      </c>
      <c r="K394" s="14">
        <v>168160.35128367227</v>
      </c>
      <c r="L394" s="14">
        <v>136640.75444695604</v>
      </c>
      <c r="M394" s="14">
        <v>95125.10597847082</v>
      </c>
      <c r="N394" s="14">
        <v>79893.231038309823</v>
      </c>
      <c r="O394" s="14">
        <v>73734.347228320927</v>
      </c>
    </row>
    <row r="395" spans="1:15" x14ac:dyDescent="0.3">
      <c r="A395" s="3" t="str">
        <f>INDEX('R1. Scenario specifications'!$C$11:$C$49,MATCH($B395,'R1. Scenario specifications'!$A$11:$A$49,0))</f>
        <v>Current 1.75DS, 2020 start, 'Expect the Unexpected' but with most conservative biomass CCS / NET technology cost assumptions</v>
      </c>
      <c r="B395" s="3" t="s">
        <v>43</v>
      </c>
      <c r="C395" s="3" t="s">
        <v>263</v>
      </c>
      <c r="D395" s="3" t="s">
        <v>256</v>
      </c>
      <c r="E395" s="14">
        <v>10361.182910638019</v>
      </c>
      <c r="F395" s="14">
        <v>10438.652617147358</v>
      </c>
      <c r="G395" s="14">
        <v>14734.740994143709</v>
      </c>
      <c r="H395" s="14">
        <v>17829.754322854802</v>
      </c>
      <c r="I395" s="14">
        <v>21922.586224525163</v>
      </c>
      <c r="J395" s="14">
        <v>25555.273851748847</v>
      </c>
      <c r="K395" s="14">
        <v>27170.19909490072</v>
      </c>
      <c r="L395" s="14">
        <v>29406.599056660347</v>
      </c>
      <c r="M395" s="14">
        <v>33780.784439662413</v>
      </c>
      <c r="N395" s="14">
        <v>37088.576037187842</v>
      </c>
      <c r="O395" s="14">
        <v>38611.561661081127</v>
      </c>
    </row>
    <row r="396" spans="1:15" x14ac:dyDescent="0.3">
      <c r="A396" s="3" t="str">
        <f>INDEX('R1. Scenario specifications'!$C$11:$C$49,MATCH($B396,'R1. Scenario specifications'!$A$11:$A$49,0))</f>
        <v>Current 1.75DS, 2020 start, 'Expect the Unexpected' but with most conservative biomass CCS / NET technology cost assumptions</v>
      </c>
      <c r="B396" s="3" t="s">
        <v>43</v>
      </c>
      <c r="C396" s="3" t="s">
        <v>264</v>
      </c>
      <c r="D396" s="3" t="s">
        <v>257</v>
      </c>
      <c r="E396" s="14">
        <v>9499.4101148835834</v>
      </c>
      <c r="F396" s="14">
        <v>9854.7685931259057</v>
      </c>
      <c r="G396" s="14">
        <v>13753.197500000002</v>
      </c>
      <c r="H396" s="14">
        <v>14514.167854150608</v>
      </c>
      <c r="I396" s="14">
        <v>17132.08644893012</v>
      </c>
      <c r="J396" s="14">
        <v>24682.787088847253</v>
      </c>
      <c r="K396" s="14">
        <v>29205.954187279658</v>
      </c>
      <c r="L396" s="14">
        <v>33194.028747654622</v>
      </c>
      <c r="M396" s="14">
        <v>36349.660635270811</v>
      </c>
      <c r="N396" s="14">
        <v>38453.58</v>
      </c>
      <c r="O396" s="14">
        <v>38692.006158029617</v>
      </c>
    </row>
    <row r="397" spans="1:15" x14ac:dyDescent="0.3">
      <c r="A397" s="3" t="str">
        <f>INDEX('R1. Scenario specifications'!$C$11:$C$49,MATCH($B397,'R1. Scenario specifications'!$A$11:$A$49,0))</f>
        <v>Current 1.75DS, 2020 start, 'Expect the Unexpected' but with most conservative biomass CCS / NET technology cost assumptions</v>
      </c>
      <c r="B397" s="3" t="s">
        <v>43</v>
      </c>
      <c r="C397" s="3" t="s">
        <v>62</v>
      </c>
      <c r="D397" s="3" t="s">
        <v>266</v>
      </c>
      <c r="E397" s="14">
        <v>152832.4479725429</v>
      </c>
      <c r="F397" s="14">
        <v>158538.7874200783</v>
      </c>
      <c r="G397" s="14">
        <v>170699.74489631387</v>
      </c>
      <c r="H397" s="14">
        <v>169577.63738277278</v>
      </c>
      <c r="I397" s="14">
        <v>159833.73619685994</v>
      </c>
      <c r="J397" s="14">
        <v>151121.20797948798</v>
      </c>
      <c r="K397" s="14">
        <v>150487.42391559834</v>
      </c>
      <c r="L397" s="14">
        <v>155042.79208241039</v>
      </c>
      <c r="M397" s="14">
        <v>152091.45774466079</v>
      </c>
      <c r="N397" s="14">
        <v>145332.52506925355</v>
      </c>
      <c r="O397" s="14">
        <v>133251.24762301694</v>
      </c>
    </row>
    <row r="398" spans="1:15" x14ac:dyDescent="0.3">
      <c r="A398" s="3" t="str">
        <f>INDEX('R1. Scenario specifications'!$C$11:$C$49,MATCH($B398,'R1. Scenario specifications'!$A$11:$A$49,0))</f>
        <v>Current 1.75DS, 2020 start, 'Expect the Unexpected' but with most conservative biomass CCS / NET technology cost assumptions</v>
      </c>
      <c r="B398" s="3" t="s">
        <v>43</v>
      </c>
      <c r="C398" s="3" t="s">
        <v>66</v>
      </c>
      <c r="D398" s="3" t="s">
        <v>258</v>
      </c>
      <c r="E398" s="14">
        <v>202.7012537766515</v>
      </c>
      <c r="F398" s="14">
        <v>194.90848865877462</v>
      </c>
      <c r="G398" s="14">
        <v>2771.4154518439864</v>
      </c>
      <c r="H398" s="14">
        <v>4289.802543453764</v>
      </c>
      <c r="I398" s="14">
        <v>6273.1628829038445</v>
      </c>
      <c r="J398" s="14">
        <v>10751.864690441758</v>
      </c>
      <c r="K398" s="14">
        <v>13217.359425489158</v>
      </c>
      <c r="L398" s="14">
        <v>15427.525227825341</v>
      </c>
      <c r="M398" s="14">
        <v>21575.320934203173</v>
      </c>
      <c r="N398" s="14">
        <v>25513.096976493234</v>
      </c>
      <c r="O398" s="14">
        <v>27338.534452883647</v>
      </c>
    </row>
    <row r="399" spans="1:15" x14ac:dyDescent="0.3">
      <c r="A399" s="3" t="str">
        <f>INDEX('R1. Scenario specifications'!$C$11:$C$49,MATCH($B399,'R1. Scenario specifications'!$A$11:$A$49,0))</f>
        <v>Current 1.75DS, 2020 start, 'Expect the Unexpected' but with most conservative biomass CCS / NET technology cost assumptions</v>
      </c>
      <c r="B399" s="3" t="s">
        <v>43</v>
      </c>
      <c r="C399" s="3" t="s">
        <v>70</v>
      </c>
      <c r="D399" s="3" t="s">
        <v>259</v>
      </c>
      <c r="E399" s="14">
        <v>67.937052631788802</v>
      </c>
      <c r="F399" s="14">
        <v>458.66984800047192</v>
      </c>
      <c r="G399" s="14">
        <v>917.48161125092997</v>
      </c>
      <c r="H399" s="14">
        <v>4266.8464140650967</v>
      </c>
      <c r="I399" s="14">
        <v>15803.587152859158</v>
      </c>
      <c r="J399" s="14">
        <v>25769.292883844075</v>
      </c>
      <c r="K399" s="14">
        <v>34715.972230113359</v>
      </c>
      <c r="L399" s="14">
        <v>54588.018969659621</v>
      </c>
      <c r="M399" s="14">
        <v>89763.143184594868</v>
      </c>
      <c r="N399" s="14">
        <v>111878.69460018368</v>
      </c>
      <c r="O399" s="14">
        <v>121929.8904858535</v>
      </c>
    </row>
    <row r="400" spans="1:15" x14ac:dyDescent="0.3">
      <c r="A400" s="3" t="str">
        <f>INDEX('R1. Scenario specifications'!$C$11:$C$49,MATCH($B400,'R1. Scenario specifications'!$A$11:$A$49,0))</f>
        <v>Current 1.75DS, 2020 start, 'Expect the Unexpected' but with most conservative biomass CCS / NET technology cost assumptions</v>
      </c>
      <c r="B400" s="3" t="s">
        <v>43</v>
      </c>
      <c r="C400" s="3" t="s">
        <v>71</v>
      </c>
      <c r="D400" s="3" t="s">
        <v>259</v>
      </c>
      <c r="E400" s="14">
        <v>55.461114646679903</v>
      </c>
      <c r="F400" s="14">
        <v>60.524118034134894</v>
      </c>
      <c r="G400" s="14">
        <v>64.687762917592892</v>
      </c>
      <c r="H400" s="14">
        <v>64.711658906117094</v>
      </c>
      <c r="I400" s="14">
        <v>66.219505451805574</v>
      </c>
      <c r="J400" s="14">
        <v>73.396990045858615</v>
      </c>
      <c r="K400" s="14">
        <v>73.962480439337028</v>
      </c>
      <c r="L400" s="14">
        <v>635.69686649015875</v>
      </c>
      <c r="M400" s="14">
        <v>653.93241788019918</v>
      </c>
      <c r="N400" s="14">
        <v>653.91217936206783</v>
      </c>
      <c r="O400" s="14">
        <v>653.89194084393682</v>
      </c>
    </row>
    <row r="401" spans="1:15" x14ac:dyDescent="0.3">
      <c r="A401" s="3" t="str">
        <f>INDEX('R1. Scenario specifications'!$C$11:$C$49,MATCH($B401,'R1. Scenario specifications'!$A$11:$A$49,0))</f>
        <v>Current 1.75DS, 2020 start, 'Expect the Unexpected' but with most conservative biomass CCS / NET technology cost assumptions</v>
      </c>
      <c r="B401" s="3" t="s">
        <v>43</v>
      </c>
      <c r="C401" s="3" t="s">
        <v>75</v>
      </c>
      <c r="D401" s="3" t="s">
        <v>258</v>
      </c>
      <c r="E401" s="14">
        <v>1.963099940637433</v>
      </c>
      <c r="F401" s="14">
        <v>1.7858497922310126</v>
      </c>
      <c r="G401" s="14">
        <v>1.5022495547807513</v>
      </c>
      <c r="H401" s="14">
        <v>1.0014997031871682</v>
      </c>
      <c r="I401" s="14">
        <v>0.50074985159358421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</row>
    <row r="402" spans="1:15" x14ac:dyDescent="0.3">
      <c r="A402" s="3" t="str">
        <f>INDEX('R1. Scenario specifications'!$C$11:$C$49,MATCH($B402,'R1. Scenario specifications'!$A$11:$A$49,0))</f>
        <v>Current 1.75DS, 2020 start, 'Expect the Unexpected' but with most conservative biomass CCS / NET technology cost assumptions</v>
      </c>
      <c r="B402" s="3" t="s">
        <v>43</v>
      </c>
      <c r="C402" s="3" t="s">
        <v>72</v>
      </c>
      <c r="D402" s="3" t="s">
        <v>260</v>
      </c>
      <c r="E402" s="14">
        <v>1517.4635089937533</v>
      </c>
      <c r="F402" s="14">
        <v>1704.9418897085425</v>
      </c>
      <c r="G402" s="14">
        <v>2685.5545190640855</v>
      </c>
      <c r="H402" s="14">
        <v>12675.962239976645</v>
      </c>
      <c r="I402" s="14">
        <v>27692.15569372625</v>
      </c>
      <c r="J402" s="14">
        <v>36592.55236306577</v>
      </c>
      <c r="K402" s="14">
        <v>51051.241415092067</v>
      </c>
      <c r="L402" s="14">
        <v>77700.759720455157</v>
      </c>
      <c r="M402" s="14">
        <v>125869.93552379917</v>
      </c>
      <c r="N402" s="14">
        <v>170764.5552964161</v>
      </c>
      <c r="O402" s="14">
        <v>204918.80789863714</v>
      </c>
    </row>
    <row r="403" spans="1:15" x14ac:dyDescent="0.3">
      <c r="A403" s="3" t="str">
        <f>INDEX('R1. Scenario specifications'!$C$11:$C$49,MATCH($B403,'R1. Scenario specifications'!$A$11:$A$49,0))</f>
        <v>Current 2DS, 2020 start, 'Expect the unexpceted' but with expensive renewables (cheap CCS)</v>
      </c>
      <c r="B403" s="3" t="s">
        <v>1026</v>
      </c>
      <c r="C403" s="3" t="s">
        <v>262</v>
      </c>
      <c r="D403" s="3" t="s">
        <v>253</v>
      </c>
      <c r="E403" s="14">
        <v>49803.376306806284</v>
      </c>
      <c r="F403" s="14">
        <v>54246.265938380871</v>
      </c>
      <c r="G403" s="14">
        <v>71262.17128058261</v>
      </c>
      <c r="H403" s="14">
        <v>108219.07057612191</v>
      </c>
      <c r="I403" s="14">
        <v>130622.17551080094</v>
      </c>
      <c r="J403" s="14">
        <v>161199.83580304807</v>
      </c>
      <c r="K403" s="14">
        <v>198945.09546317547</v>
      </c>
      <c r="L403" s="14">
        <v>245738.13066361391</v>
      </c>
      <c r="M403" s="14">
        <v>265574.18988873629</v>
      </c>
      <c r="N403" s="14">
        <v>297244.89751461952</v>
      </c>
      <c r="O403" s="14">
        <v>327665.5093294807</v>
      </c>
    </row>
    <row r="404" spans="1:15" x14ac:dyDescent="0.3">
      <c r="A404" s="3" t="str">
        <f>INDEX('R1. Scenario specifications'!$C$11:$C$49,MATCH($B404,'R1. Scenario specifications'!$A$11:$A$49,0))</f>
        <v>Current 2DS, 2020 start, 'Expect the unexpceted' but with expensive renewables (cheap CCS)</v>
      </c>
      <c r="B404" s="3" t="s">
        <v>1026</v>
      </c>
      <c r="C404" s="3" t="s">
        <v>60</v>
      </c>
      <c r="D404" s="3" t="s">
        <v>254</v>
      </c>
      <c r="E404" s="14">
        <v>132862.88014752162</v>
      </c>
      <c r="F404" s="14">
        <v>167772.98687500271</v>
      </c>
      <c r="G404" s="14">
        <v>133988.90917691623</v>
      </c>
      <c r="H404" s="14">
        <v>105093.00357584826</v>
      </c>
      <c r="I404" s="14">
        <v>84094.065287147896</v>
      </c>
      <c r="J404" s="14">
        <v>85821.17437473328</v>
      </c>
      <c r="K404" s="14">
        <v>90291.205986457731</v>
      </c>
      <c r="L404" s="14">
        <v>90877.55754922374</v>
      </c>
      <c r="M404" s="14">
        <v>96949.785841241115</v>
      </c>
      <c r="N404" s="14">
        <v>97405.30701489374</v>
      </c>
      <c r="O404" s="14">
        <v>99551.013638972465</v>
      </c>
    </row>
    <row r="405" spans="1:15" x14ac:dyDescent="0.3">
      <c r="A405" s="3" t="str">
        <f>INDEX('R1. Scenario specifications'!$C$11:$C$49,MATCH($B405,'R1. Scenario specifications'!$A$11:$A$49,0))</f>
        <v>Current 2DS, 2020 start, 'Expect the unexpceted' but with expensive renewables (cheap CCS)</v>
      </c>
      <c r="B405" s="3" t="s">
        <v>1026</v>
      </c>
      <c r="C405" s="3" t="s">
        <v>61</v>
      </c>
      <c r="D405" s="3" t="s">
        <v>255</v>
      </c>
      <c r="E405" s="14">
        <v>113361.40893082572</v>
      </c>
      <c r="F405" s="14">
        <v>125068.22780197491</v>
      </c>
      <c r="G405" s="14">
        <v>164552.1853192726</v>
      </c>
      <c r="H405" s="14">
        <v>186224.65641708614</v>
      </c>
      <c r="I405" s="14">
        <v>205146.50726893242</v>
      </c>
      <c r="J405" s="14">
        <v>223390.51910375262</v>
      </c>
      <c r="K405" s="14">
        <v>213743.18172366027</v>
      </c>
      <c r="L405" s="14">
        <v>194238.13962327773</v>
      </c>
      <c r="M405" s="14">
        <v>168993.01873824469</v>
      </c>
      <c r="N405" s="14">
        <v>121233.27220689534</v>
      </c>
      <c r="O405" s="14">
        <v>112562.92255932008</v>
      </c>
    </row>
    <row r="406" spans="1:15" x14ac:dyDescent="0.3">
      <c r="A406" s="3" t="str">
        <f>INDEX('R1. Scenario specifications'!$C$11:$C$49,MATCH($B406,'R1. Scenario specifications'!$A$11:$A$49,0))</f>
        <v>Current 2DS, 2020 start, 'Expect the unexpceted' but with expensive renewables (cheap CCS)</v>
      </c>
      <c r="B406" s="3" t="s">
        <v>1026</v>
      </c>
      <c r="C406" s="3" t="s">
        <v>263</v>
      </c>
      <c r="D406" s="3" t="s">
        <v>256</v>
      </c>
      <c r="E406" s="14">
        <v>10361.182910638019</v>
      </c>
      <c r="F406" s="14">
        <v>10438.652617147358</v>
      </c>
      <c r="G406" s="14">
        <v>14734.740994143709</v>
      </c>
      <c r="H406" s="14">
        <v>17687.089304658592</v>
      </c>
      <c r="I406" s="14">
        <v>21682.931140902278</v>
      </c>
      <c r="J406" s="14">
        <v>25846.336496137705</v>
      </c>
      <c r="K406" s="14">
        <v>28359.045854255713</v>
      </c>
      <c r="L406" s="14">
        <v>32980.264947615266</v>
      </c>
      <c r="M406" s="14">
        <v>39148.134489908487</v>
      </c>
      <c r="N406" s="14">
        <v>50297.049692253175</v>
      </c>
      <c r="O406" s="14">
        <v>57929.693386992316</v>
      </c>
    </row>
    <row r="407" spans="1:15" x14ac:dyDescent="0.3">
      <c r="A407" s="3" t="str">
        <f>INDEX('R1. Scenario specifications'!$C$11:$C$49,MATCH($B407,'R1. Scenario specifications'!$A$11:$A$49,0))</f>
        <v>Current 2DS, 2020 start, 'Expect the unexpceted' but with expensive renewables (cheap CCS)</v>
      </c>
      <c r="B407" s="3" t="s">
        <v>1026</v>
      </c>
      <c r="C407" s="3" t="s">
        <v>264</v>
      </c>
      <c r="D407" s="3" t="s">
        <v>257</v>
      </c>
      <c r="E407" s="14">
        <v>9499.4101148835834</v>
      </c>
      <c r="F407" s="14">
        <v>9854.7685931259057</v>
      </c>
      <c r="G407" s="14">
        <v>13753.197500000002</v>
      </c>
      <c r="H407" s="14">
        <v>14514.167854150608</v>
      </c>
      <c r="I407" s="14">
        <v>17702.865000000002</v>
      </c>
      <c r="J407" s="14">
        <v>24925.344846272601</v>
      </c>
      <c r="K407" s="14">
        <v>29320.904494184961</v>
      </c>
      <c r="L407" s="14">
        <v>32953.284962084705</v>
      </c>
      <c r="M407" s="14">
        <v>35027.419124188673</v>
      </c>
      <c r="N407" s="14">
        <v>38453.58</v>
      </c>
      <c r="O407" s="14">
        <v>39733.175000000003</v>
      </c>
    </row>
    <row r="408" spans="1:15" x14ac:dyDescent="0.3">
      <c r="A408" s="3" t="str">
        <f>INDEX('R1. Scenario specifications'!$C$11:$C$49,MATCH($B408,'R1. Scenario specifications'!$A$11:$A$49,0))</f>
        <v>Current 2DS, 2020 start, 'Expect the unexpceted' but with expensive renewables (cheap CCS)</v>
      </c>
      <c r="B408" s="3" t="s">
        <v>1026</v>
      </c>
      <c r="C408" s="3" t="s">
        <v>62</v>
      </c>
      <c r="D408" s="3" t="s">
        <v>266</v>
      </c>
      <c r="E408" s="14">
        <v>152832.4479725429</v>
      </c>
      <c r="F408" s="14">
        <v>158538.7874200783</v>
      </c>
      <c r="G408" s="14">
        <v>170699.74489631387</v>
      </c>
      <c r="H408" s="14">
        <v>172263.22997899112</v>
      </c>
      <c r="I408" s="14">
        <v>169079.41678152993</v>
      </c>
      <c r="J408" s="14">
        <v>160164.68455355742</v>
      </c>
      <c r="K408" s="14">
        <v>156819.85502647329</v>
      </c>
      <c r="L408" s="14">
        <v>157226.89744907673</v>
      </c>
      <c r="M408" s="14">
        <v>158545.65473784541</v>
      </c>
      <c r="N408" s="14">
        <v>153987.31569575725</v>
      </c>
      <c r="O408" s="14">
        <v>138035.54460602067</v>
      </c>
    </row>
    <row r="409" spans="1:15" x14ac:dyDescent="0.3">
      <c r="A409" s="3" t="str">
        <f>INDEX('R1. Scenario specifications'!$C$11:$C$49,MATCH($B409,'R1. Scenario specifications'!$A$11:$A$49,0))</f>
        <v>Current 2DS, 2020 start, 'Expect the unexpceted' but with expensive renewables (cheap CCS)</v>
      </c>
      <c r="B409" s="3" t="s">
        <v>1026</v>
      </c>
      <c r="C409" s="3" t="s">
        <v>66</v>
      </c>
      <c r="D409" s="3" t="s">
        <v>258</v>
      </c>
      <c r="E409" s="14">
        <v>202.7012537766515</v>
      </c>
      <c r="F409" s="14">
        <v>194.90848865877462</v>
      </c>
      <c r="G409" s="14">
        <v>2771.4154518439864</v>
      </c>
      <c r="H409" s="14">
        <v>4289.802543453764</v>
      </c>
      <c r="I409" s="14">
        <v>5833.61654390285</v>
      </c>
      <c r="J409" s="14">
        <v>9246.5229532388257</v>
      </c>
      <c r="K409" s="14">
        <v>18598.75887139879</v>
      </c>
      <c r="L409" s="14">
        <v>19336.426842250225</v>
      </c>
      <c r="M409" s="14">
        <v>21124.312199628548</v>
      </c>
      <c r="N409" s="14">
        <v>30440.578194525071</v>
      </c>
      <c r="O409" s="14">
        <v>31104.7989066271</v>
      </c>
    </row>
    <row r="410" spans="1:15" x14ac:dyDescent="0.3">
      <c r="A410" s="3" t="str">
        <f>INDEX('R1. Scenario specifications'!$C$11:$C$49,MATCH($B410,'R1. Scenario specifications'!$A$11:$A$49,0))</f>
        <v>Current 2DS, 2020 start, 'Expect the unexpceted' but with expensive renewables (cheap CCS)</v>
      </c>
      <c r="B410" s="3" t="s">
        <v>1026</v>
      </c>
      <c r="C410" s="3" t="s">
        <v>70</v>
      </c>
      <c r="D410" s="3" t="s">
        <v>259</v>
      </c>
      <c r="E410" s="14">
        <v>67.937052631788802</v>
      </c>
      <c r="F410" s="14">
        <v>458.66984800047192</v>
      </c>
      <c r="G410" s="14">
        <v>917.48161125092997</v>
      </c>
      <c r="H410" s="14">
        <v>1022.6418870500961</v>
      </c>
      <c r="I410" s="14">
        <v>1022.097682671111</v>
      </c>
      <c r="J410" s="14">
        <v>1021.890915549679</v>
      </c>
      <c r="K410" s="14">
        <v>1036.0482048381359</v>
      </c>
      <c r="L410" s="14">
        <v>1488.7403633780714</v>
      </c>
      <c r="M410" s="14">
        <v>2256.5822192136106</v>
      </c>
      <c r="N410" s="14">
        <v>8709.2493387717059</v>
      </c>
      <c r="O410" s="14">
        <v>15887.163450371327</v>
      </c>
    </row>
    <row r="411" spans="1:15" x14ac:dyDescent="0.3">
      <c r="A411" s="3" t="str">
        <f>INDEX('R1. Scenario specifications'!$C$11:$C$49,MATCH($B411,'R1. Scenario specifications'!$A$11:$A$49,0))</f>
        <v>Current 2DS, 2020 start, 'Expect the unexpceted' but with expensive renewables (cheap CCS)</v>
      </c>
      <c r="B411" s="3" t="s">
        <v>1026</v>
      </c>
      <c r="C411" s="3" t="s">
        <v>71</v>
      </c>
      <c r="D411" s="3" t="s">
        <v>259</v>
      </c>
      <c r="E411" s="14">
        <v>55.461114646679903</v>
      </c>
      <c r="F411" s="14">
        <v>60.524118034134894</v>
      </c>
      <c r="G411" s="14">
        <v>64.687762917592892</v>
      </c>
      <c r="H411" s="14">
        <v>66.185344017078194</v>
      </c>
      <c r="I411" s="14">
        <v>87.692501135446804</v>
      </c>
      <c r="J411" s="14">
        <v>176.61904778359124</v>
      </c>
      <c r="K411" s="14">
        <v>603.9751305564871</v>
      </c>
      <c r="L411" s="14">
        <v>2658.2314563046921</v>
      </c>
      <c r="M411" s="14">
        <v>10797.859427766951</v>
      </c>
      <c r="N411" s="14">
        <v>26187.523426909505</v>
      </c>
      <c r="O411" s="14">
        <v>36195.88808629087</v>
      </c>
    </row>
    <row r="412" spans="1:15" x14ac:dyDescent="0.3">
      <c r="A412" s="3" t="str">
        <f>INDEX('R1. Scenario specifications'!$C$11:$C$49,MATCH($B412,'R1. Scenario specifications'!$A$11:$A$49,0))</f>
        <v>Current 2DS, 2020 start, 'Expect the unexpceted' but with expensive renewables (cheap CCS)</v>
      </c>
      <c r="B412" s="3" t="s">
        <v>1026</v>
      </c>
      <c r="C412" s="3" t="s">
        <v>75</v>
      </c>
      <c r="D412" s="3" t="s">
        <v>258</v>
      </c>
      <c r="E412" s="14">
        <v>1.963099940637433</v>
      </c>
      <c r="F412" s="14">
        <v>1.7858497922310126</v>
      </c>
      <c r="G412" s="14">
        <v>1.5022495547807513</v>
      </c>
      <c r="H412" s="14">
        <v>1.0014997031871682</v>
      </c>
      <c r="I412" s="14">
        <v>0.50074985159358421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</row>
    <row r="413" spans="1:15" x14ac:dyDescent="0.3">
      <c r="A413" s="3" t="str">
        <f>INDEX('R1. Scenario specifications'!$C$11:$C$49,MATCH($B413,'R1. Scenario specifications'!$A$11:$A$49,0))</f>
        <v>Current 2DS, 2020 start, 'Expect the unexpceted' but with expensive renewables (cheap CCS)</v>
      </c>
      <c r="B413" s="3" t="s">
        <v>1026</v>
      </c>
      <c r="C413" s="3" t="s">
        <v>72</v>
      </c>
      <c r="D413" s="3" t="s">
        <v>260</v>
      </c>
      <c r="E413" s="14">
        <v>1517.4635089937533</v>
      </c>
      <c r="F413" s="14">
        <v>1704.9418897085425</v>
      </c>
      <c r="G413" s="14">
        <v>2685.5545190640855</v>
      </c>
      <c r="H413" s="14">
        <v>10264.392361480594</v>
      </c>
      <c r="I413" s="14">
        <v>22938.430575891591</v>
      </c>
      <c r="J413" s="14">
        <v>30151.474089172232</v>
      </c>
      <c r="K413" s="14">
        <v>40597.429837710886</v>
      </c>
      <c r="L413" s="14">
        <v>53718.639252400433</v>
      </c>
      <c r="M413" s="14">
        <v>74617.045431760285</v>
      </c>
      <c r="N413" s="14">
        <v>118891.34781117739</v>
      </c>
      <c r="O413" s="14">
        <v>170229.27933619978</v>
      </c>
    </row>
    <row r="414" spans="1:15" x14ac:dyDescent="0.3">
      <c r="A414" s="3" t="str">
        <f>INDEX('R1. Scenario specifications'!$C$11:$C$49,MATCH($B414,'R1. Scenario specifications'!$A$11:$A$49,0))</f>
        <v>Current 2DS, 2030 start, 'Expect the Unexpected' but with cheap renewables</v>
      </c>
      <c r="B414" s="3" t="s">
        <v>44</v>
      </c>
      <c r="C414" s="3" t="s">
        <v>262</v>
      </c>
      <c r="D414" s="3" t="s">
        <v>253</v>
      </c>
      <c r="E414" s="14">
        <v>49803.376306806284</v>
      </c>
      <c r="F414" s="14">
        <v>54246.265938380871</v>
      </c>
      <c r="G414" s="14">
        <v>71262.17128058261</v>
      </c>
      <c r="H414" s="14">
        <v>95987.494917697361</v>
      </c>
      <c r="I414" s="14">
        <v>118579.92674428524</v>
      </c>
      <c r="J414" s="14">
        <v>150660.4448208008</v>
      </c>
      <c r="K414" s="14">
        <v>166629.46213173366</v>
      </c>
      <c r="L414" s="14">
        <v>222030.85098498175</v>
      </c>
      <c r="M414" s="14">
        <v>277138.37735689996</v>
      </c>
      <c r="N414" s="14">
        <v>308878.57971778238</v>
      </c>
      <c r="O414" s="14">
        <v>327796.57667536818</v>
      </c>
    </row>
    <row r="415" spans="1:15" x14ac:dyDescent="0.3">
      <c r="A415" s="3" t="str">
        <f>INDEX('R1. Scenario specifications'!$C$11:$C$49,MATCH($B415,'R1. Scenario specifications'!$A$11:$A$49,0))</f>
        <v>Current 2DS, 2030 start, 'Expect the Unexpected' but with cheap renewables</v>
      </c>
      <c r="B415" s="3" t="s">
        <v>44</v>
      </c>
      <c r="C415" s="3" t="s">
        <v>60</v>
      </c>
      <c r="D415" s="3" t="s">
        <v>254</v>
      </c>
      <c r="E415" s="14">
        <v>132862.88014752162</v>
      </c>
      <c r="F415" s="14">
        <v>167772.98687500271</v>
      </c>
      <c r="G415" s="14">
        <v>133988.90917691623</v>
      </c>
      <c r="H415" s="14">
        <v>141587.52010422843</v>
      </c>
      <c r="I415" s="14">
        <v>97011.271070312592</v>
      </c>
      <c r="J415" s="14">
        <v>76610.460886982735</v>
      </c>
      <c r="K415" s="14">
        <v>80430.869194634855</v>
      </c>
      <c r="L415" s="14">
        <v>92028.793518645456</v>
      </c>
      <c r="M415" s="14">
        <v>95472.252517802306</v>
      </c>
      <c r="N415" s="14">
        <v>95713.05647130213</v>
      </c>
      <c r="O415" s="14">
        <v>89007.920779106571</v>
      </c>
    </row>
    <row r="416" spans="1:15" x14ac:dyDescent="0.3">
      <c r="A416" s="3" t="str">
        <f>INDEX('R1. Scenario specifications'!$C$11:$C$49,MATCH($B416,'R1. Scenario specifications'!$A$11:$A$49,0))</f>
        <v>Current 2DS, 2030 start, 'Expect the Unexpected' but with cheap renewables</v>
      </c>
      <c r="B416" s="3" t="s">
        <v>44</v>
      </c>
      <c r="C416" s="3" t="s">
        <v>61</v>
      </c>
      <c r="D416" s="3" t="s">
        <v>255</v>
      </c>
      <c r="E416" s="14">
        <v>113361.40893082572</v>
      </c>
      <c r="F416" s="14">
        <v>125068.22780197491</v>
      </c>
      <c r="G416" s="14">
        <v>164552.1853192726</v>
      </c>
      <c r="H416" s="14">
        <v>176766.93010542684</v>
      </c>
      <c r="I416" s="14">
        <v>190447.35853675028</v>
      </c>
      <c r="J416" s="14">
        <v>195972.41956142121</v>
      </c>
      <c r="K416" s="14">
        <v>190488.50186653004</v>
      </c>
      <c r="L416" s="14">
        <v>161468.83857836516</v>
      </c>
      <c r="M416" s="14">
        <v>138095.59689632332</v>
      </c>
      <c r="N416" s="14">
        <v>89735.65709199979</v>
      </c>
      <c r="O416" s="14">
        <v>79143.798516570823</v>
      </c>
    </row>
    <row r="417" spans="1:15" x14ac:dyDescent="0.3">
      <c r="A417" s="3" t="str">
        <f>INDEX('R1. Scenario specifications'!$C$11:$C$49,MATCH($B417,'R1. Scenario specifications'!$A$11:$A$49,0))</f>
        <v>Current 2DS, 2030 start, 'Expect the Unexpected' but with cheap renewables</v>
      </c>
      <c r="B417" s="3" t="s">
        <v>44</v>
      </c>
      <c r="C417" s="3" t="s">
        <v>263</v>
      </c>
      <c r="D417" s="3" t="s">
        <v>256</v>
      </c>
      <c r="E417" s="14">
        <v>10361.182910638019</v>
      </c>
      <c r="F417" s="14">
        <v>10438.652617147358</v>
      </c>
      <c r="G417" s="14">
        <v>14734.740994143709</v>
      </c>
      <c r="H417" s="14">
        <v>17241.713076375538</v>
      </c>
      <c r="I417" s="14">
        <v>19683.776713159183</v>
      </c>
      <c r="J417" s="14">
        <v>24829.560255527897</v>
      </c>
      <c r="K417" s="14">
        <v>26103.689031081318</v>
      </c>
      <c r="L417" s="14">
        <v>27234.355792832215</v>
      </c>
      <c r="M417" s="14">
        <v>30167.886258039172</v>
      </c>
      <c r="N417" s="14">
        <v>36040.001157061437</v>
      </c>
      <c r="O417" s="14">
        <v>37910.772554835785</v>
      </c>
    </row>
    <row r="418" spans="1:15" x14ac:dyDescent="0.3">
      <c r="A418" s="3" t="str">
        <f>INDEX('R1. Scenario specifications'!$C$11:$C$49,MATCH($B418,'R1. Scenario specifications'!$A$11:$A$49,0))</f>
        <v>Current 2DS, 2030 start, 'Expect the Unexpected' but with cheap renewables</v>
      </c>
      <c r="B418" s="3" t="s">
        <v>44</v>
      </c>
      <c r="C418" s="3" t="s">
        <v>264</v>
      </c>
      <c r="D418" s="3" t="s">
        <v>257</v>
      </c>
      <c r="E418" s="14">
        <v>9499.4101148835834</v>
      </c>
      <c r="F418" s="14">
        <v>9854.7685931259057</v>
      </c>
      <c r="G418" s="14">
        <v>13753.197500000002</v>
      </c>
      <c r="H418" s="14">
        <v>14514.167854150608</v>
      </c>
      <c r="I418" s="14">
        <v>15191.631806438925</v>
      </c>
      <c r="J418" s="14">
        <v>22675.600900991383</v>
      </c>
      <c r="K418" s="14">
        <v>28858.154494184961</v>
      </c>
      <c r="L418" s="14">
        <v>32667.217990592384</v>
      </c>
      <c r="M418" s="14">
        <v>35681.059500705232</v>
      </c>
      <c r="N418" s="14">
        <v>38402.080568928206</v>
      </c>
      <c r="O418" s="14">
        <v>39733.175000000003</v>
      </c>
    </row>
    <row r="419" spans="1:15" x14ac:dyDescent="0.3">
      <c r="A419" s="3" t="str">
        <f>INDEX('R1. Scenario specifications'!$C$11:$C$49,MATCH($B419,'R1. Scenario specifications'!$A$11:$A$49,0))</f>
        <v>Current 2DS, 2030 start, 'Expect the Unexpected' but with cheap renewables</v>
      </c>
      <c r="B419" s="3" t="s">
        <v>44</v>
      </c>
      <c r="C419" s="3" t="s">
        <v>62</v>
      </c>
      <c r="D419" s="3" t="s">
        <v>266</v>
      </c>
      <c r="E419" s="14">
        <v>152832.4479725429</v>
      </c>
      <c r="F419" s="14">
        <v>158538.7874200783</v>
      </c>
      <c r="G419" s="14">
        <v>170699.74489631387</v>
      </c>
      <c r="H419" s="14">
        <v>176541.28948572898</v>
      </c>
      <c r="I419" s="14">
        <v>172126.14153644603</v>
      </c>
      <c r="J419" s="14">
        <v>156897.73534845797</v>
      </c>
      <c r="K419" s="14">
        <v>156824.37791761709</v>
      </c>
      <c r="L419" s="14">
        <v>158940.6517698362</v>
      </c>
      <c r="M419" s="14">
        <v>159259.80317112315</v>
      </c>
      <c r="N419" s="14">
        <v>153646.21555845009</v>
      </c>
      <c r="O419" s="14">
        <v>137896.42881207319</v>
      </c>
    </row>
    <row r="420" spans="1:15" x14ac:dyDescent="0.3">
      <c r="A420" s="3" t="str">
        <f>INDEX('R1. Scenario specifications'!$C$11:$C$49,MATCH($B420,'R1. Scenario specifications'!$A$11:$A$49,0))</f>
        <v>Current 2DS, 2030 start, 'Expect the Unexpected' but with cheap renewables</v>
      </c>
      <c r="B420" s="3" t="s">
        <v>44</v>
      </c>
      <c r="C420" s="3" t="s">
        <v>66</v>
      </c>
      <c r="D420" s="3" t="s">
        <v>258</v>
      </c>
      <c r="E420" s="14">
        <v>202.7012537766515</v>
      </c>
      <c r="F420" s="14">
        <v>194.90848865877462</v>
      </c>
      <c r="G420" s="14">
        <v>2771.4154518439864</v>
      </c>
      <c r="H420" s="14">
        <v>4278.9486538824649</v>
      </c>
      <c r="I420" s="14">
        <v>5842.7606631151657</v>
      </c>
      <c r="J420" s="14">
        <v>8441.8686360085394</v>
      </c>
      <c r="K420" s="14">
        <v>13606.074311758053</v>
      </c>
      <c r="L420" s="14">
        <v>14200.665766848235</v>
      </c>
      <c r="M420" s="14">
        <v>15497.321754121733</v>
      </c>
      <c r="N420" s="14">
        <v>21148.852600337472</v>
      </c>
      <c r="O420" s="14">
        <v>26085.913448184419</v>
      </c>
    </row>
    <row r="421" spans="1:15" x14ac:dyDescent="0.3">
      <c r="A421" s="3" t="str">
        <f>INDEX('R1. Scenario specifications'!$C$11:$C$49,MATCH($B421,'R1. Scenario specifications'!$A$11:$A$49,0))</f>
        <v>Current 2DS, 2030 start, 'Expect the Unexpected' but with cheap renewables</v>
      </c>
      <c r="B421" s="3" t="s">
        <v>44</v>
      </c>
      <c r="C421" s="3" t="s">
        <v>70</v>
      </c>
      <c r="D421" s="3" t="s">
        <v>259</v>
      </c>
      <c r="E421" s="14">
        <v>67.937052631788802</v>
      </c>
      <c r="F421" s="14">
        <v>458.66984800047192</v>
      </c>
      <c r="G421" s="14">
        <v>917.48161125092997</v>
      </c>
      <c r="H421" s="14">
        <v>2670.3548260954558</v>
      </c>
      <c r="I421" s="14">
        <v>13421.374280855547</v>
      </c>
      <c r="J421" s="14">
        <v>28369.611776056474</v>
      </c>
      <c r="K421" s="14">
        <v>36888.588186160574</v>
      </c>
      <c r="L421" s="14">
        <v>44367.870336857151</v>
      </c>
      <c r="M421" s="14">
        <v>62396.458606608896</v>
      </c>
      <c r="N421" s="14">
        <v>96082.569483509171</v>
      </c>
      <c r="O421" s="14">
        <v>106355.97491341502</v>
      </c>
    </row>
    <row r="422" spans="1:15" x14ac:dyDescent="0.3">
      <c r="A422" s="3" t="str">
        <f>INDEX('R1. Scenario specifications'!$C$11:$C$49,MATCH($B422,'R1. Scenario specifications'!$A$11:$A$49,0))</f>
        <v>Current 2DS, 2030 start, 'Expect the Unexpected' but with cheap renewables</v>
      </c>
      <c r="B422" s="3" t="s">
        <v>44</v>
      </c>
      <c r="C422" s="3" t="s">
        <v>71</v>
      </c>
      <c r="D422" s="3" t="s">
        <v>259</v>
      </c>
      <c r="E422" s="14">
        <v>55.461114646679903</v>
      </c>
      <c r="F422" s="14">
        <v>60.524118034134894</v>
      </c>
      <c r="G422" s="14">
        <v>64.687762917592892</v>
      </c>
      <c r="H422" s="14">
        <v>64.713826068531574</v>
      </c>
      <c r="I422" s="14">
        <v>64.7262990678432</v>
      </c>
      <c r="J422" s="14">
        <v>64.804479401617343</v>
      </c>
      <c r="K422" s="14">
        <v>65.181845274675126</v>
      </c>
      <c r="L422" s="14">
        <v>996.59528832628814</v>
      </c>
      <c r="M422" s="14">
        <v>996.57504883251522</v>
      </c>
      <c r="N422" s="14">
        <v>996.5548103143841</v>
      </c>
      <c r="O422" s="14">
        <v>996.53457179625286</v>
      </c>
    </row>
    <row r="423" spans="1:15" x14ac:dyDescent="0.3">
      <c r="A423" s="3" t="str">
        <f>INDEX('R1. Scenario specifications'!$C$11:$C$49,MATCH($B423,'R1. Scenario specifications'!$A$11:$A$49,0))</f>
        <v>Current 2DS, 2030 start, 'Expect the Unexpected' but with cheap renewables</v>
      </c>
      <c r="B423" s="3" t="s">
        <v>44</v>
      </c>
      <c r="C423" s="3" t="s">
        <v>75</v>
      </c>
      <c r="D423" s="3" t="s">
        <v>258</v>
      </c>
      <c r="E423" s="14">
        <v>1.963099940637433</v>
      </c>
      <c r="F423" s="14">
        <v>1.7858497922310126</v>
      </c>
      <c r="G423" s="14">
        <v>1.5022495547807513</v>
      </c>
      <c r="H423" s="14">
        <v>1.0014997031871682</v>
      </c>
      <c r="I423" s="14">
        <v>0.50074985159358421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</row>
    <row r="424" spans="1:15" x14ac:dyDescent="0.3">
      <c r="A424" s="3" t="str">
        <f>INDEX('R1. Scenario specifications'!$C$11:$C$49,MATCH($B424,'R1. Scenario specifications'!$A$11:$A$49,0))</f>
        <v>Current 2DS, 2030 start, 'Expect the Unexpected' but with cheap renewables</v>
      </c>
      <c r="B424" s="3" t="s">
        <v>44</v>
      </c>
      <c r="C424" s="3" t="s">
        <v>72</v>
      </c>
      <c r="D424" s="3" t="s">
        <v>260</v>
      </c>
      <c r="E424" s="14">
        <v>1517.4635089937533</v>
      </c>
      <c r="F424" s="14">
        <v>1704.9418897085425</v>
      </c>
      <c r="G424" s="14">
        <v>2685.5545190640855</v>
      </c>
      <c r="H424" s="14">
        <v>10882.32058635127</v>
      </c>
      <c r="I424" s="14">
        <v>28253.684667514695</v>
      </c>
      <c r="J424" s="14">
        <v>35984.046478389493</v>
      </c>
      <c r="K424" s="14">
        <v>49212.446583342527</v>
      </c>
      <c r="L424" s="14">
        <v>64529.549035284144</v>
      </c>
      <c r="M424" s="14">
        <v>93648.751343177137</v>
      </c>
      <c r="N424" s="14">
        <v>148492.71055247745</v>
      </c>
      <c r="O424" s="14">
        <v>185708.58605028084</v>
      </c>
    </row>
    <row r="425" spans="1:15" x14ac:dyDescent="0.3">
      <c r="A425" s="3" t="str">
        <f>INDEX('R1. Scenario specifications'!$C$11:$C$49,MATCH($B425,'R1. Scenario specifications'!$A$11:$A$49,0))</f>
        <v>Current 2DS, 2020 start, 'Expect the Unexpected' but with cheap CCS</v>
      </c>
      <c r="B425" s="3" t="s">
        <v>45</v>
      </c>
      <c r="C425" s="3" t="s">
        <v>262</v>
      </c>
      <c r="D425" s="3" t="s">
        <v>253</v>
      </c>
      <c r="E425" s="14">
        <v>49803.376306806284</v>
      </c>
      <c r="F425" s="14">
        <v>54246.265938380871</v>
      </c>
      <c r="G425" s="14">
        <v>71262.17128058261</v>
      </c>
      <c r="H425" s="14">
        <v>104689.21414378495</v>
      </c>
      <c r="I425" s="14">
        <v>120011.43854671657</v>
      </c>
      <c r="J425" s="14">
        <v>149341.16980782768</v>
      </c>
      <c r="K425" s="14">
        <v>175705.68018174867</v>
      </c>
      <c r="L425" s="14">
        <v>229465.06579502212</v>
      </c>
      <c r="M425" s="14">
        <v>273234.48994129273</v>
      </c>
      <c r="N425" s="14">
        <v>308146.41193764628</v>
      </c>
      <c r="O425" s="14">
        <v>327801.82519987621</v>
      </c>
    </row>
    <row r="426" spans="1:15" x14ac:dyDescent="0.3">
      <c r="A426" s="3" t="str">
        <f>INDEX('R1. Scenario specifications'!$C$11:$C$49,MATCH($B426,'R1. Scenario specifications'!$A$11:$A$49,0))</f>
        <v>Current 2DS, 2020 start, 'Expect the Unexpected' but with cheap CCS</v>
      </c>
      <c r="B426" s="3" t="s">
        <v>45</v>
      </c>
      <c r="C426" s="3" t="s">
        <v>60</v>
      </c>
      <c r="D426" s="3" t="s">
        <v>254</v>
      </c>
      <c r="E426" s="14">
        <v>132862.88014752162</v>
      </c>
      <c r="F426" s="14">
        <v>167772.98687500271</v>
      </c>
      <c r="G426" s="14">
        <v>133988.90917691623</v>
      </c>
      <c r="H426" s="14">
        <v>106902.40848261304</v>
      </c>
      <c r="I426" s="14">
        <v>88697.028734734893</v>
      </c>
      <c r="J426" s="14">
        <v>82942.026171850433</v>
      </c>
      <c r="K426" s="14">
        <v>88621.56002672037</v>
      </c>
      <c r="L426" s="14">
        <v>89193.483470306805</v>
      </c>
      <c r="M426" s="14">
        <v>96575.090130212222</v>
      </c>
      <c r="N426" s="14">
        <v>97707.863144146992</v>
      </c>
      <c r="O426" s="14">
        <v>98774.532948008025</v>
      </c>
    </row>
    <row r="427" spans="1:15" x14ac:dyDescent="0.3">
      <c r="A427" s="3" t="str">
        <f>INDEX('R1. Scenario specifications'!$C$11:$C$49,MATCH($B427,'R1. Scenario specifications'!$A$11:$A$49,0))</f>
        <v>Current 2DS, 2020 start, 'Expect the Unexpected' but with cheap CCS</v>
      </c>
      <c r="B427" s="3" t="s">
        <v>45</v>
      </c>
      <c r="C427" s="3" t="s">
        <v>61</v>
      </c>
      <c r="D427" s="3" t="s">
        <v>255</v>
      </c>
      <c r="E427" s="14">
        <v>113361.40893082572</v>
      </c>
      <c r="F427" s="14">
        <v>125068.22780197491</v>
      </c>
      <c r="G427" s="14">
        <v>164552.1853192726</v>
      </c>
      <c r="H427" s="14">
        <v>181387.72785367499</v>
      </c>
      <c r="I427" s="14">
        <v>191052.54705738329</v>
      </c>
      <c r="J427" s="14">
        <v>197646.14140937352</v>
      </c>
      <c r="K427" s="14">
        <v>189060.08703228898</v>
      </c>
      <c r="L427" s="14">
        <v>169787.47549281074</v>
      </c>
      <c r="M427" s="14">
        <v>144987.17101048274</v>
      </c>
      <c r="N427" s="14">
        <v>97943.608786226003</v>
      </c>
      <c r="O427" s="14">
        <v>84093.628348284328</v>
      </c>
    </row>
    <row r="428" spans="1:15" x14ac:dyDescent="0.3">
      <c r="A428" s="3" t="str">
        <f>INDEX('R1. Scenario specifications'!$C$11:$C$49,MATCH($B428,'R1. Scenario specifications'!$A$11:$A$49,0))</f>
        <v>Current 2DS, 2020 start, 'Expect the Unexpected' but with cheap CCS</v>
      </c>
      <c r="B428" s="3" t="s">
        <v>45</v>
      </c>
      <c r="C428" s="3" t="s">
        <v>263</v>
      </c>
      <c r="D428" s="3" t="s">
        <v>256</v>
      </c>
      <c r="E428" s="14">
        <v>10361.182910638019</v>
      </c>
      <c r="F428" s="14">
        <v>10438.652617147358</v>
      </c>
      <c r="G428" s="14">
        <v>14734.740994143709</v>
      </c>
      <c r="H428" s="14">
        <v>17428.252668332996</v>
      </c>
      <c r="I428" s="14">
        <v>20301.140451767576</v>
      </c>
      <c r="J428" s="14">
        <v>23662.552231316124</v>
      </c>
      <c r="K428" s="14">
        <v>25649.831959700819</v>
      </c>
      <c r="L428" s="14">
        <v>26863.042391351042</v>
      </c>
      <c r="M428" s="14">
        <v>29773.50922175376</v>
      </c>
      <c r="N428" s="14">
        <v>36489.821121995476</v>
      </c>
      <c r="O428" s="14">
        <v>38935.408681503795</v>
      </c>
    </row>
    <row r="429" spans="1:15" x14ac:dyDescent="0.3">
      <c r="A429" s="3" t="str">
        <f>INDEX('R1. Scenario specifications'!$C$11:$C$49,MATCH($B429,'R1. Scenario specifications'!$A$11:$A$49,0))</f>
        <v>Current 2DS, 2020 start, 'Expect the Unexpected' but with cheap CCS</v>
      </c>
      <c r="B429" s="3" t="s">
        <v>45</v>
      </c>
      <c r="C429" s="3" t="s">
        <v>264</v>
      </c>
      <c r="D429" s="3" t="s">
        <v>257</v>
      </c>
      <c r="E429" s="14">
        <v>9499.4101148835834</v>
      </c>
      <c r="F429" s="14">
        <v>9854.7685931259057</v>
      </c>
      <c r="G429" s="14">
        <v>13753.197500000002</v>
      </c>
      <c r="H429" s="14">
        <v>14514.167854150608</v>
      </c>
      <c r="I429" s="14">
        <v>16581.74997273034</v>
      </c>
      <c r="J429" s="14">
        <v>23228.536597370003</v>
      </c>
      <c r="K429" s="14">
        <v>29260.814123376782</v>
      </c>
      <c r="L429" s="14">
        <v>32599.848668704006</v>
      </c>
      <c r="M429" s="14">
        <v>34718.474584281568</v>
      </c>
      <c r="N429" s="14">
        <v>38375.136994453111</v>
      </c>
      <c r="O429" s="14">
        <v>39733.175000000003</v>
      </c>
    </row>
    <row r="430" spans="1:15" x14ac:dyDescent="0.3">
      <c r="A430" s="3" t="str">
        <f>INDEX('R1. Scenario specifications'!$C$11:$C$49,MATCH($B430,'R1. Scenario specifications'!$A$11:$A$49,0))</f>
        <v>Current 2DS, 2020 start, 'Expect the Unexpected' but with cheap CCS</v>
      </c>
      <c r="B430" s="3" t="s">
        <v>45</v>
      </c>
      <c r="C430" s="3" t="s">
        <v>62</v>
      </c>
      <c r="D430" s="3" t="s">
        <v>266</v>
      </c>
      <c r="E430" s="14">
        <v>152832.4479725429</v>
      </c>
      <c r="F430" s="14">
        <v>158538.7874200783</v>
      </c>
      <c r="G430" s="14">
        <v>170699.74489631387</v>
      </c>
      <c r="H430" s="14">
        <v>173496.62727024511</v>
      </c>
      <c r="I430" s="14">
        <v>171290.35917681782</v>
      </c>
      <c r="J430" s="14">
        <v>159986.75118631058</v>
      </c>
      <c r="K430" s="14">
        <v>158482.55926806794</v>
      </c>
      <c r="L430" s="14">
        <v>158480.12151355637</v>
      </c>
      <c r="M430" s="14">
        <v>159119.11487254989</v>
      </c>
      <c r="N430" s="14">
        <v>154545.68785069254</v>
      </c>
      <c r="O430" s="14">
        <v>137912.87290137794</v>
      </c>
    </row>
    <row r="431" spans="1:15" x14ac:dyDescent="0.3">
      <c r="A431" s="3" t="str">
        <f>INDEX('R1. Scenario specifications'!$C$11:$C$49,MATCH($B431,'R1. Scenario specifications'!$A$11:$A$49,0))</f>
        <v>Current 2DS, 2020 start, 'Expect the Unexpected' but with cheap CCS</v>
      </c>
      <c r="B431" s="3" t="s">
        <v>45</v>
      </c>
      <c r="C431" s="3" t="s">
        <v>66</v>
      </c>
      <c r="D431" s="3" t="s">
        <v>258</v>
      </c>
      <c r="E431" s="14">
        <v>202.7012537766515</v>
      </c>
      <c r="F431" s="14">
        <v>194.90848865877462</v>
      </c>
      <c r="G431" s="14">
        <v>2771.4154518439864</v>
      </c>
      <c r="H431" s="14">
        <v>4289.802543453764</v>
      </c>
      <c r="I431" s="14">
        <v>5842.7587535486773</v>
      </c>
      <c r="J431" s="14">
        <v>8125.4873914271311</v>
      </c>
      <c r="K431" s="14">
        <v>12004.14000049103</v>
      </c>
      <c r="L431" s="14">
        <v>14194.661421770867</v>
      </c>
      <c r="M431" s="14">
        <v>15579.604165475812</v>
      </c>
      <c r="N431" s="14">
        <v>23073.273407461547</v>
      </c>
      <c r="O431" s="14">
        <v>25707.045896154275</v>
      </c>
    </row>
    <row r="432" spans="1:15" x14ac:dyDescent="0.3">
      <c r="A432" s="3" t="str">
        <f>INDEX('R1. Scenario specifications'!$C$11:$C$49,MATCH($B432,'R1. Scenario specifications'!$A$11:$A$49,0))</f>
        <v>Current 2DS, 2020 start, 'Expect the Unexpected' but with cheap CCS</v>
      </c>
      <c r="B432" s="3" t="s">
        <v>45</v>
      </c>
      <c r="C432" s="3" t="s">
        <v>70</v>
      </c>
      <c r="D432" s="3" t="s">
        <v>259</v>
      </c>
      <c r="E432" s="14">
        <v>67.937052631788802</v>
      </c>
      <c r="F432" s="14">
        <v>458.66984800047192</v>
      </c>
      <c r="G432" s="14">
        <v>917.48161125092997</v>
      </c>
      <c r="H432" s="14">
        <v>4301.3818404184049</v>
      </c>
      <c r="I432" s="14">
        <v>14439.657143068307</v>
      </c>
      <c r="J432" s="14">
        <v>25317.573827181488</v>
      </c>
      <c r="K432" s="14">
        <v>32663.612976647135</v>
      </c>
      <c r="L432" s="14">
        <v>40596.323298066149</v>
      </c>
      <c r="M432" s="14">
        <v>56845.4605358931</v>
      </c>
      <c r="N432" s="14">
        <v>86807.574491919804</v>
      </c>
      <c r="O432" s="14">
        <v>98651.528727935016</v>
      </c>
    </row>
    <row r="433" spans="1:15" x14ac:dyDescent="0.3">
      <c r="A433" s="3" t="str">
        <f>INDEX('R1. Scenario specifications'!$C$11:$C$49,MATCH($B433,'R1. Scenario specifications'!$A$11:$A$49,0))</f>
        <v>Current 2DS, 2020 start, 'Expect the Unexpected' but with cheap CCS</v>
      </c>
      <c r="B433" s="3" t="s">
        <v>45</v>
      </c>
      <c r="C433" s="3" t="s">
        <v>71</v>
      </c>
      <c r="D433" s="3" t="s">
        <v>259</v>
      </c>
      <c r="E433" s="14">
        <v>55.461114646679903</v>
      </c>
      <c r="F433" s="14">
        <v>60.524118034134894</v>
      </c>
      <c r="G433" s="14">
        <v>64.687762917592892</v>
      </c>
      <c r="H433" s="14">
        <v>64.716528064517092</v>
      </c>
      <c r="I433" s="14">
        <v>64.781802833529241</v>
      </c>
      <c r="J433" s="14">
        <v>65.030939862953346</v>
      </c>
      <c r="K433" s="14">
        <v>66.141713696568715</v>
      </c>
      <c r="L433" s="14">
        <v>71.519235365904876</v>
      </c>
      <c r="M433" s="14">
        <v>84.46980964943495</v>
      </c>
      <c r="N433" s="14">
        <v>146.77880840037903</v>
      </c>
      <c r="O433" s="14">
        <v>146.75856988224785</v>
      </c>
    </row>
    <row r="434" spans="1:15" x14ac:dyDescent="0.3">
      <c r="A434" s="3" t="str">
        <f>INDEX('R1. Scenario specifications'!$C$11:$C$49,MATCH($B434,'R1. Scenario specifications'!$A$11:$A$49,0))</f>
        <v>Current 2DS, 2020 start, 'Expect the Unexpected' but with cheap CCS</v>
      </c>
      <c r="B434" s="3" t="s">
        <v>45</v>
      </c>
      <c r="C434" s="3" t="s">
        <v>75</v>
      </c>
      <c r="D434" s="3" t="s">
        <v>258</v>
      </c>
      <c r="E434" s="14">
        <v>1.963099940637433</v>
      </c>
      <c r="F434" s="14">
        <v>1.7858497922310126</v>
      </c>
      <c r="G434" s="14">
        <v>1.5022495547807513</v>
      </c>
      <c r="H434" s="14">
        <v>1.0014997031871682</v>
      </c>
      <c r="I434" s="14">
        <v>0.50074985159358421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</row>
    <row r="435" spans="1:15" x14ac:dyDescent="0.3">
      <c r="A435" s="3" t="str">
        <f>INDEX('R1. Scenario specifications'!$C$11:$C$49,MATCH($B435,'R1. Scenario specifications'!$A$11:$A$49,0))</f>
        <v>Current 2DS, 2020 start, 'Expect the Unexpected' but with cheap CCS</v>
      </c>
      <c r="B435" s="3" t="s">
        <v>45</v>
      </c>
      <c r="C435" s="3" t="s">
        <v>72</v>
      </c>
      <c r="D435" s="3" t="s">
        <v>260</v>
      </c>
      <c r="E435" s="14">
        <v>1517.4635089937533</v>
      </c>
      <c r="F435" s="14">
        <v>1704.9418897085425</v>
      </c>
      <c r="G435" s="14">
        <v>2685.5545190640855</v>
      </c>
      <c r="H435" s="14">
        <v>11673.733100108226</v>
      </c>
      <c r="I435" s="14">
        <v>27250.334887228302</v>
      </c>
      <c r="J435" s="14">
        <v>35068.755417055567</v>
      </c>
      <c r="K435" s="14">
        <v>47657.139346276119</v>
      </c>
      <c r="L435" s="14">
        <v>61751.405190980477</v>
      </c>
      <c r="M435" s="14">
        <v>89001.789699969377</v>
      </c>
      <c r="N435" s="14">
        <v>142795.29327681146</v>
      </c>
      <c r="O435" s="14">
        <v>180801.61520352348</v>
      </c>
    </row>
    <row r="436" spans="1:15" x14ac:dyDescent="0.3">
      <c r="A436" s="3" t="str">
        <f>INDEX('R1. Scenario specifications'!$C$11:$C$49,MATCH($B436,'R1. Scenario specifications'!$A$11:$A$49,0))</f>
        <v>Current 2DS, 2030 start, 'Expect the Unexpected' but with cheap CCS</v>
      </c>
      <c r="B436" s="3" t="s">
        <v>46</v>
      </c>
      <c r="C436" s="3" t="s">
        <v>262</v>
      </c>
      <c r="D436" s="3" t="s">
        <v>253</v>
      </c>
      <c r="E436" s="14">
        <v>49803.376306806284</v>
      </c>
      <c r="F436" s="14">
        <v>54246.265938380871</v>
      </c>
      <c r="G436" s="14">
        <v>71262.17128058261</v>
      </c>
      <c r="H436" s="14">
        <v>95987.494917697361</v>
      </c>
      <c r="I436" s="14">
        <v>122058.65655905069</v>
      </c>
      <c r="J436" s="14">
        <v>151972.27198692883</v>
      </c>
      <c r="K436" s="14">
        <v>168669.73704678038</v>
      </c>
      <c r="L436" s="14">
        <v>222171.01369529997</v>
      </c>
      <c r="M436" s="14">
        <v>276672.52063417149</v>
      </c>
      <c r="N436" s="14">
        <v>308950.82914477523</v>
      </c>
      <c r="O436" s="14">
        <v>327787.54961048212</v>
      </c>
    </row>
    <row r="437" spans="1:15" x14ac:dyDescent="0.3">
      <c r="A437" s="3" t="str">
        <f>INDEX('R1. Scenario specifications'!$C$11:$C$49,MATCH($B437,'R1. Scenario specifications'!$A$11:$A$49,0))</f>
        <v>Current 2DS, 2030 start, 'Expect the Unexpected' but with cheap CCS</v>
      </c>
      <c r="B437" s="3" t="s">
        <v>46</v>
      </c>
      <c r="C437" s="3" t="s">
        <v>60</v>
      </c>
      <c r="D437" s="3" t="s">
        <v>254</v>
      </c>
      <c r="E437" s="14">
        <v>132862.88014752162</v>
      </c>
      <c r="F437" s="14">
        <v>167772.98687500271</v>
      </c>
      <c r="G437" s="14">
        <v>133988.90917691623</v>
      </c>
      <c r="H437" s="14">
        <v>141587.52010422843</v>
      </c>
      <c r="I437" s="14">
        <v>96386.512888963756</v>
      </c>
      <c r="J437" s="14">
        <v>75120.578902805239</v>
      </c>
      <c r="K437" s="14">
        <v>80401.077618136653</v>
      </c>
      <c r="L437" s="14">
        <v>91290.137031516846</v>
      </c>
      <c r="M437" s="14">
        <v>95603.456467649085</v>
      </c>
      <c r="N437" s="14">
        <v>95754.927490084679</v>
      </c>
      <c r="O437" s="14">
        <v>93094.472591202633</v>
      </c>
    </row>
    <row r="438" spans="1:15" x14ac:dyDescent="0.3">
      <c r="A438" s="3" t="str">
        <f>INDEX('R1. Scenario specifications'!$C$11:$C$49,MATCH($B438,'R1. Scenario specifications'!$A$11:$A$49,0))</f>
        <v>Current 2DS, 2030 start, 'Expect the Unexpected' but with cheap CCS</v>
      </c>
      <c r="B438" s="3" t="s">
        <v>46</v>
      </c>
      <c r="C438" s="3" t="s">
        <v>61</v>
      </c>
      <c r="D438" s="3" t="s">
        <v>255</v>
      </c>
      <c r="E438" s="14">
        <v>113361.40893082572</v>
      </c>
      <c r="F438" s="14">
        <v>125068.22780197491</v>
      </c>
      <c r="G438" s="14">
        <v>164552.1853192726</v>
      </c>
      <c r="H438" s="14">
        <v>176766.93010542684</v>
      </c>
      <c r="I438" s="14">
        <v>193469.93034654442</v>
      </c>
      <c r="J438" s="14">
        <v>197662.3527914474</v>
      </c>
      <c r="K438" s="14">
        <v>190876.6322013757</v>
      </c>
      <c r="L438" s="14">
        <v>165161.63049361322</v>
      </c>
      <c r="M438" s="14">
        <v>140622.37782788879</v>
      </c>
      <c r="N438" s="14">
        <v>91723.447786367484</v>
      </c>
      <c r="O438" s="14">
        <v>81288.584368607451</v>
      </c>
    </row>
    <row r="439" spans="1:15" x14ac:dyDescent="0.3">
      <c r="A439" s="3" t="str">
        <f>INDEX('R1. Scenario specifications'!$C$11:$C$49,MATCH($B439,'R1. Scenario specifications'!$A$11:$A$49,0))</f>
        <v>Current 2DS, 2030 start, 'Expect the Unexpected' but with cheap CCS</v>
      </c>
      <c r="B439" s="3" t="s">
        <v>46</v>
      </c>
      <c r="C439" s="3" t="s">
        <v>263</v>
      </c>
      <c r="D439" s="3" t="s">
        <v>256</v>
      </c>
      <c r="E439" s="14">
        <v>10361.182910638019</v>
      </c>
      <c r="F439" s="14">
        <v>10438.652617147358</v>
      </c>
      <c r="G439" s="14">
        <v>14734.740994143709</v>
      </c>
      <c r="H439" s="14">
        <v>17241.713076375538</v>
      </c>
      <c r="I439" s="14">
        <v>19683.776713159183</v>
      </c>
      <c r="J439" s="14">
        <v>24529.34491063984</v>
      </c>
      <c r="K439" s="14">
        <v>26240.228346292886</v>
      </c>
      <c r="L439" s="14">
        <v>27203.153573213229</v>
      </c>
      <c r="M439" s="14">
        <v>30050.462436225087</v>
      </c>
      <c r="N439" s="14">
        <v>36654.414028439453</v>
      </c>
      <c r="O439" s="14">
        <v>38787.139304737066</v>
      </c>
    </row>
    <row r="440" spans="1:15" x14ac:dyDescent="0.3">
      <c r="A440" s="3" t="str">
        <f>INDEX('R1. Scenario specifications'!$C$11:$C$49,MATCH($B440,'R1. Scenario specifications'!$A$11:$A$49,0))</f>
        <v>Current 2DS, 2030 start, 'Expect the Unexpected' but with cheap CCS</v>
      </c>
      <c r="B440" s="3" t="s">
        <v>46</v>
      </c>
      <c r="C440" s="3" t="s">
        <v>264</v>
      </c>
      <c r="D440" s="3" t="s">
        <v>257</v>
      </c>
      <c r="E440" s="14">
        <v>9499.4101148835834</v>
      </c>
      <c r="F440" s="14">
        <v>9854.7685931259057</v>
      </c>
      <c r="G440" s="14">
        <v>13753.197500000002</v>
      </c>
      <c r="H440" s="14">
        <v>14514.167854150608</v>
      </c>
      <c r="I440" s="14">
        <v>15191.631806438925</v>
      </c>
      <c r="J440" s="14">
        <v>23771.416194228077</v>
      </c>
      <c r="K440" s="14">
        <v>29226.529402170181</v>
      </c>
      <c r="L440" s="14">
        <v>32695.732240106961</v>
      </c>
      <c r="M440" s="14">
        <v>35726.45228345396</v>
      </c>
      <c r="N440" s="14">
        <v>38404.324322916611</v>
      </c>
      <c r="O440" s="14">
        <v>39733.175000000003</v>
      </c>
    </row>
    <row r="441" spans="1:15" x14ac:dyDescent="0.3">
      <c r="A441" s="3" t="str">
        <f>INDEX('R1. Scenario specifications'!$C$11:$C$49,MATCH($B441,'R1. Scenario specifications'!$A$11:$A$49,0))</f>
        <v>Current 2DS, 2030 start, 'Expect the Unexpected' but with cheap CCS</v>
      </c>
      <c r="B441" s="3" t="s">
        <v>46</v>
      </c>
      <c r="C441" s="3" t="s">
        <v>62</v>
      </c>
      <c r="D441" s="3" t="s">
        <v>266</v>
      </c>
      <c r="E441" s="14">
        <v>152832.4479725429</v>
      </c>
      <c r="F441" s="14">
        <v>158538.7874200783</v>
      </c>
      <c r="G441" s="14">
        <v>170699.74489631387</v>
      </c>
      <c r="H441" s="14">
        <v>176541.28948572898</v>
      </c>
      <c r="I441" s="14">
        <v>171293.14235974007</v>
      </c>
      <c r="J441" s="14">
        <v>157755.02563449368</v>
      </c>
      <c r="K441" s="14">
        <v>156854.9065340971</v>
      </c>
      <c r="L441" s="14">
        <v>158535.95534293319</v>
      </c>
      <c r="M441" s="14">
        <v>159135.84112459584</v>
      </c>
      <c r="N441" s="14">
        <v>154277.54801778626</v>
      </c>
      <c r="O441" s="14">
        <v>137563.3972045804</v>
      </c>
    </row>
    <row r="442" spans="1:15" x14ac:dyDescent="0.3">
      <c r="A442" s="3" t="str">
        <f>INDEX('R1. Scenario specifications'!$C$11:$C$49,MATCH($B442,'R1. Scenario specifications'!$A$11:$A$49,0))</f>
        <v>Current 2DS, 2030 start, 'Expect the Unexpected' but with cheap CCS</v>
      </c>
      <c r="B442" s="3" t="s">
        <v>46</v>
      </c>
      <c r="C442" s="3" t="s">
        <v>66</v>
      </c>
      <c r="D442" s="3" t="s">
        <v>258</v>
      </c>
      <c r="E442" s="14">
        <v>202.7012537766515</v>
      </c>
      <c r="F442" s="14">
        <v>194.90848865877462</v>
      </c>
      <c r="G442" s="14">
        <v>2771.4154518439864</v>
      </c>
      <c r="H442" s="14">
        <v>4278.9486538824649</v>
      </c>
      <c r="I442" s="14">
        <v>5842.7625726816541</v>
      </c>
      <c r="J442" s="14">
        <v>8523.2253425093331</v>
      </c>
      <c r="K442" s="14">
        <v>14115.860726173625</v>
      </c>
      <c r="L442" s="14">
        <v>14491.28875140745</v>
      </c>
      <c r="M442" s="14">
        <v>15665.364169175913</v>
      </c>
      <c r="N442" s="14">
        <v>22649.427788945974</v>
      </c>
      <c r="O442" s="14">
        <v>27964.720233878084</v>
      </c>
    </row>
    <row r="443" spans="1:15" x14ac:dyDescent="0.3">
      <c r="A443" s="3" t="str">
        <f>INDEX('R1. Scenario specifications'!$C$11:$C$49,MATCH($B443,'R1. Scenario specifications'!$A$11:$A$49,0))</f>
        <v>Current 2DS, 2030 start, 'Expect the Unexpected' but with cheap CCS</v>
      </c>
      <c r="B443" s="3" t="s">
        <v>46</v>
      </c>
      <c r="C443" s="3" t="s">
        <v>70</v>
      </c>
      <c r="D443" s="3" t="s">
        <v>259</v>
      </c>
      <c r="E443" s="14">
        <v>67.937052631788802</v>
      </c>
      <c r="F443" s="14">
        <v>458.66984800047192</v>
      </c>
      <c r="G443" s="14">
        <v>917.48161125092997</v>
      </c>
      <c r="H443" s="14">
        <v>2670.3548260954558</v>
      </c>
      <c r="I443" s="14">
        <v>11031.398228758801</v>
      </c>
      <c r="J443" s="14">
        <v>25238.428055703873</v>
      </c>
      <c r="K443" s="14">
        <v>34159.125342254447</v>
      </c>
      <c r="L443" s="14">
        <v>42746.915527597608</v>
      </c>
      <c r="M443" s="14">
        <v>60475.977436494897</v>
      </c>
      <c r="N443" s="14">
        <v>91671.841544969691</v>
      </c>
      <c r="O443" s="14">
        <v>101863.67433916879</v>
      </c>
    </row>
    <row r="444" spans="1:15" x14ac:dyDescent="0.3">
      <c r="A444" s="3" t="str">
        <f>INDEX('R1. Scenario specifications'!$C$11:$C$49,MATCH($B444,'R1. Scenario specifications'!$A$11:$A$49,0))</f>
        <v>Current 2DS, 2030 start, 'Expect the Unexpected' but with cheap CCS</v>
      </c>
      <c r="B444" s="3" t="s">
        <v>46</v>
      </c>
      <c r="C444" s="3" t="s">
        <v>71</v>
      </c>
      <c r="D444" s="3" t="s">
        <v>259</v>
      </c>
      <c r="E444" s="14">
        <v>55.461114646679903</v>
      </c>
      <c r="F444" s="14">
        <v>60.524118034134894</v>
      </c>
      <c r="G444" s="14">
        <v>64.687762917592892</v>
      </c>
      <c r="H444" s="14">
        <v>64.713826068531574</v>
      </c>
      <c r="I444" s="14">
        <v>64.7262990678432</v>
      </c>
      <c r="J444" s="14">
        <v>64.790481457756187</v>
      </c>
      <c r="K444" s="14">
        <v>65.01389003802727</v>
      </c>
      <c r="L444" s="14">
        <v>66.120069019169364</v>
      </c>
      <c r="M444" s="14">
        <v>68.802244857771683</v>
      </c>
      <c r="N444" s="14">
        <v>81.752819141301771</v>
      </c>
      <c r="O444" s="14">
        <v>81.732580623170549</v>
      </c>
    </row>
    <row r="445" spans="1:15" x14ac:dyDescent="0.3">
      <c r="A445" s="3" t="str">
        <f>INDEX('R1. Scenario specifications'!$C$11:$C$49,MATCH($B445,'R1. Scenario specifications'!$A$11:$A$49,0))</f>
        <v>Current 2DS, 2030 start, 'Expect the Unexpected' but with cheap CCS</v>
      </c>
      <c r="B445" s="3" t="s">
        <v>46</v>
      </c>
      <c r="C445" s="3" t="s">
        <v>75</v>
      </c>
      <c r="D445" s="3" t="s">
        <v>258</v>
      </c>
      <c r="E445" s="14">
        <v>1.963099940637433</v>
      </c>
      <c r="F445" s="14">
        <v>1.7858497922310126</v>
      </c>
      <c r="G445" s="14">
        <v>1.5022495547807513</v>
      </c>
      <c r="H445" s="14">
        <v>1.0014997031871682</v>
      </c>
      <c r="I445" s="14">
        <v>0.50074985159358421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</row>
    <row r="446" spans="1:15" x14ac:dyDescent="0.3">
      <c r="A446" s="3" t="str">
        <f>INDEX('R1. Scenario specifications'!$C$11:$C$49,MATCH($B446,'R1. Scenario specifications'!$A$11:$A$49,0))</f>
        <v>Current 2DS, 2030 start, 'Expect the Unexpected' but with cheap CCS</v>
      </c>
      <c r="B446" s="3" t="s">
        <v>46</v>
      </c>
      <c r="C446" s="3" t="s">
        <v>72</v>
      </c>
      <c r="D446" s="3" t="s">
        <v>260</v>
      </c>
      <c r="E446" s="14">
        <v>1517.4635089937533</v>
      </c>
      <c r="F446" s="14">
        <v>1704.9418897085425</v>
      </c>
      <c r="G446" s="14">
        <v>2685.5545190640855</v>
      </c>
      <c r="H446" s="14">
        <v>10882.32058635127</v>
      </c>
      <c r="I446" s="14">
        <v>27461.490665317244</v>
      </c>
      <c r="J446" s="14">
        <v>34981.449026780385</v>
      </c>
      <c r="K446" s="14">
        <v>48538.665888055446</v>
      </c>
      <c r="L446" s="14">
        <v>63032.933128963989</v>
      </c>
      <c r="M446" s="14">
        <v>92354.38809262593</v>
      </c>
      <c r="N446" s="14">
        <v>146572.014028901</v>
      </c>
      <c r="O446" s="14">
        <v>184315.10915030606</v>
      </c>
    </row>
    <row r="447" spans="1:15" x14ac:dyDescent="0.3">
      <c r="A447" s="3" t="str">
        <f>INDEX('R1. Scenario specifications'!$C$11:$C$49,MATCH($B447,'R1. Scenario specifications'!$A$11:$A$49,0))</f>
        <v>Current 2DS, 2020 start, 'Expect the Unexpected' but with cheap EVs</v>
      </c>
      <c r="B447" s="3" t="s">
        <v>47</v>
      </c>
      <c r="C447" s="3" t="s">
        <v>262</v>
      </c>
      <c r="D447" s="3" t="s">
        <v>253</v>
      </c>
      <c r="E447" s="14">
        <v>49803.376306806284</v>
      </c>
      <c r="F447" s="14">
        <v>54246.265938380871</v>
      </c>
      <c r="G447" s="14">
        <v>71262.17128058261</v>
      </c>
      <c r="H447" s="14">
        <v>99443.607341951298</v>
      </c>
      <c r="I447" s="14">
        <v>114893.51832729478</v>
      </c>
      <c r="J447" s="14">
        <v>145341.71423651258</v>
      </c>
      <c r="K447" s="14">
        <v>174479.87366234607</v>
      </c>
      <c r="L447" s="14">
        <v>227760.06423949311</v>
      </c>
      <c r="M447" s="14">
        <v>271165.04488007282</v>
      </c>
      <c r="N447" s="14">
        <v>306853.2097322453</v>
      </c>
      <c r="O447" s="14">
        <v>327793.97081498132</v>
      </c>
    </row>
    <row r="448" spans="1:15" x14ac:dyDescent="0.3">
      <c r="A448" s="3" t="str">
        <f>INDEX('R1. Scenario specifications'!$C$11:$C$49,MATCH($B448,'R1. Scenario specifications'!$A$11:$A$49,0))</f>
        <v>Current 2DS, 2020 start, 'Expect the Unexpected' but with cheap EVs</v>
      </c>
      <c r="B448" s="3" t="s">
        <v>47</v>
      </c>
      <c r="C448" s="3" t="s">
        <v>60</v>
      </c>
      <c r="D448" s="3" t="s">
        <v>254</v>
      </c>
      <c r="E448" s="14">
        <v>132862.88014752162</v>
      </c>
      <c r="F448" s="14">
        <v>167772.98687500271</v>
      </c>
      <c r="G448" s="14">
        <v>133988.90917691623</v>
      </c>
      <c r="H448" s="14">
        <v>113068.79459013451</v>
      </c>
      <c r="I448" s="14">
        <v>98836.09573792186</v>
      </c>
      <c r="J448" s="14">
        <v>84448.457066408009</v>
      </c>
      <c r="K448" s="14">
        <v>89479.634974582412</v>
      </c>
      <c r="L448" s="14">
        <v>87780.440040221205</v>
      </c>
      <c r="M448" s="14">
        <v>96359.004738029325</v>
      </c>
      <c r="N448" s="14">
        <v>97075.708812308716</v>
      </c>
      <c r="O448" s="14">
        <v>97518.984202924621</v>
      </c>
    </row>
    <row r="449" spans="1:15" x14ac:dyDescent="0.3">
      <c r="A449" s="3" t="str">
        <f>INDEX('R1. Scenario specifications'!$C$11:$C$49,MATCH($B449,'R1. Scenario specifications'!$A$11:$A$49,0))</f>
        <v>Current 2DS, 2020 start, 'Expect the Unexpected' but with cheap EVs</v>
      </c>
      <c r="B449" s="3" t="s">
        <v>47</v>
      </c>
      <c r="C449" s="3" t="s">
        <v>61</v>
      </c>
      <c r="D449" s="3" t="s">
        <v>255</v>
      </c>
      <c r="E449" s="14">
        <v>113361.40893082572</v>
      </c>
      <c r="F449" s="14">
        <v>125068.22780197491</v>
      </c>
      <c r="G449" s="14">
        <v>164552.1853192726</v>
      </c>
      <c r="H449" s="14">
        <v>179393.03858454441</v>
      </c>
      <c r="I449" s="14">
        <v>186496.44730313428</v>
      </c>
      <c r="J449" s="14">
        <v>192148.05821959215</v>
      </c>
      <c r="K449" s="14">
        <v>187041.85344767111</v>
      </c>
      <c r="L449" s="14">
        <v>166934.46517350414</v>
      </c>
      <c r="M449" s="14">
        <v>145014.05934173916</v>
      </c>
      <c r="N449" s="14">
        <v>100146.71429604533</v>
      </c>
      <c r="O449" s="14">
        <v>84365.702416125569</v>
      </c>
    </row>
    <row r="450" spans="1:15" x14ac:dyDescent="0.3">
      <c r="A450" s="3" t="str">
        <f>INDEX('R1. Scenario specifications'!$C$11:$C$49,MATCH($B450,'R1. Scenario specifications'!$A$11:$A$49,0))</f>
        <v>Current 2DS, 2020 start, 'Expect the Unexpected' but with cheap EVs</v>
      </c>
      <c r="B450" s="3" t="s">
        <v>47</v>
      </c>
      <c r="C450" s="3" t="s">
        <v>263</v>
      </c>
      <c r="D450" s="3" t="s">
        <v>256</v>
      </c>
      <c r="E450" s="14">
        <v>10361.182910638019</v>
      </c>
      <c r="F450" s="14">
        <v>10438.652617147358</v>
      </c>
      <c r="G450" s="14">
        <v>14734.740994143709</v>
      </c>
      <c r="H450" s="14">
        <v>17428.259497011386</v>
      </c>
      <c r="I450" s="14">
        <v>20086.239308008477</v>
      </c>
      <c r="J450" s="14">
        <v>24103.259598822035</v>
      </c>
      <c r="K450" s="14">
        <v>25847.759061109995</v>
      </c>
      <c r="L450" s="14">
        <v>26912.11503678748</v>
      </c>
      <c r="M450" s="14">
        <v>29608.550597804438</v>
      </c>
      <c r="N450" s="14">
        <v>35315.754297067768</v>
      </c>
      <c r="O450" s="14">
        <v>38780.674966424194</v>
      </c>
    </row>
    <row r="451" spans="1:15" x14ac:dyDescent="0.3">
      <c r="A451" s="3" t="str">
        <f>INDEX('R1. Scenario specifications'!$C$11:$C$49,MATCH($B451,'R1. Scenario specifications'!$A$11:$A$49,0))</f>
        <v>Current 2DS, 2020 start, 'Expect the Unexpected' but with cheap EVs</v>
      </c>
      <c r="B451" s="3" t="s">
        <v>47</v>
      </c>
      <c r="C451" s="3" t="s">
        <v>264</v>
      </c>
      <c r="D451" s="3" t="s">
        <v>257</v>
      </c>
      <c r="E451" s="14">
        <v>9499.4101148835834</v>
      </c>
      <c r="F451" s="14">
        <v>9854.7685931259057</v>
      </c>
      <c r="G451" s="14">
        <v>13753.197500000002</v>
      </c>
      <c r="H451" s="14">
        <v>14514.167854150608</v>
      </c>
      <c r="I451" s="14">
        <v>16455.882818093443</v>
      </c>
      <c r="J451" s="14">
        <v>22976.192980843465</v>
      </c>
      <c r="K451" s="14">
        <v>28732.668659947933</v>
      </c>
      <c r="L451" s="14">
        <v>32599.848668704006</v>
      </c>
      <c r="M451" s="14">
        <v>34738.665533826308</v>
      </c>
      <c r="N451" s="14">
        <v>38370.450942908428</v>
      </c>
      <c r="O451" s="14">
        <v>39733.175000000003</v>
      </c>
    </row>
    <row r="452" spans="1:15" x14ac:dyDescent="0.3">
      <c r="A452" s="3" t="str">
        <f>INDEX('R1. Scenario specifications'!$C$11:$C$49,MATCH($B452,'R1. Scenario specifications'!$A$11:$A$49,0))</f>
        <v>Current 2DS, 2020 start, 'Expect the Unexpected' but with cheap EVs</v>
      </c>
      <c r="B452" s="3" t="s">
        <v>47</v>
      </c>
      <c r="C452" s="3" t="s">
        <v>62</v>
      </c>
      <c r="D452" s="3" t="s">
        <v>266</v>
      </c>
      <c r="E452" s="14">
        <v>152832.4479725429</v>
      </c>
      <c r="F452" s="14">
        <v>158538.7874200783</v>
      </c>
      <c r="G452" s="14">
        <v>170699.74489631387</v>
      </c>
      <c r="H452" s="14">
        <v>162104.17467200488</v>
      </c>
      <c r="I452" s="14">
        <v>157477.4265732627</v>
      </c>
      <c r="J452" s="14">
        <v>152720.29554846918</v>
      </c>
      <c r="K452" s="14">
        <v>153747.72425170633</v>
      </c>
      <c r="L452" s="14">
        <v>154995.00611066053</v>
      </c>
      <c r="M452" s="14">
        <v>157408.9255187175</v>
      </c>
      <c r="N452" s="14">
        <v>155649.18591442774</v>
      </c>
      <c r="O452" s="14">
        <v>138948.01361145463</v>
      </c>
    </row>
    <row r="453" spans="1:15" x14ac:dyDescent="0.3">
      <c r="A453" s="3" t="str">
        <f>INDEX('R1. Scenario specifications'!$C$11:$C$49,MATCH($B453,'R1. Scenario specifications'!$A$11:$A$49,0))</f>
        <v>Current 2DS, 2020 start, 'Expect the Unexpected' but with cheap EVs</v>
      </c>
      <c r="B453" s="3" t="s">
        <v>47</v>
      </c>
      <c r="C453" s="3" t="s">
        <v>66</v>
      </c>
      <c r="D453" s="3" t="s">
        <v>258</v>
      </c>
      <c r="E453" s="14">
        <v>202.7012537766515</v>
      </c>
      <c r="F453" s="14">
        <v>194.90848865877462</v>
      </c>
      <c r="G453" s="14">
        <v>2771.4154518439864</v>
      </c>
      <c r="H453" s="14">
        <v>4289.802543453764</v>
      </c>
      <c r="I453" s="14">
        <v>5831.9048639773782</v>
      </c>
      <c r="J453" s="14">
        <v>8183.4970723269043</v>
      </c>
      <c r="K453" s="14">
        <v>12663.665788177004</v>
      </c>
      <c r="L453" s="14">
        <v>14429.480663369213</v>
      </c>
      <c r="M453" s="14">
        <v>16192.71931698146</v>
      </c>
      <c r="N453" s="14">
        <v>23825.041528467915</v>
      </c>
      <c r="O453" s="14">
        <v>26224.749502264836</v>
      </c>
    </row>
    <row r="454" spans="1:15" x14ac:dyDescent="0.3">
      <c r="A454" s="3" t="str">
        <f>INDEX('R1. Scenario specifications'!$C$11:$C$49,MATCH($B454,'R1. Scenario specifications'!$A$11:$A$49,0))</f>
        <v>Current 2DS, 2020 start, 'Expect the Unexpected' but with cheap EVs</v>
      </c>
      <c r="B454" s="3" t="s">
        <v>47</v>
      </c>
      <c r="C454" s="3" t="s">
        <v>70</v>
      </c>
      <c r="D454" s="3" t="s">
        <v>259</v>
      </c>
      <c r="E454" s="14">
        <v>67.937052631788802</v>
      </c>
      <c r="F454" s="14">
        <v>458.66984800047192</v>
      </c>
      <c r="G454" s="14">
        <v>917.48161125092997</v>
      </c>
      <c r="H454" s="14">
        <v>3275.0402080180756</v>
      </c>
      <c r="I454" s="14">
        <v>12768.228042351144</v>
      </c>
      <c r="J454" s="14">
        <v>25458.528815163925</v>
      </c>
      <c r="K454" s="14">
        <v>32721.373940909154</v>
      </c>
      <c r="L454" s="14">
        <v>42507.981184610515</v>
      </c>
      <c r="M454" s="14">
        <v>54475.534341547092</v>
      </c>
      <c r="N454" s="14">
        <v>85199.057115189455</v>
      </c>
      <c r="O454" s="14">
        <v>97693.778287566747</v>
      </c>
    </row>
    <row r="455" spans="1:15" x14ac:dyDescent="0.3">
      <c r="A455" s="3" t="str">
        <f>INDEX('R1. Scenario specifications'!$C$11:$C$49,MATCH($B455,'R1. Scenario specifications'!$A$11:$A$49,0))</f>
        <v>Current 2DS, 2020 start, 'Expect the Unexpected' but with cheap EVs</v>
      </c>
      <c r="B455" s="3" t="s">
        <v>47</v>
      </c>
      <c r="C455" s="3" t="s">
        <v>71</v>
      </c>
      <c r="D455" s="3" t="s">
        <v>259</v>
      </c>
      <c r="E455" s="14">
        <v>55.461114646679903</v>
      </c>
      <c r="F455" s="14">
        <v>60.524118034134894</v>
      </c>
      <c r="G455" s="14">
        <v>64.687762917592892</v>
      </c>
      <c r="H455" s="14">
        <v>64.716528064517092</v>
      </c>
      <c r="I455" s="14">
        <v>64.781802833529241</v>
      </c>
      <c r="J455" s="14">
        <v>65.030939862953346</v>
      </c>
      <c r="K455" s="14">
        <v>66.141713696568715</v>
      </c>
      <c r="L455" s="14">
        <v>71.519235365904876</v>
      </c>
      <c r="M455" s="14">
        <v>84.46980964943495</v>
      </c>
      <c r="N455" s="14">
        <v>146.77880840037903</v>
      </c>
      <c r="O455" s="14">
        <v>146.75856988224785</v>
      </c>
    </row>
    <row r="456" spans="1:15" x14ac:dyDescent="0.3">
      <c r="A456" s="3" t="str">
        <f>INDEX('R1. Scenario specifications'!$C$11:$C$49,MATCH($B456,'R1. Scenario specifications'!$A$11:$A$49,0))</f>
        <v>Current 2DS, 2020 start, 'Expect the Unexpected' but with cheap EVs</v>
      </c>
      <c r="B456" s="3" t="s">
        <v>47</v>
      </c>
      <c r="C456" s="3" t="s">
        <v>75</v>
      </c>
      <c r="D456" s="3" t="s">
        <v>258</v>
      </c>
      <c r="E456" s="14">
        <v>1.963099940637433</v>
      </c>
      <c r="F456" s="14">
        <v>1.7858497922310126</v>
      </c>
      <c r="G456" s="14">
        <v>1.5022495547807513</v>
      </c>
      <c r="H456" s="14">
        <v>1.0014997031871682</v>
      </c>
      <c r="I456" s="14">
        <v>0.50074985159358421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</row>
    <row r="457" spans="1:15" x14ac:dyDescent="0.3">
      <c r="A457" s="3" t="str">
        <f>INDEX('R1. Scenario specifications'!$C$11:$C$49,MATCH($B457,'R1. Scenario specifications'!$A$11:$A$49,0))</f>
        <v>Current 2DS, 2020 start, 'Expect the Unexpected' but with cheap EVs</v>
      </c>
      <c r="B457" s="3" t="s">
        <v>47</v>
      </c>
      <c r="C457" s="3" t="s">
        <v>72</v>
      </c>
      <c r="D457" s="3" t="s">
        <v>260</v>
      </c>
      <c r="E457" s="14">
        <v>1517.4635089937533</v>
      </c>
      <c r="F457" s="14">
        <v>1704.9418897085425</v>
      </c>
      <c r="G457" s="14">
        <v>2685.5545190640855</v>
      </c>
      <c r="H457" s="14">
        <v>10767.047639583727</v>
      </c>
      <c r="I457" s="14">
        <v>27455.005721666996</v>
      </c>
      <c r="J457" s="14">
        <v>35697.258444534156</v>
      </c>
      <c r="K457" s="14">
        <v>48436.209470350965</v>
      </c>
      <c r="L457" s="14">
        <v>63908.250111877351</v>
      </c>
      <c r="M457" s="14">
        <v>88144.641878633644</v>
      </c>
      <c r="N457" s="14">
        <v>141553.92642551358</v>
      </c>
      <c r="O457" s="14">
        <v>180776.93792855405</v>
      </c>
    </row>
    <row r="458" spans="1:15" x14ac:dyDescent="0.3">
      <c r="A458" s="3" t="str">
        <f>INDEX('R1. Scenario specifications'!$C$11:$C$49,MATCH($B458,'R1. Scenario specifications'!$A$11:$A$49,0))</f>
        <v>Current 2DS, 2030 start, 'Expect the Unexpected' but with cheap EVs</v>
      </c>
      <c r="B458" s="3" t="s">
        <v>48</v>
      </c>
      <c r="C458" s="3" t="s">
        <v>262</v>
      </c>
      <c r="D458" s="3" t="s">
        <v>253</v>
      </c>
      <c r="E458" s="14">
        <v>49803.376306806284</v>
      </c>
      <c r="F458" s="14">
        <v>54246.265938380871</v>
      </c>
      <c r="G458" s="14">
        <v>71262.17128058261</v>
      </c>
      <c r="H458" s="14">
        <v>95987.494917697361</v>
      </c>
      <c r="I458" s="14">
        <v>119414.38747681868</v>
      </c>
      <c r="J458" s="14">
        <v>151189.21922886721</v>
      </c>
      <c r="K458" s="14">
        <v>169159.92788428997</v>
      </c>
      <c r="L458" s="14">
        <v>222300.06345209864</v>
      </c>
      <c r="M458" s="14">
        <v>276398.48571476282</v>
      </c>
      <c r="N458" s="14">
        <v>308892.84723978647</v>
      </c>
      <c r="O458" s="14">
        <v>327787.22072192346</v>
      </c>
    </row>
    <row r="459" spans="1:15" x14ac:dyDescent="0.3">
      <c r="A459" s="3" t="str">
        <f>INDEX('R1. Scenario specifications'!$C$11:$C$49,MATCH($B459,'R1. Scenario specifications'!$A$11:$A$49,0))</f>
        <v>Current 2DS, 2030 start, 'Expect the Unexpected' but with cheap EVs</v>
      </c>
      <c r="B459" s="3" t="s">
        <v>48</v>
      </c>
      <c r="C459" s="3" t="s">
        <v>60</v>
      </c>
      <c r="D459" s="3" t="s">
        <v>254</v>
      </c>
      <c r="E459" s="14">
        <v>132862.88014752162</v>
      </c>
      <c r="F459" s="14">
        <v>167772.98687500271</v>
      </c>
      <c r="G459" s="14">
        <v>133988.90917691623</v>
      </c>
      <c r="H459" s="14">
        <v>141587.52010422843</v>
      </c>
      <c r="I459" s="14">
        <v>101617.19865829666</v>
      </c>
      <c r="J459" s="14">
        <v>79817.316831352102</v>
      </c>
      <c r="K459" s="14">
        <v>83212.639037479865</v>
      </c>
      <c r="L459" s="14">
        <v>92335.447525891766</v>
      </c>
      <c r="M459" s="14">
        <v>95645.475713189036</v>
      </c>
      <c r="N459" s="14">
        <v>95940.719778249564</v>
      </c>
      <c r="O459" s="14">
        <v>93201.317772741371</v>
      </c>
    </row>
    <row r="460" spans="1:15" x14ac:dyDescent="0.3">
      <c r="A460" s="3" t="str">
        <f>INDEX('R1. Scenario specifications'!$C$11:$C$49,MATCH($B460,'R1. Scenario specifications'!$A$11:$A$49,0))</f>
        <v>Current 2DS, 2030 start, 'Expect the Unexpected' but with cheap EVs</v>
      </c>
      <c r="B460" s="3" t="s">
        <v>48</v>
      </c>
      <c r="C460" s="3" t="s">
        <v>61</v>
      </c>
      <c r="D460" s="3" t="s">
        <v>255</v>
      </c>
      <c r="E460" s="14">
        <v>113361.40893082572</v>
      </c>
      <c r="F460" s="14">
        <v>125068.22780197491</v>
      </c>
      <c r="G460" s="14">
        <v>164552.1853192726</v>
      </c>
      <c r="H460" s="14">
        <v>176766.93010542684</v>
      </c>
      <c r="I460" s="14">
        <v>190447.479686498</v>
      </c>
      <c r="J460" s="14">
        <v>192082.69033095846</v>
      </c>
      <c r="K460" s="14">
        <v>187760.62072623579</v>
      </c>
      <c r="L460" s="14">
        <v>163117.17977879717</v>
      </c>
      <c r="M460" s="14">
        <v>141185.17358295654</v>
      </c>
      <c r="N460" s="14">
        <v>93646.980093567778</v>
      </c>
      <c r="O460" s="14">
        <v>81104.965951269114</v>
      </c>
    </row>
    <row r="461" spans="1:15" x14ac:dyDescent="0.3">
      <c r="A461" s="3" t="str">
        <f>INDEX('R1. Scenario specifications'!$C$11:$C$49,MATCH($B461,'R1. Scenario specifications'!$A$11:$A$49,0))</f>
        <v>Current 2DS, 2030 start, 'Expect the Unexpected' but with cheap EVs</v>
      </c>
      <c r="B461" s="3" t="s">
        <v>48</v>
      </c>
      <c r="C461" s="3" t="s">
        <v>263</v>
      </c>
      <c r="D461" s="3" t="s">
        <v>256</v>
      </c>
      <c r="E461" s="14">
        <v>10361.182910638019</v>
      </c>
      <c r="F461" s="14">
        <v>10438.652617147358</v>
      </c>
      <c r="G461" s="14">
        <v>14734.740994143709</v>
      </c>
      <c r="H461" s="14">
        <v>17241.713076375538</v>
      </c>
      <c r="I461" s="14">
        <v>19683.776713159183</v>
      </c>
      <c r="J461" s="14">
        <v>24697.800016135312</v>
      </c>
      <c r="K461" s="14">
        <v>26257.530729220936</v>
      </c>
      <c r="L461" s="14">
        <v>27212.872081411155</v>
      </c>
      <c r="M461" s="14">
        <v>29950.172454544256</v>
      </c>
      <c r="N461" s="14">
        <v>36583.495912527236</v>
      </c>
      <c r="O461" s="14">
        <v>38673.691853229931</v>
      </c>
    </row>
    <row r="462" spans="1:15" x14ac:dyDescent="0.3">
      <c r="A462" s="3" t="str">
        <f>INDEX('R1. Scenario specifications'!$C$11:$C$49,MATCH($B462,'R1. Scenario specifications'!$A$11:$A$49,0))</f>
        <v>Current 2DS, 2030 start, 'Expect the Unexpected' but with cheap EVs</v>
      </c>
      <c r="B462" s="3" t="s">
        <v>48</v>
      </c>
      <c r="C462" s="3" t="s">
        <v>264</v>
      </c>
      <c r="D462" s="3" t="s">
        <v>257</v>
      </c>
      <c r="E462" s="14">
        <v>9499.4101148835834</v>
      </c>
      <c r="F462" s="14">
        <v>9854.7685931259057</v>
      </c>
      <c r="G462" s="14">
        <v>13753.197500000002</v>
      </c>
      <c r="H462" s="14">
        <v>14514.167854150608</v>
      </c>
      <c r="I462" s="14">
        <v>15191.631806438925</v>
      </c>
      <c r="J462" s="14">
        <v>23709.876572790577</v>
      </c>
      <c r="K462" s="14">
        <v>29322.752136321811</v>
      </c>
      <c r="L462" s="14">
        <v>32764.356268945863</v>
      </c>
      <c r="M462" s="14">
        <v>35335.78607805611</v>
      </c>
      <c r="N462" s="14">
        <v>38366.96666338564</v>
      </c>
      <c r="O462" s="14">
        <v>39733.175000000003</v>
      </c>
    </row>
    <row r="463" spans="1:15" x14ac:dyDescent="0.3">
      <c r="A463" s="3" t="str">
        <f>INDEX('R1. Scenario specifications'!$C$11:$C$49,MATCH($B463,'R1. Scenario specifications'!$A$11:$A$49,0))</f>
        <v>Current 2DS, 2030 start, 'Expect the Unexpected' but with cheap EVs</v>
      </c>
      <c r="B463" s="3" t="s">
        <v>48</v>
      </c>
      <c r="C463" s="3" t="s">
        <v>62</v>
      </c>
      <c r="D463" s="3" t="s">
        <v>266</v>
      </c>
      <c r="E463" s="14">
        <v>152832.4479725429</v>
      </c>
      <c r="F463" s="14">
        <v>158538.7874200783</v>
      </c>
      <c r="G463" s="14">
        <v>170699.74489631387</v>
      </c>
      <c r="H463" s="14">
        <v>176541.28948572898</v>
      </c>
      <c r="I463" s="14">
        <v>164544.6921260056</v>
      </c>
      <c r="J463" s="14">
        <v>153683.90338411141</v>
      </c>
      <c r="K463" s="14">
        <v>156369.31879519901</v>
      </c>
      <c r="L463" s="14">
        <v>157868.54208676371</v>
      </c>
      <c r="M463" s="14">
        <v>159318.86170924015</v>
      </c>
      <c r="N463" s="14">
        <v>154684.03862205095</v>
      </c>
      <c r="O463" s="14">
        <v>138002.85719210331</v>
      </c>
    </row>
    <row r="464" spans="1:15" x14ac:dyDescent="0.3">
      <c r="A464" s="3" t="str">
        <f>INDEX('R1. Scenario specifications'!$C$11:$C$49,MATCH($B464,'R1. Scenario specifications'!$A$11:$A$49,0))</f>
        <v>Current 2DS, 2030 start, 'Expect the Unexpected' but with cheap EVs</v>
      </c>
      <c r="B464" s="3" t="s">
        <v>48</v>
      </c>
      <c r="C464" s="3" t="s">
        <v>66</v>
      </c>
      <c r="D464" s="3" t="s">
        <v>258</v>
      </c>
      <c r="E464" s="14">
        <v>202.7012537766515</v>
      </c>
      <c r="F464" s="14">
        <v>194.90848865877462</v>
      </c>
      <c r="G464" s="14">
        <v>2771.4154518439864</v>
      </c>
      <c r="H464" s="14">
        <v>4278.9486538824649</v>
      </c>
      <c r="I464" s="14">
        <v>5821.0509744060791</v>
      </c>
      <c r="J464" s="14">
        <v>8487.1687774468664</v>
      </c>
      <c r="K464" s="14">
        <v>14365.675293189352</v>
      </c>
      <c r="L464" s="14">
        <v>14851.489248142003</v>
      </c>
      <c r="M464" s="14">
        <v>16055.665083484126</v>
      </c>
      <c r="N464" s="14">
        <v>23180.70483969777</v>
      </c>
      <c r="O464" s="14">
        <v>28419.553686462565</v>
      </c>
    </row>
    <row r="465" spans="1:15" x14ac:dyDescent="0.3">
      <c r="A465" s="3" t="str">
        <f>INDEX('R1. Scenario specifications'!$C$11:$C$49,MATCH($B465,'R1. Scenario specifications'!$A$11:$A$49,0))</f>
        <v>Current 2DS, 2030 start, 'Expect the Unexpected' but with cheap EVs</v>
      </c>
      <c r="B465" s="3" t="s">
        <v>48</v>
      </c>
      <c r="C465" s="3" t="s">
        <v>70</v>
      </c>
      <c r="D465" s="3" t="s">
        <v>259</v>
      </c>
      <c r="E465" s="14">
        <v>67.937052631788802</v>
      </c>
      <c r="F465" s="14">
        <v>458.66984800047192</v>
      </c>
      <c r="G465" s="14">
        <v>917.48161125092997</v>
      </c>
      <c r="H465" s="14">
        <v>2670.3548260954558</v>
      </c>
      <c r="I465" s="14">
        <v>10969.403957658309</v>
      </c>
      <c r="J465" s="14">
        <v>25245.018436406484</v>
      </c>
      <c r="K465" s="14">
        <v>33877.883215555943</v>
      </c>
      <c r="L465" s="14">
        <v>42643.505500215761</v>
      </c>
      <c r="M465" s="14">
        <v>58723.376874850408</v>
      </c>
      <c r="N465" s="14">
        <v>89817.322820023532</v>
      </c>
      <c r="O465" s="14">
        <v>101269.12348257893</v>
      </c>
    </row>
    <row r="466" spans="1:15" x14ac:dyDescent="0.3">
      <c r="A466" s="3" t="str">
        <f>INDEX('R1. Scenario specifications'!$C$11:$C$49,MATCH($B466,'R1. Scenario specifications'!$A$11:$A$49,0))</f>
        <v>Current 2DS, 2030 start, 'Expect the Unexpected' but with cheap EVs</v>
      </c>
      <c r="B466" s="3" t="s">
        <v>48</v>
      </c>
      <c r="C466" s="3" t="s">
        <v>71</v>
      </c>
      <c r="D466" s="3" t="s">
        <v>259</v>
      </c>
      <c r="E466" s="14">
        <v>55.461114646679903</v>
      </c>
      <c r="F466" s="14">
        <v>60.524118034134894</v>
      </c>
      <c r="G466" s="14">
        <v>64.687762917592892</v>
      </c>
      <c r="H466" s="14">
        <v>64.713826068531574</v>
      </c>
      <c r="I466" s="14">
        <v>64.7262990678432</v>
      </c>
      <c r="J466" s="14">
        <v>64.790481457756187</v>
      </c>
      <c r="K466" s="14">
        <v>65.01389003802727</v>
      </c>
      <c r="L466" s="14">
        <v>66.120069019169364</v>
      </c>
      <c r="M466" s="14">
        <v>68.802244857771683</v>
      </c>
      <c r="N466" s="14">
        <v>81.752819141301771</v>
      </c>
      <c r="O466" s="14">
        <v>81.732580623170549</v>
      </c>
    </row>
    <row r="467" spans="1:15" x14ac:dyDescent="0.3">
      <c r="A467" s="3" t="str">
        <f>INDEX('R1. Scenario specifications'!$C$11:$C$49,MATCH($B467,'R1. Scenario specifications'!$A$11:$A$49,0))</f>
        <v>Current 2DS, 2030 start, 'Expect the Unexpected' but with cheap EVs</v>
      </c>
      <c r="B467" s="3" t="s">
        <v>48</v>
      </c>
      <c r="C467" s="3" t="s">
        <v>75</v>
      </c>
      <c r="D467" s="3" t="s">
        <v>258</v>
      </c>
      <c r="E467" s="14">
        <v>1.963099940637433</v>
      </c>
      <c r="F467" s="14">
        <v>1.7858497922310126</v>
      </c>
      <c r="G467" s="14">
        <v>1.5022495547807513</v>
      </c>
      <c r="H467" s="14">
        <v>1.0014997031871682</v>
      </c>
      <c r="I467" s="14">
        <v>0.50074985159358421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</row>
    <row r="468" spans="1:15" x14ac:dyDescent="0.3">
      <c r="A468" s="3" t="str">
        <f>INDEX('R1. Scenario specifications'!$C$11:$C$49,MATCH($B468,'R1. Scenario specifications'!$A$11:$A$49,0))</f>
        <v>Current 2DS, 2030 start, 'Expect the Unexpected' but with cheap EVs</v>
      </c>
      <c r="B468" s="3" t="s">
        <v>48</v>
      </c>
      <c r="C468" s="3" t="s">
        <v>72</v>
      </c>
      <c r="D468" s="3" t="s">
        <v>260</v>
      </c>
      <c r="E468" s="14">
        <v>1517.4635089937533</v>
      </c>
      <c r="F468" s="14">
        <v>1704.9418897085425</v>
      </c>
      <c r="G468" s="14">
        <v>2685.5545190640855</v>
      </c>
      <c r="H468" s="14">
        <v>10882.32058635127</v>
      </c>
      <c r="I468" s="14">
        <v>27471.685530627048</v>
      </c>
      <c r="J468" s="14">
        <v>35492.307283689159</v>
      </c>
      <c r="K468" s="14">
        <v>48761.642767282996</v>
      </c>
      <c r="L468" s="14">
        <v>63511.196668134726</v>
      </c>
      <c r="M468" s="14">
        <v>92149.057491191459</v>
      </c>
      <c r="N468" s="14">
        <v>146245.63710855352</v>
      </c>
      <c r="O468" s="14">
        <v>184919.2520240201</v>
      </c>
    </row>
    <row r="469" spans="1:15" x14ac:dyDescent="0.3">
      <c r="A469" s="3" t="str">
        <f>INDEX('R1. Scenario specifications'!$C$11:$C$49,MATCH($B469,'R1. Scenario specifications'!$A$11:$A$49,0))</f>
        <v>Current 2DS, 2020 start, 'Expect the Unexpected' but with cheap energy efficiency</v>
      </c>
      <c r="B469" s="3" t="s">
        <v>49</v>
      </c>
      <c r="C469" s="3" t="s">
        <v>262</v>
      </c>
      <c r="D469" s="3" t="s">
        <v>253</v>
      </c>
      <c r="E469" s="14">
        <v>49803.376306806284</v>
      </c>
      <c r="F469" s="14">
        <v>54246.265938380871</v>
      </c>
      <c r="G469" s="14">
        <v>71262.17128058261</v>
      </c>
      <c r="H469" s="14">
        <v>99664.087908283807</v>
      </c>
      <c r="I469" s="14">
        <v>111372.3811968458</v>
      </c>
      <c r="J469" s="14">
        <v>136590.55166884072</v>
      </c>
      <c r="K469" s="14">
        <v>149564.14540852688</v>
      </c>
      <c r="L469" s="14">
        <v>201806.19006433926</v>
      </c>
      <c r="M469" s="14">
        <v>251301.01506003313</v>
      </c>
      <c r="N469" s="14">
        <v>290773.18832924578</v>
      </c>
      <c r="O469" s="14">
        <v>327316.98831184953</v>
      </c>
    </row>
    <row r="470" spans="1:15" x14ac:dyDescent="0.3">
      <c r="A470" s="3" t="str">
        <f>INDEX('R1. Scenario specifications'!$C$11:$C$49,MATCH($B470,'R1. Scenario specifications'!$A$11:$A$49,0))</f>
        <v>Current 2DS, 2020 start, 'Expect the Unexpected' but with cheap energy efficiency</v>
      </c>
      <c r="B470" s="3" t="s">
        <v>49</v>
      </c>
      <c r="C470" s="3" t="s">
        <v>60</v>
      </c>
      <c r="D470" s="3" t="s">
        <v>254</v>
      </c>
      <c r="E470" s="14">
        <v>132862.88014752162</v>
      </c>
      <c r="F470" s="14">
        <v>167772.98687500271</v>
      </c>
      <c r="G470" s="14">
        <v>133988.90917691623</v>
      </c>
      <c r="H470" s="14">
        <v>112119.30435413042</v>
      </c>
      <c r="I470" s="14">
        <v>90940.566836054248</v>
      </c>
      <c r="J470" s="14">
        <v>72367.331580178914</v>
      </c>
      <c r="K470" s="14">
        <v>72840.899782209133</v>
      </c>
      <c r="L470" s="14">
        <v>70033.833363494879</v>
      </c>
      <c r="M470" s="14">
        <v>75395.812015666175</v>
      </c>
      <c r="N470" s="14">
        <v>77934.384906979525</v>
      </c>
      <c r="O470" s="14">
        <v>76648.001852491157</v>
      </c>
    </row>
    <row r="471" spans="1:15" x14ac:dyDescent="0.3">
      <c r="A471" s="3" t="str">
        <f>INDEX('R1. Scenario specifications'!$C$11:$C$49,MATCH($B471,'R1. Scenario specifications'!$A$11:$A$49,0))</f>
        <v>Current 2DS, 2020 start, 'Expect the Unexpected' but with cheap energy efficiency</v>
      </c>
      <c r="B471" s="3" t="s">
        <v>49</v>
      </c>
      <c r="C471" s="3" t="s">
        <v>61</v>
      </c>
      <c r="D471" s="3" t="s">
        <v>255</v>
      </c>
      <c r="E471" s="14">
        <v>113361.40893082572</v>
      </c>
      <c r="F471" s="14">
        <v>125068.22780197491</v>
      </c>
      <c r="G471" s="14">
        <v>164552.1853192726</v>
      </c>
      <c r="H471" s="14">
        <v>176183.40548563987</v>
      </c>
      <c r="I471" s="14">
        <v>178291.79188407914</v>
      </c>
      <c r="J471" s="14">
        <v>168742.97980745227</v>
      </c>
      <c r="K471" s="14">
        <v>165057.09056725368</v>
      </c>
      <c r="L471" s="14">
        <v>152598.29879768219</v>
      </c>
      <c r="M471" s="14">
        <v>124643.2657818353</v>
      </c>
      <c r="N471" s="14">
        <v>94039.726488627421</v>
      </c>
      <c r="O471" s="14">
        <v>66820.108801707145</v>
      </c>
    </row>
    <row r="472" spans="1:15" x14ac:dyDescent="0.3">
      <c r="A472" s="3" t="str">
        <f>INDEX('R1. Scenario specifications'!$C$11:$C$49,MATCH($B472,'R1. Scenario specifications'!$A$11:$A$49,0))</f>
        <v>Current 2DS, 2020 start, 'Expect the Unexpected' but with cheap energy efficiency</v>
      </c>
      <c r="B472" s="3" t="s">
        <v>49</v>
      </c>
      <c r="C472" s="3" t="s">
        <v>263</v>
      </c>
      <c r="D472" s="3" t="s">
        <v>256</v>
      </c>
      <c r="E472" s="14">
        <v>10361.182910638019</v>
      </c>
      <c r="F472" s="14">
        <v>10438.652617147358</v>
      </c>
      <c r="G472" s="14">
        <v>14734.740994143709</v>
      </c>
      <c r="H472" s="14">
        <v>17350.02109566432</v>
      </c>
      <c r="I472" s="14">
        <v>19710.855239891356</v>
      </c>
      <c r="J472" s="14">
        <v>22439.016483567084</v>
      </c>
      <c r="K472" s="14">
        <v>24003.879262199898</v>
      </c>
      <c r="L472" s="14">
        <v>24417.771206761929</v>
      </c>
      <c r="M472" s="14">
        <v>25539.655416457699</v>
      </c>
      <c r="N472" s="14">
        <v>30113.398513037486</v>
      </c>
      <c r="O472" s="14">
        <v>34901.295547243986</v>
      </c>
    </row>
    <row r="473" spans="1:15" x14ac:dyDescent="0.3">
      <c r="A473" s="3" t="str">
        <f>INDEX('R1. Scenario specifications'!$C$11:$C$49,MATCH($B473,'R1. Scenario specifications'!$A$11:$A$49,0))</f>
        <v>Current 2DS, 2020 start, 'Expect the Unexpected' but with cheap energy efficiency</v>
      </c>
      <c r="B473" s="3" t="s">
        <v>49</v>
      </c>
      <c r="C473" s="3" t="s">
        <v>264</v>
      </c>
      <c r="D473" s="3" t="s">
        <v>257</v>
      </c>
      <c r="E473" s="14">
        <v>9499.4101148835834</v>
      </c>
      <c r="F473" s="14">
        <v>9854.7685931259057</v>
      </c>
      <c r="G473" s="14">
        <v>13753.197500000002</v>
      </c>
      <c r="H473" s="14">
        <v>14514.167854150608</v>
      </c>
      <c r="I473" s="14">
        <v>16446.599972730342</v>
      </c>
      <c r="J473" s="14">
        <v>21155.728529743101</v>
      </c>
      <c r="K473" s="14">
        <v>26463.937607664182</v>
      </c>
      <c r="L473" s="14">
        <v>29693.016039071179</v>
      </c>
      <c r="M473" s="14">
        <v>33763.967828274421</v>
      </c>
      <c r="N473" s="14">
        <v>37908.53</v>
      </c>
      <c r="O473" s="14">
        <v>38475.508195027629</v>
      </c>
    </row>
    <row r="474" spans="1:15" x14ac:dyDescent="0.3">
      <c r="A474" s="3" t="str">
        <f>INDEX('R1. Scenario specifications'!$C$11:$C$49,MATCH($B474,'R1. Scenario specifications'!$A$11:$A$49,0))</f>
        <v>Current 2DS, 2020 start, 'Expect the Unexpected' but with cheap energy efficiency</v>
      </c>
      <c r="B474" s="3" t="s">
        <v>49</v>
      </c>
      <c r="C474" s="3" t="s">
        <v>62</v>
      </c>
      <c r="D474" s="3" t="s">
        <v>266</v>
      </c>
      <c r="E474" s="14">
        <v>152832.4479725429</v>
      </c>
      <c r="F474" s="14">
        <v>158538.7874200783</v>
      </c>
      <c r="G474" s="14">
        <v>170699.74489631387</v>
      </c>
      <c r="H474" s="14">
        <v>165100.54249270255</v>
      </c>
      <c r="I474" s="14">
        <v>162633.57187244322</v>
      </c>
      <c r="J474" s="14">
        <v>143435.26218496115</v>
      </c>
      <c r="K474" s="14">
        <v>141870.83960000408</v>
      </c>
      <c r="L474" s="14">
        <v>141704.44641649717</v>
      </c>
      <c r="M474" s="14">
        <v>140811.89185887034</v>
      </c>
      <c r="N474" s="14">
        <v>138008.4472467158</v>
      </c>
      <c r="O474" s="14">
        <v>127353.36380409394</v>
      </c>
    </row>
    <row r="475" spans="1:15" x14ac:dyDescent="0.3">
      <c r="A475" s="3" t="str">
        <f>INDEX('R1. Scenario specifications'!$C$11:$C$49,MATCH($B475,'R1. Scenario specifications'!$A$11:$A$49,0))</f>
        <v>Current 2DS, 2020 start, 'Expect the Unexpected' but with cheap energy efficiency</v>
      </c>
      <c r="B475" s="3" t="s">
        <v>49</v>
      </c>
      <c r="C475" s="3" t="s">
        <v>66</v>
      </c>
      <c r="D475" s="3" t="s">
        <v>258</v>
      </c>
      <c r="E475" s="14">
        <v>202.7012537766515</v>
      </c>
      <c r="F475" s="14">
        <v>194.90848865877462</v>
      </c>
      <c r="G475" s="14">
        <v>2771.4154518439864</v>
      </c>
      <c r="H475" s="14">
        <v>4289.802543453764</v>
      </c>
      <c r="I475" s="14">
        <v>5808.1896350635388</v>
      </c>
      <c r="J475" s="14">
        <v>7279.9711701737642</v>
      </c>
      <c r="K475" s="14">
        <v>7188.6357520854517</v>
      </c>
      <c r="L475" s="14">
        <v>7107.2345175257615</v>
      </c>
      <c r="M475" s="14">
        <v>7765.2647146624022</v>
      </c>
      <c r="N475" s="14">
        <v>11739.160958175138</v>
      </c>
      <c r="O475" s="14">
        <v>19138.84604519244</v>
      </c>
    </row>
    <row r="476" spans="1:15" x14ac:dyDescent="0.3">
      <c r="A476" s="3" t="str">
        <f>INDEX('R1. Scenario specifications'!$C$11:$C$49,MATCH($B476,'R1. Scenario specifications'!$A$11:$A$49,0))</f>
        <v>Current 2DS, 2020 start, 'Expect the Unexpected' but with cheap energy efficiency</v>
      </c>
      <c r="B476" s="3" t="s">
        <v>49</v>
      </c>
      <c r="C476" s="3" t="s">
        <v>70</v>
      </c>
      <c r="D476" s="3" t="s">
        <v>259</v>
      </c>
      <c r="E476" s="14">
        <v>67.937052631788802</v>
      </c>
      <c r="F476" s="14">
        <v>458.66984800047192</v>
      </c>
      <c r="G476" s="14">
        <v>917.48161125092997</v>
      </c>
      <c r="H476" s="14">
        <v>3094.8630186226524</v>
      </c>
      <c r="I476" s="14">
        <v>10961.885069439539</v>
      </c>
      <c r="J476" s="14">
        <v>23404.626779486738</v>
      </c>
      <c r="K476" s="14">
        <v>30391.556831709222</v>
      </c>
      <c r="L476" s="14">
        <v>36269.688871575549</v>
      </c>
      <c r="M476" s="14">
        <v>45759.733369541187</v>
      </c>
      <c r="N476" s="14">
        <v>62135.513522723289</v>
      </c>
      <c r="O476" s="14">
        <v>81680.934707247405</v>
      </c>
    </row>
    <row r="477" spans="1:15" x14ac:dyDescent="0.3">
      <c r="A477" s="3" t="str">
        <f>INDEX('R1. Scenario specifications'!$C$11:$C$49,MATCH($B477,'R1. Scenario specifications'!$A$11:$A$49,0))</f>
        <v>Current 2DS, 2020 start, 'Expect the Unexpected' but with cheap energy efficiency</v>
      </c>
      <c r="B477" s="3" t="s">
        <v>49</v>
      </c>
      <c r="C477" s="3" t="s">
        <v>71</v>
      </c>
      <c r="D477" s="3" t="s">
        <v>259</v>
      </c>
      <c r="E477" s="14">
        <v>55.461114646679903</v>
      </c>
      <c r="F477" s="14">
        <v>60.524118034134894</v>
      </c>
      <c r="G477" s="14">
        <v>64.687762917592892</v>
      </c>
      <c r="H477" s="14">
        <v>64.706789747717096</v>
      </c>
      <c r="I477" s="14">
        <v>64.723110374638068</v>
      </c>
      <c r="J477" s="14">
        <v>64.738707795490285</v>
      </c>
      <c r="K477" s="14">
        <v>64.726896808609197</v>
      </c>
      <c r="L477" s="14">
        <v>64.71340032820595</v>
      </c>
      <c r="M477" s="14">
        <v>64.703267348622092</v>
      </c>
      <c r="N477" s="14">
        <v>64.690916698832709</v>
      </c>
      <c r="O477" s="14">
        <v>64.677952808545314</v>
      </c>
    </row>
    <row r="478" spans="1:15" x14ac:dyDescent="0.3">
      <c r="A478" s="3" t="str">
        <f>INDEX('R1. Scenario specifications'!$C$11:$C$49,MATCH($B478,'R1. Scenario specifications'!$A$11:$A$49,0))</f>
        <v>Current 2DS, 2020 start, 'Expect the Unexpected' but with cheap energy efficiency</v>
      </c>
      <c r="B478" s="3" t="s">
        <v>49</v>
      </c>
      <c r="C478" s="3" t="s">
        <v>75</v>
      </c>
      <c r="D478" s="3" t="s">
        <v>258</v>
      </c>
      <c r="E478" s="14">
        <v>1.963099940637433</v>
      </c>
      <c r="F478" s="14">
        <v>1.7858497922310126</v>
      </c>
      <c r="G478" s="14">
        <v>1.5022495547807513</v>
      </c>
      <c r="H478" s="14">
        <v>1.0014997031871682</v>
      </c>
      <c r="I478" s="14">
        <v>0.50074985159358409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</row>
    <row r="479" spans="1:15" x14ac:dyDescent="0.3">
      <c r="A479" s="3" t="str">
        <f>INDEX('R1. Scenario specifications'!$C$11:$C$49,MATCH($B479,'R1. Scenario specifications'!$A$11:$A$49,0))</f>
        <v>Current 2DS, 2020 start, 'Expect the Unexpected' but with cheap energy efficiency</v>
      </c>
      <c r="B479" s="3" t="s">
        <v>49</v>
      </c>
      <c r="C479" s="3" t="s">
        <v>72</v>
      </c>
      <c r="D479" s="3" t="s">
        <v>260</v>
      </c>
      <c r="E479" s="14">
        <v>1517.4635089937533</v>
      </c>
      <c r="F479" s="14">
        <v>1704.9418897085425</v>
      </c>
      <c r="G479" s="14">
        <v>2685.5545190640855</v>
      </c>
      <c r="H479" s="14">
        <v>10879.182730469352</v>
      </c>
      <c r="I479" s="14">
        <v>26191.515174759763</v>
      </c>
      <c r="J479" s="14">
        <v>31398.676779278612</v>
      </c>
      <c r="K479" s="14">
        <v>41358.618626744363</v>
      </c>
      <c r="L479" s="14">
        <v>51344.154967100229</v>
      </c>
      <c r="M479" s="14">
        <v>69082.964245032083</v>
      </c>
      <c r="N479" s="14">
        <v>105882.83625751553</v>
      </c>
      <c r="O479" s="14">
        <v>153458.95241942906</v>
      </c>
    </row>
  </sheetData>
  <mergeCells count="2">
    <mergeCell ref="C37:N37"/>
    <mergeCell ref="O37:Z37"/>
  </mergeCells>
  <conditionalFormatting sqref="A5967:XFD1048576 A1:XFD12 N19:XFD19 A50:C167 D875:XFD5966 A20:XFD35 A90:A5966 A48:XFD49 AL36:XFD47 A36:Z36 A38:Z47 A37:C37 O37 E50:XFD874 A14:XFD18 A13:E13 J13:XFD13">
    <cfRule type="expression" dxfId="130" priority="4">
      <formula>_xlfn.ISFORMULA(A1)</formula>
    </cfRule>
  </conditionalFormatting>
  <conditionalFormatting sqref="A19:M19">
    <cfRule type="expression" dxfId="129" priority="3">
      <formula>_xlfn.ISFORMULA(A19)</formula>
    </cfRule>
  </conditionalFormatting>
  <conditionalFormatting sqref="F13:I13">
    <cfRule type="expression" dxfId="128" priority="1">
      <formula>_xlfn.ISFORMULA(F13)</formula>
    </cfRule>
  </conditionalFormatting>
  <dataValidations count="1">
    <dataValidation type="list" allowBlank="1" showInputMessage="1" showErrorMessage="1" sqref="B22" xr:uid="{06C0B96D-594B-4731-9041-0EAFBF7388C6}">
      <formula1>$C$51:$C$61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24019FA-9E6B-4BF1-BD3A-3E8FD792FBE7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1EBEC-18A6-40C6-9C26-92AF5DC1244A}">
  <sheetPr>
    <tabColor theme="5" tint="0.39997558519241921"/>
  </sheetPr>
  <dimension ref="A1:Z521"/>
  <sheetViews>
    <sheetView zoomScale="70" zoomScaleNormal="70" workbookViewId="0">
      <selection activeCell="D8" sqref="D8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223</v>
      </c>
    </row>
    <row r="2" spans="1:9" s="5" customFormat="1" x14ac:dyDescent="0.3">
      <c r="A2" s="5" t="s">
        <v>5</v>
      </c>
      <c r="B2" s="5" t="s">
        <v>222</v>
      </c>
    </row>
    <row r="3" spans="1:9" s="5" customFormat="1" x14ac:dyDescent="0.3">
      <c r="A3" s="5" t="s">
        <v>6</v>
      </c>
      <c r="B3" s="5" t="s">
        <v>221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281</v>
      </c>
    </row>
    <row r="7" spans="1:9" s="5" customFormat="1" x14ac:dyDescent="0.3">
      <c r="B7" s="5" t="s">
        <v>188</v>
      </c>
      <c r="C7" s="5" t="s">
        <v>9</v>
      </c>
      <c r="D7" s="5" t="s">
        <v>282</v>
      </c>
    </row>
    <row r="8" spans="1:9" s="5" customFormat="1" x14ac:dyDescent="0.3">
      <c r="B8" s="5" t="s">
        <v>190</v>
      </c>
      <c r="C8" s="5" t="s">
        <v>10</v>
      </c>
      <c r="D8" s="5" t="s">
        <v>283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$E$8:$P6500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CONCATENATE($B$22, " GW added in period between snapshot year and previous snapshot year")</f>
        <v>POWGEN - BIO CCS GW added in period between snapshot year and previous snapshot year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59</v>
      </c>
      <c r="B22" s="17" t="s">
        <v>73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INDEX($D$54:$N$521,MATCH(B$24&amp;$B$22,$B$54:$B$521&amp;$C$54:$C$521,0),MATCH($A25,$D$53:$N$53,0))</f>
        <v>0</v>
      </c>
      <c r="C25" s="14">
        <f t="array" ref="C25">INDEX($D$54:$N$521,MATCH(C$24&amp;$B$22,$B$54:$B$521&amp;$C$54:$C$521,0),MATCH($A25,$D$53:$N$53,0))</f>
        <v>0</v>
      </c>
      <c r="D25" s="14">
        <f t="array" ref="D25">INDEX($D$54:$N$521,MATCH(D$24&amp;$B$22,$B$54:$B$521&amp;$C$54:$C$521,0),MATCH($A25,$D$53:$N$53,0))</f>
        <v>0</v>
      </c>
      <c r="E25" s="14">
        <f t="array" ref="E25">INDEX($D$54:$N$521,MATCH(E$24&amp;$B$22,$B$54:$B$521&amp;$C$54:$C$521,0),MATCH($A25,$D$53:$N$53,0))</f>
        <v>0</v>
      </c>
      <c r="F25" s="14">
        <f t="array" ref="F25">INDEX($D$54:$N$521,MATCH(F$24&amp;$B$22,$B$54:$B$521&amp;$C$54:$C$521,0),MATCH($A25,$D$53:$N$53,0))</f>
        <v>0</v>
      </c>
      <c r="G25" s="14">
        <f t="array" ref="G25">INDEX($D$54:$N$521,MATCH(G$24&amp;$B$22,$B$54:$B$521&amp;$C$54:$C$521,0),MATCH($A25,$D$53:$N$53,0))</f>
        <v>0</v>
      </c>
      <c r="H25" s="14">
        <f t="array" ref="H25">INDEX($D$54:$N$521,MATCH(H$24&amp;$B$22,$B$54:$B$521&amp;$C$54:$C$521,0),MATCH($A25,$D$53:$N$53,0))</f>
        <v>0</v>
      </c>
      <c r="I25" s="14">
        <f t="array" ref="I25">INDEX($D$54:$N$521,MATCH(I$24&amp;$B$22,$B$54:$B$521&amp;$C$54:$C$521,0),MATCH($A25,$D$53:$N$53,0))</f>
        <v>0</v>
      </c>
      <c r="J25" s="14">
        <f t="array" ref="J25">INDEX($D$54:$N$521,MATCH(J$24&amp;$B$22,$B$54:$B$521&amp;$C$54:$C$521,0),MATCH($A25,$D$53:$N$53,0))</f>
        <v>0</v>
      </c>
      <c r="K25" s="14" t="e">
        <f t="array" ref="K25">INDEX($D$54:$N$521,MATCH(K$24&amp;$B$22,$B$54:$B$521&amp;$C$54:$C$521,0),MATCH($A25,$D$53:$N$53,0))</f>
        <v>#N/A</v>
      </c>
      <c r="L25" s="14" t="e">
        <f t="array" ref="L25">INDEX($D$54:$N$521,MATCH(L$24&amp;$B$22,$B$54:$B$521&amp;$C$54:$C$521,0),MATCH($A25,$D$53:$N$53,0))</f>
        <v>#N/A</v>
      </c>
      <c r="M25" s="14" t="e">
        <f t="array" ref="M25">INDEX($D$54:$N$521,MATCH(M$24&amp;$B$22,$B$54:$B$521&amp;$C$54:$C$521,0),MATCH($A25,$D$53:$N$53,0))</f>
        <v>#N/A</v>
      </c>
    </row>
    <row r="26" spans="1:13" x14ac:dyDescent="0.3">
      <c r="A26" s="3">
        <v>2020</v>
      </c>
      <c r="B26" s="14">
        <f t="array" ref="B26">INDEX($D$54:$N$521,MATCH(B$24&amp;$B$22,$B$54:$B$521&amp;$C$54:$C$521,0),MATCH($A26,$D$53:$N$53,0))</f>
        <v>0</v>
      </c>
      <c r="C26" s="14">
        <f t="array" ref="C26">INDEX($D$54:$N$521,MATCH(C$24&amp;$B$22,$B$54:$B$521&amp;$C$54:$C$521,0),MATCH($A26,$D$53:$N$53,0))</f>
        <v>0</v>
      </c>
      <c r="D26" s="14">
        <f t="array" ref="D26">INDEX($D$54:$N$521,MATCH(D$24&amp;$B$22,$B$54:$B$521&amp;$C$54:$C$521,0),MATCH($A26,$D$53:$N$53,0))</f>
        <v>0</v>
      </c>
      <c r="E26" s="14">
        <f t="array" ref="E26">INDEX($D$54:$N$521,MATCH(E$24&amp;$B$22,$B$54:$B$521&amp;$C$54:$C$521,0),MATCH($A26,$D$53:$N$53,0))</f>
        <v>0</v>
      </c>
      <c r="F26" s="14">
        <f t="array" ref="F26">INDEX($D$54:$N$521,MATCH(F$24&amp;$B$22,$B$54:$B$521&amp;$C$54:$C$521,0),MATCH($A26,$D$53:$N$53,0))</f>
        <v>0</v>
      </c>
      <c r="G26" s="14">
        <f t="array" ref="G26">INDEX($D$54:$N$521,MATCH(G$24&amp;$B$22,$B$54:$B$521&amp;$C$54:$C$521,0),MATCH($A26,$D$53:$N$53,0))</f>
        <v>0</v>
      </c>
      <c r="H26" s="14">
        <f t="array" ref="H26">INDEX($D$54:$N$521,MATCH(H$24&amp;$B$22,$B$54:$B$521&amp;$C$54:$C$521,0),MATCH($A26,$D$53:$N$53,0))</f>
        <v>0</v>
      </c>
      <c r="I26" s="14">
        <f t="array" ref="I26">INDEX($D$54:$N$521,MATCH(I$24&amp;$B$22,$B$54:$B$521&amp;$C$54:$C$521,0),MATCH($A26,$D$53:$N$53,0))</f>
        <v>0</v>
      </c>
      <c r="J26" s="14">
        <f t="array" ref="J26">INDEX($D$54:$N$521,MATCH(J$24&amp;$B$22,$B$54:$B$521&amp;$C$54:$C$521,0),MATCH($A26,$D$53:$N$53,0))</f>
        <v>0</v>
      </c>
      <c r="K26" s="14" t="e">
        <f t="array" ref="K26">INDEX($D$54:$N$521,MATCH(K$24&amp;$B$22,$B$54:$B$521&amp;$C$54:$C$521,0),MATCH($A26,$D$53:$N$53,0))</f>
        <v>#N/A</v>
      </c>
      <c r="L26" s="14" t="e">
        <f t="array" ref="L26">INDEX($D$54:$N$521,MATCH(L$24&amp;$B$22,$B$54:$B$521&amp;$C$54:$C$521,0),MATCH($A26,$D$53:$N$53,0))</f>
        <v>#N/A</v>
      </c>
      <c r="M26" s="14" t="e">
        <f t="array" ref="M26">INDEX($D$54:$N$521,MATCH(M$24&amp;$B$22,$B$54:$B$521&amp;$C$54:$C$521,0),MATCH($A26,$D$53:$N$53,0))</f>
        <v>#N/A</v>
      </c>
    </row>
    <row r="27" spans="1:13" x14ac:dyDescent="0.3">
      <c r="A27" s="3">
        <v>2030</v>
      </c>
      <c r="B27" s="14">
        <f t="array" ref="B27">INDEX($D$54:$N$521,MATCH(B$24&amp;$B$22,$B$54:$B$521&amp;$C$54:$C$521,0),MATCH($A27,$D$53:$N$53,0))</f>
        <v>0</v>
      </c>
      <c r="C27" s="14">
        <f t="array" ref="C27">INDEX($D$54:$N$521,MATCH(C$24&amp;$B$22,$B$54:$B$521&amp;$C$54:$C$521,0),MATCH($A27,$D$53:$N$53,0))</f>
        <v>0</v>
      </c>
      <c r="D27" s="14">
        <f t="array" ref="D27">INDEX($D$54:$N$521,MATCH(D$24&amp;$B$22,$B$54:$B$521&amp;$C$54:$C$521,0),MATCH($A27,$D$53:$N$53,0))</f>
        <v>0</v>
      </c>
      <c r="E27" s="14">
        <f t="array" ref="E27">INDEX($D$54:$N$521,MATCH(E$24&amp;$B$22,$B$54:$B$521&amp;$C$54:$C$521,0),MATCH($A27,$D$53:$N$53,0))</f>
        <v>11.67655963802517</v>
      </c>
      <c r="F27" s="14">
        <f t="array" ref="F27">INDEX($D$54:$N$521,MATCH(F$24&amp;$B$22,$B$54:$B$521&amp;$C$54:$C$521,0),MATCH($A27,$D$53:$N$53,0))</f>
        <v>0</v>
      </c>
      <c r="G27" s="14">
        <f t="array" ref="G27">INDEX($D$54:$N$521,MATCH(G$24&amp;$B$22,$B$54:$B$521&amp;$C$54:$C$521,0),MATCH($A27,$D$53:$N$53,0))</f>
        <v>32.342658057001998</v>
      </c>
      <c r="H27" s="14">
        <f t="array" ref="H27">INDEX($D$54:$N$521,MATCH(H$24&amp;$B$22,$B$54:$B$521&amp;$C$54:$C$521,0),MATCH($A27,$D$53:$N$53,0))</f>
        <v>0</v>
      </c>
      <c r="I27" s="14">
        <f t="array" ref="I27">INDEX($D$54:$N$521,MATCH(I$24&amp;$B$22,$B$54:$B$521&amp;$C$54:$C$521,0),MATCH($A27,$D$53:$N$53,0))</f>
        <v>28.833284868841158</v>
      </c>
      <c r="J27" s="14">
        <f t="array" ref="J27">INDEX($D$54:$N$521,MATCH(J$24&amp;$B$22,$B$54:$B$521&amp;$C$54:$C$521,0),MATCH($A27,$D$53:$N$53,0))</f>
        <v>0</v>
      </c>
      <c r="K27" s="14" t="e">
        <f t="array" ref="K27">INDEX($D$54:$N$521,MATCH(K$24&amp;$B$22,$B$54:$B$521&amp;$C$54:$C$521,0),MATCH($A27,$D$53:$N$53,0))</f>
        <v>#N/A</v>
      </c>
      <c r="L27" s="14" t="e">
        <f t="array" ref="L27">INDEX($D$54:$N$521,MATCH(L$24&amp;$B$22,$B$54:$B$521&amp;$C$54:$C$521,0),MATCH($A27,$D$53:$N$53,0))</f>
        <v>#N/A</v>
      </c>
      <c r="M27" s="14" t="e">
        <f t="array" ref="M27">INDEX($D$54:$N$521,MATCH(M$24&amp;$B$22,$B$54:$B$521&amp;$C$54:$C$521,0),MATCH($A27,$D$53:$N$53,0))</f>
        <v>#N/A</v>
      </c>
    </row>
    <row r="28" spans="1:13" x14ac:dyDescent="0.3">
      <c r="A28" s="3">
        <v>2040</v>
      </c>
      <c r="B28" s="14">
        <f t="array" ref="B28">INDEX($D$54:$N$521,MATCH(B$24&amp;$B$22,$B$54:$B$521&amp;$C$54:$C$521,0),MATCH($A28,$D$53:$N$53,0))</f>
        <v>0</v>
      </c>
      <c r="C28" s="14">
        <f t="array" ref="C28">INDEX($D$54:$N$521,MATCH(C$24&amp;$B$22,$B$54:$B$521&amp;$C$54:$C$521,0),MATCH($A28,$D$53:$N$53,0))</f>
        <v>0</v>
      </c>
      <c r="D28" s="14">
        <f t="array" ref="D28">INDEX($D$54:$N$521,MATCH(D$24&amp;$B$22,$B$54:$B$521&amp;$C$54:$C$521,0),MATCH($A28,$D$53:$N$53,0))</f>
        <v>0</v>
      </c>
      <c r="E28" s="14">
        <f t="array" ref="E28">INDEX($D$54:$N$521,MATCH(E$24&amp;$B$22,$B$54:$B$521&amp;$C$54:$C$521,0),MATCH($A28,$D$53:$N$53,0))</f>
        <v>50.764259196089725</v>
      </c>
      <c r="F28" s="14">
        <f t="array" ref="F28">INDEX($D$54:$N$521,MATCH(F$24&amp;$B$22,$B$54:$B$521&amp;$C$54:$C$521,0),MATCH($A28,$D$53:$N$53,0))</f>
        <v>21.654915170512108</v>
      </c>
      <c r="G28" s="14">
        <f t="array" ref="G28">INDEX($D$54:$N$521,MATCH(G$24&amp;$B$22,$B$54:$B$521&amp;$C$54:$C$521,0),MATCH($A28,$D$53:$N$53,0))</f>
        <v>798.18375976973846</v>
      </c>
      <c r="H28" s="14">
        <f t="array" ref="H28">INDEX($D$54:$N$521,MATCH(H$24&amp;$B$22,$B$54:$B$521&amp;$C$54:$C$521,0),MATCH($A28,$D$53:$N$53,0))</f>
        <v>27.33146094537064</v>
      </c>
      <c r="I28" s="14">
        <f t="array" ref="I28">INDEX($D$54:$N$521,MATCH(I$24&amp;$B$22,$B$54:$B$521&amp;$C$54:$C$521,0),MATCH($A28,$D$53:$N$53,0))</f>
        <v>131.16131736591188</v>
      </c>
      <c r="J28" s="14">
        <f t="array" ref="J28">INDEX($D$54:$N$521,MATCH(J$24&amp;$B$22,$B$54:$B$521&amp;$C$54:$C$521,0),MATCH($A28,$D$53:$N$53,0))</f>
        <v>33.051066326497484</v>
      </c>
      <c r="K28" s="14" t="e">
        <f t="array" ref="K28">INDEX($D$54:$N$521,MATCH(K$24&amp;$B$22,$B$54:$B$521&amp;$C$54:$C$521,0),MATCH($A28,$D$53:$N$53,0))</f>
        <v>#N/A</v>
      </c>
      <c r="L28" s="14" t="e">
        <f t="array" ref="L28">INDEX($D$54:$N$521,MATCH(L$24&amp;$B$22,$B$54:$B$521&amp;$C$54:$C$521,0),MATCH($A28,$D$53:$N$53,0))</f>
        <v>#N/A</v>
      </c>
      <c r="M28" s="14" t="e">
        <f t="array" ref="M28">INDEX($D$54:$N$521,MATCH(M$24&amp;$B$22,$B$54:$B$521&amp;$C$54:$C$521,0),MATCH($A28,$D$53:$N$53,0))</f>
        <v>#N/A</v>
      </c>
    </row>
    <row r="29" spans="1:13" x14ac:dyDescent="0.3">
      <c r="A29" s="3">
        <v>2050</v>
      </c>
      <c r="B29" s="14">
        <f t="array" ref="B29">INDEX($D$54:$N$521,MATCH(B$24&amp;$B$22,$B$54:$B$521&amp;$C$54:$C$521,0),MATCH($A29,$D$53:$N$53,0))</f>
        <v>0</v>
      </c>
      <c r="C29" s="14">
        <f t="array" ref="C29">INDEX($D$54:$N$521,MATCH(C$24&amp;$B$22,$B$54:$B$521&amp;$C$54:$C$521,0),MATCH($A29,$D$53:$N$53,0))</f>
        <v>0</v>
      </c>
      <c r="D29" s="14">
        <f t="array" ref="D29">INDEX($D$54:$N$521,MATCH(D$24&amp;$B$22,$B$54:$B$521&amp;$C$54:$C$521,0),MATCH($A29,$D$53:$N$53,0))</f>
        <v>0</v>
      </c>
      <c r="E29" s="14">
        <f t="array" ref="E29">INDEX($D$54:$N$521,MATCH(E$24&amp;$B$22,$B$54:$B$521&amp;$C$54:$C$521,0),MATCH($A29,$D$53:$N$53,0))</f>
        <v>222.17326833520923</v>
      </c>
      <c r="F29" s="14">
        <f t="array" ref="F29">INDEX($D$54:$N$521,MATCH(F$24&amp;$B$22,$B$54:$B$521&amp;$C$54:$C$521,0),MATCH($A29,$D$53:$N$53,0))</f>
        <v>126.87022238707949</v>
      </c>
      <c r="G29" s="14">
        <f t="array" ref="G29">INDEX($D$54:$N$521,MATCH(G$24&amp;$B$22,$B$54:$B$521&amp;$C$54:$C$521,0),MATCH($A29,$D$53:$N$53,0))</f>
        <v>1334.2423724623454</v>
      </c>
      <c r="H29" s="14">
        <f t="array" ref="H29">INDEX($D$54:$N$521,MATCH(H$24&amp;$B$22,$B$54:$B$521&amp;$C$54:$C$521,0),MATCH($A29,$D$53:$N$53,0))</f>
        <v>1983.3393075977708</v>
      </c>
      <c r="I29" s="14">
        <f t="array" ref="I29">INDEX($D$54:$N$521,MATCH(I$24&amp;$B$22,$B$54:$B$521&amp;$C$54:$C$521,0),MATCH($A29,$D$53:$N$53,0))</f>
        <v>611.62494756455817</v>
      </c>
      <c r="J29" s="14">
        <f t="array" ref="J29">INDEX($D$54:$N$521,MATCH(J$24&amp;$B$22,$B$54:$B$521&amp;$C$54:$C$521,0),MATCH($A29,$D$53:$N$53,0))</f>
        <v>544.86948992211842</v>
      </c>
      <c r="K29" s="14" t="e">
        <f t="array" ref="K29">INDEX($D$54:$N$521,MATCH(K$24&amp;$B$22,$B$54:$B$521&amp;$C$54:$C$521,0),MATCH($A29,$D$53:$N$53,0))</f>
        <v>#N/A</v>
      </c>
      <c r="L29" s="14" t="e">
        <f t="array" ref="L29">INDEX($D$54:$N$521,MATCH(L$24&amp;$B$22,$B$54:$B$521&amp;$C$54:$C$521,0),MATCH($A29,$D$53:$N$53,0))</f>
        <v>#N/A</v>
      </c>
      <c r="M29" s="14" t="e">
        <f t="array" ref="M29">INDEX($D$54:$N$521,MATCH(M$24&amp;$B$22,$B$54:$B$521&amp;$C$54:$C$521,0),MATCH($A29,$D$53:$N$53,0))</f>
        <v>#N/A</v>
      </c>
    </row>
    <row r="30" spans="1:13" x14ac:dyDescent="0.3">
      <c r="A30" s="3">
        <v>2060</v>
      </c>
      <c r="B30" s="14">
        <f t="array" ref="B30">INDEX($D$54:$N$521,MATCH(B$24&amp;$B$22,$B$54:$B$521&amp;$C$54:$C$521,0),MATCH($A30,$D$53:$N$53,0))</f>
        <v>0</v>
      </c>
      <c r="C30" s="14">
        <f t="array" ref="C30">INDEX($D$54:$N$521,MATCH(C$24&amp;$B$22,$B$54:$B$521&amp;$C$54:$C$521,0),MATCH($A30,$D$53:$N$53,0))</f>
        <v>0</v>
      </c>
      <c r="D30" s="14">
        <f t="array" ref="D30">INDEX($D$54:$N$521,MATCH(D$24&amp;$B$22,$B$54:$B$521&amp;$C$54:$C$521,0),MATCH($A30,$D$53:$N$53,0))</f>
        <v>0</v>
      </c>
      <c r="E30" s="14">
        <f t="array" ref="E30">INDEX($D$54:$N$521,MATCH(E$24&amp;$B$22,$B$54:$B$521&amp;$C$54:$C$521,0),MATCH($A30,$D$53:$N$53,0))</f>
        <v>884.85448547169221</v>
      </c>
      <c r="F30" s="14">
        <f t="array" ref="F30">INDEX($D$54:$N$521,MATCH(F$24&amp;$B$22,$B$54:$B$521&amp;$C$54:$C$521,0),MATCH($A30,$D$53:$N$53,0))</f>
        <v>699.5809764207047</v>
      </c>
      <c r="G30" s="14">
        <f t="array" ref="G30">INDEX($D$54:$N$521,MATCH(G$24&amp;$B$22,$B$54:$B$521&amp;$C$54:$C$521,0),MATCH($A30,$D$53:$N$53,0))</f>
        <v>968.23605030503734</v>
      </c>
      <c r="H30" s="14">
        <f t="array" ref="H30">INDEX($D$54:$N$521,MATCH(H$24&amp;$B$22,$B$54:$B$521&amp;$C$54:$C$521,0),MATCH($A30,$D$53:$N$53,0))</f>
        <v>2209.323055687702</v>
      </c>
      <c r="I30" s="14">
        <f t="array" ref="I30">INDEX($D$54:$N$521,MATCH(I$24&amp;$B$22,$B$54:$B$521&amp;$C$54:$C$521,0),MATCH($A30,$D$53:$N$53,0))</f>
        <v>1345.0500028295721</v>
      </c>
      <c r="J30" s="14">
        <f t="array" ref="J30">INDEX($D$54:$N$521,MATCH(J$24&amp;$B$22,$B$54:$B$521&amp;$C$54:$C$521,0),MATCH($A30,$D$53:$N$53,0))</f>
        <v>2395.6336875644738</v>
      </c>
      <c r="K30" s="14" t="e">
        <f t="array" ref="K30">INDEX($D$54:$N$521,MATCH(K$24&amp;$B$22,$B$54:$B$521&amp;$C$54:$C$521,0),MATCH($A30,$D$53:$N$53,0))</f>
        <v>#N/A</v>
      </c>
      <c r="L30" s="14" t="e">
        <f t="array" ref="L30">INDEX($D$54:$N$521,MATCH(L$24&amp;$B$22,$B$54:$B$521&amp;$C$54:$C$521,0),MATCH($A30,$D$53:$N$53,0))</f>
        <v>#N/A</v>
      </c>
      <c r="M30" s="14" t="e">
        <f t="array" ref="M30">INDEX($D$54:$N$521,MATCH(M$24&amp;$B$22,$B$54:$B$521&amp;$C$54:$C$521,0),MATCH($A30,$D$53:$N$53,0))</f>
        <v>#N/A</v>
      </c>
    </row>
    <row r="31" spans="1:13" x14ac:dyDescent="0.3">
      <c r="A31" s="3">
        <v>2070</v>
      </c>
      <c r="B31" s="14">
        <f t="array" ref="B31">INDEX($D$54:$N$521,MATCH(B$24&amp;$B$22,$B$54:$B$521&amp;$C$54:$C$521,0),MATCH($A31,$D$53:$N$53,0))</f>
        <v>0</v>
      </c>
      <c r="C31" s="14">
        <f t="array" ref="C31">INDEX($D$54:$N$521,MATCH(C$24&amp;$B$22,$B$54:$B$521&amp;$C$54:$C$521,0),MATCH($A31,$D$53:$N$53,0))</f>
        <v>0</v>
      </c>
      <c r="D31" s="14">
        <f t="array" ref="D31">INDEX($D$54:$N$521,MATCH(D$24&amp;$B$22,$B$54:$B$521&amp;$C$54:$C$521,0),MATCH($A31,$D$53:$N$53,0))</f>
        <v>0</v>
      </c>
      <c r="E31" s="14">
        <f t="array" ref="E31">INDEX($D$54:$N$521,MATCH(E$24&amp;$B$22,$B$54:$B$521&amp;$C$54:$C$521,0),MATCH($A31,$D$53:$N$53,0))</f>
        <v>599.80102604245678</v>
      </c>
      <c r="F31" s="14">
        <f t="array" ref="F31">INDEX($D$54:$N$521,MATCH(F$24&amp;$B$22,$B$54:$B$521&amp;$C$54:$C$521,0),MATCH($A31,$D$53:$N$53,0))</f>
        <v>1057.9081768192518</v>
      </c>
      <c r="G31" s="14">
        <f t="array" ref="G31">INDEX($D$54:$N$521,MATCH(G$24&amp;$B$22,$B$54:$B$521&amp;$C$54:$C$521,0),MATCH($A31,$D$53:$N$53,0))</f>
        <v>53.973618292387755</v>
      </c>
      <c r="H31" s="14">
        <f t="array" ref="H31">INDEX($D$54:$N$521,MATCH(H$24&amp;$B$22,$B$54:$B$521&amp;$C$54:$C$521,0),MATCH($A31,$D$53:$N$53,0))</f>
        <v>0</v>
      </c>
      <c r="I31" s="14">
        <f t="array" ref="I31">INDEX($D$54:$N$521,MATCH(I$24&amp;$B$22,$B$54:$B$521&amp;$C$54:$C$521,0),MATCH($A31,$D$53:$N$53,0))</f>
        <v>650.24817990229906</v>
      </c>
      <c r="J31" s="14">
        <f t="array" ref="J31">INDEX($D$54:$N$521,MATCH(J$24&amp;$B$22,$B$54:$B$521&amp;$C$54:$C$521,0),MATCH($A31,$D$53:$N$53,0))</f>
        <v>179.8157797332901</v>
      </c>
      <c r="K31" s="14" t="e">
        <f t="array" ref="K31">INDEX($D$54:$N$521,MATCH(K$24&amp;$B$22,$B$54:$B$521&amp;$C$54:$C$521,0),MATCH($A31,$D$53:$N$53,0))</f>
        <v>#N/A</v>
      </c>
      <c r="L31" s="14" t="e">
        <f t="array" ref="L31">INDEX($D$54:$N$521,MATCH(L$24&amp;$B$22,$B$54:$B$521&amp;$C$54:$C$521,0),MATCH($A31,$D$53:$N$53,0))</f>
        <v>#N/A</v>
      </c>
      <c r="M31" s="14" t="e">
        <f t="array" ref="M31">INDEX($D$54:$N$521,MATCH(M$24&amp;$B$22,$B$54:$B$521&amp;$C$54:$C$521,0),MATCH($A31,$D$53:$N$53,0))</f>
        <v>#N/A</v>
      </c>
    </row>
    <row r="32" spans="1:13" x14ac:dyDescent="0.3">
      <c r="A32" s="3">
        <v>2080</v>
      </c>
      <c r="B32" s="14">
        <f t="array" ref="B32">INDEX($D$54:$N$521,MATCH(B$24&amp;$B$22,$B$54:$B$521&amp;$C$54:$C$521,0),MATCH($A32,$D$53:$N$53,0))</f>
        <v>0</v>
      </c>
      <c r="C32" s="14">
        <f t="array" ref="C32">INDEX($D$54:$N$521,MATCH(C$24&amp;$B$22,$B$54:$B$521&amp;$C$54:$C$521,0),MATCH($A32,$D$53:$N$53,0))</f>
        <v>0</v>
      </c>
      <c r="D32" s="14">
        <f t="array" ref="D32">INDEX($D$54:$N$521,MATCH(D$24&amp;$B$22,$B$54:$B$521&amp;$C$54:$C$521,0),MATCH($A32,$D$53:$N$53,0))</f>
        <v>0</v>
      </c>
      <c r="E32" s="14">
        <f t="array" ref="E32">INDEX($D$54:$N$521,MATCH(E$24&amp;$B$22,$B$54:$B$521&amp;$C$54:$C$521,0),MATCH($A32,$D$53:$N$53,0))</f>
        <v>1237.598706513606</v>
      </c>
      <c r="F32" s="14">
        <f t="array" ref="F32">INDEX($D$54:$N$521,MATCH(F$24&amp;$B$22,$B$54:$B$521&amp;$C$54:$C$521,0),MATCH($A32,$D$53:$N$53,0))</f>
        <v>1130.3473231285602</v>
      </c>
      <c r="G32" s="14">
        <f t="array" ref="G32">INDEX($D$54:$N$521,MATCH(G$24&amp;$B$22,$B$54:$B$521&amp;$C$54:$C$521,0),MATCH($A32,$D$53:$N$53,0))</f>
        <v>1967.6384607918062</v>
      </c>
      <c r="H32" s="14">
        <f t="array" ref="H32">INDEX($D$54:$N$521,MATCH(H$24&amp;$B$22,$B$54:$B$521&amp;$C$54:$C$521,0),MATCH($A32,$D$53:$N$53,0))</f>
        <v>128.7897303460968</v>
      </c>
      <c r="I32" s="14">
        <f t="array" ref="I32">INDEX($D$54:$N$521,MATCH(I$24&amp;$B$22,$B$54:$B$521&amp;$C$54:$C$521,0),MATCH($A32,$D$53:$N$53,0))</f>
        <v>1149.4700011838263</v>
      </c>
      <c r="J32" s="14">
        <f t="array" ref="J32">INDEX($D$54:$N$521,MATCH(J$24&amp;$B$22,$B$54:$B$521&amp;$C$54:$C$521,0),MATCH($A32,$D$53:$N$53,0))</f>
        <v>890.85694715396494</v>
      </c>
      <c r="K32" s="14" t="e">
        <f t="array" ref="K32">INDEX($D$54:$N$521,MATCH(K$24&amp;$B$22,$B$54:$B$521&amp;$C$54:$C$521,0),MATCH($A32,$D$53:$N$53,0))</f>
        <v>#N/A</v>
      </c>
      <c r="L32" s="14" t="e">
        <f t="array" ref="L32">INDEX($D$54:$N$521,MATCH(L$24&amp;$B$22,$B$54:$B$521&amp;$C$54:$C$521,0),MATCH($A32,$D$53:$N$53,0))</f>
        <v>#N/A</v>
      </c>
      <c r="M32" s="14" t="e">
        <f t="array" ref="M32">INDEX($D$54:$N$521,MATCH(M$24&amp;$B$22,$B$54:$B$521&amp;$C$54:$C$521,0),MATCH($A32,$D$53:$N$53,0))</f>
        <v>#N/A</v>
      </c>
    </row>
    <row r="33" spans="1:26" x14ac:dyDescent="0.3">
      <c r="A33" s="3">
        <v>2090</v>
      </c>
      <c r="B33" s="14">
        <f t="array" ref="B33">INDEX($D$54:$N$521,MATCH(B$24&amp;$B$22,$B$54:$B$521&amp;$C$54:$C$521,0),MATCH($A33,$D$53:$N$53,0))</f>
        <v>0</v>
      </c>
      <c r="C33" s="14">
        <f t="array" ref="C33">INDEX($D$54:$N$521,MATCH(C$24&amp;$B$22,$B$54:$B$521&amp;$C$54:$C$521,0),MATCH($A33,$D$53:$N$53,0))</f>
        <v>0</v>
      </c>
      <c r="D33" s="14">
        <f t="array" ref="D33">INDEX($D$54:$N$521,MATCH(D$24&amp;$B$22,$B$54:$B$521&amp;$C$54:$C$521,0),MATCH($A33,$D$53:$N$53,0))</f>
        <v>0</v>
      </c>
      <c r="E33" s="14">
        <f t="array" ref="E33">INDEX($D$54:$N$521,MATCH(E$24&amp;$B$22,$B$54:$B$521&amp;$C$54:$C$521,0),MATCH($A33,$D$53:$N$53,0))</f>
        <v>1107.4015427442255</v>
      </c>
      <c r="F33" s="14">
        <f t="array" ref="F33">INDEX($D$54:$N$521,MATCH(F$24&amp;$B$22,$B$54:$B$521&amp;$C$54:$C$521,0),MATCH($A33,$D$53:$N$53,0))</f>
        <v>683.54806652159925</v>
      </c>
      <c r="G33" s="14">
        <f t="array" ref="G33">INDEX($D$54:$N$521,MATCH(G$24&amp;$B$22,$B$54:$B$521&amp;$C$54:$C$521,0),MATCH($A33,$D$53:$N$53,0))</f>
        <v>1055.4587171958108</v>
      </c>
      <c r="H33" s="14">
        <f t="array" ref="H33">INDEX($D$54:$N$521,MATCH(H$24&amp;$B$22,$B$54:$B$521&amp;$C$54:$C$521,0),MATCH($A33,$D$53:$N$53,0))</f>
        <v>1369.3890544832025</v>
      </c>
      <c r="I33" s="14">
        <f t="array" ref="I33">INDEX($D$54:$N$521,MATCH(I$24&amp;$B$22,$B$54:$B$521&amp;$C$54:$C$521,0),MATCH($A33,$D$53:$N$53,0))</f>
        <v>1662.9582483325248</v>
      </c>
      <c r="J33" s="14">
        <f t="array" ref="J33">INDEX($D$54:$N$521,MATCH(J$24&amp;$B$22,$B$54:$B$521&amp;$C$54:$C$521,0),MATCH($A33,$D$53:$N$53,0))</f>
        <v>1663.6256809688157</v>
      </c>
      <c r="K33" s="14" t="e">
        <f t="array" ref="K33">INDEX($D$54:$N$521,MATCH(K$24&amp;$B$22,$B$54:$B$521&amp;$C$54:$C$521,0),MATCH($A33,$D$53:$N$53,0))</f>
        <v>#N/A</v>
      </c>
      <c r="L33" s="14" t="e">
        <f t="array" ref="L33">INDEX($D$54:$N$521,MATCH(L$24&amp;$B$22,$B$54:$B$521&amp;$C$54:$C$521,0),MATCH($A33,$D$53:$N$53,0))</f>
        <v>#N/A</v>
      </c>
      <c r="M33" s="14" t="e">
        <f t="array" ref="M33">INDEX($D$54:$N$521,MATCH(M$24&amp;$B$22,$B$54:$B$521&amp;$C$54:$C$521,0),MATCH($A33,$D$53:$N$53,0))</f>
        <v>#N/A</v>
      </c>
    </row>
    <row r="34" spans="1:26" x14ac:dyDescent="0.3">
      <c r="A34" s="3">
        <v>2100</v>
      </c>
      <c r="B34" s="14">
        <f t="array" ref="B34">INDEX($D$54:$N$521,MATCH(B$24&amp;$B$22,$B$54:$B$521&amp;$C$54:$C$521,0),MATCH($A34,$D$53:$N$53,0))</f>
        <v>0</v>
      </c>
      <c r="C34" s="14">
        <f t="array" ref="C34">INDEX($D$54:$N$521,MATCH(C$24&amp;$B$22,$B$54:$B$521&amp;$C$54:$C$521,0),MATCH($A34,$D$53:$N$53,0))</f>
        <v>0</v>
      </c>
      <c r="D34" s="14">
        <f t="array" ref="D34">INDEX($D$54:$N$521,MATCH(D$24&amp;$B$22,$B$54:$B$521&amp;$C$54:$C$521,0),MATCH($A34,$D$53:$N$53,0))</f>
        <v>0</v>
      </c>
      <c r="E34" s="14">
        <f t="array" ref="E34">INDEX($D$54:$N$521,MATCH(E$24&amp;$B$22,$B$54:$B$521&amp;$C$54:$C$521,0),MATCH($A34,$D$53:$N$53,0))</f>
        <v>921.91927566362426</v>
      </c>
      <c r="F34" s="14">
        <f t="array" ref="F34">INDEX($D$54:$N$521,MATCH(F$24&amp;$B$22,$B$54:$B$521&amp;$C$54:$C$521,0),MATCH($A34,$D$53:$N$53,0))</f>
        <v>1667.4277408524113</v>
      </c>
      <c r="G34" s="14">
        <f t="array" ref="G34">INDEX($D$54:$N$521,MATCH(G$24&amp;$B$22,$B$54:$B$521&amp;$C$54:$C$521,0),MATCH($A34,$D$53:$N$53,0))</f>
        <v>701.30126630146788</v>
      </c>
      <c r="H34" s="14">
        <f t="array" ref="H34">INDEX($D$54:$N$521,MATCH(H$24&amp;$B$22,$B$54:$B$521&amp;$C$54:$C$521,0),MATCH($A34,$D$53:$N$53,0))</f>
        <v>1941.2072749180525</v>
      </c>
      <c r="I34" s="14">
        <f t="array" ref="I34">INDEX($D$54:$N$521,MATCH(I$24&amp;$B$22,$B$54:$B$521&amp;$C$54:$C$521,0),MATCH($A34,$D$53:$N$53,0))</f>
        <v>695.3357361236782</v>
      </c>
      <c r="J34" s="14">
        <f t="array" ref="J34">INDEX($D$54:$N$521,MATCH(J$24&amp;$B$22,$B$54:$B$521&amp;$C$54:$C$521,0),MATCH($A34,$D$53:$N$53,0))</f>
        <v>1667.2696729082697</v>
      </c>
      <c r="K34" s="14" t="e">
        <f t="array" ref="K34">INDEX($D$54:$N$521,MATCH(K$24&amp;$B$22,$B$54:$B$521&amp;$C$54:$C$521,0),MATCH($A34,$D$53:$N$53,0))</f>
        <v>#N/A</v>
      </c>
      <c r="L34" s="14" t="e">
        <f t="array" ref="L34">INDEX($D$54:$N$521,MATCH(L$24&amp;$B$22,$B$54:$B$521&amp;$C$54:$C$521,0),MATCH($A34,$D$53:$N$53,0))</f>
        <v>#N/A</v>
      </c>
      <c r="M34" s="14" t="e">
        <f t="array" ref="M34">INDEX($D$54:$N$521,MATCH(M$24&amp;$B$22,$B$54:$B$521&amp;$C$54:$C$521,0),MATCH($A34,$D$53:$N$53,0))</f>
        <v>#N/A</v>
      </c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252</v>
      </c>
      <c r="B38" s="3" t="str">
        <f t="shared" ref="B38" si="2">IF(ISBLANK(B20),"",B20)</f>
        <v>Vivid_0A</v>
      </c>
      <c r="C38" s="3" t="str">
        <f>IF(ISBLANK(B20),"",B20)</f>
        <v>Vivid_0A</v>
      </c>
      <c r="D38" s="3" t="str">
        <f t="shared" ref="D38:N38" si="3">IF(ISBLANK(C20),"",C20)</f>
        <v>Vivid_0A_BAU</v>
      </c>
      <c r="E38" s="3" t="str">
        <f t="shared" si="3"/>
        <v>Vivid_0B</v>
      </c>
      <c r="F38" s="3" t="str">
        <f t="shared" si="3"/>
        <v>Vivid_1</v>
      </c>
      <c r="G38" s="3" t="str">
        <f t="shared" si="3"/>
        <v>Vivid_2</v>
      </c>
      <c r="H38" s="3" t="str">
        <f t="shared" si="3"/>
        <v>Vivid_13</v>
      </c>
      <c r="I38" s="3" t="str">
        <f t="shared" si="3"/>
        <v>Vivid_14</v>
      </c>
      <c r="J38" s="3" t="str">
        <f t="shared" si="3"/>
        <v>Vivid_25</v>
      </c>
      <c r="K38" s="3" t="str">
        <f t="shared" si="3"/>
        <v>Vivid_26</v>
      </c>
      <c r="L38" s="3" t="str">
        <f t="shared" si="3"/>
        <v/>
      </c>
      <c r="M38" s="3" t="str">
        <f t="shared" si="3"/>
        <v/>
      </c>
      <c r="N38" s="3" t="str">
        <f t="shared" si="3"/>
        <v/>
      </c>
      <c r="O38" s="3" t="str">
        <f>IF(ISBLANK(B20),"",B20)</f>
        <v>Vivid_0A</v>
      </c>
      <c r="P38" s="3" t="str">
        <f t="shared" ref="P38:Z38" si="4">IF(ISBLANK(C20),"",C20)</f>
        <v>Vivid_0A_BAU</v>
      </c>
      <c r="Q38" s="3" t="str">
        <f t="shared" si="4"/>
        <v>Vivid_0B</v>
      </c>
      <c r="R38" s="3" t="str">
        <f t="shared" si="4"/>
        <v>Vivid_1</v>
      </c>
      <c r="S38" s="3" t="str">
        <f t="shared" si="4"/>
        <v>Vivid_2</v>
      </c>
      <c r="T38" s="3" t="str">
        <f t="shared" si="4"/>
        <v>Vivid_13</v>
      </c>
      <c r="U38" s="3" t="str">
        <f t="shared" si="4"/>
        <v>Vivid_14</v>
      </c>
      <c r="V38" s="3" t="str">
        <f t="shared" si="4"/>
        <v>Vivid_25</v>
      </c>
      <c r="W38" s="3" t="str">
        <f t="shared" si="4"/>
        <v>Vivid_26</v>
      </c>
      <c r="X38" s="3" t="str">
        <f t="shared" si="4"/>
        <v/>
      </c>
      <c r="Y38" s="3" t="str">
        <f t="shared" si="4"/>
        <v/>
      </c>
      <c r="Z38" s="3" t="str">
        <f t="shared" si="4"/>
        <v/>
      </c>
    </row>
    <row r="39" spans="1:26" x14ac:dyDescent="0.3">
      <c r="A39" s="3" t="s">
        <v>63</v>
      </c>
      <c r="B39" s="14">
        <f t="array" ref="B39">INDEX($D$54:$N$521,MATCH(B$38&amp;$A39,$B$54:$B$521&amp;$C$54:$C$521,0),MATCH(B$36,$D$53:$N$53,0))</f>
        <v>8.3774952878671591</v>
      </c>
      <c r="C39" s="14">
        <f t="array" ref="C39">INDEX($D$54:$N$521,MATCH(C$38&amp;$A39,$B$54:$B$521&amp;$C$54:$C$521,0),MATCH(C$36,$D$53:$N$53,0))</f>
        <v>171.1474632370774</v>
      </c>
      <c r="D39" s="14">
        <f t="array" ref="D39">INDEX($D$54:$N$521,MATCH(D$38&amp;$A39,$B$54:$B$521&amp;$C$54:$C$521,0),MATCH(D$36,$D$53:$N$53,0))</f>
        <v>184.29555916387272</v>
      </c>
      <c r="E39" s="14">
        <f t="array" ref="E39">INDEX($D$54:$N$521,MATCH(E$38&amp;$A39,$B$54:$B$521&amp;$C$54:$C$521,0),MATCH(E$36,$D$53:$N$53,0))</f>
        <v>300.17967178830617</v>
      </c>
      <c r="F39" s="14">
        <f t="array" ref="F39">INDEX($D$54:$N$521,MATCH(F$38&amp;$A39,$B$54:$B$521&amp;$C$54:$C$521,0),MATCH(F$36,$D$53:$N$53,0))</f>
        <v>356.11487529324154</v>
      </c>
      <c r="G39" s="14">
        <f t="array" ref="G39">INDEX($D$54:$N$521,MATCH(G$38&amp;$A39,$B$54:$B$521&amp;$C$54:$C$521,0),MATCH(G$36,$D$53:$N$53,0))</f>
        <v>300.17967178830617</v>
      </c>
      <c r="H39" s="14">
        <f t="array" ref="H39">INDEX($D$54:$N$521,MATCH(H$38&amp;$A39,$B$54:$B$521&amp;$C$54:$C$521,0),MATCH(H$36,$D$53:$N$53,0))</f>
        <v>492.12596068382487</v>
      </c>
      <c r="I39" s="14">
        <f t="array" ref="I39">INDEX($D$54:$N$521,MATCH(I$38&amp;$A39,$B$54:$B$521&amp;$C$54:$C$521,0),MATCH(I$36,$D$53:$N$53,0))</f>
        <v>300.17967178830617</v>
      </c>
      <c r="J39" s="14">
        <f t="array" ref="J39">INDEX($D$54:$N$521,MATCH(J$38&amp;$A39,$B$54:$B$521&amp;$C$54:$C$521,0),MATCH(J$36,$D$53:$N$53,0))</f>
        <v>370.91654746244757</v>
      </c>
      <c r="K39" s="14">
        <f t="array" ref="K39">INDEX($D$54:$N$521,MATCH(K$38&amp;$A39,$B$54:$B$521&amp;$C$54:$C$521,0),MATCH(K$36,$D$53:$N$53,0))</f>
        <v>300.17967178830617</v>
      </c>
      <c r="L39" s="14" t="e">
        <f t="array" ref="L39">INDEX($D$54:$N$521,MATCH(L$38&amp;$A39,$B$54:$B$521&amp;$C$54:$C$521,0),MATCH(L$36,$D$53:$N$53,0))</f>
        <v>#N/A</v>
      </c>
      <c r="M39" s="14" t="e">
        <f t="array" ref="M39">INDEX($D$54:$N$521,MATCH(M$38&amp;$A39,$B$54:$B$521&amp;$C$54:$C$521,0),MATCH(M$36,$D$53:$N$53,0))</f>
        <v>#N/A</v>
      </c>
      <c r="N39" s="14" t="e">
        <f t="array" ref="N39">INDEX($D$54:$N$521,MATCH(N$38&amp;$A39,$B$54:$B$521&amp;$C$54:$C$521,0),MATCH(N$36,$D$53:$N$53,0))</f>
        <v>#N/A</v>
      </c>
      <c r="O39" s="14">
        <f t="array" ref="O39">INDEX($D$54:$N$521,MATCH(O$38&amp;$A39,$B$54:$B$521&amp;$C$54:$C$521,0),MATCH(O$36,$D$53:$N$53,0))</f>
        <v>95.287161574065436</v>
      </c>
      <c r="P39" s="14">
        <f t="array" ref="P39">INDEX($D$54:$N$521,MATCH(P$38&amp;$A39,$B$54:$B$521&amp;$C$54:$C$521,0),MATCH(P$36,$D$53:$N$53,0))</f>
        <v>122.96382647529198</v>
      </c>
      <c r="Q39" s="14">
        <f t="array" ref="Q39">INDEX($D$54:$N$521,MATCH(Q$38&amp;$A39,$B$54:$B$521&amp;$C$54:$C$521,0),MATCH(Q$36,$D$53:$N$53,0))</f>
        <v>159.61721946029746</v>
      </c>
      <c r="R39" s="14">
        <f t="array" ref="R39">INDEX($D$54:$N$521,MATCH(R$38&amp;$A39,$B$54:$B$521&amp;$C$54:$C$521,0),MATCH(R$36,$D$53:$N$53,0))</f>
        <v>155.46894857885781</v>
      </c>
      <c r="S39" s="14">
        <f t="array" ref="S39">INDEX($D$54:$N$521,MATCH(S$38&amp;$A39,$B$54:$B$521&amp;$C$54:$C$521,0),MATCH(S$36,$D$53:$N$53,0))</f>
        <v>98.475811360768517</v>
      </c>
      <c r="T39" s="14">
        <f t="array" ref="T39">INDEX($D$54:$N$521,MATCH(T$38&amp;$A39,$B$54:$B$521&amp;$C$54:$C$521,0),MATCH(T$36,$D$53:$N$53,0))</f>
        <v>5.6538323907106696</v>
      </c>
      <c r="U39" s="14">
        <f t="array" ref="U39">INDEX($D$54:$N$521,MATCH(U$38&amp;$A39,$B$54:$B$521&amp;$C$54:$C$521,0),MATCH(U$36,$D$53:$N$53,0))</f>
        <v>9.8115321080274107</v>
      </c>
      <c r="V39" s="14">
        <f t="array" ref="V39">INDEX($D$54:$N$521,MATCH(V$38&amp;$A39,$B$54:$B$521&amp;$C$54:$C$521,0),MATCH(V$36,$D$53:$N$53,0))</f>
        <v>4.4296963625668297</v>
      </c>
      <c r="W39" s="14">
        <f t="array" ref="W39">INDEX($D$54:$N$521,MATCH(W$38&amp;$A39,$B$54:$B$521&amp;$C$54:$C$521,0),MATCH(W$36,$D$53:$N$53,0))</f>
        <v>36.295237202494306</v>
      </c>
      <c r="X39" s="14" t="e">
        <f t="array" ref="X39">INDEX($D$54:$N$521,MATCH(X$38&amp;$A39,$B$54:$B$521&amp;$C$54:$C$521,0),MATCH(X$36,$D$53:$N$53,0))</f>
        <v>#N/A</v>
      </c>
      <c r="Y39" s="14" t="e">
        <f t="array" ref="Y39">INDEX($D$54:$N$521,MATCH(Y$38&amp;$A39,$B$54:$B$521&amp;$C$54:$C$521,0),MATCH(Y$36,$D$53:$N$53,0))</f>
        <v>#N/A</v>
      </c>
      <c r="Z39" s="14" t="e">
        <f t="array" ref="Z39">INDEX($D$54:$N$521,MATCH(Z$38&amp;$A39,$B$54:$B$521&amp;$C$54:$C$521,0),MATCH(Z$36,$D$53:$N$53,0))</f>
        <v>#N/A</v>
      </c>
    </row>
    <row r="40" spans="1:26" x14ac:dyDescent="0.3">
      <c r="A40" s="3" t="s">
        <v>64</v>
      </c>
      <c r="B40" s="14">
        <f t="array" ref="B40">INDEX($D$54:$N$521,MATCH(B$38&amp;$A40,$B$54:$B$521&amp;$C$54:$C$521,0),MATCH(B$36,$D$53:$N$53,0))</f>
        <v>171.97506671901115</v>
      </c>
      <c r="C40" s="14">
        <f t="array" ref="C40">INDEX($D$54:$N$521,MATCH(C$38&amp;$A40,$B$54:$B$521&amp;$C$54:$C$521,0),MATCH(C$36,$D$53:$N$53,0))</f>
        <v>333.56406109593973</v>
      </c>
      <c r="D40" s="14">
        <f t="array" ref="D40">INDEX($D$54:$N$521,MATCH(D$38&amp;$A40,$B$54:$B$521&amp;$C$54:$C$521,0),MATCH(D$36,$D$53:$N$53,0))</f>
        <v>298.3894526868886</v>
      </c>
      <c r="E40" s="14">
        <f t="array" ref="E40">INDEX($D$54:$N$521,MATCH(E$38&amp;$A40,$B$54:$B$521&amp;$C$54:$C$521,0),MATCH(E$36,$D$53:$N$53,0))</f>
        <v>16.396787724521602</v>
      </c>
      <c r="F40" s="14">
        <f t="array" ref="F40">INDEX($D$54:$N$521,MATCH(F$38&amp;$A40,$B$54:$B$521&amp;$C$54:$C$521,0),MATCH(F$36,$D$53:$N$53,0))</f>
        <v>0</v>
      </c>
      <c r="G40" s="14">
        <f t="array" ref="G40">INDEX($D$54:$N$521,MATCH(G$38&amp;$A40,$B$54:$B$521&amp;$C$54:$C$521,0),MATCH(G$36,$D$53:$N$53,0))</f>
        <v>16.396787724521602</v>
      </c>
      <c r="H40" s="14">
        <f t="array" ref="H40">INDEX($D$54:$N$521,MATCH(H$38&amp;$A40,$B$54:$B$521&amp;$C$54:$C$521,0),MATCH(H$36,$D$53:$N$53,0))</f>
        <v>0</v>
      </c>
      <c r="I40" s="14">
        <f t="array" ref="I40">INDEX($D$54:$N$521,MATCH(I$38&amp;$A40,$B$54:$B$521&amp;$C$54:$C$521,0),MATCH(I$36,$D$53:$N$53,0))</f>
        <v>16.396787724521602</v>
      </c>
      <c r="J40" s="14">
        <f t="array" ref="J40">INDEX($D$54:$N$521,MATCH(J$38&amp;$A40,$B$54:$B$521&amp;$C$54:$C$521,0),MATCH(J$36,$D$53:$N$53,0))</f>
        <v>0</v>
      </c>
      <c r="K40" s="14">
        <f t="array" ref="K40">INDEX($D$54:$N$521,MATCH(K$38&amp;$A40,$B$54:$B$521&amp;$C$54:$C$521,0),MATCH(K$36,$D$53:$N$53,0))</f>
        <v>16.396787724521602</v>
      </c>
      <c r="L40" s="14" t="e">
        <f t="array" ref="L40">INDEX($D$54:$N$521,MATCH(L$38&amp;$A40,$B$54:$B$521&amp;$C$54:$C$521,0),MATCH(L$36,$D$53:$N$53,0))</f>
        <v>#N/A</v>
      </c>
      <c r="M40" s="14" t="e">
        <f t="array" ref="M40">INDEX($D$54:$N$521,MATCH(M$38&amp;$A40,$B$54:$B$521&amp;$C$54:$C$521,0),MATCH(M$36,$D$53:$N$53,0))</f>
        <v>#N/A</v>
      </c>
      <c r="N40" s="14" t="e">
        <f t="array" ref="N40">INDEX($D$54:$N$521,MATCH(N$38&amp;$A40,$B$54:$B$521&amp;$C$54:$C$521,0),MATCH(N$36,$D$53:$N$53,0))</f>
        <v>#N/A</v>
      </c>
      <c r="O40" s="14">
        <f t="array" ref="O40">INDEX($D$54:$N$521,MATCH(O$38&amp;$A40,$B$54:$B$521&amp;$C$54:$C$521,0),MATCH(O$36,$D$53:$N$53,0))</f>
        <v>760.36558275996595</v>
      </c>
      <c r="P40" s="14">
        <f t="array" ref="P40">INDEX($D$54:$N$521,MATCH(P$38&amp;$A40,$B$54:$B$521&amp;$C$54:$C$521,0),MATCH(P$36,$D$53:$N$53,0))</f>
        <v>700.53385343188461</v>
      </c>
      <c r="Q40" s="14">
        <f t="array" ref="Q40">INDEX($D$54:$N$521,MATCH(Q$38&amp;$A40,$B$54:$B$521&amp;$C$54:$C$521,0),MATCH(Q$36,$D$53:$N$53,0))</f>
        <v>436.42957410824033</v>
      </c>
      <c r="R40" s="14">
        <f t="array" ref="R40">INDEX($D$54:$N$521,MATCH(R$38&amp;$A40,$B$54:$B$521&amp;$C$54:$C$521,0),MATCH(R$36,$D$53:$N$53,0))</f>
        <v>0</v>
      </c>
      <c r="S40" s="14">
        <f t="array" ref="S40">INDEX($D$54:$N$521,MATCH(S$38&amp;$A40,$B$54:$B$521&amp;$C$54:$C$521,0),MATCH(S$36,$D$53:$N$53,0))</f>
        <v>0</v>
      </c>
      <c r="T40" s="14">
        <f t="array" ref="T40">INDEX($D$54:$N$521,MATCH(T$38&amp;$A40,$B$54:$B$521&amp;$C$54:$C$521,0),MATCH(T$36,$D$53:$N$53,0))</f>
        <v>0</v>
      </c>
      <c r="U40" s="14">
        <f t="array" ref="U40">INDEX($D$54:$N$521,MATCH(U$38&amp;$A40,$B$54:$B$521&amp;$C$54:$C$521,0),MATCH(U$36,$D$53:$N$53,0))</f>
        <v>0</v>
      </c>
      <c r="V40" s="14">
        <f t="array" ref="V40">INDEX($D$54:$N$521,MATCH(V$38&amp;$A40,$B$54:$B$521&amp;$C$54:$C$521,0),MATCH(V$36,$D$53:$N$53,0))</f>
        <v>0</v>
      </c>
      <c r="W40" s="14">
        <f t="array" ref="W40">INDEX($D$54:$N$521,MATCH(W$38&amp;$A40,$B$54:$B$521&amp;$C$54:$C$521,0),MATCH(W$36,$D$53:$N$53,0))</f>
        <v>0</v>
      </c>
      <c r="X40" s="14" t="e">
        <f t="array" ref="X40">INDEX($D$54:$N$521,MATCH(X$38&amp;$A40,$B$54:$B$521&amp;$C$54:$C$521,0),MATCH(X$36,$D$53:$N$53,0))</f>
        <v>#N/A</v>
      </c>
      <c r="Y40" s="14" t="e">
        <f t="array" ref="Y40">INDEX($D$54:$N$521,MATCH(Y$38&amp;$A40,$B$54:$B$521&amp;$C$54:$C$521,0),MATCH(Y$36,$D$53:$N$53,0))</f>
        <v>#N/A</v>
      </c>
      <c r="Z40" s="14" t="e">
        <f t="array" ref="Z40">INDEX($D$54:$N$521,MATCH(Z$38&amp;$A40,$B$54:$B$521&amp;$C$54:$C$521,0),MATCH(Z$36,$D$53:$N$53,0))</f>
        <v>#N/A</v>
      </c>
    </row>
    <row r="41" spans="1:26" x14ac:dyDescent="0.3">
      <c r="A41" s="3" t="s">
        <v>65</v>
      </c>
      <c r="B41" s="14">
        <f t="array" ref="B41">INDEX($D$54:$N$521,MATCH(B$38&amp;$A41,$B$54:$B$521&amp;$C$54:$C$521,0),MATCH(B$36,$D$53:$N$53,0))</f>
        <v>625.93335166737552</v>
      </c>
      <c r="C41" s="14">
        <f t="array" ref="C41">INDEX($D$54:$N$521,MATCH(C$38&amp;$A41,$B$54:$B$521&amp;$C$54:$C$521,0),MATCH(C$36,$D$53:$N$53,0))</f>
        <v>28.313666681640001</v>
      </c>
      <c r="D41" s="14">
        <f t="array" ref="D41">INDEX($D$54:$N$521,MATCH(D$38&amp;$A41,$B$54:$B$521&amp;$C$54:$C$521,0),MATCH(D$36,$D$53:$N$53,0))</f>
        <v>9.9028665568190082</v>
      </c>
      <c r="E41" s="14">
        <f t="array" ref="E41">INDEX($D$54:$N$521,MATCH(E$38&amp;$A41,$B$54:$B$521&amp;$C$54:$C$521,0),MATCH(E$36,$D$53:$N$53,0))</f>
        <v>16.783672963106241</v>
      </c>
      <c r="F41" s="14">
        <f t="array" ref="F41">INDEX($D$54:$N$521,MATCH(F$38&amp;$A41,$B$54:$B$521&amp;$C$54:$C$521,0),MATCH(F$36,$D$53:$N$53,0))</f>
        <v>58.789098582848126</v>
      </c>
      <c r="G41" s="14">
        <f t="array" ref="G41">INDEX($D$54:$N$521,MATCH(G$38&amp;$A41,$B$54:$B$521&amp;$C$54:$C$521,0),MATCH(G$36,$D$53:$N$53,0))</f>
        <v>16.783672963106241</v>
      </c>
      <c r="H41" s="14">
        <f t="array" ref="H41">INDEX($D$54:$N$521,MATCH(H$38&amp;$A41,$B$54:$B$521&amp;$C$54:$C$521,0),MATCH(H$36,$D$53:$N$53,0))</f>
        <v>375.31632509620255</v>
      </c>
      <c r="I41" s="14">
        <f t="array" ref="I41">INDEX($D$54:$N$521,MATCH(I$38&amp;$A41,$B$54:$B$521&amp;$C$54:$C$521,0),MATCH(I$36,$D$53:$N$53,0))</f>
        <v>16.783672963106241</v>
      </c>
      <c r="J41" s="14">
        <f t="array" ref="J41">INDEX($D$54:$N$521,MATCH(J$38&amp;$A41,$B$54:$B$521&amp;$C$54:$C$521,0),MATCH(J$36,$D$53:$N$53,0))</f>
        <v>51.269247244881754</v>
      </c>
      <c r="K41" s="14">
        <f t="array" ref="K41">INDEX($D$54:$N$521,MATCH(K$38&amp;$A41,$B$54:$B$521&amp;$C$54:$C$521,0),MATCH(K$36,$D$53:$N$53,0))</f>
        <v>16.783672963106241</v>
      </c>
      <c r="L41" s="14" t="e">
        <f t="array" ref="L41">INDEX($D$54:$N$521,MATCH(L$38&amp;$A41,$B$54:$B$521&amp;$C$54:$C$521,0),MATCH(L$36,$D$53:$N$53,0))</f>
        <v>#N/A</v>
      </c>
      <c r="M41" s="14" t="e">
        <f t="array" ref="M41">INDEX($D$54:$N$521,MATCH(M$38&amp;$A41,$B$54:$B$521&amp;$C$54:$C$521,0),MATCH(M$36,$D$53:$N$53,0))</f>
        <v>#N/A</v>
      </c>
      <c r="N41" s="14" t="e">
        <f t="array" ref="N41">INDEX($D$54:$N$521,MATCH(N$38&amp;$A41,$B$54:$B$521&amp;$C$54:$C$521,0),MATCH(N$36,$D$53:$N$53,0))</f>
        <v>#N/A</v>
      </c>
      <c r="O41" s="14">
        <f t="array" ref="O41">INDEX($D$54:$N$521,MATCH(O$38&amp;$A41,$B$54:$B$521&amp;$C$54:$C$521,0),MATCH(O$36,$D$53:$N$53,0))</f>
        <v>206.99281238867439</v>
      </c>
      <c r="P41" s="14">
        <f t="array" ref="P41">INDEX($D$54:$N$521,MATCH(P$38&amp;$A41,$B$54:$B$521&amp;$C$54:$C$521,0),MATCH(P$36,$D$53:$N$53,0))</f>
        <v>171.60186211871704</v>
      </c>
      <c r="Q41" s="14">
        <f t="array" ref="Q41">INDEX($D$54:$N$521,MATCH(Q$38&amp;$A41,$B$54:$B$521&amp;$C$54:$C$521,0),MATCH(Q$36,$D$53:$N$53,0))</f>
        <v>217.91255421544568</v>
      </c>
      <c r="R41" s="14">
        <f t="array" ref="R41">INDEX($D$54:$N$521,MATCH(R$38&amp;$A41,$B$54:$B$521&amp;$C$54:$C$521,0),MATCH(R$36,$D$53:$N$53,0))</f>
        <v>508.85641472153429</v>
      </c>
      <c r="S41" s="14">
        <f t="array" ref="S41">INDEX($D$54:$N$521,MATCH(S$38&amp;$A41,$B$54:$B$521&amp;$C$54:$C$521,0),MATCH(S$36,$D$53:$N$53,0))</f>
        <v>511.77454623352429</v>
      </c>
      <c r="T41" s="14">
        <f t="array" ref="T41">INDEX($D$54:$N$521,MATCH(T$38&amp;$A41,$B$54:$B$521&amp;$C$54:$C$521,0),MATCH(T$36,$D$53:$N$53,0))</f>
        <v>11.080716073913599</v>
      </c>
      <c r="U41" s="14">
        <f t="array" ref="U41">INDEX($D$54:$N$521,MATCH(U$38&amp;$A41,$B$54:$B$521&amp;$C$54:$C$521,0),MATCH(U$36,$D$53:$N$53,0))</f>
        <v>64.453809371343397</v>
      </c>
      <c r="V41" s="14">
        <f t="array" ref="V41">INDEX($D$54:$N$521,MATCH(V$38&amp;$A41,$B$54:$B$521&amp;$C$54:$C$521,0),MATCH(V$36,$D$53:$N$53,0))</f>
        <v>618.91842344703514</v>
      </c>
      <c r="W41" s="14">
        <f t="array" ref="W41">INDEX($D$54:$N$521,MATCH(W$38&amp;$A41,$B$54:$B$521&amp;$C$54:$C$521,0),MATCH(W$36,$D$53:$N$53,0))</f>
        <v>387.7516934928683</v>
      </c>
      <c r="X41" s="14" t="e">
        <f t="array" ref="X41">INDEX($D$54:$N$521,MATCH(X$38&amp;$A41,$B$54:$B$521&amp;$C$54:$C$521,0),MATCH(X$36,$D$53:$N$53,0))</f>
        <v>#N/A</v>
      </c>
      <c r="Y41" s="14" t="e">
        <f t="array" ref="Y41">INDEX($D$54:$N$521,MATCH(Y$38&amp;$A41,$B$54:$B$521&amp;$C$54:$C$521,0),MATCH(Y$36,$D$53:$N$53,0))</f>
        <v>#N/A</v>
      </c>
      <c r="Z41" s="14" t="e">
        <f t="array" ref="Z41">INDEX($D$54:$N$521,MATCH(Z$38&amp;$A41,$B$54:$B$521&amp;$C$54:$C$521,0),MATCH(Z$36,$D$53:$N$53,0))</f>
        <v>#N/A</v>
      </c>
    </row>
    <row r="42" spans="1:26" x14ac:dyDescent="0.3">
      <c r="A42" s="3" t="s">
        <v>66</v>
      </c>
      <c r="B42" s="14">
        <f t="array" ref="B42">INDEX($D$54:$N$521,MATCH(B$38&amp;$A42,$B$54:$B$521&amp;$C$54:$C$521,0),MATCH(B$36,$D$53:$N$53,0))</f>
        <v>0.33361993333333301</v>
      </c>
      <c r="C42" s="14">
        <f t="array" ref="C42">INDEX($D$54:$N$521,MATCH(C$38&amp;$A42,$B$54:$B$521&amp;$C$54:$C$521,0),MATCH(C$36,$D$53:$N$53,0))</f>
        <v>106.94534869449669</v>
      </c>
      <c r="D42" s="14">
        <f t="array" ref="D42">INDEX($D$54:$N$521,MATCH(D$38&amp;$A42,$B$54:$B$521&amp;$C$54:$C$521,0),MATCH(D$36,$D$53:$N$53,0))</f>
        <v>49.662733746167476</v>
      </c>
      <c r="E42" s="14">
        <f t="array" ref="E42">INDEX($D$54:$N$521,MATCH(E$38&amp;$A42,$B$54:$B$521&amp;$C$54:$C$521,0),MATCH(E$36,$D$53:$N$53,0))</f>
        <v>53.162220652850131</v>
      </c>
      <c r="F42" s="14">
        <f t="array" ref="F42">INDEX($D$54:$N$521,MATCH(F$38&amp;$A42,$B$54:$B$521&amp;$C$54:$C$521,0),MATCH(F$36,$D$53:$N$53,0))</f>
        <v>53.53277898674402</v>
      </c>
      <c r="G42" s="14">
        <f t="array" ref="G42">INDEX($D$54:$N$521,MATCH(G$38&amp;$A42,$B$54:$B$521&amp;$C$54:$C$521,0),MATCH(G$36,$D$53:$N$53,0))</f>
        <v>53.162220652850131</v>
      </c>
      <c r="H42" s="14">
        <f t="array" ref="H42">INDEX($D$54:$N$521,MATCH(H$38&amp;$A42,$B$54:$B$521&amp;$C$54:$C$521,0),MATCH(H$36,$D$53:$N$53,0))</f>
        <v>488.34249158390486</v>
      </c>
      <c r="I42" s="14">
        <f t="array" ref="I42">INDEX($D$54:$N$521,MATCH(I$38&amp;$A42,$B$54:$B$521&amp;$C$54:$C$521,0),MATCH(I$36,$D$53:$N$53,0))</f>
        <v>53.162220652850131</v>
      </c>
      <c r="J42" s="14">
        <f t="array" ref="J42">INDEX($D$54:$N$521,MATCH(J$38&amp;$A42,$B$54:$B$521&amp;$C$54:$C$521,0),MATCH(J$36,$D$53:$N$53,0))</f>
        <v>53.53277898674402</v>
      </c>
      <c r="K42" s="14">
        <f t="array" ref="K42">INDEX($D$54:$N$521,MATCH(K$38&amp;$A42,$B$54:$B$521&amp;$C$54:$C$521,0),MATCH(K$36,$D$53:$N$53,0))</f>
        <v>53.162220652850131</v>
      </c>
      <c r="L42" s="14" t="e">
        <f t="array" ref="L42">INDEX($D$54:$N$521,MATCH(L$38&amp;$A42,$B$54:$B$521&amp;$C$54:$C$521,0),MATCH(L$36,$D$53:$N$53,0))</f>
        <v>#N/A</v>
      </c>
      <c r="M42" s="14" t="e">
        <f t="array" ref="M42">INDEX($D$54:$N$521,MATCH(M$38&amp;$A42,$B$54:$B$521&amp;$C$54:$C$521,0),MATCH(M$36,$D$53:$N$53,0))</f>
        <v>#N/A</v>
      </c>
      <c r="N42" s="14" t="e">
        <f t="array" ref="N42">INDEX($D$54:$N$521,MATCH(N$38&amp;$A42,$B$54:$B$521&amp;$C$54:$C$521,0),MATCH(N$36,$D$53:$N$53,0))</f>
        <v>#N/A</v>
      </c>
      <c r="O42" s="14">
        <f t="array" ref="O42">INDEX($D$54:$N$521,MATCH(O$38&amp;$A42,$B$54:$B$521&amp;$C$54:$C$521,0),MATCH(O$36,$D$53:$N$53,0))</f>
        <v>52.744990928380027</v>
      </c>
      <c r="P42" s="14">
        <f t="array" ref="P42">INDEX($D$54:$N$521,MATCH(P$38&amp;$A42,$B$54:$B$521&amp;$C$54:$C$521,0),MATCH(P$36,$D$53:$N$53,0))</f>
        <v>54.693690443373761</v>
      </c>
      <c r="Q42" s="14">
        <f t="array" ref="Q42">INDEX($D$54:$N$521,MATCH(Q$38&amp;$A42,$B$54:$B$521&amp;$C$54:$C$521,0),MATCH(Q$36,$D$53:$N$53,0))</f>
        <v>53.424949068371383</v>
      </c>
      <c r="R42" s="14">
        <f t="array" ref="R42">INDEX($D$54:$N$521,MATCH(R$38&amp;$A42,$B$54:$B$521&amp;$C$54:$C$521,0),MATCH(R$36,$D$53:$N$53,0))</f>
        <v>207.07968598387023</v>
      </c>
      <c r="S42" s="14">
        <f t="array" ref="S42">INDEX($D$54:$N$521,MATCH(S$38&amp;$A42,$B$54:$B$521&amp;$C$54:$C$521,0),MATCH(S$36,$D$53:$N$53,0))</f>
        <v>286.59172998668396</v>
      </c>
      <c r="T42" s="14">
        <f t="array" ref="T42">INDEX($D$54:$N$521,MATCH(T$38&amp;$A42,$B$54:$B$521&amp;$C$54:$C$521,0),MATCH(T$36,$D$53:$N$53,0))</f>
        <v>51.936892553276465</v>
      </c>
      <c r="U42" s="14">
        <f t="array" ref="U42">INDEX($D$54:$N$521,MATCH(U$38&amp;$A42,$B$54:$B$521&amp;$C$54:$C$521,0),MATCH(U$36,$D$53:$N$53,0))</f>
        <v>52.289097484560216</v>
      </c>
      <c r="V42" s="14">
        <f t="array" ref="V42">INDEX($D$54:$N$521,MATCH(V$38&amp;$A42,$B$54:$B$521&amp;$C$54:$C$521,0),MATCH(V$36,$D$53:$N$53,0))</f>
        <v>267.80596941996049</v>
      </c>
      <c r="W42" s="14">
        <f t="array" ref="W42">INDEX($D$54:$N$521,MATCH(W$38&amp;$A42,$B$54:$B$521&amp;$C$54:$C$521,0),MATCH(W$36,$D$53:$N$53,0))</f>
        <v>412.36225028141649</v>
      </c>
      <c r="X42" s="14" t="e">
        <f t="array" ref="X42">INDEX($D$54:$N$521,MATCH(X$38&amp;$A42,$B$54:$B$521&amp;$C$54:$C$521,0),MATCH(X$36,$D$53:$N$53,0))</f>
        <v>#N/A</v>
      </c>
      <c r="Y42" s="14" t="e">
        <f t="array" ref="Y42">INDEX($D$54:$N$521,MATCH(Y$38&amp;$A42,$B$54:$B$521&amp;$C$54:$C$521,0),MATCH(Y$36,$D$53:$N$53,0))</f>
        <v>#N/A</v>
      </c>
      <c r="Z42" s="14" t="e">
        <f t="array" ref="Z42">INDEX($D$54:$N$521,MATCH(Z$38&amp;$A42,$B$54:$B$521&amp;$C$54:$C$521,0),MATCH(Z$36,$D$53:$N$53,0))</f>
        <v>#N/A</v>
      </c>
    </row>
    <row r="43" spans="1:26" x14ac:dyDescent="0.3">
      <c r="A43" s="3" t="s">
        <v>67</v>
      </c>
      <c r="B43" s="14">
        <f t="array" ref="B43">INDEX($D$54:$N$521,MATCH(B$38&amp;$A43,$B$54:$B$521&amp;$C$54:$C$521,0),MATCH(B$36,$D$53:$N$53,0))</f>
        <v>162.76418662806225</v>
      </c>
      <c r="C43" s="14">
        <f t="array" ref="C43">INDEX($D$54:$N$521,MATCH(C$38&amp;$A43,$B$54:$B$521&amp;$C$54:$C$521,0),MATCH(C$36,$D$53:$N$53,0))</f>
        <v>56.320636054805078</v>
      </c>
      <c r="D43" s="14">
        <f t="array" ref="D43">INDEX($D$54:$N$521,MATCH(D$38&amp;$A43,$B$54:$B$521&amp;$C$54:$C$521,0),MATCH(D$36,$D$53:$N$53,0))</f>
        <v>58.394851390360479</v>
      </c>
      <c r="E43" s="14">
        <f t="array" ref="E43">INDEX($D$54:$N$521,MATCH(E$38&amp;$A43,$B$54:$B$521&amp;$C$54:$C$521,0),MATCH(E$36,$D$53:$N$53,0))</f>
        <v>132.60270357542757</v>
      </c>
      <c r="F43" s="14">
        <f t="array" ref="F43">INDEX($D$54:$N$521,MATCH(F$38&amp;$A43,$B$54:$B$521&amp;$C$54:$C$521,0),MATCH(F$36,$D$53:$N$53,0))</f>
        <v>198.86448564473108</v>
      </c>
      <c r="G43" s="14">
        <f t="array" ref="G43">INDEX($D$54:$N$521,MATCH(G$38&amp;$A43,$B$54:$B$521&amp;$C$54:$C$521,0),MATCH(G$36,$D$53:$N$53,0))</f>
        <v>132.60270357542757</v>
      </c>
      <c r="H43" s="14">
        <f t="array" ref="H43">INDEX($D$54:$N$521,MATCH(H$38&amp;$A43,$B$54:$B$521&amp;$C$54:$C$521,0),MATCH(H$36,$D$53:$N$53,0))</f>
        <v>764.69967783347067</v>
      </c>
      <c r="I43" s="14">
        <f t="array" ref="I43">INDEX($D$54:$N$521,MATCH(I$38&amp;$A43,$B$54:$B$521&amp;$C$54:$C$521,0),MATCH(I$36,$D$53:$N$53,0))</f>
        <v>132.60270357542757</v>
      </c>
      <c r="J43" s="14">
        <f t="array" ref="J43">INDEX($D$54:$N$521,MATCH(J$38&amp;$A43,$B$54:$B$521&amp;$C$54:$C$521,0),MATCH(J$36,$D$53:$N$53,0))</f>
        <v>306.53490115272592</v>
      </c>
      <c r="K43" s="14">
        <f t="array" ref="K43">INDEX($D$54:$N$521,MATCH(K$38&amp;$A43,$B$54:$B$521&amp;$C$54:$C$521,0),MATCH(K$36,$D$53:$N$53,0))</f>
        <v>132.60270357542757</v>
      </c>
      <c r="L43" s="14" t="e">
        <f t="array" ref="L43">INDEX($D$54:$N$521,MATCH(L$38&amp;$A43,$B$54:$B$521&amp;$C$54:$C$521,0),MATCH(L$36,$D$53:$N$53,0))</f>
        <v>#N/A</v>
      </c>
      <c r="M43" s="14" t="e">
        <f t="array" ref="M43">INDEX($D$54:$N$521,MATCH(M$38&amp;$A43,$B$54:$B$521&amp;$C$54:$C$521,0),MATCH(M$36,$D$53:$N$53,0))</f>
        <v>#N/A</v>
      </c>
      <c r="N43" s="14" t="e">
        <f t="array" ref="N43">INDEX($D$54:$N$521,MATCH(N$38&amp;$A43,$B$54:$B$521&amp;$C$54:$C$521,0),MATCH(N$36,$D$53:$N$53,0))</f>
        <v>#N/A</v>
      </c>
      <c r="O43" s="14">
        <f t="array" ref="O43">INDEX($D$54:$N$521,MATCH(O$38&amp;$A43,$B$54:$B$521&amp;$C$54:$C$521,0),MATCH(O$36,$D$53:$N$53,0))</f>
        <v>73.077329434524628</v>
      </c>
      <c r="P43" s="14">
        <f t="array" ref="P43">INDEX($D$54:$N$521,MATCH(P$38&amp;$A43,$B$54:$B$521&amp;$C$54:$C$521,0),MATCH(P$36,$D$53:$N$53,0))</f>
        <v>63.046726685744041</v>
      </c>
      <c r="Q43" s="14">
        <f t="array" ref="Q43">INDEX($D$54:$N$521,MATCH(Q$38&amp;$A43,$B$54:$B$521&amp;$C$54:$C$521,0),MATCH(Q$36,$D$53:$N$53,0))</f>
        <v>82.973048076858007</v>
      </c>
      <c r="R43" s="14">
        <f t="array" ref="R43">INDEX($D$54:$N$521,MATCH(R$38&amp;$A43,$B$54:$B$521&amp;$C$54:$C$521,0),MATCH(R$36,$D$53:$N$53,0))</f>
        <v>210.34071276155089</v>
      </c>
      <c r="S43" s="14">
        <f t="array" ref="S43">INDEX($D$54:$N$521,MATCH(S$38&amp;$A43,$B$54:$B$521&amp;$C$54:$C$521,0),MATCH(S$36,$D$53:$N$53,0))</f>
        <v>187.94021586366182</v>
      </c>
      <c r="T43" s="14">
        <f t="array" ref="T43">INDEX($D$54:$N$521,MATCH(T$38&amp;$A43,$B$54:$B$521&amp;$C$54:$C$521,0),MATCH(T$36,$D$53:$N$53,0))</f>
        <v>439.25926526230603</v>
      </c>
      <c r="U43" s="14">
        <f t="array" ref="U43">INDEX($D$54:$N$521,MATCH(U$38&amp;$A43,$B$54:$B$521&amp;$C$54:$C$521,0),MATCH(U$36,$D$53:$N$53,0))</f>
        <v>798.3932608239453</v>
      </c>
      <c r="V43" s="14">
        <f t="array" ref="V43">INDEX($D$54:$N$521,MATCH(V$38&amp;$A43,$B$54:$B$521&amp;$C$54:$C$521,0),MATCH(V$36,$D$53:$N$53,0))</f>
        <v>217.53575621751924</v>
      </c>
      <c r="W43" s="14">
        <f t="array" ref="W43">INDEX($D$54:$N$521,MATCH(W$38&amp;$A43,$B$54:$B$521&amp;$C$54:$C$521,0),MATCH(W$36,$D$53:$N$53,0))</f>
        <v>419.55067726757204</v>
      </c>
      <c r="X43" s="14" t="e">
        <f t="array" ref="X43">INDEX($D$54:$N$521,MATCH(X$38&amp;$A43,$B$54:$B$521&amp;$C$54:$C$521,0),MATCH(X$36,$D$53:$N$53,0))</f>
        <v>#N/A</v>
      </c>
      <c r="Y43" s="14" t="e">
        <f t="array" ref="Y43">INDEX($D$54:$N$521,MATCH(Y$38&amp;$A43,$B$54:$B$521&amp;$C$54:$C$521,0),MATCH(Y$36,$D$53:$N$53,0))</f>
        <v>#N/A</v>
      </c>
      <c r="Z43" s="14" t="e">
        <f t="array" ref="Z43">INDEX($D$54:$N$521,MATCH(Z$38&amp;$A43,$B$54:$B$521&amp;$C$54:$C$521,0),MATCH(Z$36,$D$53:$N$53,0))</f>
        <v>#N/A</v>
      </c>
    </row>
    <row r="44" spans="1:26" x14ac:dyDescent="0.3">
      <c r="A44" s="3" t="s">
        <v>68</v>
      </c>
      <c r="B44" s="14">
        <f t="array" ref="B44">INDEX($D$54:$N$521,MATCH(B$38&amp;$A44,$B$54:$B$521&amp;$C$54:$C$521,0),MATCH(B$36,$D$53:$N$53,0))</f>
        <v>0</v>
      </c>
      <c r="C44" s="14">
        <f t="array" ref="C44">INDEX($D$54:$N$521,MATCH(C$38&amp;$A44,$B$54:$B$521&amp;$C$54:$C$521,0),MATCH(C$36,$D$53:$N$53,0))</f>
        <v>21.055421266348525</v>
      </c>
      <c r="D44" s="14">
        <f t="array" ref="D44">INDEX($D$54:$N$521,MATCH(D$38&amp;$A44,$B$54:$B$521&amp;$C$54:$C$521,0),MATCH(D$36,$D$53:$N$53,0))</f>
        <v>20.185372472413331</v>
      </c>
      <c r="E44" s="14">
        <f t="array" ref="E44">INDEX($D$54:$N$521,MATCH(E$38&amp;$A44,$B$54:$B$521&amp;$C$54:$C$521,0),MATCH(E$36,$D$53:$N$53,0))</f>
        <v>22.553218427439354</v>
      </c>
      <c r="F44" s="14">
        <f t="array" ref="F44">INDEX($D$54:$N$521,MATCH(F$38&amp;$A44,$B$54:$B$521&amp;$C$54:$C$521,0),MATCH(F$36,$D$53:$N$53,0))</f>
        <v>74.412462999148872</v>
      </c>
      <c r="G44" s="14">
        <f t="array" ref="G44">INDEX($D$54:$N$521,MATCH(G$38&amp;$A44,$B$54:$B$521&amp;$C$54:$C$521,0),MATCH(G$36,$D$53:$N$53,0))</f>
        <v>22.553218427439354</v>
      </c>
      <c r="H44" s="14">
        <f t="array" ref="H44">INDEX($D$54:$N$521,MATCH(H$38&amp;$A44,$B$54:$B$521&amp;$C$54:$C$521,0),MATCH(H$36,$D$53:$N$53,0))</f>
        <v>140.00690235624023</v>
      </c>
      <c r="I44" s="14">
        <f t="array" ref="I44">INDEX($D$54:$N$521,MATCH(I$38&amp;$A44,$B$54:$B$521&amp;$C$54:$C$521,0),MATCH(I$36,$D$53:$N$53,0))</f>
        <v>22.553218427439354</v>
      </c>
      <c r="J44" s="14">
        <f t="array" ref="J44">INDEX($D$54:$N$521,MATCH(J$38&amp;$A44,$B$54:$B$521&amp;$C$54:$C$521,0),MATCH(J$36,$D$53:$N$53,0))</f>
        <v>94.943116153705176</v>
      </c>
      <c r="K44" s="14">
        <f t="array" ref="K44">INDEX($D$54:$N$521,MATCH(K$38&amp;$A44,$B$54:$B$521&amp;$C$54:$C$521,0),MATCH(K$36,$D$53:$N$53,0))</f>
        <v>22.553218427439354</v>
      </c>
      <c r="L44" s="14" t="e">
        <f t="array" ref="L44">INDEX($D$54:$N$521,MATCH(L$38&amp;$A44,$B$54:$B$521&amp;$C$54:$C$521,0),MATCH(L$36,$D$53:$N$53,0))</f>
        <v>#N/A</v>
      </c>
      <c r="M44" s="14" t="e">
        <f t="array" ref="M44">INDEX($D$54:$N$521,MATCH(M$38&amp;$A44,$B$54:$B$521&amp;$C$54:$C$521,0),MATCH(M$36,$D$53:$N$53,0))</f>
        <v>#N/A</v>
      </c>
      <c r="N44" s="14" t="e">
        <f t="array" ref="N44">INDEX($D$54:$N$521,MATCH(N$38&amp;$A44,$B$54:$B$521&amp;$C$54:$C$521,0),MATCH(N$36,$D$53:$N$53,0))</f>
        <v>#N/A</v>
      </c>
      <c r="O44" s="14">
        <f t="array" ref="O44">INDEX($D$54:$N$521,MATCH(O$38&amp;$A44,$B$54:$B$521&amp;$C$54:$C$521,0),MATCH(O$36,$D$53:$N$53,0))</f>
        <v>476.06428234868918</v>
      </c>
      <c r="P44" s="14">
        <f t="array" ref="P44">INDEX($D$54:$N$521,MATCH(P$38&amp;$A44,$B$54:$B$521&amp;$C$54:$C$521,0),MATCH(P$36,$D$53:$N$53,0))</f>
        <v>476.86515828368448</v>
      </c>
      <c r="Q44" s="14">
        <f t="array" ref="Q44">INDEX($D$54:$N$521,MATCH(Q$38&amp;$A44,$B$54:$B$521&amp;$C$54:$C$521,0),MATCH(Q$36,$D$53:$N$53,0))</f>
        <v>474.97659380392099</v>
      </c>
      <c r="R44" s="14">
        <f t="array" ref="R44">INDEX($D$54:$N$521,MATCH(R$38&amp;$A44,$B$54:$B$521&amp;$C$54:$C$521,0),MATCH(R$36,$D$53:$N$53,0))</f>
        <v>664.0842237436035</v>
      </c>
      <c r="S44" s="14">
        <f t="array" ref="S44">INDEX($D$54:$N$521,MATCH(S$38&amp;$A44,$B$54:$B$521&amp;$C$54:$C$521,0),MATCH(S$36,$D$53:$N$53,0))</f>
        <v>637.73484501282053</v>
      </c>
      <c r="T44" s="14">
        <f t="array" ref="T44">INDEX($D$54:$N$521,MATCH(T$38&amp;$A44,$B$54:$B$521&amp;$C$54:$C$521,0),MATCH(T$36,$D$53:$N$53,0))</f>
        <v>544.9750613292407</v>
      </c>
      <c r="U44" s="14">
        <f t="array" ref="U44">INDEX($D$54:$N$521,MATCH(U$38&amp;$A44,$B$54:$B$521&amp;$C$54:$C$521,0),MATCH(U$36,$D$53:$N$53,0))</f>
        <v>557.24172477940488</v>
      </c>
      <c r="V44" s="14">
        <f t="array" ref="V44">INDEX($D$54:$N$521,MATCH(V$38&amp;$A44,$B$54:$B$521&amp;$C$54:$C$521,0),MATCH(V$36,$D$53:$N$53,0))</f>
        <v>609.95182156911994</v>
      </c>
      <c r="W44" s="14">
        <f t="array" ref="W44">INDEX($D$54:$N$521,MATCH(W$38&amp;$A44,$B$54:$B$521&amp;$C$54:$C$521,0),MATCH(W$36,$D$53:$N$53,0))</f>
        <v>620.70961578424976</v>
      </c>
      <c r="X44" s="14" t="e">
        <f t="array" ref="X44">INDEX($D$54:$N$521,MATCH(X$38&amp;$A44,$B$54:$B$521&amp;$C$54:$C$521,0),MATCH(X$36,$D$53:$N$53,0))</f>
        <v>#N/A</v>
      </c>
      <c r="Y44" s="14" t="e">
        <f t="array" ref="Y44">INDEX($D$54:$N$521,MATCH(Y$38&amp;$A44,$B$54:$B$521&amp;$C$54:$C$521,0),MATCH(Y$36,$D$53:$N$53,0))</f>
        <v>#N/A</v>
      </c>
      <c r="Z44" s="14" t="e">
        <f t="array" ref="Z44">INDEX($D$54:$N$521,MATCH(Z$38&amp;$A44,$B$54:$B$521&amp;$C$54:$C$521,0),MATCH(Z$36,$D$53:$N$53,0))</f>
        <v>#N/A</v>
      </c>
    </row>
    <row r="45" spans="1:26" x14ac:dyDescent="0.3">
      <c r="A45" s="3" t="s">
        <v>69</v>
      </c>
      <c r="B45" s="14">
        <f t="array" ref="B45">INDEX($D$54:$N$521,MATCH(B$38&amp;$A45,$B$54:$B$521&amp;$C$54:$C$521,0),MATCH(B$36,$D$53:$N$53,0))</f>
        <v>21.625867125843534</v>
      </c>
      <c r="C45" s="14">
        <f t="array" ref="C45">INDEX($D$54:$N$521,MATCH(C$38&amp;$A45,$B$54:$B$521&amp;$C$54:$C$521,0),MATCH(C$36,$D$53:$N$53,0))</f>
        <v>6.7823109921478002</v>
      </c>
      <c r="D45" s="14">
        <f t="array" ref="D45">INDEX($D$54:$N$521,MATCH(D$38&amp;$A45,$B$54:$B$521&amp;$C$54:$C$521,0),MATCH(D$36,$D$53:$N$53,0))</f>
        <v>1.64466005415256</v>
      </c>
      <c r="E45" s="14">
        <f t="array" ref="E45">INDEX($D$54:$N$521,MATCH(E$38&amp;$A45,$B$54:$B$521&amp;$C$54:$C$521,0),MATCH(E$36,$D$53:$N$53,0))</f>
        <v>4.39481081527373</v>
      </c>
      <c r="F45" s="14">
        <f t="array" ref="F45">INDEX($D$54:$N$521,MATCH(F$38&amp;$A45,$B$54:$B$521&amp;$C$54:$C$521,0),MATCH(F$36,$D$53:$N$53,0))</f>
        <v>2.2198454799124101</v>
      </c>
      <c r="G45" s="14">
        <f t="array" ref="G45">INDEX($D$54:$N$521,MATCH(G$38&amp;$A45,$B$54:$B$521&amp;$C$54:$C$521,0),MATCH(G$36,$D$53:$N$53,0))</f>
        <v>4.39481081527373</v>
      </c>
      <c r="H45" s="14">
        <f t="array" ref="H45">INDEX($D$54:$N$521,MATCH(H$38&amp;$A45,$B$54:$B$521&amp;$C$54:$C$521,0),MATCH(H$36,$D$53:$N$53,0))</f>
        <v>3.023673578391068</v>
      </c>
      <c r="I45" s="14">
        <f t="array" ref="I45">INDEX($D$54:$N$521,MATCH(I$38&amp;$A45,$B$54:$B$521&amp;$C$54:$C$521,0),MATCH(I$36,$D$53:$N$53,0))</f>
        <v>4.39481081527373</v>
      </c>
      <c r="J45" s="14">
        <f t="array" ref="J45">INDEX($D$54:$N$521,MATCH(J$38&amp;$A45,$B$54:$B$521&amp;$C$54:$C$521,0),MATCH(J$36,$D$53:$N$53,0))</f>
        <v>3.7704578803854698</v>
      </c>
      <c r="K45" s="14">
        <f t="array" ref="K45">INDEX($D$54:$N$521,MATCH(K$38&amp;$A45,$B$54:$B$521&amp;$C$54:$C$521,0),MATCH(K$36,$D$53:$N$53,0))</f>
        <v>4.39481081527373</v>
      </c>
      <c r="L45" s="14" t="e">
        <f t="array" ref="L45">INDEX($D$54:$N$521,MATCH(L$38&amp;$A45,$B$54:$B$521&amp;$C$54:$C$521,0),MATCH(L$36,$D$53:$N$53,0))</f>
        <v>#N/A</v>
      </c>
      <c r="M45" s="14" t="e">
        <f t="array" ref="M45">INDEX($D$54:$N$521,MATCH(M$38&amp;$A45,$B$54:$B$521&amp;$C$54:$C$521,0),MATCH(M$36,$D$53:$N$53,0))</f>
        <v>#N/A</v>
      </c>
      <c r="N45" s="14" t="e">
        <f t="array" ref="N45">INDEX($D$54:$N$521,MATCH(N$38&amp;$A45,$B$54:$B$521&amp;$C$54:$C$521,0),MATCH(N$36,$D$53:$N$53,0))</f>
        <v>#N/A</v>
      </c>
      <c r="O45" s="14">
        <f t="array" ref="O45">INDEX($D$54:$N$521,MATCH(O$38&amp;$A45,$B$54:$B$521&amp;$C$54:$C$521,0),MATCH(O$36,$D$53:$N$53,0))</f>
        <v>0</v>
      </c>
      <c r="P45" s="14">
        <f t="array" ref="P45">INDEX($D$54:$N$521,MATCH(P$38&amp;$A45,$B$54:$B$521&amp;$C$54:$C$521,0),MATCH(P$36,$D$53:$N$53,0))</f>
        <v>0</v>
      </c>
      <c r="Q45" s="14">
        <f t="array" ref="Q45">INDEX($D$54:$N$521,MATCH(Q$38&amp;$A45,$B$54:$B$521&amp;$C$54:$C$521,0),MATCH(Q$36,$D$53:$N$53,0))</f>
        <v>2.48507876042755E-2</v>
      </c>
      <c r="R45" s="14">
        <f t="array" ref="R45">INDEX($D$54:$N$521,MATCH(R$38&amp;$A45,$B$54:$B$521&amp;$C$54:$C$521,0),MATCH(R$36,$D$53:$N$53,0))</f>
        <v>0</v>
      </c>
      <c r="S45" s="14">
        <f t="array" ref="S45">INDEX($D$54:$N$521,MATCH(S$38&amp;$A45,$B$54:$B$521&amp;$C$54:$C$521,0),MATCH(S$36,$D$53:$N$53,0))</f>
        <v>0</v>
      </c>
      <c r="T45" s="14">
        <f t="array" ref="T45">INDEX($D$54:$N$521,MATCH(T$38&amp;$A45,$B$54:$B$521&amp;$C$54:$C$521,0),MATCH(T$36,$D$53:$N$53,0))</f>
        <v>4.1771300829995504</v>
      </c>
      <c r="U45" s="14">
        <f t="array" ref="U45">INDEX($D$54:$N$521,MATCH(U$38&amp;$A45,$B$54:$B$521&amp;$C$54:$C$521,0),MATCH(U$36,$D$53:$N$53,0))</f>
        <v>7.4565798215670904</v>
      </c>
      <c r="V45" s="14">
        <f t="array" ref="V45">INDEX($D$54:$N$521,MATCH(V$38&amp;$A45,$B$54:$B$521&amp;$C$54:$C$521,0),MATCH(V$36,$D$53:$N$53,0))</f>
        <v>2.2493698403731299</v>
      </c>
      <c r="W45" s="14">
        <f t="array" ref="W45">INDEX($D$54:$N$521,MATCH(W$38&amp;$A45,$B$54:$B$521&amp;$C$54:$C$521,0),MATCH(W$36,$D$53:$N$53,0))</f>
        <v>0</v>
      </c>
      <c r="X45" s="14" t="e">
        <f t="array" ref="X45">INDEX($D$54:$N$521,MATCH(X$38&amp;$A45,$B$54:$B$521&amp;$C$54:$C$521,0),MATCH(X$36,$D$53:$N$53,0))</f>
        <v>#N/A</v>
      </c>
      <c r="Y45" s="14" t="e">
        <f t="array" ref="Y45">INDEX($D$54:$N$521,MATCH(Y$38&amp;$A45,$B$54:$B$521&amp;$C$54:$C$521,0),MATCH(Y$36,$D$53:$N$53,0))</f>
        <v>#N/A</v>
      </c>
      <c r="Z45" s="14" t="e">
        <f t="array" ref="Z45">INDEX($D$54:$N$521,MATCH(Z$38&amp;$A45,$B$54:$B$521&amp;$C$54:$C$521,0),MATCH(Z$36,$D$53:$N$53,0))</f>
        <v>#N/A</v>
      </c>
    </row>
    <row r="46" spans="1:26" x14ac:dyDescent="0.3">
      <c r="A46" s="3" t="s">
        <v>70</v>
      </c>
      <c r="B46" s="14">
        <f t="array" ref="B46">INDEX($D$54:$N$521,MATCH(B$38&amp;$A46,$B$54:$B$521&amp;$C$54:$C$521,0),MATCH(B$36,$D$53:$N$53,0))</f>
        <v>82.719415916369499</v>
      </c>
      <c r="C46" s="14">
        <f t="array" ref="C46">INDEX($D$54:$N$521,MATCH(C$38&amp;$A46,$B$54:$B$521&amp;$C$54:$C$521,0),MATCH(C$36,$D$53:$N$53,0))</f>
        <v>197.52301711237249</v>
      </c>
      <c r="D46" s="14">
        <f t="array" ref="D46">INDEX($D$54:$N$521,MATCH(D$38&amp;$A46,$B$54:$B$521&amp;$C$54:$C$521,0),MATCH(D$36,$D$53:$N$53,0))</f>
        <v>269.40437900402969</v>
      </c>
      <c r="E46" s="14">
        <f t="array" ref="E46">INDEX($D$54:$N$521,MATCH(E$38&amp;$A46,$B$54:$B$521&amp;$C$54:$C$521,0),MATCH(E$36,$D$53:$N$53,0))</f>
        <v>401.65756364057171</v>
      </c>
      <c r="F46" s="14">
        <f t="array" ref="F46">INDEX($D$54:$N$521,MATCH(F$38&amp;$A46,$B$54:$B$521&amp;$C$54:$C$521,0),MATCH(F$36,$D$53:$N$53,0))</f>
        <v>742.22971713158609</v>
      </c>
      <c r="G46" s="14">
        <f t="array" ref="G46">INDEX($D$54:$N$521,MATCH(G$38&amp;$A46,$B$54:$B$521&amp;$C$54:$C$521,0),MATCH(G$36,$D$53:$N$53,0))</f>
        <v>401.65756364057171</v>
      </c>
      <c r="H46" s="14">
        <f t="array" ref="H46">INDEX($D$54:$N$521,MATCH(H$38&amp;$A46,$B$54:$B$521&amp;$C$54:$C$521,0),MATCH(H$36,$D$53:$N$53,0))</f>
        <v>768.10910564402639</v>
      </c>
      <c r="I46" s="14">
        <f t="array" ref="I46">INDEX($D$54:$N$521,MATCH(I$38&amp;$A46,$B$54:$B$521&amp;$C$54:$C$521,0),MATCH(I$36,$D$53:$N$53,0))</f>
        <v>401.65756364057171</v>
      </c>
      <c r="J46" s="14">
        <f t="array" ref="J46">INDEX($D$54:$N$521,MATCH(J$38&amp;$A46,$B$54:$B$521&amp;$C$54:$C$521,0),MATCH(J$36,$D$53:$N$53,0))</f>
        <v>740.43953054965323</v>
      </c>
      <c r="K46" s="14">
        <f t="array" ref="K46">INDEX($D$54:$N$521,MATCH(K$38&amp;$A46,$B$54:$B$521&amp;$C$54:$C$521,0),MATCH(K$36,$D$53:$N$53,0))</f>
        <v>401.65756364057171</v>
      </c>
      <c r="L46" s="14" t="e">
        <f t="array" ref="L46">INDEX($D$54:$N$521,MATCH(L$38&amp;$A46,$B$54:$B$521&amp;$C$54:$C$521,0),MATCH(L$36,$D$53:$N$53,0))</f>
        <v>#N/A</v>
      </c>
      <c r="M46" s="14" t="e">
        <f t="array" ref="M46">INDEX($D$54:$N$521,MATCH(M$38&amp;$A46,$B$54:$B$521&amp;$C$54:$C$521,0),MATCH(M$36,$D$53:$N$53,0))</f>
        <v>#N/A</v>
      </c>
      <c r="N46" s="14" t="e">
        <f t="array" ref="N46">INDEX($D$54:$N$521,MATCH(N$38&amp;$A46,$B$54:$B$521&amp;$C$54:$C$521,0),MATCH(N$36,$D$53:$N$53,0))</f>
        <v>#N/A</v>
      </c>
      <c r="O46" s="14">
        <f t="array" ref="O46">INDEX($D$54:$N$521,MATCH(O$38&amp;$A46,$B$54:$B$521&amp;$C$54:$C$521,0),MATCH(O$36,$D$53:$N$53,0))</f>
        <v>1295.8515966284031</v>
      </c>
      <c r="P46" s="14">
        <f t="array" ref="P46">INDEX($D$54:$N$521,MATCH(P$38&amp;$A46,$B$54:$B$521&amp;$C$54:$C$521,0),MATCH(P$36,$D$53:$N$53,0))</f>
        <v>1334.8823056976903</v>
      </c>
      <c r="Q46" s="14">
        <f t="array" ref="Q46">INDEX($D$54:$N$521,MATCH(Q$38&amp;$A46,$B$54:$B$521&amp;$C$54:$C$521,0),MATCH(Q$36,$D$53:$N$53,0))</f>
        <v>2510.7974973261212</v>
      </c>
      <c r="R46" s="14">
        <f t="array" ref="R46">INDEX($D$54:$N$521,MATCH(R$38&amp;$A46,$B$54:$B$521&amp;$C$54:$C$521,0),MATCH(R$36,$D$53:$N$53,0))</f>
        <v>2542.7813221887568</v>
      </c>
      <c r="S46" s="14">
        <f t="array" ref="S46">INDEX($D$54:$N$521,MATCH(S$38&amp;$A46,$B$54:$B$521&amp;$C$54:$C$521,0),MATCH(S$36,$D$53:$N$53,0))</f>
        <v>3222.2641899973542</v>
      </c>
      <c r="T46" s="14">
        <f t="array" ref="T46">INDEX($D$54:$N$521,MATCH(T$38&amp;$A46,$B$54:$B$521&amp;$C$54:$C$521,0),MATCH(T$36,$D$53:$N$53,0))</f>
        <v>5387.9584851718355</v>
      </c>
      <c r="U46" s="14">
        <f t="array" ref="U46">INDEX($D$54:$N$521,MATCH(U$38&amp;$A46,$B$54:$B$521&amp;$C$54:$C$521,0),MATCH(U$36,$D$53:$N$53,0))</f>
        <v>4846.3888195400159</v>
      </c>
      <c r="V46" s="14">
        <f t="array" ref="V46">INDEX($D$54:$N$521,MATCH(V$38&amp;$A46,$B$54:$B$521&amp;$C$54:$C$521,0),MATCH(V$36,$D$53:$N$53,0))</f>
        <v>2282.7818583624739</v>
      </c>
      <c r="W46" s="14">
        <f t="array" ref="W46">INDEX($D$54:$N$521,MATCH(W$38&amp;$A46,$B$54:$B$521&amp;$C$54:$C$521,0),MATCH(W$36,$D$53:$N$53,0))</f>
        <v>3569.1384606941183</v>
      </c>
      <c r="X46" s="14" t="e">
        <f t="array" ref="X46">INDEX($D$54:$N$521,MATCH(X$38&amp;$A46,$B$54:$B$521&amp;$C$54:$C$521,0),MATCH(X$36,$D$53:$N$53,0))</f>
        <v>#N/A</v>
      </c>
      <c r="Y46" s="14" t="e">
        <f t="array" ref="Y46">INDEX($D$54:$N$521,MATCH(Y$38&amp;$A46,$B$54:$B$521&amp;$C$54:$C$521,0),MATCH(Y$36,$D$53:$N$53,0))</f>
        <v>#N/A</v>
      </c>
      <c r="Z46" s="14" t="e">
        <f t="array" ref="Z46">INDEX($D$54:$N$521,MATCH(Z$38&amp;$A46,$B$54:$B$521&amp;$C$54:$C$521,0),MATCH(Z$36,$D$53:$N$53,0))</f>
        <v>#N/A</v>
      </c>
    </row>
    <row r="47" spans="1:26" x14ac:dyDescent="0.3">
      <c r="A47" s="3" t="s">
        <v>71</v>
      </c>
      <c r="B47" s="14">
        <f t="array" ref="B47">INDEX($D$54:$N$521,MATCH(B$38&amp;$A47,$B$54:$B$521&amp;$C$54:$C$521,0),MATCH(B$36,$D$53:$N$53,0))</f>
        <v>1.0352472304670233</v>
      </c>
      <c r="C47" s="14">
        <f t="array" ref="C47">INDEX($D$54:$N$521,MATCH(C$38&amp;$A47,$B$54:$B$521&amp;$C$54:$C$521,0),MATCH(C$36,$D$53:$N$53,0))</f>
        <v>10.614238269375846</v>
      </c>
      <c r="D47" s="14">
        <f t="array" ref="D47">INDEX($D$54:$N$521,MATCH(D$38&amp;$A47,$B$54:$B$521&amp;$C$54:$C$521,0),MATCH(D$36,$D$53:$N$53,0))</f>
        <v>10.614238269375846</v>
      </c>
      <c r="E47" s="14">
        <f t="array" ref="E47">INDEX($D$54:$N$521,MATCH(E$38&amp;$A47,$B$54:$B$521&amp;$C$54:$C$521,0),MATCH(E$36,$D$53:$N$53,0))</f>
        <v>10.613038269375846</v>
      </c>
      <c r="F47" s="14">
        <f t="array" ref="F47">INDEX($D$54:$N$521,MATCH(F$38&amp;$A47,$B$54:$B$521&amp;$C$54:$C$521,0),MATCH(F$36,$D$53:$N$53,0))</f>
        <v>10.612638265775848</v>
      </c>
      <c r="G47" s="14">
        <f t="array" ref="G47">INDEX($D$54:$N$521,MATCH(G$38&amp;$A47,$B$54:$B$521&amp;$C$54:$C$521,0),MATCH(G$36,$D$53:$N$53,0))</f>
        <v>10.613038269375846</v>
      </c>
      <c r="H47" s="14">
        <f t="array" ref="H47">INDEX($D$54:$N$521,MATCH(H$38&amp;$A47,$B$54:$B$521&amp;$C$54:$C$521,0),MATCH(H$36,$D$53:$N$53,0))</f>
        <v>15.815621965780913</v>
      </c>
      <c r="I47" s="14">
        <f t="array" ref="I47">INDEX($D$54:$N$521,MATCH(I$38&amp;$A47,$B$54:$B$521&amp;$C$54:$C$521,0),MATCH(I$36,$D$53:$N$53,0))</f>
        <v>10.613038269375846</v>
      </c>
      <c r="J47" s="14">
        <f t="array" ref="J47">INDEX($D$54:$N$521,MATCH(J$38&amp;$A47,$B$54:$B$521&amp;$C$54:$C$521,0),MATCH(J$36,$D$53:$N$53,0))</f>
        <v>10.612638265775848</v>
      </c>
      <c r="K47" s="14">
        <f t="array" ref="K47">INDEX($D$54:$N$521,MATCH(K$38&amp;$A47,$B$54:$B$521&amp;$C$54:$C$521,0),MATCH(K$36,$D$53:$N$53,0))</f>
        <v>10.613038269375846</v>
      </c>
      <c r="L47" s="14" t="e">
        <f t="array" ref="L47">INDEX($D$54:$N$521,MATCH(L$38&amp;$A47,$B$54:$B$521&amp;$C$54:$C$521,0),MATCH(L$36,$D$53:$N$53,0))</f>
        <v>#N/A</v>
      </c>
      <c r="M47" s="14" t="e">
        <f t="array" ref="M47">INDEX($D$54:$N$521,MATCH(M$38&amp;$A47,$B$54:$B$521&amp;$C$54:$C$521,0),MATCH(M$36,$D$53:$N$53,0))</f>
        <v>#N/A</v>
      </c>
      <c r="N47" s="14" t="e">
        <f t="array" ref="N47">INDEX($D$54:$N$521,MATCH(N$38&amp;$A47,$B$54:$B$521&amp;$C$54:$C$521,0),MATCH(N$36,$D$53:$N$53,0))</f>
        <v>#N/A</v>
      </c>
      <c r="O47" s="14">
        <f t="array" ref="O47">INDEX($D$54:$N$521,MATCH(O$38&amp;$A47,$B$54:$B$521&amp;$C$54:$C$521,0),MATCH(O$36,$D$53:$N$53,0))</f>
        <v>5.6511028676029573</v>
      </c>
      <c r="P47" s="14">
        <f t="array" ref="P47">INDEX($D$54:$N$521,MATCH(P$38&amp;$A47,$B$54:$B$521&amp;$C$54:$C$521,0),MATCH(P$36,$D$53:$N$53,0))</f>
        <v>5.6511028676029573</v>
      </c>
      <c r="Q47" s="14">
        <f t="array" ref="Q47">INDEX($D$54:$N$521,MATCH(Q$38&amp;$A47,$B$54:$B$521&amp;$C$54:$C$521,0),MATCH(Q$36,$D$53:$N$53,0))</f>
        <v>5.6474512027965913</v>
      </c>
      <c r="R47" s="14">
        <f t="array" ref="R47">INDEX($D$54:$N$521,MATCH(R$38&amp;$A47,$B$54:$B$521&amp;$C$54:$C$521,0),MATCH(R$36,$D$53:$N$53,0))</f>
        <v>5.6657599553605813</v>
      </c>
      <c r="S47" s="14">
        <f t="array" ref="S47">INDEX($D$54:$N$521,MATCH(S$38&amp;$A47,$B$54:$B$521&amp;$C$54:$C$521,0),MATCH(S$36,$D$53:$N$53,0))</f>
        <v>5.6512966655079877</v>
      </c>
      <c r="T47" s="14">
        <f t="array" ref="T47">INDEX($D$54:$N$521,MATCH(T$38&amp;$A47,$B$54:$B$521&amp;$C$54:$C$521,0),MATCH(T$36,$D$53:$N$53,0))</f>
        <v>135.41008566476367</v>
      </c>
      <c r="U47" s="14">
        <f t="array" ref="U47">INDEX($D$54:$N$521,MATCH(U$38&amp;$A47,$B$54:$B$521&amp;$C$54:$C$521,0),MATCH(U$36,$D$53:$N$53,0))</f>
        <v>29.83070254894427</v>
      </c>
      <c r="V47" s="14">
        <f t="array" ref="V47">INDEX($D$54:$N$521,MATCH(V$38&amp;$A47,$B$54:$B$521&amp;$C$54:$C$521,0),MATCH(V$36,$D$53:$N$53,0))</f>
        <v>6.6178107036657421</v>
      </c>
      <c r="W47" s="14">
        <f t="array" ref="W47">INDEX($D$54:$N$521,MATCH(W$38&amp;$A47,$B$54:$B$521&amp;$C$54:$C$521,0),MATCH(W$36,$D$53:$N$53,0))</f>
        <v>6.5635584138142473</v>
      </c>
      <c r="X47" s="14" t="e">
        <f t="array" ref="X47">INDEX($D$54:$N$521,MATCH(X$38&amp;$A47,$B$54:$B$521&amp;$C$54:$C$521,0),MATCH(X$36,$D$53:$N$53,0))</f>
        <v>#N/A</v>
      </c>
      <c r="Y47" s="14" t="e">
        <f t="array" ref="Y47">INDEX($D$54:$N$521,MATCH(Y$38&amp;$A47,$B$54:$B$521&amp;$C$54:$C$521,0),MATCH(Y$36,$D$53:$N$53,0))</f>
        <v>#N/A</v>
      </c>
      <c r="Z47" s="14" t="e">
        <f t="array" ref="Z47">INDEX($D$54:$N$521,MATCH(Z$38&amp;$A47,$B$54:$B$521&amp;$C$54:$C$521,0),MATCH(Z$36,$D$53:$N$53,0))</f>
        <v>#N/A</v>
      </c>
    </row>
    <row r="48" spans="1:26" x14ac:dyDescent="0.3">
      <c r="A48" s="3" t="s">
        <v>72</v>
      </c>
      <c r="B48" s="14">
        <f t="array" ref="B48">INDEX($D$54:$N$521,MATCH(B$38&amp;$A48,$B$54:$B$521&amp;$C$54:$C$521,0),MATCH(B$36,$D$53:$N$53,0))</f>
        <v>30.000000000000007</v>
      </c>
      <c r="C48" s="14">
        <f t="array" ref="C48">INDEX($D$54:$N$521,MATCH(C$38&amp;$A48,$B$54:$B$521&amp;$C$54:$C$521,0),MATCH(C$36,$D$53:$N$53,0))</f>
        <v>1147.1996204149011</v>
      </c>
      <c r="D48" s="14">
        <f t="array" ref="D48">INDEX($D$54:$N$521,MATCH(D$38&amp;$A48,$B$54:$B$521&amp;$C$54:$C$521,0),MATCH(D$36,$D$53:$N$53,0))</f>
        <v>1168.1088189864438</v>
      </c>
      <c r="E48" s="14">
        <f t="array" ref="E48">INDEX($D$54:$N$521,MATCH(E$38&amp;$A48,$B$54:$B$521&amp;$C$54:$C$521,0),MATCH(E$36,$D$53:$N$53,0))</f>
        <v>1203.724349327679</v>
      </c>
      <c r="F48" s="14">
        <f t="array" ref="F48">INDEX($D$54:$N$521,MATCH(F$38&amp;$A48,$B$54:$B$521&amp;$C$54:$C$521,0),MATCH(F$36,$D$53:$N$53,0))</f>
        <v>1338.2038416011876</v>
      </c>
      <c r="G48" s="14">
        <f t="array" ref="G48">INDEX($D$54:$N$521,MATCH(G$38&amp;$A48,$B$54:$B$521&amp;$C$54:$C$521,0),MATCH(G$36,$D$53:$N$53,0))</f>
        <v>1203.724349327679</v>
      </c>
      <c r="H48" s="14">
        <f t="array" ref="H48">INDEX($D$54:$N$521,MATCH(H$38&amp;$A48,$B$54:$B$521&amp;$C$54:$C$521,0),MATCH(H$36,$D$53:$N$53,0))</f>
        <v>1578.2302879462022</v>
      </c>
      <c r="I48" s="14">
        <f t="array" ref="I48">INDEX($D$54:$N$521,MATCH(I$38&amp;$A48,$B$54:$B$521&amp;$C$54:$C$521,0),MATCH(I$36,$D$53:$N$53,0))</f>
        <v>1203.724349327679</v>
      </c>
      <c r="J48" s="14">
        <f t="array" ref="J48">INDEX($D$54:$N$521,MATCH(J$38&amp;$A48,$B$54:$B$521&amp;$C$54:$C$521,0),MATCH(J$36,$D$53:$N$53,0))</f>
        <v>1430.9035690230371</v>
      </c>
      <c r="K48" s="14">
        <f t="array" ref="K48">INDEX($D$54:$N$521,MATCH(K$38&amp;$A48,$B$54:$B$521&amp;$C$54:$C$521,0),MATCH(K$36,$D$53:$N$53,0))</f>
        <v>1203.724349327679</v>
      </c>
      <c r="L48" s="14" t="e">
        <f t="array" ref="L48">INDEX($D$54:$N$521,MATCH(L$38&amp;$A48,$B$54:$B$521&amp;$C$54:$C$521,0),MATCH(L$36,$D$53:$N$53,0))</f>
        <v>#N/A</v>
      </c>
      <c r="M48" s="14" t="e">
        <f t="array" ref="M48">INDEX($D$54:$N$521,MATCH(M$38&amp;$A48,$B$54:$B$521&amp;$C$54:$C$521,0),MATCH(M$36,$D$53:$N$53,0))</f>
        <v>#N/A</v>
      </c>
      <c r="N48" s="14" t="e">
        <f t="array" ref="N48">INDEX($D$54:$N$521,MATCH(N$38&amp;$A48,$B$54:$B$521&amp;$C$54:$C$521,0),MATCH(N$36,$D$53:$N$53,0))</f>
        <v>#N/A</v>
      </c>
      <c r="O48" s="14">
        <f t="array" ref="O48">INDEX($D$54:$N$521,MATCH(O$38&amp;$A48,$B$54:$B$521&amp;$C$54:$C$521,0),MATCH(O$36,$D$53:$N$53,0))</f>
        <v>1883.7492959893732</v>
      </c>
      <c r="P48" s="14">
        <f t="array" ref="P48">INDEX($D$54:$N$521,MATCH(P$38&amp;$A48,$B$54:$B$521&amp;$C$54:$C$521,0),MATCH(P$36,$D$53:$N$53,0))</f>
        <v>1855.7082582521189</v>
      </c>
      <c r="Q48" s="14">
        <f t="array" ref="Q48">INDEX($D$54:$N$521,MATCH(Q$38&amp;$A48,$B$54:$B$521&amp;$C$54:$C$521,0),MATCH(Q$36,$D$53:$N$53,0))</f>
        <v>1995.2288515138034</v>
      </c>
      <c r="R48" s="14">
        <f t="array" ref="R48">INDEX($D$54:$N$521,MATCH(R$38&amp;$A48,$B$54:$B$521&amp;$C$54:$C$521,0),MATCH(R$36,$D$53:$N$53,0))</f>
        <v>2111.5608430961393</v>
      </c>
      <c r="S48" s="14">
        <f t="array" ref="S48">INDEX($D$54:$N$521,MATCH(S$38&amp;$A48,$B$54:$B$521&amp;$C$54:$C$521,0),MATCH(S$36,$D$53:$N$53,0))</f>
        <v>1958.7756565550242</v>
      </c>
      <c r="T48" s="14">
        <f t="array" ref="T48">INDEX($D$54:$N$521,MATCH(T$38&amp;$A48,$B$54:$B$521&amp;$C$54:$C$521,0),MATCH(T$36,$D$53:$N$53,0))</f>
        <v>5641.1153035616371</v>
      </c>
      <c r="U48" s="14">
        <f t="array" ref="U48">INDEX($D$54:$N$521,MATCH(U$38&amp;$A48,$B$54:$B$521&amp;$C$54:$C$521,0),MATCH(U$36,$D$53:$N$53,0))</f>
        <v>4372.7276933361236</v>
      </c>
      <c r="V48" s="14">
        <f t="array" ref="V48">INDEX($D$54:$N$521,MATCH(V$38&amp;$A48,$B$54:$B$521&amp;$C$54:$C$521,0),MATCH(V$36,$D$53:$N$53,0))</f>
        <v>2202.7410298458817</v>
      </c>
      <c r="W48" s="14">
        <f t="array" ref="W48">INDEX($D$54:$N$521,MATCH(W$38&amp;$A48,$B$54:$B$521&amp;$C$54:$C$521,0),MATCH(W$36,$D$53:$N$53,0))</f>
        <v>2419.0755157329691</v>
      </c>
      <c r="X48" s="14" t="e">
        <f t="array" ref="X48">INDEX($D$54:$N$521,MATCH(X$38&amp;$A48,$B$54:$B$521&amp;$C$54:$C$521,0),MATCH(X$36,$D$53:$N$53,0))</f>
        <v>#N/A</v>
      </c>
      <c r="Y48" s="14" t="e">
        <f t="array" ref="Y48">INDEX($D$54:$N$521,MATCH(Y$38&amp;$A48,$B$54:$B$521&amp;$C$54:$C$521,0),MATCH(Y$36,$D$53:$N$53,0))</f>
        <v>#N/A</v>
      </c>
      <c r="Z48" s="14" t="e">
        <f t="array" ref="Z48">INDEX($D$54:$N$521,MATCH(Z$38&amp;$A48,$B$54:$B$521&amp;$C$54:$C$521,0),MATCH(Z$36,$D$53:$N$53,0))</f>
        <v>#N/A</v>
      </c>
    </row>
    <row r="49" spans="1:26" x14ac:dyDescent="0.3">
      <c r="A49" s="3" t="s">
        <v>73</v>
      </c>
      <c r="B49" s="14">
        <f t="array" ref="B49">INDEX($D$54:$N$521,MATCH(B$38&amp;$A49,$B$54:$B$521&amp;$C$54:$C$521,0),MATCH(B$36,$D$53:$N$53,0))</f>
        <v>0</v>
      </c>
      <c r="C49" s="14">
        <f t="array" ref="C49">INDEX($D$54:$N$521,MATCH(C$38&amp;$A49,$B$54:$B$521&amp;$C$54:$C$521,0),MATCH(C$36,$D$53:$N$53,0))</f>
        <v>0</v>
      </c>
      <c r="D49" s="14">
        <f t="array" ref="D49">INDEX($D$54:$N$521,MATCH(D$38&amp;$A49,$B$54:$B$521&amp;$C$54:$C$521,0),MATCH(D$36,$D$53:$N$53,0))</f>
        <v>0</v>
      </c>
      <c r="E49" s="14">
        <f t="array" ref="E49">INDEX($D$54:$N$521,MATCH(E$38&amp;$A49,$B$54:$B$521&amp;$C$54:$C$521,0),MATCH(E$36,$D$53:$N$53,0))</f>
        <v>0</v>
      </c>
      <c r="F49" s="14">
        <f t="array" ref="F49">INDEX($D$54:$N$521,MATCH(F$38&amp;$A49,$B$54:$B$521&amp;$C$54:$C$521,0),MATCH(F$36,$D$53:$N$53,0))</f>
        <v>11.67655963802517</v>
      </c>
      <c r="G49" s="14">
        <f t="array" ref="G49">INDEX($D$54:$N$521,MATCH(G$38&amp;$A49,$B$54:$B$521&amp;$C$54:$C$521,0),MATCH(G$36,$D$53:$N$53,0))</f>
        <v>0</v>
      </c>
      <c r="H49" s="14">
        <f t="array" ref="H49">INDEX($D$54:$N$521,MATCH(H$38&amp;$A49,$B$54:$B$521&amp;$C$54:$C$521,0),MATCH(H$36,$D$53:$N$53,0))</f>
        <v>32.342658057001998</v>
      </c>
      <c r="I49" s="14">
        <f t="array" ref="I49">INDEX($D$54:$N$521,MATCH(I$38&amp;$A49,$B$54:$B$521&amp;$C$54:$C$521,0),MATCH(I$36,$D$53:$N$53,0))</f>
        <v>0</v>
      </c>
      <c r="J49" s="14">
        <f t="array" ref="J49">INDEX($D$54:$N$521,MATCH(J$38&amp;$A49,$B$54:$B$521&amp;$C$54:$C$521,0),MATCH(J$36,$D$53:$N$53,0))</f>
        <v>28.833284868841158</v>
      </c>
      <c r="K49" s="14">
        <f t="array" ref="K49">INDEX($D$54:$N$521,MATCH(K$38&amp;$A49,$B$54:$B$521&amp;$C$54:$C$521,0),MATCH(K$36,$D$53:$N$53,0))</f>
        <v>0</v>
      </c>
      <c r="L49" s="14" t="e">
        <f t="array" ref="L49">INDEX($D$54:$N$521,MATCH(L$38&amp;$A49,$B$54:$B$521&amp;$C$54:$C$521,0),MATCH(L$36,$D$53:$N$53,0))</f>
        <v>#N/A</v>
      </c>
      <c r="M49" s="14" t="e">
        <f t="array" ref="M49">INDEX($D$54:$N$521,MATCH(M$38&amp;$A49,$B$54:$B$521&amp;$C$54:$C$521,0),MATCH(M$36,$D$53:$N$53,0))</f>
        <v>#N/A</v>
      </c>
      <c r="N49" s="14" t="e">
        <f t="array" ref="N49">INDEX($D$54:$N$521,MATCH(N$38&amp;$A49,$B$54:$B$521&amp;$C$54:$C$521,0),MATCH(N$36,$D$53:$N$53,0))</f>
        <v>#N/A</v>
      </c>
      <c r="O49" s="14">
        <f t="array" ref="O49">INDEX($D$54:$N$521,MATCH(O$38&amp;$A49,$B$54:$B$521&amp;$C$54:$C$521,0),MATCH(O$36,$D$53:$N$53,0))</f>
        <v>0</v>
      </c>
      <c r="P49" s="14">
        <f t="array" ref="P49">INDEX($D$54:$N$521,MATCH(P$38&amp;$A49,$B$54:$B$521&amp;$C$54:$C$521,0),MATCH(P$36,$D$53:$N$53,0))</f>
        <v>0</v>
      </c>
      <c r="Q49" s="14">
        <f t="array" ref="Q49">INDEX($D$54:$N$521,MATCH(Q$38&amp;$A49,$B$54:$B$521&amp;$C$54:$C$521,0),MATCH(Q$36,$D$53:$N$53,0))</f>
        <v>0</v>
      </c>
      <c r="R49" s="14">
        <f t="array" ref="R49">INDEX($D$54:$N$521,MATCH(R$38&amp;$A49,$B$54:$B$521&amp;$C$54:$C$521,0),MATCH(R$36,$D$53:$N$53,0))</f>
        <v>222.17326833520923</v>
      </c>
      <c r="S49" s="14">
        <f t="array" ref="S49">INDEX($D$54:$N$521,MATCH(S$38&amp;$A49,$B$54:$B$521&amp;$C$54:$C$521,0),MATCH(S$36,$D$53:$N$53,0))</f>
        <v>126.87022238707949</v>
      </c>
      <c r="T49" s="14">
        <f t="array" ref="T49">INDEX($D$54:$N$521,MATCH(T$38&amp;$A49,$B$54:$B$521&amp;$C$54:$C$521,0),MATCH(T$36,$D$53:$N$53,0))</f>
        <v>1334.2423724623454</v>
      </c>
      <c r="U49" s="14">
        <f t="array" ref="U49">INDEX($D$54:$N$521,MATCH(U$38&amp;$A49,$B$54:$B$521&amp;$C$54:$C$521,0),MATCH(U$36,$D$53:$N$53,0))</f>
        <v>1983.3393075977708</v>
      </c>
      <c r="V49" s="14">
        <f t="array" ref="V49">INDEX($D$54:$N$521,MATCH(V$38&amp;$A49,$B$54:$B$521&amp;$C$54:$C$521,0),MATCH(V$36,$D$53:$N$53,0))</f>
        <v>611.62494756455817</v>
      </c>
      <c r="W49" s="14">
        <f t="array" ref="W49">INDEX($D$54:$N$521,MATCH(W$38&amp;$A49,$B$54:$B$521&amp;$C$54:$C$521,0),MATCH(W$36,$D$53:$N$53,0))</f>
        <v>544.86948992211842</v>
      </c>
      <c r="X49" s="14" t="e">
        <f t="array" ref="X49">INDEX($D$54:$N$521,MATCH(X$38&amp;$A49,$B$54:$B$521&amp;$C$54:$C$521,0),MATCH(X$36,$D$53:$N$53,0))</f>
        <v>#N/A</v>
      </c>
      <c r="Y49" s="14" t="e">
        <f t="array" ref="Y49">INDEX($D$54:$N$521,MATCH(Y$38&amp;$A49,$B$54:$B$521&amp;$C$54:$C$521,0),MATCH(Y$36,$D$53:$N$53,0))</f>
        <v>#N/A</v>
      </c>
      <c r="Z49" s="14" t="e">
        <f t="array" ref="Z49">INDEX($D$54:$N$521,MATCH(Z$38&amp;$A49,$B$54:$B$521&amp;$C$54:$C$521,0),MATCH(Z$36,$D$53:$N$53,0))</f>
        <v>#N/A</v>
      </c>
    </row>
    <row r="50" spans="1:26" x14ac:dyDescent="0.3">
      <c r="A50" s="3" t="s">
        <v>74</v>
      </c>
      <c r="B50" s="14">
        <f t="array" ref="B50">INDEX($D$54:$N$521,MATCH(B$38&amp;$A50,$B$54:$B$521&amp;$C$54:$C$521,0),MATCH(B$36,$D$53:$N$53,0))</f>
        <v>0</v>
      </c>
      <c r="C50" s="14">
        <f t="array" ref="C50">INDEX($D$54:$N$521,MATCH(C$38&amp;$A50,$B$54:$B$521&amp;$C$54:$C$521,0),MATCH(C$36,$D$53:$N$53,0))</f>
        <v>0</v>
      </c>
      <c r="D50" s="14">
        <f t="array" ref="D50">INDEX($D$54:$N$521,MATCH(D$38&amp;$A50,$B$54:$B$521&amp;$C$54:$C$521,0),MATCH(D$36,$D$53:$N$53,0))</f>
        <v>0</v>
      </c>
      <c r="E50" s="14">
        <f t="array" ref="E50">INDEX($D$54:$N$521,MATCH(E$38&amp;$A50,$B$54:$B$521&amp;$C$54:$C$521,0),MATCH(E$36,$D$53:$N$53,0))</f>
        <v>0</v>
      </c>
      <c r="F50" s="14">
        <f t="array" ref="F50">INDEX($D$54:$N$521,MATCH(F$38&amp;$A50,$B$54:$B$521&amp;$C$54:$C$521,0),MATCH(F$36,$D$53:$N$53,0))</f>
        <v>0</v>
      </c>
      <c r="G50" s="14">
        <f t="array" ref="G50">INDEX($D$54:$N$521,MATCH(G$38&amp;$A50,$B$54:$B$521&amp;$C$54:$C$521,0),MATCH(G$36,$D$53:$N$53,0))</f>
        <v>0</v>
      </c>
      <c r="H50" s="14">
        <f t="array" ref="H50">INDEX($D$54:$N$521,MATCH(H$38&amp;$A50,$B$54:$B$521&amp;$C$54:$C$521,0),MATCH(H$36,$D$53:$N$53,0))</f>
        <v>1.8153255363648859</v>
      </c>
      <c r="I50" s="14">
        <f t="array" ref="I50">INDEX($D$54:$N$521,MATCH(I$38&amp;$A50,$B$54:$B$521&amp;$C$54:$C$521,0),MATCH(I$36,$D$53:$N$53,0))</f>
        <v>0</v>
      </c>
      <c r="J50" s="14">
        <f t="array" ref="J50">INDEX($D$54:$N$521,MATCH(J$38&amp;$A50,$B$54:$B$521&amp;$C$54:$C$521,0),MATCH(J$36,$D$53:$N$53,0))</f>
        <v>2.2771989062244602</v>
      </c>
      <c r="K50" s="14">
        <f t="array" ref="K50">INDEX($D$54:$N$521,MATCH(K$38&amp;$A50,$B$54:$B$521&amp;$C$54:$C$521,0),MATCH(K$36,$D$53:$N$53,0))</f>
        <v>0</v>
      </c>
      <c r="L50" s="14" t="e">
        <f t="array" ref="L50">INDEX($D$54:$N$521,MATCH(L$38&amp;$A50,$B$54:$B$521&amp;$C$54:$C$521,0),MATCH(L$36,$D$53:$N$53,0))</f>
        <v>#N/A</v>
      </c>
      <c r="M50" s="14" t="e">
        <f t="array" ref="M50">INDEX($D$54:$N$521,MATCH(M$38&amp;$A50,$B$54:$B$521&amp;$C$54:$C$521,0),MATCH(M$36,$D$53:$N$53,0))</f>
        <v>#N/A</v>
      </c>
      <c r="N50" s="14" t="e">
        <f t="array" ref="N50">INDEX($D$54:$N$521,MATCH(N$38&amp;$A50,$B$54:$B$521&amp;$C$54:$C$521,0),MATCH(N$36,$D$53:$N$53,0))</f>
        <v>#N/A</v>
      </c>
      <c r="O50" s="14">
        <f t="array" ref="O50">INDEX($D$54:$N$521,MATCH(O$38&amp;$A50,$B$54:$B$521&amp;$C$54:$C$521,0),MATCH(O$36,$D$53:$N$53,0))</f>
        <v>0</v>
      </c>
      <c r="P50" s="14">
        <f t="array" ref="P50">INDEX($D$54:$N$521,MATCH(P$38&amp;$A50,$B$54:$B$521&amp;$C$54:$C$521,0),MATCH(P$36,$D$53:$N$53,0))</f>
        <v>0</v>
      </c>
      <c r="Q50" s="14">
        <f t="array" ref="Q50">INDEX($D$54:$N$521,MATCH(Q$38&amp;$A50,$B$54:$B$521&amp;$C$54:$C$521,0),MATCH(Q$36,$D$53:$N$53,0))</f>
        <v>0</v>
      </c>
      <c r="R50" s="14">
        <f t="array" ref="R50">INDEX($D$54:$N$521,MATCH(R$38&amp;$A50,$B$54:$B$521&amp;$C$54:$C$521,0),MATCH(R$36,$D$53:$N$53,0))</f>
        <v>3.12325533999502</v>
      </c>
      <c r="S50" s="14">
        <f t="array" ref="S50">INDEX($D$54:$N$521,MATCH(S$38&amp;$A50,$B$54:$B$521&amp;$C$54:$C$521,0),MATCH(S$36,$D$53:$N$53,0))</f>
        <v>6.1897035787358003</v>
      </c>
      <c r="T50" s="14">
        <f t="array" ref="T50">INDEX($D$54:$N$521,MATCH(T$38&amp;$A50,$B$54:$B$521&amp;$C$54:$C$521,0),MATCH(T$36,$D$53:$N$53,0))</f>
        <v>2066.1671618885011</v>
      </c>
      <c r="U50" s="14">
        <f t="array" ref="U50">INDEX($D$54:$N$521,MATCH(U$38&amp;$A50,$B$54:$B$521&amp;$C$54:$C$521,0),MATCH(U$36,$D$53:$N$53,0))</f>
        <v>855.71111158547035</v>
      </c>
      <c r="V50" s="14">
        <f t="array" ref="V50">INDEX($D$54:$N$521,MATCH(V$38&amp;$A50,$B$54:$B$521&amp;$C$54:$C$521,0),MATCH(V$36,$D$53:$N$53,0))</f>
        <v>154.5748630910611</v>
      </c>
      <c r="W50" s="14">
        <f t="array" ref="W50">INDEX($D$54:$N$521,MATCH(W$38&amp;$A50,$B$54:$B$521&amp;$C$54:$C$521,0),MATCH(W$36,$D$53:$N$53,0))</f>
        <v>19.460263888769802</v>
      </c>
      <c r="X50" s="14" t="e">
        <f t="array" ref="X50">INDEX($D$54:$N$521,MATCH(X$38&amp;$A50,$B$54:$B$521&amp;$C$54:$C$521,0),MATCH(X$36,$D$53:$N$53,0))</f>
        <v>#N/A</v>
      </c>
      <c r="Y50" s="14" t="e">
        <f t="array" ref="Y50">INDEX($D$54:$N$521,MATCH(Y$38&amp;$A50,$B$54:$B$521&amp;$C$54:$C$521,0),MATCH(Y$36,$D$53:$N$53,0))</f>
        <v>#N/A</v>
      </c>
      <c r="Z50" s="14" t="e">
        <f t="array" ref="Z50">INDEX($D$54:$N$521,MATCH(Z$38&amp;$A50,$B$54:$B$521&amp;$C$54:$C$521,0),MATCH(Z$36,$D$53:$N$53,0))</f>
        <v>#N/A</v>
      </c>
    </row>
    <row r="51" spans="1:26" ht="15" thickBot="1" x14ac:dyDescent="0.35"/>
    <row r="52" spans="1:26" s="15" customFormat="1" ht="15" thickBot="1" x14ac:dyDescent="0.35">
      <c r="A52" s="15" t="s">
        <v>198</v>
      </c>
      <c r="S52" s="16"/>
    </row>
    <row r="53" spans="1:26" x14ac:dyDescent="0.3">
      <c r="A53" s="3" t="s">
        <v>86</v>
      </c>
      <c r="B53" s="3" t="s">
        <v>8</v>
      </c>
      <c r="C53" s="3" t="s">
        <v>59</v>
      </c>
      <c r="D53" s="3">
        <v>2007</v>
      </c>
      <c r="E53" s="3">
        <v>2012</v>
      </c>
      <c r="F53" s="3">
        <v>2020</v>
      </c>
      <c r="G53" s="3">
        <v>2030</v>
      </c>
      <c r="H53" s="3">
        <v>2040</v>
      </c>
      <c r="I53" s="3">
        <v>2050</v>
      </c>
      <c r="J53" s="3">
        <v>2060</v>
      </c>
      <c r="K53" s="3">
        <v>2070</v>
      </c>
      <c r="L53" s="3">
        <v>2080</v>
      </c>
      <c r="M53" s="3">
        <v>2090</v>
      </c>
      <c r="N53" s="3">
        <v>2100</v>
      </c>
    </row>
    <row r="54" spans="1:26" x14ac:dyDescent="0.3">
      <c r="A54" s="3" t="str">
        <f>INDEX('R1. Scenario specifications'!$C$11:$C$49,MATCH($B54,'R1. Scenario specifications'!$A$11:$A$49,0))</f>
        <v>TIAM BAU - No Policy Action</v>
      </c>
      <c r="B54" s="3" t="s">
        <v>11</v>
      </c>
      <c r="C54" s="3" t="s">
        <v>63</v>
      </c>
      <c r="D54" s="14">
        <v>0</v>
      </c>
      <c r="E54" s="14">
        <v>8.3774952878671591</v>
      </c>
      <c r="F54" s="14">
        <v>56.247580085390425</v>
      </c>
      <c r="G54" s="14">
        <v>171.1474632370774</v>
      </c>
      <c r="H54" s="14">
        <v>108.68335282021883</v>
      </c>
      <c r="I54" s="14">
        <v>95.287161574065436</v>
      </c>
      <c r="J54" s="14">
        <v>221.32153320920227</v>
      </c>
      <c r="K54" s="14">
        <v>202.65752669550511</v>
      </c>
      <c r="L54" s="14">
        <v>194.32996076227877</v>
      </c>
      <c r="M54" s="14">
        <v>269.94802071542534</v>
      </c>
      <c r="N54" s="14">
        <v>159.00729703768729</v>
      </c>
    </row>
    <row r="55" spans="1:26" x14ac:dyDescent="0.3">
      <c r="A55" s="3" t="str">
        <f>INDEX('R1. Scenario specifications'!$C$11:$C$49,MATCH($B55,'R1. Scenario specifications'!$A$11:$A$49,0))</f>
        <v>TIAM BAU - No Policy Action</v>
      </c>
      <c r="B55" s="3" t="s">
        <v>11</v>
      </c>
      <c r="C55" s="3" t="s">
        <v>64</v>
      </c>
      <c r="D55" s="14">
        <v>545.32032761765083</v>
      </c>
      <c r="E55" s="14">
        <v>171.97506671901115</v>
      </c>
      <c r="F55" s="14">
        <v>135.795111377278</v>
      </c>
      <c r="G55" s="14">
        <v>333.56406109593973</v>
      </c>
      <c r="H55" s="14">
        <v>724.05754413934028</v>
      </c>
      <c r="I55" s="14">
        <v>760.36558275996595</v>
      </c>
      <c r="J55" s="14">
        <v>650.17418516877888</v>
      </c>
      <c r="K55" s="14">
        <v>797.10662015396599</v>
      </c>
      <c r="L55" s="14">
        <v>759.34978019180073</v>
      </c>
      <c r="M55" s="14">
        <v>697.13911138603135</v>
      </c>
      <c r="N55" s="14">
        <v>961.52114532267547</v>
      </c>
    </row>
    <row r="56" spans="1:26" x14ac:dyDescent="0.3">
      <c r="A56" s="3" t="str">
        <f>INDEX('R1. Scenario specifications'!$C$11:$C$49,MATCH($B56,'R1. Scenario specifications'!$A$11:$A$49,0))</f>
        <v>TIAM BAU - No Policy Action</v>
      </c>
      <c r="B56" s="3" t="s">
        <v>11</v>
      </c>
      <c r="C56" s="3" t="s">
        <v>65</v>
      </c>
      <c r="D56" s="14">
        <v>172.55578195052306</v>
      </c>
      <c r="E56" s="14">
        <v>625.93335166737552</v>
      </c>
      <c r="F56" s="14">
        <v>229.21177476498883</v>
      </c>
      <c r="G56" s="14">
        <v>28.313666681640001</v>
      </c>
      <c r="H56" s="14">
        <v>77.39069182787081</v>
      </c>
      <c r="I56" s="14">
        <v>206.99281238867439</v>
      </c>
      <c r="J56" s="14">
        <v>553.72897921110211</v>
      </c>
      <c r="K56" s="14">
        <v>177.59303630022362</v>
      </c>
      <c r="L56" s="14">
        <v>228.48984991480197</v>
      </c>
      <c r="M56" s="14">
        <v>582.79665612830536</v>
      </c>
      <c r="N56" s="14">
        <v>300.02521302914317</v>
      </c>
    </row>
    <row r="57" spans="1:26" x14ac:dyDescent="0.3">
      <c r="A57" s="3" t="str">
        <f>INDEX('R1. Scenario specifications'!$C$11:$C$49,MATCH($B57,'R1. Scenario specifications'!$A$11:$A$49,0))</f>
        <v>TIAM BAU - No Policy Action</v>
      </c>
      <c r="B57" s="3" t="s">
        <v>11</v>
      </c>
      <c r="C57" s="3" t="s">
        <v>66</v>
      </c>
      <c r="D57" s="14">
        <v>0.27881728888888901</v>
      </c>
      <c r="E57" s="14">
        <v>0.33361993333333301</v>
      </c>
      <c r="F57" s="14">
        <v>0.72575605555555633</v>
      </c>
      <c r="G57" s="14">
        <v>106.94534869449669</v>
      </c>
      <c r="H57" s="14">
        <v>80.77881475788115</v>
      </c>
      <c r="I57" s="14">
        <v>52.744990928380027</v>
      </c>
      <c r="J57" s="14">
        <v>4.2758456192421237</v>
      </c>
      <c r="K57" s="14">
        <v>106.94534869449669</v>
      </c>
      <c r="L57" s="14">
        <v>79.970124097114706</v>
      </c>
      <c r="M57" s="14">
        <v>51.232489582187888</v>
      </c>
      <c r="N57" s="14">
        <v>6.5970376262007235</v>
      </c>
    </row>
    <row r="58" spans="1:26" x14ac:dyDescent="0.3">
      <c r="A58" s="3" t="str">
        <f>INDEX('R1. Scenario specifications'!$C$11:$C$49,MATCH($B58,'R1. Scenario specifications'!$A$11:$A$49,0))</f>
        <v>TIAM BAU - No Policy Action</v>
      </c>
      <c r="B58" s="3" t="s">
        <v>11</v>
      </c>
      <c r="C58" s="3" t="s">
        <v>67</v>
      </c>
      <c r="D58" s="14">
        <v>154.73557777463142</v>
      </c>
      <c r="E58" s="14">
        <v>162.76418662806225</v>
      </c>
      <c r="F58" s="14">
        <v>28.734224282408206</v>
      </c>
      <c r="G58" s="14">
        <v>56.320636054805078</v>
      </c>
      <c r="H58" s="14">
        <v>123.41270030004166</v>
      </c>
      <c r="I58" s="14">
        <v>73.077329434524628</v>
      </c>
      <c r="J58" s="14">
        <v>32.996531759869768</v>
      </c>
      <c r="K58" s="14">
        <v>13.832915858467263</v>
      </c>
      <c r="L58" s="14">
        <v>11.37215133173345</v>
      </c>
      <c r="M58" s="14">
        <v>6.1018191720046735</v>
      </c>
      <c r="N58" s="14">
        <v>0</v>
      </c>
    </row>
    <row r="59" spans="1:26" x14ac:dyDescent="0.3">
      <c r="A59" s="3" t="str">
        <f>INDEX('R1. Scenario specifications'!$C$11:$C$49,MATCH($B59,'R1. Scenario specifications'!$A$11:$A$49,0))</f>
        <v>TIAM BAU - No Policy Action</v>
      </c>
      <c r="B59" s="3" t="s">
        <v>11</v>
      </c>
      <c r="C59" s="3" t="s">
        <v>68</v>
      </c>
      <c r="D59" s="14">
        <v>0</v>
      </c>
      <c r="E59" s="14">
        <v>0</v>
      </c>
      <c r="F59" s="14">
        <v>0</v>
      </c>
      <c r="G59" s="14">
        <v>21.055421266348525</v>
      </c>
      <c r="H59" s="14">
        <v>111.8086103441691</v>
      </c>
      <c r="I59" s="14">
        <v>476.06428234868918</v>
      </c>
      <c r="J59" s="14">
        <v>84.210809452494871</v>
      </c>
      <c r="K59" s="14">
        <v>113.15870467950843</v>
      </c>
      <c r="L59" s="14">
        <v>171.22384285856066</v>
      </c>
      <c r="M59" s="14">
        <v>512.000092162069</v>
      </c>
      <c r="N59" s="14">
        <v>0</v>
      </c>
    </row>
    <row r="60" spans="1:26" x14ac:dyDescent="0.3">
      <c r="A60" s="3" t="str">
        <f>INDEX('R1. Scenario specifications'!$C$11:$C$49,MATCH($B60,'R1. Scenario specifications'!$A$11:$A$49,0))</f>
        <v>TIAM BAU - No Policy Action</v>
      </c>
      <c r="B60" s="3" t="s">
        <v>11</v>
      </c>
      <c r="C60" s="3" t="s">
        <v>69</v>
      </c>
      <c r="D60" s="14">
        <v>68.24730636209857</v>
      </c>
      <c r="E60" s="14">
        <v>21.625867125843534</v>
      </c>
      <c r="F60" s="14">
        <v>0.53424150516706903</v>
      </c>
      <c r="G60" s="14">
        <v>6.7823109921478002</v>
      </c>
      <c r="H60" s="14">
        <v>25.543302218372538</v>
      </c>
      <c r="I60" s="14">
        <v>0</v>
      </c>
      <c r="J60" s="14">
        <v>6.463594290482706</v>
      </c>
      <c r="K60" s="14">
        <v>4.980735824582486</v>
      </c>
      <c r="L60" s="14">
        <v>12.717004628373729</v>
      </c>
      <c r="M60" s="14">
        <v>33.367618655260152</v>
      </c>
      <c r="N60" s="14">
        <v>69.88211911671776</v>
      </c>
    </row>
    <row r="61" spans="1:26" x14ac:dyDescent="0.3">
      <c r="A61" s="3" t="str">
        <f>INDEX('R1. Scenario specifications'!$C$11:$C$49,MATCH($B61,'R1. Scenario specifications'!$A$11:$A$49,0))</f>
        <v>TIAM BAU - No Policy Action</v>
      </c>
      <c r="B61" s="3" t="s">
        <v>11</v>
      </c>
      <c r="C61" s="3" t="s">
        <v>70</v>
      </c>
      <c r="D61" s="14">
        <v>12.637708883949241</v>
      </c>
      <c r="E61" s="14">
        <v>82.719415916369499</v>
      </c>
      <c r="F61" s="14">
        <v>146.58674163568557</v>
      </c>
      <c r="G61" s="14">
        <v>197.52301711237249</v>
      </c>
      <c r="H61" s="14">
        <v>965.93489797091013</v>
      </c>
      <c r="I61" s="14">
        <v>1295.8515966284031</v>
      </c>
      <c r="J61" s="14">
        <v>835.05191603059086</v>
      </c>
      <c r="K61" s="14">
        <v>1345.7160181319528</v>
      </c>
      <c r="L61" s="14">
        <v>1426.8584594644012</v>
      </c>
      <c r="M61" s="14">
        <v>1174.5847386365308</v>
      </c>
      <c r="N61" s="14">
        <v>1625.0096473723488</v>
      </c>
    </row>
    <row r="62" spans="1:26" x14ac:dyDescent="0.3">
      <c r="A62" s="3" t="str">
        <f>INDEX('R1. Scenario specifications'!$C$11:$C$49,MATCH($B62,'R1. Scenario specifications'!$A$11:$A$49,0))</f>
        <v>TIAM BAU - No Policy Action</v>
      </c>
      <c r="B62" s="3" t="s">
        <v>11</v>
      </c>
      <c r="C62" s="3" t="s">
        <v>71</v>
      </c>
      <c r="D62" s="14">
        <v>3.9388921868092472E-3</v>
      </c>
      <c r="E62" s="14">
        <v>1.0352472304670233</v>
      </c>
      <c r="F62" s="14">
        <v>1.7127397270953322</v>
      </c>
      <c r="G62" s="14">
        <v>10.614238269375846</v>
      </c>
      <c r="H62" s="14">
        <v>1.4607424436754484</v>
      </c>
      <c r="I62" s="14">
        <v>5.6511028676029573</v>
      </c>
      <c r="J62" s="14">
        <v>6.5929888916916877</v>
      </c>
      <c r="K62" s="14">
        <v>3.3016220996948946</v>
      </c>
      <c r="L62" s="14">
        <v>6.064885608136013</v>
      </c>
      <c r="M62" s="14">
        <v>5.147048792294239</v>
      </c>
      <c r="N62" s="14">
        <v>4.5155595805530382</v>
      </c>
    </row>
    <row r="63" spans="1:26" x14ac:dyDescent="0.3">
      <c r="A63" s="3" t="str">
        <f>INDEX('R1. Scenario specifications'!$C$11:$C$49,MATCH($B63,'R1. Scenario specifications'!$A$11:$A$49,0))</f>
        <v>TIAM BAU - No Policy Action</v>
      </c>
      <c r="B63" s="3" t="s">
        <v>11</v>
      </c>
      <c r="C63" s="3" t="s">
        <v>72</v>
      </c>
      <c r="D63" s="14">
        <v>164.94116315871048</v>
      </c>
      <c r="E63" s="14">
        <v>30.000000000000007</v>
      </c>
      <c r="F63" s="14">
        <v>129.99999999999994</v>
      </c>
      <c r="G63" s="14">
        <v>1147.1996204149011</v>
      </c>
      <c r="H63" s="14">
        <v>2265.2292646139026</v>
      </c>
      <c r="I63" s="14">
        <v>1883.7492959893732</v>
      </c>
      <c r="J63" s="14">
        <v>3166.7164359191447</v>
      </c>
      <c r="K63" s="14">
        <v>3129.338243144789</v>
      </c>
      <c r="L63" s="14">
        <v>3801.8229349679668</v>
      </c>
      <c r="M63" s="14">
        <v>4563.1220932867145</v>
      </c>
      <c r="N63" s="14">
        <v>4997.5821613782364</v>
      </c>
    </row>
    <row r="64" spans="1:26" x14ac:dyDescent="0.3">
      <c r="A64" s="3" t="str">
        <f>INDEX('R1. Scenario specifications'!$C$11:$C$49,MATCH($B64,'R1. Scenario specifications'!$A$11:$A$49,0))</f>
        <v>TIAM BAU - No Policy Action</v>
      </c>
      <c r="B64" s="3" t="s">
        <v>11</v>
      </c>
      <c r="C64" s="3" t="s">
        <v>73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</row>
    <row r="65" spans="1:14" x14ac:dyDescent="0.3">
      <c r="A65" s="3" t="str">
        <f>INDEX('R1. Scenario specifications'!$C$11:$C$49,MATCH($B65,'R1. Scenario specifications'!$A$11:$A$49,0))</f>
        <v>TIAM BAU - No Policy Action</v>
      </c>
      <c r="B65" s="3" t="s">
        <v>11</v>
      </c>
      <c r="C65" s="3" t="s">
        <v>74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</row>
    <row r="66" spans="1:14" x14ac:dyDescent="0.3">
      <c r="A66" s="3" t="str">
        <f>INDEX('R1. Scenario specifications'!$C$11:$C$49,MATCH($B66,'R1. Scenario specifications'!$A$11:$A$49,0))</f>
        <v>Vivid BAU - WEO Current Policies Scenario emissions pathway run through TIAM</v>
      </c>
      <c r="B66" s="3" t="s">
        <v>13</v>
      </c>
      <c r="C66" s="3" t="s">
        <v>63</v>
      </c>
      <c r="D66" s="14">
        <v>0</v>
      </c>
      <c r="E66" s="14">
        <v>9.0644992167259169</v>
      </c>
      <c r="F66" s="14">
        <v>91.189647450626339</v>
      </c>
      <c r="G66" s="14">
        <v>184.29555916387272</v>
      </c>
      <c r="H66" s="14">
        <v>78.591907077303688</v>
      </c>
      <c r="I66" s="14">
        <v>122.96382647529198</v>
      </c>
      <c r="J66" s="14">
        <v>217.36241344138537</v>
      </c>
      <c r="K66" s="14">
        <v>177.25737539178758</v>
      </c>
      <c r="L66" s="14">
        <v>226.30123918055838</v>
      </c>
      <c r="M66" s="14">
        <v>260.24756232915058</v>
      </c>
      <c r="N66" s="14">
        <v>122.34086322364651</v>
      </c>
    </row>
    <row r="67" spans="1:14" x14ac:dyDescent="0.3">
      <c r="A67" s="3" t="str">
        <f>INDEX('R1. Scenario specifications'!$C$11:$C$49,MATCH($B67,'R1. Scenario specifications'!$A$11:$A$49,0))</f>
        <v>Vivid BAU - WEO Current Policies Scenario emissions pathway run through TIAM</v>
      </c>
      <c r="B67" s="3" t="s">
        <v>13</v>
      </c>
      <c r="C67" s="3" t="s">
        <v>64</v>
      </c>
      <c r="D67" s="14">
        <v>493.81382132961619</v>
      </c>
      <c r="E67" s="14">
        <v>223.48157300728892</v>
      </c>
      <c r="F67" s="14">
        <v>0</v>
      </c>
      <c r="G67" s="14">
        <v>298.3894526868886</v>
      </c>
      <c r="H67" s="14">
        <v>820.95474505613629</v>
      </c>
      <c r="I67" s="14">
        <v>700.53385343188461</v>
      </c>
      <c r="J67" s="14">
        <v>622.81118111773208</v>
      </c>
      <c r="K67" s="14">
        <v>893.27763756540389</v>
      </c>
      <c r="L67" s="14">
        <v>689.20931663063948</v>
      </c>
      <c r="M67" s="14">
        <v>680.58728198464848</v>
      </c>
      <c r="N67" s="14">
        <v>1063.0843296507392</v>
      </c>
    </row>
    <row r="68" spans="1:14" x14ac:dyDescent="0.3">
      <c r="A68" s="3" t="str">
        <f>INDEX('R1. Scenario specifications'!$C$11:$C$49,MATCH($B68,'R1. Scenario specifications'!$A$11:$A$49,0))</f>
        <v>Vivid BAU - WEO Current Policies Scenario emissions pathway run through TIAM</v>
      </c>
      <c r="B68" s="3" t="s">
        <v>13</v>
      </c>
      <c r="C68" s="3" t="s">
        <v>65</v>
      </c>
      <c r="D68" s="14">
        <v>147.8474502707308</v>
      </c>
      <c r="E68" s="14">
        <v>640.83147944218024</v>
      </c>
      <c r="F68" s="14">
        <v>331.00755258751809</v>
      </c>
      <c r="G68" s="14">
        <v>9.9028665568190082</v>
      </c>
      <c r="H68" s="14">
        <v>102.8021671909393</v>
      </c>
      <c r="I68" s="14">
        <v>171.60186211871704</v>
      </c>
      <c r="J68" s="14">
        <v>556.60466253363234</v>
      </c>
      <c r="K68" s="14">
        <v>205.12213738453107</v>
      </c>
      <c r="L68" s="14">
        <v>201.02902247219885</v>
      </c>
      <c r="M68" s="14">
        <v>580.02849744447178</v>
      </c>
      <c r="N68" s="14">
        <v>335.1166375790005</v>
      </c>
    </row>
    <row r="69" spans="1:14" x14ac:dyDescent="0.3">
      <c r="A69" s="3" t="str">
        <f>INDEX('R1. Scenario specifications'!$C$11:$C$49,MATCH($B69,'R1. Scenario specifications'!$A$11:$A$49,0))</f>
        <v>Vivid BAU - WEO Current Policies Scenario emissions pathway run through TIAM</v>
      </c>
      <c r="B69" s="3" t="s">
        <v>13</v>
      </c>
      <c r="C69" s="3" t="s">
        <v>66</v>
      </c>
      <c r="D69" s="14">
        <v>0.350694888888889</v>
      </c>
      <c r="E69" s="14">
        <v>0.82604711111111073</v>
      </c>
      <c r="F69" s="14">
        <v>83.215127833333355</v>
      </c>
      <c r="G69" s="14">
        <v>49.662733746167476</v>
      </c>
      <c r="H69" s="14">
        <v>55.987544142721369</v>
      </c>
      <c r="I69" s="14">
        <v>54.693690443373761</v>
      </c>
      <c r="J69" s="14">
        <v>84.401031667737342</v>
      </c>
      <c r="K69" s="14">
        <v>49.662733746167476</v>
      </c>
      <c r="L69" s="14">
        <v>55.388141694322741</v>
      </c>
      <c r="M69" s="14">
        <v>52.501390443373758</v>
      </c>
      <c r="N69" s="14">
        <v>87.192734116135966</v>
      </c>
    </row>
    <row r="70" spans="1:14" x14ac:dyDescent="0.3">
      <c r="A70" s="3" t="str">
        <f>INDEX('R1. Scenario specifications'!$C$11:$C$49,MATCH($B70,'R1. Scenario specifications'!$A$11:$A$49,0))</f>
        <v>Vivid BAU - WEO Current Policies Scenario emissions pathway run through TIAM</v>
      </c>
      <c r="B70" s="3" t="s">
        <v>13</v>
      </c>
      <c r="C70" s="3" t="s">
        <v>67</v>
      </c>
      <c r="D70" s="14">
        <v>165.77655639903634</v>
      </c>
      <c r="E70" s="14">
        <v>190.75192845466552</v>
      </c>
      <c r="F70" s="14">
        <v>0.29144782655857304</v>
      </c>
      <c r="G70" s="14">
        <v>58.394851390360479</v>
      </c>
      <c r="H70" s="14">
        <v>111.7735318782703</v>
      </c>
      <c r="I70" s="14">
        <v>63.046726685744041</v>
      </c>
      <c r="J70" s="14">
        <v>34.043748856593396</v>
      </c>
      <c r="K70" s="14">
        <v>14.129284514145656</v>
      </c>
      <c r="L70" s="14">
        <v>10.432252235797506</v>
      </c>
      <c r="M70" s="14">
        <v>7.1557976494005944</v>
      </c>
      <c r="N70" s="14">
        <v>0</v>
      </c>
    </row>
    <row r="71" spans="1:14" x14ac:dyDescent="0.3">
      <c r="A71" s="3" t="str">
        <f>INDEX('R1. Scenario specifications'!$C$11:$C$49,MATCH($B71,'R1. Scenario specifications'!$A$11:$A$49,0))</f>
        <v>Vivid BAU - WEO Current Policies Scenario emissions pathway run through TIAM</v>
      </c>
      <c r="B71" s="3" t="s">
        <v>13</v>
      </c>
      <c r="C71" s="3" t="s">
        <v>68</v>
      </c>
      <c r="D71" s="14">
        <v>0</v>
      </c>
      <c r="E71" s="14">
        <v>0</v>
      </c>
      <c r="F71" s="14">
        <v>0</v>
      </c>
      <c r="G71" s="14">
        <v>20.185372472413331</v>
      </c>
      <c r="H71" s="14">
        <v>111.87778320310879</v>
      </c>
      <c r="I71" s="14">
        <v>476.86515828368448</v>
      </c>
      <c r="J71" s="14">
        <v>84.210809452494885</v>
      </c>
      <c r="K71" s="14">
        <v>112.28865588557323</v>
      </c>
      <c r="L71" s="14">
        <v>171.29301571750037</v>
      </c>
      <c r="M71" s="14">
        <v>512.80096809706424</v>
      </c>
      <c r="N71" s="14">
        <v>0</v>
      </c>
    </row>
    <row r="72" spans="1:14" x14ac:dyDescent="0.3">
      <c r="A72" s="3" t="str">
        <f>INDEX('R1. Scenario specifications'!$C$11:$C$49,MATCH($B72,'R1. Scenario specifications'!$A$11:$A$49,0))</f>
        <v>Vivid BAU - WEO Current Policies Scenario emissions pathway run through TIAM</v>
      </c>
      <c r="B72" s="3" t="s">
        <v>13</v>
      </c>
      <c r="C72" s="3" t="s">
        <v>69</v>
      </c>
      <c r="D72" s="14">
        <v>67.726408722268545</v>
      </c>
      <c r="E72" s="14">
        <v>22.146764765673584</v>
      </c>
      <c r="F72" s="14">
        <v>0.52848068012430804</v>
      </c>
      <c r="G72" s="14">
        <v>1.64466005415256</v>
      </c>
      <c r="H72" s="14">
        <v>8.4169645444973646</v>
      </c>
      <c r="I72" s="14">
        <v>0</v>
      </c>
      <c r="J72" s="14">
        <v>1.512740140362147</v>
      </c>
      <c r="K72" s="14">
        <v>5.0558490710064161</v>
      </c>
      <c r="L72" s="14">
        <v>12.192337091908765</v>
      </c>
      <c r="M72" s="14">
        <v>34.513042764658032</v>
      </c>
      <c r="N72" s="14">
        <v>69.186822816964636</v>
      </c>
    </row>
    <row r="73" spans="1:14" x14ac:dyDescent="0.3">
      <c r="A73" s="3" t="str">
        <f>INDEX('R1. Scenario specifications'!$C$11:$C$49,MATCH($B73,'R1. Scenario specifications'!$A$11:$A$49,0))</f>
        <v>Vivid BAU - WEO Current Policies Scenario emissions pathway run through TIAM</v>
      </c>
      <c r="B73" s="3" t="s">
        <v>13</v>
      </c>
      <c r="C73" s="3" t="s">
        <v>70</v>
      </c>
      <c r="D73" s="14">
        <v>12.637708883949241</v>
      </c>
      <c r="E73" s="14">
        <v>82.719415916369499</v>
      </c>
      <c r="F73" s="14">
        <v>141.65569413970599</v>
      </c>
      <c r="G73" s="14">
        <v>269.40437900402969</v>
      </c>
      <c r="H73" s="14">
        <v>894.05304424126189</v>
      </c>
      <c r="I73" s="14">
        <v>1334.8823056976903</v>
      </c>
      <c r="J73" s="14">
        <v>838.81023200113884</v>
      </c>
      <c r="K73" s="14">
        <v>1330.761141287413</v>
      </c>
      <c r="L73" s="14">
        <v>1437.3501758588636</v>
      </c>
      <c r="M73" s="14">
        <v>1156.9223168806325</v>
      </c>
      <c r="N73" s="14">
        <v>1627.1178441387804</v>
      </c>
    </row>
    <row r="74" spans="1:14" x14ac:dyDescent="0.3">
      <c r="A74" s="3" t="str">
        <f>INDEX('R1. Scenario specifications'!$C$11:$C$49,MATCH($B74,'R1. Scenario specifications'!$A$11:$A$49,0))</f>
        <v>Vivid BAU - WEO Current Policies Scenario emissions pathway run through TIAM</v>
      </c>
      <c r="B74" s="3" t="s">
        <v>13</v>
      </c>
      <c r="C74" s="3" t="s">
        <v>71</v>
      </c>
      <c r="D74" s="14">
        <v>3.9388921868092472E-3</v>
      </c>
      <c r="E74" s="14">
        <v>1.0352472304670233</v>
      </c>
      <c r="F74" s="14">
        <v>1.7127397270953322</v>
      </c>
      <c r="G74" s="14">
        <v>10.614238269375846</v>
      </c>
      <c r="H74" s="14">
        <v>1.4607424436754484</v>
      </c>
      <c r="I74" s="14">
        <v>5.6511028676029573</v>
      </c>
      <c r="J74" s="14">
        <v>6.5929888916916877</v>
      </c>
      <c r="K74" s="14">
        <v>3.3016220996948946</v>
      </c>
      <c r="L74" s="14">
        <v>6.064885608136013</v>
      </c>
      <c r="M74" s="14">
        <v>5.147048792294239</v>
      </c>
      <c r="N74" s="14">
        <v>4.5155595805530382</v>
      </c>
    </row>
    <row r="75" spans="1:14" x14ac:dyDescent="0.3">
      <c r="A75" s="3" t="str">
        <f>INDEX('R1. Scenario specifications'!$C$11:$C$49,MATCH($B75,'R1. Scenario specifications'!$A$11:$A$49,0))</f>
        <v>Vivid BAU - WEO Current Policies Scenario emissions pathway run through TIAM</v>
      </c>
      <c r="B75" s="3" t="s">
        <v>13</v>
      </c>
      <c r="C75" s="3" t="s">
        <v>72</v>
      </c>
      <c r="D75" s="14">
        <v>164.94116315871042</v>
      </c>
      <c r="E75" s="14">
        <v>30.000000000000028</v>
      </c>
      <c r="F75" s="14">
        <v>130.00000000002285</v>
      </c>
      <c r="G75" s="14">
        <v>1168.1088189864438</v>
      </c>
      <c r="H75" s="14">
        <v>2328.9482529360425</v>
      </c>
      <c r="I75" s="14">
        <v>1855.7082582521189</v>
      </c>
      <c r="J75" s="14">
        <v>3175.224057847377</v>
      </c>
      <c r="K75" s="14">
        <v>3156.3936023548727</v>
      </c>
      <c r="L75" s="14">
        <v>3762.6055536150702</v>
      </c>
      <c r="M75" s="14">
        <v>4594.8802743539563</v>
      </c>
      <c r="N75" s="14">
        <v>4993.1982559553189</v>
      </c>
    </row>
    <row r="76" spans="1:14" x14ac:dyDescent="0.3">
      <c r="A76" s="3" t="str">
        <f>INDEX('R1. Scenario specifications'!$C$11:$C$49,MATCH($B76,'R1. Scenario specifications'!$A$11:$A$49,0))</f>
        <v>Vivid BAU - WEO Current Policies Scenario emissions pathway run through TIAM</v>
      </c>
      <c r="B76" s="3" t="s">
        <v>13</v>
      </c>
      <c r="C76" s="3" t="s">
        <v>73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</row>
    <row r="77" spans="1:14" x14ac:dyDescent="0.3">
      <c r="A77" s="3" t="str">
        <f>INDEX('R1. Scenario specifications'!$C$11:$C$49,MATCH($B77,'R1. Scenario specifications'!$A$11:$A$49,0))</f>
        <v>Vivid BAU - WEO Current Policies Scenario emissions pathway run through TIAM</v>
      </c>
      <c r="B77" s="3" t="s">
        <v>13</v>
      </c>
      <c r="C77" s="3" t="s">
        <v>74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</row>
    <row r="78" spans="1:14" x14ac:dyDescent="0.3">
      <c r="A78" s="3" t="str">
        <f>INDEX('R1. Scenario specifications'!$C$11:$C$49,MATCH($B78,'R1. Scenario specifications'!$A$11:$A$49,0))</f>
        <v>Vivid Paris NDCs - WEO New Policies Scenario emissions pathway run through TIAM</v>
      </c>
      <c r="B78" s="3" t="s">
        <v>14</v>
      </c>
      <c r="C78" s="3" t="s">
        <v>63</v>
      </c>
      <c r="D78" s="14">
        <v>0</v>
      </c>
      <c r="E78" s="14">
        <v>8.3774952878671591</v>
      </c>
      <c r="F78" s="14">
        <v>93.789531468729919</v>
      </c>
      <c r="G78" s="14">
        <v>300.17967178830617</v>
      </c>
      <c r="H78" s="14">
        <v>123.69085521461687</v>
      </c>
      <c r="I78" s="14">
        <v>159.61721946029746</v>
      </c>
      <c r="J78" s="14">
        <v>381.75999262794642</v>
      </c>
      <c r="K78" s="14">
        <v>105.4740187061191</v>
      </c>
      <c r="L78" s="14">
        <v>168.31936100800223</v>
      </c>
      <c r="M78" s="14">
        <v>374.19420064351755</v>
      </c>
      <c r="N78" s="14">
        <v>71.867293598643343</v>
      </c>
    </row>
    <row r="79" spans="1:14" x14ac:dyDescent="0.3">
      <c r="A79" s="3" t="str">
        <f>INDEX('R1. Scenario specifications'!$C$11:$C$49,MATCH($B79,'R1. Scenario specifications'!$A$11:$A$49,0))</f>
        <v>Vivid Paris NDCs - WEO New Policies Scenario emissions pathway run through TIAM</v>
      </c>
      <c r="B79" s="3" t="s">
        <v>14</v>
      </c>
      <c r="C79" s="3" t="s">
        <v>73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</row>
    <row r="80" spans="1:14" x14ac:dyDescent="0.3">
      <c r="A80" s="3" t="str">
        <f>INDEX('R1. Scenario specifications'!$C$11:$C$49,MATCH($B80,'R1. Scenario specifications'!$A$11:$A$49,0))</f>
        <v>Vivid Paris NDCs - WEO New Policies Scenario emissions pathway run through TIAM</v>
      </c>
      <c r="B80" s="3" t="s">
        <v>14</v>
      </c>
      <c r="C80" s="3" t="s">
        <v>64</v>
      </c>
      <c r="D80" s="14">
        <v>545.32032761765083</v>
      </c>
      <c r="E80" s="14">
        <v>171.97506671901115</v>
      </c>
      <c r="F80" s="14">
        <v>0</v>
      </c>
      <c r="G80" s="14">
        <v>16.396787724521602</v>
      </c>
      <c r="H80" s="14">
        <v>638.03691486477715</v>
      </c>
      <c r="I80" s="14">
        <v>436.42957410824033</v>
      </c>
      <c r="J80" s="14">
        <v>203.57212210067607</v>
      </c>
      <c r="K80" s="14">
        <v>1057.4429619323889</v>
      </c>
      <c r="L80" s="14">
        <v>576.06789526498483</v>
      </c>
      <c r="M80" s="14">
        <v>323.34399417310857</v>
      </c>
      <c r="N80" s="14">
        <v>1218.7966892281099</v>
      </c>
    </row>
    <row r="81" spans="1:14" x14ac:dyDescent="0.3">
      <c r="A81" s="3" t="str">
        <f>INDEX('R1. Scenario specifications'!$C$11:$C$49,MATCH($B81,'R1. Scenario specifications'!$A$11:$A$49,0))</f>
        <v>Vivid Paris NDCs - WEO New Policies Scenario emissions pathway run through TIAM</v>
      </c>
      <c r="B81" s="3" t="s">
        <v>14</v>
      </c>
      <c r="C81" s="3" t="s">
        <v>65</v>
      </c>
      <c r="D81" s="14">
        <v>172.55578195052306</v>
      </c>
      <c r="E81" s="14">
        <v>625.93335166737552</v>
      </c>
      <c r="F81" s="14">
        <v>477.14024472244631</v>
      </c>
      <c r="G81" s="14">
        <v>16.783672963106241</v>
      </c>
      <c r="H81" s="14">
        <v>81.32674907464974</v>
      </c>
      <c r="I81" s="14">
        <v>217.91255421544568</v>
      </c>
      <c r="J81" s="14">
        <v>354.52657467662937</v>
      </c>
      <c r="K81" s="14">
        <v>198.49705102691419</v>
      </c>
      <c r="L81" s="14">
        <v>278.76853230112374</v>
      </c>
      <c r="M81" s="14">
        <v>383.24344842018331</v>
      </c>
      <c r="N81" s="14">
        <v>324.59707006156799</v>
      </c>
    </row>
    <row r="82" spans="1:14" x14ac:dyDescent="0.3">
      <c r="A82" s="3" t="str">
        <f>INDEX('R1. Scenario specifications'!$C$11:$C$49,MATCH($B82,'R1. Scenario specifications'!$A$11:$A$49,0))</f>
        <v>Vivid Paris NDCs - WEO New Policies Scenario emissions pathway run through TIAM</v>
      </c>
      <c r="B82" s="3" t="s">
        <v>14</v>
      </c>
      <c r="C82" s="3" t="s">
        <v>74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</row>
    <row r="83" spans="1:14" x14ac:dyDescent="0.3">
      <c r="A83" s="3" t="str">
        <f>INDEX('R1. Scenario specifications'!$C$11:$C$49,MATCH($B83,'R1. Scenario specifications'!$A$11:$A$49,0))</f>
        <v>Vivid Paris NDCs - WEO New Policies Scenario emissions pathway run through TIAM</v>
      </c>
      <c r="B83" s="3" t="s">
        <v>14</v>
      </c>
      <c r="C83" s="3" t="s">
        <v>66</v>
      </c>
      <c r="D83" s="14">
        <v>0.27881728888888901</v>
      </c>
      <c r="E83" s="14">
        <v>0.33361993333333301</v>
      </c>
      <c r="F83" s="14">
        <v>88.922972540092587</v>
      </c>
      <c r="G83" s="14">
        <v>53.162220652850131</v>
      </c>
      <c r="H83" s="14">
        <v>53.162220652850131</v>
      </c>
      <c r="I83" s="14">
        <v>53.424949068371383</v>
      </c>
      <c r="J83" s="14">
        <v>85.007143860928267</v>
      </c>
      <c r="K83" s="14">
        <v>53.162220652850131</v>
      </c>
      <c r="L83" s="14">
        <v>53.162220652850131</v>
      </c>
      <c r="M83" s="14">
        <v>51.617352003597873</v>
      </c>
      <c r="N83" s="14">
        <v>86.039820238022685</v>
      </c>
    </row>
    <row r="84" spans="1:14" x14ac:dyDescent="0.3">
      <c r="A84" s="3" t="str">
        <f>INDEX('R1. Scenario specifications'!$C$11:$C$49,MATCH($B84,'R1. Scenario specifications'!$A$11:$A$49,0))</f>
        <v>Vivid Paris NDCs - WEO New Policies Scenario emissions pathway run through TIAM</v>
      </c>
      <c r="B84" s="3" t="s">
        <v>14</v>
      </c>
      <c r="C84" s="3" t="s">
        <v>67</v>
      </c>
      <c r="D84" s="14">
        <v>154.73557777463142</v>
      </c>
      <c r="E84" s="14">
        <v>162.76418662806225</v>
      </c>
      <c r="F84" s="14">
        <v>90.613637816084008</v>
      </c>
      <c r="G84" s="14">
        <v>132.60270357542757</v>
      </c>
      <c r="H84" s="14">
        <v>102.78153925264377</v>
      </c>
      <c r="I84" s="14">
        <v>82.973048076858007</v>
      </c>
      <c r="J84" s="14">
        <v>24.685608531585231</v>
      </c>
      <c r="K84" s="14">
        <v>14.625732685186518</v>
      </c>
      <c r="L84" s="14">
        <v>8.9352498077406359</v>
      </c>
      <c r="M84" s="14">
        <v>5.8302552689419329</v>
      </c>
      <c r="N84" s="14">
        <v>3.4270974428132801</v>
      </c>
    </row>
    <row r="85" spans="1:14" x14ac:dyDescent="0.3">
      <c r="A85" s="3" t="str">
        <f>INDEX('R1. Scenario specifications'!$C$11:$C$49,MATCH($B85,'R1. Scenario specifications'!$A$11:$A$49,0))</f>
        <v>Vivid Paris NDCs - WEO New Policies Scenario emissions pathway run through TIAM</v>
      </c>
      <c r="B85" s="3" t="s">
        <v>14</v>
      </c>
      <c r="C85" s="3" t="s">
        <v>68</v>
      </c>
      <c r="D85" s="14">
        <v>0</v>
      </c>
      <c r="E85" s="14">
        <v>0</v>
      </c>
      <c r="F85" s="14">
        <v>0</v>
      </c>
      <c r="G85" s="14">
        <v>22.553218427439354</v>
      </c>
      <c r="H85" s="14">
        <v>186.26410316279109</v>
      </c>
      <c r="I85" s="14">
        <v>474.97659380392099</v>
      </c>
      <c r="J85" s="14">
        <v>33.946509918862105</v>
      </c>
      <c r="K85" s="14">
        <v>88.557402778196519</v>
      </c>
      <c r="L85" s="14">
        <v>245.67933567718279</v>
      </c>
      <c r="M85" s="14">
        <v>512.41020077839187</v>
      </c>
      <c r="N85" s="14">
        <v>0</v>
      </c>
    </row>
    <row r="86" spans="1:14" x14ac:dyDescent="0.3">
      <c r="A86" s="3" t="str">
        <f>INDEX('R1. Scenario specifications'!$C$11:$C$49,MATCH($B86,'R1. Scenario specifications'!$A$11:$A$49,0))</f>
        <v>Vivid Paris NDCs - WEO New Policies Scenario emissions pathway run through TIAM</v>
      </c>
      <c r="B86" s="3" t="s">
        <v>14</v>
      </c>
      <c r="C86" s="3" t="s">
        <v>69</v>
      </c>
      <c r="D86" s="14">
        <v>68.24730636209857</v>
      </c>
      <c r="E86" s="14">
        <v>21.625867125843534</v>
      </c>
      <c r="F86" s="14">
        <v>0.39656849116918491</v>
      </c>
      <c r="G86" s="14">
        <v>4.39481081527373</v>
      </c>
      <c r="H86" s="14">
        <v>8.4295834146538873</v>
      </c>
      <c r="I86" s="14">
        <v>2.48507876042755E-2</v>
      </c>
      <c r="J86" s="14">
        <v>6.6857973731335969</v>
      </c>
      <c r="K86" s="14">
        <v>5.1616467631627607</v>
      </c>
      <c r="L86" s="14">
        <v>12.339574992749652</v>
      </c>
      <c r="M86" s="14">
        <v>25.190721650930438</v>
      </c>
      <c r="N86" s="14">
        <v>61.58961873702718</v>
      </c>
    </row>
    <row r="87" spans="1:14" x14ac:dyDescent="0.3">
      <c r="A87" s="3" t="str">
        <f>INDEX('R1. Scenario specifications'!$C$11:$C$49,MATCH($B87,'R1. Scenario specifications'!$A$11:$A$49,0))</f>
        <v>Vivid Paris NDCs - WEO New Policies Scenario emissions pathway run through TIAM</v>
      </c>
      <c r="B87" s="3" t="s">
        <v>14</v>
      </c>
      <c r="C87" s="3" t="s">
        <v>70</v>
      </c>
      <c r="D87" s="14">
        <v>12.637708883949241</v>
      </c>
      <c r="E87" s="14">
        <v>82.719415916369499</v>
      </c>
      <c r="F87" s="14">
        <v>97.288686865313664</v>
      </c>
      <c r="G87" s="14">
        <v>401.65756364057171</v>
      </c>
      <c r="H87" s="14">
        <v>1168.9372299595984</v>
      </c>
      <c r="I87" s="14">
        <v>2510.7974973261212</v>
      </c>
      <c r="J87" s="14">
        <v>1174.354353084442</v>
      </c>
      <c r="K87" s="14">
        <v>1590.3685273071665</v>
      </c>
      <c r="L87" s="14">
        <v>2522.6714358343161</v>
      </c>
      <c r="M87" s="14">
        <v>1491.8996987854966</v>
      </c>
      <c r="N87" s="14">
        <v>1822.286775455713</v>
      </c>
    </row>
    <row r="88" spans="1:14" x14ac:dyDescent="0.3">
      <c r="A88" s="3" t="str">
        <f>INDEX('R1. Scenario specifications'!$C$11:$C$49,MATCH($B88,'R1. Scenario specifications'!$A$11:$A$49,0))</f>
        <v>Vivid Paris NDCs - WEO New Policies Scenario emissions pathway run through TIAM</v>
      </c>
      <c r="B88" s="3" t="s">
        <v>14</v>
      </c>
      <c r="C88" s="3" t="s">
        <v>71</v>
      </c>
      <c r="D88" s="14">
        <v>3.9388921868092472E-3</v>
      </c>
      <c r="E88" s="14">
        <v>1.0352472304670233</v>
      </c>
      <c r="F88" s="14">
        <v>1.710734171095331</v>
      </c>
      <c r="G88" s="14">
        <v>10.613038269375846</v>
      </c>
      <c r="H88" s="14">
        <v>1.4578613769255955</v>
      </c>
      <c r="I88" s="14">
        <v>5.6474512027965913</v>
      </c>
      <c r="J88" s="14">
        <v>6.5893173102114684</v>
      </c>
      <c r="K88" s="14">
        <v>3.2964142875174449</v>
      </c>
      <c r="L88" s="14">
        <v>6.0593464784528352</v>
      </c>
      <c r="M88" s="14">
        <v>5.1411023247537733</v>
      </c>
      <c r="N88" s="14">
        <v>4.5086062163002758</v>
      </c>
    </row>
    <row r="89" spans="1:14" x14ac:dyDescent="0.3">
      <c r="A89" s="3" t="str">
        <f>INDEX('R1. Scenario specifications'!$C$11:$C$49,MATCH($B89,'R1. Scenario specifications'!$A$11:$A$49,0))</f>
        <v>Vivid Paris NDCs - WEO New Policies Scenario emissions pathway run through TIAM</v>
      </c>
      <c r="B89" s="3" t="s">
        <v>14</v>
      </c>
      <c r="C89" s="3" t="s">
        <v>72</v>
      </c>
      <c r="D89" s="14">
        <v>164.94116315871048</v>
      </c>
      <c r="E89" s="14">
        <v>30.000000000000007</v>
      </c>
      <c r="F89" s="14">
        <v>130.00000000000006</v>
      </c>
      <c r="G89" s="14">
        <v>1203.724349327679</v>
      </c>
      <c r="H89" s="14">
        <v>2264.174555965194</v>
      </c>
      <c r="I89" s="14">
        <v>1995.2288515138034</v>
      </c>
      <c r="J89" s="14">
        <v>2939.4932591091365</v>
      </c>
      <c r="K89" s="14">
        <v>3175.7585678117525</v>
      </c>
      <c r="L89" s="14">
        <v>3907.5957019284006</v>
      </c>
      <c r="M89" s="14">
        <v>4477.9730500396099</v>
      </c>
      <c r="N89" s="14">
        <v>5091.8649634814619</v>
      </c>
    </row>
    <row r="90" spans="1:14" x14ac:dyDescent="0.3">
      <c r="A90" s="3" t="str">
        <f>INDEX('R1. Scenario specifications'!$C$11:$C$49,MATCH($B90,'R1. Scenario specifications'!$A$11:$A$49,0))</f>
        <v>Current 2DS, 2020 start, 'Expect the Unexpected'</v>
      </c>
      <c r="B90" s="3" t="s">
        <v>15</v>
      </c>
      <c r="C90" s="3" t="s">
        <v>63</v>
      </c>
      <c r="D90" s="14">
        <v>0</v>
      </c>
      <c r="E90" s="14">
        <v>8.3774952878671591</v>
      </c>
      <c r="F90" s="14">
        <v>93.789531468729919</v>
      </c>
      <c r="G90" s="14">
        <v>356.11487529324154</v>
      </c>
      <c r="H90" s="14">
        <v>99.169640860503804</v>
      </c>
      <c r="I90" s="14">
        <v>155.46894857885781</v>
      </c>
      <c r="J90" s="14">
        <v>28.750366579830697</v>
      </c>
      <c r="K90" s="14">
        <v>0</v>
      </c>
      <c r="L90" s="14">
        <v>6.1392172448600997</v>
      </c>
      <c r="M90" s="14">
        <v>0</v>
      </c>
      <c r="N90" s="14">
        <v>0</v>
      </c>
    </row>
    <row r="91" spans="1:14" x14ac:dyDescent="0.3">
      <c r="A91" s="3" t="str">
        <f>INDEX('R1. Scenario specifications'!$C$11:$C$49,MATCH($B91,'R1. Scenario specifications'!$A$11:$A$49,0))</f>
        <v>Current 2DS, 2020 start, 'Expect the Unexpected'</v>
      </c>
      <c r="B91" s="3" t="s">
        <v>15</v>
      </c>
      <c r="C91" s="3" t="s">
        <v>73</v>
      </c>
      <c r="D91" s="14">
        <v>0</v>
      </c>
      <c r="E91" s="14">
        <v>0</v>
      </c>
      <c r="F91" s="14">
        <v>0</v>
      </c>
      <c r="G91" s="14">
        <v>11.67655963802517</v>
      </c>
      <c r="H91" s="14">
        <v>50.764259196089725</v>
      </c>
      <c r="I91" s="14">
        <v>222.17326833520923</v>
      </c>
      <c r="J91" s="14">
        <v>884.85448547169221</v>
      </c>
      <c r="K91" s="14">
        <v>599.80102604245678</v>
      </c>
      <c r="L91" s="14">
        <v>1237.598706513606</v>
      </c>
      <c r="M91" s="14">
        <v>1107.4015427442255</v>
      </c>
      <c r="N91" s="14">
        <v>921.91927566362426</v>
      </c>
    </row>
    <row r="92" spans="1:14" x14ac:dyDescent="0.3">
      <c r="A92" s="3" t="str">
        <f>INDEX('R1. Scenario specifications'!$C$11:$C$49,MATCH($B92,'R1. Scenario specifications'!$A$11:$A$49,0))</f>
        <v>Current 2DS, 2020 start, 'Expect the Unexpected'</v>
      </c>
      <c r="B92" s="3" t="s">
        <v>15</v>
      </c>
      <c r="C92" s="3" t="s">
        <v>64</v>
      </c>
      <c r="D92" s="14">
        <v>545.32032761765083</v>
      </c>
      <c r="E92" s="14">
        <v>171.97506671901115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</row>
    <row r="93" spans="1:14" x14ac:dyDescent="0.3">
      <c r="A93" s="3" t="str">
        <f>INDEX('R1. Scenario specifications'!$C$11:$C$49,MATCH($B93,'R1. Scenario specifications'!$A$11:$A$49,0))</f>
        <v>Current 2DS, 2020 start, 'Expect the Unexpected'</v>
      </c>
      <c r="B93" s="3" t="s">
        <v>15</v>
      </c>
      <c r="C93" s="3" t="s">
        <v>65</v>
      </c>
      <c r="D93" s="14">
        <v>172.55578195052306</v>
      </c>
      <c r="E93" s="14">
        <v>625.93335166737552</v>
      </c>
      <c r="F93" s="14">
        <v>477.14024472244631</v>
      </c>
      <c r="G93" s="14">
        <v>58.789098582848126</v>
      </c>
      <c r="H93" s="14">
        <v>101.12480595174971</v>
      </c>
      <c r="I93" s="14">
        <v>508.85641472153429</v>
      </c>
      <c r="J93" s="14">
        <v>417.34476753774038</v>
      </c>
      <c r="K93" s="14">
        <v>98.43391353700693</v>
      </c>
      <c r="L93" s="14">
        <v>61.22479470597051</v>
      </c>
      <c r="M93" s="14">
        <v>104.83223114214724</v>
      </c>
      <c r="N93" s="14">
        <v>122.61010839240477</v>
      </c>
    </row>
    <row r="94" spans="1:14" x14ac:dyDescent="0.3">
      <c r="A94" s="3" t="str">
        <f>INDEX('R1. Scenario specifications'!$C$11:$C$49,MATCH($B94,'R1. Scenario specifications'!$A$11:$A$49,0))</f>
        <v>Current 2DS, 2020 start, 'Expect the Unexpected'</v>
      </c>
      <c r="B94" s="3" t="s">
        <v>15</v>
      </c>
      <c r="C94" s="3" t="s">
        <v>74</v>
      </c>
      <c r="D94" s="14">
        <v>0</v>
      </c>
      <c r="E94" s="14">
        <v>0</v>
      </c>
      <c r="F94" s="14">
        <v>0</v>
      </c>
      <c r="G94" s="14">
        <v>0</v>
      </c>
      <c r="H94" s="14">
        <v>2.0443244586804665</v>
      </c>
      <c r="I94" s="14">
        <v>3.12325533999502</v>
      </c>
      <c r="J94" s="14">
        <v>2.6202160291927603</v>
      </c>
      <c r="K94" s="14">
        <v>176.73396663367265</v>
      </c>
      <c r="L94" s="14">
        <v>793.5194335899198</v>
      </c>
      <c r="M94" s="14">
        <v>372.76958599922659</v>
      </c>
      <c r="N94" s="14">
        <v>205.62937719356131</v>
      </c>
    </row>
    <row r="95" spans="1:14" x14ac:dyDescent="0.3">
      <c r="A95" s="3" t="str">
        <f>INDEX('R1. Scenario specifications'!$C$11:$C$49,MATCH($B95,'R1. Scenario specifications'!$A$11:$A$49,0))</f>
        <v>Current 2DS, 2020 start, 'Expect the Unexpected'</v>
      </c>
      <c r="B95" s="3" t="s">
        <v>15</v>
      </c>
      <c r="C95" s="3" t="s">
        <v>66</v>
      </c>
      <c r="D95" s="14">
        <v>0.27881728888888901</v>
      </c>
      <c r="E95" s="14">
        <v>0.33361993333333301</v>
      </c>
      <c r="F95" s="14">
        <v>88.922972540092587</v>
      </c>
      <c r="G95" s="14">
        <v>53.53277898674402</v>
      </c>
      <c r="H95" s="14">
        <v>59.170445898494023</v>
      </c>
      <c r="I95" s="14">
        <v>207.07968598387023</v>
      </c>
      <c r="J95" s="14">
        <v>172.68684416776335</v>
      </c>
      <c r="K95" s="14">
        <v>52.410685315458771</v>
      </c>
      <c r="L95" s="14">
        <v>340.52293924022854</v>
      </c>
      <c r="M95" s="14">
        <v>301.83422586648402</v>
      </c>
      <c r="N95" s="14">
        <v>229.68861612429669</v>
      </c>
    </row>
    <row r="96" spans="1:14" x14ac:dyDescent="0.3">
      <c r="A96" s="3" t="str">
        <f>INDEX('R1. Scenario specifications'!$C$11:$C$49,MATCH($B96,'R1. Scenario specifications'!$A$11:$A$49,0))</f>
        <v>Current 2DS, 2020 start, 'Expect the Unexpected'</v>
      </c>
      <c r="B96" s="3" t="s">
        <v>15</v>
      </c>
      <c r="C96" s="3" t="s">
        <v>67</v>
      </c>
      <c r="D96" s="14">
        <v>154.73557777463142</v>
      </c>
      <c r="E96" s="14">
        <v>162.76418662806225</v>
      </c>
      <c r="F96" s="14">
        <v>90.613637816084008</v>
      </c>
      <c r="G96" s="14">
        <v>198.86448564473108</v>
      </c>
      <c r="H96" s="14">
        <v>214.91672876312597</v>
      </c>
      <c r="I96" s="14">
        <v>210.34071276155089</v>
      </c>
      <c r="J96" s="14">
        <v>134.00435846045022</v>
      </c>
      <c r="K96" s="14">
        <v>321.46547458620432</v>
      </c>
      <c r="L96" s="14">
        <v>736.91366681476791</v>
      </c>
      <c r="M96" s="14">
        <v>247.46335138816266</v>
      </c>
      <c r="N96" s="14">
        <v>27.274895517578436</v>
      </c>
    </row>
    <row r="97" spans="1:14" x14ac:dyDescent="0.3">
      <c r="A97" s="3" t="str">
        <f>INDEX('R1. Scenario specifications'!$C$11:$C$49,MATCH($B97,'R1. Scenario specifications'!$A$11:$A$49,0))</f>
        <v>Current 2DS, 2020 start, 'Expect the Unexpected'</v>
      </c>
      <c r="B97" s="3" t="s">
        <v>15</v>
      </c>
      <c r="C97" s="3" t="s">
        <v>68</v>
      </c>
      <c r="D97" s="14">
        <v>0</v>
      </c>
      <c r="E97" s="14">
        <v>0</v>
      </c>
      <c r="F97" s="14">
        <v>0</v>
      </c>
      <c r="G97" s="14">
        <v>74.412462999148872</v>
      </c>
      <c r="H97" s="14">
        <v>323.43658700405439</v>
      </c>
      <c r="I97" s="14">
        <v>664.0842237436035</v>
      </c>
      <c r="J97" s="14">
        <v>138.85048335760547</v>
      </c>
      <c r="K97" s="14">
        <v>152.5438504298202</v>
      </c>
      <c r="L97" s="14">
        <v>466.96747226023126</v>
      </c>
      <c r="M97" s="14">
        <v>721.10837035599798</v>
      </c>
      <c r="N97" s="14">
        <v>0</v>
      </c>
    </row>
    <row r="98" spans="1:14" x14ac:dyDescent="0.3">
      <c r="A98" s="3" t="str">
        <f>INDEX('R1. Scenario specifications'!$C$11:$C$49,MATCH($B98,'R1. Scenario specifications'!$A$11:$A$49,0))</f>
        <v>Current 2DS, 2020 start, 'Expect the Unexpected'</v>
      </c>
      <c r="B98" s="3" t="s">
        <v>15</v>
      </c>
      <c r="C98" s="3" t="s">
        <v>69</v>
      </c>
      <c r="D98" s="14">
        <v>68.24730636209857</v>
      </c>
      <c r="E98" s="14">
        <v>21.625867125843534</v>
      </c>
      <c r="F98" s="14">
        <v>0.39656849116918491</v>
      </c>
      <c r="G98" s="14">
        <v>2.2198454799124101</v>
      </c>
      <c r="H98" s="14">
        <v>19.774111921432983</v>
      </c>
      <c r="I98" s="14">
        <v>0</v>
      </c>
      <c r="J98" s="14">
        <v>11.849685859508408</v>
      </c>
      <c r="K98" s="14">
        <v>0</v>
      </c>
      <c r="L98" s="14">
        <v>86.078398497287822</v>
      </c>
      <c r="M98" s="14">
        <v>38.621080091178122</v>
      </c>
      <c r="N98" s="14">
        <v>122.61076894315428</v>
      </c>
    </row>
    <row r="99" spans="1:14" x14ac:dyDescent="0.3">
      <c r="A99" s="3" t="str">
        <f>INDEX('R1. Scenario specifications'!$C$11:$C$49,MATCH($B99,'R1. Scenario specifications'!$A$11:$A$49,0))</f>
        <v>Current 2DS, 2020 start, 'Expect the Unexpected'</v>
      </c>
      <c r="B99" s="3" t="s">
        <v>15</v>
      </c>
      <c r="C99" s="3" t="s">
        <v>70</v>
      </c>
      <c r="D99" s="14">
        <v>12.637708883949241</v>
      </c>
      <c r="E99" s="14">
        <v>82.719415916369499</v>
      </c>
      <c r="F99" s="14">
        <v>97.288686865313664</v>
      </c>
      <c r="G99" s="14">
        <v>742.22971713158609</v>
      </c>
      <c r="H99" s="14">
        <v>2257.2079652188249</v>
      </c>
      <c r="I99" s="14">
        <v>2542.7813221887568</v>
      </c>
      <c r="J99" s="14">
        <v>2221.6779028731894</v>
      </c>
      <c r="K99" s="14">
        <v>4348.8854391834539</v>
      </c>
      <c r="L99" s="14">
        <v>5777.1023346965558</v>
      </c>
      <c r="M99" s="14">
        <v>8784.190160397915</v>
      </c>
      <c r="N99" s="14">
        <v>6938.3545026074917</v>
      </c>
    </row>
    <row r="100" spans="1:14" x14ac:dyDescent="0.3">
      <c r="A100" s="3" t="str">
        <f>INDEX('R1. Scenario specifications'!$C$11:$C$49,MATCH($B100,'R1. Scenario specifications'!$A$11:$A$49,0))</f>
        <v>Current 2DS, 2020 start, 'Expect the Unexpected'</v>
      </c>
      <c r="B100" s="3" t="s">
        <v>15</v>
      </c>
      <c r="C100" s="3" t="s">
        <v>71</v>
      </c>
      <c r="D100" s="14">
        <v>3.9388921868092472E-3</v>
      </c>
      <c r="E100" s="14">
        <v>1.0352472304670233</v>
      </c>
      <c r="F100" s="14">
        <v>1.710734171095331</v>
      </c>
      <c r="G100" s="14">
        <v>10.612638265775848</v>
      </c>
      <c r="H100" s="14">
        <v>1.4617068396369914</v>
      </c>
      <c r="I100" s="14">
        <v>5.6657599553605813</v>
      </c>
      <c r="J100" s="14">
        <v>6.6796341150064906</v>
      </c>
      <c r="K100" s="14">
        <v>3.7337086311251122</v>
      </c>
      <c r="L100" s="14">
        <v>7.1353754155951723</v>
      </c>
      <c r="M100" s="14">
        <v>10.317593453164577</v>
      </c>
      <c r="N100" s="14">
        <v>5.2257049470913604</v>
      </c>
    </row>
    <row r="101" spans="1:14" x14ac:dyDescent="0.3">
      <c r="A101" s="3" t="str">
        <f>INDEX('R1. Scenario specifications'!$C$11:$C$49,MATCH($B101,'R1. Scenario specifications'!$A$11:$A$49,0))</f>
        <v>Current 2DS, 2020 start, 'Expect the Unexpected'</v>
      </c>
      <c r="B101" s="3" t="s">
        <v>15</v>
      </c>
      <c r="C101" s="3" t="s">
        <v>72</v>
      </c>
      <c r="D101" s="14">
        <v>164.94116315871048</v>
      </c>
      <c r="E101" s="14">
        <v>30.000000000000007</v>
      </c>
      <c r="F101" s="14">
        <v>130.00000000000006</v>
      </c>
      <c r="G101" s="14">
        <v>1338.2038416011876</v>
      </c>
      <c r="H101" s="14">
        <v>2071.4666170288306</v>
      </c>
      <c r="I101" s="14">
        <v>2111.5608430961393</v>
      </c>
      <c r="J101" s="14">
        <v>3282.7139606959549</v>
      </c>
      <c r="K101" s="14">
        <v>3657.9662478185783</v>
      </c>
      <c r="L101" s="14">
        <v>6073.4052950326177</v>
      </c>
      <c r="M101" s="14">
        <v>10384.111579307053</v>
      </c>
      <c r="N101" s="14">
        <v>9513.8407027674311</v>
      </c>
    </row>
    <row r="102" spans="1:14" x14ac:dyDescent="0.3">
      <c r="A102" s="3" t="str">
        <f>INDEX('R1. Scenario specifications'!$C$11:$C$49,MATCH($B102,'R1. Scenario specifications'!$A$11:$A$49,0))</f>
        <v>Current 2DS, 2030 start, 'Expect the Unexpected' but with cheap energy efficiency</v>
      </c>
      <c r="B102" s="3" t="s">
        <v>16</v>
      </c>
      <c r="C102" s="3" t="s">
        <v>63</v>
      </c>
      <c r="D102" s="14">
        <v>0</v>
      </c>
      <c r="E102" s="14">
        <v>8.3774952878671591</v>
      </c>
      <c r="F102" s="14">
        <v>93.789531468729919</v>
      </c>
      <c r="G102" s="14">
        <v>300.17967178830617</v>
      </c>
      <c r="H102" s="14">
        <v>111.25389498900701</v>
      </c>
      <c r="I102" s="14">
        <v>173.26476418811595</v>
      </c>
      <c r="J102" s="14">
        <v>47.783538494944494</v>
      </c>
      <c r="K102" s="14">
        <v>0</v>
      </c>
      <c r="L102" s="14">
        <v>5.9769489984535298</v>
      </c>
      <c r="M102" s="14">
        <v>0</v>
      </c>
      <c r="N102" s="14">
        <v>0</v>
      </c>
    </row>
    <row r="103" spans="1:14" x14ac:dyDescent="0.3">
      <c r="A103" s="3" t="str">
        <f>INDEX('R1. Scenario specifications'!$C$11:$C$49,MATCH($B103,'R1. Scenario specifications'!$A$11:$A$49,0))</f>
        <v>Current 2DS, 2030 start, 'Expect the Unexpected' but with cheap energy efficiency</v>
      </c>
      <c r="B103" s="3" t="s">
        <v>16</v>
      </c>
      <c r="C103" s="3" t="s">
        <v>73</v>
      </c>
      <c r="D103" s="14">
        <v>0</v>
      </c>
      <c r="E103" s="14">
        <v>0</v>
      </c>
      <c r="F103" s="14">
        <v>0</v>
      </c>
      <c r="G103" s="14">
        <v>0</v>
      </c>
      <c r="H103" s="14">
        <v>13.58671886165823</v>
      </c>
      <c r="I103" s="14">
        <v>74.750705773973451</v>
      </c>
      <c r="J103" s="14">
        <v>462.74885779747365</v>
      </c>
      <c r="K103" s="14">
        <v>1073.7193886996959</v>
      </c>
      <c r="L103" s="14">
        <v>727.56579257701139</v>
      </c>
      <c r="M103" s="14">
        <v>1064.8543049883938</v>
      </c>
      <c r="N103" s="14">
        <v>1416.0830969961505</v>
      </c>
    </row>
    <row r="104" spans="1:14" x14ac:dyDescent="0.3">
      <c r="A104" s="3" t="str">
        <f>INDEX('R1. Scenario specifications'!$C$11:$C$49,MATCH($B104,'R1. Scenario specifications'!$A$11:$A$49,0))</f>
        <v>Current 2DS, 2030 start, 'Expect the Unexpected' but with cheap energy efficiency</v>
      </c>
      <c r="B104" s="3" t="s">
        <v>16</v>
      </c>
      <c r="C104" s="3" t="s">
        <v>64</v>
      </c>
      <c r="D104" s="14">
        <v>545.32032761765083</v>
      </c>
      <c r="E104" s="14">
        <v>171.97506671901115</v>
      </c>
      <c r="F104" s="14">
        <v>0</v>
      </c>
      <c r="G104" s="14">
        <v>16.396787724521602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</row>
    <row r="105" spans="1:14" x14ac:dyDescent="0.3">
      <c r="A105" s="3" t="str">
        <f>INDEX('R1. Scenario specifications'!$C$11:$C$49,MATCH($B105,'R1. Scenario specifications'!$A$11:$A$49,0))</f>
        <v>Current 2DS, 2030 start, 'Expect the Unexpected' but with cheap energy efficiency</v>
      </c>
      <c r="B105" s="3" t="s">
        <v>16</v>
      </c>
      <c r="C105" s="3" t="s">
        <v>65</v>
      </c>
      <c r="D105" s="14">
        <v>172.55578195052306</v>
      </c>
      <c r="E105" s="14">
        <v>625.93335166737552</v>
      </c>
      <c r="F105" s="14">
        <v>477.14024472244631</v>
      </c>
      <c r="G105" s="14">
        <v>16.783672963106241</v>
      </c>
      <c r="H105" s="14">
        <v>129.381237626911</v>
      </c>
      <c r="I105" s="14">
        <v>282.46011052229022</v>
      </c>
      <c r="J105" s="14">
        <v>200.07083830407515</v>
      </c>
      <c r="K105" s="14">
        <v>141.84782684155942</v>
      </c>
      <c r="L105" s="14">
        <v>84.801342155403205</v>
      </c>
      <c r="M105" s="14">
        <v>60.568043264380009</v>
      </c>
      <c r="N105" s="14">
        <v>128.15865008960949</v>
      </c>
    </row>
    <row r="106" spans="1:14" x14ac:dyDescent="0.3">
      <c r="A106" s="3" t="str">
        <f>INDEX('R1. Scenario specifications'!$C$11:$C$49,MATCH($B106,'R1. Scenario specifications'!$A$11:$A$49,0))</f>
        <v>Current 2DS, 2030 start, 'Expect the Unexpected' but with cheap energy efficiency</v>
      </c>
      <c r="B106" s="3" t="s">
        <v>16</v>
      </c>
      <c r="C106" s="3" t="s">
        <v>74</v>
      </c>
      <c r="D106" s="14">
        <v>0</v>
      </c>
      <c r="E106" s="14">
        <v>0</v>
      </c>
      <c r="F106" s="14">
        <v>0</v>
      </c>
      <c r="G106" s="14">
        <v>0</v>
      </c>
      <c r="H106" s="14">
        <v>0.45728432071765002</v>
      </c>
      <c r="I106" s="14">
        <v>1.7714340120938701</v>
      </c>
      <c r="J106" s="14">
        <v>0</v>
      </c>
      <c r="K106" s="14">
        <v>74.389255691300818</v>
      </c>
      <c r="L106" s="14">
        <v>205.3892947846229</v>
      </c>
      <c r="M106" s="14">
        <v>91.869257442975737</v>
      </c>
      <c r="N106" s="14">
        <v>539.24327933875657</v>
      </c>
    </row>
    <row r="107" spans="1:14" x14ac:dyDescent="0.3">
      <c r="A107" s="3" t="str">
        <f>INDEX('R1. Scenario specifications'!$C$11:$C$49,MATCH($B107,'R1. Scenario specifications'!$A$11:$A$49,0))</f>
        <v>Current 2DS, 2030 start, 'Expect the Unexpected' but with cheap energy efficiency</v>
      </c>
      <c r="B107" s="3" t="s">
        <v>16</v>
      </c>
      <c r="C107" s="3" t="s">
        <v>66</v>
      </c>
      <c r="D107" s="14">
        <v>0.27881728888888901</v>
      </c>
      <c r="E107" s="14">
        <v>0.33361993333333301</v>
      </c>
      <c r="F107" s="14">
        <v>88.922972540092587</v>
      </c>
      <c r="G107" s="14">
        <v>53.162220652850131</v>
      </c>
      <c r="H107" s="14">
        <v>53.90333732063791</v>
      </c>
      <c r="I107" s="14">
        <v>143.99434970154377</v>
      </c>
      <c r="J107" s="14">
        <v>79.635872753163255</v>
      </c>
      <c r="K107" s="14">
        <v>50.506529352466792</v>
      </c>
      <c r="L107" s="14">
        <v>191.90532511872573</v>
      </c>
      <c r="M107" s="14">
        <v>303.52385856297127</v>
      </c>
      <c r="N107" s="14">
        <v>79.07937608607827</v>
      </c>
    </row>
    <row r="108" spans="1:14" x14ac:dyDescent="0.3">
      <c r="A108" s="3" t="str">
        <f>INDEX('R1. Scenario specifications'!$C$11:$C$49,MATCH($B108,'R1. Scenario specifications'!$A$11:$A$49,0))</f>
        <v>Current 2DS, 2030 start, 'Expect the Unexpected' but with cheap energy efficiency</v>
      </c>
      <c r="B108" s="3" t="s">
        <v>16</v>
      </c>
      <c r="C108" s="3" t="s">
        <v>67</v>
      </c>
      <c r="D108" s="14">
        <v>154.73557777463142</v>
      </c>
      <c r="E108" s="14">
        <v>162.76418662806225</v>
      </c>
      <c r="F108" s="14">
        <v>90.613637816084008</v>
      </c>
      <c r="G108" s="14">
        <v>132.60270357542757</v>
      </c>
      <c r="H108" s="14">
        <v>234.181611917363</v>
      </c>
      <c r="I108" s="14">
        <v>149.40971244926516</v>
      </c>
      <c r="J108" s="14">
        <v>47.487780364100267</v>
      </c>
      <c r="K108" s="14">
        <v>104.27521636498896</v>
      </c>
      <c r="L108" s="14">
        <v>564.26828986860824</v>
      </c>
      <c r="M108" s="14">
        <v>293.88516597473159</v>
      </c>
      <c r="N108" s="14">
        <v>96.707493760802265</v>
      </c>
    </row>
    <row r="109" spans="1:14" x14ac:dyDescent="0.3">
      <c r="A109" s="3" t="str">
        <f>INDEX('R1. Scenario specifications'!$C$11:$C$49,MATCH($B109,'R1. Scenario specifications'!$A$11:$A$49,0))</f>
        <v>Current 2DS, 2030 start, 'Expect the Unexpected' but with cheap energy efficiency</v>
      </c>
      <c r="B109" s="3" t="s">
        <v>16</v>
      </c>
      <c r="C109" s="3" t="s">
        <v>68</v>
      </c>
      <c r="D109" s="14">
        <v>0</v>
      </c>
      <c r="E109" s="14">
        <v>0</v>
      </c>
      <c r="F109" s="14">
        <v>0</v>
      </c>
      <c r="G109" s="14">
        <v>22.553218427439354</v>
      </c>
      <c r="H109" s="14">
        <v>313.9747540317594</v>
      </c>
      <c r="I109" s="14">
        <v>658.65997439306875</v>
      </c>
      <c r="J109" s="14">
        <v>124.43126792865665</v>
      </c>
      <c r="K109" s="14">
        <v>98.103691756383355</v>
      </c>
      <c r="L109" s="14">
        <v>527.77756755215728</v>
      </c>
      <c r="M109" s="14">
        <v>710.67270572180382</v>
      </c>
      <c r="N109" s="14">
        <v>0</v>
      </c>
    </row>
    <row r="110" spans="1:14" x14ac:dyDescent="0.3">
      <c r="A110" s="3" t="str">
        <f>INDEX('R1. Scenario specifications'!$C$11:$C$49,MATCH($B110,'R1. Scenario specifications'!$A$11:$A$49,0))</f>
        <v>Current 2DS, 2030 start, 'Expect the Unexpected' but with cheap energy efficiency</v>
      </c>
      <c r="B110" s="3" t="s">
        <v>16</v>
      </c>
      <c r="C110" s="3" t="s">
        <v>69</v>
      </c>
      <c r="D110" s="14">
        <v>68.24730636209857</v>
      </c>
      <c r="E110" s="14">
        <v>21.625867125843534</v>
      </c>
      <c r="F110" s="14">
        <v>0.39656849116918491</v>
      </c>
      <c r="G110" s="14">
        <v>4.39481081527373</v>
      </c>
      <c r="H110" s="14">
        <v>10.064412396312424</v>
      </c>
      <c r="I110" s="14">
        <v>0</v>
      </c>
      <c r="J110" s="14">
        <v>10.625347069254669</v>
      </c>
      <c r="K110" s="14">
        <v>1.1318438421233701</v>
      </c>
      <c r="L110" s="14">
        <v>45.566725809332738</v>
      </c>
      <c r="M110" s="14">
        <v>29.680422531119799</v>
      </c>
      <c r="N110" s="14">
        <v>76.296414407495604</v>
      </c>
    </row>
    <row r="111" spans="1:14" x14ac:dyDescent="0.3">
      <c r="A111" s="3" t="str">
        <f>INDEX('R1. Scenario specifications'!$C$11:$C$49,MATCH($B111,'R1. Scenario specifications'!$A$11:$A$49,0))</f>
        <v>Current 2DS, 2030 start, 'Expect the Unexpected' but with cheap energy efficiency</v>
      </c>
      <c r="B111" s="3" t="s">
        <v>16</v>
      </c>
      <c r="C111" s="3" t="s">
        <v>70</v>
      </c>
      <c r="D111" s="14">
        <v>12.637708883949241</v>
      </c>
      <c r="E111" s="14">
        <v>82.719415916369499</v>
      </c>
      <c r="F111" s="14">
        <v>97.288686865313664</v>
      </c>
      <c r="G111" s="14">
        <v>401.65756364057171</v>
      </c>
      <c r="H111" s="14">
        <v>1848.4163066563549</v>
      </c>
      <c r="I111" s="14">
        <v>2796.3978226465383</v>
      </c>
      <c r="J111" s="14">
        <v>1902.8423282142969</v>
      </c>
      <c r="K111" s="14">
        <v>3475.0506320364429</v>
      </c>
      <c r="L111" s="14">
        <v>4749.7507160458154</v>
      </c>
      <c r="M111" s="14">
        <v>6401.8523023036996</v>
      </c>
      <c r="N111" s="14">
        <v>6990.7496666634224</v>
      </c>
    </row>
    <row r="112" spans="1:14" x14ac:dyDescent="0.3">
      <c r="A112" s="3" t="str">
        <f>INDEX('R1. Scenario specifications'!$C$11:$C$49,MATCH($B112,'R1. Scenario specifications'!$A$11:$A$49,0))</f>
        <v>Current 2DS, 2030 start, 'Expect the Unexpected' but with cheap energy efficiency</v>
      </c>
      <c r="B112" s="3" t="s">
        <v>16</v>
      </c>
      <c r="C112" s="3" t="s">
        <v>71</v>
      </c>
      <c r="D112" s="14">
        <v>3.9388921868092472E-3</v>
      </c>
      <c r="E112" s="14">
        <v>1.0352472304670233</v>
      </c>
      <c r="F112" s="14">
        <v>1.710734171095331</v>
      </c>
      <c r="G112" s="14">
        <v>10.613038269375846</v>
      </c>
      <c r="H112" s="14">
        <v>1.4559584740198548</v>
      </c>
      <c r="I112" s="14">
        <v>5.6474512027965913</v>
      </c>
      <c r="J112" s="14">
        <v>6.5887148404878211</v>
      </c>
      <c r="K112" s="14">
        <v>3.296299517245604</v>
      </c>
      <c r="L112" s="14">
        <v>6.0628423398119491</v>
      </c>
      <c r="M112" s="14">
        <v>5.1403141077216059</v>
      </c>
      <c r="N112" s="14">
        <v>4.5096776433103836</v>
      </c>
    </row>
    <row r="113" spans="1:14" x14ac:dyDescent="0.3">
      <c r="A113" s="3" t="str">
        <f>INDEX('R1. Scenario specifications'!$C$11:$C$49,MATCH($B113,'R1. Scenario specifications'!$A$11:$A$49,0))</f>
        <v>Current 2DS, 2030 start, 'Expect the Unexpected' but with cheap energy efficiency</v>
      </c>
      <c r="B113" s="3" t="s">
        <v>16</v>
      </c>
      <c r="C113" s="3" t="s">
        <v>72</v>
      </c>
      <c r="D113" s="14">
        <v>164.94116315871048</v>
      </c>
      <c r="E113" s="14">
        <v>30.000000000000007</v>
      </c>
      <c r="F113" s="14">
        <v>130.00000000000006</v>
      </c>
      <c r="G113" s="14">
        <v>1203.724349327679</v>
      </c>
      <c r="H113" s="14">
        <v>2070.8979742430142</v>
      </c>
      <c r="I113" s="14">
        <v>1600.686906323001</v>
      </c>
      <c r="J113" s="14">
        <v>2801.4576356104521</v>
      </c>
      <c r="K113" s="14">
        <v>2931.8241015364642</v>
      </c>
      <c r="L113" s="14">
        <v>4565.3191727112235</v>
      </c>
      <c r="M113" s="14">
        <v>8039.9740519996421</v>
      </c>
      <c r="N113" s="14">
        <v>8676.8482012551867</v>
      </c>
    </row>
    <row r="114" spans="1:14" x14ac:dyDescent="0.3">
      <c r="A114" s="3" t="str">
        <f>INDEX('R1. Scenario specifications'!$C$11:$C$49,MATCH($B114,'R1. Scenario specifications'!$A$11:$A$49,0))</f>
        <v>Current 2DS, 2020 start, 'Expect the Unexpected' but with most conservative biomass CCS / NET technology cost assumptions</v>
      </c>
      <c r="B114" s="3" t="s">
        <v>17</v>
      </c>
      <c r="C114" s="3" t="s">
        <v>63</v>
      </c>
      <c r="D114" s="14">
        <v>0</v>
      </c>
      <c r="E114" s="14">
        <v>8.3774952878671591</v>
      </c>
      <c r="F114" s="14">
        <v>93.789531468729919</v>
      </c>
      <c r="G114" s="14">
        <v>348.89183081721808</v>
      </c>
      <c r="H114" s="14">
        <v>98.337007228145879</v>
      </c>
      <c r="I114" s="14">
        <v>152.73107683845654</v>
      </c>
      <c r="J114" s="14">
        <v>35.643419511165845</v>
      </c>
      <c r="K114" s="14">
        <v>0</v>
      </c>
      <c r="L114" s="14">
        <v>6.1280700484714004</v>
      </c>
      <c r="M114" s="14">
        <v>0</v>
      </c>
      <c r="N114" s="14">
        <v>0</v>
      </c>
    </row>
    <row r="115" spans="1:14" x14ac:dyDescent="0.3">
      <c r="A115" s="3" t="str">
        <f>INDEX('R1. Scenario specifications'!$C$11:$C$49,MATCH($B115,'R1. Scenario specifications'!$A$11:$A$49,0))</f>
        <v>Current 2DS, 2020 start, 'Expect the Unexpected' but with most conservative biomass CCS / NET technology cost assumptions</v>
      </c>
      <c r="B115" s="3" t="s">
        <v>17</v>
      </c>
      <c r="C115" s="3" t="s">
        <v>73</v>
      </c>
      <c r="D115" s="14">
        <v>0</v>
      </c>
      <c r="E115" s="14">
        <v>0</v>
      </c>
      <c r="F115" s="14">
        <v>0</v>
      </c>
      <c r="G115" s="14">
        <v>10.204324221831538</v>
      </c>
      <c r="H115" s="14">
        <v>44.194922016323957</v>
      </c>
      <c r="I115" s="14">
        <v>213.99527643128147</v>
      </c>
      <c r="J115" s="14">
        <v>913.28847164549859</v>
      </c>
      <c r="K115" s="14">
        <v>584.90195365497766</v>
      </c>
      <c r="L115" s="14">
        <v>1209.4600721445461</v>
      </c>
      <c r="M115" s="14">
        <v>1185.2820919020057</v>
      </c>
      <c r="N115" s="14">
        <v>842.32510140960426</v>
      </c>
    </row>
    <row r="116" spans="1:14" x14ac:dyDescent="0.3">
      <c r="A116" s="3" t="str">
        <f>INDEX('R1. Scenario specifications'!$C$11:$C$49,MATCH($B116,'R1. Scenario specifications'!$A$11:$A$49,0))</f>
        <v>Current 2DS, 2020 start, 'Expect the Unexpected' but with most conservative biomass CCS / NET technology cost assumptions</v>
      </c>
      <c r="B116" s="3" t="s">
        <v>17</v>
      </c>
      <c r="C116" s="3" t="s">
        <v>64</v>
      </c>
      <c r="D116" s="14">
        <v>545.32032761765083</v>
      </c>
      <c r="E116" s="14">
        <v>171.97506671901115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</row>
    <row r="117" spans="1:14" x14ac:dyDescent="0.3">
      <c r="A117" s="3" t="str">
        <f>INDEX('R1. Scenario specifications'!$C$11:$C$49,MATCH($B117,'R1. Scenario specifications'!$A$11:$A$49,0))</f>
        <v>Current 2DS, 2020 start, 'Expect the Unexpected' but with most conservative biomass CCS / NET technology cost assumptions</v>
      </c>
      <c r="B117" s="3" t="s">
        <v>17</v>
      </c>
      <c r="C117" s="3" t="s">
        <v>65</v>
      </c>
      <c r="D117" s="14">
        <v>172.55578195052306</v>
      </c>
      <c r="E117" s="14">
        <v>625.93335166737552</v>
      </c>
      <c r="F117" s="14">
        <v>477.14024472244631</v>
      </c>
      <c r="G117" s="14">
        <v>61.032435957060208</v>
      </c>
      <c r="H117" s="14">
        <v>103.39226391721431</v>
      </c>
      <c r="I117" s="14">
        <v>511.10580621298982</v>
      </c>
      <c r="J117" s="14">
        <v>418.40938737845238</v>
      </c>
      <c r="K117" s="14">
        <v>96.103228252628355</v>
      </c>
      <c r="L117" s="14">
        <v>60.470766278663461</v>
      </c>
      <c r="M117" s="14">
        <v>109.23363736693165</v>
      </c>
      <c r="N117" s="14">
        <v>119.05588777576256</v>
      </c>
    </row>
    <row r="118" spans="1:14" x14ac:dyDescent="0.3">
      <c r="A118" s="3" t="str">
        <f>INDEX('R1. Scenario specifications'!$C$11:$C$49,MATCH($B118,'R1. Scenario specifications'!$A$11:$A$49,0))</f>
        <v>Current 2DS, 2020 start, 'Expect the Unexpected' but with most conservative biomass CCS / NET technology cost assumptions</v>
      </c>
      <c r="B118" s="3" t="s">
        <v>17</v>
      </c>
      <c r="C118" s="3" t="s">
        <v>74</v>
      </c>
      <c r="D118" s="14">
        <v>0</v>
      </c>
      <c r="E118" s="14">
        <v>0</v>
      </c>
      <c r="F118" s="14">
        <v>0</v>
      </c>
      <c r="G118" s="14">
        <v>0</v>
      </c>
      <c r="H118" s="14">
        <v>1.8049249204857201</v>
      </c>
      <c r="I118" s="14">
        <v>1.72070340887466</v>
      </c>
      <c r="J118" s="14">
        <v>1.5686033354123641</v>
      </c>
      <c r="K118" s="14">
        <v>133.34130476131799</v>
      </c>
      <c r="L118" s="14">
        <v>873.14833838127481</v>
      </c>
      <c r="M118" s="14">
        <v>340.02027850493261</v>
      </c>
      <c r="N118" s="14">
        <v>183.66055407711323</v>
      </c>
    </row>
    <row r="119" spans="1:14" x14ac:dyDescent="0.3">
      <c r="A119" s="3" t="str">
        <f>INDEX('R1. Scenario specifications'!$C$11:$C$49,MATCH($B119,'R1. Scenario specifications'!$A$11:$A$49,0))</f>
        <v>Current 2DS, 2020 start, 'Expect the Unexpected' but with most conservative biomass CCS / NET technology cost assumptions</v>
      </c>
      <c r="B119" s="3" t="s">
        <v>17</v>
      </c>
      <c r="C119" s="3" t="s">
        <v>66</v>
      </c>
      <c r="D119" s="14">
        <v>0.27881728888888901</v>
      </c>
      <c r="E119" s="14">
        <v>0.33361993333333301</v>
      </c>
      <c r="F119" s="14">
        <v>88.922972540092587</v>
      </c>
      <c r="G119" s="14">
        <v>53.53277898674402</v>
      </c>
      <c r="H119" s="14">
        <v>59.170445898494023</v>
      </c>
      <c r="I119" s="14">
        <v>207.08887663116727</v>
      </c>
      <c r="J119" s="14">
        <v>154.36066891569905</v>
      </c>
      <c r="K119" s="14">
        <v>70.698775713739593</v>
      </c>
      <c r="L119" s="14">
        <v>340.53711528147284</v>
      </c>
      <c r="M119" s="14">
        <v>301.88636201741406</v>
      </c>
      <c r="N119" s="14">
        <v>212.05977612251337</v>
      </c>
    </row>
    <row r="120" spans="1:14" x14ac:dyDescent="0.3">
      <c r="A120" s="3" t="str">
        <f>INDEX('R1. Scenario specifications'!$C$11:$C$49,MATCH($B120,'R1. Scenario specifications'!$A$11:$A$49,0))</f>
        <v>Current 2DS, 2020 start, 'Expect the Unexpected' but with most conservative biomass CCS / NET technology cost assumptions</v>
      </c>
      <c r="B120" s="3" t="s">
        <v>17</v>
      </c>
      <c r="C120" s="3" t="s">
        <v>67</v>
      </c>
      <c r="D120" s="14">
        <v>154.73557777463142</v>
      </c>
      <c r="E120" s="14">
        <v>162.76418662806225</v>
      </c>
      <c r="F120" s="14">
        <v>90.613637816084008</v>
      </c>
      <c r="G120" s="14">
        <v>203.70816476702356</v>
      </c>
      <c r="H120" s="14">
        <v>210.07949021278091</v>
      </c>
      <c r="I120" s="14">
        <v>208.08639236606015</v>
      </c>
      <c r="J120" s="14">
        <v>173.59601603995716</v>
      </c>
      <c r="K120" s="14">
        <v>305.00187692630817</v>
      </c>
      <c r="L120" s="14">
        <v>707.65987375168481</v>
      </c>
      <c r="M120" s="14">
        <v>228.65972024452927</v>
      </c>
      <c r="N120" s="14">
        <v>27.274895517578447</v>
      </c>
    </row>
    <row r="121" spans="1:14" x14ac:dyDescent="0.3">
      <c r="A121" s="3" t="str">
        <f>INDEX('R1. Scenario specifications'!$C$11:$C$49,MATCH($B121,'R1. Scenario specifications'!$A$11:$A$49,0))</f>
        <v>Current 2DS, 2020 start, 'Expect the Unexpected' but with most conservative biomass CCS / NET technology cost assumptions</v>
      </c>
      <c r="B121" s="3" t="s">
        <v>17</v>
      </c>
      <c r="C121" s="3" t="s">
        <v>68</v>
      </c>
      <c r="D121" s="14">
        <v>0</v>
      </c>
      <c r="E121" s="14">
        <v>0</v>
      </c>
      <c r="F121" s="14">
        <v>0</v>
      </c>
      <c r="G121" s="14">
        <v>78.376186997119447</v>
      </c>
      <c r="H121" s="14">
        <v>325.49443151568863</v>
      </c>
      <c r="I121" s="14">
        <v>657.41898192367125</v>
      </c>
      <c r="J121" s="14">
        <v>139.68923506269334</v>
      </c>
      <c r="K121" s="14">
        <v>156.25655244725314</v>
      </c>
      <c r="L121" s="14">
        <v>469.74376961425992</v>
      </c>
      <c r="M121" s="14">
        <v>713.78061927944827</v>
      </c>
      <c r="N121" s="14">
        <v>0</v>
      </c>
    </row>
    <row r="122" spans="1:14" x14ac:dyDescent="0.3">
      <c r="A122" s="3" t="str">
        <f>INDEX('R1. Scenario specifications'!$C$11:$C$49,MATCH($B122,'R1. Scenario specifications'!$A$11:$A$49,0))</f>
        <v>Current 2DS, 2020 start, 'Expect the Unexpected' but with most conservative biomass CCS / NET technology cost assumptions</v>
      </c>
      <c r="B122" s="3" t="s">
        <v>17</v>
      </c>
      <c r="C122" s="3" t="s">
        <v>69</v>
      </c>
      <c r="D122" s="14">
        <v>68.24730636209857</v>
      </c>
      <c r="E122" s="14">
        <v>21.625867125843534</v>
      </c>
      <c r="F122" s="14">
        <v>0.39656849116918491</v>
      </c>
      <c r="G122" s="14">
        <v>2.2198454799124199</v>
      </c>
      <c r="H122" s="14">
        <v>19.852629193893698</v>
      </c>
      <c r="I122" s="14">
        <v>0</v>
      </c>
      <c r="J122" s="14">
        <v>12.0688993867437</v>
      </c>
      <c r="K122" s="14">
        <v>0</v>
      </c>
      <c r="L122" s="14">
        <v>82.02722129359509</v>
      </c>
      <c r="M122" s="14">
        <v>38.621000447262297</v>
      </c>
      <c r="N122" s="14">
        <v>121.80470876181099</v>
      </c>
    </row>
    <row r="123" spans="1:14" x14ac:dyDescent="0.3">
      <c r="A123" s="3" t="str">
        <f>INDEX('R1. Scenario specifications'!$C$11:$C$49,MATCH($B123,'R1. Scenario specifications'!$A$11:$A$49,0))</f>
        <v>Current 2DS, 2020 start, 'Expect the Unexpected' but with most conservative biomass CCS / NET technology cost assumptions</v>
      </c>
      <c r="B123" s="3" t="s">
        <v>17</v>
      </c>
      <c r="C123" s="3" t="s">
        <v>70</v>
      </c>
      <c r="D123" s="14">
        <v>12.637708883949241</v>
      </c>
      <c r="E123" s="14">
        <v>82.719415916369499</v>
      </c>
      <c r="F123" s="14">
        <v>97.288686865313664</v>
      </c>
      <c r="G123" s="14">
        <v>746.4544126011134</v>
      </c>
      <c r="H123" s="14">
        <v>2261.4333762989427</v>
      </c>
      <c r="I123" s="14">
        <v>2558.7060812406717</v>
      </c>
      <c r="J123" s="14">
        <v>2234.8905860847044</v>
      </c>
      <c r="K123" s="14">
        <v>4440.689901494271</v>
      </c>
      <c r="L123" s="14">
        <v>5645.6799086956817</v>
      </c>
      <c r="M123" s="14">
        <v>8744.0768243354105</v>
      </c>
      <c r="N123" s="14">
        <v>6981.3511850998457</v>
      </c>
    </row>
    <row r="124" spans="1:14" x14ac:dyDescent="0.3">
      <c r="A124" s="3" t="str">
        <f>INDEX('R1. Scenario specifications'!$C$11:$C$49,MATCH($B124,'R1. Scenario specifications'!$A$11:$A$49,0))</f>
        <v>Current 2DS, 2020 start, 'Expect the Unexpected' but with most conservative biomass CCS / NET technology cost assumptions</v>
      </c>
      <c r="B124" s="3" t="s">
        <v>17</v>
      </c>
      <c r="C124" s="3" t="s">
        <v>71</v>
      </c>
      <c r="D124" s="14">
        <v>3.9388921868092472E-3</v>
      </c>
      <c r="E124" s="14">
        <v>1.0352472304670233</v>
      </c>
      <c r="F124" s="14">
        <v>1.710734171095331</v>
      </c>
      <c r="G124" s="14">
        <v>10.612238265775847</v>
      </c>
      <c r="H124" s="14">
        <v>1.4597841082812935</v>
      </c>
      <c r="I124" s="14">
        <v>5.6563419905097163</v>
      </c>
      <c r="J124" s="14">
        <v>6.6341392993778499</v>
      </c>
      <c r="K124" s="14">
        <v>70.127422910705164</v>
      </c>
      <c r="L124" s="14">
        <v>21.862077523931841</v>
      </c>
      <c r="M124" s="14">
        <v>38.310619422785294</v>
      </c>
      <c r="N124" s="14">
        <v>48.921430993906242</v>
      </c>
    </row>
    <row r="125" spans="1:14" x14ac:dyDescent="0.3">
      <c r="A125" s="3" t="str">
        <f>INDEX('R1. Scenario specifications'!$C$11:$C$49,MATCH($B125,'R1. Scenario specifications'!$A$11:$A$49,0))</f>
        <v>Current 2DS, 2020 start, 'Expect the Unexpected' but with most conservative biomass CCS / NET technology cost assumptions</v>
      </c>
      <c r="B125" s="3" t="s">
        <v>17</v>
      </c>
      <c r="C125" s="3" t="s">
        <v>72</v>
      </c>
      <c r="D125" s="14">
        <v>164.94116315871048</v>
      </c>
      <c r="E125" s="14">
        <v>30.000000000000007</v>
      </c>
      <c r="F125" s="14">
        <v>130.00000000000006</v>
      </c>
      <c r="G125" s="14">
        <v>1358.0000868287536</v>
      </c>
      <c r="H125" s="14">
        <v>2081.1050262559352</v>
      </c>
      <c r="I125" s="14">
        <v>2112.2753259854508</v>
      </c>
      <c r="J125" s="14">
        <v>3282.4039081883639</v>
      </c>
      <c r="K125" s="14">
        <v>3686.3594224976819</v>
      </c>
      <c r="L125" s="14">
        <v>6094.2179070637349</v>
      </c>
      <c r="M125" s="14">
        <v>10410.218074637203</v>
      </c>
      <c r="N125" s="14">
        <v>9501.8592295500657</v>
      </c>
    </row>
    <row r="126" spans="1:14" x14ac:dyDescent="0.3">
      <c r="A126" s="3" t="str">
        <f>INDEX('R1. Scenario specifications'!$C$11:$C$49,MATCH($B126,'R1. Scenario specifications'!$A$11:$A$49,0))</f>
        <v>Current 2DS, 2030 start, 'Expect the Unexpected' but with most conservative biomass CCS / NET technology cost assumptions</v>
      </c>
      <c r="B126" s="3" t="s">
        <v>18</v>
      </c>
      <c r="C126" s="3" t="s">
        <v>63</v>
      </c>
      <c r="D126" s="14">
        <v>0</v>
      </c>
      <c r="E126" s="14">
        <v>8.3774952878671591</v>
      </c>
      <c r="F126" s="14">
        <v>93.789531468729919</v>
      </c>
      <c r="G126" s="14">
        <v>300.17967178830617</v>
      </c>
      <c r="H126" s="14">
        <v>182.85432890151168</v>
      </c>
      <c r="I126" s="14">
        <v>87.627652232818079</v>
      </c>
      <c r="J126" s="14">
        <v>62.00255047563715</v>
      </c>
      <c r="K126" s="14">
        <v>0</v>
      </c>
      <c r="L126" s="14">
        <v>6.1410339106256302</v>
      </c>
      <c r="M126" s="14">
        <v>0</v>
      </c>
      <c r="N126" s="14">
        <v>0</v>
      </c>
    </row>
    <row r="127" spans="1:14" x14ac:dyDescent="0.3">
      <c r="A127" s="3" t="str">
        <f>INDEX('R1. Scenario specifications'!$C$11:$C$49,MATCH($B127,'R1. Scenario specifications'!$A$11:$A$49,0))</f>
        <v>Current 2DS, 2030 start, 'Expect the Unexpected' but with most conservative biomass CCS / NET technology cost assumptions</v>
      </c>
      <c r="B127" s="3" t="s">
        <v>18</v>
      </c>
      <c r="C127" s="3" t="s">
        <v>73</v>
      </c>
      <c r="D127" s="14">
        <v>0</v>
      </c>
      <c r="E127" s="14">
        <v>0</v>
      </c>
      <c r="F127" s="14">
        <v>0</v>
      </c>
      <c r="G127" s="14">
        <v>0</v>
      </c>
      <c r="H127" s="14">
        <v>21.236567164642679</v>
      </c>
      <c r="I127" s="14">
        <v>122.20542441495201</v>
      </c>
      <c r="J127" s="14">
        <v>693.53193417493264</v>
      </c>
      <c r="K127" s="14">
        <v>1043.9893739230786</v>
      </c>
      <c r="L127" s="14">
        <v>1139.9519899430479</v>
      </c>
      <c r="M127" s="14">
        <v>688.61368502485493</v>
      </c>
      <c r="N127" s="14">
        <v>1659.347548730776</v>
      </c>
    </row>
    <row r="128" spans="1:14" x14ac:dyDescent="0.3">
      <c r="A128" s="3" t="str">
        <f>INDEX('R1. Scenario specifications'!$C$11:$C$49,MATCH($B128,'R1. Scenario specifications'!$A$11:$A$49,0))</f>
        <v>Current 2DS, 2030 start, 'Expect the Unexpected' but with most conservative biomass CCS / NET technology cost assumptions</v>
      </c>
      <c r="B128" s="3" t="s">
        <v>18</v>
      </c>
      <c r="C128" s="3" t="s">
        <v>64</v>
      </c>
      <c r="D128" s="14">
        <v>545.32032761765083</v>
      </c>
      <c r="E128" s="14">
        <v>171.97506671901115</v>
      </c>
      <c r="F128" s="14">
        <v>0</v>
      </c>
      <c r="G128" s="14">
        <v>16.396787724521602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</row>
    <row r="129" spans="1:14" x14ac:dyDescent="0.3">
      <c r="A129" s="3" t="str">
        <f>INDEX('R1. Scenario specifications'!$C$11:$C$49,MATCH($B129,'R1. Scenario specifications'!$A$11:$A$49,0))</f>
        <v>Current 2DS, 2030 start, 'Expect the Unexpected' but with most conservative biomass CCS / NET technology cost assumptions</v>
      </c>
      <c r="B129" s="3" t="s">
        <v>18</v>
      </c>
      <c r="C129" s="3" t="s">
        <v>65</v>
      </c>
      <c r="D129" s="14">
        <v>172.55578195052306</v>
      </c>
      <c r="E129" s="14">
        <v>625.93335166737552</v>
      </c>
      <c r="F129" s="14">
        <v>477.14024472244631</v>
      </c>
      <c r="G129" s="14">
        <v>16.783672963106241</v>
      </c>
      <c r="H129" s="14">
        <v>160.44487895727679</v>
      </c>
      <c r="I129" s="14">
        <v>519.6133462680524</v>
      </c>
      <c r="J129" s="14">
        <v>343.64402607770791</v>
      </c>
      <c r="K129" s="14">
        <v>84.314240266876112</v>
      </c>
      <c r="L129" s="14">
        <v>87.866984060965748</v>
      </c>
      <c r="M129" s="14">
        <v>72.001349773050663</v>
      </c>
      <c r="N129" s="14">
        <v>155.88725774560083</v>
      </c>
    </row>
    <row r="130" spans="1:14" x14ac:dyDescent="0.3">
      <c r="A130" s="3" t="str">
        <f>INDEX('R1. Scenario specifications'!$C$11:$C$49,MATCH($B130,'R1. Scenario specifications'!$A$11:$A$49,0))</f>
        <v>Current 2DS, 2030 start, 'Expect the Unexpected' but with most conservative biomass CCS / NET technology cost assumptions</v>
      </c>
      <c r="B130" s="3" t="s">
        <v>18</v>
      </c>
      <c r="C130" s="3" t="s">
        <v>74</v>
      </c>
      <c r="D130" s="14">
        <v>0</v>
      </c>
      <c r="E130" s="14">
        <v>0</v>
      </c>
      <c r="F130" s="14">
        <v>0</v>
      </c>
      <c r="G130" s="14">
        <v>0</v>
      </c>
      <c r="H130" s="14">
        <v>3.948942430705066</v>
      </c>
      <c r="I130" s="14">
        <v>4.9389626360562602</v>
      </c>
      <c r="J130" s="14">
        <v>62.934823279108905</v>
      </c>
      <c r="K130" s="14">
        <v>83.939217204307567</v>
      </c>
      <c r="L130" s="14">
        <v>837.51494555670229</v>
      </c>
      <c r="M130" s="14">
        <v>376.77711711615279</v>
      </c>
      <c r="N130" s="14">
        <v>149.61559852537897</v>
      </c>
    </row>
    <row r="131" spans="1:14" x14ac:dyDescent="0.3">
      <c r="A131" s="3" t="str">
        <f>INDEX('R1. Scenario specifications'!$C$11:$C$49,MATCH($B131,'R1. Scenario specifications'!$A$11:$A$49,0))</f>
        <v>Current 2DS, 2030 start, 'Expect the Unexpected' but with most conservative biomass CCS / NET technology cost assumptions</v>
      </c>
      <c r="B131" s="3" t="s">
        <v>18</v>
      </c>
      <c r="C131" s="3" t="s">
        <v>66</v>
      </c>
      <c r="D131" s="14">
        <v>0.27881728888888901</v>
      </c>
      <c r="E131" s="14">
        <v>0.33361993333333301</v>
      </c>
      <c r="F131" s="14">
        <v>88.922972540092587</v>
      </c>
      <c r="G131" s="14">
        <v>53.162220652850131</v>
      </c>
      <c r="H131" s="14">
        <v>59.541404232387912</v>
      </c>
      <c r="I131" s="14">
        <v>285.63065215420266</v>
      </c>
      <c r="J131" s="14">
        <v>102.02906693106979</v>
      </c>
      <c r="K131" s="14">
        <v>50.506529352466792</v>
      </c>
      <c r="L131" s="14">
        <v>305.70076013030956</v>
      </c>
      <c r="M131" s="14">
        <v>469.45388653773642</v>
      </c>
      <c r="N131" s="14">
        <v>254.76072829839882</v>
      </c>
    </row>
    <row r="132" spans="1:14" x14ac:dyDescent="0.3">
      <c r="A132" s="3" t="str">
        <f>INDEX('R1. Scenario specifications'!$C$11:$C$49,MATCH($B132,'R1. Scenario specifications'!$A$11:$A$49,0))</f>
        <v>Current 2DS, 2030 start, 'Expect the Unexpected' but with most conservative biomass CCS / NET technology cost assumptions</v>
      </c>
      <c r="B132" s="3" t="s">
        <v>18</v>
      </c>
      <c r="C132" s="3" t="s">
        <v>67</v>
      </c>
      <c r="D132" s="14">
        <v>154.73557777463142</v>
      </c>
      <c r="E132" s="14">
        <v>162.76418662806225</v>
      </c>
      <c r="F132" s="14">
        <v>90.613637816084008</v>
      </c>
      <c r="G132" s="14">
        <v>132.60270357542757</v>
      </c>
      <c r="H132" s="14">
        <v>363.4354824624848</v>
      </c>
      <c r="I132" s="14">
        <v>201.13730786565296</v>
      </c>
      <c r="J132" s="14">
        <v>140.28486583433983</v>
      </c>
      <c r="K132" s="14">
        <v>271.79648196893356</v>
      </c>
      <c r="L132" s="14">
        <v>750.46016887399787</v>
      </c>
      <c r="M132" s="14">
        <v>198.52297422994789</v>
      </c>
      <c r="N132" s="14">
        <v>37.815617210467586</v>
      </c>
    </row>
    <row r="133" spans="1:14" x14ac:dyDescent="0.3">
      <c r="A133" s="3" t="str">
        <f>INDEX('R1. Scenario specifications'!$C$11:$C$49,MATCH($B133,'R1. Scenario specifications'!$A$11:$A$49,0))</f>
        <v>Current 2DS, 2030 start, 'Expect the Unexpected' but with most conservative biomass CCS / NET technology cost assumptions</v>
      </c>
      <c r="B133" s="3" t="s">
        <v>18</v>
      </c>
      <c r="C133" s="3" t="s">
        <v>68</v>
      </c>
      <c r="D133" s="14">
        <v>0</v>
      </c>
      <c r="E133" s="14">
        <v>0</v>
      </c>
      <c r="F133" s="14">
        <v>0</v>
      </c>
      <c r="G133" s="14">
        <v>22.553218427439354</v>
      </c>
      <c r="H133" s="14">
        <v>401.06990547747858</v>
      </c>
      <c r="I133" s="14">
        <v>638.13449879549864</v>
      </c>
      <c r="J133" s="14">
        <v>136.63369865207895</v>
      </c>
      <c r="K133" s="14">
        <v>140.71547113585558</v>
      </c>
      <c r="L133" s="14">
        <v>507.09742361744941</v>
      </c>
      <c r="M133" s="14">
        <v>695.02358299827029</v>
      </c>
      <c r="N133" s="14">
        <v>0</v>
      </c>
    </row>
    <row r="134" spans="1:14" x14ac:dyDescent="0.3">
      <c r="A134" s="3" t="str">
        <f>INDEX('R1. Scenario specifications'!$C$11:$C$49,MATCH($B134,'R1. Scenario specifications'!$A$11:$A$49,0))</f>
        <v>Current 2DS, 2030 start, 'Expect the Unexpected' but with most conservative biomass CCS / NET technology cost assumptions</v>
      </c>
      <c r="B134" s="3" t="s">
        <v>18</v>
      </c>
      <c r="C134" s="3" t="s">
        <v>69</v>
      </c>
      <c r="D134" s="14">
        <v>68.24730636209857</v>
      </c>
      <c r="E134" s="14">
        <v>21.625867125843534</v>
      </c>
      <c r="F134" s="14">
        <v>0.39656849116918491</v>
      </c>
      <c r="G134" s="14">
        <v>4.39481081527373</v>
      </c>
      <c r="H134" s="14">
        <v>18.982200699738176</v>
      </c>
      <c r="I134" s="14">
        <v>0</v>
      </c>
      <c r="J134" s="14">
        <v>13.82361313664323</v>
      </c>
      <c r="K134" s="14">
        <v>6.8521010555371493</v>
      </c>
      <c r="L134" s="14">
        <v>66.38360335596272</v>
      </c>
      <c r="M134" s="14">
        <v>51.402384891777409</v>
      </c>
      <c r="N134" s="14">
        <v>99.826001570780804</v>
      </c>
    </row>
    <row r="135" spans="1:14" x14ac:dyDescent="0.3">
      <c r="A135" s="3" t="str">
        <f>INDEX('R1. Scenario specifications'!$C$11:$C$49,MATCH($B135,'R1. Scenario specifications'!$A$11:$A$49,0))</f>
        <v>Current 2DS, 2030 start, 'Expect the Unexpected' but with most conservative biomass CCS / NET technology cost assumptions</v>
      </c>
      <c r="B135" s="3" t="s">
        <v>18</v>
      </c>
      <c r="C135" s="3" t="s">
        <v>70</v>
      </c>
      <c r="D135" s="14">
        <v>12.637708883949241</v>
      </c>
      <c r="E135" s="14">
        <v>82.719415916369499</v>
      </c>
      <c r="F135" s="14">
        <v>97.288686865313664</v>
      </c>
      <c r="G135" s="14">
        <v>401.65756364057171</v>
      </c>
      <c r="H135" s="14">
        <v>1882.0016711526248</v>
      </c>
      <c r="I135" s="14">
        <v>3230.8983618685284</v>
      </c>
      <c r="J135" s="14">
        <v>2206.6111837158655</v>
      </c>
      <c r="K135" s="14">
        <v>3999.3662563776379</v>
      </c>
      <c r="L135" s="14">
        <v>6795.7770809322628</v>
      </c>
      <c r="M135" s="14">
        <v>9017.982628161275</v>
      </c>
      <c r="N135" s="14">
        <v>6161.0399911733239</v>
      </c>
    </row>
    <row r="136" spans="1:14" x14ac:dyDescent="0.3">
      <c r="A136" s="3" t="str">
        <f>INDEX('R1. Scenario specifications'!$C$11:$C$49,MATCH($B136,'R1. Scenario specifications'!$A$11:$A$49,0))</f>
        <v>Current 2DS, 2030 start, 'Expect the Unexpected' but with most conservative biomass CCS / NET technology cost assumptions</v>
      </c>
      <c r="B136" s="3" t="s">
        <v>18</v>
      </c>
      <c r="C136" s="3" t="s">
        <v>71</v>
      </c>
      <c r="D136" s="14">
        <v>3.9388921868092472E-3</v>
      </c>
      <c r="E136" s="14">
        <v>1.0352472304670233</v>
      </c>
      <c r="F136" s="14">
        <v>1.710734171095331</v>
      </c>
      <c r="G136" s="14">
        <v>10.613038269375846</v>
      </c>
      <c r="H136" s="14">
        <v>1.456358474019855</v>
      </c>
      <c r="I136" s="14">
        <v>5.6493739341522895</v>
      </c>
      <c r="J136" s="14">
        <v>6.5984323722120131</v>
      </c>
      <c r="K136" s="14">
        <v>49.95049773911596</v>
      </c>
      <c r="L136" s="14">
        <v>20.21682206205147</v>
      </c>
      <c r="M136" s="14">
        <v>25.641156682917217</v>
      </c>
      <c r="N136" s="14">
        <v>36.885708561316783</v>
      </c>
    </row>
    <row r="137" spans="1:14" x14ac:dyDescent="0.3">
      <c r="A137" s="3" t="str">
        <f>INDEX('R1. Scenario specifications'!$C$11:$C$49,MATCH($B137,'R1. Scenario specifications'!$A$11:$A$49,0))</f>
        <v>Current 2DS, 2030 start, 'Expect the Unexpected' but with most conservative biomass CCS / NET technology cost assumptions</v>
      </c>
      <c r="B137" s="3" t="s">
        <v>18</v>
      </c>
      <c r="C137" s="3" t="s">
        <v>72</v>
      </c>
      <c r="D137" s="14">
        <v>164.94116315871048</v>
      </c>
      <c r="E137" s="14">
        <v>30.000000000000007</v>
      </c>
      <c r="F137" s="14">
        <v>130.00000000000006</v>
      </c>
      <c r="G137" s="14">
        <v>1203.724349327679</v>
      </c>
      <c r="H137" s="14">
        <v>2256.5429495910121</v>
      </c>
      <c r="I137" s="14">
        <v>1965.3830986782943</v>
      </c>
      <c r="J137" s="14">
        <v>3433.8774114003445</v>
      </c>
      <c r="K137" s="14">
        <v>4005.3892005713592</v>
      </c>
      <c r="L137" s="14">
        <v>6022.0338289182291</v>
      </c>
      <c r="M137" s="14">
        <v>11117.487902610421</v>
      </c>
      <c r="N137" s="14">
        <v>9274.7515895559263</v>
      </c>
    </row>
    <row r="138" spans="1:14" x14ac:dyDescent="0.3">
      <c r="A138" s="3" t="str">
        <f>INDEX('R1. Scenario specifications'!$C$11:$C$49,MATCH($B138,'R1. Scenario specifications'!$A$11:$A$49,0))</f>
        <v>Current 1.5DS, 2020 start, 'Expect the Unexpected'</v>
      </c>
      <c r="B138" s="3" t="s">
        <v>19</v>
      </c>
      <c r="C138" s="3" t="s">
        <v>63</v>
      </c>
      <c r="D138" s="14">
        <v>0</v>
      </c>
      <c r="E138" s="14">
        <v>8.3774952878671591</v>
      </c>
      <c r="F138" s="14">
        <v>93.789531468729919</v>
      </c>
      <c r="G138" s="14">
        <v>492.12596068382487</v>
      </c>
      <c r="H138" s="14">
        <v>141.00570984873184</v>
      </c>
      <c r="I138" s="14">
        <v>5.6538323907106696</v>
      </c>
      <c r="J138" s="14">
        <v>0.326212709253346</v>
      </c>
      <c r="K138" s="14">
        <v>0</v>
      </c>
      <c r="L138" s="14">
        <v>5.1875779910786397</v>
      </c>
      <c r="M138" s="14">
        <v>0</v>
      </c>
      <c r="N138" s="14">
        <v>0.81313750638010995</v>
      </c>
    </row>
    <row r="139" spans="1:14" x14ac:dyDescent="0.3">
      <c r="A139" s="3" t="str">
        <f>INDEX('R1. Scenario specifications'!$C$11:$C$49,MATCH($B139,'R1. Scenario specifications'!$A$11:$A$49,0))</f>
        <v>Current 1.5DS, 2020 start, 'Expect the Unexpected'</v>
      </c>
      <c r="B139" s="3" t="s">
        <v>19</v>
      </c>
      <c r="C139" s="3" t="s">
        <v>73</v>
      </c>
      <c r="D139" s="14">
        <v>0</v>
      </c>
      <c r="E139" s="14">
        <v>0</v>
      </c>
      <c r="F139" s="14">
        <v>0</v>
      </c>
      <c r="G139" s="14">
        <v>32.342658057001998</v>
      </c>
      <c r="H139" s="14">
        <v>798.18375976973846</v>
      </c>
      <c r="I139" s="14">
        <v>1334.2423724623454</v>
      </c>
      <c r="J139" s="14">
        <v>968.23605030503734</v>
      </c>
      <c r="K139" s="14">
        <v>53.973618292387755</v>
      </c>
      <c r="L139" s="14">
        <v>1967.6384607918062</v>
      </c>
      <c r="M139" s="14">
        <v>1055.4587171958108</v>
      </c>
      <c r="N139" s="14">
        <v>701.30126630146788</v>
      </c>
    </row>
    <row r="140" spans="1:14" x14ac:dyDescent="0.3">
      <c r="A140" s="3" t="str">
        <f>INDEX('R1. Scenario specifications'!$C$11:$C$49,MATCH($B140,'R1. Scenario specifications'!$A$11:$A$49,0))</f>
        <v>Current 1.5DS, 2020 start, 'Expect the Unexpected'</v>
      </c>
      <c r="B140" s="3" t="s">
        <v>19</v>
      </c>
      <c r="C140" s="3" t="s">
        <v>64</v>
      </c>
      <c r="D140" s="14">
        <v>545.32032761765083</v>
      </c>
      <c r="E140" s="14">
        <v>171.97506671901115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</row>
    <row r="141" spans="1:14" x14ac:dyDescent="0.3">
      <c r="A141" s="3" t="str">
        <f>INDEX('R1. Scenario specifications'!$C$11:$C$49,MATCH($B141,'R1. Scenario specifications'!$A$11:$A$49,0))</f>
        <v>Current 1.5DS, 2020 start, 'Expect the Unexpected'</v>
      </c>
      <c r="B141" s="3" t="s">
        <v>19</v>
      </c>
      <c r="C141" s="3" t="s">
        <v>65</v>
      </c>
      <c r="D141" s="14">
        <v>172.55578195052306</v>
      </c>
      <c r="E141" s="14">
        <v>625.93335166737552</v>
      </c>
      <c r="F141" s="14">
        <v>477.14024472244631</v>
      </c>
      <c r="G141" s="14">
        <v>375.31632509620255</v>
      </c>
      <c r="H141" s="14">
        <v>77.455508283918306</v>
      </c>
      <c r="I141" s="14">
        <v>11.080716073913599</v>
      </c>
      <c r="J141" s="14">
        <v>62.817408091656304</v>
      </c>
      <c r="K141" s="14">
        <v>54.30915112383861</v>
      </c>
      <c r="L141" s="14">
        <v>98.974773393176932</v>
      </c>
      <c r="M141" s="14">
        <v>53.126996108265203</v>
      </c>
      <c r="N141" s="14">
        <v>76.976990112836617</v>
      </c>
    </row>
    <row r="142" spans="1:14" x14ac:dyDescent="0.3">
      <c r="A142" s="3" t="str">
        <f>INDEX('R1. Scenario specifications'!$C$11:$C$49,MATCH($B142,'R1. Scenario specifications'!$A$11:$A$49,0))</f>
        <v>Current 1.5DS, 2020 start, 'Expect the Unexpected'</v>
      </c>
      <c r="B142" s="3" t="s">
        <v>19</v>
      </c>
      <c r="C142" s="3" t="s">
        <v>74</v>
      </c>
      <c r="D142" s="14">
        <v>0</v>
      </c>
      <c r="E142" s="14">
        <v>0</v>
      </c>
      <c r="F142" s="14">
        <v>0</v>
      </c>
      <c r="G142" s="14">
        <v>1.8153255363648859</v>
      </c>
      <c r="H142" s="14">
        <v>323.91609194057912</v>
      </c>
      <c r="I142" s="14">
        <v>2066.1671618885011</v>
      </c>
      <c r="J142" s="14">
        <v>737.98073764638139</v>
      </c>
      <c r="K142" s="14">
        <v>20.059870753176298</v>
      </c>
      <c r="L142" s="14">
        <v>782.73787883762554</v>
      </c>
      <c r="M142" s="14">
        <v>419.93220782104942</v>
      </c>
      <c r="N142" s="14">
        <v>484.04427422933747</v>
      </c>
    </row>
    <row r="143" spans="1:14" x14ac:dyDescent="0.3">
      <c r="A143" s="3" t="str">
        <f>INDEX('R1. Scenario specifications'!$C$11:$C$49,MATCH($B143,'R1. Scenario specifications'!$A$11:$A$49,0))</f>
        <v>Current 1.5DS, 2020 start, 'Expect the Unexpected'</v>
      </c>
      <c r="B143" s="3" t="s">
        <v>19</v>
      </c>
      <c r="C143" s="3" t="s">
        <v>66</v>
      </c>
      <c r="D143" s="14">
        <v>0.27881728888888901</v>
      </c>
      <c r="E143" s="14">
        <v>0.33361993333333301</v>
      </c>
      <c r="F143" s="14">
        <v>88.922972540092587</v>
      </c>
      <c r="G143" s="14">
        <v>488.34249158390486</v>
      </c>
      <c r="H143" s="14">
        <v>356.54179075341199</v>
      </c>
      <c r="I143" s="14">
        <v>51.936892553276465</v>
      </c>
      <c r="J143" s="14">
        <v>78.569574066276772</v>
      </c>
      <c r="K143" s="14">
        <v>9.1900344577095527</v>
      </c>
      <c r="L143" s="14">
        <v>453.56541104989236</v>
      </c>
      <c r="M143" s="14">
        <v>44.508934326772291</v>
      </c>
      <c r="N143" s="14">
        <v>1333.9895460278422</v>
      </c>
    </row>
    <row r="144" spans="1:14" x14ac:dyDescent="0.3">
      <c r="A144" s="3" t="str">
        <f>INDEX('R1. Scenario specifications'!$C$11:$C$49,MATCH($B144,'R1. Scenario specifications'!$A$11:$A$49,0))</f>
        <v>Current 1.5DS, 2020 start, 'Expect the Unexpected'</v>
      </c>
      <c r="B144" s="3" t="s">
        <v>19</v>
      </c>
      <c r="C144" s="3" t="s">
        <v>67</v>
      </c>
      <c r="D144" s="14">
        <v>154.73557777463142</v>
      </c>
      <c r="E144" s="14">
        <v>162.76418662806225</v>
      </c>
      <c r="F144" s="14">
        <v>90.613637816084008</v>
      </c>
      <c r="G144" s="14">
        <v>764.69967783347067</v>
      </c>
      <c r="H144" s="14">
        <v>351.75324654275903</v>
      </c>
      <c r="I144" s="14">
        <v>439.25926526230603</v>
      </c>
      <c r="J144" s="14">
        <v>48.58611199814375</v>
      </c>
      <c r="K144" s="14">
        <v>241.9813681788836</v>
      </c>
      <c r="L144" s="14">
        <v>251.22067500409926</v>
      </c>
      <c r="M144" s="14">
        <v>193.66702712183829</v>
      </c>
      <c r="N144" s="14">
        <v>20.56619857532392</v>
      </c>
    </row>
    <row r="145" spans="1:14" x14ac:dyDescent="0.3">
      <c r="A145" s="3" t="str">
        <f>INDEX('R1. Scenario specifications'!$C$11:$C$49,MATCH($B145,'R1. Scenario specifications'!$A$11:$A$49,0))</f>
        <v>Current 1.5DS, 2020 start, 'Expect the Unexpected'</v>
      </c>
      <c r="B145" s="3" t="s">
        <v>19</v>
      </c>
      <c r="C145" s="3" t="s">
        <v>68</v>
      </c>
      <c r="D145" s="14">
        <v>0</v>
      </c>
      <c r="E145" s="14">
        <v>0</v>
      </c>
      <c r="F145" s="14">
        <v>0</v>
      </c>
      <c r="G145" s="14">
        <v>140.00690235624023</v>
      </c>
      <c r="H145" s="14">
        <v>383.78516909483415</v>
      </c>
      <c r="I145" s="14">
        <v>544.9750613292407</v>
      </c>
      <c r="J145" s="14">
        <v>75.886746985829092</v>
      </c>
      <c r="K145" s="14">
        <v>316.42846551755241</v>
      </c>
      <c r="L145" s="14">
        <v>472.42582776073209</v>
      </c>
      <c r="M145" s="14">
        <v>614.72913613954074</v>
      </c>
      <c r="N145" s="14">
        <v>0</v>
      </c>
    </row>
    <row r="146" spans="1:14" x14ac:dyDescent="0.3">
      <c r="A146" s="3" t="str">
        <f>INDEX('R1. Scenario specifications'!$C$11:$C$49,MATCH($B146,'R1. Scenario specifications'!$A$11:$A$49,0))</f>
        <v>Current 1.5DS, 2020 start, 'Expect the Unexpected'</v>
      </c>
      <c r="B146" s="3" t="s">
        <v>19</v>
      </c>
      <c r="C146" s="3" t="s">
        <v>69</v>
      </c>
      <c r="D146" s="14">
        <v>68.24730636209857</v>
      </c>
      <c r="E146" s="14">
        <v>21.625867125843534</v>
      </c>
      <c r="F146" s="14">
        <v>0.39656849116918491</v>
      </c>
      <c r="G146" s="14">
        <v>3.023673578391068</v>
      </c>
      <c r="H146" s="14">
        <v>0</v>
      </c>
      <c r="I146" s="14">
        <v>4.1771300829995504</v>
      </c>
      <c r="J146" s="14">
        <v>46.754054306338389</v>
      </c>
      <c r="K146" s="14">
        <v>27.355999961799348</v>
      </c>
      <c r="L146" s="14">
        <v>45.6532665064938</v>
      </c>
      <c r="M146" s="14">
        <v>43.977957672934004</v>
      </c>
      <c r="N146" s="14">
        <v>146.96814923555991</v>
      </c>
    </row>
    <row r="147" spans="1:14" x14ac:dyDescent="0.3">
      <c r="A147" s="3" t="str">
        <f>INDEX('R1. Scenario specifications'!$C$11:$C$49,MATCH($B147,'R1. Scenario specifications'!$A$11:$A$49,0))</f>
        <v>Current 1.5DS, 2020 start, 'Expect the Unexpected'</v>
      </c>
      <c r="B147" s="3" t="s">
        <v>19</v>
      </c>
      <c r="C147" s="3" t="s">
        <v>70</v>
      </c>
      <c r="D147" s="14">
        <v>12.637708883949241</v>
      </c>
      <c r="E147" s="14">
        <v>82.719415916369499</v>
      </c>
      <c r="F147" s="14">
        <v>97.288686865313664</v>
      </c>
      <c r="G147" s="14">
        <v>768.10910564402639</v>
      </c>
      <c r="H147" s="14">
        <v>2945.6274980660946</v>
      </c>
      <c r="I147" s="14">
        <v>5387.9584851718355</v>
      </c>
      <c r="J147" s="14">
        <v>6574.1396798482019</v>
      </c>
      <c r="K147" s="14">
        <v>3432.85567252992</v>
      </c>
      <c r="L147" s="14">
        <v>8175.8069994327052</v>
      </c>
      <c r="M147" s="14">
        <v>9357.333856398951</v>
      </c>
      <c r="N147" s="14">
        <v>6775.0259417939915</v>
      </c>
    </row>
    <row r="148" spans="1:14" x14ac:dyDescent="0.3">
      <c r="A148" s="3" t="str">
        <f>INDEX('R1. Scenario specifications'!$C$11:$C$49,MATCH($B148,'R1. Scenario specifications'!$A$11:$A$49,0))</f>
        <v>Current 1.5DS, 2020 start, 'Expect the Unexpected'</v>
      </c>
      <c r="B148" s="3" t="s">
        <v>19</v>
      </c>
      <c r="C148" s="3" t="s">
        <v>71</v>
      </c>
      <c r="D148" s="14">
        <v>3.9388921868092472E-3</v>
      </c>
      <c r="E148" s="14">
        <v>1.0352472304670233</v>
      </c>
      <c r="F148" s="14">
        <v>1.710734171095331</v>
      </c>
      <c r="G148" s="14">
        <v>15.815621965780913</v>
      </c>
      <c r="H148" s="14">
        <v>94.155477639723358</v>
      </c>
      <c r="I148" s="14">
        <v>135.41008566476367</v>
      </c>
      <c r="J148" s="14">
        <v>172.16430086878893</v>
      </c>
      <c r="K148" s="14">
        <v>112.27549633967064</v>
      </c>
      <c r="L148" s="14">
        <v>151.55321774467077</v>
      </c>
      <c r="M148" s="14">
        <v>145.85117266990474</v>
      </c>
      <c r="N148" s="14">
        <v>129.52752835595328</v>
      </c>
    </row>
    <row r="149" spans="1:14" x14ac:dyDescent="0.3">
      <c r="A149" s="3" t="str">
        <f>INDEX('R1. Scenario specifications'!$C$11:$C$49,MATCH($B149,'R1. Scenario specifications'!$A$11:$A$49,0))</f>
        <v>Current 1.5DS, 2020 start, 'Expect the Unexpected'</v>
      </c>
      <c r="B149" s="3" t="s">
        <v>19</v>
      </c>
      <c r="C149" s="3" t="s">
        <v>72</v>
      </c>
      <c r="D149" s="14">
        <v>164.94116315871048</v>
      </c>
      <c r="E149" s="14">
        <v>30.000000000000007</v>
      </c>
      <c r="F149" s="14">
        <v>130.00000000000006</v>
      </c>
      <c r="G149" s="14">
        <v>1578.2302879462022</v>
      </c>
      <c r="H149" s="14">
        <v>2304.2028442467008</v>
      </c>
      <c r="I149" s="14">
        <v>5641.1153035616371</v>
      </c>
      <c r="J149" s="14">
        <v>5466.4198640208906</v>
      </c>
      <c r="K149" s="14">
        <v>1894.5272285928177</v>
      </c>
      <c r="L149" s="14">
        <v>9616.938557017249</v>
      </c>
      <c r="M149" s="14">
        <v>8830.0603415534952</v>
      </c>
      <c r="N149" s="14">
        <v>10606.894392130282</v>
      </c>
    </row>
    <row r="150" spans="1:14" x14ac:dyDescent="0.3">
      <c r="A150" s="3" t="str">
        <f>INDEX('R1. Scenario specifications'!$C$11:$C$49,MATCH($B150,'R1. Scenario specifications'!$A$11:$A$49,0))</f>
        <v>Current 1.5DS, 2030 start, 'Expect the Unexpected'</v>
      </c>
      <c r="B150" s="3" t="s">
        <v>20</v>
      </c>
      <c r="C150" s="3" t="s">
        <v>63</v>
      </c>
      <c r="D150" s="14">
        <v>0</v>
      </c>
      <c r="E150" s="14">
        <v>8.3774952878671591</v>
      </c>
      <c r="F150" s="14">
        <v>93.789531468729919</v>
      </c>
      <c r="G150" s="14">
        <v>300.17967178830617</v>
      </c>
      <c r="H150" s="14">
        <v>709.64726992834721</v>
      </c>
      <c r="I150" s="14">
        <v>9.8115321080274107</v>
      </c>
      <c r="J150" s="14">
        <v>16.068552843393199</v>
      </c>
      <c r="K150" s="14">
        <v>0</v>
      </c>
      <c r="L150" s="14">
        <v>11.189322457071301</v>
      </c>
      <c r="M150" s="14">
        <v>5.1271836196896947</v>
      </c>
      <c r="N150" s="14">
        <v>0</v>
      </c>
    </row>
    <row r="151" spans="1:14" x14ac:dyDescent="0.3">
      <c r="A151" s="3" t="str">
        <f>INDEX('R1. Scenario specifications'!$C$11:$C$49,MATCH($B151,'R1. Scenario specifications'!$A$11:$A$49,0))</f>
        <v>Current 1.5DS, 2030 start, 'Expect the Unexpected'</v>
      </c>
      <c r="B151" s="3" t="s">
        <v>20</v>
      </c>
      <c r="C151" s="3" t="s">
        <v>73</v>
      </c>
      <c r="D151" s="14">
        <v>0</v>
      </c>
      <c r="E151" s="14">
        <v>0</v>
      </c>
      <c r="F151" s="14">
        <v>0</v>
      </c>
      <c r="G151" s="14">
        <v>0</v>
      </c>
      <c r="H151" s="14">
        <v>27.33146094537064</v>
      </c>
      <c r="I151" s="14">
        <v>1983.3393075977708</v>
      </c>
      <c r="J151" s="14">
        <v>2209.323055687702</v>
      </c>
      <c r="K151" s="14">
        <v>0</v>
      </c>
      <c r="L151" s="14">
        <v>128.7897303460968</v>
      </c>
      <c r="M151" s="14">
        <v>1369.3890544832025</v>
      </c>
      <c r="N151" s="14">
        <v>1941.2072749180525</v>
      </c>
    </row>
    <row r="152" spans="1:14" x14ac:dyDescent="0.3">
      <c r="A152" s="3" t="str">
        <f>INDEX('R1. Scenario specifications'!$C$11:$C$49,MATCH($B152,'R1. Scenario specifications'!$A$11:$A$49,0))</f>
        <v>Current 1.5DS, 2030 start, 'Expect the Unexpected'</v>
      </c>
      <c r="B152" s="3" t="s">
        <v>20</v>
      </c>
      <c r="C152" s="3" t="s">
        <v>64</v>
      </c>
      <c r="D152" s="14">
        <v>545.32032761765083</v>
      </c>
      <c r="E152" s="14">
        <v>171.97506671901115</v>
      </c>
      <c r="F152" s="14">
        <v>0</v>
      </c>
      <c r="G152" s="14">
        <v>16.396787724521602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</row>
    <row r="153" spans="1:14" x14ac:dyDescent="0.3">
      <c r="A153" s="3" t="str">
        <f>INDEX('R1. Scenario specifications'!$C$11:$C$49,MATCH($B153,'R1. Scenario specifications'!$A$11:$A$49,0))</f>
        <v>Current 1.5DS, 2030 start, 'Expect the Unexpected'</v>
      </c>
      <c r="B153" s="3" t="s">
        <v>20</v>
      </c>
      <c r="C153" s="3" t="s">
        <v>65</v>
      </c>
      <c r="D153" s="14">
        <v>172.55578195052306</v>
      </c>
      <c r="E153" s="14">
        <v>625.93335166737552</v>
      </c>
      <c r="F153" s="14">
        <v>477.14024472244631</v>
      </c>
      <c r="G153" s="14">
        <v>16.783672963106241</v>
      </c>
      <c r="H153" s="14">
        <v>335.00698444886399</v>
      </c>
      <c r="I153" s="14">
        <v>64.453809371343397</v>
      </c>
      <c r="J153" s="14">
        <v>33.861414499091602</v>
      </c>
      <c r="K153" s="14">
        <v>158.4539494020589</v>
      </c>
      <c r="L153" s="14">
        <v>438.59380695867111</v>
      </c>
      <c r="M153" s="14">
        <v>183.24214869767025</v>
      </c>
      <c r="N153" s="14">
        <v>29.937063020701792</v>
      </c>
    </row>
    <row r="154" spans="1:14" x14ac:dyDescent="0.3">
      <c r="A154" s="3" t="str">
        <f>INDEX('R1. Scenario specifications'!$C$11:$C$49,MATCH($B154,'R1. Scenario specifications'!$A$11:$A$49,0))</f>
        <v>Current 1.5DS, 2030 start, 'Expect the Unexpected'</v>
      </c>
      <c r="B154" s="3" t="s">
        <v>20</v>
      </c>
      <c r="C154" s="3" t="s">
        <v>74</v>
      </c>
      <c r="D154" s="14">
        <v>0</v>
      </c>
      <c r="E154" s="14">
        <v>0</v>
      </c>
      <c r="F154" s="14">
        <v>0</v>
      </c>
      <c r="G154" s="14">
        <v>0</v>
      </c>
      <c r="H154" s="14">
        <v>6.8265226479962502</v>
      </c>
      <c r="I154" s="14">
        <v>855.71111158547035</v>
      </c>
      <c r="J154" s="14">
        <v>963.58282822555202</v>
      </c>
      <c r="K154" s="14">
        <v>0</v>
      </c>
      <c r="L154" s="14">
        <v>0</v>
      </c>
      <c r="M154" s="14">
        <v>123.90063592199196</v>
      </c>
      <c r="N154" s="14">
        <v>84.826598117386851</v>
      </c>
    </row>
    <row r="155" spans="1:14" x14ac:dyDescent="0.3">
      <c r="A155" s="3" t="str">
        <f>INDEX('R1. Scenario specifications'!$C$11:$C$49,MATCH($B155,'R1. Scenario specifications'!$A$11:$A$49,0))</f>
        <v>Current 1.5DS, 2030 start, 'Expect the Unexpected'</v>
      </c>
      <c r="B155" s="3" t="s">
        <v>20</v>
      </c>
      <c r="C155" s="3" t="s">
        <v>66</v>
      </c>
      <c r="D155" s="14">
        <v>0.27881728888888901</v>
      </c>
      <c r="E155" s="14">
        <v>0.33361993333333301</v>
      </c>
      <c r="F155" s="14">
        <v>88.922972540092587</v>
      </c>
      <c r="G155" s="14">
        <v>53.162220652850131</v>
      </c>
      <c r="H155" s="14">
        <v>1035.7543981543083</v>
      </c>
      <c r="I155" s="14">
        <v>52.289097484560216</v>
      </c>
      <c r="J155" s="14">
        <v>78.569574066276772</v>
      </c>
      <c r="K155" s="14">
        <v>2.0256421880194435</v>
      </c>
      <c r="L155" s="14">
        <v>23.219361323341612</v>
      </c>
      <c r="M155" s="14">
        <v>241.68417878605018</v>
      </c>
      <c r="N155" s="14">
        <v>93.7161278358993</v>
      </c>
    </row>
    <row r="156" spans="1:14" x14ac:dyDescent="0.3">
      <c r="A156" s="3" t="str">
        <f>INDEX('R1. Scenario specifications'!$C$11:$C$49,MATCH($B156,'R1. Scenario specifications'!$A$11:$A$49,0))</f>
        <v>Current 1.5DS, 2030 start, 'Expect the Unexpected'</v>
      </c>
      <c r="B156" s="3" t="s">
        <v>20</v>
      </c>
      <c r="C156" s="3" t="s">
        <v>67</v>
      </c>
      <c r="D156" s="14">
        <v>154.73557777463142</v>
      </c>
      <c r="E156" s="14">
        <v>162.76418662806225</v>
      </c>
      <c r="F156" s="14">
        <v>90.613637816084008</v>
      </c>
      <c r="G156" s="14">
        <v>132.60270357542757</v>
      </c>
      <c r="H156" s="14">
        <v>855.74831108084163</v>
      </c>
      <c r="I156" s="14">
        <v>798.3932608239453</v>
      </c>
      <c r="J156" s="14">
        <v>12.140644664380043</v>
      </c>
      <c r="K156" s="14">
        <v>3.3396734263659882</v>
      </c>
      <c r="L156" s="14">
        <v>133.21691568177872</v>
      </c>
      <c r="M156" s="14">
        <v>187.10460472292291</v>
      </c>
      <c r="N156" s="14">
        <v>5.9336507278689501</v>
      </c>
    </row>
    <row r="157" spans="1:14" x14ac:dyDescent="0.3">
      <c r="A157" s="3" t="str">
        <f>INDEX('R1. Scenario specifications'!$C$11:$C$49,MATCH($B157,'R1. Scenario specifications'!$A$11:$A$49,0))</f>
        <v>Current 1.5DS, 2030 start, 'Expect the Unexpected'</v>
      </c>
      <c r="B157" s="3" t="s">
        <v>20</v>
      </c>
      <c r="C157" s="3" t="s">
        <v>68</v>
      </c>
      <c r="D157" s="14">
        <v>0</v>
      </c>
      <c r="E157" s="14">
        <v>0</v>
      </c>
      <c r="F157" s="14">
        <v>0</v>
      </c>
      <c r="G157" s="14">
        <v>22.553218427439354</v>
      </c>
      <c r="H157" s="14">
        <v>376.05855499498949</v>
      </c>
      <c r="I157" s="14">
        <v>557.24172477940488</v>
      </c>
      <c r="J157" s="14">
        <v>88.534232303704599</v>
      </c>
      <c r="K157" s="14">
        <v>86.683037751965372</v>
      </c>
      <c r="L157" s="14">
        <v>539.42755680415655</v>
      </c>
      <c r="M157" s="14">
        <v>513.56978513016725</v>
      </c>
      <c r="N157" s="14">
        <v>0</v>
      </c>
    </row>
    <row r="158" spans="1:14" x14ac:dyDescent="0.3">
      <c r="A158" s="3" t="str">
        <f>INDEX('R1. Scenario specifications'!$C$11:$C$49,MATCH($B158,'R1. Scenario specifications'!$A$11:$A$49,0))</f>
        <v>Current 1.5DS, 2030 start, 'Expect the Unexpected'</v>
      </c>
      <c r="B158" s="3" t="s">
        <v>20</v>
      </c>
      <c r="C158" s="3" t="s">
        <v>69</v>
      </c>
      <c r="D158" s="14">
        <v>68.24730636209857</v>
      </c>
      <c r="E158" s="14">
        <v>21.625867125843534</v>
      </c>
      <c r="F158" s="14">
        <v>0.39656849116918491</v>
      </c>
      <c r="G158" s="14">
        <v>4.39481081527373</v>
      </c>
      <c r="H158" s="14">
        <v>2.74617559009805</v>
      </c>
      <c r="I158" s="14">
        <v>7.4565798215670904</v>
      </c>
      <c r="J158" s="14">
        <v>38.854433765166064</v>
      </c>
      <c r="K158" s="14">
        <v>10.769585872451101</v>
      </c>
      <c r="L158" s="14">
        <v>31.7506968985081</v>
      </c>
      <c r="M158" s="14">
        <v>17.394425325610701</v>
      </c>
      <c r="N158" s="14">
        <v>147.72160336219838</v>
      </c>
    </row>
    <row r="159" spans="1:14" x14ac:dyDescent="0.3">
      <c r="A159" s="3" t="str">
        <f>INDEX('R1. Scenario specifications'!$C$11:$C$49,MATCH($B159,'R1. Scenario specifications'!$A$11:$A$49,0))</f>
        <v>Current 1.5DS, 2030 start, 'Expect the Unexpected'</v>
      </c>
      <c r="B159" s="3" t="s">
        <v>20</v>
      </c>
      <c r="C159" s="3" t="s">
        <v>70</v>
      </c>
      <c r="D159" s="14">
        <v>12.637708883949241</v>
      </c>
      <c r="E159" s="14">
        <v>82.719415916369499</v>
      </c>
      <c r="F159" s="14">
        <v>97.288686865313664</v>
      </c>
      <c r="G159" s="14">
        <v>401.65756364057171</v>
      </c>
      <c r="H159" s="14">
        <v>2009.0554684904178</v>
      </c>
      <c r="I159" s="14">
        <v>4846.3888195400159</v>
      </c>
      <c r="J159" s="14">
        <v>10178.106012574526</v>
      </c>
      <c r="K159" s="14">
        <v>2509.2899004210371</v>
      </c>
      <c r="L159" s="14">
        <v>4853.2877253594925</v>
      </c>
      <c r="M159" s="14">
        <v>11201.187412845931</v>
      </c>
      <c r="N159" s="14">
        <v>3700.7125545295039</v>
      </c>
    </row>
    <row r="160" spans="1:14" x14ac:dyDescent="0.3">
      <c r="A160" s="3" t="str">
        <f>INDEX('R1. Scenario specifications'!$C$11:$C$49,MATCH($B160,'R1. Scenario specifications'!$A$11:$A$49,0))</f>
        <v>Current 1.5DS, 2030 start, 'Expect the Unexpected'</v>
      </c>
      <c r="B160" s="3" t="s">
        <v>20</v>
      </c>
      <c r="C160" s="3" t="s">
        <v>71</v>
      </c>
      <c r="D160" s="14">
        <v>3.9388921868092472E-3</v>
      </c>
      <c r="E160" s="14">
        <v>1.0352472304670233</v>
      </c>
      <c r="F160" s="14">
        <v>1.710734171095331</v>
      </c>
      <c r="G160" s="14">
        <v>10.613038269375846</v>
      </c>
      <c r="H160" s="14">
        <v>44.323461722034772</v>
      </c>
      <c r="I160" s="14">
        <v>29.83070254894427</v>
      </c>
      <c r="J160" s="14">
        <v>29.820637534040845</v>
      </c>
      <c r="K160" s="14">
        <v>37.997739395126978</v>
      </c>
      <c r="L160" s="14">
        <v>29.823124943843546</v>
      </c>
      <c r="M160" s="14">
        <v>33.410045858741526</v>
      </c>
      <c r="N160" s="14">
        <v>34.403725294964765</v>
      </c>
    </row>
    <row r="161" spans="1:14" x14ac:dyDescent="0.3">
      <c r="A161" s="3" t="str">
        <f>INDEX('R1. Scenario specifications'!$C$11:$C$49,MATCH($B161,'R1. Scenario specifications'!$A$11:$A$49,0))</f>
        <v>Current 1.5DS, 2030 start, 'Expect the Unexpected'</v>
      </c>
      <c r="B161" s="3" t="s">
        <v>20</v>
      </c>
      <c r="C161" s="3" t="s">
        <v>72</v>
      </c>
      <c r="D161" s="14">
        <v>164.94116315871048</v>
      </c>
      <c r="E161" s="14">
        <v>30.000000000000007</v>
      </c>
      <c r="F161" s="14">
        <v>130.00000000000006</v>
      </c>
      <c r="G161" s="14">
        <v>1203.724349327679</v>
      </c>
      <c r="H161" s="14">
        <v>1861.6086284292055</v>
      </c>
      <c r="I161" s="14">
        <v>4372.7276933361236</v>
      </c>
      <c r="J161" s="14">
        <v>8913.0762505113344</v>
      </c>
      <c r="K161" s="14">
        <v>38.57753980472301</v>
      </c>
      <c r="L161" s="14">
        <v>4548.6303224552194</v>
      </c>
      <c r="M161" s="14">
        <v>8183.6801816156549</v>
      </c>
      <c r="N161" s="14">
        <v>5210.8280757683096</v>
      </c>
    </row>
    <row r="162" spans="1:14" x14ac:dyDescent="0.3">
      <c r="A162" s="3" t="str">
        <f>INDEX('R1. Scenario specifications'!$C$11:$C$49,MATCH($B162,'R1. Scenario specifications'!$A$11:$A$49,0))</f>
        <v>Current 1.5DS, 2020 start, 'Expect the Unexpected' but with cheap renewables</v>
      </c>
      <c r="B162" s="3" t="s">
        <v>21</v>
      </c>
      <c r="C162" s="3" t="s">
        <v>63</v>
      </c>
      <c r="D162" s="14">
        <v>0</v>
      </c>
      <c r="E162" s="14">
        <v>8.3774952878671591</v>
      </c>
      <c r="F162" s="14">
        <v>93.789531468729919</v>
      </c>
      <c r="G162" s="14">
        <v>420.53637566646137</v>
      </c>
      <c r="H162" s="14">
        <v>32.560805231562107</v>
      </c>
      <c r="I162" s="14">
        <v>5.9800450999640198</v>
      </c>
      <c r="J162" s="14">
        <v>0</v>
      </c>
      <c r="K162" s="14">
        <v>0</v>
      </c>
      <c r="L162" s="14">
        <v>6.23678826814748</v>
      </c>
      <c r="M162" s="14">
        <v>0</v>
      </c>
      <c r="N162" s="14">
        <v>0</v>
      </c>
    </row>
    <row r="163" spans="1:14" x14ac:dyDescent="0.3">
      <c r="A163" s="3" t="str">
        <f>INDEX('R1. Scenario specifications'!$C$11:$C$49,MATCH($B163,'R1. Scenario specifications'!$A$11:$A$49,0))</f>
        <v>Current 1.5DS, 2020 start, 'Expect the Unexpected' but with cheap renewables</v>
      </c>
      <c r="B163" s="3" t="s">
        <v>21</v>
      </c>
      <c r="C163" s="3" t="s">
        <v>73</v>
      </c>
      <c r="D163" s="14">
        <v>0</v>
      </c>
      <c r="E163" s="14">
        <v>0</v>
      </c>
      <c r="F163" s="14">
        <v>0</v>
      </c>
      <c r="G163" s="14">
        <v>33.031297821021255</v>
      </c>
      <c r="H163" s="14">
        <v>822.00423188495552</v>
      </c>
      <c r="I163" s="14">
        <v>1334.5595919860521</v>
      </c>
      <c r="J163" s="14">
        <v>1149.8328585736626</v>
      </c>
      <c r="K163" s="14">
        <v>53.67907776373751</v>
      </c>
      <c r="L163" s="14">
        <v>1658.5501319954585</v>
      </c>
      <c r="M163" s="14">
        <v>1422.7541003966855</v>
      </c>
      <c r="N163" s="14">
        <v>500.31707437344647</v>
      </c>
    </row>
    <row r="164" spans="1:14" x14ac:dyDescent="0.3">
      <c r="A164" s="3" t="str">
        <f>INDEX('R1. Scenario specifications'!$C$11:$C$49,MATCH($B164,'R1. Scenario specifications'!$A$11:$A$49,0))</f>
        <v>Current 1.5DS, 2020 start, 'Expect the Unexpected' but with cheap renewables</v>
      </c>
      <c r="B164" s="3" t="s">
        <v>21</v>
      </c>
      <c r="C164" s="3" t="s">
        <v>64</v>
      </c>
      <c r="D164" s="14">
        <v>545.32032761765083</v>
      </c>
      <c r="E164" s="14">
        <v>171.97506671901115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</row>
    <row r="165" spans="1:14" x14ac:dyDescent="0.3">
      <c r="A165" s="3" t="str">
        <f>INDEX('R1. Scenario specifications'!$C$11:$C$49,MATCH($B165,'R1. Scenario specifications'!$A$11:$A$49,0))</f>
        <v>Current 1.5DS, 2020 start, 'Expect the Unexpected' but with cheap renewables</v>
      </c>
      <c r="B165" s="3" t="s">
        <v>21</v>
      </c>
      <c r="C165" s="3" t="s">
        <v>65</v>
      </c>
      <c r="D165" s="14">
        <v>172.55578195052306</v>
      </c>
      <c r="E165" s="14">
        <v>625.93335166737552</v>
      </c>
      <c r="F165" s="14">
        <v>477.14024472244631</v>
      </c>
      <c r="G165" s="14">
        <v>314.04312535684761</v>
      </c>
      <c r="H165" s="14">
        <v>71.697230671083901</v>
      </c>
      <c r="I165" s="14">
        <v>3.90030574920877</v>
      </c>
      <c r="J165" s="14">
        <v>172.03436993597128</v>
      </c>
      <c r="K165" s="14">
        <v>8.6745872234026606</v>
      </c>
      <c r="L165" s="14">
        <v>63.993891796246558</v>
      </c>
      <c r="M165" s="14">
        <v>141.16392496184611</v>
      </c>
      <c r="N165" s="14">
        <v>16.225552069778608</v>
      </c>
    </row>
    <row r="166" spans="1:14" x14ac:dyDescent="0.3">
      <c r="A166" s="3" t="str">
        <f>INDEX('R1. Scenario specifications'!$C$11:$C$49,MATCH($B166,'R1. Scenario specifications'!$A$11:$A$49,0))</f>
        <v>Current 1.5DS, 2020 start, 'Expect the Unexpected' but with cheap renewables</v>
      </c>
      <c r="B166" s="3" t="s">
        <v>21</v>
      </c>
      <c r="C166" s="3" t="s">
        <v>74</v>
      </c>
      <c r="D166" s="14">
        <v>0</v>
      </c>
      <c r="E166" s="14">
        <v>0</v>
      </c>
      <c r="F166" s="14">
        <v>0</v>
      </c>
      <c r="G166" s="14">
        <v>1.1266857723456301</v>
      </c>
      <c r="H166" s="14">
        <v>259.66460182940267</v>
      </c>
      <c r="I166" s="14">
        <v>1791.0781478047302</v>
      </c>
      <c r="J166" s="14">
        <v>682.35598968471811</v>
      </c>
      <c r="K166" s="14">
        <v>2.9542004858899999</v>
      </c>
      <c r="L166" s="14">
        <v>603.67763510936516</v>
      </c>
      <c r="M166" s="14">
        <v>620.58647032207239</v>
      </c>
      <c r="N166" s="14">
        <v>388.42447783582071</v>
      </c>
    </row>
    <row r="167" spans="1:14" x14ac:dyDescent="0.3">
      <c r="A167" s="3" t="str">
        <f>INDEX('R1. Scenario specifications'!$C$11:$C$49,MATCH($B167,'R1. Scenario specifications'!$A$11:$A$49,0))</f>
        <v>Current 1.5DS, 2020 start, 'Expect the Unexpected' but with cheap renewables</v>
      </c>
      <c r="B167" s="3" t="s">
        <v>21</v>
      </c>
      <c r="C167" s="3" t="s">
        <v>66</v>
      </c>
      <c r="D167" s="14">
        <v>0.27881728888888901</v>
      </c>
      <c r="E167" s="14">
        <v>0.33361993333333301</v>
      </c>
      <c r="F167" s="14">
        <v>88.922972540092587</v>
      </c>
      <c r="G167" s="14">
        <v>408.68202231457667</v>
      </c>
      <c r="H167" s="14">
        <v>480.22905992834438</v>
      </c>
      <c r="I167" s="14">
        <v>44.955472888606181</v>
      </c>
      <c r="J167" s="14">
        <v>78.569574066276772</v>
      </c>
      <c r="K167" s="14">
        <v>4.0585301731540024</v>
      </c>
      <c r="L167" s="14">
        <v>441.39985818907815</v>
      </c>
      <c r="M167" s="14">
        <v>226.55677043510582</v>
      </c>
      <c r="N167" s="14">
        <v>93.517030964974964</v>
      </c>
    </row>
    <row r="168" spans="1:14" x14ac:dyDescent="0.3">
      <c r="A168" s="3" t="str">
        <f>INDEX('R1. Scenario specifications'!$C$11:$C$49,MATCH($B168,'R1. Scenario specifications'!$A$11:$A$49,0))</f>
        <v>Current 1.5DS, 2020 start, 'Expect the Unexpected' but with cheap renewables</v>
      </c>
      <c r="B168" s="3" t="s">
        <v>21</v>
      </c>
      <c r="C168" s="3" t="s">
        <v>67</v>
      </c>
      <c r="D168" s="14">
        <v>154.73557777463142</v>
      </c>
      <c r="E168" s="14">
        <v>162.76418662806225</v>
      </c>
      <c r="F168" s="14">
        <v>90.613637816084008</v>
      </c>
      <c r="G168" s="14">
        <v>796.08097698656275</v>
      </c>
      <c r="H168" s="14">
        <v>483.69544204414842</v>
      </c>
      <c r="I168" s="14">
        <v>349.07164171445089</v>
      </c>
      <c r="J168" s="14">
        <v>49.568366449139376</v>
      </c>
      <c r="K168" s="14">
        <v>172.99255735006537</v>
      </c>
      <c r="L168" s="14">
        <v>344.4997469317268</v>
      </c>
      <c r="M168" s="14">
        <v>105.79990338256354</v>
      </c>
      <c r="N168" s="14">
        <v>17.03220705631805</v>
      </c>
    </row>
    <row r="169" spans="1:14" x14ac:dyDescent="0.3">
      <c r="A169" s="3" t="str">
        <f>INDEX('R1. Scenario specifications'!$C$11:$C$49,MATCH($B169,'R1. Scenario specifications'!$A$11:$A$49,0))</f>
        <v>Current 1.5DS, 2020 start, 'Expect the Unexpected' but with cheap renewables</v>
      </c>
      <c r="B169" s="3" t="s">
        <v>21</v>
      </c>
      <c r="C169" s="3" t="s">
        <v>68</v>
      </c>
      <c r="D169" s="14">
        <v>0</v>
      </c>
      <c r="E169" s="14">
        <v>0</v>
      </c>
      <c r="F169" s="14">
        <v>0</v>
      </c>
      <c r="G169" s="14">
        <v>141.62230949573842</v>
      </c>
      <c r="H169" s="14">
        <v>403.87129556604418</v>
      </c>
      <c r="I169" s="14">
        <v>524.93674222053437</v>
      </c>
      <c r="J169" s="14">
        <v>76.23664594876891</v>
      </c>
      <c r="K169" s="14">
        <v>286.44376694737093</v>
      </c>
      <c r="L169" s="14">
        <v>517.06254422303857</v>
      </c>
      <c r="M169" s="14">
        <v>588.79758444413005</v>
      </c>
      <c r="N169" s="14">
        <v>0</v>
      </c>
    </row>
    <row r="170" spans="1:14" x14ac:dyDescent="0.3">
      <c r="A170" s="3" t="str">
        <f>INDEX('R1. Scenario specifications'!$C$11:$C$49,MATCH($B170,'R1. Scenario specifications'!$A$11:$A$49,0))</f>
        <v>Current 1.5DS, 2020 start, 'Expect the Unexpected' but with cheap renewables</v>
      </c>
      <c r="B170" s="3" t="s">
        <v>21</v>
      </c>
      <c r="C170" s="3" t="s">
        <v>69</v>
      </c>
      <c r="D170" s="14">
        <v>68.24730636209857</v>
      </c>
      <c r="E170" s="14">
        <v>21.625867125843534</v>
      </c>
      <c r="F170" s="14">
        <v>0.39656849116918491</v>
      </c>
      <c r="G170" s="14">
        <v>15.467758220455345</v>
      </c>
      <c r="H170" s="14">
        <v>2.36547300091864</v>
      </c>
      <c r="I170" s="14">
        <v>0</v>
      </c>
      <c r="J170" s="14">
        <v>50.505152412354704</v>
      </c>
      <c r="K170" s="14">
        <v>22.670523856647101</v>
      </c>
      <c r="L170" s="14">
        <v>34.809727702504354</v>
      </c>
      <c r="M170" s="14">
        <v>34.029447529492103</v>
      </c>
      <c r="N170" s="14">
        <v>85.880553614734097</v>
      </c>
    </row>
    <row r="171" spans="1:14" x14ac:dyDescent="0.3">
      <c r="A171" s="3" t="str">
        <f>INDEX('R1. Scenario specifications'!$C$11:$C$49,MATCH($B171,'R1. Scenario specifications'!$A$11:$A$49,0))</f>
        <v>Current 1.5DS, 2020 start, 'Expect the Unexpected' but with cheap renewables</v>
      </c>
      <c r="B171" s="3" t="s">
        <v>21</v>
      </c>
      <c r="C171" s="3" t="s">
        <v>70</v>
      </c>
      <c r="D171" s="14">
        <v>12.637708883949241</v>
      </c>
      <c r="E171" s="14">
        <v>82.719415916369499</v>
      </c>
      <c r="F171" s="14">
        <v>97.288686865313664</v>
      </c>
      <c r="G171" s="14">
        <v>1036.264981613602</v>
      </c>
      <c r="H171" s="14">
        <v>3386.1998668196411</v>
      </c>
      <c r="I171" s="14">
        <v>6652.6684565247742</v>
      </c>
      <c r="J171" s="14">
        <v>5987.690069388007</v>
      </c>
      <c r="K171" s="14">
        <v>3401.3846281580504</v>
      </c>
      <c r="L171" s="14">
        <v>8932.3788837628072</v>
      </c>
      <c r="M171" s="14">
        <v>8640.6674192998307</v>
      </c>
      <c r="N171" s="14">
        <v>6482.1819285944821</v>
      </c>
    </row>
    <row r="172" spans="1:14" x14ac:dyDescent="0.3">
      <c r="A172" s="3" t="str">
        <f>INDEX('R1. Scenario specifications'!$C$11:$C$49,MATCH($B172,'R1. Scenario specifications'!$A$11:$A$49,0))</f>
        <v>Current 1.5DS, 2020 start, 'Expect the Unexpected' but with cheap renewables</v>
      </c>
      <c r="B172" s="3" t="s">
        <v>21</v>
      </c>
      <c r="C172" s="3" t="s">
        <v>71</v>
      </c>
      <c r="D172" s="14">
        <v>3.9388921868092472E-3</v>
      </c>
      <c r="E172" s="14">
        <v>1.0352472304670233</v>
      </c>
      <c r="F172" s="14">
        <v>1.710734171095331</v>
      </c>
      <c r="G172" s="14">
        <v>11.389644562437466</v>
      </c>
      <c r="H172" s="14">
        <v>68.688553409222649</v>
      </c>
      <c r="I172" s="14">
        <v>359.82273427329972</v>
      </c>
      <c r="J172" s="14">
        <v>36.65363974719893</v>
      </c>
      <c r="K172" s="14">
        <v>196.58376069776497</v>
      </c>
      <c r="L172" s="14">
        <v>217.84688213279398</v>
      </c>
      <c r="M172" s="14">
        <v>106.909815136842</v>
      </c>
      <c r="N172" s="14">
        <v>205.92172558890471</v>
      </c>
    </row>
    <row r="173" spans="1:14" x14ac:dyDescent="0.3">
      <c r="A173" s="3" t="str">
        <f>INDEX('R1. Scenario specifications'!$C$11:$C$49,MATCH($B173,'R1. Scenario specifications'!$A$11:$A$49,0))</f>
        <v>Current 1.5DS, 2020 start, 'Expect the Unexpected' but with cheap renewables</v>
      </c>
      <c r="B173" s="3" t="s">
        <v>21</v>
      </c>
      <c r="C173" s="3" t="s">
        <v>72</v>
      </c>
      <c r="D173" s="14">
        <v>164.94116315871048</v>
      </c>
      <c r="E173" s="14">
        <v>30.000000000000007</v>
      </c>
      <c r="F173" s="14">
        <v>130.00000000000006</v>
      </c>
      <c r="G173" s="14">
        <v>2084.229788832813</v>
      </c>
      <c r="H173" s="14">
        <v>2540.2731712916275</v>
      </c>
      <c r="I173" s="14">
        <v>6895.4339805467271</v>
      </c>
      <c r="J173" s="14">
        <v>4532.7610758571691</v>
      </c>
      <c r="K173" s="14">
        <v>2804.648664736545</v>
      </c>
      <c r="L173" s="14">
        <v>9514.5968089759663</v>
      </c>
      <c r="M173" s="14">
        <v>8899.6791341980133</v>
      </c>
      <c r="N173" s="14">
        <v>10490.442607692861</v>
      </c>
    </row>
    <row r="174" spans="1:14" x14ac:dyDescent="0.3">
      <c r="A174" s="3" t="str">
        <f>INDEX('R1. Scenario specifications'!$C$11:$C$49,MATCH($B174,'R1. Scenario specifications'!$A$11:$A$49,0))</f>
        <v>Current 1.5DS, 2030 start, 'Expect the Unexpected' but with cheap renewables</v>
      </c>
      <c r="B174" s="3" t="s">
        <v>22</v>
      </c>
      <c r="C174" s="3" t="s">
        <v>63</v>
      </c>
      <c r="D174" s="14">
        <v>0</v>
      </c>
      <c r="E174" s="14">
        <v>8.3774952878671591</v>
      </c>
      <c r="F174" s="14">
        <v>93.789531468729919</v>
      </c>
      <c r="G174" s="14">
        <v>300.17967178830617</v>
      </c>
      <c r="H174" s="14">
        <v>617.96281691786794</v>
      </c>
      <c r="I174" s="14">
        <v>6.5595387149788902</v>
      </c>
      <c r="J174" s="14">
        <v>5.9740888644216001</v>
      </c>
      <c r="K174" s="14">
        <v>0</v>
      </c>
      <c r="L174" s="14">
        <v>12.6148709652592</v>
      </c>
      <c r="M174" s="14">
        <v>6.2518627617187201</v>
      </c>
      <c r="N174" s="14">
        <v>0</v>
      </c>
    </row>
    <row r="175" spans="1:14" x14ac:dyDescent="0.3">
      <c r="A175" s="3" t="str">
        <f>INDEX('R1. Scenario specifications'!$C$11:$C$49,MATCH($B175,'R1. Scenario specifications'!$A$11:$A$49,0))</f>
        <v>Current 1.5DS, 2030 start, 'Expect the Unexpected' but with cheap renewables</v>
      </c>
      <c r="B175" s="3" t="s">
        <v>22</v>
      </c>
      <c r="C175" s="3" t="s">
        <v>73</v>
      </c>
      <c r="D175" s="14">
        <v>0</v>
      </c>
      <c r="E175" s="14">
        <v>0</v>
      </c>
      <c r="F175" s="14">
        <v>0</v>
      </c>
      <c r="G175" s="14">
        <v>0</v>
      </c>
      <c r="H175" s="14">
        <v>29.603585780917975</v>
      </c>
      <c r="I175" s="14">
        <v>1953.9329544879042</v>
      </c>
      <c r="J175" s="14">
        <v>2591.3398002973063</v>
      </c>
      <c r="K175" s="14">
        <v>0</v>
      </c>
      <c r="L175" s="14">
        <v>48.44181408396171</v>
      </c>
      <c r="M175" s="14">
        <v>1042.3422250293568</v>
      </c>
      <c r="N175" s="14">
        <v>2728.7702874248025</v>
      </c>
    </row>
    <row r="176" spans="1:14" x14ac:dyDescent="0.3">
      <c r="A176" s="3" t="str">
        <f>INDEX('R1. Scenario specifications'!$C$11:$C$49,MATCH($B176,'R1. Scenario specifications'!$A$11:$A$49,0))</f>
        <v>Current 1.5DS, 2030 start, 'Expect the Unexpected' but with cheap renewables</v>
      </c>
      <c r="B176" s="3" t="s">
        <v>22</v>
      </c>
      <c r="C176" s="3" t="s">
        <v>64</v>
      </c>
      <c r="D176" s="14">
        <v>545.32032761765083</v>
      </c>
      <c r="E176" s="14">
        <v>171.97506671901115</v>
      </c>
      <c r="F176" s="14">
        <v>0</v>
      </c>
      <c r="G176" s="14">
        <v>16.396787724521602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</row>
    <row r="177" spans="1:14" x14ac:dyDescent="0.3">
      <c r="A177" s="3" t="str">
        <f>INDEX('R1. Scenario specifications'!$C$11:$C$49,MATCH($B177,'R1. Scenario specifications'!$A$11:$A$49,0))</f>
        <v>Current 1.5DS, 2030 start, 'Expect the Unexpected' but with cheap renewables</v>
      </c>
      <c r="B177" s="3" t="s">
        <v>22</v>
      </c>
      <c r="C177" s="3" t="s">
        <v>65</v>
      </c>
      <c r="D177" s="14">
        <v>172.55578195052306</v>
      </c>
      <c r="E177" s="14">
        <v>625.93335166737552</v>
      </c>
      <c r="F177" s="14">
        <v>477.14024472244631</v>
      </c>
      <c r="G177" s="14">
        <v>16.783672963106241</v>
      </c>
      <c r="H177" s="14">
        <v>323.75752991671459</v>
      </c>
      <c r="I177" s="14">
        <v>69.394840649969623</v>
      </c>
      <c r="J177" s="14">
        <v>29.105016052629701</v>
      </c>
      <c r="K177" s="14">
        <v>75.944030178823198</v>
      </c>
      <c r="L177" s="14">
        <v>434.97536261188691</v>
      </c>
      <c r="M177" s="14">
        <v>369.88153351632832</v>
      </c>
      <c r="N177" s="14">
        <v>19.573076007148209</v>
      </c>
    </row>
    <row r="178" spans="1:14" x14ac:dyDescent="0.3">
      <c r="A178" s="3" t="str">
        <f>INDEX('R1. Scenario specifications'!$C$11:$C$49,MATCH($B178,'R1. Scenario specifications'!$A$11:$A$49,0))</f>
        <v>Current 1.5DS, 2030 start, 'Expect the Unexpected' but with cheap renewables</v>
      </c>
      <c r="B178" s="3" t="s">
        <v>22</v>
      </c>
      <c r="C178" s="3" t="s">
        <v>74</v>
      </c>
      <c r="D178" s="14">
        <v>0</v>
      </c>
      <c r="E178" s="14">
        <v>0</v>
      </c>
      <c r="F178" s="14">
        <v>0</v>
      </c>
      <c r="G178" s="14">
        <v>0</v>
      </c>
      <c r="H178" s="14">
        <v>4.5543978124489204</v>
      </c>
      <c r="I178" s="14">
        <v>868.8691105581978</v>
      </c>
      <c r="J178" s="14">
        <v>726.16375688446624</v>
      </c>
      <c r="K178" s="14">
        <v>0</v>
      </c>
      <c r="L178" s="14">
        <v>0</v>
      </c>
      <c r="M178" s="14">
        <v>0</v>
      </c>
      <c r="N178" s="14">
        <v>218.29259953683669</v>
      </c>
    </row>
    <row r="179" spans="1:14" x14ac:dyDescent="0.3">
      <c r="A179" s="3" t="str">
        <f>INDEX('R1. Scenario specifications'!$C$11:$C$49,MATCH($B179,'R1. Scenario specifications'!$A$11:$A$49,0))</f>
        <v>Current 1.5DS, 2030 start, 'Expect the Unexpected' but with cheap renewables</v>
      </c>
      <c r="B179" s="3" t="s">
        <v>22</v>
      </c>
      <c r="C179" s="3" t="s">
        <v>66</v>
      </c>
      <c r="D179" s="14">
        <v>0.27881728888888901</v>
      </c>
      <c r="E179" s="14">
        <v>0.33361993333333301</v>
      </c>
      <c r="F179" s="14">
        <v>88.922972540092587</v>
      </c>
      <c r="G179" s="14">
        <v>53.162220652850131</v>
      </c>
      <c r="H179" s="14">
        <v>984.90850857604801</v>
      </c>
      <c r="I179" s="14">
        <v>133.09992879845262</v>
      </c>
      <c r="J179" s="14">
        <v>76.612848955425108</v>
      </c>
      <c r="K179" s="14">
        <v>1.7516969217416656</v>
      </c>
      <c r="L179" s="14">
        <v>24.381322565092191</v>
      </c>
      <c r="M179" s="14">
        <v>195.25586693786428</v>
      </c>
      <c r="N179" s="14">
        <v>292.80163498417517</v>
      </c>
    </row>
    <row r="180" spans="1:14" x14ac:dyDescent="0.3">
      <c r="A180" s="3" t="str">
        <f>INDEX('R1. Scenario specifications'!$C$11:$C$49,MATCH($B180,'R1. Scenario specifications'!$A$11:$A$49,0))</f>
        <v>Current 1.5DS, 2030 start, 'Expect the Unexpected' but with cheap renewables</v>
      </c>
      <c r="B180" s="3" t="s">
        <v>22</v>
      </c>
      <c r="C180" s="3" t="s">
        <v>67</v>
      </c>
      <c r="D180" s="14">
        <v>154.73557777463142</v>
      </c>
      <c r="E180" s="14">
        <v>162.76418662806225</v>
      </c>
      <c r="F180" s="14">
        <v>90.613637816084008</v>
      </c>
      <c r="G180" s="14">
        <v>132.60270357542757</v>
      </c>
      <c r="H180" s="14">
        <v>947.53510475077064</v>
      </c>
      <c r="I180" s="14">
        <v>731.23411792403226</v>
      </c>
      <c r="J180" s="14">
        <v>9.6308932259112101</v>
      </c>
      <c r="K180" s="14">
        <v>1.3224515358027489</v>
      </c>
      <c r="L180" s="14">
        <v>115.42781161957771</v>
      </c>
      <c r="M180" s="14">
        <v>211.86061454422344</v>
      </c>
      <c r="N180" s="14">
        <v>17.8009521836068</v>
      </c>
    </row>
    <row r="181" spans="1:14" x14ac:dyDescent="0.3">
      <c r="A181" s="3" t="str">
        <f>INDEX('R1. Scenario specifications'!$C$11:$C$49,MATCH($B181,'R1. Scenario specifications'!$A$11:$A$49,0))</f>
        <v>Current 1.5DS, 2030 start, 'Expect the Unexpected' but with cheap renewables</v>
      </c>
      <c r="B181" s="3" t="s">
        <v>22</v>
      </c>
      <c r="C181" s="3" t="s">
        <v>68</v>
      </c>
      <c r="D181" s="14">
        <v>0</v>
      </c>
      <c r="E181" s="14">
        <v>0</v>
      </c>
      <c r="F181" s="14">
        <v>0</v>
      </c>
      <c r="G181" s="14">
        <v>22.553218427439354</v>
      </c>
      <c r="H181" s="14">
        <v>394.25640437796687</v>
      </c>
      <c r="I181" s="14">
        <v>529.25459719797891</v>
      </c>
      <c r="J181" s="14">
        <v>93.508452027587794</v>
      </c>
      <c r="K181" s="14">
        <v>50.242791749420952</v>
      </c>
      <c r="L181" s="14">
        <v>624.48908700607285</v>
      </c>
      <c r="M181" s="14">
        <v>475.68039738477893</v>
      </c>
      <c r="N181" s="14">
        <v>0</v>
      </c>
    </row>
    <row r="182" spans="1:14" x14ac:dyDescent="0.3">
      <c r="A182" s="3" t="str">
        <f>INDEX('R1. Scenario specifications'!$C$11:$C$49,MATCH($B182,'R1. Scenario specifications'!$A$11:$A$49,0))</f>
        <v>Current 1.5DS, 2030 start, 'Expect the Unexpected' but with cheap renewables</v>
      </c>
      <c r="B182" s="3" t="s">
        <v>22</v>
      </c>
      <c r="C182" s="3" t="s">
        <v>69</v>
      </c>
      <c r="D182" s="14">
        <v>68.24730636209857</v>
      </c>
      <c r="E182" s="14">
        <v>21.625867125843534</v>
      </c>
      <c r="F182" s="14">
        <v>0.39656849116918491</v>
      </c>
      <c r="G182" s="14">
        <v>4.39481081527373</v>
      </c>
      <c r="H182" s="14">
        <v>1.3605483079588454</v>
      </c>
      <c r="I182" s="14">
        <v>0</v>
      </c>
      <c r="J182" s="14">
        <v>46.390317351262823</v>
      </c>
      <c r="K182" s="14">
        <v>9.4349001905724297</v>
      </c>
      <c r="L182" s="14">
        <v>32.1368275249866</v>
      </c>
      <c r="M182" s="14">
        <v>17.019297434388001</v>
      </c>
      <c r="N182" s="14">
        <v>129.95807223954739</v>
      </c>
    </row>
    <row r="183" spans="1:14" x14ac:dyDescent="0.3">
      <c r="A183" s="3" t="str">
        <f>INDEX('R1. Scenario specifications'!$C$11:$C$49,MATCH($B183,'R1. Scenario specifications'!$A$11:$A$49,0))</f>
        <v>Current 1.5DS, 2030 start, 'Expect the Unexpected' but with cheap renewables</v>
      </c>
      <c r="B183" s="3" t="s">
        <v>22</v>
      </c>
      <c r="C183" s="3" t="s">
        <v>70</v>
      </c>
      <c r="D183" s="14">
        <v>12.637708883949241</v>
      </c>
      <c r="E183" s="14">
        <v>82.719415916369499</v>
      </c>
      <c r="F183" s="14">
        <v>97.288686865313664</v>
      </c>
      <c r="G183" s="14">
        <v>401.65756364057171</v>
      </c>
      <c r="H183" s="14">
        <v>2598.956450292817</v>
      </c>
      <c r="I183" s="14">
        <v>5504.0494952967283</v>
      </c>
      <c r="J183" s="14">
        <v>10066.247511813737</v>
      </c>
      <c r="K183" s="14">
        <v>2691.4781848477942</v>
      </c>
      <c r="L183" s="14">
        <v>5532.2147630750142</v>
      </c>
      <c r="M183" s="14">
        <v>11377.840779090509</v>
      </c>
      <c r="N183" s="14">
        <v>3318.4409995338274</v>
      </c>
    </row>
    <row r="184" spans="1:14" x14ac:dyDescent="0.3">
      <c r="A184" s="3" t="str">
        <f>INDEX('R1. Scenario specifications'!$C$11:$C$49,MATCH($B184,'R1. Scenario specifications'!$A$11:$A$49,0))</f>
        <v>Current 1.5DS, 2030 start, 'Expect the Unexpected' but with cheap renewables</v>
      </c>
      <c r="B184" s="3" t="s">
        <v>22</v>
      </c>
      <c r="C184" s="3" t="s">
        <v>71</v>
      </c>
      <c r="D184" s="14">
        <v>3.9388921868092472E-3</v>
      </c>
      <c r="E184" s="14">
        <v>1.0352472304670233</v>
      </c>
      <c r="F184" s="14">
        <v>1.710734171095331</v>
      </c>
      <c r="G184" s="14">
        <v>10.613038269375846</v>
      </c>
      <c r="H184" s="14">
        <v>59.916294938263462</v>
      </c>
      <c r="I184" s="14">
        <v>10.443934342870589</v>
      </c>
      <c r="J184" s="14">
        <v>42.204677129298872</v>
      </c>
      <c r="K184" s="14">
        <v>38.178754388047409</v>
      </c>
      <c r="L184" s="14">
        <v>24.39368446614656</v>
      </c>
      <c r="M184" s="14">
        <v>40.433138552135503</v>
      </c>
      <c r="N184" s="14">
        <v>32.119994468435507</v>
      </c>
    </row>
    <row r="185" spans="1:14" x14ac:dyDescent="0.3">
      <c r="A185" s="3" t="str">
        <f>INDEX('R1. Scenario specifications'!$C$11:$C$49,MATCH($B185,'R1. Scenario specifications'!$A$11:$A$49,0))</f>
        <v>Current 1.5DS, 2030 start, 'Expect the Unexpected' but with cheap renewables</v>
      </c>
      <c r="B185" s="3" t="s">
        <v>22</v>
      </c>
      <c r="C185" s="3" t="s">
        <v>72</v>
      </c>
      <c r="D185" s="14">
        <v>164.94116315871048</v>
      </c>
      <c r="E185" s="14">
        <v>30.000000000000007</v>
      </c>
      <c r="F185" s="14">
        <v>130.00000000000006</v>
      </c>
      <c r="G185" s="14">
        <v>1203.724349327679</v>
      </c>
      <c r="H185" s="14">
        <v>2188.5726519594446</v>
      </c>
      <c r="I185" s="14">
        <v>4781.2557538729698</v>
      </c>
      <c r="J185" s="14">
        <v>8941.6719792211279</v>
      </c>
      <c r="K185" s="14">
        <v>79.270239951694251</v>
      </c>
      <c r="L185" s="14">
        <v>4848.3611814515516</v>
      </c>
      <c r="M185" s="14">
        <v>7974.0002287314846</v>
      </c>
      <c r="N185" s="14">
        <v>5430.7121531329058</v>
      </c>
    </row>
    <row r="186" spans="1:14" x14ac:dyDescent="0.3">
      <c r="A186" s="3" t="str">
        <f>INDEX('R1. Scenario specifications'!$C$11:$C$49,MATCH($B186,'R1. Scenario specifications'!$A$11:$A$49,0))</f>
        <v>Current 1.5DS, 2020 start, 'Expect the Unexpected' but with cheap CCS</v>
      </c>
      <c r="B186" s="3" t="s">
        <v>23</v>
      </c>
      <c r="C186" s="3" t="s">
        <v>63</v>
      </c>
      <c r="D186" s="14">
        <v>0</v>
      </c>
      <c r="E186" s="14">
        <v>8.3774952878671591</v>
      </c>
      <c r="F186" s="14">
        <v>93.789531468729919</v>
      </c>
      <c r="G186" s="14">
        <v>492.12596068017604</v>
      </c>
      <c r="H186" s="14">
        <v>141.00572323594605</v>
      </c>
      <c r="I186" s="14">
        <v>5.6538323909940802</v>
      </c>
      <c r="J186" s="14">
        <v>0.326212708969917</v>
      </c>
      <c r="K186" s="14">
        <v>0</v>
      </c>
      <c r="L186" s="14">
        <v>5.1875779910786397</v>
      </c>
      <c r="M186" s="14">
        <v>0</v>
      </c>
      <c r="N186" s="14">
        <v>0.81313750638010995</v>
      </c>
    </row>
    <row r="187" spans="1:14" x14ac:dyDescent="0.3">
      <c r="A187" s="3" t="str">
        <f>INDEX('R1. Scenario specifications'!$C$11:$C$49,MATCH($B187,'R1. Scenario specifications'!$A$11:$A$49,0))</f>
        <v>Current 1.5DS, 2020 start, 'Expect the Unexpected' but with cheap CCS</v>
      </c>
      <c r="B187" s="3" t="s">
        <v>23</v>
      </c>
      <c r="C187" s="3" t="s">
        <v>73</v>
      </c>
      <c r="D187" s="14">
        <v>0</v>
      </c>
      <c r="E187" s="14">
        <v>0</v>
      </c>
      <c r="F187" s="14">
        <v>0</v>
      </c>
      <c r="G187" s="14">
        <v>32.342658057002005</v>
      </c>
      <c r="H187" s="14">
        <v>798.18375724210193</v>
      </c>
      <c r="I187" s="14">
        <v>1334.242437178028</v>
      </c>
      <c r="J187" s="14">
        <v>968.23590882994768</v>
      </c>
      <c r="K187" s="14">
        <v>53.973618293427478</v>
      </c>
      <c r="L187" s="14">
        <v>1967.6384898202086</v>
      </c>
      <c r="M187" s="14">
        <v>1055.45865841523</v>
      </c>
      <c r="N187" s="14">
        <v>701.30133395342432</v>
      </c>
    </row>
    <row r="188" spans="1:14" x14ac:dyDescent="0.3">
      <c r="A188" s="3" t="str">
        <f>INDEX('R1. Scenario specifications'!$C$11:$C$49,MATCH($B188,'R1. Scenario specifications'!$A$11:$A$49,0))</f>
        <v>Current 1.5DS, 2020 start, 'Expect the Unexpected' but with cheap CCS</v>
      </c>
      <c r="B188" s="3" t="s">
        <v>23</v>
      </c>
      <c r="C188" s="3" t="s">
        <v>64</v>
      </c>
      <c r="D188" s="14">
        <v>545.32032761765083</v>
      </c>
      <c r="E188" s="14">
        <v>171.97506671901115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</row>
    <row r="189" spans="1:14" x14ac:dyDescent="0.3">
      <c r="A189" s="3" t="str">
        <f>INDEX('R1. Scenario specifications'!$C$11:$C$49,MATCH($B189,'R1. Scenario specifications'!$A$11:$A$49,0))</f>
        <v>Current 1.5DS, 2020 start, 'Expect the Unexpected' but with cheap CCS</v>
      </c>
      <c r="B189" s="3" t="s">
        <v>23</v>
      </c>
      <c r="C189" s="3" t="s">
        <v>65</v>
      </c>
      <c r="D189" s="14">
        <v>172.55578195052306</v>
      </c>
      <c r="E189" s="14">
        <v>625.93335166737552</v>
      </c>
      <c r="F189" s="14">
        <v>477.14024472244631</v>
      </c>
      <c r="G189" s="14">
        <v>375.31632509758379</v>
      </c>
      <c r="H189" s="14">
        <v>77.455507557427893</v>
      </c>
      <c r="I189" s="14">
        <v>11.080716073913599</v>
      </c>
      <c r="J189" s="14">
        <v>62.817395459086043</v>
      </c>
      <c r="K189" s="14">
        <v>54.309198637716889</v>
      </c>
      <c r="L189" s="14">
        <v>98.974738597724681</v>
      </c>
      <c r="M189" s="14">
        <v>53.126983383965495</v>
      </c>
      <c r="N189" s="14">
        <v>76.977037593115625</v>
      </c>
    </row>
    <row r="190" spans="1:14" x14ac:dyDescent="0.3">
      <c r="A190" s="3" t="str">
        <f>INDEX('R1. Scenario specifications'!$C$11:$C$49,MATCH($B190,'R1. Scenario specifications'!$A$11:$A$49,0))</f>
        <v>Current 1.5DS, 2020 start, 'Expect the Unexpected' but with cheap CCS</v>
      </c>
      <c r="B190" s="3" t="s">
        <v>23</v>
      </c>
      <c r="C190" s="3" t="s">
        <v>74</v>
      </c>
      <c r="D190" s="14">
        <v>0</v>
      </c>
      <c r="E190" s="14">
        <v>0</v>
      </c>
      <c r="F190" s="14">
        <v>0</v>
      </c>
      <c r="G190" s="14">
        <v>1.8153255363648859</v>
      </c>
      <c r="H190" s="14">
        <v>323.91609194057713</v>
      </c>
      <c r="I190" s="14">
        <v>2066.1672618696043</v>
      </c>
      <c r="J190" s="14">
        <v>737.98035302131223</v>
      </c>
      <c r="K190" s="14">
        <v>20.059870753176298</v>
      </c>
      <c r="L190" s="14">
        <v>782.73772606472221</v>
      </c>
      <c r="M190" s="14">
        <v>419.93214667235515</v>
      </c>
      <c r="N190" s="14">
        <v>484.04418232829869</v>
      </c>
    </row>
    <row r="191" spans="1:14" x14ac:dyDescent="0.3">
      <c r="A191" s="3" t="str">
        <f>INDEX('R1. Scenario specifications'!$C$11:$C$49,MATCH($B191,'R1. Scenario specifications'!$A$11:$A$49,0))</f>
        <v>Current 1.5DS, 2020 start, 'Expect the Unexpected' but with cheap CCS</v>
      </c>
      <c r="B191" s="3" t="s">
        <v>23</v>
      </c>
      <c r="C191" s="3" t="s">
        <v>66</v>
      </c>
      <c r="D191" s="14">
        <v>0.27881728888888901</v>
      </c>
      <c r="E191" s="14">
        <v>0.33361993333333301</v>
      </c>
      <c r="F191" s="14">
        <v>88.922972540092587</v>
      </c>
      <c r="G191" s="14">
        <v>488.34249153462991</v>
      </c>
      <c r="H191" s="14">
        <v>356.54178847215195</v>
      </c>
      <c r="I191" s="14">
        <v>51.936892319699922</v>
      </c>
      <c r="J191" s="14">
        <v>78.569574066276772</v>
      </c>
      <c r="K191" s="14">
        <v>9.1900344577095527</v>
      </c>
      <c r="L191" s="14">
        <v>453.56541110173538</v>
      </c>
      <c r="M191" s="14">
        <v>44.508934326772291</v>
      </c>
      <c r="N191" s="14">
        <v>1333.9895459242925</v>
      </c>
    </row>
    <row r="192" spans="1:14" x14ac:dyDescent="0.3">
      <c r="A192" s="3" t="str">
        <f>INDEX('R1. Scenario specifications'!$C$11:$C$49,MATCH($B192,'R1. Scenario specifications'!$A$11:$A$49,0))</f>
        <v>Current 1.5DS, 2020 start, 'Expect the Unexpected' but with cheap CCS</v>
      </c>
      <c r="B192" s="3" t="s">
        <v>23</v>
      </c>
      <c r="C192" s="3" t="s">
        <v>67</v>
      </c>
      <c r="D192" s="14">
        <v>154.73557777463142</v>
      </c>
      <c r="E192" s="14">
        <v>162.76418662806225</v>
      </c>
      <c r="F192" s="14">
        <v>90.613637816084008</v>
      </c>
      <c r="G192" s="14">
        <v>764.699677627293</v>
      </c>
      <c r="H192" s="14">
        <v>351.75324756686024</v>
      </c>
      <c r="I192" s="14">
        <v>439.25926528510581</v>
      </c>
      <c r="J192" s="14">
        <v>48.586111998143728</v>
      </c>
      <c r="K192" s="14">
        <v>241.98136812425764</v>
      </c>
      <c r="L192" s="14">
        <v>251.22068367395812</v>
      </c>
      <c r="M192" s="14">
        <v>193.66702715665392</v>
      </c>
      <c r="N192" s="14">
        <v>20.566198575260113</v>
      </c>
    </row>
    <row r="193" spans="1:14" x14ac:dyDescent="0.3">
      <c r="A193" s="3" t="str">
        <f>INDEX('R1. Scenario specifications'!$C$11:$C$49,MATCH($B193,'R1. Scenario specifications'!$A$11:$A$49,0))</f>
        <v>Current 1.5DS, 2020 start, 'Expect the Unexpected' but with cheap CCS</v>
      </c>
      <c r="B193" s="3" t="s">
        <v>23</v>
      </c>
      <c r="C193" s="3" t="s">
        <v>68</v>
      </c>
      <c r="D193" s="14">
        <v>0</v>
      </c>
      <c r="E193" s="14">
        <v>0</v>
      </c>
      <c r="F193" s="14">
        <v>0</v>
      </c>
      <c r="G193" s="14">
        <v>140.00690235635216</v>
      </c>
      <c r="H193" s="14">
        <v>383.78516909547955</v>
      </c>
      <c r="I193" s="14">
        <v>544.97506132848343</v>
      </c>
      <c r="J193" s="14">
        <v>75.886707221935012</v>
      </c>
      <c r="K193" s="14">
        <v>316.42850528155691</v>
      </c>
      <c r="L193" s="14">
        <v>472.42582776137522</v>
      </c>
      <c r="M193" s="14">
        <v>614.72913613878745</v>
      </c>
      <c r="N193" s="14">
        <v>0</v>
      </c>
    </row>
    <row r="194" spans="1:14" x14ac:dyDescent="0.3">
      <c r="A194" s="3" t="str">
        <f>INDEX('R1. Scenario specifications'!$C$11:$C$49,MATCH($B194,'R1. Scenario specifications'!$A$11:$A$49,0))</f>
        <v>Current 1.5DS, 2020 start, 'Expect the Unexpected' but with cheap CCS</v>
      </c>
      <c r="B194" s="3" t="s">
        <v>23</v>
      </c>
      <c r="C194" s="3" t="s">
        <v>69</v>
      </c>
      <c r="D194" s="14">
        <v>68.24730636209857</v>
      </c>
      <c r="E194" s="14">
        <v>21.625867125843534</v>
      </c>
      <c r="F194" s="14">
        <v>0.39656849116918491</v>
      </c>
      <c r="G194" s="14">
        <v>3.0236735783910378</v>
      </c>
      <c r="H194" s="14">
        <v>0</v>
      </c>
      <c r="I194" s="14">
        <v>4.1771300829998896</v>
      </c>
      <c r="J194" s="14">
        <v>46.754054307678132</v>
      </c>
      <c r="K194" s="14">
        <v>27.355843960058394</v>
      </c>
      <c r="L194" s="14">
        <v>45.653266484567702</v>
      </c>
      <c r="M194" s="14">
        <v>43.977957644748706</v>
      </c>
      <c r="N194" s="14">
        <v>146.96814936401799</v>
      </c>
    </row>
    <row r="195" spans="1:14" x14ac:dyDescent="0.3">
      <c r="A195" s="3" t="str">
        <f>INDEX('R1. Scenario specifications'!$C$11:$C$49,MATCH($B195,'R1. Scenario specifications'!$A$11:$A$49,0))</f>
        <v>Current 1.5DS, 2020 start, 'Expect the Unexpected' but with cheap CCS</v>
      </c>
      <c r="B195" s="3" t="s">
        <v>23</v>
      </c>
      <c r="C195" s="3" t="s">
        <v>70</v>
      </c>
      <c r="D195" s="14">
        <v>12.637708883949241</v>
      </c>
      <c r="E195" s="14">
        <v>82.719415916369499</v>
      </c>
      <c r="F195" s="14">
        <v>97.288686865313664</v>
      </c>
      <c r="G195" s="14">
        <v>768.10910564402639</v>
      </c>
      <c r="H195" s="14">
        <v>2945.6274982327513</v>
      </c>
      <c r="I195" s="14">
        <v>5387.9584850048186</v>
      </c>
      <c r="J195" s="14">
        <v>6574.1389740937002</v>
      </c>
      <c r="K195" s="14">
        <v>3432.8556834649248</v>
      </c>
      <c r="L195" s="14">
        <v>8175.806987337769</v>
      </c>
      <c r="M195" s="14">
        <v>9357.3331523161687</v>
      </c>
      <c r="N195" s="14">
        <v>6775.0240960038636</v>
      </c>
    </row>
    <row r="196" spans="1:14" x14ac:dyDescent="0.3">
      <c r="A196" s="3" t="str">
        <f>INDEX('R1. Scenario specifications'!$C$11:$C$49,MATCH($B196,'R1. Scenario specifications'!$A$11:$A$49,0))</f>
        <v>Current 1.5DS, 2020 start, 'Expect the Unexpected' but with cheap CCS</v>
      </c>
      <c r="B196" s="3" t="s">
        <v>23</v>
      </c>
      <c r="C196" s="3" t="s">
        <v>71</v>
      </c>
      <c r="D196" s="14">
        <v>3.9388921868092472E-3</v>
      </c>
      <c r="E196" s="14">
        <v>1.0352472304670233</v>
      </c>
      <c r="F196" s="14">
        <v>1.710734171095331</v>
      </c>
      <c r="G196" s="14">
        <v>15.815621965788013</v>
      </c>
      <c r="H196" s="14">
        <v>94.155458288665159</v>
      </c>
      <c r="I196" s="14">
        <v>135.41001199850683</v>
      </c>
      <c r="J196" s="14">
        <v>172.16517301823245</v>
      </c>
      <c r="K196" s="14">
        <v>112.27545312724149</v>
      </c>
      <c r="L196" s="14">
        <v>151.55355958751213</v>
      </c>
      <c r="M196" s="14">
        <v>145.85164268901087</v>
      </c>
      <c r="N196" s="14">
        <v>129.52765430329592</v>
      </c>
    </row>
    <row r="197" spans="1:14" x14ac:dyDescent="0.3">
      <c r="A197" s="3" t="str">
        <f>INDEX('R1. Scenario specifications'!$C$11:$C$49,MATCH($B197,'R1. Scenario specifications'!$A$11:$A$49,0))</f>
        <v>Current 1.5DS, 2020 start, 'Expect the Unexpected' but with cheap CCS</v>
      </c>
      <c r="B197" s="3" t="s">
        <v>23</v>
      </c>
      <c r="C197" s="3" t="s">
        <v>72</v>
      </c>
      <c r="D197" s="14">
        <v>164.94116315871048</v>
      </c>
      <c r="E197" s="14">
        <v>30.000000000000007</v>
      </c>
      <c r="F197" s="14">
        <v>130.00000000000006</v>
      </c>
      <c r="G197" s="14">
        <v>1578.2302879462022</v>
      </c>
      <c r="H197" s="14">
        <v>2304.2028181826663</v>
      </c>
      <c r="I197" s="14">
        <v>5641.115201977459</v>
      </c>
      <c r="J197" s="14">
        <v>5466.4198692910522</v>
      </c>
      <c r="K197" s="14">
        <v>1894.5276254111488</v>
      </c>
      <c r="L197" s="14">
        <v>9616.9379523925545</v>
      </c>
      <c r="M197" s="14">
        <v>8830.0615941018386</v>
      </c>
      <c r="N197" s="14">
        <v>10606.892860986722</v>
      </c>
    </row>
    <row r="198" spans="1:14" x14ac:dyDescent="0.3">
      <c r="A198" s="3" t="str">
        <f>INDEX('R1. Scenario specifications'!$C$11:$C$49,MATCH($B198,'R1. Scenario specifications'!$A$11:$A$49,0))</f>
        <v>Current 1.5DS, 2030 start, 'Expect the Unexpected' but with cheap CCS</v>
      </c>
      <c r="B198" s="3" t="s">
        <v>24</v>
      </c>
      <c r="C198" s="3" t="s">
        <v>63</v>
      </c>
      <c r="D198" s="14">
        <v>0</v>
      </c>
      <c r="E198" s="14">
        <v>8.3774952878671591</v>
      </c>
      <c r="F198" s="14">
        <v>93.789531468729919</v>
      </c>
      <c r="G198" s="14">
        <v>300.17967178830617</v>
      </c>
      <c r="H198" s="14">
        <v>709.64727023295404</v>
      </c>
      <c r="I198" s="14">
        <v>9.8115311328280601</v>
      </c>
      <c r="J198" s="14">
        <v>16.068552843393199</v>
      </c>
      <c r="K198" s="14">
        <v>0</v>
      </c>
      <c r="L198" s="14">
        <v>11.189322456909199</v>
      </c>
      <c r="M198" s="14">
        <v>5.127183620293482</v>
      </c>
      <c r="N198" s="14">
        <v>0</v>
      </c>
    </row>
    <row r="199" spans="1:14" x14ac:dyDescent="0.3">
      <c r="A199" s="3" t="str">
        <f>INDEX('R1. Scenario specifications'!$C$11:$C$49,MATCH($B199,'R1. Scenario specifications'!$A$11:$A$49,0))</f>
        <v>Current 1.5DS, 2030 start, 'Expect the Unexpected' but with cheap CCS</v>
      </c>
      <c r="B199" s="3" t="s">
        <v>24</v>
      </c>
      <c r="C199" s="3" t="s">
        <v>73</v>
      </c>
      <c r="D199" s="14">
        <v>0</v>
      </c>
      <c r="E199" s="14">
        <v>0</v>
      </c>
      <c r="F199" s="14">
        <v>0</v>
      </c>
      <c r="G199" s="14">
        <v>0</v>
      </c>
      <c r="H199" s="14">
        <v>27.33146094537037</v>
      </c>
      <c r="I199" s="14">
        <v>1983.3393075977715</v>
      </c>
      <c r="J199" s="14">
        <v>2209.3230540849945</v>
      </c>
      <c r="K199" s="14">
        <v>0</v>
      </c>
      <c r="L199" s="14">
        <v>128.78973033163248</v>
      </c>
      <c r="M199" s="14">
        <v>1369.3890578796515</v>
      </c>
      <c r="N199" s="14">
        <v>1941.2072674325161</v>
      </c>
    </row>
    <row r="200" spans="1:14" x14ac:dyDescent="0.3">
      <c r="A200" s="3" t="str">
        <f>INDEX('R1. Scenario specifications'!$C$11:$C$49,MATCH($B200,'R1. Scenario specifications'!$A$11:$A$49,0))</f>
        <v>Current 1.5DS, 2030 start, 'Expect the Unexpected' but with cheap CCS</v>
      </c>
      <c r="B200" s="3" t="s">
        <v>24</v>
      </c>
      <c r="C200" s="3" t="s">
        <v>64</v>
      </c>
      <c r="D200" s="14">
        <v>545.32032761765083</v>
      </c>
      <c r="E200" s="14">
        <v>171.97506671901115</v>
      </c>
      <c r="F200" s="14">
        <v>0</v>
      </c>
      <c r="G200" s="14">
        <v>16.396787724521602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</row>
    <row r="201" spans="1:14" x14ac:dyDescent="0.3">
      <c r="A201" s="3" t="str">
        <f>INDEX('R1. Scenario specifications'!$C$11:$C$49,MATCH($B201,'R1. Scenario specifications'!$A$11:$A$49,0))</f>
        <v>Current 1.5DS, 2030 start, 'Expect the Unexpected' but with cheap CCS</v>
      </c>
      <c r="B201" s="3" t="s">
        <v>24</v>
      </c>
      <c r="C201" s="3" t="s">
        <v>65</v>
      </c>
      <c r="D201" s="14">
        <v>172.55578195052306</v>
      </c>
      <c r="E201" s="14">
        <v>625.93335166737552</v>
      </c>
      <c r="F201" s="14">
        <v>477.14024472244631</v>
      </c>
      <c r="G201" s="14">
        <v>16.783672963106241</v>
      </c>
      <c r="H201" s="14">
        <v>335.0069829868458</v>
      </c>
      <c r="I201" s="14">
        <v>64.453809423332146</v>
      </c>
      <c r="J201" s="14">
        <v>33.861414447100998</v>
      </c>
      <c r="K201" s="14">
        <v>158.45394936640861</v>
      </c>
      <c r="L201" s="14">
        <v>438.59380693895753</v>
      </c>
      <c r="M201" s="14">
        <v>183.24214592306478</v>
      </c>
      <c r="N201" s="14">
        <v>29.937063020739458</v>
      </c>
    </row>
    <row r="202" spans="1:14" x14ac:dyDescent="0.3">
      <c r="A202" s="3" t="str">
        <f>INDEX('R1. Scenario specifications'!$C$11:$C$49,MATCH($B202,'R1. Scenario specifications'!$A$11:$A$49,0))</f>
        <v>Current 1.5DS, 2030 start, 'Expect the Unexpected' but with cheap CCS</v>
      </c>
      <c r="B202" s="3" t="s">
        <v>24</v>
      </c>
      <c r="C202" s="3" t="s">
        <v>74</v>
      </c>
      <c r="D202" s="14">
        <v>0</v>
      </c>
      <c r="E202" s="14">
        <v>0</v>
      </c>
      <c r="F202" s="14">
        <v>0</v>
      </c>
      <c r="G202" s="14">
        <v>0</v>
      </c>
      <c r="H202" s="14">
        <v>6.8265226479965202</v>
      </c>
      <c r="I202" s="14">
        <v>855.7111115862582</v>
      </c>
      <c r="J202" s="14">
        <v>963.58284460285165</v>
      </c>
      <c r="K202" s="14">
        <v>0</v>
      </c>
      <c r="L202" s="14">
        <v>0</v>
      </c>
      <c r="M202" s="14">
        <v>123.9006335556731</v>
      </c>
      <c r="N202" s="14">
        <v>84.826603503738085</v>
      </c>
    </row>
    <row r="203" spans="1:14" x14ac:dyDescent="0.3">
      <c r="A203" s="3" t="str">
        <f>INDEX('R1. Scenario specifications'!$C$11:$C$49,MATCH($B203,'R1. Scenario specifications'!$A$11:$A$49,0))</f>
        <v>Current 1.5DS, 2030 start, 'Expect the Unexpected' but with cheap CCS</v>
      </c>
      <c r="B203" s="3" t="s">
        <v>24</v>
      </c>
      <c r="C203" s="3" t="s">
        <v>66</v>
      </c>
      <c r="D203" s="14">
        <v>0.27881728888888901</v>
      </c>
      <c r="E203" s="14">
        <v>0.33361993333333301</v>
      </c>
      <c r="F203" s="14">
        <v>88.922972540092587</v>
      </c>
      <c r="G203" s="14">
        <v>53.162220652850131</v>
      </c>
      <c r="H203" s="14">
        <v>1035.7543996071456</v>
      </c>
      <c r="I203" s="14">
        <v>52.289097484560216</v>
      </c>
      <c r="J203" s="14">
        <v>78.569574066276772</v>
      </c>
      <c r="K203" s="14">
        <v>2.0256421880194435</v>
      </c>
      <c r="L203" s="14">
        <v>23.219361323341612</v>
      </c>
      <c r="M203" s="14">
        <v>241.6841823254552</v>
      </c>
      <c r="N203" s="14">
        <v>93.716127835899414</v>
      </c>
    </row>
    <row r="204" spans="1:14" x14ac:dyDescent="0.3">
      <c r="A204" s="3" t="str">
        <f>INDEX('R1. Scenario specifications'!$C$11:$C$49,MATCH($B204,'R1. Scenario specifications'!$A$11:$A$49,0))</f>
        <v>Current 1.5DS, 2030 start, 'Expect the Unexpected' but with cheap CCS</v>
      </c>
      <c r="B204" s="3" t="s">
        <v>24</v>
      </c>
      <c r="C204" s="3" t="s">
        <v>67</v>
      </c>
      <c r="D204" s="14">
        <v>154.73557777463142</v>
      </c>
      <c r="E204" s="14">
        <v>162.76418662806225</v>
      </c>
      <c r="F204" s="14">
        <v>90.613637816084008</v>
      </c>
      <c r="G204" s="14">
        <v>132.60270357542757</v>
      </c>
      <c r="H204" s="14">
        <v>855.74830990203611</v>
      </c>
      <c r="I204" s="14">
        <v>798.39326082394462</v>
      </c>
      <c r="J204" s="14">
        <v>12.140644664380041</v>
      </c>
      <c r="K204" s="14">
        <v>3.339673426365998</v>
      </c>
      <c r="L204" s="14">
        <v>133.21691281652718</v>
      </c>
      <c r="M204" s="14">
        <v>187.10460471104273</v>
      </c>
      <c r="N204" s="14">
        <v>5.9336507278689403</v>
      </c>
    </row>
    <row r="205" spans="1:14" x14ac:dyDescent="0.3">
      <c r="A205" s="3" t="str">
        <f>INDEX('R1. Scenario specifications'!$C$11:$C$49,MATCH($B205,'R1. Scenario specifications'!$A$11:$A$49,0))</f>
        <v>Current 1.5DS, 2030 start, 'Expect the Unexpected' but with cheap CCS</v>
      </c>
      <c r="B205" s="3" t="s">
        <v>24</v>
      </c>
      <c r="C205" s="3" t="s">
        <v>68</v>
      </c>
      <c r="D205" s="14">
        <v>0</v>
      </c>
      <c r="E205" s="14">
        <v>0</v>
      </c>
      <c r="F205" s="14">
        <v>0</v>
      </c>
      <c r="G205" s="14">
        <v>22.553218427439354</v>
      </c>
      <c r="H205" s="14">
        <v>376.05855499498739</v>
      </c>
      <c r="I205" s="14">
        <v>557.24172477939737</v>
      </c>
      <c r="J205" s="14">
        <v>88.534232303704599</v>
      </c>
      <c r="K205" s="14">
        <v>86.683037751965387</v>
      </c>
      <c r="L205" s="14">
        <v>539.42755680416406</v>
      </c>
      <c r="M205" s="14">
        <v>513.569785130181</v>
      </c>
      <c r="N205" s="14">
        <v>0</v>
      </c>
    </row>
    <row r="206" spans="1:14" x14ac:dyDescent="0.3">
      <c r="A206" s="3" t="str">
        <f>INDEX('R1. Scenario specifications'!$C$11:$C$49,MATCH($B206,'R1. Scenario specifications'!$A$11:$A$49,0))</f>
        <v>Current 1.5DS, 2030 start, 'Expect the Unexpected' but with cheap CCS</v>
      </c>
      <c r="B206" s="3" t="s">
        <v>24</v>
      </c>
      <c r="C206" s="3" t="s">
        <v>69</v>
      </c>
      <c r="D206" s="14">
        <v>68.24730636209857</v>
      </c>
      <c r="E206" s="14">
        <v>21.625867125843534</v>
      </c>
      <c r="F206" s="14">
        <v>0.39656849116918491</v>
      </c>
      <c r="G206" s="14">
        <v>4.39481081527373</v>
      </c>
      <c r="H206" s="14">
        <v>2.74617559009805</v>
      </c>
      <c r="I206" s="14">
        <v>7.4565798215671402</v>
      </c>
      <c r="J206" s="14">
        <v>38.854433765165837</v>
      </c>
      <c r="K206" s="14">
        <v>10.7695858724866</v>
      </c>
      <c r="L206" s="14">
        <v>31.750696898506401</v>
      </c>
      <c r="M206" s="14">
        <v>17.394425325611401</v>
      </c>
      <c r="N206" s="14">
        <v>147.72160336219781</v>
      </c>
    </row>
    <row r="207" spans="1:14" x14ac:dyDescent="0.3">
      <c r="A207" s="3" t="str">
        <f>INDEX('R1. Scenario specifications'!$C$11:$C$49,MATCH($B207,'R1. Scenario specifications'!$A$11:$A$49,0))</f>
        <v>Current 1.5DS, 2030 start, 'Expect the Unexpected' but with cheap CCS</v>
      </c>
      <c r="B207" s="3" t="s">
        <v>24</v>
      </c>
      <c r="C207" s="3" t="s">
        <v>70</v>
      </c>
      <c r="D207" s="14">
        <v>12.637708883949241</v>
      </c>
      <c r="E207" s="14">
        <v>82.719415916369499</v>
      </c>
      <c r="F207" s="14">
        <v>97.288686865313664</v>
      </c>
      <c r="G207" s="14">
        <v>401.65756364057171</v>
      </c>
      <c r="H207" s="14">
        <v>2009.0554684903395</v>
      </c>
      <c r="I207" s="14">
        <v>4846.3888234283868</v>
      </c>
      <c r="J207" s="14">
        <v>10178.106011933651</v>
      </c>
      <c r="K207" s="14">
        <v>2509.2899004211486</v>
      </c>
      <c r="L207" s="14">
        <v>4853.287729247817</v>
      </c>
      <c r="M207" s="14">
        <v>11201.187390968349</v>
      </c>
      <c r="N207" s="14">
        <v>3700.7125545069839</v>
      </c>
    </row>
    <row r="208" spans="1:14" x14ac:dyDescent="0.3">
      <c r="A208" s="3" t="str">
        <f>INDEX('R1. Scenario specifications'!$C$11:$C$49,MATCH($B208,'R1. Scenario specifications'!$A$11:$A$49,0))</f>
        <v>Current 1.5DS, 2030 start, 'Expect the Unexpected' but with cheap CCS</v>
      </c>
      <c r="B208" s="3" t="s">
        <v>24</v>
      </c>
      <c r="C208" s="3" t="s">
        <v>71</v>
      </c>
      <c r="D208" s="14">
        <v>3.9388921868092472E-3</v>
      </c>
      <c r="E208" s="14">
        <v>1.0352472304670233</v>
      </c>
      <c r="F208" s="14">
        <v>1.710734171095331</v>
      </c>
      <c r="G208" s="14">
        <v>10.613038269375846</v>
      </c>
      <c r="H208" s="14">
        <v>44.323461722034772</v>
      </c>
      <c r="I208" s="14">
        <v>29.830702548924371</v>
      </c>
      <c r="J208" s="14">
        <v>29.820637534040845</v>
      </c>
      <c r="K208" s="14">
        <v>37.997739395118181</v>
      </c>
      <c r="L208" s="14">
        <v>29.823124943832344</v>
      </c>
      <c r="M208" s="14">
        <v>33.410045858737725</v>
      </c>
      <c r="N208" s="14">
        <v>34.403725294954867</v>
      </c>
    </row>
    <row r="209" spans="1:14" x14ac:dyDescent="0.3">
      <c r="A209" s="3" t="str">
        <f>INDEX('R1. Scenario specifications'!$C$11:$C$49,MATCH($B209,'R1. Scenario specifications'!$A$11:$A$49,0))</f>
        <v>Current 1.5DS, 2030 start, 'Expect the Unexpected' but with cheap CCS</v>
      </c>
      <c r="B209" s="3" t="s">
        <v>24</v>
      </c>
      <c r="C209" s="3" t="s">
        <v>72</v>
      </c>
      <c r="D209" s="14">
        <v>164.94116315871048</v>
      </c>
      <c r="E209" s="14">
        <v>30.000000000000007</v>
      </c>
      <c r="F209" s="14">
        <v>130.00000000000006</v>
      </c>
      <c r="G209" s="14">
        <v>1203.724349327679</v>
      </c>
      <c r="H209" s="14">
        <v>1861.608628419785</v>
      </c>
      <c r="I209" s="14">
        <v>4372.727693989189</v>
      </c>
      <c r="J209" s="14">
        <v>8913.0762242145702</v>
      </c>
      <c r="K209" s="14">
        <v>38.577539804724168</v>
      </c>
      <c r="L209" s="14">
        <v>4548.6303329466327</v>
      </c>
      <c r="M209" s="14">
        <v>8183.6801605216588</v>
      </c>
      <c r="N209" s="14">
        <v>5210.8280902155257</v>
      </c>
    </row>
    <row r="210" spans="1:14" x14ac:dyDescent="0.3">
      <c r="A210" s="3" t="str">
        <f>INDEX('R1. Scenario specifications'!$C$11:$C$49,MATCH($B210,'R1. Scenario specifications'!$A$11:$A$49,0))</f>
        <v>Current 1.5DS, 2020 start, 'Expect the Unexpected' but with cheap EVs</v>
      </c>
      <c r="B210" s="3" t="s">
        <v>25</v>
      </c>
      <c r="C210" s="3" t="s">
        <v>63</v>
      </c>
      <c r="D210" s="14">
        <v>0</v>
      </c>
      <c r="E210" s="14">
        <v>8.3774952878671591</v>
      </c>
      <c r="F210" s="14">
        <v>93.789531468729919</v>
      </c>
      <c r="G210" s="14">
        <v>465.79343683627718</v>
      </c>
      <c r="H210" s="14">
        <v>155.51808763107559</v>
      </c>
      <c r="I210" s="14">
        <v>5.32404826166698</v>
      </c>
      <c r="J210" s="14">
        <v>0.65833554771603697</v>
      </c>
      <c r="K210" s="14">
        <v>0</v>
      </c>
      <c r="L210" s="14">
        <v>5.1852392816596398</v>
      </c>
      <c r="M210" s="14">
        <v>0</v>
      </c>
      <c r="N210" s="14">
        <v>0.81547621579911</v>
      </c>
    </row>
    <row r="211" spans="1:14" x14ac:dyDescent="0.3">
      <c r="A211" s="3" t="str">
        <f>INDEX('R1. Scenario specifications'!$C$11:$C$49,MATCH($B211,'R1. Scenario specifications'!$A$11:$A$49,0))</f>
        <v>Current 1.5DS, 2020 start, 'Expect the Unexpected' but with cheap EVs</v>
      </c>
      <c r="B211" s="3" t="s">
        <v>25</v>
      </c>
      <c r="C211" s="3" t="s">
        <v>73</v>
      </c>
      <c r="D211" s="14">
        <v>0</v>
      </c>
      <c r="E211" s="14">
        <v>0</v>
      </c>
      <c r="F211" s="14">
        <v>0</v>
      </c>
      <c r="G211" s="14">
        <v>32.343303695782531</v>
      </c>
      <c r="H211" s="14">
        <v>828.91816763624934</v>
      </c>
      <c r="I211" s="14">
        <v>1374.9546263535833</v>
      </c>
      <c r="J211" s="14">
        <v>832.71926607899775</v>
      </c>
      <c r="K211" s="14">
        <v>45.7970663617524</v>
      </c>
      <c r="L211" s="14">
        <v>2128.7989259354913</v>
      </c>
      <c r="M211" s="14">
        <v>932.48469112526948</v>
      </c>
      <c r="N211" s="14">
        <v>738.16440929356747</v>
      </c>
    </row>
    <row r="212" spans="1:14" x14ac:dyDescent="0.3">
      <c r="A212" s="3" t="str">
        <f>INDEX('R1. Scenario specifications'!$C$11:$C$49,MATCH($B212,'R1. Scenario specifications'!$A$11:$A$49,0))</f>
        <v>Current 1.5DS, 2020 start, 'Expect the Unexpected' but with cheap EVs</v>
      </c>
      <c r="B212" s="3" t="s">
        <v>25</v>
      </c>
      <c r="C212" s="3" t="s">
        <v>64</v>
      </c>
      <c r="D212" s="14">
        <v>545.32032761765083</v>
      </c>
      <c r="E212" s="14">
        <v>171.97506671901115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</row>
    <row r="213" spans="1:14" x14ac:dyDescent="0.3">
      <c r="A213" s="3" t="str">
        <f>INDEX('R1. Scenario specifications'!$C$11:$C$49,MATCH($B213,'R1. Scenario specifications'!$A$11:$A$49,0))</f>
        <v>Current 1.5DS, 2020 start, 'Expect the Unexpected' but with cheap EVs</v>
      </c>
      <c r="B213" s="3" t="s">
        <v>25</v>
      </c>
      <c r="C213" s="3" t="s">
        <v>65</v>
      </c>
      <c r="D213" s="14">
        <v>172.55578195052306</v>
      </c>
      <c r="E213" s="14">
        <v>625.93335166737552</v>
      </c>
      <c r="F213" s="14">
        <v>477.14024472244631</v>
      </c>
      <c r="G213" s="14">
        <v>439.54358044493256</v>
      </c>
      <c r="H213" s="14">
        <v>77.321060743439602</v>
      </c>
      <c r="I213" s="14">
        <v>10.5091985676157</v>
      </c>
      <c r="J213" s="14">
        <v>51.005681511141319</v>
      </c>
      <c r="K213" s="14">
        <v>95.342377514137596</v>
      </c>
      <c r="L213" s="14">
        <v>70.486471031163987</v>
      </c>
      <c r="M213" s="14">
        <v>42.232371780832516</v>
      </c>
      <c r="N213" s="14">
        <v>117.30887200645672</v>
      </c>
    </row>
    <row r="214" spans="1:14" x14ac:dyDescent="0.3">
      <c r="A214" s="3" t="str">
        <f>INDEX('R1. Scenario specifications'!$C$11:$C$49,MATCH($B214,'R1. Scenario specifications'!$A$11:$A$49,0))</f>
        <v>Current 1.5DS, 2020 start, 'Expect the Unexpected' but with cheap EVs</v>
      </c>
      <c r="B214" s="3" t="s">
        <v>25</v>
      </c>
      <c r="C214" s="3" t="s">
        <v>74</v>
      </c>
      <c r="D214" s="14">
        <v>0</v>
      </c>
      <c r="E214" s="14">
        <v>0</v>
      </c>
      <c r="F214" s="14">
        <v>0</v>
      </c>
      <c r="G214" s="14">
        <v>1.8146798975843521</v>
      </c>
      <c r="H214" s="14">
        <v>304.70301223448911</v>
      </c>
      <c r="I214" s="14">
        <v>2128.8275740453514</v>
      </c>
      <c r="J214" s="14">
        <v>844.33944654758898</v>
      </c>
      <c r="K214" s="14">
        <v>20.644957840841801</v>
      </c>
      <c r="L214" s="14">
        <v>763.75820033158402</v>
      </c>
      <c r="M214" s="14">
        <v>468.45344453940191</v>
      </c>
      <c r="N214" s="14">
        <v>583.07023588183711</v>
      </c>
    </row>
    <row r="215" spans="1:14" x14ac:dyDescent="0.3">
      <c r="A215" s="3" t="str">
        <f>INDEX('R1. Scenario specifications'!$C$11:$C$49,MATCH($B215,'R1. Scenario specifications'!$A$11:$A$49,0))</f>
        <v>Current 1.5DS, 2020 start, 'Expect the Unexpected' but with cheap EVs</v>
      </c>
      <c r="B215" s="3" t="s">
        <v>25</v>
      </c>
      <c r="C215" s="3" t="s">
        <v>66</v>
      </c>
      <c r="D215" s="14">
        <v>0.27881728888888901</v>
      </c>
      <c r="E215" s="14">
        <v>0.33361993333333301</v>
      </c>
      <c r="F215" s="14">
        <v>88.922972540092587</v>
      </c>
      <c r="G215" s="14">
        <v>478.94344938210389</v>
      </c>
      <c r="H215" s="14">
        <v>359.40844751798448</v>
      </c>
      <c r="I215" s="14">
        <v>61.76558944958208</v>
      </c>
      <c r="J215" s="14">
        <v>78.569574066276772</v>
      </c>
      <c r="K215" s="14">
        <v>9.6931461119828004</v>
      </c>
      <c r="L215" s="14">
        <v>457.04110861608621</v>
      </c>
      <c r="M215" s="14">
        <v>72.784419151772298</v>
      </c>
      <c r="N215" s="14">
        <v>1288.048411004469</v>
      </c>
    </row>
    <row r="216" spans="1:14" x14ac:dyDescent="0.3">
      <c r="A216" s="3" t="str">
        <f>INDEX('R1. Scenario specifications'!$C$11:$C$49,MATCH($B216,'R1. Scenario specifications'!$A$11:$A$49,0))</f>
        <v>Current 1.5DS, 2020 start, 'Expect the Unexpected' but with cheap EVs</v>
      </c>
      <c r="B216" s="3" t="s">
        <v>25</v>
      </c>
      <c r="C216" s="3" t="s">
        <v>67</v>
      </c>
      <c r="D216" s="14">
        <v>154.73557777463142</v>
      </c>
      <c r="E216" s="14">
        <v>162.76418662806225</v>
      </c>
      <c r="F216" s="14">
        <v>90.613637816084008</v>
      </c>
      <c r="G216" s="14">
        <v>765.67569623309998</v>
      </c>
      <c r="H216" s="14">
        <v>324.49618828447859</v>
      </c>
      <c r="I216" s="14">
        <v>465.95199419625538</v>
      </c>
      <c r="J216" s="14">
        <v>49.874332460332361</v>
      </c>
      <c r="K216" s="14">
        <v>244.98721017930265</v>
      </c>
      <c r="L216" s="14">
        <v>260.66753114694058</v>
      </c>
      <c r="M216" s="14">
        <v>191.73913249966571</v>
      </c>
      <c r="N216" s="14">
        <v>15.873593849511359</v>
      </c>
    </row>
    <row r="217" spans="1:14" x14ac:dyDescent="0.3">
      <c r="A217" s="3" t="str">
        <f>INDEX('R1. Scenario specifications'!$C$11:$C$49,MATCH($B217,'R1. Scenario specifications'!$A$11:$A$49,0))</f>
        <v>Current 1.5DS, 2020 start, 'Expect the Unexpected' but with cheap EVs</v>
      </c>
      <c r="B217" s="3" t="s">
        <v>25</v>
      </c>
      <c r="C217" s="3" t="s">
        <v>68</v>
      </c>
      <c r="D217" s="14">
        <v>0</v>
      </c>
      <c r="E217" s="14">
        <v>0</v>
      </c>
      <c r="F217" s="14">
        <v>0</v>
      </c>
      <c r="G217" s="14">
        <v>136.69993084934407</v>
      </c>
      <c r="H217" s="14">
        <v>387.03166654571112</v>
      </c>
      <c r="I217" s="14">
        <v>545.57993839299434</v>
      </c>
      <c r="J217" s="14">
        <v>75.50945633335995</v>
      </c>
      <c r="K217" s="14">
        <v>313.28076852511674</v>
      </c>
      <c r="L217" s="14">
        <v>477.48319083018578</v>
      </c>
      <c r="M217" s="14">
        <v>609.62904069110493</v>
      </c>
      <c r="N217" s="14">
        <v>0</v>
      </c>
    </row>
    <row r="218" spans="1:14" x14ac:dyDescent="0.3">
      <c r="A218" s="3" t="str">
        <f>INDEX('R1. Scenario specifications'!$C$11:$C$49,MATCH($B218,'R1. Scenario specifications'!$A$11:$A$49,0))</f>
        <v>Current 1.5DS, 2020 start, 'Expect the Unexpected' but with cheap EVs</v>
      </c>
      <c r="B218" s="3" t="s">
        <v>25</v>
      </c>
      <c r="C218" s="3" t="s">
        <v>69</v>
      </c>
      <c r="D218" s="14">
        <v>68.24730636209857</v>
      </c>
      <c r="E218" s="14">
        <v>21.625867125843534</v>
      </c>
      <c r="F218" s="14">
        <v>0.39656849116918491</v>
      </c>
      <c r="G218" s="14">
        <v>1.7203068421900771</v>
      </c>
      <c r="H218" s="14">
        <v>0</v>
      </c>
      <c r="I218" s="14">
        <v>0</v>
      </c>
      <c r="J218" s="14">
        <v>51.261577106988007</v>
      </c>
      <c r="K218" s="14">
        <v>42.076071458525547</v>
      </c>
      <c r="L218" s="14">
        <v>45.822684934932603</v>
      </c>
      <c r="M218" s="14">
        <v>36.807961340027994</v>
      </c>
      <c r="N218" s="14">
        <v>156.62503462957289</v>
      </c>
    </row>
    <row r="219" spans="1:14" x14ac:dyDescent="0.3">
      <c r="A219" s="3" t="str">
        <f>INDEX('R1. Scenario specifications'!$C$11:$C$49,MATCH($B219,'R1. Scenario specifications'!$A$11:$A$49,0))</f>
        <v>Current 1.5DS, 2020 start, 'Expect the Unexpected' but with cheap EVs</v>
      </c>
      <c r="B219" s="3" t="s">
        <v>25</v>
      </c>
      <c r="C219" s="3" t="s">
        <v>70</v>
      </c>
      <c r="D219" s="14">
        <v>12.637708883949241</v>
      </c>
      <c r="E219" s="14">
        <v>82.719415916369499</v>
      </c>
      <c r="F219" s="14">
        <v>97.288686865313664</v>
      </c>
      <c r="G219" s="14">
        <v>768.10910564402639</v>
      </c>
      <c r="H219" s="14">
        <v>2939.2832096118855</v>
      </c>
      <c r="I219" s="14">
        <v>5398.4487611032055</v>
      </c>
      <c r="J219" s="14">
        <v>6536.0203895052928</v>
      </c>
      <c r="K219" s="14">
        <v>3463.737957818239</v>
      </c>
      <c r="L219" s="14">
        <v>8144.4504410890559</v>
      </c>
      <c r="M219" s="14">
        <v>9391.6368830864121</v>
      </c>
      <c r="N219" s="14">
        <v>6868.195692602435</v>
      </c>
    </row>
    <row r="220" spans="1:14" x14ac:dyDescent="0.3">
      <c r="A220" s="3" t="str">
        <f>INDEX('R1. Scenario specifications'!$C$11:$C$49,MATCH($B220,'R1. Scenario specifications'!$A$11:$A$49,0))</f>
        <v>Current 1.5DS, 2020 start, 'Expect the Unexpected' but with cheap EVs</v>
      </c>
      <c r="B220" s="3" t="s">
        <v>25</v>
      </c>
      <c r="C220" s="3" t="s">
        <v>71</v>
      </c>
      <c r="D220" s="14">
        <v>3.9388921868092472E-3</v>
      </c>
      <c r="E220" s="14">
        <v>1.0352472304670233</v>
      </c>
      <c r="F220" s="14">
        <v>1.710734171095331</v>
      </c>
      <c r="G220" s="14">
        <v>15.429595758439513</v>
      </c>
      <c r="H220" s="14">
        <v>83.078084726470948</v>
      </c>
      <c r="I220" s="14">
        <v>98.657715574278868</v>
      </c>
      <c r="J220" s="14">
        <v>186.68072441086341</v>
      </c>
      <c r="K220" s="14">
        <v>89.918606038119805</v>
      </c>
      <c r="L220" s="14">
        <v>137.32399184742957</v>
      </c>
      <c r="M220" s="14">
        <v>144.16867143282417</v>
      </c>
      <c r="N220" s="14">
        <v>110.74122639029162</v>
      </c>
    </row>
    <row r="221" spans="1:14" x14ac:dyDescent="0.3">
      <c r="A221" s="3" t="str">
        <f>INDEX('R1. Scenario specifications'!$C$11:$C$49,MATCH($B221,'R1. Scenario specifications'!$A$11:$A$49,0))</f>
        <v>Current 1.5DS, 2020 start, 'Expect the Unexpected' but with cheap EVs</v>
      </c>
      <c r="B221" s="3" t="s">
        <v>25</v>
      </c>
      <c r="C221" s="3" t="s">
        <v>72</v>
      </c>
      <c r="D221" s="14">
        <v>164.94116315871048</v>
      </c>
      <c r="E221" s="14">
        <v>30.000000000000007</v>
      </c>
      <c r="F221" s="14">
        <v>130.00000000000006</v>
      </c>
      <c r="G221" s="14">
        <v>1578.2302879462022</v>
      </c>
      <c r="H221" s="14">
        <v>2298.0742006062051</v>
      </c>
      <c r="I221" s="14">
        <v>5624.4716641968398</v>
      </c>
      <c r="J221" s="14">
        <v>5500.7168055924558</v>
      </c>
      <c r="K221" s="14">
        <v>1949.8836367536342</v>
      </c>
      <c r="L221" s="14">
        <v>9597.8064413864286</v>
      </c>
      <c r="M221" s="14">
        <v>9118.0448123197475</v>
      </c>
      <c r="N221" s="14">
        <v>10465.172550901545</v>
      </c>
    </row>
    <row r="222" spans="1:14" x14ac:dyDescent="0.3">
      <c r="A222" s="3" t="str">
        <f>INDEX('R1. Scenario specifications'!$C$11:$C$49,MATCH($B222,'R1. Scenario specifications'!$A$11:$A$49,0))</f>
        <v>Current 2DS, 2030 start, 'Expect the Unexpected'</v>
      </c>
      <c r="B222" s="3" t="s">
        <v>26</v>
      </c>
      <c r="C222" s="3" t="s">
        <v>63</v>
      </c>
      <c r="D222" s="14">
        <v>0</v>
      </c>
      <c r="E222" s="14">
        <v>8.3774952878671591</v>
      </c>
      <c r="F222" s="14">
        <v>93.789531468729919</v>
      </c>
      <c r="G222" s="14">
        <v>300.17967178830617</v>
      </c>
      <c r="H222" s="14">
        <v>199.92710461282877</v>
      </c>
      <c r="I222" s="14">
        <v>98.475811360768517</v>
      </c>
      <c r="J222" s="14">
        <v>56.563025023991656</v>
      </c>
      <c r="K222" s="14">
        <v>0</v>
      </c>
      <c r="L222" s="14">
        <v>6.14103391062564</v>
      </c>
      <c r="M222" s="14">
        <v>0</v>
      </c>
      <c r="N222" s="14">
        <v>0</v>
      </c>
    </row>
    <row r="223" spans="1:14" x14ac:dyDescent="0.3">
      <c r="A223" s="3" t="str">
        <f>INDEX('R1. Scenario specifications'!$C$11:$C$49,MATCH($B223,'R1. Scenario specifications'!$A$11:$A$49,0))</f>
        <v>Current 2DS, 2030 start, 'Expect the Unexpected'</v>
      </c>
      <c r="B223" s="3" t="s">
        <v>26</v>
      </c>
      <c r="C223" s="3" t="s">
        <v>73</v>
      </c>
      <c r="D223" s="14">
        <v>0</v>
      </c>
      <c r="E223" s="14">
        <v>0</v>
      </c>
      <c r="F223" s="14">
        <v>0</v>
      </c>
      <c r="G223" s="14">
        <v>0</v>
      </c>
      <c r="H223" s="14">
        <v>21.654915170512108</v>
      </c>
      <c r="I223" s="14">
        <v>126.87022238707949</v>
      </c>
      <c r="J223" s="14">
        <v>699.5809764207047</v>
      </c>
      <c r="K223" s="14">
        <v>1057.9081768192518</v>
      </c>
      <c r="L223" s="14">
        <v>1130.3473231285602</v>
      </c>
      <c r="M223" s="14">
        <v>683.54806652159925</v>
      </c>
      <c r="N223" s="14">
        <v>1667.4277408524113</v>
      </c>
    </row>
    <row r="224" spans="1:14" x14ac:dyDescent="0.3">
      <c r="A224" s="3" t="str">
        <f>INDEX('R1. Scenario specifications'!$C$11:$C$49,MATCH($B224,'R1. Scenario specifications'!$A$11:$A$49,0))</f>
        <v>Current 2DS, 2030 start, 'Expect the Unexpected'</v>
      </c>
      <c r="B224" s="3" t="s">
        <v>26</v>
      </c>
      <c r="C224" s="3" t="s">
        <v>64</v>
      </c>
      <c r="D224" s="14">
        <v>545.32032761765083</v>
      </c>
      <c r="E224" s="14">
        <v>171.97506671901115</v>
      </c>
      <c r="F224" s="14">
        <v>0</v>
      </c>
      <c r="G224" s="14">
        <v>16.396787724521602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</row>
    <row r="225" spans="1:14" x14ac:dyDescent="0.3">
      <c r="A225" s="3" t="str">
        <f>INDEX('R1. Scenario specifications'!$C$11:$C$49,MATCH($B225,'R1. Scenario specifications'!$A$11:$A$49,0))</f>
        <v>Current 2DS, 2030 start, 'Expect the Unexpected'</v>
      </c>
      <c r="B225" s="3" t="s">
        <v>26</v>
      </c>
      <c r="C225" s="3" t="s">
        <v>65</v>
      </c>
      <c r="D225" s="14">
        <v>172.55578195052306</v>
      </c>
      <c r="E225" s="14">
        <v>625.93335166737552</v>
      </c>
      <c r="F225" s="14">
        <v>477.14024472244631</v>
      </c>
      <c r="G225" s="14">
        <v>16.783672963106241</v>
      </c>
      <c r="H225" s="14">
        <v>143.24602049812509</v>
      </c>
      <c r="I225" s="14">
        <v>511.77454623352429</v>
      </c>
      <c r="J225" s="14">
        <v>368.2261126509236</v>
      </c>
      <c r="K225" s="14">
        <v>87.10290864170635</v>
      </c>
      <c r="L225" s="14">
        <v>87.429345996679587</v>
      </c>
      <c r="M225" s="14">
        <v>71.775467286321941</v>
      </c>
      <c r="N225" s="14">
        <v>156.65068735169007</v>
      </c>
    </row>
    <row r="226" spans="1:14" x14ac:dyDescent="0.3">
      <c r="A226" s="3" t="str">
        <f>INDEX('R1. Scenario specifications'!$C$11:$C$49,MATCH($B226,'R1. Scenario specifications'!$A$11:$A$49,0))</f>
        <v>Current 2DS, 2030 start, 'Expect the Unexpected'</v>
      </c>
      <c r="B226" s="3" t="s">
        <v>26</v>
      </c>
      <c r="C226" s="3" t="s">
        <v>74</v>
      </c>
      <c r="D226" s="14">
        <v>0</v>
      </c>
      <c r="E226" s="14">
        <v>0</v>
      </c>
      <c r="F226" s="14">
        <v>0</v>
      </c>
      <c r="G226" s="14">
        <v>0</v>
      </c>
      <c r="H226" s="14">
        <v>4.3469307020860963</v>
      </c>
      <c r="I226" s="14">
        <v>6.1897035787358003</v>
      </c>
      <c r="J226" s="14">
        <v>78.088674346339531</v>
      </c>
      <c r="K226" s="14">
        <v>105.86408860269026</v>
      </c>
      <c r="L226" s="14">
        <v>820.05547273333264</v>
      </c>
      <c r="M226" s="14">
        <v>394.312273842747</v>
      </c>
      <c r="N226" s="14">
        <v>100.4724180774914</v>
      </c>
    </row>
    <row r="227" spans="1:14" x14ac:dyDescent="0.3">
      <c r="A227" s="3" t="str">
        <f>INDEX('R1. Scenario specifications'!$C$11:$C$49,MATCH($B227,'R1. Scenario specifications'!$A$11:$A$49,0))</f>
        <v>Current 2DS, 2030 start, 'Expect the Unexpected'</v>
      </c>
      <c r="B227" s="3" t="s">
        <v>26</v>
      </c>
      <c r="C227" s="3" t="s">
        <v>66</v>
      </c>
      <c r="D227" s="14">
        <v>0.27881728888888901</v>
      </c>
      <c r="E227" s="14">
        <v>0.33361993333333301</v>
      </c>
      <c r="F227" s="14">
        <v>88.922972540092587</v>
      </c>
      <c r="G227" s="14">
        <v>53.162220652850131</v>
      </c>
      <c r="H227" s="14">
        <v>59.541804232387911</v>
      </c>
      <c r="I227" s="14">
        <v>286.59172998668396</v>
      </c>
      <c r="J227" s="14">
        <v>101.9532267145197</v>
      </c>
      <c r="K227" s="14">
        <v>50.506529352466792</v>
      </c>
      <c r="L227" s="14">
        <v>305.45301177522077</v>
      </c>
      <c r="M227" s="14">
        <v>469.06335059513839</v>
      </c>
      <c r="N227" s="14">
        <v>263.33562509652194</v>
      </c>
    </row>
    <row r="228" spans="1:14" x14ac:dyDescent="0.3">
      <c r="A228" s="3" t="str">
        <f>INDEX('R1. Scenario specifications'!$C$11:$C$49,MATCH($B228,'R1. Scenario specifications'!$A$11:$A$49,0))</f>
        <v>Current 2DS, 2030 start, 'Expect the Unexpected'</v>
      </c>
      <c r="B228" s="3" t="s">
        <v>26</v>
      </c>
      <c r="C228" s="3" t="s">
        <v>67</v>
      </c>
      <c r="D228" s="14">
        <v>154.73557777463142</v>
      </c>
      <c r="E228" s="14">
        <v>162.76418662806225</v>
      </c>
      <c r="F228" s="14">
        <v>90.613637816084008</v>
      </c>
      <c r="G228" s="14">
        <v>132.60270357542757</v>
      </c>
      <c r="H228" s="14">
        <v>352.38061205099871</v>
      </c>
      <c r="I228" s="14">
        <v>187.94021586366182</v>
      </c>
      <c r="J228" s="14">
        <v>108.96940820665959</v>
      </c>
      <c r="K228" s="14">
        <v>289.71477761769228</v>
      </c>
      <c r="L228" s="14">
        <v>797.98572124858447</v>
      </c>
      <c r="M228" s="14">
        <v>205.71215987943199</v>
      </c>
      <c r="N228" s="14">
        <v>38.147037914086106</v>
      </c>
    </row>
    <row r="229" spans="1:14" x14ac:dyDescent="0.3">
      <c r="A229" s="3" t="str">
        <f>INDEX('R1. Scenario specifications'!$C$11:$C$49,MATCH($B229,'R1. Scenario specifications'!$A$11:$A$49,0))</f>
        <v>Current 2DS, 2030 start, 'Expect the Unexpected'</v>
      </c>
      <c r="B229" s="3" t="s">
        <v>26</v>
      </c>
      <c r="C229" s="3" t="s">
        <v>68</v>
      </c>
      <c r="D229" s="14">
        <v>0</v>
      </c>
      <c r="E229" s="14">
        <v>0</v>
      </c>
      <c r="F229" s="14">
        <v>0</v>
      </c>
      <c r="G229" s="14">
        <v>22.553218427439354</v>
      </c>
      <c r="H229" s="14">
        <v>400.3412720278078</v>
      </c>
      <c r="I229" s="14">
        <v>637.73484501282053</v>
      </c>
      <c r="J229" s="14">
        <v>136.63369865207895</v>
      </c>
      <c r="K229" s="14">
        <v>141.88374494402422</v>
      </c>
      <c r="L229" s="14">
        <v>506.92333407949803</v>
      </c>
      <c r="M229" s="14">
        <v>694.02939872805268</v>
      </c>
      <c r="N229" s="14">
        <v>0</v>
      </c>
    </row>
    <row r="230" spans="1:14" x14ac:dyDescent="0.3">
      <c r="A230" s="3" t="str">
        <f>INDEX('R1. Scenario specifications'!$C$11:$C$49,MATCH($B230,'R1. Scenario specifications'!$A$11:$A$49,0))</f>
        <v>Current 2DS, 2030 start, 'Expect the Unexpected'</v>
      </c>
      <c r="B230" s="3" t="s">
        <v>26</v>
      </c>
      <c r="C230" s="3" t="s">
        <v>69</v>
      </c>
      <c r="D230" s="14">
        <v>68.24730636209857</v>
      </c>
      <c r="E230" s="14">
        <v>21.625867125843534</v>
      </c>
      <c r="F230" s="14">
        <v>0.39656849116918491</v>
      </c>
      <c r="G230" s="14">
        <v>4.39481081527373</v>
      </c>
      <c r="H230" s="14">
        <v>18.43905472635635</v>
      </c>
      <c r="I230" s="14">
        <v>0</v>
      </c>
      <c r="J230" s="14">
        <v>13.8182633959323</v>
      </c>
      <c r="K230" s="14">
        <v>7.5563375157528005</v>
      </c>
      <c r="L230" s="14">
        <v>77.724937384079027</v>
      </c>
      <c r="M230" s="14">
        <v>50.545577835788855</v>
      </c>
      <c r="N230" s="14">
        <v>100.62994160822349</v>
      </c>
    </row>
    <row r="231" spans="1:14" x14ac:dyDescent="0.3">
      <c r="A231" s="3" t="str">
        <f>INDEX('R1. Scenario specifications'!$C$11:$C$49,MATCH($B231,'R1. Scenario specifications'!$A$11:$A$49,0))</f>
        <v>Current 2DS, 2030 start, 'Expect the Unexpected'</v>
      </c>
      <c r="B231" s="3" t="s">
        <v>26</v>
      </c>
      <c r="C231" s="3" t="s">
        <v>70</v>
      </c>
      <c r="D231" s="14">
        <v>12.637708883949241</v>
      </c>
      <c r="E231" s="14">
        <v>82.719415916369499</v>
      </c>
      <c r="F231" s="14">
        <v>97.288686865313664</v>
      </c>
      <c r="G231" s="14">
        <v>401.65756364057171</v>
      </c>
      <c r="H231" s="14">
        <v>1882.8437871575327</v>
      </c>
      <c r="I231" s="14">
        <v>3222.2641899973542</v>
      </c>
      <c r="J231" s="14">
        <v>2281.9965896802105</v>
      </c>
      <c r="K231" s="14">
        <v>4034.0825853840411</v>
      </c>
      <c r="L231" s="14">
        <v>6824.2964756737438</v>
      </c>
      <c r="M231" s="14">
        <v>9064.7923724698248</v>
      </c>
      <c r="N231" s="14">
        <v>6231.4914372995663</v>
      </c>
    </row>
    <row r="232" spans="1:14" x14ac:dyDescent="0.3">
      <c r="A232" s="3" t="str">
        <f>INDEX('R1. Scenario specifications'!$C$11:$C$49,MATCH($B232,'R1. Scenario specifications'!$A$11:$A$49,0))</f>
        <v>Current 2DS, 2030 start, 'Expect the Unexpected'</v>
      </c>
      <c r="B232" s="3" t="s">
        <v>26</v>
      </c>
      <c r="C232" s="3" t="s">
        <v>71</v>
      </c>
      <c r="D232" s="14">
        <v>3.9388921868092472E-3</v>
      </c>
      <c r="E232" s="14">
        <v>1.0352472304670233</v>
      </c>
      <c r="F232" s="14">
        <v>1.710734171095331</v>
      </c>
      <c r="G232" s="14">
        <v>10.613038269375846</v>
      </c>
      <c r="H232" s="14">
        <v>1.4567584740198549</v>
      </c>
      <c r="I232" s="14">
        <v>5.6512966655079877</v>
      </c>
      <c r="J232" s="14">
        <v>6.6074503370628781</v>
      </c>
      <c r="K232" s="14">
        <v>3.3865068168250478</v>
      </c>
      <c r="L232" s="14">
        <v>6.282616138392445</v>
      </c>
      <c r="M232" s="14">
        <v>6.2169342076380687</v>
      </c>
      <c r="N232" s="14">
        <v>4.6564051855378681</v>
      </c>
    </row>
    <row r="233" spans="1:14" x14ac:dyDescent="0.3">
      <c r="A233" s="3" t="str">
        <f>INDEX('R1. Scenario specifications'!$C$11:$C$49,MATCH($B233,'R1. Scenario specifications'!$A$11:$A$49,0))</f>
        <v>Current 2DS, 2030 start, 'Expect the Unexpected'</v>
      </c>
      <c r="B233" s="3" t="s">
        <v>26</v>
      </c>
      <c r="C233" s="3" t="s">
        <v>72</v>
      </c>
      <c r="D233" s="14">
        <v>164.94116315871048</v>
      </c>
      <c r="E233" s="14">
        <v>30.000000000000007</v>
      </c>
      <c r="F233" s="14">
        <v>130.00000000000006</v>
      </c>
      <c r="G233" s="14">
        <v>1203.724349327679</v>
      </c>
      <c r="H233" s="14">
        <v>2261.7761169220721</v>
      </c>
      <c r="I233" s="14">
        <v>1958.7756565550242</v>
      </c>
      <c r="J233" s="14">
        <v>3448.6713854910768</v>
      </c>
      <c r="K233" s="14">
        <v>3833.3369938501614</v>
      </c>
      <c r="L233" s="14">
        <v>6110.6734231967093</v>
      </c>
      <c r="M233" s="14">
        <v>11056.381502960181</v>
      </c>
      <c r="N233" s="14">
        <v>9253.1214050046492</v>
      </c>
    </row>
    <row r="234" spans="1:14" x14ac:dyDescent="0.3">
      <c r="A234" s="3" t="str">
        <f>INDEX('R1. Scenario specifications'!$C$11:$C$49,MATCH($B234,'R1. Scenario specifications'!$A$11:$A$49,0))</f>
        <v>Current 1.5DS, 2030 start, 'Expect the Unexpected' but with cheap EVs</v>
      </c>
      <c r="B234" s="3" t="s">
        <v>27</v>
      </c>
      <c r="C234" s="3" t="s">
        <v>63</v>
      </c>
      <c r="D234" s="14">
        <v>0</v>
      </c>
      <c r="E234" s="14">
        <v>8.3774952878671591</v>
      </c>
      <c r="F234" s="14">
        <v>93.789531468729919</v>
      </c>
      <c r="G234" s="14">
        <v>300.17967178830617</v>
      </c>
      <c r="H234" s="14">
        <v>708.77566257497972</v>
      </c>
      <c r="I234" s="14">
        <v>7.4985871195620195</v>
      </c>
      <c r="J234" s="14">
        <v>16.8949210523147</v>
      </c>
      <c r="K234" s="14">
        <v>0</v>
      </c>
      <c r="L234" s="14">
        <v>12.9551877765487</v>
      </c>
      <c r="M234" s="14">
        <v>14.224825684726319</v>
      </c>
      <c r="N234" s="14">
        <v>0</v>
      </c>
    </row>
    <row r="235" spans="1:14" x14ac:dyDescent="0.3">
      <c r="A235" s="3" t="str">
        <f>INDEX('R1. Scenario specifications'!$C$11:$C$49,MATCH($B235,'R1. Scenario specifications'!$A$11:$A$49,0))</f>
        <v>Current 1.5DS, 2030 start, 'Expect the Unexpected' but with cheap EVs</v>
      </c>
      <c r="B235" s="3" t="s">
        <v>27</v>
      </c>
      <c r="C235" s="3" t="s">
        <v>73</v>
      </c>
      <c r="D235" s="14">
        <v>0</v>
      </c>
      <c r="E235" s="14">
        <v>0</v>
      </c>
      <c r="F235" s="14">
        <v>0</v>
      </c>
      <c r="G235" s="14">
        <v>0</v>
      </c>
      <c r="H235" s="14">
        <v>27.326386874693515</v>
      </c>
      <c r="I235" s="14">
        <v>2006.4809081435269</v>
      </c>
      <c r="J235" s="14">
        <v>2194.5839657461133</v>
      </c>
      <c r="K235" s="14">
        <v>0</v>
      </c>
      <c r="L235" s="14">
        <v>123.20695224754388</v>
      </c>
      <c r="M235" s="14">
        <v>1372.2693029815791</v>
      </c>
      <c r="N235" s="14">
        <v>2000.0351228988484</v>
      </c>
    </row>
    <row r="236" spans="1:14" x14ac:dyDescent="0.3">
      <c r="A236" s="3" t="str">
        <f>INDEX('R1. Scenario specifications'!$C$11:$C$49,MATCH($B236,'R1. Scenario specifications'!$A$11:$A$49,0))</f>
        <v>Current 1.5DS, 2030 start, 'Expect the Unexpected' but with cheap EVs</v>
      </c>
      <c r="B236" s="3" t="s">
        <v>27</v>
      </c>
      <c r="C236" s="3" t="s">
        <v>64</v>
      </c>
      <c r="D236" s="14">
        <v>545.32032761765083</v>
      </c>
      <c r="E236" s="14">
        <v>171.97506671901115</v>
      </c>
      <c r="F236" s="14">
        <v>0</v>
      </c>
      <c r="G236" s="14">
        <v>16.396787724521602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</row>
    <row r="237" spans="1:14" x14ac:dyDescent="0.3">
      <c r="A237" s="3" t="str">
        <f>INDEX('R1. Scenario specifications'!$C$11:$C$49,MATCH($B237,'R1. Scenario specifications'!$A$11:$A$49,0))</f>
        <v>Current 1.5DS, 2030 start, 'Expect the Unexpected' but with cheap EVs</v>
      </c>
      <c r="B237" s="3" t="s">
        <v>27</v>
      </c>
      <c r="C237" s="3" t="s">
        <v>65</v>
      </c>
      <c r="D237" s="14">
        <v>172.55578195052306</v>
      </c>
      <c r="E237" s="14">
        <v>625.93335166737552</v>
      </c>
      <c r="F237" s="14">
        <v>477.14024472244631</v>
      </c>
      <c r="G237" s="14">
        <v>16.783672963106241</v>
      </c>
      <c r="H237" s="14">
        <v>317.33860344153175</v>
      </c>
      <c r="I237" s="14">
        <v>63.800107554874693</v>
      </c>
      <c r="J237" s="14">
        <v>31.683205641727621</v>
      </c>
      <c r="K237" s="14">
        <v>176.87766772496147</v>
      </c>
      <c r="L237" s="14">
        <v>445.16864098907911</v>
      </c>
      <c r="M237" s="14">
        <v>245.35067404464792</v>
      </c>
      <c r="N237" s="14">
        <v>23.558968834609171</v>
      </c>
    </row>
    <row r="238" spans="1:14" x14ac:dyDescent="0.3">
      <c r="A238" s="3" t="str">
        <f>INDEX('R1. Scenario specifications'!$C$11:$C$49,MATCH($B238,'R1. Scenario specifications'!$A$11:$A$49,0))</f>
        <v>Current 1.5DS, 2030 start, 'Expect the Unexpected' but with cheap EVs</v>
      </c>
      <c r="B238" s="3" t="s">
        <v>27</v>
      </c>
      <c r="C238" s="3" t="s">
        <v>74</v>
      </c>
      <c r="D238" s="14">
        <v>0</v>
      </c>
      <c r="E238" s="14">
        <v>0</v>
      </c>
      <c r="F238" s="14">
        <v>0</v>
      </c>
      <c r="G238" s="14">
        <v>0</v>
      </c>
      <c r="H238" s="14">
        <v>6.8315967186733806</v>
      </c>
      <c r="I238" s="14">
        <v>830.923927320046</v>
      </c>
      <c r="J238" s="14">
        <v>1002.0495376195199</v>
      </c>
      <c r="K238" s="14">
        <v>0</v>
      </c>
      <c r="L238" s="14">
        <v>0</v>
      </c>
      <c r="M238" s="14">
        <v>1.7182046800466599</v>
      </c>
      <c r="N238" s="14">
        <v>260.37013062899689</v>
      </c>
    </row>
    <row r="239" spans="1:14" x14ac:dyDescent="0.3">
      <c r="A239" s="3" t="str">
        <f>INDEX('R1. Scenario specifications'!$C$11:$C$49,MATCH($B239,'R1. Scenario specifications'!$A$11:$A$49,0))</f>
        <v>Current 1.5DS, 2030 start, 'Expect the Unexpected' but with cheap EVs</v>
      </c>
      <c r="B239" s="3" t="s">
        <v>27</v>
      </c>
      <c r="C239" s="3" t="s">
        <v>66</v>
      </c>
      <c r="D239" s="14">
        <v>0.27881728888888901</v>
      </c>
      <c r="E239" s="14">
        <v>0.33361993333333301</v>
      </c>
      <c r="F239" s="14">
        <v>88.922972540092587</v>
      </c>
      <c r="G239" s="14">
        <v>53.162220652850131</v>
      </c>
      <c r="H239" s="14">
        <v>1063.7959628735543</v>
      </c>
      <c r="I239" s="14">
        <v>52.289097484560216</v>
      </c>
      <c r="J239" s="14">
        <v>78.569574066276772</v>
      </c>
      <c r="K239" s="14">
        <v>2.0256421880194435</v>
      </c>
      <c r="L239" s="14">
        <v>22.41741098995211</v>
      </c>
      <c r="M239" s="14">
        <v>255.36973567639433</v>
      </c>
      <c r="N239" s="14">
        <v>94.388984575964116</v>
      </c>
    </row>
    <row r="240" spans="1:14" x14ac:dyDescent="0.3">
      <c r="A240" s="3" t="str">
        <f>INDEX('R1. Scenario specifications'!$C$11:$C$49,MATCH($B240,'R1. Scenario specifications'!$A$11:$A$49,0))</f>
        <v>Current 1.5DS, 2030 start, 'Expect the Unexpected' but with cheap EVs</v>
      </c>
      <c r="B240" s="3" t="s">
        <v>27</v>
      </c>
      <c r="C240" s="3" t="s">
        <v>67</v>
      </c>
      <c r="D240" s="14">
        <v>154.73557777463142</v>
      </c>
      <c r="E240" s="14">
        <v>162.76418662806225</v>
      </c>
      <c r="F240" s="14">
        <v>90.613637816084008</v>
      </c>
      <c r="G240" s="14">
        <v>132.60270357542757</v>
      </c>
      <c r="H240" s="14">
        <v>856.55540098813788</v>
      </c>
      <c r="I240" s="14">
        <v>793.13434986830634</v>
      </c>
      <c r="J240" s="14">
        <v>12.140644664380043</v>
      </c>
      <c r="K240" s="14">
        <v>3.3396734263659882</v>
      </c>
      <c r="L240" s="14">
        <v>136.84421986754606</v>
      </c>
      <c r="M240" s="14">
        <v>214.51462319430684</v>
      </c>
      <c r="N240" s="14">
        <v>14.013730086242902</v>
      </c>
    </row>
    <row r="241" spans="1:14" x14ac:dyDescent="0.3">
      <c r="A241" s="3" t="str">
        <f>INDEX('R1. Scenario specifications'!$C$11:$C$49,MATCH($B241,'R1. Scenario specifications'!$A$11:$A$49,0))</f>
        <v>Current 1.5DS, 2030 start, 'Expect the Unexpected' but with cheap EVs</v>
      </c>
      <c r="B241" s="3" t="s">
        <v>27</v>
      </c>
      <c r="C241" s="3" t="s">
        <v>68</v>
      </c>
      <c r="D241" s="14">
        <v>0</v>
      </c>
      <c r="E241" s="14">
        <v>0</v>
      </c>
      <c r="F241" s="14">
        <v>0</v>
      </c>
      <c r="G241" s="14">
        <v>22.553218427439354</v>
      </c>
      <c r="H241" s="14">
        <v>375.87346356929328</v>
      </c>
      <c r="I241" s="14">
        <v>563.80663175562586</v>
      </c>
      <c r="J241" s="14">
        <v>88.534232303704599</v>
      </c>
      <c r="K241" s="14">
        <v>86.683037751965372</v>
      </c>
      <c r="L241" s="14">
        <v>526.32061462434319</v>
      </c>
      <c r="M241" s="14">
        <v>525.4185971867546</v>
      </c>
      <c r="N241" s="14">
        <v>0</v>
      </c>
    </row>
    <row r="242" spans="1:14" x14ac:dyDescent="0.3">
      <c r="A242" s="3" t="str">
        <f>INDEX('R1. Scenario specifications'!$C$11:$C$49,MATCH($B242,'R1. Scenario specifications'!$A$11:$A$49,0))</f>
        <v>Current 1.5DS, 2030 start, 'Expect the Unexpected' but with cheap EVs</v>
      </c>
      <c r="B242" s="3" t="s">
        <v>27</v>
      </c>
      <c r="C242" s="3" t="s">
        <v>69</v>
      </c>
      <c r="D242" s="14">
        <v>68.24730636209857</v>
      </c>
      <c r="E242" s="14">
        <v>21.625867125843534</v>
      </c>
      <c r="F242" s="14">
        <v>0.39656849116918491</v>
      </c>
      <c r="G242" s="14">
        <v>4.39481081527373</v>
      </c>
      <c r="H242" s="14">
        <v>1.3201923832399702</v>
      </c>
      <c r="I242" s="14">
        <v>7.48174798820863</v>
      </c>
      <c r="J242" s="14">
        <v>38.913865108530608</v>
      </c>
      <c r="K242" s="14">
        <v>10.460483500812501</v>
      </c>
      <c r="L242" s="14">
        <v>31.971527184572199</v>
      </c>
      <c r="M242" s="14">
        <v>17.4708281539559</v>
      </c>
      <c r="N242" s="14">
        <v>145.59521883219406</v>
      </c>
    </row>
    <row r="243" spans="1:14" x14ac:dyDescent="0.3">
      <c r="A243" s="3" t="str">
        <f>INDEX('R1. Scenario specifications'!$C$11:$C$49,MATCH($B243,'R1. Scenario specifications'!$A$11:$A$49,0))</f>
        <v>Current 1.5DS, 2030 start, 'Expect the Unexpected' but with cheap EVs</v>
      </c>
      <c r="B243" s="3" t="s">
        <v>27</v>
      </c>
      <c r="C243" s="3" t="s">
        <v>70</v>
      </c>
      <c r="D243" s="14">
        <v>12.637708883949241</v>
      </c>
      <c r="E243" s="14">
        <v>82.719415916369499</v>
      </c>
      <c r="F243" s="14">
        <v>97.288686865313664</v>
      </c>
      <c r="G243" s="14">
        <v>401.65756364057171</v>
      </c>
      <c r="H243" s="14">
        <v>2005.2293621167826</v>
      </c>
      <c r="I243" s="14">
        <v>4823.6969468629304</v>
      </c>
      <c r="J243" s="14">
        <v>10170.876439418287</v>
      </c>
      <c r="K243" s="14">
        <v>2521.5119946446293</v>
      </c>
      <c r="L243" s="14">
        <v>4823.7549539491501</v>
      </c>
      <c r="M243" s="14">
        <v>11256.777492164236</v>
      </c>
      <c r="N243" s="14">
        <v>3657.9492276614405</v>
      </c>
    </row>
    <row r="244" spans="1:14" x14ac:dyDescent="0.3">
      <c r="A244" s="3" t="str">
        <f>INDEX('R1. Scenario specifications'!$C$11:$C$49,MATCH($B244,'R1. Scenario specifications'!$A$11:$A$49,0))</f>
        <v>Current 1.5DS, 2030 start, 'Expect the Unexpected' but with cheap EVs</v>
      </c>
      <c r="B244" s="3" t="s">
        <v>27</v>
      </c>
      <c r="C244" s="3" t="s">
        <v>71</v>
      </c>
      <c r="D244" s="14">
        <v>3.9388921868092472E-3</v>
      </c>
      <c r="E244" s="14">
        <v>1.0352472304670233</v>
      </c>
      <c r="F244" s="14">
        <v>1.710734171095331</v>
      </c>
      <c r="G244" s="14">
        <v>10.613038269375846</v>
      </c>
      <c r="H244" s="14">
        <v>44.323461722034772</v>
      </c>
      <c r="I244" s="14">
        <v>8.3807192059909088</v>
      </c>
      <c r="J244" s="14">
        <v>29.820637534040845</v>
      </c>
      <c r="K244" s="14">
        <v>28.574483645448787</v>
      </c>
      <c r="L244" s="14">
        <v>17.796397350568345</v>
      </c>
      <c r="M244" s="14">
        <v>29.270287449417832</v>
      </c>
      <c r="N244" s="14">
        <v>23.836730614255565</v>
      </c>
    </row>
    <row r="245" spans="1:14" x14ac:dyDescent="0.3">
      <c r="A245" s="3" t="str">
        <f>INDEX('R1. Scenario specifications'!$C$11:$C$49,MATCH($B245,'R1. Scenario specifications'!$A$11:$A$49,0))</f>
        <v>Current 1.5DS, 2030 start, 'Expect the Unexpected' but with cheap EVs</v>
      </c>
      <c r="B245" s="3" t="s">
        <v>27</v>
      </c>
      <c r="C245" s="3" t="s">
        <v>72</v>
      </c>
      <c r="D245" s="14">
        <v>164.94116315871048</v>
      </c>
      <c r="E245" s="14">
        <v>30.000000000000007</v>
      </c>
      <c r="F245" s="14">
        <v>130.00000000000006</v>
      </c>
      <c r="G245" s="14">
        <v>1203.724349327679</v>
      </c>
      <c r="H245" s="14">
        <v>1865.9300411154245</v>
      </c>
      <c r="I245" s="14">
        <v>4384.9509763887017</v>
      </c>
      <c r="J245" s="14">
        <v>8902.5952660711027</v>
      </c>
      <c r="K245" s="14">
        <v>35.142093428409652</v>
      </c>
      <c r="L245" s="14">
        <v>4643.2423783181757</v>
      </c>
      <c r="M245" s="14">
        <v>7847.8014456076589</v>
      </c>
      <c r="N245" s="14">
        <v>5780.0198366137292</v>
      </c>
    </row>
    <row r="246" spans="1:14" x14ac:dyDescent="0.3">
      <c r="A246" s="3" t="str">
        <f>INDEX('R1. Scenario specifications'!$C$11:$C$49,MATCH($B246,'R1. Scenario specifications'!$A$11:$A$49,0))</f>
        <v>Current 1.5DS, 2020 start, 'Expect the Unexpected' but with cheap energy efficiency</v>
      </c>
      <c r="B246" s="3" t="s">
        <v>28</v>
      </c>
      <c r="C246" s="3" t="s">
        <v>63</v>
      </c>
      <c r="D246" s="14">
        <v>0</v>
      </c>
      <c r="E246" s="14">
        <v>8.3774952878671591</v>
      </c>
      <c r="F246" s="14">
        <v>93.789531468729919</v>
      </c>
      <c r="G246" s="14">
        <v>449.35417135043599</v>
      </c>
      <c r="H246" s="14">
        <v>102.83748825966558</v>
      </c>
      <c r="I246" s="14">
        <v>0</v>
      </c>
      <c r="J246" s="14">
        <v>6.1445775454426101</v>
      </c>
      <c r="K246" s="14">
        <v>0</v>
      </c>
      <c r="L246" s="14">
        <v>3.0537097077072999</v>
      </c>
      <c r="M246" s="14">
        <v>0</v>
      </c>
      <c r="N246" s="14">
        <v>0</v>
      </c>
    </row>
    <row r="247" spans="1:14" x14ac:dyDescent="0.3">
      <c r="A247" s="3" t="str">
        <f>INDEX('R1. Scenario specifications'!$C$11:$C$49,MATCH($B247,'R1. Scenario specifications'!$A$11:$A$49,0))</f>
        <v>Current 1.5DS, 2020 start, 'Expect the Unexpected' but with cheap energy efficiency</v>
      </c>
      <c r="B247" s="3" t="s">
        <v>28</v>
      </c>
      <c r="C247" s="3" t="s">
        <v>73</v>
      </c>
      <c r="D247" s="14">
        <v>0</v>
      </c>
      <c r="E247" s="14">
        <v>0</v>
      </c>
      <c r="F247" s="14">
        <v>0</v>
      </c>
      <c r="G247" s="14">
        <v>33.031297821021262</v>
      </c>
      <c r="H247" s="14">
        <v>794.02702260264061</v>
      </c>
      <c r="I247" s="14">
        <v>1142.8256943980182</v>
      </c>
      <c r="J247" s="14">
        <v>985.7726193225833</v>
      </c>
      <c r="K247" s="14">
        <v>41.631330778898118</v>
      </c>
      <c r="L247" s="14">
        <v>1741.7055930645167</v>
      </c>
      <c r="M247" s="14">
        <v>1365.5193532448347</v>
      </c>
      <c r="N247" s="14">
        <v>164.22727031410193</v>
      </c>
    </row>
    <row r="248" spans="1:14" x14ac:dyDescent="0.3">
      <c r="A248" s="3" t="str">
        <f>INDEX('R1. Scenario specifications'!$C$11:$C$49,MATCH($B248,'R1. Scenario specifications'!$A$11:$A$49,0))</f>
        <v>Current 1.5DS, 2020 start, 'Expect the Unexpected' but with cheap energy efficiency</v>
      </c>
      <c r="B248" s="3" t="s">
        <v>28</v>
      </c>
      <c r="C248" s="3" t="s">
        <v>64</v>
      </c>
      <c r="D248" s="14">
        <v>545.32032761765083</v>
      </c>
      <c r="E248" s="14">
        <v>171.97506671901115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</row>
    <row r="249" spans="1:14" x14ac:dyDescent="0.3">
      <c r="A249" s="3" t="str">
        <f>INDEX('R1. Scenario specifications'!$C$11:$C$49,MATCH($B249,'R1. Scenario specifications'!$A$11:$A$49,0))</f>
        <v>Current 1.5DS, 2020 start, 'Expect the Unexpected' but with cheap energy efficiency</v>
      </c>
      <c r="B249" s="3" t="s">
        <v>28</v>
      </c>
      <c r="C249" s="3" t="s">
        <v>65</v>
      </c>
      <c r="D249" s="14">
        <v>172.55578195052306</v>
      </c>
      <c r="E249" s="14">
        <v>625.93335166737552</v>
      </c>
      <c r="F249" s="14">
        <v>477.14024472244631</v>
      </c>
      <c r="G249" s="14">
        <v>387.74012347105872</v>
      </c>
      <c r="H249" s="14">
        <v>117.00176505653231</v>
      </c>
      <c r="I249" s="14">
        <v>12.900121848962501</v>
      </c>
      <c r="J249" s="14">
        <v>76.042384220958951</v>
      </c>
      <c r="K249" s="14">
        <v>21.993886790800989</v>
      </c>
      <c r="L249" s="14">
        <v>108.0573923370345</v>
      </c>
      <c r="M249" s="14">
        <v>68.066243923192303</v>
      </c>
      <c r="N249" s="14">
        <v>17.351243672158017</v>
      </c>
    </row>
    <row r="250" spans="1:14" x14ac:dyDescent="0.3">
      <c r="A250" s="3" t="str">
        <f>INDEX('R1. Scenario specifications'!$C$11:$C$49,MATCH($B250,'R1. Scenario specifications'!$A$11:$A$49,0))</f>
        <v>Current 1.5DS, 2020 start, 'Expect the Unexpected' but with cheap energy efficiency</v>
      </c>
      <c r="B250" s="3" t="s">
        <v>28</v>
      </c>
      <c r="C250" s="3" t="s">
        <v>74</v>
      </c>
      <c r="D250" s="14">
        <v>0</v>
      </c>
      <c r="E250" s="14">
        <v>0</v>
      </c>
      <c r="F250" s="14">
        <v>0</v>
      </c>
      <c r="G250" s="14">
        <v>1.1266857723456301</v>
      </c>
      <c r="H250" s="14">
        <v>251.72555723395951</v>
      </c>
      <c r="I250" s="14">
        <v>1843.6735069806066</v>
      </c>
      <c r="J250" s="14">
        <v>153.37021031655559</v>
      </c>
      <c r="K250" s="14">
        <v>10.214911148434799</v>
      </c>
      <c r="L250" s="14">
        <v>59.139440138942774</v>
      </c>
      <c r="M250" s="14">
        <v>507.14012881342978</v>
      </c>
      <c r="N250" s="14">
        <v>117.56721718136961</v>
      </c>
    </row>
    <row r="251" spans="1:14" x14ac:dyDescent="0.3">
      <c r="A251" s="3" t="str">
        <f>INDEX('R1. Scenario specifications'!$C$11:$C$49,MATCH($B251,'R1. Scenario specifications'!$A$11:$A$49,0))</f>
        <v>Current 1.5DS, 2020 start, 'Expect the Unexpected' but with cheap energy efficiency</v>
      </c>
      <c r="B251" s="3" t="s">
        <v>28</v>
      </c>
      <c r="C251" s="3" t="s">
        <v>66</v>
      </c>
      <c r="D251" s="14">
        <v>0.27881728888888901</v>
      </c>
      <c r="E251" s="14">
        <v>0.33361993333333301</v>
      </c>
      <c r="F251" s="14">
        <v>88.922972540092587</v>
      </c>
      <c r="G251" s="14">
        <v>361.86861490942323</v>
      </c>
      <c r="H251" s="14">
        <v>191.10124534687404</v>
      </c>
      <c r="I251" s="14">
        <v>50.441123616921878</v>
      </c>
      <c r="J251" s="14">
        <v>78.569574066276772</v>
      </c>
      <c r="K251" s="14">
        <v>11.414992405541161</v>
      </c>
      <c r="L251" s="14">
        <v>313.39717816027178</v>
      </c>
      <c r="M251" s="14">
        <v>122.61063593273776</v>
      </c>
      <c r="N251" s="14">
        <v>78.569574066276772</v>
      </c>
    </row>
    <row r="252" spans="1:14" x14ac:dyDescent="0.3">
      <c r="A252" s="3" t="str">
        <f>INDEX('R1. Scenario specifications'!$C$11:$C$49,MATCH($B252,'R1. Scenario specifications'!$A$11:$A$49,0))</f>
        <v>Current 1.5DS, 2020 start, 'Expect the Unexpected' but with cheap energy efficiency</v>
      </c>
      <c r="B252" s="3" t="s">
        <v>28</v>
      </c>
      <c r="C252" s="3" t="s">
        <v>67</v>
      </c>
      <c r="D252" s="14">
        <v>154.73557777463142</v>
      </c>
      <c r="E252" s="14">
        <v>162.76418662806225</v>
      </c>
      <c r="F252" s="14">
        <v>90.613637816084008</v>
      </c>
      <c r="G252" s="14">
        <v>610.19736777227251</v>
      </c>
      <c r="H252" s="14">
        <v>278.59488873325489</v>
      </c>
      <c r="I252" s="14">
        <v>369.50682475462816</v>
      </c>
      <c r="J252" s="14">
        <v>53.26044595664893</v>
      </c>
      <c r="K252" s="14">
        <v>151.7287362351195</v>
      </c>
      <c r="L252" s="14">
        <v>217.47781828667317</v>
      </c>
      <c r="M252" s="14">
        <v>176.56472777106953</v>
      </c>
      <c r="N252" s="14">
        <v>3.1643857716663799</v>
      </c>
    </row>
    <row r="253" spans="1:14" x14ac:dyDescent="0.3">
      <c r="A253" s="3" t="str">
        <f>INDEX('R1. Scenario specifications'!$C$11:$C$49,MATCH($B253,'R1. Scenario specifications'!$A$11:$A$49,0))</f>
        <v>Current 1.5DS, 2020 start, 'Expect the Unexpected' but with cheap energy efficiency</v>
      </c>
      <c r="B253" s="3" t="s">
        <v>28</v>
      </c>
      <c r="C253" s="3" t="s">
        <v>68</v>
      </c>
      <c r="D253" s="14">
        <v>0</v>
      </c>
      <c r="E253" s="14">
        <v>0</v>
      </c>
      <c r="F253" s="14">
        <v>0</v>
      </c>
      <c r="G253" s="14">
        <v>121.8807169188394</v>
      </c>
      <c r="H253" s="14">
        <v>323.21722477066197</v>
      </c>
      <c r="I253" s="14">
        <v>491.77091363708166</v>
      </c>
      <c r="J253" s="14">
        <v>94.668284400904369</v>
      </c>
      <c r="K253" s="14">
        <v>161.78350468232301</v>
      </c>
      <c r="L253" s="14">
        <v>660.54115148355959</v>
      </c>
      <c r="M253" s="14">
        <v>543.99229239221427</v>
      </c>
      <c r="N253" s="14">
        <v>0</v>
      </c>
    </row>
    <row r="254" spans="1:14" x14ac:dyDescent="0.3">
      <c r="A254" s="3" t="str">
        <f>INDEX('R1. Scenario specifications'!$C$11:$C$49,MATCH($B254,'R1. Scenario specifications'!$A$11:$A$49,0))</f>
        <v>Current 1.5DS, 2020 start, 'Expect the Unexpected' but with cheap energy efficiency</v>
      </c>
      <c r="B254" s="3" t="s">
        <v>28</v>
      </c>
      <c r="C254" s="3" t="s">
        <v>69</v>
      </c>
      <c r="D254" s="14">
        <v>68.24730636209857</v>
      </c>
      <c r="E254" s="14">
        <v>21.625867125843534</v>
      </c>
      <c r="F254" s="14">
        <v>0.39656849116918491</v>
      </c>
      <c r="G254" s="14">
        <v>2.9240949029207224</v>
      </c>
      <c r="H254" s="14">
        <v>3.39942759955508</v>
      </c>
      <c r="I254" s="14">
        <v>3.64500383637961</v>
      </c>
      <c r="J254" s="14">
        <v>35.482187228774556</v>
      </c>
      <c r="K254" s="14">
        <v>22.940364806447413</v>
      </c>
      <c r="L254" s="14">
        <v>33.681282569056272</v>
      </c>
      <c r="M254" s="14">
        <v>26.219448358622628</v>
      </c>
      <c r="N254" s="14">
        <v>106.91380523428316</v>
      </c>
    </row>
    <row r="255" spans="1:14" x14ac:dyDescent="0.3">
      <c r="A255" s="3" t="str">
        <f>INDEX('R1. Scenario specifications'!$C$11:$C$49,MATCH($B255,'R1. Scenario specifications'!$A$11:$A$49,0))</f>
        <v>Current 1.5DS, 2020 start, 'Expect the Unexpected' but with cheap energy efficiency</v>
      </c>
      <c r="B255" s="3" t="s">
        <v>28</v>
      </c>
      <c r="C255" s="3" t="s">
        <v>70</v>
      </c>
      <c r="D255" s="14">
        <v>12.637708883949241</v>
      </c>
      <c r="E255" s="14">
        <v>82.719415916369499</v>
      </c>
      <c r="F255" s="14">
        <v>97.288686865313664</v>
      </c>
      <c r="G255" s="14">
        <v>768.10910564402639</v>
      </c>
      <c r="H255" s="14">
        <v>2826.3836242357766</v>
      </c>
      <c r="I255" s="14">
        <v>3838.3150471909089</v>
      </c>
      <c r="J255" s="14">
        <v>5069.4511505173268</v>
      </c>
      <c r="K255" s="14">
        <v>2957.3672777289044</v>
      </c>
      <c r="L255" s="14">
        <v>6167.9202911624534</v>
      </c>
      <c r="M255" s="14">
        <v>8125.0060509581936</v>
      </c>
      <c r="N255" s="14">
        <v>5290.7515643022043</v>
      </c>
    </row>
    <row r="256" spans="1:14" x14ac:dyDescent="0.3">
      <c r="A256" s="3" t="str">
        <f>INDEX('R1. Scenario specifications'!$C$11:$C$49,MATCH($B256,'R1. Scenario specifications'!$A$11:$A$49,0))</f>
        <v>Current 1.5DS, 2020 start, 'Expect the Unexpected' but with cheap energy efficiency</v>
      </c>
      <c r="B256" s="3" t="s">
        <v>28</v>
      </c>
      <c r="C256" s="3" t="s">
        <v>71</v>
      </c>
      <c r="D256" s="14">
        <v>3.9388921868092472E-3</v>
      </c>
      <c r="E256" s="14">
        <v>1.0352472304670233</v>
      </c>
      <c r="F256" s="14">
        <v>1.710734171095331</v>
      </c>
      <c r="G256" s="14">
        <v>11.183016491626912</v>
      </c>
      <c r="H256" s="14">
        <v>4.2007716197853666</v>
      </c>
      <c r="I256" s="14">
        <v>10.297798986365793</v>
      </c>
      <c r="J256" s="14">
        <v>8.20176873276937</v>
      </c>
      <c r="K256" s="14">
        <v>7.0894097793704258</v>
      </c>
      <c r="L256" s="14">
        <v>9.3736131279456512</v>
      </c>
      <c r="M256" s="14">
        <v>7.7098950244624511</v>
      </c>
      <c r="N256" s="14">
        <v>8.0897097475461894</v>
      </c>
    </row>
    <row r="257" spans="1:14" x14ac:dyDescent="0.3">
      <c r="A257" s="3" t="str">
        <f>INDEX('R1. Scenario specifications'!$C$11:$C$49,MATCH($B257,'R1. Scenario specifications'!$A$11:$A$49,0))</f>
        <v>Current 1.5DS, 2020 start, 'Expect the Unexpected' but with cheap energy efficiency</v>
      </c>
      <c r="B257" s="3" t="s">
        <v>28</v>
      </c>
      <c r="C257" s="3" t="s">
        <v>72</v>
      </c>
      <c r="D257" s="14">
        <v>164.94116315871048</v>
      </c>
      <c r="E257" s="14">
        <v>30.000000000000007</v>
      </c>
      <c r="F257" s="14">
        <v>130.00000000000006</v>
      </c>
      <c r="G257" s="14">
        <v>1578.2302879462022</v>
      </c>
      <c r="H257" s="14">
        <v>2100.895262642071</v>
      </c>
      <c r="I257" s="14">
        <v>4093.8006302641397</v>
      </c>
      <c r="J257" s="14">
        <v>4609.995923725508</v>
      </c>
      <c r="K257" s="14">
        <v>1600.2681536269406</v>
      </c>
      <c r="L257" s="14">
        <v>7377.3105651963833</v>
      </c>
      <c r="M257" s="14">
        <v>8074.1094279595827</v>
      </c>
      <c r="N257" s="14">
        <v>7731.7257160900554</v>
      </c>
    </row>
    <row r="258" spans="1:14" x14ac:dyDescent="0.3">
      <c r="A258" s="3" t="str">
        <f>INDEX('R1. Scenario specifications'!$C$11:$C$49,MATCH($B258,'R1. Scenario specifications'!$A$11:$A$49,0))</f>
        <v>Current 1.5DS, 2030 start, 'Expect the Unexpected' but with cheap energy efficiency</v>
      </c>
      <c r="B258" s="3" t="s">
        <v>29</v>
      </c>
      <c r="C258" s="3" t="s">
        <v>63</v>
      </c>
      <c r="D258" s="14">
        <v>0</v>
      </c>
      <c r="E258" s="14">
        <v>8.3774952878671591</v>
      </c>
      <c r="F258" s="14">
        <v>93.789531468729919</v>
      </c>
      <c r="G258" s="14">
        <v>300.17967178830617</v>
      </c>
      <c r="H258" s="14">
        <v>654.1043551852697</v>
      </c>
      <c r="I258" s="14">
        <v>23.200876775565753</v>
      </c>
      <c r="J258" s="14">
        <v>0</v>
      </c>
      <c r="K258" s="14">
        <v>0</v>
      </c>
      <c r="L258" s="14">
        <v>10.189966075384101</v>
      </c>
      <c r="M258" s="14">
        <v>6.8985563884524002</v>
      </c>
      <c r="N258" s="14">
        <v>0</v>
      </c>
    </row>
    <row r="259" spans="1:14" x14ac:dyDescent="0.3">
      <c r="A259" s="3" t="str">
        <f>INDEX('R1. Scenario specifications'!$C$11:$C$49,MATCH($B259,'R1. Scenario specifications'!$A$11:$A$49,0))</f>
        <v>Current 1.5DS, 2030 start, 'Expect the Unexpected' but with cheap energy efficiency</v>
      </c>
      <c r="B259" s="3" t="s">
        <v>29</v>
      </c>
      <c r="C259" s="3" t="s">
        <v>73</v>
      </c>
      <c r="D259" s="14">
        <v>0</v>
      </c>
      <c r="E259" s="14">
        <v>0</v>
      </c>
      <c r="F259" s="14">
        <v>0</v>
      </c>
      <c r="G259" s="14">
        <v>0</v>
      </c>
      <c r="H259" s="14">
        <v>27.326386874693512</v>
      </c>
      <c r="I259" s="14">
        <v>1998.8759857371654</v>
      </c>
      <c r="J259" s="14">
        <v>1915.0180148616178</v>
      </c>
      <c r="K259" s="14">
        <v>0</v>
      </c>
      <c r="L259" s="14">
        <v>53.826128360562002</v>
      </c>
      <c r="M259" s="14">
        <v>1213.0449489667169</v>
      </c>
      <c r="N259" s="14">
        <v>1767.5600578020506</v>
      </c>
    </row>
    <row r="260" spans="1:14" x14ac:dyDescent="0.3">
      <c r="A260" s="3" t="str">
        <f>INDEX('R1. Scenario specifications'!$C$11:$C$49,MATCH($B260,'R1. Scenario specifications'!$A$11:$A$49,0))</f>
        <v>Current 1.5DS, 2030 start, 'Expect the Unexpected' but with cheap energy efficiency</v>
      </c>
      <c r="B260" s="3" t="s">
        <v>29</v>
      </c>
      <c r="C260" s="3" t="s">
        <v>64</v>
      </c>
      <c r="D260" s="14">
        <v>545.32032761765083</v>
      </c>
      <c r="E260" s="14">
        <v>171.97506671901115</v>
      </c>
      <c r="F260" s="14">
        <v>0</v>
      </c>
      <c r="G260" s="14">
        <v>16.396787724521602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</row>
    <row r="261" spans="1:14" x14ac:dyDescent="0.3">
      <c r="A261" s="3" t="str">
        <f>INDEX('R1. Scenario specifications'!$C$11:$C$49,MATCH($B261,'R1. Scenario specifications'!$A$11:$A$49,0))</f>
        <v>Current 1.5DS, 2030 start, 'Expect the Unexpected' but with cheap energy efficiency</v>
      </c>
      <c r="B261" s="3" t="s">
        <v>29</v>
      </c>
      <c r="C261" s="3" t="s">
        <v>65</v>
      </c>
      <c r="D261" s="14">
        <v>172.55578195052306</v>
      </c>
      <c r="E261" s="14">
        <v>625.93335166737552</v>
      </c>
      <c r="F261" s="14">
        <v>477.14024472244631</v>
      </c>
      <c r="G261" s="14">
        <v>16.783672963106241</v>
      </c>
      <c r="H261" s="14">
        <v>419.11823508612315</v>
      </c>
      <c r="I261" s="14">
        <v>39.496845159094072</v>
      </c>
      <c r="J261" s="14">
        <v>36.511805234637549</v>
      </c>
      <c r="K261" s="14">
        <v>12.643580180172812</v>
      </c>
      <c r="L261" s="14">
        <v>185.82268606544386</v>
      </c>
      <c r="M261" s="14">
        <v>244.83350282462752</v>
      </c>
      <c r="N261" s="14">
        <v>80.792828996407806</v>
      </c>
    </row>
    <row r="262" spans="1:14" x14ac:dyDescent="0.3">
      <c r="A262" s="3" t="str">
        <f>INDEX('R1. Scenario specifications'!$C$11:$C$49,MATCH($B262,'R1. Scenario specifications'!$A$11:$A$49,0))</f>
        <v>Current 1.5DS, 2030 start, 'Expect the Unexpected' but with cheap energy efficiency</v>
      </c>
      <c r="B262" s="3" t="s">
        <v>29</v>
      </c>
      <c r="C262" s="3" t="s">
        <v>74</v>
      </c>
      <c r="D262" s="14">
        <v>0</v>
      </c>
      <c r="E262" s="14">
        <v>0</v>
      </c>
      <c r="F262" s="14">
        <v>0</v>
      </c>
      <c r="G262" s="14">
        <v>0</v>
      </c>
      <c r="H262" s="14">
        <v>6.8315967186733806</v>
      </c>
      <c r="I262" s="14">
        <v>1010.2080805816038</v>
      </c>
      <c r="J262" s="14">
        <v>300.34293006529367</v>
      </c>
      <c r="K262" s="14">
        <v>0</v>
      </c>
      <c r="L262" s="14">
        <v>0</v>
      </c>
      <c r="M262" s="14">
        <v>1.54943972314045</v>
      </c>
      <c r="N262" s="14">
        <v>52.624917760648408</v>
      </c>
    </row>
    <row r="263" spans="1:14" x14ac:dyDescent="0.3">
      <c r="A263" s="3" t="str">
        <f>INDEX('R1. Scenario specifications'!$C$11:$C$49,MATCH($B263,'R1. Scenario specifications'!$A$11:$A$49,0))</f>
        <v>Current 1.5DS, 2030 start, 'Expect the Unexpected' but with cheap energy efficiency</v>
      </c>
      <c r="B263" s="3" t="s">
        <v>29</v>
      </c>
      <c r="C263" s="3" t="s">
        <v>66</v>
      </c>
      <c r="D263" s="14">
        <v>0.27881728888888901</v>
      </c>
      <c r="E263" s="14">
        <v>0.33361993333333301</v>
      </c>
      <c r="F263" s="14">
        <v>88.922972540092587</v>
      </c>
      <c r="G263" s="14">
        <v>53.162220652850131</v>
      </c>
      <c r="H263" s="14">
        <v>676.64862132002986</v>
      </c>
      <c r="I263" s="14">
        <v>52.289097484560216</v>
      </c>
      <c r="J263" s="14">
        <v>78.569574066276772</v>
      </c>
      <c r="K263" s="14">
        <v>2.0082921359694437</v>
      </c>
      <c r="L263" s="14">
        <v>23.236711375391614</v>
      </c>
      <c r="M263" s="14">
        <v>127.04751498136217</v>
      </c>
      <c r="N263" s="14">
        <v>109.73364029057623</v>
      </c>
    </row>
    <row r="264" spans="1:14" x14ac:dyDescent="0.3">
      <c r="A264" s="3" t="str">
        <f>INDEX('R1. Scenario specifications'!$C$11:$C$49,MATCH($B264,'R1. Scenario specifications'!$A$11:$A$49,0))</f>
        <v>Current 1.5DS, 2030 start, 'Expect the Unexpected' but with cheap energy efficiency</v>
      </c>
      <c r="B264" s="3" t="s">
        <v>29</v>
      </c>
      <c r="C264" s="3" t="s">
        <v>67</v>
      </c>
      <c r="D264" s="14">
        <v>154.73557777463142</v>
      </c>
      <c r="E264" s="14">
        <v>162.76418662806225</v>
      </c>
      <c r="F264" s="14">
        <v>90.613637816084008</v>
      </c>
      <c r="G264" s="14">
        <v>132.60270357542757</v>
      </c>
      <c r="H264" s="14">
        <v>609.71246642170399</v>
      </c>
      <c r="I264" s="14">
        <v>605.8951768481345</v>
      </c>
      <c r="J264" s="14">
        <v>3.6760984112604298</v>
      </c>
      <c r="K264" s="14">
        <v>17.959707184735983</v>
      </c>
      <c r="L264" s="14">
        <v>95.346638697139966</v>
      </c>
      <c r="M264" s="14">
        <v>74.998481496498727</v>
      </c>
      <c r="N264" s="14">
        <v>26.8877022774609</v>
      </c>
    </row>
    <row r="265" spans="1:14" x14ac:dyDescent="0.3">
      <c r="A265" s="3" t="str">
        <f>INDEX('R1. Scenario specifications'!$C$11:$C$49,MATCH($B265,'R1. Scenario specifications'!$A$11:$A$49,0))</f>
        <v>Current 1.5DS, 2030 start, 'Expect the Unexpected' but with cheap energy efficiency</v>
      </c>
      <c r="B265" s="3" t="s">
        <v>29</v>
      </c>
      <c r="C265" s="3" t="s">
        <v>68</v>
      </c>
      <c r="D265" s="14">
        <v>0</v>
      </c>
      <c r="E265" s="14">
        <v>0</v>
      </c>
      <c r="F265" s="14">
        <v>0</v>
      </c>
      <c r="G265" s="14">
        <v>22.553218427439354</v>
      </c>
      <c r="H265" s="14">
        <v>355.83137761656803</v>
      </c>
      <c r="I265" s="14">
        <v>567.40273311941212</v>
      </c>
      <c r="J265" s="14">
        <v>90.405459387940198</v>
      </c>
      <c r="K265" s="14">
        <v>50.242791749420945</v>
      </c>
      <c r="L265" s="14">
        <v>494.39778297577749</v>
      </c>
      <c r="M265" s="14">
        <v>550.34927619048699</v>
      </c>
      <c r="N265" s="14">
        <v>0</v>
      </c>
    </row>
    <row r="266" spans="1:14" x14ac:dyDescent="0.3">
      <c r="A266" s="3" t="str">
        <f>INDEX('R1. Scenario specifications'!$C$11:$C$49,MATCH($B266,'R1. Scenario specifications'!$A$11:$A$49,0))</f>
        <v>Current 1.5DS, 2030 start, 'Expect the Unexpected' but with cheap energy efficiency</v>
      </c>
      <c r="B266" s="3" t="s">
        <v>29</v>
      </c>
      <c r="C266" s="3" t="s">
        <v>69</v>
      </c>
      <c r="D266" s="14">
        <v>68.24730636209857</v>
      </c>
      <c r="E266" s="14">
        <v>21.625867125843534</v>
      </c>
      <c r="F266" s="14">
        <v>0.39656849116918491</v>
      </c>
      <c r="G266" s="14">
        <v>4.39481081527373</v>
      </c>
      <c r="H266" s="14">
        <v>3.9265711162163099</v>
      </c>
      <c r="I266" s="14">
        <v>2.3069593661738099</v>
      </c>
      <c r="J266" s="14">
        <v>46.939335323465322</v>
      </c>
      <c r="K266" s="14">
        <v>48.171322502337702</v>
      </c>
      <c r="L266" s="14">
        <v>36.071431038056033</v>
      </c>
      <c r="M266" s="14">
        <v>20.74108808726368</v>
      </c>
      <c r="N266" s="14">
        <v>115.21332394367307</v>
      </c>
    </row>
    <row r="267" spans="1:14" x14ac:dyDescent="0.3">
      <c r="A267" s="3" t="str">
        <f>INDEX('R1. Scenario specifications'!$C$11:$C$49,MATCH($B267,'R1. Scenario specifications'!$A$11:$A$49,0))</f>
        <v>Current 1.5DS, 2030 start, 'Expect the Unexpected' but with cheap energy efficiency</v>
      </c>
      <c r="B267" s="3" t="s">
        <v>29</v>
      </c>
      <c r="C267" s="3" t="s">
        <v>70</v>
      </c>
      <c r="D267" s="14">
        <v>12.637708883949241</v>
      </c>
      <c r="E267" s="14">
        <v>82.719415916369499</v>
      </c>
      <c r="F267" s="14">
        <v>97.288686865313664</v>
      </c>
      <c r="G267" s="14">
        <v>401.65756364057171</v>
      </c>
      <c r="H267" s="14">
        <v>2050.9238087050016</v>
      </c>
      <c r="I267" s="14">
        <v>4111.1419982796651</v>
      </c>
      <c r="J267" s="14">
        <v>8365.073829868883</v>
      </c>
      <c r="K267" s="14">
        <v>2257.3363885878098</v>
      </c>
      <c r="L267" s="14">
        <v>4107.4290994343764</v>
      </c>
      <c r="M267" s="14">
        <v>9256.3472491540124</v>
      </c>
      <c r="N267" s="14">
        <v>3366.3765017988567</v>
      </c>
    </row>
    <row r="268" spans="1:14" x14ac:dyDescent="0.3">
      <c r="A268" s="3" t="str">
        <f>INDEX('R1. Scenario specifications'!$C$11:$C$49,MATCH($B268,'R1. Scenario specifications'!$A$11:$A$49,0))</f>
        <v>Current 1.5DS, 2030 start, 'Expect the Unexpected' but with cheap energy efficiency</v>
      </c>
      <c r="B268" s="3" t="s">
        <v>29</v>
      </c>
      <c r="C268" s="3" t="s">
        <v>71</v>
      </c>
      <c r="D268" s="14">
        <v>3.9388921868092472E-3</v>
      </c>
      <c r="E268" s="14">
        <v>1.0352472304670233</v>
      </c>
      <c r="F268" s="14">
        <v>1.710734171095331</v>
      </c>
      <c r="G268" s="14">
        <v>10.613038269375846</v>
      </c>
      <c r="H268" s="14">
        <v>7.8293680526601426</v>
      </c>
      <c r="I268" s="14">
        <v>8.3807192059909088</v>
      </c>
      <c r="J268" s="14">
        <v>13.788309093459405</v>
      </c>
      <c r="K268" s="14">
        <v>8.0678925566514561</v>
      </c>
      <c r="L268" s="14">
        <v>10.753187631337042</v>
      </c>
      <c r="M268" s="14">
        <v>11.272357425317193</v>
      </c>
      <c r="N268" s="14">
        <v>9.244777493816045</v>
      </c>
    </row>
    <row r="269" spans="1:14" x14ac:dyDescent="0.3">
      <c r="A269" s="3" t="str">
        <f>INDEX('R1. Scenario specifications'!$C$11:$C$49,MATCH($B269,'R1. Scenario specifications'!$A$11:$A$49,0))</f>
        <v>Current 1.5DS, 2030 start, 'Expect the Unexpected' but with cheap energy efficiency</v>
      </c>
      <c r="B269" s="3" t="s">
        <v>29</v>
      </c>
      <c r="C269" s="3" t="s">
        <v>72</v>
      </c>
      <c r="D269" s="14">
        <v>164.94116315871048</v>
      </c>
      <c r="E269" s="14">
        <v>30.000000000000007</v>
      </c>
      <c r="F269" s="14">
        <v>130.00000000000006</v>
      </c>
      <c r="G269" s="14">
        <v>1203.724349327679</v>
      </c>
      <c r="H269" s="14">
        <v>1758.7680572220966</v>
      </c>
      <c r="I269" s="14">
        <v>3824.2480574180181</v>
      </c>
      <c r="J269" s="14">
        <v>7185.8567323730203</v>
      </c>
      <c r="K269" s="14">
        <v>71.379166233792702</v>
      </c>
      <c r="L269" s="14">
        <v>3915.4356164467081</v>
      </c>
      <c r="M269" s="14">
        <v>5635.5292219283965</v>
      </c>
      <c r="N269" s="14">
        <v>4466.6906963811944</v>
      </c>
    </row>
    <row r="270" spans="1:14" x14ac:dyDescent="0.3">
      <c r="A270" s="3" t="str">
        <f>INDEX('R1. Scenario specifications'!$C$11:$C$49,MATCH($B270,'R1. Scenario specifications'!$A$11:$A$49,0))</f>
        <v>Current 1.5DS, 2020 start, 'Expect the Unexpected' but with most conservative biomass CCS / NET technology cost assumptions</v>
      </c>
      <c r="B270" s="3" t="s">
        <v>30</v>
      </c>
      <c r="C270" s="3" t="s">
        <v>63</v>
      </c>
      <c r="D270" s="14">
        <v>0</v>
      </c>
      <c r="E270" s="14">
        <v>8.3774952878671591</v>
      </c>
      <c r="F270" s="14">
        <v>93.789531468729919</v>
      </c>
      <c r="G270" s="14">
        <v>422.50735270017822</v>
      </c>
      <c r="H270" s="14">
        <v>19.783933591339327</v>
      </c>
      <c r="I270" s="14">
        <v>5.9800450999640002</v>
      </c>
      <c r="J270" s="14">
        <v>0</v>
      </c>
      <c r="K270" s="14">
        <v>0</v>
      </c>
      <c r="L270" s="14">
        <v>4.9720393982224396</v>
      </c>
      <c r="M270" s="14">
        <v>0</v>
      </c>
      <c r="N270" s="14">
        <v>0</v>
      </c>
    </row>
    <row r="271" spans="1:14" x14ac:dyDescent="0.3">
      <c r="A271" s="3" t="str">
        <f>INDEX('R1. Scenario specifications'!$C$11:$C$49,MATCH($B271,'R1. Scenario specifications'!$A$11:$A$49,0))</f>
        <v>Current 1.5DS, 2020 start, 'Expect the Unexpected' but with most conservative biomass CCS / NET technology cost assumptions</v>
      </c>
      <c r="B271" s="3" t="s">
        <v>30</v>
      </c>
      <c r="C271" s="3" t="s">
        <v>73</v>
      </c>
      <c r="D271" s="14">
        <v>0</v>
      </c>
      <c r="E271" s="14">
        <v>0</v>
      </c>
      <c r="F271" s="14">
        <v>0</v>
      </c>
      <c r="G271" s="14">
        <v>32.342658057002005</v>
      </c>
      <c r="H271" s="14">
        <v>798.47539167143032</v>
      </c>
      <c r="I271" s="14">
        <v>990.03774197872372</v>
      </c>
      <c r="J271" s="14">
        <v>1138.4402333995165</v>
      </c>
      <c r="K271" s="14">
        <v>41.345131351537873</v>
      </c>
      <c r="L271" s="14">
        <v>1987.8999292343617</v>
      </c>
      <c r="M271" s="14">
        <v>854.14225547484421</v>
      </c>
      <c r="N271" s="14">
        <v>925.86151536158638</v>
      </c>
    </row>
    <row r="272" spans="1:14" x14ac:dyDescent="0.3">
      <c r="A272" s="3" t="str">
        <f>INDEX('R1. Scenario specifications'!$C$11:$C$49,MATCH($B272,'R1. Scenario specifications'!$A$11:$A$49,0))</f>
        <v>Current 1.5DS, 2020 start, 'Expect the Unexpected' but with most conservative biomass CCS / NET technology cost assumptions</v>
      </c>
      <c r="B272" s="3" t="s">
        <v>30</v>
      </c>
      <c r="C272" s="3" t="s">
        <v>64</v>
      </c>
      <c r="D272" s="14">
        <v>545.32032761765083</v>
      </c>
      <c r="E272" s="14">
        <v>171.97506671901115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</row>
    <row r="273" spans="1:14" x14ac:dyDescent="0.3">
      <c r="A273" s="3" t="str">
        <f>INDEX('R1. Scenario specifications'!$C$11:$C$49,MATCH($B273,'R1. Scenario specifications'!$A$11:$A$49,0))</f>
        <v>Current 1.5DS, 2020 start, 'Expect the Unexpected' but with most conservative biomass CCS / NET technology cost assumptions</v>
      </c>
      <c r="B273" s="3" t="s">
        <v>30</v>
      </c>
      <c r="C273" s="3" t="s">
        <v>65</v>
      </c>
      <c r="D273" s="14">
        <v>172.55578195052306</v>
      </c>
      <c r="E273" s="14">
        <v>625.93335166737552</v>
      </c>
      <c r="F273" s="14">
        <v>477.14024472244631</v>
      </c>
      <c r="G273" s="14">
        <v>370.75355930692859</v>
      </c>
      <c r="H273" s="14">
        <v>0</v>
      </c>
      <c r="I273" s="14">
        <v>25.737260299477601</v>
      </c>
      <c r="J273" s="14">
        <v>166.63537088518655</v>
      </c>
      <c r="K273" s="14">
        <v>6.8453265375237997</v>
      </c>
      <c r="L273" s="14">
        <v>30.762193126428922</v>
      </c>
      <c r="M273" s="14">
        <v>183.53094289559695</v>
      </c>
      <c r="N273" s="14">
        <v>67.36824886263409</v>
      </c>
    </row>
    <row r="274" spans="1:14" x14ac:dyDescent="0.3">
      <c r="A274" s="3" t="str">
        <f>INDEX('R1. Scenario specifications'!$C$11:$C$49,MATCH($B274,'R1. Scenario specifications'!$A$11:$A$49,0))</f>
        <v>Current 1.5DS, 2020 start, 'Expect the Unexpected' but with most conservative biomass CCS / NET technology cost assumptions</v>
      </c>
      <c r="B274" s="3" t="s">
        <v>30</v>
      </c>
      <c r="C274" s="3" t="s">
        <v>74</v>
      </c>
      <c r="D274" s="14">
        <v>0</v>
      </c>
      <c r="E274" s="14">
        <v>0</v>
      </c>
      <c r="F274" s="14">
        <v>0</v>
      </c>
      <c r="G274" s="14">
        <v>1.815325536364889</v>
      </c>
      <c r="H274" s="14">
        <v>325.64939836627445</v>
      </c>
      <c r="I274" s="14">
        <v>2391.3741629819087</v>
      </c>
      <c r="J274" s="14">
        <v>120.9048948036519</v>
      </c>
      <c r="K274" s="14">
        <v>22.2719435750139</v>
      </c>
      <c r="L274" s="14">
        <v>864.82229037932518</v>
      </c>
      <c r="M274" s="14">
        <v>555.65969147190242</v>
      </c>
      <c r="N274" s="14">
        <v>213.28553103011609</v>
      </c>
    </row>
    <row r="275" spans="1:14" x14ac:dyDescent="0.3">
      <c r="A275" s="3" t="str">
        <f>INDEX('R1. Scenario specifications'!$C$11:$C$49,MATCH($B275,'R1. Scenario specifications'!$A$11:$A$49,0))</f>
        <v>Current 1.5DS, 2020 start, 'Expect the Unexpected' but with most conservative biomass CCS / NET technology cost assumptions</v>
      </c>
      <c r="B275" s="3" t="s">
        <v>30</v>
      </c>
      <c r="C275" s="3" t="s">
        <v>66</v>
      </c>
      <c r="D275" s="14">
        <v>0.27881728888888901</v>
      </c>
      <c r="E275" s="14">
        <v>0.33361993333333301</v>
      </c>
      <c r="F275" s="14">
        <v>88.922972540092587</v>
      </c>
      <c r="G275" s="14">
        <v>557.74556201124892</v>
      </c>
      <c r="H275" s="14">
        <v>409.27677458201453</v>
      </c>
      <c r="I275" s="14">
        <v>44.955472888606181</v>
      </c>
      <c r="J275" s="14">
        <v>78.569574066276772</v>
      </c>
      <c r="K275" s="14">
        <v>7.7022703277638822</v>
      </c>
      <c r="L275" s="14">
        <v>560.73839057438931</v>
      </c>
      <c r="M275" s="14">
        <v>226.03185369817746</v>
      </c>
      <c r="N275" s="14">
        <v>158.63318111410487</v>
      </c>
    </row>
    <row r="276" spans="1:14" x14ac:dyDescent="0.3">
      <c r="A276" s="3" t="str">
        <f>INDEX('R1. Scenario specifications'!$C$11:$C$49,MATCH($B276,'R1. Scenario specifications'!$A$11:$A$49,0))</f>
        <v>Current 1.5DS, 2020 start, 'Expect the Unexpected' but with most conservative biomass CCS / NET technology cost assumptions</v>
      </c>
      <c r="B276" s="3" t="s">
        <v>30</v>
      </c>
      <c r="C276" s="3" t="s">
        <v>67</v>
      </c>
      <c r="D276" s="14">
        <v>154.73557777463142</v>
      </c>
      <c r="E276" s="14">
        <v>162.76418662806225</v>
      </c>
      <c r="F276" s="14">
        <v>90.613637816084008</v>
      </c>
      <c r="G276" s="14">
        <v>809.02941559884675</v>
      </c>
      <c r="H276" s="14">
        <v>423.54821044093126</v>
      </c>
      <c r="I276" s="14">
        <v>366.67698317479881</v>
      </c>
      <c r="J276" s="14">
        <v>48.332701327742434</v>
      </c>
      <c r="K276" s="14">
        <v>102.52015511970669</v>
      </c>
      <c r="L276" s="14">
        <v>318.64814380326459</v>
      </c>
      <c r="M276" s="14">
        <v>95.335264716554207</v>
      </c>
      <c r="N276" s="14">
        <v>15.22037726063199</v>
      </c>
    </row>
    <row r="277" spans="1:14" x14ac:dyDescent="0.3">
      <c r="A277" s="3" t="str">
        <f>INDEX('R1. Scenario specifications'!$C$11:$C$49,MATCH($B277,'R1. Scenario specifications'!$A$11:$A$49,0))</f>
        <v>Current 1.5DS, 2020 start, 'Expect the Unexpected' but with most conservative biomass CCS / NET technology cost assumptions</v>
      </c>
      <c r="B277" s="3" t="s">
        <v>30</v>
      </c>
      <c r="C277" s="3" t="s">
        <v>68</v>
      </c>
      <c r="D277" s="14">
        <v>0</v>
      </c>
      <c r="E277" s="14">
        <v>0</v>
      </c>
      <c r="F277" s="14">
        <v>0</v>
      </c>
      <c r="G277" s="14">
        <v>175.78079352104521</v>
      </c>
      <c r="H277" s="14">
        <v>315.42755423537039</v>
      </c>
      <c r="I277" s="14">
        <v>499.07477396121436</v>
      </c>
      <c r="J277" s="14">
        <v>76.23664594876891</v>
      </c>
      <c r="K277" s="14">
        <v>358.7733084305662</v>
      </c>
      <c r="L277" s="14">
        <v>482.6421770762592</v>
      </c>
      <c r="M277" s="14">
        <v>561.81804494805976</v>
      </c>
      <c r="N277" s="14">
        <v>0</v>
      </c>
    </row>
    <row r="278" spans="1:14" x14ac:dyDescent="0.3">
      <c r="A278" s="3" t="str">
        <f>INDEX('R1. Scenario specifications'!$C$11:$C$49,MATCH($B278,'R1. Scenario specifications'!$A$11:$A$49,0))</f>
        <v>Current 1.5DS, 2020 start, 'Expect the Unexpected' but with most conservative biomass CCS / NET technology cost assumptions</v>
      </c>
      <c r="B278" s="3" t="s">
        <v>30</v>
      </c>
      <c r="C278" s="3" t="s">
        <v>69</v>
      </c>
      <c r="D278" s="14">
        <v>68.24730636209857</v>
      </c>
      <c r="E278" s="14">
        <v>21.625867125843534</v>
      </c>
      <c r="F278" s="14">
        <v>0.39656849116918491</v>
      </c>
      <c r="G278" s="14">
        <v>3.023673578391016</v>
      </c>
      <c r="H278" s="14">
        <v>1.03531568153659</v>
      </c>
      <c r="I278" s="14">
        <v>10.334127504082009</v>
      </c>
      <c r="J278" s="14">
        <v>52.510125227748489</v>
      </c>
      <c r="K278" s="14">
        <v>12.248805473212881</v>
      </c>
      <c r="L278" s="14">
        <v>38.05187439278582</v>
      </c>
      <c r="M278" s="14">
        <v>53.164638662862956</v>
      </c>
      <c r="N278" s="14">
        <v>100.2807014687141</v>
      </c>
    </row>
    <row r="279" spans="1:14" x14ac:dyDescent="0.3">
      <c r="A279" s="3" t="str">
        <f>INDEX('R1. Scenario specifications'!$C$11:$C$49,MATCH($B279,'R1. Scenario specifications'!$A$11:$A$49,0))</f>
        <v>Current 1.5DS, 2020 start, 'Expect the Unexpected' but with most conservative biomass CCS / NET technology cost assumptions</v>
      </c>
      <c r="B279" s="3" t="s">
        <v>30</v>
      </c>
      <c r="C279" s="3" t="s">
        <v>70</v>
      </c>
      <c r="D279" s="14">
        <v>12.637708883949241</v>
      </c>
      <c r="E279" s="14">
        <v>82.719415916369499</v>
      </c>
      <c r="F279" s="14">
        <v>97.288686865313664</v>
      </c>
      <c r="G279" s="14">
        <v>768.10910564402639</v>
      </c>
      <c r="H279" s="14">
        <v>2934.0849281311407</v>
      </c>
      <c r="I279" s="14">
        <v>5458.5178290449494</v>
      </c>
      <c r="J279" s="14">
        <v>4795.2862626092228</v>
      </c>
      <c r="K279" s="14">
        <v>3112.0678920947239</v>
      </c>
      <c r="L279" s="14">
        <v>8130.487330264963</v>
      </c>
      <c r="M279" s="14">
        <v>8121.3355531174757</v>
      </c>
      <c r="N279" s="14">
        <v>6452.6705705017075</v>
      </c>
    </row>
    <row r="280" spans="1:14" x14ac:dyDescent="0.3">
      <c r="A280" s="3" t="str">
        <f>INDEX('R1. Scenario specifications'!$C$11:$C$49,MATCH($B280,'R1. Scenario specifications'!$A$11:$A$49,0))</f>
        <v>Current 1.5DS, 2020 start, 'Expect the Unexpected' but with most conservative biomass CCS / NET technology cost assumptions</v>
      </c>
      <c r="B280" s="3" t="s">
        <v>30</v>
      </c>
      <c r="C280" s="3" t="s">
        <v>71</v>
      </c>
      <c r="D280" s="14">
        <v>3.9388921868092472E-3</v>
      </c>
      <c r="E280" s="14">
        <v>1.0352472304670233</v>
      </c>
      <c r="F280" s="14">
        <v>1.710734171095331</v>
      </c>
      <c r="G280" s="14">
        <v>39.849050714688012</v>
      </c>
      <c r="H280" s="14">
        <v>195.7532119402764</v>
      </c>
      <c r="I280" s="14">
        <v>295.47581549444828</v>
      </c>
      <c r="J280" s="14">
        <v>149.15041474313261</v>
      </c>
      <c r="K280" s="14">
        <v>239.5585790267391</v>
      </c>
      <c r="L280" s="14">
        <v>231.18929893035573</v>
      </c>
      <c r="M280" s="14">
        <v>188.86429332025338</v>
      </c>
      <c r="N280" s="14">
        <v>235.87826561098296</v>
      </c>
    </row>
    <row r="281" spans="1:14" x14ac:dyDescent="0.3">
      <c r="A281" s="3" t="str">
        <f>INDEX('R1. Scenario specifications'!$C$11:$C$49,MATCH($B281,'R1. Scenario specifications'!$A$11:$A$49,0))</f>
        <v>Current 1.5DS, 2020 start, 'Expect the Unexpected' but with most conservative biomass CCS / NET technology cost assumptions</v>
      </c>
      <c r="B281" s="3" t="s">
        <v>30</v>
      </c>
      <c r="C281" s="3" t="s">
        <v>72</v>
      </c>
      <c r="D281" s="14">
        <v>164.94116315871048</v>
      </c>
      <c r="E281" s="14">
        <v>30.000000000000007</v>
      </c>
      <c r="F281" s="14">
        <v>130.00000000000006</v>
      </c>
      <c r="G281" s="14">
        <v>1578.2302879462022</v>
      </c>
      <c r="H281" s="14">
        <v>2285.4352197599433</v>
      </c>
      <c r="I281" s="14">
        <v>5941.9659089479292</v>
      </c>
      <c r="J281" s="14">
        <v>4224.5818430361514</v>
      </c>
      <c r="K281" s="14">
        <v>2421.8355836790361</v>
      </c>
      <c r="L281" s="14">
        <v>8331.2565885663225</v>
      </c>
      <c r="M281" s="14">
        <v>8662.3552578354138</v>
      </c>
      <c r="N281" s="14">
        <v>10044.99687044084</v>
      </c>
    </row>
    <row r="282" spans="1:14" x14ac:dyDescent="0.3">
      <c r="A282" s="3" t="str">
        <f>INDEX('R1. Scenario specifications'!$C$11:$C$49,MATCH($B282,'R1. Scenario specifications'!$A$11:$A$49,0))</f>
        <v>Current 1.5DS, 2030 start, 'Expect the Unexpected' but with most conservative biomass CCS / NET technology cost assumptions</v>
      </c>
      <c r="B282" s="3" t="s">
        <v>31</v>
      </c>
      <c r="C282" s="3" t="s">
        <v>63</v>
      </c>
      <c r="D282" s="14">
        <v>0</v>
      </c>
      <c r="E282" s="14">
        <v>8.3774952878671591</v>
      </c>
      <c r="F282" s="14">
        <v>93.789531468729919</v>
      </c>
      <c r="G282" s="14">
        <v>300.17967178830617</v>
      </c>
      <c r="H282" s="14">
        <v>429.39307055946642</v>
      </c>
      <c r="I282" s="14">
        <v>7.5860892916080198</v>
      </c>
      <c r="J282" s="14">
        <v>75.230016543595497</v>
      </c>
      <c r="K282" s="14">
        <v>0</v>
      </c>
      <c r="L282" s="14">
        <v>0</v>
      </c>
      <c r="M282" s="14">
        <v>20.886699084575611</v>
      </c>
      <c r="N282" s="14">
        <v>0</v>
      </c>
    </row>
    <row r="283" spans="1:14" x14ac:dyDescent="0.3">
      <c r="A283" s="3" t="str">
        <f>INDEX('R1. Scenario specifications'!$C$11:$C$49,MATCH($B283,'R1. Scenario specifications'!$A$11:$A$49,0))</f>
        <v>Current 1.5DS, 2030 start, 'Expect the Unexpected' but with most conservative biomass CCS / NET technology cost assumptions</v>
      </c>
      <c r="B283" s="3" t="s">
        <v>31</v>
      </c>
      <c r="C283" s="3" t="s">
        <v>73</v>
      </c>
      <c r="D283" s="14">
        <v>0</v>
      </c>
      <c r="E283" s="14">
        <v>0</v>
      </c>
      <c r="F283" s="14">
        <v>0</v>
      </c>
      <c r="G283" s="14">
        <v>0</v>
      </c>
      <c r="H283" s="14">
        <v>29.603585780917975</v>
      </c>
      <c r="I283" s="14">
        <v>1436.5788151773595</v>
      </c>
      <c r="J283" s="14">
        <v>3272.4656636390382</v>
      </c>
      <c r="K283" s="14">
        <v>0</v>
      </c>
      <c r="L283" s="14">
        <v>23.213875620349871</v>
      </c>
      <c r="M283" s="14">
        <v>717.29051466001283</v>
      </c>
      <c r="N283" s="14">
        <v>3377.1662216579057</v>
      </c>
    </row>
    <row r="284" spans="1:14" x14ac:dyDescent="0.3">
      <c r="A284" s="3" t="str">
        <f>INDEX('R1. Scenario specifications'!$C$11:$C$49,MATCH($B284,'R1. Scenario specifications'!$A$11:$A$49,0))</f>
        <v>Current 1.5DS, 2030 start, 'Expect the Unexpected' but with most conservative biomass CCS / NET technology cost assumptions</v>
      </c>
      <c r="B284" s="3" t="s">
        <v>31</v>
      </c>
      <c r="C284" s="3" t="s">
        <v>64</v>
      </c>
      <c r="D284" s="14">
        <v>545.32032761765083</v>
      </c>
      <c r="E284" s="14">
        <v>171.97506671901115</v>
      </c>
      <c r="F284" s="14">
        <v>0</v>
      </c>
      <c r="G284" s="14">
        <v>16.396787724521602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</row>
    <row r="285" spans="1:14" x14ac:dyDescent="0.3">
      <c r="A285" s="3" t="str">
        <f>INDEX('R1. Scenario specifications'!$C$11:$C$49,MATCH($B285,'R1. Scenario specifications'!$A$11:$A$49,0))</f>
        <v>Current 1.5DS, 2030 start, 'Expect the Unexpected' but with most conservative biomass CCS / NET technology cost assumptions</v>
      </c>
      <c r="B285" s="3" t="s">
        <v>31</v>
      </c>
      <c r="C285" s="3" t="s">
        <v>65</v>
      </c>
      <c r="D285" s="14">
        <v>172.55578195052306</v>
      </c>
      <c r="E285" s="14">
        <v>625.93335166737552</v>
      </c>
      <c r="F285" s="14">
        <v>477.14024472244631</v>
      </c>
      <c r="G285" s="14">
        <v>16.783672963106241</v>
      </c>
      <c r="H285" s="14">
        <v>266.04149001103258</v>
      </c>
      <c r="I285" s="14">
        <v>69.103914422825909</v>
      </c>
      <c r="J285" s="14">
        <v>28.650802775582399</v>
      </c>
      <c r="K285" s="14">
        <v>96.806598833798731</v>
      </c>
      <c r="L285" s="14">
        <v>321.88617539033629</v>
      </c>
      <c r="M285" s="14">
        <v>406.47226942475754</v>
      </c>
      <c r="N285" s="14">
        <v>19.848241872552769</v>
      </c>
    </row>
    <row r="286" spans="1:14" x14ac:dyDescent="0.3">
      <c r="A286" s="3" t="str">
        <f>INDEX('R1. Scenario specifications'!$C$11:$C$49,MATCH($B286,'R1. Scenario specifications'!$A$11:$A$49,0))</f>
        <v>Current 1.5DS, 2030 start, 'Expect the Unexpected' but with most conservative biomass CCS / NET technology cost assumptions</v>
      </c>
      <c r="B286" s="3" t="s">
        <v>31</v>
      </c>
      <c r="C286" s="3" t="s">
        <v>74</v>
      </c>
      <c r="D286" s="14">
        <v>0</v>
      </c>
      <c r="E286" s="14">
        <v>0</v>
      </c>
      <c r="F286" s="14">
        <v>0</v>
      </c>
      <c r="G286" s="14">
        <v>0</v>
      </c>
      <c r="H286" s="14">
        <v>4.5543978124489204</v>
      </c>
      <c r="I286" s="14">
        <v>817.71644556448803</v>
      </c>
      <c r="J286" s="14">
        <v>1026.888224747506</v>
      </c>
      <c r="K286" s="14">
        <v>0</v>
      </c>
      <c r="L286" s="14">
        <v>0</v>
      </c>
      <c r="M286" s="14">
        <v>1.0092647006975899</v>
      </c>
      <c r="N286" s="14">
        <v>241.91496477700824</v>
      </c>
    </row>
    <row r="287" spans="1:14" x14ac:dyDescent="0.3">
      <c r="A287" s="3" t="str">
        <f>INDEX('R1. Scenario specifications'!$C$11:$C$49,MATCH($B287,'R1. Scenario specifications'!$A$11:$A$49,0))</f>
        <v>Current 1.5DS, 2030 start, 'Expect the Unexpected' but with most conservative biomass CCS / NET technology cost assumptions</v>
      </c>
      <c r="B287" s="3" t="s">
        <v>31</v>
      </c>
      <c r="C287" s="3" t="s">
        <v>66</v>
      </c>
      <c r="D287" s="14">
        <v>0.27881728888888901</v>
      </c>
      <c r="E287" s="14">
        <v>0.33361993333333301</v>
      </c>
      <c r="F287" s="14">
        <v>88.922972540092587</v>
      </c>
      <c r="G287" s="14">
        <v>53.162220652850131</v>
      </c>
      <c r="H287" s="14">
        <v>1120.229312290626</v>
      </c>
      <c r="I287" s="14">
        <v>52.289097484560216</v>
      </c>
      <c r="J287" s="14">
        <v>78.569574066276772</v>
      </c>
      <c r="K287" s="14">
        <v>2.0256421880194435</v>
      </c>
      <c r="L287" s="14">
        <v>24.887644105952724</v>
      </c>
      <c r="M287" s="14">
        <v>235.56311278970506</v>
      </c>
      <c r="N287" s="14">
        <v>93.908308424116115</v>
      </c>
    </row>
    <row r="288" spans="1:14" x14ac:dyDescent="0.3">
      <c r="A288" s="3" t="str">
        <f>INDEX('R1. Scenario specifications'!$C$11:$C$49,MATCH($B288,'R1. Scenario specifications'!$A$11:$A$49,0))</f>
        <v>Current 1.5DS, 2030 start, 'Expect the Unexpected' but with most conservative biomass CCS / NET technology cost assumptions</v>
      </c>
      <c r="B288" s="3" t="s">
        <v>31</v>
      </c>
      <c r="C288" s="3" t="s">
        <v>67</v>
      </c>
      <c r="D288" s="14">
        <v>154.73557777463142</v>
      </c>
      <c r="E288" s="14">
        <v>162.76418662806225</v>
      </c>
      <c r="F288" s="14">
        <v>90.613637816084008</v>
      </c>
      <c r="G288" s="14">
        <v>132.60270357542757</v>
      </c>
      <c r="H288" s="14">
        <v>942.01919636407217</v>
      </c>
      <c r="I288" s="14">
        <v>810.75229092131644</v>
      </c>
      <c r="J288" s="14">
        <v>12.140644664380032</v>
      </c>
      <c r="K288" s="14">
        <v>2.5931374470850579</v>
      </c>
      <c r="L288" s="14">
        <v>92.897758577915809</v>
      </c>
      <c r="M288" s="14">
        <v>162.90827390142843</v>
      </c>
      <c r="N288" s="14">
        <v>17.8009521836068</v>
      </c>
    </row>
    <row r="289" spans="1:14" x14ac:dyDescent="0.3">
      <c r="A289" s="3" t="str">
        <f>INDEX('R1. Scenario specifications'!$C$11:$C$49,MATCH($B289,'R1. Scenario specifications'!$A$11:$A$49,0))</f>
        <v>Current 1.5DS, 2030 start, 'Expect the Unexpected' but with most conservative biomass CCS / NET technology cost assumptions</v>
      </c>
      <c r="B289" s="3" t="s">
        <v>31</v>
      </c>
      <c r="C289" s="3" t="s">
        <v>68</v>
      </c>
      <c r="D289" s="14">
        <v>0</v>
      </c>
      <c r="E289" s="14">
        <v>0</v>
      </c>
      <c r="F289" s="14">
        <v>0</v>
      </c>
      <c r="G289" s="14">
        <v>22.553218427439354</v>
      </c>
      <c r="H289" s="14">
        <v>372.39003959128667</v>
      </c>
      <c r="I289" s="14">
        <v>581.27105602765971</v>
      </c>
      <c r="J289" s="14">
        <v>87.394406252332473</v>
      </c>
      <c r="K289" s="14">
        <v>75.983441902167357</v>
      </c>
      <c r="L289" s="14">
        <v>527.55583572853959</v>
      </c>
      <c r="M289" s="14">
        <v>578.09105517743615</v>
      </c>
      <c r="N289" s="14">
        <v>0</v>
      </c>
    </row>
    <row r="290" spans="1:14" x14ac:dyDescent="0.3">
      <c r="A290" s="3" t="str">
        <f>INDEX('R1. Scenario specifications'!$C$11:$C$49,MATCH($B290,'R1. Scenario specifications'!$A$11:$A$49,0))</f>
        <v>Current 1.5DS, 2030 start, 'Expect the Unexpected' but with most conservative biomass CCS / NET technology cost assumptions</v>
      </c>
      <c r="B290" s="3" t="s">
        <v>31</v>
      </c>
      <c r="C290" s="3" t="s">
        <v>69</v>
      </c>
      <c r="D290" s="14">
        <v>68.24730636209857</v>
      </c>
      <c r="E290" s="14">
        <v>21.625867125843534</v>
      </c>
      <c r="F290" s="14">
        <v>0.39656849116918491</v>
      </c>
      <c r="G290" s="14">
        <v>4.39481081527373</v>
      </c>
      <c r="H290" s="14">
        <v>1.4780390966868702</v>
      </c>
      <c r="I290" s="14">
        <v>0</v>
      </c>
      <c r="J290" s="14">
        <v>46.363143610826832</v>
      </c>
      <c r="K290" s="14">
        <v>0</v>
      </c>
      <c r="L290" s="14">
        <v>38.863085685209569</v>
      </c>
      <c r="M290" s="14">
        <v>17.360829380177201</v>
      </c>
      <c r="N290" s="14">
        <v>135.18240654405969</v>
      </c>
    </row>
    <row r="291" spans="1:14" x14ac:dyDescent="0.3">
      <c r="A291" s="3" t="str">
        <f>INDEX('R1. Scenario specifications'!$C$11:$C$49,MATCH($B291,'R1. Scenario specifications'!$A$11:$A$49,0))</f>
        <v>Current 1.5DS, 2030 start, 'Expect the Unexpected' but with most conservative biomass CCS / NET technology cost assumptions</v>
      </c>
      <c r="B291" s="3" t="s">
        <v>31</v>
      </c>
      <c r="C291" s="3" t="s">
        <v>70</v>
      </c>
      <c r="D291" s="14">
        <v>12.637708883949241</v>
      </c>
      <c r="E291" s="14">
        <v>82.719415916369499</v>
      </c>
      <c r="F291" s="14">
        <v>97.288686865313664</v>
      </c>
      <c r="G291" s="14">
        <v>401.65756364057171</v>
      </c>
      <c r="H291" s="14">
        <v>2084.6756091294637</v>
      </c>
      <c r="I291" s="14">
        <v>4778.3117014806094</v>
      </c>
      <c r="J291" s="14">
        <v>9883.2687603715185</v>
      </c>
      <c r="K291" s="14">
        <v>2504.0724919979107</v>
      </c>
      <c r="L291" s="14">
        <v>4858.2643895752726</v>
      </c>
      <c r="M291" s="14">
        <v>11373.341417338523</v>
      </c>
      <c r="N291" s="14">
        <v>3333.3256923949079</v>
      </c>
    </row>
    <row r="292" spans="1:14" x14ac:dyDescent="0.3">
      <c r="A292" s="3" t="str">
        <f>INDEX('R1. Scenario specifications'!$C$11:$C$49,MATCH($B292,'R1. Scenario specifications'!$A$11:$A$49,0))</f>
        <v>Current 1.5DS, 2030 start, 'Expect the Unexpected' but with most conservative biomass CCS / NET technology cost assumptions</v>
      </c>
      <c r="B292" s="3" t="s">
        <v>31</v>
      </c>
      <c r="C292" s="3" t="s">
        <v>71</v>
      </c>
      <c r="D292" s="14">
        <v>3.9388921868092472E-3</v>
      </c>
      <c r="E292" s="14">
        <v>1.0352472304670233</v>
      </c>
      <c r="F292" s="14">
        <v>1.710734171095331</v>
      </c>
      <c r="G292" s="14">
        <v>10.613038269375846</v>
      </c>
      <c r="H292" s="14">
        <v>51.175197316916588</v>
      </c>
      <c r="I292" s="14">
        <v>102.52263711794302</v>
      </c>
      <c r="J292" s="14">
        <v>32.830118078244375</v>
      </c>
      <c r="K292" s="14">
        <v>131.86563931330917</v>
      </c>
      <c r="L292" s="14">
        <v>71.902654130413168</v>
      </c>
      <c r="M292" s="14">
        <v>76.334663391064936</v>
      </c>
      <c r="N292" s="14">
        <v>105.52013818537075</v>
      </c>
    </row>
    <row r="293" spans="1:14" x14ac:dyDescent="0.3">
      <c r="A293" s="3" t="str">
        <f>INDEX('R1. Scenario specifications'!$C$11:$C$49,MATCH($B293,'R1. Scenario specifications'!$A$11:$A$49,0))</f>
        <v>Current 1.5DS, 2030 start, 'Expect the Unexpected' but with most conservative biomass CCS / NET technology cost assumptions</v>
      </c>
      <c r="B293" s="3" t="s">
        <v>31</v>
      </c>
      <c r="C293" s="3" t="s">
        <v>72</v>
      </c>
      <c r="D293" s="14">
        <v>164.94116315871048</v>
      </c>
      <c r="E293" s="14">
        <v>30.000000000000007</v>
      </c>
      <c r="F293" s="14">
        <v>130.00000000000006</v>
      </c>
      <c r="G293" s="14">
        <v>1203.724349327679</v>
      </c>
      <c r="H293" s="14">
        <v>1864.621102469619</v>
      </c>
      <c r="I293" s="14">
        <v>4346.4332235539387</v>
      </c>
      <c r="J293" s="14">
        <v>8784.739278537596</v>
      </c>
      <c r="K293" s="14">
        <v>36.959947964593908</v>
      </c>
      <c r="L293" s="14">
        <v>4392.9040163872005</v>
      </c>
      <c r="M293" s="14">
        <v>7597.8043700257058</v>
      </c>
      <c r="N293" s="14">
        <v>5145.9002085743277</v>
      </c>
    </row>
    <row r="294" spans="1:14" x14ac:dyDescent="0.3">
      <c r="A294" s="3" t="str">
        <f>INDEX('R1. Scenario specifications'!$C$11:$C$49,MATCH($B294,'R1. Scenario specifications'!$A$11:$A$49,0))</f>
        <v>Current 1.75DS, 2020 start, 'Expect the Unexpected'</v>
      </c>
      <c r="B294" s="3" t="s">
        <v>32</v>
      </c>
      <c r="C294" s="3" t="s">
        <v>63</v>
      </c>
      <c r="D294" s="14">
        <v>0</v>
      </c>
      <c r="E294" s="14">
        <v>8.3774952878671591</v>
      </c>
      <c r="F294" s="14">
        <v>93.789531468729919</v>
      </c>
      <c r="G294" s="14">
        <v>370.91654746244757</v>
      </c>
      <c r="H294" s="14">
        <v>70.823463283378416</v>
      </c>
      <c r="I294" s="14">
        <v>4.4296963625668297</v>
      </c>
      <c r="J294" s="14">
        <v>0</v>
      </c>
      <c r="K294" s="14">
        <v>4.8669657239953503</v>
      </c>
      <c r="L294" s="14">
        <v>1.5798446379350299</v>
      </c>
      <c r="M294" s="14">
        <v>0</v>
      </c>
      <c r="N294" s="14">
        <v>4.4234354701090899</v>
      </c>
    </row>
    <row r="295" spans="1:14" x14ac:dyDescent="0.3">
      <c r="A295" s="3" t="str">
        <f>INDEX('R1. Scenario specifications'!$C$11:$C$49,MATCH($B295,'R1. Scenario specifications'!$A$11:$A$49,0))</f>
        <v>Current 1.75DS, 2020 start, 'Expect the Unexpected'</v>
      </c>
      <c r="B295" s="3" t="s">
        <v>32</v>
      </c>
      <c r="C295" s="3" t="s">
        <v>73</v>
      </c>
      <c r="D295" s="14">
        <v>0</v>
      </c>
      <c r="E295" s="14">
        <v>0</v>
      </c>
      <c r="F295" s="14">
        <v>0</v>
      </c>
      <c r="G295" s="14">
        <v>28.833284868841158</v>
      </c>
      <c r="H295" s="14">
        <v>131.16131736591188</v>
      </c>
      <c r="I295" s="14">
        <v>611.62494756455817</v>
      </c>
      <c r="J295" s="14">
        <v>1345.0500028295721</v>
      </c>
      <c r="K295" s="14">
        <v>650.24817990229906</v>
      </c>
      <c r="L295" s="14">
        <v>1149.4700011838263</v>
      </c>
      <c r="M295" s="14">
        <v>1662.9582483325248</v>
      </c>
      <c r="N295" s="14">
        <v>695.3357361236782</v>
      </c>
    </row>
    <row r="296" spans="1:14" x14ac:dyDescent="0.3">
      <c r="A296" s="3" t="str">
        <f>INDEX('R1. Scenario specifications'!$C$11:$C$49,MATCH($B296,'R1. Scenario specifications'!$A$11:$A$49,0))</f>
        <v>Current 1.75DS, 2020 start, 'Expect the Unexpected'</v>
      </c>
      <c r="B296" s="3" t="s">
        <v>32</v>
      </c>
      <c r="C296" s="3" t="s">
        <v>64</v>
      </c>
      <c r="D296" s="14">
        <v>545.32032761765083</v>
      </c>
      <c r="E296" s="14">
        <v>171.97506671901115</v>
      </c>
      <c r="F296" s="14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</row>
    <row r="297" spans="1:14" x14ac:dyDescent="0.3">
      <c r="A297" s="3" t="str">
        <f>INDEX('R1. Scenario specifications'!$C$11:$C$49,MATCH($B297,'R1. Scenario specifications'!$A$11:$A$49,0))</f>
        <v>Current 1.75DS, 2020 start, 'Expect the Unexpected'</v>
      </c>
      <c r="B297" s="3" t="s">
        <v>32</v>
      </c>
      <c r="C297" s="3" t="s">
        <v>65</v>
      </c>
      <c r="D297" s="14">
        <v>172.55578195052306</v>
      </c>
      <c r="E297" s="14">
        <v>625.93335166737552</v>
      </c>
      <c r="F297" s="14">
        <v>477.14024472244631</v>
      </c>
      <c r="G297" s="14">
        <v>51.269247244881754</v>
      </c>
      <c r="H297" s="14">
        <v>82.45870262781412</v>
      </c>
      <c r="I297" s="14">
        <v>618.91842344703514</v>
      </c>
      <c r="J297" s="14">
        <v>116.53998725537815</v>
      </c>
      <c r="K297" s="14">
        <v>73.343855178098863</v>
      </c>
      <c r="L297" s="14">
        <v>23.981406050660794</v>
      </c>
      <c r="M297" s="14">
        <v>201.76648368003237</v>
      </c>
      <c r="N297" s="14">
        <v>107.27001562572949</v>
      </c>
    </row>
    <row r="298" spans="1:14" x14ac:dyDescent="0.3">
      <c r="A298" s="3" t="str">
        <f>INDEX('R1. Scenario specifications'!$C$11:$C$49,MATCH($B298,'R1. Scenario specifications'!$A$11:$A$49,0))</f>
        <v>Current 1.75DS, 2020 start, 'Expect the Unexpected'</v>
      </c>
      <c r="B298" s="3" t="s">
        <v>32</v>
      </c>
      <c r="C298" s="3" t="s">
        <v>74</v>
      </c>
      <c r="D298" s="14">
        <v>0</v>
      </c>
      <c r="E298" s="14">
        <v>0</v>
      </c>
      <c r="F298" s="14">
        <v>0</v>
      </c>
      <c r="G298" s="14">
        <v>2.2771989062244602</v>
      </c>
      <c r="H298" s="14">
        <v>0.53545056423741</v>
      </c>
      <c r="I298" s="14">
        <v>154.5748630910611</v>
      </c>
      <c r="J298" s="14">
        <v>251.35485250378261</v>
      </c>
      <c r="K298" s="14">
        <v>818.38836910385066</v>
      </c>
      <c r="L298" s="14">
        <v>700.64823778703396</v>
      </c>
      <c r="M298" s="14">
        <v>16.899384919755001</v>
      </c>
      <c r="N298" s="14">
        <v>862.2013844602933</v>
      </c>
    </row>
    <row r="299" spans="1:14" x14ac:dyDescent="0.3">
      <c r="A299" s="3" t="str">
        <f>INDEX('R1. Scenario specifications'!$C$11:$C$49,MATCH($B299,'R1. Scenario specifications'!$A$11:$A$49,0))</f>
        <v>Current 1.75DS, 2020 start, 'Expect the Unexpected'</v>
      </c>
      <c r="B299" s="3" t="s">
        <v>32</v>
      </c>
      <c r="C299" s="3" t="s">
        <v>66</v>
      </c>
      <c r="D299" s="14">
        <v>0.27881728888888901</v>
      </c>
      <c r="E299" s="14">
        <v>0.33361993333333301</v>
      </c>
      <c r="F299" s="14">
        <v>88.922972540092587</v>
      </c>
      <c r="G299" s="14">
        <v>53.53277898674402</v>
      </c>
      <c r="H299" s="14">
        <v>56.296130050950133</v>
      </c>
      <c r="I299" s="14">
        <v>267.80596941996049</v>
      </c>
      <c r="J299" s="14">
        <v>117.40139291919449</v>
      </c>
      <c r="K299" s="14">
        <v>266.79553818999392</v>
      </c>
      <c r="L299" s="14">
        <v>229.40169017766416</v>
      </c>
      <c r="M299" s="14">
        <v>215.8758312477101</v>
      </c>
      <c r="N299" s="14">
        <v>748.74704330110364</v>
      </c>
    </row>
    <row r="300" spans="1:14" x14ac:dyDescent="0.3">
      <c r="A300" s="3" t="str">
        <f>INDEX('R1. Scenario specifications'!$C$11:$C$49,MATCH($B300,'R1. Scenario specifications'!$A$11:$A$49,0))</f>
        <v>Current 1.75DS, 2020 start, 'Expect the Unexpected'</v>
      </c>
      <c r="B300" s="3" t="s">
        <v>32</v>
      </c>
      <c r="C300" s="3" t="s">
        <v>67</v>
      </c>
      <c r="D300" s="14">
        <v>154.73557777463142</v>
      </c>
      <c r="E300" s="14">
        <v>162.76418662806225</v>
      </c>
      <c r="F300" s="14">
        <v>90.613637816084008</v>
      </c>
      <c r="G300" s="14">
        <v>306.53490115272592</v>
      </c>
      <c r="H300" s="14">
        <v>235.58445789192064</v>
      </c>
      <c r="I300" s="14">
        <v>217.53575621751924</v>
      </c>
      <c r="J300" s="14">
        <v>158.71217542877838</v>
      </c>
      <c r="K300" s="14">
        <v>703.36214254162144</v>
      </c>
      <c r="L300" s="14">
        <v>232.98745683217442</v>
      </c>
      <c r="M300" s="14">
        <v>139.44417214070256</v>
      </c>
      <c r="N300" s="14">
        <v>15.268191290446715</v>
      </c>
    </row>
    <row r="301" spans="1:14" x14ac:dyDescent="0.3">
      <c r="A301" s="3" t="str">
        <f>INDEX('R1. Scenario specifications'!$C$11:$C$49,MATCH($B301,'R1. Scenario specifications'!$A$11:$A$49,0))</f>
        <v>Current 1.75DS, 2020 start, 'Expect the Unexpected'</v>
      </c>
      <c r="B301" s="3" t="s">
        <v>32</v>
      </c>
      <c r="C301" s="3" t="s">
        <v>68</v>
      </c>
      <c r="D301" s="14">
        <v>0</v>
      </c>
      <c r="E301" s="14">
        <v>0</v>
      </c>
      <c r="F301" s="14">
        <v>0</v>
      </c>
      <c r="G301" s="14">
        <v>94.943116153705176</v>
      </c>
      <c r="H301" s="14">
        <v>359.8851781037115</v>
      </c>
      <c r="I301" s="14">
        <v>609.95182156911994</v>
      </c>
      <c r="J301" s="14">
        <v>152.2574191158802</v>
      </c>
      <c r="K301" s="14">
        <v>217.88438119920505</v>
      </c>
      <c r="L301" s="14">
        <v>444.91951524462576</v>
      </c>
      <c r="M301" s="14">
        <v>625.98074854479955</v>
      </c>
      <c r="N301" s="14">
        <v>0</v>
      </c>
    </row>
    <row r="302" spans="1:14" x14ac:dyDescent="0.3">
      <c r="A302" s="3" t="str">
        <f>INDEX('R1. Scenario specifications'!$C$11:$C$49,MATCH($B302,'R1. Scenario specifications'!$A$11:$A$49,0))</f>
        <v>Current 1.75DS, 2020 start, 'Expect the Unexpected'</v>
      </c>
      <c r="B302" s="3" t="s">
        <v>32</v>
      </c>
      <c r="C302" s="3" t="s">
        <v>69</v>
      </c>
      <c r="D302" s="14">
        <v>68.24730636209857</v>
      </c>
      <c r="E302" s="14">
        <v>21.625867125843534</v>
      </c>
      <c r="F302" s="14">
        <v>0.39656849116918491</v>
      </c>
      <c r="G302" s="14">
        <v>3.7704578803854698</v>
      </c>
      <c r="H302" s="14">
        <v>13.427082014545491</v>
      </c>
      <c r="I302" s="14">
        <v>2.2493698403731299</v>
      </c>
      <c r="J302" s="14">
        <v>21.152584390393436</v>
      </c>
      <c r="K302" s="14">
        <v>58.842221443032649</v>
      </c>
      <c r="L302" s="14">
        <v>39.353558749428565</v>
      </c>
      <c r="M302" s="14">
        <v>111.67181169733097</v>
      </c>
      <c r="N302" s="14">
        <v>106.7621974424833</v>
      </c>
    </row>
    <row r="303" spans="1:14" x14ac:dyDescent="0.3">
      <c r="A303" s="3" t="str">
        <f>INDEX('R1. Scenario specifications'!$C$11:$C$49,MATCH($B303,'R1. Scenario specifications'!$A$11:$A$49,0))</f>
        <v>Current 1.75DS, 2020 start, 'Expect the Unexpected'</v>
      </c>
      <c r="B303" s="3" t="s">
        <v>32</v>
      </c>
      <c r="C303" s="3" t="s">
        <v>70</v>
      </c>
      <c r="D303" s="14">
        <v>12.637708883949241</v>
      </c>
      <c r="E303" s="14">
        <v>82.719415916369499</v>
      </c>
      <c r="F303" s="14">
        <v>97.288686865313664</v>
      </c>
      <c r="G303" s="14">
        <v>740.43953054965323</v>
      </c>
      <c r="H303" s="14">
        <v>2557.4640444789866</v>
      </c>
      <c r="I303" s="14">
        <v>2282.7818583624739</v>
      </c>
      <c r="J303" s="14">
        <v>2652.5026121675655</v>
      </c>
      <c r="K303" s="14">
        <v>6769.3653392213446</v>
      </c>
      <c r="L303" s="14">
        <v>9999.5058808581762</v>
      </c>
      <c r="M303" s="14">
        <v>7429.0141083909248</v>
      </c>
      <c r="N303" s="14">
        <v>9184.5922663864658</v>
      </c>
    </row>
    <row r="304" spans="1:14" x14ac:dyDescent="0.3">
      <c r="A304" s="3" t="str">
        <f>INDEX('R1. Scenario specifications'!$C$11:$C$49,MATCH($B304,'R1. Scenario specifications'!$A$11:$A$49,0))</f>
        <v>Current 1.75DS, 2020 start, 'Expect the Unexpected'</v>
      </c>
      <c r="B304" s="3" t="s">
        <v>32</v>
      </c>
      <c r="C304" s="3" t="s">
        <v>71</v>
      </c>
      <c r="D304" s="14">
        <v>3.9388921868092472E-3</v>
      </c>
      <c r="E304" s="14">
        <v>1.0352472304670233</v>
      </c>
      <c r="F304" s="14">
        <v>1.710734171095331</v>
      </c>
      <c r="G304" s="14">
        <v>10.612638265775848</v>
      </c>
      <c r="H304" s="14">
        <v>1.6623871132045984</v>
      </c>
      <c r="I304" s="14">
        <v>6.6178107036657421</v>
      </c>
      <c r="J304" s="14">
        <v>6.9702194265014379</v>
      </c>
      <c r="K304" s="14">
        <v>5.0235449943273576</v>
      </c>
      <c r="L304" s="14">
        <v>12.686385280551372</v>
      </c>
      <c r="M304" s="14">
        <v>33.529298513799702</v>
      </c>
      <c r="N304" s="14">
        <v>8.387530069388399</v>
      </c>
    </row>
    <row r="305" spans="1:14" x14ac:dyDescent="0.3">
      <c r="A305" s="3" t="str">
        <f>INDEX('R1. Scenario specifications'!$C$11:$C$49,MATCH($B305,'R1. Scenario specifications'!$A$11:$A$49,0))</f>
        <v>Current 1.75DS, 2020 start, 'Expect the Unexpected'</v>
      </c>
      <c r="B305" s="3" t="s">
        <v>32</v>
      </c>
      <c r="C305" s="3" t="s">
        <v>72</v>
      </c>
      <c r="D305" s="14">
        <v>164.94116315871048</v>
      </c>
      <c r="E305" s="14">
        <v>30.000000000000007</v>
      </c>
      <c r="F305" s="14">
        <v>130.00000000000006</v>
      </c>
      <c r="G305" s="14">
        <v>1430.9035690230371</v>
      </c>
      <c r="H305" s="14">
        <v>2079.1403565433088</v>
      </c>
      <c r="I305" s="14">
        <v>2202.7410298458817</v>
      </c>
      <c r="J305" s="14">
        <v>3750.4420884857814</v>
      </c>
      <c r="K305" s="14">
        <v>5021.2287838362226</v>
      </c>
      <c r="L305" s="14">
        <v>9382.8851626235482</v>
      </c>
      <c r="M305" s="14">
        <v>10091.440481973403</v>
      </c>
      <c r="N305" s="14">
        <v>11418.843722564339</v>
      </c>
    </row>
    <row r="306" spans="1:14" x14ac:dyDescent="0.3">
      <c r="A306" s="3" t="str">
        <f>INDEX('R1. Scenario specifications'!$C$11:$C$49,MATCH($B306,'R1. Scenario specifications'!$A$11:$A$49,0))</f>
        <v>Current 1.75DS, 2030 start, 'Expect the Unexpected'</v>
      </c>
      <c r="B306" s="3" t="s">
        <v>33</v>
      </c>
      <c r="C306" s="3" t="s">
        <v>63</v>
      </c>
      <c r="D306" s="14">
        <v>0</v>
      </c>
      <c r="E306" s="14">
        <v>8.3774952878671591</v>
      </c>
      <c r="F306" s="14">
        <v>93.789531468729919</v>
      </c>
      <c r="G306" s="14">
        <v>300.17967178830617</v>
      </c>
      <c r="H306" s="14">
        <v>168.69612786530229</v>
      </c>
      <c r="I306" s="14">
        <v>36.295237202494306</v>
      </c>
      <c r="J306" s="14">
        <v>0</v>
      </c>
      <c r="K306" s="14">
        <v>0</v>
      </c>
      <c r="L306" s="14">
        <v>0</v>
      </c>
      <c r="M306" s="14">
        <v>5.3451805199140896</v>
      </c>
      <c r="N306" s="14">
        <v>3.5140371759694297E-2</v>
      </c>
    </row>
    <row r="307" spans="1:14" x14ac:dyDescent="0.3">
      <c r="A307" s="3" t="str">
        <f>INDEX('R1. Scenario specifications'!$C$11:$C$49,MATCH($B307,'R1. Scenario specifications'!$A$11:$A$49,0))</f>
        <v>Current 1.75DS, 2030 start, 'Expect the Unexpected'</v>
      </c>
      <c r="B307" s="3" t="s">
        <v>33</v>
      </c>
      <c r="C307" s="3" t="s">
        <v>73</v>
      </c>
      <c r="D307" s="14">
        <v>0</v>
      </c>
      <c r="E307" s="14">
        <v>0</v>
      </c>
      <c r="F307" s="14">
        <v>0</v>
      </c>
      <c r="G307" s="14">
        <v>0</v>
      </c>
      <c r="H307" s="14">
        <v>33.051066326497484</v>
      </c>
      <c r="I307" s="14">
        <v>544.86948992211842</v>
      </c>
      <c r="J307" s="14">
        <v>2395.6336875644738</v>
      </c>
      <c r="K307" s="14">
        <v>179.8157797332901</v>
      </c>
      <c r="L307" s="14">
        <v>890.85694715396494</v>
      </c>
      <c r="M307" s="14">
        <v>1663.6256809688157</v>
      </c>
      <c r="N307" s="14">
        <v>1667.2696729082697</v>
      </c>
    </row>
    <row r="308" spans="1:14" x14ac:dyDescent="0.3">
      <c r="A308" s="3" t="str">
        <f>INDEX('R1. Scenario specifications'!$C$11:$C$49,MATCH($B308,'R1. Scenario specifications'!$A$11:$A$49,0))</f>
        <v>Current 1.75DS, 2030 start, 'Expect the Unexpected'</v>
      </c>
      <c r="B308" s="3" t="s">
        <v>33</v>
      </c>
      <c r="C308" s="3" t="s">
        <v>64</v>
      </c>
      <c r="D308" s="14">
        <v>545.32032761765083</v>
      </c>
      <c r="E308" s="14">
        <v>171.97506671901115</v>
      </c>
      <c r="F308" s="14">
        <v>0</v>
      </c>
      <c r="G308" s="14">
        <v>16.396787724521602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</row>
    <row r="309" spans="1:14" x14ac:dyDescent="0.3">
      <c r="A309" s="3" t="str">
        <f>INDEX('R1. Scenario specifications'!$C$11:$C$49,MATCH($B309,'R1. Scenario specifications'!$A$11:$A$49,0))</f>
        <v>Current 1.75DS, 2030 start, 'Expect the Unexpected'</v>
      </c>
      <c r="B309" s="3" t="s">
        <v>33</v>
      </c>
      <c r="C309" s="3" t="s">
        <v>65</v>
      </c>
      <c r="D309" s="14">
        <v>172.55578195052306</v>
      </c>
      <c r="E309" s="14">
        <v>625.93335166737552</v>
      </c>
      <c r="F309" s="14">
        <v>477.14024472244631</v>
      </c>
      <c r="G309" s="14">
        <v>16.783672963106241</v>
      </c>
      <c r="H309" s="14">
        <v>362.05977389374294</v>
      </c>
      <c r="I309" s="14">
        <v>387.7516934928683</v>
      </c>
      <c r="J309" s="14">
        <v>97.271315585901561</v>
      </c>
      <c r="K309" s="14">
        <v>80.787330691663897</v>
      </c>
      <c r="L309" s="14">
        <v>12.7553089875619</v>
      </c>
      <c r="M309" s="14">
        <v>269.93096375212065</v>
      </c>
      <c r="N309" s="14">
        <v>42.273040803628945</v>
      </c>
    </row>
    <row r="310" spans="1:14" x14ac:dyDescent="0.3">
      <c r="A310" s="3" t="str">
        <f>INDEX('R1. Scenario specifications'!$C$11:$C$49,MATCH($B310,'R1. Scenario specifications'!$A$11:$A$49,0))</f>
        <v>Current 1.75DS, 2030 start, 'Expect the Unexpected'</v>
      </c>
      <c r="B310" s="3" t="s">
        <v>33</v>
      </c>
      <c r="C310" s="3" t="s">
        <v>74</v>
      </c>
      <c r="D310" s="14">
        <v>0</v>
      </c>
      <c r="E310" s="14">
        <v>0</v>
      </c>
      <c r="F310" s="14">
        <v>0</v>
      </c>
      <c r="G310" s="14">
        <v>0</v>
      </c>
      <c r="H310" s="14">
        <v>1.1069172668694101</v>
      </c>
      <c r="I310" s="14">
        <v>19.460263888769802</v>
      </c>
      <c r="J310" s="14">
        <v>160.6098646429981</v>
      </c>
      <c r="K310" s="14">
        <v>854.07728770819949</v>
      </c>
      <c r="L310" s="14">
        <v>427.5112830082241</v>
      </c>
      <c r="M310" s="14">
        <v>167.57626373592484</v>
      </c>
      <c r="N310" s="14">
        <v>760.13081816235263</v>
      </c>
    </row>
    <row r="311" spans="1:14" x14ac:dyDescent="0.3">
      <c r="A311" s="3" t="str">
        <f>INDEX('R1. Scenario specifications'!$C$11:$C$49,MATCH($B311,'R1. Scenario specifications'!$A$11:$A$49,0))</f>
        <v>Current 1.75DS, 2030 start, 'Expect the Unexpected'</v>
      </c>
      <c r="B311" s="3" t="s">
        <v>33</v>
      </c>
      <c r="C311" s="3" t="s">
        <v>66</v>
      </c>
      <c r="D311" s="14">
        <v>0.27881728888888901</v>
      </c>
      <c r="E311" s="14">
        <v>0.33361993333333301</v>
      </c>
      <c r="F311" s="14">
        <v>88.922972540092587</v>
      </c>
      <c r="G311" s="14">
        <v>53.162220652850131</v>
      </c>
      <c r="H311" s="14">
        <v>157.3432976323879</v>
      </c>
      <c r="I311" s="14">
        <v>412.36225028141649</v>
      </c>
      <c r="J311" s="14">
        <v>79.106237832129921</v>
      </c>
      <c r="K311" s="14">
        <v>50.506529352466792</v>
      </c>
      <c r="L311" s="14">
        <v>371.87018364715038</v>
      </c>
      <c r="M311" s="14">
        <v>185.08589348085746</v>
      </c>
      <c r="N311" s="14">
        <v>1586.8716977432528</v>
      </c>
    </row>
    <row r="312" spans="1:14" x14ac:dyDescent="0.3">
      <c r="A312" s="3" t="str">
        <f>INDEX('R1. Scenario specifications'!$C$11:$C$49,MATCH($B312,'R1. Scenario specifications'!$A$11:$A$49,0))</f>
        <v>Current 1.75DS, 2030 start, 'Expect the Unexpected'</v>
      </c>
      <c r="B312" s="3" t="s">
        <v>33</v>
      </c>
      <c r="C312" s="3" t="s">
        <v>67</v>
      </c>
      <c r="D312" s="14">
        <v>154.73557777463142</v>
      </c>
      <c r="E312" s="14">
        <v>162.76418662806225</v>
      </c>
      <c r="F312" s="14">
        <v>90.613637816084008</v>
      </c>
      <c r="G312" s="14">
        <v>132.60270357542757</v>
      </c>
      <c r="H312" s="14">
        <v>639.84684563761721</v>
      </c>
      <c r="I312" s="14">
        <v>419.55067726757204</v>
      </c>
      <c r="J312" s="14">
        <v>70.9065170348088</v>
      </c>
      <c r="K312" s="14">
        <v>405.12281513109019</v>
      </c>
      <c r="L312" s="14">
        <v>223.96677858627822</v>
      </c>
      <c r="M312" s="14">
        <v>120.03394835076854</v>
      </c>
      <c r="N312" s="14">
        <v>37.121889102391457</v>
      </c>
    </row>
    <row r="313" spans="1:14" x14ac:dyDescent="0.3">
      <c r="A313" s="3" t="str">
        <f>INDEX('R1. Scenario specifications'!$C$11:$C$49,MATCH($B313,'R1. Scenario specifications'!$A$11:$A$49,0))</f>
        <v>Current 1.75DS, 2030 start, 'Expect the Unexpected'</v>
      </c>
      <c r="B313" s="3" t="s">
        <v>33</v>
      </c>
      <c r="C313" s="3" t="s">
        <v>68</v>
      </c>
      <c r="D313" s="14">
        <v>0</v>
      </c>
      <c r="E313" s="14">
        <v>0</v>
      </c>
      <c r="F313" s="14">
        <v>0</v>
      </c>
      <c r="G313" s="14">
        <v>22.553218427439354</v>
      </c>
      <c r="H313" s="14">
        <v>443.38931616917728</v>
      </c>
      <c r="I313" s="14">
        <v>620.70961578424976</v>
      </c>
      <c r="J313" s="14">
        <v>90.405459387940297</v>
      </c>
      <c r="K313" s="14">
        <v>201.26157472395869</v>
      </c>
      <c r="L313" s="14">
        <v>512.63648723268238</v>
      </c>
      <c r="M313" s="14">
        <v>637.75729592434311</v>
      </c>
      <c r="N313" s="14">
        <v>0</v>
      </c>
    </row>
    <row r="314" spans="1:14" x14ac:dyDescent="0.3">
      <c r="A314" s="3" t="str">
        <f>INDEX('R1. Scenario specifications'!$C$11:$C$49,MATCH($B314,'R1. Scenario specifications'!$A$11:$A$49,0))</f>
        <v>Current 1.75DS, 2030 start, 'Expect the Unexpected'</v>
      </c>
      <c r="B314" s="3" t="s">
        <v>33</v>
      </c>
      <c r="C314" s="3" t="s">
        <v>69</v>
      </c>
      <c r="D314" s="14">
        <v>68.24730636209857</v>
      </c>
      <c r="E314" s="14">
        <v>21.625867125843534</v>
      </c>
      <c r="F314" s="14">
        <v>0.39656849116918491</v>
      </c>
      <c r="G314" s="14">
        <v>4.39481081527373</v>
      </c>
      <c r="H314" s="14">
        <v>14.030915497476816</v>
      </c>
      <c r="I314" s="14">
        <v>0</v>
      </c>
      <c r="J314" s="14">
        <v>12.651434497431699</v>
      </c>
      <c r="K314" s="14">
        <v>65.512166277915497</v>
      </c>
      <c r="L314" s="14">
        <v>33.973785545504647</v>
      </c>
      <c r="M314" s="14">
        <v>70.146146370994103</v>
      </c>
      <c r="N314" s="14">
        <v>95.858116700725418</v>
      </c>
    </row>
    <row r="315" spans="1:14" x14ac:dyDescent="0.3">
      <c r="A315" s="3" t="str">
        <f>INDEX('R1. Scenario specifications'!$C$11:$C$49,MATCH($B315,'R1. Scenario specifications'!$A$11:$A$49,0))</f>
        <v>Current 1.75DS, 2030 start, 'Expect the Unexpected'</v>
      </c>
      <c r="B315" s="3" t="s">
        <v>33</v>
      </c>
      <c r="C315" s="3" t="s">
        <v>70</v>
      </c>
      <c r="D315" s="14">
        <v>12.637708883949241</v>
      </c>
      <c r="E315" s="14">
        <v>82.719415916369499</v>
      </c>
      <c r="F315" s="14">
        <v>97.288686865313664</v>
      </c>
      <c r="G315" s="14">
        <v>401.65756364057171</v>
      </c>
      <c r="H315" s="14">
        <v>1930.4933201213453</v>
      </c>
      <c r="I315" s="14">
        <v>3569.1384606941183</v>
      </c>
      <c r="J315" s="14">
        <v>4447.4692705004272</v>
      </c>
      <c r="K315" s="14">
        <v>5677.9314013355815</v>
      </c>
      <c r="L315" s="14">
        <v>8550.4426229998389</v>
      </c>
      <c r="M315" s="14">
        <v>8465.9471257498972</v>
      </c>
      <c r="N315" s="14">
        <v>8546.5853403220026</v>
      </c>
    </row>
    <row r="316" spans="1:14" x14ac:dyDescent="0.3">
      <c r="A316" s="3" t="str">
        <f>INDEX('R1. Scenario specifications'!$C$11:$C$49,MATCH($B316,'R1. Scenario specifications'!$A$11:$A$49,0))</f>
        <v>Current 1.75DS, 2030 start, 'Expect the Unexpected'</v>
      </c>
      <c r="B316" s="3" t="s">
        <v>33</v>
      </c>
      <c r="C316" s="3" t="s">
        <v>71</v>
      </c>
      <c r="D316" s="14">
        <v>3.9388921868092472E-3</v>
      </c>
      <c r="E316" s="14">
        <v>1.0352472304670233</v>
      </c>
      <c r="F316" s="14">
        <v>1.710734171095331</v>
      </c>
      <c r="G316" s="14">
        <v>10.613038269375846</v>
      </c>
      <c r="H316" s="14">
        <v>1.6471765923021378</v>
      </c>
      <c r="I316" s="14">
        <v>6.5635584138142473</v>
      </c>
      <c r="J316" s="14">
        <v>11.072743692381072</v>
      </c>
      <c r="K316" s="14">
        <v>3.8486386142159614</v>
      </c>
      <c r="L316" s="14">
        <v>8.7551464566127208</v>
      </c>
      <c r="M316" s="14">
        <v>8.9231867955254813</v>
      </c>
      <c r="N316" s="14">
        <v>6.0013311149546844</v>
      </c>
    </row>
    <row r="317" spans="1:14" x14ac:dyDescent="0.3">
      <c r="A317" s="3" t="str">
        <f>INDEX('R1. Scenario specifications'!$C$11:$C$49,MATCH($B317,'R1. Scenario specifications'!$A$11:$A$49,0))</f>
        <v>Current 1.75DS, 2030 start, 'Expect the Unexpected'</v>
      </c>
      <c r="B317" s="3" t="s">
        <v>33</v>
      </c>
      <c r="C317" s="3" t="s">
        <v>72</v>
      </c>
      <c r="D317" s="14">
        <v>164.94116315871048</v>
      </c>
      <c r="E317" s="14">
        <v>30.000000000000007</v>
      </c>
      <c r="F317" s="14">
        <v>130.00000000000006</v>
      </c>
      <c r="G317" s="14">
        <v>1203.724349327679</v>
      </c>
      <c r="H317" s="14">
        <v>2307.470708717437</v>
      </c>
      <c r="I317" s="14">
        <v>2419.0755157329691</v>
      </c>
      <c r="J317" s="14">
        <v>5445.9267207024532</v>
      </c>
      <c r="K317" s="14">
        <v>3744.0455526104352</v>
      </c>
      <c r="L317" s="14">
        <v>8711.6905586734629</v>
      </c>
      <c r="M317" s="14">
        <v>10178.489823931781</v>
      </c>
      <c r="N317" s="14">
        <v>11072.834775542437</v>
      </c>
    </row>
    <row r="318" spans="1:14" x14ac:dyDescent="0.3">
      <c r="A318" s="3" t="str">
        <f>INDEX('R1. Scenario specifications'!$C$11:$C$49,MATCH($B318,'R1. Scenario specifications'!$A$11:$A$49,0))</f>
        <v>Current 1.75DS, 2020 start, 'Expect the Unexpected' but with cheap renewables</v>
      </c>
      <c r="B318" s="3" t="s">
        <v>34</v>
      </c>
      <c r="C318" s="3" t="s">
        <v>63</v>
      </c>
      <c r="D318" s="14">
        <v>0</v>
      </c>
      <c r="E318" s="14">
        <v>8.3774952878671591</v>
      </c>
      <c r="F318" s="14">
        <v>93.789531468729919</v>
      </c>
      <c r="G318" s="14">
        <v>330.57497288186482</v>
      </c>
      <c r="H318" s="14">
        <v>51.857332740618084</v>
      </c>
      <c r="I318" s="14">
        <v>3.01810362225048</v>
      </c>
      <c r="J318" s="14">
        <v>0</v>
      </c>
      <c r="K318" s="14">
        <v>4.8669656864260702</v>
      </c>
      <c r="L318" s="14">
        <v>1.5464227023383199</v>
      </c>
      <c r="M318" s="14">
        <v>0</v>
      </c>
      <c r="N318" s="14">
        <v>4.4569396955591101</v>
      </c>
    </row>
    <row r="319" spans="1:14" x14ac:dyDescent="0.3">
      <c r="A319" s="3" t="str">
        <f>INDEX('R1. Scenario specifications'!$C$11:$C$49,MATCH($B319,'R1. Scenario specifications'!$A$11:$A$49,0))</f>
        <v>Current 1.75DS, 2020 start, 'Expect the Unexpected' but with cheap renewables</v>
      </c>
      <c r="B319" s="3" t="s">
        <v>34</v>
      </c>
      <c r="C319" s="3" t="s">
        <v>73</v>
      </c>
      <c r="D319" s="14">
        <v>0</v>
      </c>
      <c r="E319" s="14">
        <v>0</v>
      </c>
      <c r="F319" s="14">
        <v>0</v>
      </c>
      <c r="G319" s="14">
        <v>27.955505841477887</v>
      </c>
      <c r="H319" s="14">
        <v>125.39918512188088</v>
      </c>
      <c r="I319" s="14">
        <v>624.89510354394281</v>
      </c>
      <c r="J319" s="14">
        <v>1307.8153094511367</v>
      </c>
      <c r="K319" s="14">
        <v>714.32419553856118</v>
      </c>
      <c r="L319" s="14">
        <v>1049.9709728708208</v>
      </c>
      <c r="M319" s="14">
        <v>1653.3016056330148</v>
      </c>
      <c r="N319" s="14">
        <v>853.19823298060555</v>
      </c>
    </row>
    <row r="320" spans="1:14" x14ac:dyDescent="0.3">
      <c r="A320" s="3" t="str">
        <f>INDEX('R1. Scenario specifications'!$C$11:$C$49,MATCH($B320,'R1. Scenario specifications'!$A$11:$A$49,0))</f>
        <v>Current 1.75DS, 2020 start, 'Expect the Unexpected' but with cheap renewables</v>
      </c>
      <c r="B320" s="3" t="s">
        <v>34</v>
      </c>
      <c r="C320" s="3" t="s">
        <v>64</v>
      </c>
      <c r="D320" s="14">
        <v>545.32032761765083</v>
      </c>
      <c r="E320" s="14">
        <v>171.97506671901115</v>
      </c>
      <c r="F320" s="14">
        <v>0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</row>
    <row r="321" spans="1:14" x14ac:dyDescent="0.3">
      <c r="A321" s="3" t="str">
        <f>INDEX('R1. Scenario specifications'!$C$11:$C$49,MATCH($B321,'R1. Scenario specifications'!$A$11:$A$49,0))</f>
        <v>Current 1.75DS, 2020 start, 'Expect the Unexpected' but with cheap renewables</v>
      </c>
      <c r="B321" s="3" t="s">
        <v>34</v>
      </c>
      <c r="C321" s="3" t="s">
        <v>65</v>
      </c>
      <c r="D321" s="14">
        <v>172.55578195052306</v>
      </c>
      <c r="E321" s="14">
        <v>625.93335166737552</v>
      </c>
      <c r="F321" s="14">
        <v>477.14024472244631</v>
      </c>
      <c r="G321" s="14">
        <v>36.465113965154288</v>
      </c>
      <c r="H321" s="14">
        <v>121.8730656536098</v>
      </c>
      <c r="I321" s="14">
        <v>694.18535260911869</v>
      </c>
      <c r="J321" s="14">
        <v>122.1337786510334</v>
      </c>
      <c r="K321" s="14">
        <v>71.667229742779767</v>
      </c>
      <c r="L321" s="14">
        <v>20.8661065916219</v>
      </c>
      <c r="M321" s="14">
        <v>191.38207400742647</v>
      </c>
      <c r="N321" s="14">
        <v>83.172515283877942</v>
      </c>
    </row>
    <row r="322" spans="1:14" x14ac:dyDescent="0.3">
      <c r="A322" s="3" t="str">
        <f>INDEX('R1. Scenario specifications'!$C$11:$C$49,MATCH($B322,'R1. Scenario specifications'!$A$11:$A$49,0))</f>
        <v>Current 1.75DS, 2020 start, 'Expect the Unexpected' but with cheap renewables</v>
      </c>
      <c r="B322" s="3" t="s">
        <v>34</v>
      </c>
      <c r="C322" s="3" t="s">
        <v>74</v>
      </c>
      <c r="D322" s="14">
        <v>0</v>
      </c>
      <c r="E322" s="14">
        <v>0</v>
      </c>
      <c r="F322" s="14">
        <v>0</v>
      </c>
      <c r="G322" s="14">
        <v>2.2771989062244602</v>
      </c>
      <c r="H322" s="14">
        <v>2.9130604905175401</v>
      </c>
      <c r="I322" s="14">
        <v>106.82641001668148</v>
      </c>
      <c r="J322" s="14">
        <v>144.82006233245713</v>
      </c>
      <c r="K322" s="14">
        <v>969.17974772554066</v>
      </c>
      <c r="L322" s="14">
        <v>590.20806992192342</v>
      </c>
      <c r="M322" s="14">
        <v>11.1313116970202</v>
      </c>
      <c r="N322" s="14">
        <v>771.2961354288725</v>
      </c>
    </row>
    <row r="323" spans="1:14" x14ac:dyDescent="0.3">
      <c r="A323" s="3" t="str">
        <f>INDEX('R1. Scenario specifications'!$C$11:$C$49,MATCH($B323,'R1. Scenario specifications'!$A$11:$A$49,0))</f>
        <v>Current 1.75DS, 2020 start, 'Expect the Unexpected' but with cheap renewables</v>
      </c>
      <c r="B323" s="3" t="s">
        <v>34</v>
      </c>
      <c r="C323" s="3" t="s">
        <v>66</v>
      </c>
      <c r="D323" s="14">
        <v>0.27881728888888901</v>
      </c>
      <c r="E323" s="14">
        <v>0.33361993333333301</v>
      </c>
      <c r="F323" s="14">
        <v>88.922972540092587</v>
      </c>
      <c r="G323" s="14">
        <v>53.53277898674402</v>
      </c>
      <c r="H323" s="14">
        <v>71.755276947048841</v>
      </c>
      <c r="I323" s="14">
        <v>215.11657342001018</v>
      </c>
      <c r="J323" s="14">
        <v>112.01336041562428</v>
      </c>
      <c r="K323" s="14">
        <v>295.21188158331682</v>
      </c>
      <c r="L323" s="14">
        <v>229.67672643871529</v>
      </c>
      <c r="M323" s="14">
        <v>189.56597699309887</v>
      </c>
      <c r="N323" s="14">
        <v>175.6760036080895</v>
      </c>
    </row>
    <row r="324" spans="1:14" x14ac:dyDescent="0.3">
      <c r="A324" s="3" t="str">
        <f>INDEX('R1. Scenario specifications'!$C$11:$C$49,MATCH($B324,'R1. Scenario specifications'!$A$11:$A$49,0))</f>
        <v>Current 1.75DS, 2020 start, 'Expect the Unexpected' but with cheap renewables</v>
      </c>
      <c r="B324" s="3" t="s">
        <v>34</v>
      </c>
      <c r="C324" s="3" t="s">
        <v>67</v>
      </c>
      <c r="D324" s="14">
        <v>154.73557777463142</v>
      </c>
      <c r="E324" s="14">
        <v>162.76418662806225</v>
      </c>
      <c r="F324" s="14">
        <v>90.613637816084008</v>
      </c>
      <c r="G324" s="14">
        <v>273.68425062591803</v>
      </c>
      <c r="H324" s="14">
        <v>230.29069118495349</v>
      </c>
      <c r="I324" s="14">
        <v>221.85103776607241</v>
      </c>
      <c r="J324" s="14">
        <v>216.60146208991637</v>
      </c>
      <c r="K324" s="14">
        <v>667.81962805378703</v>
      </c>
      <c r="L324" s="14">
        <v>222.6107162330502</v>
      </c>
      <c r="M324" s="14">
        <v>160.37878542096112</v>
      </c>
      <c r="N324" s="14">
        <v>22.040238890946814</v>
      </c>
    </row>
    <row r="325" spans="1:14" x14ac:dyDescent="0.3">
      <c r="A325" s="3" t="str">
        <f>INDEX('R1. Scenario specifications'!$C$11:$C$49,MATCH($B325,'R1. Scenario specifications'!$A$11:$A$49,0))</f>
        <v>Current 1.75DS, 2020 start, 'Expect the Unexpected' but with cheap renewables</v>
      </c>
      <c r="B325" s="3" t="s">
        <v>34</v>
      </c>
      <c r="C325" s="3" t="s">
        <v>68</v>
      </c>
      <c r="D325" s="14">
        <v>0</v>
      </c>
      <c r="E325" s="14">
        <v>0</v>
      </c>
      <c r="F325" s="14">
        <v>0</v>
      </c>
      <c r="G325" s="14">
        <v>85.796728970891976</v>
      </c>
      <c r="H325" s="14">
        <v>367.43204432211661</v>
      </c>
      <c r="I325" s="14">
        <v>593.8677425491577</v>
      </c>
      <c r="J325" s="14">
        <v>165.72305422560822</v>
      </c>
      <c r="K325" s="14">
        <v>217.06299843379023</v>
      </c>
      <c r="L325" s="14">
        <v>450.11372350802361</v>
      </c>
      <c r="M325" s="14">
        <v>603.10162740555711</v>
      </c>
      <c r="N325" s="14">
        <v>0</v>
      </c>
    </row>
    <row r="326" spans="1:14" x14ac:dyDescent="0.3">
      <c r="A326" s="3" t="str">
        <f>INDEX('R1. Scenario specifications'!$C$11:$C$49,MATCH($B326,'R1. Scenario specifications'!$A$11:$A$49,0))</f>
        <v>Current 1.75DS, 2020 start, 'Expect the Unexpected' but with cheap renewables</v>
      </c>
      <c r="B326" s="3" t="s">
        <v>34</v>
      </c>
      <c r="C326" s="3" t="s">
        <v>69</v>
      </c>
      <c r="D326" s="14">
        <v>68.24730636209857</v>
      </c>
      <c r="E326" s="14">
        <v>21.625867125843534</v>
      </c>
      <c r="F326" s="14">
        <v>0.39656849116918491</v>
      </c>
      <c r="G326" s="14">
        <v>9.8633456694296449</v>
      </c>
      <c r="H326" s="14">
        <v>11.481866524866131</v>
      </c>
      <c r="I326" s="14">
        <v>0</v>
      </c>
      <c r="J326" s="14">
        <v>18.792375674841171</v>
      </c>
      <c r="K326" s="14">
        <v>27.310067435410062</v>
      </c>
      <c r="L326" s="14">
        <v>37.131121470165098</v>
      </c>
      <c r="M326" s="14">
        <v>70.001356463393194</v>
      </c>
      <c r="N326" s="14">
        <v>103.53203626467131</v>
      </c>
    </row>
    <row r="327" spans="1:14" x14ac:dyDescent="0.3">
      <c r="A327" s="3" t="str">
        <f>INDEX('R1. Scenario specifications'!$C$11:$C$49,MATCH($B327,'R1. Scenario specifications'!$A$11:$A$49,0))</f>
        <v>Current 1.75DS, 2020 start, 'Expect the Unexpected' but with cheap renewables</v>
      </c>
      <c r="B327" s="3" t="s">
        <v>34</v>
      </c>
      <c r="C327" s="3" t="s">
        <v>70</v>
      </c>
      <c r="D327" s="14">
        <v>12.637708883949241</v>
      </c>
      <c r="E327" s="14">
        <v>82.719415916369499</v>
      </c>
      <c r="F327" s="14">
        <v>97.288686865313664</v>
      </c>
      <c r="G327" s="14">
        <v>1035.9716913855691</v>
      </c>
      <c r="H327" s="14">
        <v>2972.5666280425253</v>
      </c>
      <c r="I327" s="14">
        <v>2522.3966284557073</v>
      </c>
      <c r="J327" s="14">
        <v>3081.5421456076192</v>
      </c>
      <c r="K327" s="14">
        <v>7065.2809041636438</v>
      </c>
      <c r="L327" s="14">
        <v>9720.4893847341264</v>
      </c>
      <c r="M327" s="14">
        <v>7840.4052766372934</v>
      </c>
      <c r="N327" s="14">
        <v>9626.5482007180835</v>
      </c>
    </row>
    <row r="328" spans="1:14" x14ac:dyDescent="0.3">
      <c r="A328" s="3" t="str">
        <f>INDEX('R1. Scenario specifications'!$C$11:$C$49,MATCH($B328,'R1. Scenario specifications'!$A$11:$A$49,0))</f>
        <v>Current 1.75DS, 2020 start, 'Expect the Unexpected' but with cheap renewables</v>
      </c>
      <c r="B328" s="3" t="s">
        <v>34</v>
      </c>
      <c r="C328" s="3" t="s">
        <v>71</v>
      </c>
      <c r="D328" s="14">
        <v>3.9388921868092472E-3</v>
      </c>
      <c r="E328" s="14">
        <v>1.0352472304670233</v>
      </c>
      <c r="F328" s="14">
        <v>1.710734171095331</v>
      </c>
      <c r="G328" s="14">
        <v>10.612238265775847</v>
      </c>
      <c r="H328" s="14">
        <v>1.7186474192851326</v>
      </c>
      <c r="I328" s="14">
        <v>7.2597414932063931</v>
      </c>
      <c r="J328" s="14">
        <v>6.7987859731952742</v>
      </c>
      <c r="K328" s="14">
        <v>56.937273345822348</v>
      </c>
      <c r="L328" s="14">
        <v>53.699431356834786</v>
      </c>
      <c r="M328" s="14">
        <v>28.822873446878589</v>
      </c>
      <c r="N328" s="14">
        <v>55.512447386256241</v>
      </c>
    </row>
    <row r="329" spans="1:14" x14ac:dyDescent="0.3">
      <c r="A329" s="3" t="str">
        <f>INDEX('R1. Scenario specifications'!$C$11:$C$49,MATCH($B329,'R1. Scenario specifications'!$A$11:$A$49,0))</f>
        <v>Current 1.75DS, 2020 start, 'Expect the Unexpected' but with cheap renewables</v>
      </c>
      <c r="B329" s="3" t="s">
        <v>34</v>
      </c>
      <c r="C329" s="3" t="s">
        <v>72</v>
      </c>
      <c r="D329" s="14">
        <v>164.94116315871048</v>
      </c>
      <c r="E329" s="14">
        <v>30.000000000000007</v>
      </c>
      <c r="F329" s="14">
        <v>130.00000000000006</v>
      </c>
      <c r="G329" s="14">
        <v>1859.9939039357846</v>
      </c>
      <c r="H329" s="14">
        <v>1929.1587978470523</v>
      </c>
      <c r="I329" s="14">
        <v>2565.7480974706828</v>
      </c>
      <c r="J329" s="14">
        <v>3768.8731555762211</v>
      </c>
      <c r="K329" s="14">
        <v>5257.1717556603662</v>
      </c>
      <c r="L329" s="14">
        <v>9665.9817397462502</v>
      </c>
      <c r="M329" s="14">
        <v>10034.865581250882</v>
      </c>
      <c r="N329" s="14">
        <v>12107.764458182384</v>
      </c>
    </row>
    <row r="330" spans="1:14" x14ac:dyDescent="0.3">
      <c r="A330" s="3" t="str">
        <f>INDEX('R1. Scenario specifications'!$C$11:$C$49,MATCH($B330,'R1. Scenario specifications'!$A$11:$A$49,0))</f>
        <v>Current 1.75DS, 2030 start, 'Expect the Unexpected' but with cheap renewables</v>
      </c>
      <c r="B330" s="3" t="s">
        <v>35</v>
      </c>
      <c r="C330" s="3" t="s">
        <v>63</v>
      </c>
      <c r="D330" s="14">
        <v>0</v>
      </c>
      <c r="E330" s="14">
        <v>8.3774952878671591</v>
      </c>
      <c r="F330" s="14">
        <v>93.789531468729919</v>
      </c>
      <c r="G330" s="14">
        <v>300.17967178830617</v>
      </c>
      <c r="H330" s="14">
        <v>159.31651565178709</v>
      </c>
      <c r="I330" s="14">
        <v>36.670056327598459</v>
      </c>
      <c r="J330" s="14">
        <v>0</v>
      </c>
      <c r="K330" s="14">
        <v>0</v>
      </c>
      <c r="L330" s="14">
        <v>0</v>
      </c>
      <c r="M330" s="14">
        <v>6.1938259993984897</v>
      </c>
      <c r="N330" s="14">
        <v>0</v>
      </c>
    </row>
    <row r="331" spans="1:14" x14ac:dyDescent="0.3">
      <c r="A331" s="3" t="str">
        <f>INDEX('R1. Scenario specifications'!$C$11:$C$49,MATCH($B331,'R1. Scenario specifications'!$A$11:$A$49,0))</f>
        <v>Current 1.75DS, 2030 start, 'Expect the Unexpected' but with cheap renewables</v>
      </c>
      <c r="B331" s="3" t="s">
        <v>35</v>
      </c>
      <c r="C331" s="3" t="s">
        <v>73</v>
      </c>
      <c r="D331" s="14">
        <v>0</v>
      </c>
      <c r="E331" s="14">
        <v>0</v>
      </c>
      <c r="F331" s="14">
        <v>0</v>
      </c>
      <c r="G331" s="14">
        <v>0</v>
      </c>
      <c r="H331" s="14">
        <v>33.051066326497484</v>
      </c>
      <c r="I331" s="14">
        <v>541.32520210463008</v>
      </c>
      <c r="J331" s="14">
        <v>2384.5091541130919</v>
      </c>
      <c r="K331" s="14">
        <v>133.9292159496072</v>
      </c>
      <c r="L331" s="14">
        <v>938.23166845745982</v>
      </c>
      <c r="M331" s="14">
        <v>1696.8138842770172</v>
      </c>
      <c r="N331" s="14">
        <v>1591.9197130255429</v>
      </c>
    </row>
    <row r="332" spans="1:14" x14ac:dyDescent="0.3">
      <c r="A332" s="3" t="str">
        <f>INDEX('R1. Scenario specifications'!$C$11:$C$49,MATCH($B332,'R1. Scenario specifications'!$A$11:$A$49,0))</f>
        <v>Current 1.75DS, 2030 start, 'Expect the Unexpected' but with cheap renewables</v>
      </c>
      <c r="B332" s="3" t="s">
        <v>35</v>
      </c>
      <c r="C332" s="3" t="s">
        <v>64</v>
      </c>
      <c r="D332" s="14">
        <v>545.32032761765083</v>
      </c>
      <c r="E332" s="14">
        <v>171.97506671901115</v>
      </c>
      <c r="F332" s="14">
        <v>0</v>
      </c>
      <c r="G332" s="14">
        <v>16.396787724521602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</row>
    <row r="333" spans="1:14" x14ac:dyDescent="0.3">
      <c r="A333" s="3" t="str">
        <f>INDEX('R1. Scenario specifications'!$C$11:$C$49,MATCH($B333,'R1. Scenario specifications'!$A$11:$A$49,0))</f>
        <v>Current 1.75DS, 2030 start, 'Expect the Unexpected' but with cheap renewables</v>
      </c>
      <c r="B333" s="3" t="s">
        <v>35</v>
      </c>
      <c r="C333" s="3" t="s">
        <v>65</v>
      </c>
      <c r="D333" s="14">
        <v>172.55578195052306</v>
      </c>
      <c r="E333" s="14">
        <v>625.93335166737552</v>
      </c>
      <c r="F333" s="14">
        <v>477.14024472244631</v>
      </c>
      <c r="G333" s="14">
        <v>16.783672963106241</v>
      </c>
      <c r="H333" s="14">
        <v>331.34073303804223</v>
      </c>
      <c r="I333" s="14">
        <v>441.65386666333092</v>
      </c>
      <c r="J333" s="14">
        <v>91.881422212297792</v>
      </c>
      <c r="K333" s="14">
        <v>59.361071559281399</v>
      </c>
      <c r="L333" s="14">
        <v>12.421561180426</v>
      </c>
      <c r="M333" s="14">
        <v>258.59025533553489</v>
      </c>
      <c r="N333" s="14">
        <v>9.1158474523666797</v>
      </c>
    </row>
    <row r="334" spans="1:14" x14ac:dyDescent="0.3">
      <c r="A334" s="3" t="str">
        <f>INDEX('R1. Scenario specifications'!$C$11:$C$49,MATCH($B334,'R1. Scenario specifications'!$A$11:$A$49,0))</f>
        <v>Current 1.75DS, 2030 start, 'Expect the Unexpected' but with cheap renewables</v>
      </c>
      <c r="B334" s="3" t="s">
        <v>35</v>
      </c>
      <c r="C334" s="3" t="s">
        <v>74</v>
      </c>
      <c r="D334" s="14">
        <v>0</v>
      </c>
      <c r="E334" s="14">
        <v>0</v>
      </c>
      <c r="F334" s="14">
        <v>0</v>
      </c>
      <c r="G334" s="14">
        <v>0</v>
      </c>
      <c r="H334" s="14">
        <v>1.1069172668694101</v>
      </c>
      <c r="I334" s="14">
        <v>19.589677802547769</v>
      </c>
      <c r="J334" s="14">
        <v>160.79176715156075</v>
      </c>
      <c r="K334" s="14">
        <v>955.40738480189498</v>
      </c>
      <c r="L334" s="14">
        <v>397.76318685706013</v>
      </c>
      <c r="M334" s="14">
        <v>78.869890227428201</v>
      </c>
      <c r="N334" s="14">
        <v>851.53146063791064</v>
      </c>
    </row>
    <row r="335" spans="1:14" x14ac:dyDescent="0.3">
      <c r="A335" s="3" t="str">
        <f>INDEX('R1. Scenario specifications'!$C$11:$C$49,MATCH($B335,'R1. Scenario specifications'!$A$11:$A$49,0))</f>
        <v>Current 1.75DS, 2030 start, 'Expect the Unexpected' but with cheap renewables</v>
      </c>
      <c r="B335" s="3" t="s">
        <v>35</v>
      </c>
      <c r="C335" s="3" t="s">
        <v>66</v>
      </c>
      <c r="D335" s="14">
        <v>0.27881728888888901</v>
      </c>
      <c r="E335" s="14">
        <v>0.33361993333333301</v>
      </c>
      <c r="F335" s="14">
        <v>88.922972540092587</v>
      </c>
      <c r="G335" s="14">
        <v>53.162220652850131</v>
      </c>
      <c r="H335" s="14">
        <v>157.3432976323879</v>
      </c>
      <c r="I335" s="14">
        <v>393.45637954885098</v>
      </c>
      <c r="J335" s="14">
        <v>79.106237832129921</v>
      </c>
      <c r="K335" s="14">
        <v>50.506529352466792</v>
      </c>
      <c r="L335" s="14">
        <v>323.78024165692523</v>
      </c>
      <c r="M335" s="14">
        <v>184.62757854217779</v>
      </c>
      <c r="N335" s="14">
        <v>1355.173805362723</v>
      </c>
    </row>
    <row r="336" spans="1:14" x14ac:dyDescent="0.3">
      <c r="A336" s="3" t="str">
        <f>INDEX('R1. Scenario specifications'!$C$11:$C$49,MATCH($B336,'R1. Scenario specifications'!$A$11:$A$49,0))</f>
        <v>Current 1.75DS, 2030 start, 'Expect the Unexpected' but with cheap renewables</v>
      </c>
      <c r="B336" s="3" t="s">
        <v>35</v>
      </c>
      <c r="C336" s="3" t="s">
        <v>67</v>
      </c>
      <c r="D336" s="14">
        <v>154.73557777463142</v>
      </c>
      <c r="E336" s="14">
        <v>162.76418662806225</v>
      </c>
      <c r="F336" s="14">
        <v>90.613637816084008</v>
      </c>
      <c r="G336" s="14">
        <v>132.60270357542757</v>
      </c>
      <c r="H336" s="14">
        <v>629.98853501677343</v>
      </c>
      <c r="I336" s="14">
        <v>282.28435730954448</v>
      </c>
      <c r="J336" s="14">
        <v>97.139192167905179</v>
      </c>
      <c r="K336" s="14">
        <v>481.02979754966134</v>
      </c>
      <c r="L336" s="14">
        <v>276.24664026918197</v>
      </c>
      <c r="M336" s="14">
        <v>96.717654664861271</v>
      </c>
      <c r="N336" s="14">
        <v>37.280592020591442</v>
      </c>
    </row>
    <row r="337" spans="1:14" x14ac:dyDescent="0.3">
      <c r="A337" s="3" t="str">
        <f>INDEX('R1. Scenario specifications'!$C$11:$C$49,MATCH($B337,'R1. Scenario specifications'!$A$11:$A$49,0))</f>
        <v>Current 1.75DS, 2030 start, 'Expect the Unexpected' but with cheap renewables</v>
      </c>
      <c r="B337" s="3" t="s">
        <v>35</v>
      </c>
      <c r="C337" s="3" t="s">
        <v>68</v>
      </c>
      <c r="D337" s="14">
        <v>0</v>
      </c>
      <c r="E337" s="14">
        <v>0</v>
      </c>
      <c r="F337" s="14">
        <v>0</v>
      </c>
      <c r="G337" s="14">
        <v>22.553218427439354</v>
      </c>
      <c r="H337" s="14">
        <v>443.38931616917739</v>
      </c>
      <c r="I337" s="14">
        <v>623.3053932414474</v>
      </c>
      <c r="J337" s="14">
        <v>90.405459387940198</v>
      </c>
      <c r="K337" s="14">
        <v>151.04129103723218</v>
      </c>
      <c r="L337" s="14">
        <v>561.98912174787927</v>
      </c>
      <c r="M337" s="14">
        <v>633.13164971152241</v>
      </c>
      <c r="N337" s="14">
        <v>0</v>
      </c>
    </row>
    <row r="338" spans="1:14" x14ac:dyDescent="0.3">
      <c r="A338" s="3" t="str">
        <f>INDEX('R1. Scenario specifications'!$C$11:$C$49,MATCH($B338,'R1. Scenario specifications'!$A$11:$A$49,0))</f>
        <v>Current 1.75DS, 2030 start, 'Expect the Unexpected' but with cheap renewables</v>
      </c>
      <c r="B338" s="3" t="s">
        <v>35</v>
      </c>
      <c r="C338" s="3" t="s">
        <v>69</v>
      </c>
      <c r="D338" s="14">
        <v>68.24730636209857</v>
      </c>
      <c r="E338" s="14">
        <v>21.625867125843534</v>
      </c>
      <c r="F338" s="14">
        <v>0.39656849116918491</v>
      </c>
      <c r="G338" s="14">
        <v>4.39481081527373</v>
      </c>
      <c r="H338" s="14">
        <v>13.364576942962598</v>
      </c>
      <c r="I338" s="14">
        <v>0.84263950830329504</v>
      </c>
      <c r="J338" s="14">
        <v>13.809516117400644</v>
      </c>
      <c r="K338" s="14">
        <v>50.904327150619785</v>
      </c>
      <c r="L338" s="14">
        <v>31.262199709291838</v>
      </c>
      <c r="M338" s="14">
        <v>51.941362275708201</v>
      </c>
      <c r="N338" s="14">
        <v>92.789370166445494</v>
      </c>
    </row>
    <row r="339" spans="1:14" x14ac:dyDescent="0.3">
      <c r="A339" s="3" t="str">
        <f>INDEX('R1. Scenario specifications'!$C$11:$C$49,MATCH($B339,'R1. Scenario specifications'!$A$11:$A$49,0))</f>
        <v>Current 1.75DS, 2030 start, 'Expect the Unexpected' but with cheap renewables</v>
      </c>
      <c r="B339" s="3" t="s">
        <v>35</v>
      </c>
      <c r="C339" s="3" t="s">
        <v>70</v>
      </c>
      <c r="D339" s="14">
        <v>12.637708883949241</v>
      </c>
      <c r="E339" s="14">
        <v>82.719415916369499</v>
      </c>
      <c r="F339" s="14">
        <v>97.288686865313664</v>
      </c>
      <c r="G339" s="14">
        <v>401.65756364057171</v>
      </c>
      <c r="H339" s="14">
        <v>2423.4263786815563</v>
      </c>
      <c r="I339" s="14">
        <v>4035.4496671287006</v>
      </c>
      <c r="J339" s="14">
        <v>4445.3929409451239</v>
      </c>
      <c r="K339" s="14">
        <v>5628.4537775882736</v>
      </c>
      <c r="L339" s="14">
        <v>9181.5535062299587</v>
      </c>
      <c r="M339" s="14">
        <v>8562.5101502523339</v>
      </c>
      <c r="N339" s="14">
        <v>8708.7463899310351</v>
      </c>
    </row>
    <row r="340" spans="1:14" x14ac:dyDescent="0.3">
      <c r="A340" s="3" t="str">
        <f>INDEX('R1. Scenario specifications'!$C$11:$C$49,MATCH($B340,'R1. Scenario specifications'!$A$11:$A$49,0))</f>
        <v>Current 1.75DS, 2030 start, 'Expect the Unexpected' but with cheap renewables</v>
      </c>
      <c r="B340" s="3" t="s">
        <v>35</v>
      </c>
      <c r="C340" s="3" t="s">
        <v>71</v>
      </c>
      <c r="D340" s="14">
        <v>3.9388921868092472E-3</v>
      </c>
      <c r="E340" s="14">
        <v>1.0352472304670233</v>
      </c>
      <c r="F340" s="14">
        <v>1.710734171095331</v>
      </c>
      <c r="G340" s="14">
        <v>10.613038269375846</v>
      </c>
      <c r="H340" s="14">
        <v>1.7155281901863697</v>
      </c>
      <c r="I340" s="14">
        <v>7.2504247047928922</v>
      </c>
      <c r="J340" s="14">
        <v>16.621315700842178</v>
      </c>
      <c r="K340" s="14">
        <v>21.601073854067138</v>
      </c>
      <c r="L340" s="14">
        <v>11.364099883792457</v>
      </c>
      <c r="M340" s="14">
        <v>18.806588012709064</v>
      </c>
      <c r="N340" s="14">
        <v>17.101438481789469</v>
      </c>
    </row>
    <row r="341" spans="1:14" x14ac:dyDescent="0.3">
      <c r="A341" s="3" t="str">
        <f>INDEX('R1. Scenario specifications'!$C$11:$C$49,MATCH($B341,'R1. Scenario specifications'!$A$11:$A$49,0))</f>
        <v>Current 1.75DS, 2030 start, 'Expect the Unexpected' but with cheap renewables</v>
      </c>
      <c r="B341" s="3" t="s">
        <v>35</v>
      </c>
      <c r="C341" s="3" t="s">
        <v>72</v>
      </c>
      <c r="D341" s="14">
        <v>164.94116315871048</v>
      </c>
      <c r="E341" s="14">
        <v>30.000000000000007</v>
      </c>
      <c r="F341" s="14">
        <v>130.00000000000006</v>
      </c>
      <c r="G341" s="14">
        <v>1203.724349327679</v>
      </c>
      <c r="H341" s="14">
        <v>2496.6130530598953</v>
      </c>
      <c r="I341" s="14">
        <v>2652.6762130620232</v>
      </c>
      <c r="J341" s="14">
        <v>5610.6407267908944</v>
      </c>
      <c r="K341" s="14">
        <v>3953.2119989721868</v>
      </c>
      <c r="L341" s="14">
        <v>8902.0661105867002</v>
      </c>
      <c r="M341" s="14">
        <v>10343.304785796685</v>
      </c>
      <c r="N341" s="14">
        <v>11386.026984081675</v>
      </c>
    </row>
    <row r="342" spans="1:14" x14ac:dyDescent="0.3">
      <c r="A342" s="3" t="str">
        <f>INDEX('R1. Scenario specifications'!$C$11:$C$49,MATCH($B342,'R1. Scenario specifications'!$A$11:$A$49,0))</f>
        <v>Current 1.75DS, 2020 start, 'Expect the Unexpected' but with cheap CCS</v>
      </c>
      <c r="B342" s="3" t="s">
        <v>36</v>
      </c>
      <c r="C342" s="3" t="s">
        <v>63</v>
      </c>
      <c r="D342" s="14">
        <v>0</v>
      </c>
      <c r="E342" s="14">
        <v>8.3774952878671591</v>
      </c>
      <c r="F342" s="14">
        <v>93.789531468729919</v>
      </c>
      <c r="G342" s="14">
        <v>370.91654746601927</v>
      </c>
      <c r="H342" s="14">
        <v>70.823463283068463</v>
      </c>
      <c r="I342" s="14">
        <v>4.4296963586458995</v>
      </c>
      <c r="J342" s="14">
        <v>0</v>
      </c>
      <c r="K342" s="14">
        <v>4.8669657239953503</v>
      </c>
      <c r="L342" s="14">
        <v>1.5798446379350299</v>
      </c>
      <c r="M342" s="14">
        <v>0</v>
      </c>
      <c r="N342" s="14">
        <v>4.4234354701083598</v>
      </c>
    </row>
    <row r="343" spans="1:14" x14ac:dyDescent="0.3">
      <c r="A343" s="3" t="str">
        <f>INDEX('R1. Scenario specifications'!$C$11:$C$49,MATCH($B343,'R1. Scenario specifications'!$A$11:$A$49,0))</f>
        <v>Current 1.75DS, 2020 start, 'Expect the Unexpected' but with cheap CCS</v>
      </c>
      <c r="B343" s="3" t="s">
        <v>36</v>
      </c>
      <c r="C343" s="3" t="s">
        <v>73</v>
      </c>
      <c r="D343" s="14">
        <v>0</v>
      </c>
      <c r="E343" s="14">
        <v>0</v>
      </c>
      <c r="F343" s="14">
        <v>0</v>
      </c>
      <c r="G343" s="14">
        <v>28.833284868841158</v>
      </c>
      <c r="H343" s="14">
        <v>131.1613173659118</v>
      </c>
      <c r="I343" s="14">
        <v>611.62494756498813</v>
      </c>
      <c r="J343" s="14">
        <v>1345.0500028293864</v>
      </c>
      <c r="K343" s="14">
        <v>650.24817990014083</v>
      </c>
      <c r="L343" s="14">
        <v>1149.4700011856692</v>
      </c>
      <c r="M343" s="14">
        <v>1662.9582483352424</v>
      </c>
      <c r="N343" s="14">
        <v>695.33573611802024</v>
      </c>
    </row>
    <row r="344" spans="1:14" x14ac:dyDescent="0.3">
      <c r="A344" s="3" t="str">
        <f>INDEX('R1. Scenario specifications'!$C$11:$C$49,MATCH($B344,'R1. Scenario specifications'!$A$11:$A$49,0))</f>
        <v>Current 1.75DS, 2020 start, 'Expect the Unexpected' but with cheap CCS</v>
      </c>
      <c r="B344" s="3" t="s">
        <v>36</v>
      </c>
      <c r="C344" s="3" t="s">
        <v>64</v>
      </c>
      <c r="D344" s="14">
        <v>545.32032761765083</v>
      </c>
      <c r="E344" s="14">
        <v>171.97506671901115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</row>
    <row r="345" spans="1:14" x14ac:dyDescent="0.3">
      <c r="A345" s="3" t="str">
        <f>INDEX('R1. Scenario specifications'!$C$11:$C$49,MATCH($B345,'R1. Scenario specifications'!$A$11:$A$49,0))</f>
        <v>Current 1.75DS, 2020 start, 'Expect the Unexpected' but with cheap CCS</v>
      </c>
      <c r="B345" s="3" t="s">
        <v>36</v>
      </c>
      <c r="C345" s="3" t="s">
        <v>65</v>
      </c>
      <c r="D345" s="14">
        <v>172.55578195052306</v>
      </c>
      <c r="E345" s="14">
        <v>625.93335166737552</v>
      </c>
      <c r="F345" s="14">
        <v>477.14024472244631</v>
      </c>
      <c r="G345" s="14">
        <v>51.269247244862555</v>
      </c>
      <c r="H345" s="14">
        <v>82.458702617134577</v>
      </c>
      <c r="I345" s="14">
        <v>618.91842344857264</v>
      </c>
      <c r="J345" s="14">
        <v>116.53998727496156</v>
      </c>
      <c r="K345" s="14">
        <v>73.343855178689992</v>
      </c>
      <c r="L345" s="14">
        <v>23.981406050566097</v>
      </c>
      <c r="M345" s="14">
        <v>201.76648369967148</v>
      </c>
      <c r="N345" s="14">
        <v>107.27001562627275</v>
      </c>
    </row>
    <row r="346" spans="1:14" x14ac:dyDescent="0.3">
      <c r="A346" s="3" t="str">
        <f>INDEX('R1. Scenario specifications'!$C$11:$C$49,MATCH($B346,'R1. Scenario specifications'!$A$11:$A$49,0))</f>
        <v>Current 1.75DS, 2020 start, 'Expect the Unexpected' but with cheap CCS</v>
      </c>
      <c r="B346" s="3" t="s">
        <v>36</v>
      </c>
      <c r="C346" s="3" t="s">
        <v>74</v>
      </c>
      <c r="D346" s="14">
        <v>0</v>
      </c>
      <c r="E346" s="14">
        <v>0</v>
      </c>
      <c r="F346" s="14">
        <v>0</v>
      </c>
      <c r="G346" s="14">
        <v>2.2771989062244602</v>
      </c>
      <c r="H346" s="14">
        <v>0.535450564237413</v>
      </c>
      <c r="I346" s="14">
        <v>154.57486309141012</v>
      </c>
      <c r="J346" s="14">
        <v>251.35485264917887</v>
      </c>
      <c r="K346" s="14">
        <v>818.38836891172366</v>
      </c>
      <c r="L346" s="14">
        <v>700.64823790031676</v>
      </c>
      <c r="M346" s="14">
        <v>16.8993849102241</v>
      </c>
      <c r="N346" s="14">
        <v>862.20138444635063</v>
      </c>
    </row>
    <row r="347" spans="1:14" x14ac:dyDescent="0.3">
      <c r="A347" s="3" t="str">
        <f>INDEX('R1. Scenario specifications'!$C$11:$C$49,MATCH($B347,'R1. Scenario specifications'!$A$11:$A$49,0))</f>
        <v>Current 1.75DS, 2020 start, 'Expect the Unexpected' but with cheap CCS</v>
      </c>
      <c r="B347" s="3" t="s">
        <v>36</v>
      </c>
      <c r="C347" s="3" t="s">
        <v>66</v>
      </c>
      <c r="D347" s="14">
        <v>0.27881728888888901</v>
      </c>
      <c r="E347" s="14">
        <v>0.33361993333333301</v>
      </c>
      <c r="F347" s="14">
        <v>88.922972540092587</v>
      </c>
      <c r="G347" s="14">
        <v>53.53277898674402</v>
      </c>
      <c r="H347" s="14">
        <v>56.296130050950133</v>
      </c>
      <c r="I347" s="14">
        <v>267.8059694200976</v>
      </c>
      <c r="J347" s="14">
        <v>117.40139291899048</v>
      </c>
      <c r="K347" s="14">
        <v>266.795538190061</v>
      </c>
      <c r="L347" s="14">
        <v>229.40169017766635</v>
      </c>
      <c r="M347" s="14">
        <v>215.8758312478314</v>
      </c>
      <c r="N347" s="14">
        <v>748.74704330588781</v>
      </c>
    </row>
    <row r="348" spans="1:14" x14ac:dyDescent="0.3">
      <c r="A348" s="3" t="str">
        <f>INDEX('R1. Scenario specifications'!$C$11:$C$49,MATCH($B348,'R1. Scenario specifications'!$A$11:$A$49,0))</f>
        <v>Current 1.75DS, 2020 start, 'Expect the Unexpected' but with cheap CCS</v>
      </c>
      <c r="B348" s="3" t="s">
        <v>36</v>
      </c>
      <c r="C348" s="3" t="s">
        <v>67</v>
      </c>
      <c r="D348" s="14">
        <v>154.73557777463142</v>
      </c>
      <c r="E348" s="14">
        <v>162.76418662806225</v>
      </c>
      <c r="F348" s="14">
        <v>90.613637816084008</v>
      </c>
      <c r="G348" s="14">
        <v>306.534901097226</v>
      </c>
      <c r="H348" s="14">
        <v>235.58445789147862</v>
      </c>
      <c r="I348" s="14">
        <v>217.53575624467859</v>
      </c>
      <c r="J348" s="14">
        <v>158.71217540615746</v>
      </c>
      <c r="K348" s="14">
        <v>703.36214254097706</v>
      </c>
      <c r="L348" s="14">
        <v>232.98745683402728</v>
      </c>
      <c r="M348" s="14">
        <v>139.44417214479211</v>
      </c>
      <c r="N348" s="14">
        <v>15.268191289249717</v>
      </c>
    </row>
    <row r="349" spans="1:14" x14ac:dyDescent="0.3">
      <c r="A349" s="3" t="str">
        <f>INDEX('R1. Scenario specifications'!$C$11:$C$49,MATCH($B349,'R1. Scenario specifications'!$A$11:$A$49,0))</f>
        <v>Current 1.75DS, 2020 start, 'Expect the Unexpected' but with cheap CCS</v>
      </c>
      <c r="B349" s="3" t="s">
        <v>36</v>
      </c>
      <c r="C349" s="3" t="s">
        <v>68</v>
      </c>
      <c r="D349" s="14">
        <v>0</v>
      </c>
      <c r="E349" s="14">
        <v>0</v>
      </c>
      <c r="F349" s="14">
        <v>0</v>
      </c>
      <c r="G349" s="14">
        <v>94.943116153705176</v>
      </c>
      <c r="H349" s="14">
        <v>359.88517812117652</v>
      </c>
      <c r="I349" s="14">
        <v>609.9518215516556</v>
      </c>
      <c r="J349" s="14">
        <v>152.25741911588059</v>
      </c>
      <c r="K349" s="14">
        <v>217.88438120093136</v>
      </c>
      <c r="L349" s="14">
        <v>444.91951526036326</v>
      </c>
      <c r="M349" s="14">
        <v>625.98074852923992</v>
      </c>
      <c r="N349" s="14">
        <v>0</v>
      </c>
    </row>
    <row r="350" spans="1:14" x14ac:dyDescent="0.3">
      <c r="A350" s="3" t="str">
        <f>INDEX('R1. Scenario specifications'!$C$11:$C$49,MATCH($B350,'R1. Scenario specifications'!$A$11:$A$49,0))</f>
        <v>Current 1.75DS, 2020 start, 'Expect the Unexpected' but with cheap CCS</v>
      </c>
      <c r="B350" s="3" t="s">
        <v>36</v>
      </c>
      <c r="C350" s="3" t="s">
        <v>69</v>
      </c>
      <c r="D350" s="14">
        <v>68.24730636209857</v>
      </c>
      <c r="E350" s="14">
        <v>21.625867125843534</v>
      </c>
      <c r="F350" s="14">
        <v>0.39656849116918491</v>
      </c>
      <c r="G350" s="14">
        <v>3.7704578803854698</v>
      </c>
      <c r="H350" s="14">
        <v>13.427082014543023</v>
      </c>
      <c r="I350" s="14">
        <v>2.2493698403731202</v>
      </c>
      <c r="J350" s="14">
        <v>21.152584390394519</v>
      </c>
      <c r="K350" s="14">
        <v>58.842221442978648</v>
      </c>
      <c r="L350" s="14">
        <v>39.353558749416976</v>
      </c>
      <c r="M350" s="14">
        <v>111.67181169732993</v>
      </c>
      <c r="N350" s="14">
        <v>106.76219744250409</v>
      </c>
    </row>
    <row r="351" spans="1:14" x14ac:dyDescent="0.3">
      <c r="A351" s="3" t="str">
        <f>INDEX('R1. Scenario specifications'!$C$11:$C$49,MATCH($B351,'R1. Scenario specifications'!$A$11:$A$49,0))</f>
        <v>Current 1.75DS, 2020 start, 'Expect the Unexpected' but with cheap CCS</v>
      </c>
      <c r="B351" s="3" t="s">
        <v>36</v>
      </c>
      <c r="C351" s="3" t="s">
        <v>70</v>
      </c>
      <c r="D351" s="14">
        <v>12.637708883949241</v>
      </c>
      <c r="E351" s="14">
        <v>82.719415916369499</v>
      </c>
      <c r="F351" s="14">
        <v>97.288686865313664</v>
      </c>
      <c r="G351" s="14">
        <v>740.43953054965368</v>
      </c>
      <c r="H351" s="14">
        <v>2557.4640444788365</v>
      </c>
      <c r="I351" s="14">
        <v>2282.7818583647386</v>
      </c>
      <c r="J351" s="14">
        <v>2652.5026121647825</v>
      </c>
      <c r="K351" s="14">
        <v>6769.3653392422566</v>
      </c>
      <c r="L351" s="14">
        <v>9999.5058808467893</v>
      </c>
      <c r="M351" s="14">
        <v>7429.0141083772342</v>
      </c>
      <c r="N351" s="14">
        <v>9184.592266410813</v>
      </c>
    </row>
    <row r="352" spans="1:14" x14ac:dyDescent="0.3">
      <c r="A352" s="3" t="str">
        <f>INDEX('R1. Scenario specifications'!$C$11:$C$49,MATCH($B352,'R1. Scenario specifications'!$A$11:$A$49,0))</f>
        <v>Current 1.75DS, 2020 start, 'Expect the Unexpected' but with cheap CCS</v>
      </c>
      <c r="B352" s="3" t="s">
        <v>36</v>
      </c>
      <c r="C352" s="3" t="s">
        <v>71</v>
      </c>
      <c r="D352" s="14">
        <v>3.9388921868092472E-3</v>
      </c>
      <c r="E352" s="14">
        <v>1.0352472304670233</v>
      </c>
      <c r="F352" s="14">
        <v>1.710734171095331</v>
      </c>
      <c r="G352" s="14">
        <v>10.612638265775848</v>
      </c>
      <c r="H352" s="14">
        <v>1.6623871132046135</v>
      </c>
      <c r="I352" s="14">
        <v>6.6178107036657998</v>
      </c>
      <c r="J352" s="14">
        <v>6.9702194265017221</v>
      </c>
      <c r="K352" s="14">
        <v>5.023544994328728</v>
      </c>
      <c r="L352" s="14">
        <v>12.68638528055793</v>
      </c>
      <c r="M352" s="14">
        <v>33.5292985138313</v>
      </c>
      <c r="N352" s="14">
        <v>8.3875300693920494</v>
      </c>
    </row>
    <row r="353" spans="1:14" x14ac:dyDescent="0.3">
      <c r="A353" s="3" t="str">
        <f>INDEX('R1. Scenario specifications'!$C$11:$C$49,MATCH($B353,'R1. Scenario specifications'!$A$11:$A$49,0))</f>
        <v>Current 1.75DS, 2020 start, 'Expect the Unexpected' but with cheap CCS</v>
      </c>
      <c r="B353" s="3" t="s">
        <v>36</v>
      </c>
      <c r="C353" s="3" t="s">
        <v>72</v>
      </c>
      <c r="D353" s="14">
        <v>164.94116315871048</v>
      </c>
      <c r="E353" s="14">
        <v>30.000000000000007</v>
      </c>
      <c r="F353" s="14">
        <v>130.00000000000006</v>
      </c>
      <c r="G353" s="14">
        <v>1430.9035690019682</v>
      </c>
      <c r="H353" s="14">
        <v>2079.1403564545567</v>
      </c>
      <c r="I353" s="14">
        <v>2202.741029919539</v>
      </c>
      <c r="J353" s="14">
        <v>3750.4420884929682</v>
      </c>
      <c r="K353" s="14">
        <v>5021.2287839759665</v>
      </c>
      <c r="L353" s="14">
        <v>9382.8851626628039</v>
      </c>
      <c r="M353" s="14">
        <v>10091.440482026523</v>
      </c>
      <c r="N353" s="14">
        <v>11418.843722626785</v>
      </c>
    </row>
    <row r="354" spans="1:14" x14ac:dyDescent="0.3">
      <c r="A354" s="3" t="str">
        <f>INDEX('R1. Scenario specifications'!$C$11:$C$49,MATCH($B354,'R1. Scenario specifications'!$A$11:$A$49,0))</f>
        <v>Current 2DS, 2020 start, 'Expect the Unexpected' but with cheap renewables</v>
      </c>
      <c r="B354" s="3" t="s">
        <v>37</v>
      </c>
      <c r="C354" s="3" t="s">
        <v>63</v>
      </c>
      <c r="D354" s="14">
        <v>0</v>
      </c>
      <c r="E354" s="14">
        <v>8.3774952878671591</v>
      </c>
      <c r="F354" s="14">
        <v>93.789531468729919</v>
      </c>
      <c r="G354" s="14">
        <v>273.01745410389759</v>
      </c>
      <c r="H354" s="14">
        <v>113.97101450413336</v>
      </c>
      <c r="I354" s="14">
        <v>167.34828692420999</v>
      </c>
      <c r="J354" s="14">
        <v>27.756133253977421</v>
      </c>
      <c r="K354" s="14">
        <v>0</v>
      </c>
      <c r="L354" s="14">
        <v>6.12475077325717</v>
      </c>
      <c r="M354" s="14">
        <v>0</v>
      </c>
      <c r="N354" s="14">
        <v>0</v>
      </c>
    </row>
    <row r="355" spans="1:14" x14ac:dyDescent="0.3">
      <c r="A355" s="3" t="str">
        <f>INDEX('R1. Scenario specifications'!$C$11:$C$49,MATCH($B355,'R1. Scenario specifications'!$A$11:$A$49,0))</f>
        <v>Current 2DS, 2020 start, 'Expect the Unexpected' but with cheap renewables</v>
      </c>
      <c r="B355" s="3" t="s">
        <v>37</v>
      </c>
      <c r="C355" s="3" t="s">
        <v>73</v>
      </c>
      <c r="D355" s="14">
        <v>0</v>
      </c>
      <c r="E355" s="14">
        <v>0</v>
      </c>
      <c r="F355" s="14">
        <v>0</v>
      </c>
      <c r="G355" s="14">
        <v>6.8965855368341362</v>
      </c>
      <c r="H355" s="14">
        <v>32.939800049222221</v>
      </c>
      <c r="I355" s="14">
        <v>200.61143581174997</v>
      </c>
      <c r="J355" s="14">
        <v>787.87644065368909</v>
      </c>
      <c r="K355" s="14">
        <v>819.99052882464821</v>
      </c>
      <c r="L355" s="14">
        <v>1071.0115271795278</v>
      </c>
      <c r="M355" s="14">
        <v>1095.0941636549724</v>
      </c>
      <c r="N355" s="14">
        <v>1119.3651185892456</v>
      </c>
    </row>
    <row r="356" spans="1:14" x14ac:dyDescent="0.3">
      <c r="A356" s="3" t="str">
        <f>INDEX('R1. Scenario specifications'!$C$11:$C$49,MATCH($B356,'R1. Scenario specifications'!$A$11:$A$49,0))</f>
        <v>Current 2DS, 2020 start, 'Expect the Unexpected' but with cheap renewables</v>
      </c>
      <c r="B356" s="3" t="s">
        <v>37</v>
      </c>
      <c r="C356" s="3" t="s">
        <v>64</v>
      </c>
      <c r="D356" s="14">
        <v>545.32032761765083</v>
      </c>
      <c r="E356" s="14">
        <v>171.97506671901115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</row>
    <row r="357" spans="1:14" x14ac:dyDescent="0.3">
      <c r="A357" s="3" t="str">
        <f>INDEX('R1. Scenario specifications'!$C$11:$C$49,MATCH($B357,'R1. Scenario specifications'!$A$11:$A$49,0))</f>
        <v>Current 2DS, 2020 start, 'Expect the Unexpected' but with cheap renewables</v>
      </c>
      <c r="B357" s="3" t="s">
        <v>37</v>
      </c>
      <c r="C357" s="3" t="s">
        <v>65</v>
      </c>
      <c r="D357" s="14">
        <v>172.55578195052306</v>
      </c>
      <c r="E357" s="14">
        <v>625.93335166737552</v>
      </c>
      <c r="F357" s="14">
        <v>477.14024472244631</v>
      </c>
      <c r="G357" s="14">
        <v>60.152792892813977</v>
      </c>
      <c r="H357" s="14">
        <v>100.57080446438616</v>
      </c>
      <c r="I357" s="14">
        <v>683.74396828972021</v>
      </c>
      <c r="J357" s="14">
        <v>305.42796219225846</v>
      </c>
      <c r="K357" s="14">
        <v>71.088751987547028</v>
      </c>
      <c r="L357" s="14">
        <v>69.167817056772705</v>
      </c>
      <c r="M357" s="14">
        <v>94.78458271263915</v>
      </c>
      <c r="N357" s="14">
        <v>91.44196265350007</v>
      </c>
    </row>
    <row r="358" spans="1:14" x14ac:dyDescent="0.3">
      <c r="A358" s="3" t="str">
        <f>INDEX('R1. Scenario specifications'!$C$11:$C$49,MATCH($B358,'R1. Scenario specifications'!$A$11:$A$49,0))</f>
        <v>Current 2DS, 2020 start, 'Expect the Unexpected' but with cheap renewables</v>
      </c>
      <c r="B358" s="3" t="s">
        <v>37</v>
      </c>
      <c r="C358" s="3" t="s">
        <v>74</v>
      </c>
      <c r="D358" s="14">
        <v>0</v>
      </c>
      <c r="E358" s="14">
        <v>0</v>
      </c>
      <c r="F358" s="14">
        <v>0</v>
      </c>
      <c r="G358" s="14">
        <v>0</v>
      </c>
      <c r="H358" s="14">
        <v>1.8663250375681661</v>
      </c>
      <c r="I358" s="14">
        <v>1.63188788761921</v>
      </c>
      <c r="J358" s="14">
        <v>0.61599601633850198</v>
      </c>
      <c r="K358" s="14">
        <v>86.896673949875407</v>
      </c>
      <c r="L358" s="14">
        <v>1026.1296210819532</v>
      </c>
      <c r="M358" s="14">
        <v>150.39958213974279</v>
      </c>
      <c r="N358" s="14">
        <v>78.083739709719495</v>
      </c>
    </row>
    <row r="359" spans="1:14" x14ac:dyDescent="0.3">
      <c r="A359" s="3" t="str">
        <f>INDEX('R1. Scenario specifications'!$C$11:$C$49,MATCH($B359,'R1. Scenario specifications'!$A$11:$A$49,0))</f>
        <v>Current 2DS, 2020 start, 'Expect the Unexpected' but with cheap renewables</v>
      </c>
      <c r="B359" s="3" t="s">
        <v>37</v>
      </c>
      <c r="C359" s="3" t="s">
        <v>66</v>
      </c>
      <c r="D359" s="14">
        <v>0.27881728888888901</v>
      </c>
      <c r="E359" s="14">
        <v>0.33361993333333301</v>
      </c>
      <c r="F359" s="14">
        <v>88.922972540092587</v>
      </c>
      <c r="G359" s="14">
        <v>53.688904455119022</v>
      </c>
      <c r="H359" s="14">
        <v>59.014320430119021</v>
      </c>
      <c r="I359" s="14">
        <v>201.8690512425313</v>
      </c>
      <c r="J359" s="14">
        <v>166.96557043950898</v>
      </c>
      <c r="K359" s="14">
        <v>60.648492346831652</v>
      </c>
      <c r="L359" s="14">
        <v>268.94840282081384</v>
      </c>
      <c r="M359" s="14">
        <v>347.17610423138706</v>
      </c>
      <c r="N359" s="14">
        <v>172.60502814197326</v>
      </c>
    </row>
    <row r="360" spans="1:14" x14ac:dyDescent="0.3">
      <c r="A360" s="3" t="str">
        <f>INDEX('R1. Scenario specifications'!$C$11:$C$49,MATCH($B360,'R1. Scenario specifications'!$A$11:$A$49,0))</f>
        <v>Current 2DS, 2020 start, 'Expect the Unexpected' but with cheap renewables</v>
      </c>
      <c r="B360" s="3" t="s">
        <v>37</v>
      </c>
      <c r="C360" s="3" t="s">
        <v>67</v>
      </c>
      <c r="D360" s="14">
        <v>154.73557777463142</v>
      </c>
      <c r="E360" s="14">
        <v>162.76418662806225</v>
      </c>
      <c r="F360" s="14">
        <v>90.613637816084008</v>
      </c>
      <c r="G360" s="14">
        <v>179.65546900668727</v>
      </c>
      <c r="H360" s="14">
        <v>291.16409521566629</v>
      </c>
      <c r="I360" s="14">
        <v>148.2440977056776</v>
      </c>
      <c r="J360" s="14">
        <v>66.217785870002146</v>
      </c>
      <c r="K360" s="14">
        <v>482.15466580704418</v>
      </c>
      <c r="L360" s="14">
        <v>594.26263791559745</v>
      </c>
      <c r="M360" s="14">
        <v>202.07278254342094</v>
      </c>
      <c r="N360" s="14">
        <v>28.238196799222369</v>
      </c>
    </row>
    <row r="361" spans="1:14" x14ac:dyDescent="0.3">
      <c r="A361" s="3" t="str">
        <f>INDEX('R1. Scenario specifications'!$C$11:$C$49,MATCH($B361,'R1. Scenario specifications'!$A$11:$A$49,0))</f>
        <v>Current 2DS, 2020 start, 'Expect the Unexpected' but with cheap renewables</v>
      </c>
      <c r="B361" s="3" t="s">
        <v>37</v>
      </c>
      <c r="C361" s="3" t="s">
        <v>68</v>
      </c>
      <c r="D361" s="14">
        <v>0</v>
      </c>
      <c r="E361" s="14">
        <v>0</v>
      </c>
      <c r="F361" s="14">
        <v>0</v>
      </c>
      <c r="G361" s="14">
        <v>60.854244654379109</v>
      </c>
      <c r="H361" s="14">
        <v>336.83086260166027</v>
      </c>
      <c r="I361" s="14">
        <v>595.55006899832745</v>
      </c>
      <c r="J361" s="14">
        <v>211.1633664688074</v>
      </c>
      <c r="K361" s="14">
        <v>148.78339268342245</v>
      </c>
      <c r="L361" s="14">
        <v>457.86081229192143</v>
      </c>
      <c r="M361" s="14">
        <v>661.66260495950394</v>
      </c>
      <c r="N361" s="14">
        <v>0</v>
      </c>
    </row>
    <row r="362" spans="1:14" x14ac:dyDescent="0.3">
      <c r="A362" s="3" t="str">
        <f>INDEX('R1. Scenario specifications'!$C$11:$C$49,MATCH($B362,'R1. Scenario specifications'!$A$11:$A$49,0))</f>
        <v>Current 2DS, 2020 start, 'Expect the Unexpected' but with cheap renewables</v>
      </c>
      <c r="B362" s="3" t="s">
        <v>37</v>
      </c>
      <c r="C362" s="3" t="s">
        <v>69</v>
      </c>
      <c r="D362" s="14">
        <v>68.24730636209857</v>
      </c>
      <c r="E362" s="14">
        <v>21.625867125843534</v>
      </c>
      <c r="F362" s="14">
        <v>0.39656849116918491</v>
      </c>
      <c r="G362" s="14">
        <v>8.8783784072340151</v>
      </c>
      <c r="H362" s="14">
        <v>14.57396368724533</v>
      </c>
      <c r="I362" s="14">
        <v>0</v>
      </c>
      <c r="J362" s="14">
        <v>13.890993178654881</v>
      </c>
      <c r="K362" s="14">
        <v>1.22080987355717</v>
      </c>
      <c r="L362" s="14">
        <v>65.473054131067116</v>
      </c>
      <c r="M362" s="14">
        <v>59.626723272369176</v>
      </c>
      <c r="N362" s="14">
        <v>88.571351430671513</v>
      </c>
    </row>
    <row r="363" spans="1:14" x14ac:dyDescent="0.3">
      <c r="A363" s="3" t="str">
        <f>INDEX('R1. Scenario specifications'!$C$11:$C$49,MATCH($B363,'R1. Scenario specifications'!$A$11:$A$49,0))</f>
        <v>Current 2DS, 2020 start, 'Expect the Unexpected' but with cheap renewables</v>
      </c>
      <c r="B363" s="3" t="s">
        <v>37</v>
      </c>
      <c r="C363" s="3" t="s">
        <v>70</v>
      </c>
      <c r="D363" s="14">
        <v>12.637708883949241</v>
      </c>
      <c r="E363" s="14">
        <v>82.719415916369499</v>
      </c>
      <c r="F363" s="14">
        <v>97.288686865313664</v>
      </c>
      <c r="G363" s="14">
        <v>979.2806555094437</v>
      </c>
      <c r="H363" s="14">
        <v>3014.257823066845</v>
      </c>
      <c r="I363" s="14">
        <v>2371.2153369784783</v>
      </c>
      <c r="J363" s="14">
        <v>2346.7880949538985</v>
      </c>
      <c r="K363" s="14">
        <v>4836.7238223536433</v>
      </c>
      <c r="L363" s="14">
        <v>5908.9752600029115</v>
      </c>
      <c r="M363" s="14">
        <v>9398.5390850260883</v>
      </c>
      <c r="N363" s="14">
        <v>7310.9200372733394</v>
      </c>
    </row>
    <row r="364" spans="1:14" x14ac:dyDescent="0.3">
      <c r="A364" s="3" t="str">
        <f>INDEX('R1. Scenario specifications'!$C$11:$C$49,MATCH($B364,'R1. Scenario specifications'!$A$11:$A$49,0))</f>
        <v>Current 2DS, 2020 start, 'Expect the Unexpected' but with cheap renewables</v>
      </c>
      <c r="B364" s="3" t="s">
        <v>37</v>
      </c>
      <c r="C364" s="3" t="s">
        <v>71</v>
      </c>
      <c r="D364" s="14">
        <v>3.9388921868092472E-3</v>
      </c>
      <c r="E364" s="14">
        <v>1.0352472304670233</v>
      </c>
      <c r="F364" s="14">
        <v>1.710734171095331</v>
      </c>
      <c r="G364" s="14">
        <v>10.612238265775847</v>
      </c>
      <c r="H364" s="14">
        <v>1.4603380714945555</v>
      </c>
      <c r="I364" s="14">
        <v>5.6624347908140464</v>
      </c>
      <c r="J364" s="14">
        <v>6.6849073281145159</v>
      </c>
      <c r="K364" s="14">
        <v>65.43375582271635</v>
      </c>
      <c r="L364" s="14">
        <v>21.18150165559096</v>
      </c>
      <c r="M364" s="14">
        <v>37.201104347446858</v>
      </c>
      <c r="N364" s="14">
        <v>45.990766902465424</v>
      </c>
    </row>
    <row r="365" spans="1:14" x14ac:dyDescent="0.3">
      <c r="A365" s="3" t="str">
        <f>INDEX('R1. Scenario specifications'!$C$11:$C$49,MATCH($B365,'R1. Scenario specifications'!$A$11:$A$49,0))</f>
        <v>Current 2DS, 2020 start, 'Expect the Unexpected' but with cheap renewables</v>
      </c>
      <c r="B365" s="3" t="s">
        <v>37</v>
      </c>
      <c r="C365" s="3" t="s">
        <v>72</v>
      </c>
      <c r="D365" s="14">
        <v>164.94116315871048</v>
      </c>
      <c r="E365" s="14">
        <v>30.000000000000007</v>
      </c>
      <c r="F365" s="14">
        <v>130.00000000000006</v>
      </c>
      <c r="G365" s="14">
        <v>1932.3409348221321</v>
      </c>
      <c r="H365" s="14">
        <v>1821.96316582693</v>
      </c>
      <c r="I365" s="14">
        <v>2408.0488470195492</v>
      </c>
      <c r="J365" s="14">
        <v>3458.9877301641145</v>
      </c>
      <c r="K365" s="14">
        <v>3722.3075891926956</v>
      </c>
      <c r="L365" s="14">
        <v>6346.9393831259113</v>
      </c>
      <c r="M365" s="14">
        <v>11164.500099963743</v>
      </c>
      <c r="N365" s="14">
        <v>9782.6687626500097</v>
      </c>
    </row>
    <row r="366" spans="1:14" x14ac:dyDescent="0.3">
      <c r="A366" s="3" t="str">
        <f>INDEX('R1. Scenario specifications'!$C$11:$C$49,MATCH($B366,'R1. Scenario specifications'!$A$11:$A$49,0))</f>
        <v>Current 1.75DS, 2030 start, 'Expect the Unexpected' but with cheap CCS</v>
      </c>
      <c r="B366" s="3" t="s">
        <v>38</v>
      </c>
      <c r="C366" s="3" t="s">
        <v>63</v>
      </c>
      <c r="D366" s="14">
        <v>0</v>
      </c>
      <c r="E366" s="14">
        <v>8.3774952878671591</v>
      </c>
      <c r="F366" s="14">
        <v>93.789531468729919</v>
      </c>
      <c r="G366" s="14">
        <v>300.17967178830617</v>
      </c>
      <c r="H366" s="14">
        <v>168.69612786556706</v>
      </c>
      <c r="I366" s="14">
        <v>36.29523720237556</v>
      </c>
      <c r="J366" s="14">
        <v>0</v>
      </c>
      <c r="K366" s="14">
        <v>0</v>
      </c>
      <c r="L366" s="14">
        <v>0</v>
      </c>
      <c r="M366" s="14">
        <v>5.3451805199105697</v>
      </c>
      <c r="N366" s="14">
        <v>3.5140371759795598E-2</v>
      </c>
    </row>
    <row r="367" spans="1:14" x14ac:dyDescent="0.3">
      <c r="A367" s="3" t="str">
        <f>INDEX('R1. Scenario specifications'!$C$11:$C$49,MATCH($B367,'R1. Scenario specifications'!$A$11:$A$49,0))</f>
        <v>Current 1.75DS, 2030 start, 'Expect the Unexpected' but with cheap CCS</v>
      </c>
      <c r="B367" s="3" t="s">
        <v>38</v>
      </c>
      <c r="C367" s="3" t="s">
        <v>73</v>
      </c>
      <c r="D367" s="14">
        <v>0</v>
      </c>
      <c r="E367" s="14">
        <v>0</v>
      </c>
      <c r="F367" s="14">
        <v>0</v>
      </c>
      <c r="G367" s="14">
        <v>0</v>
      </c>
      <c r="H367" s="14">
        <v>33.051066326497484</v>
      </c>
      <c r="I367" s="14">
        <v>544.86948992306725</v>
      </c>
      <c r="J367" s="14">
        <v>2395.6336875681868</v>
      </c>
      <c r="K367" s="14">
        <v>179.8157797332907</v>
      </c>
      <c r="L367" s="14">
        <v>890.85694715920852</v>
      </c>
      <c r="M367" s="14">
        <v>1663.6256816660618</v>
      </c>
      <c r="N367" s="14">
        <v>1667.2696717989675</v>
      </c>
    </row>
    <row r="368" spans="1:14" x14ac:dyDescent="0.3">
      <c r="A368" s="3" t="str">
        <f>INDEX('R1. Scenario specifications'!$C$11:$C$49,MATCH($B368,'R1. Scenario specifications'!$A$11:$A$49,0))</f>
        <v>Current 1.75DS, 2030 start, 'Expect the Unexpected' but with cheap CCS</v>
      </c>
      <c r="B368" s="3" t="s">
        <v>38</v>
      </c>
      <c r="C368" s="3" t="s">
        <v>64</v>
      </c>
      <c r="D368" s="14">
        <v>545.32032761765083</v>
      </c>
      <c r="E368" s="14">
        <v>171.97506671901115</v>
      </c>
      <c r="F368" s="14">
        <v>0</v>
      </c>
      <c r="G368" s="14">
        <v>16.396787724521602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</row>
    <row r="369" spans="1:14" x14ac:dyDescent="0.3">
      <c r="A369" s="3" t="str">
        <f>INDEX('R1. Scenario specifications'!$C$11:$C$49,MATCH($B369,'R1. Scenario specifications'!$A$11:$A$49,0))</f>
        <v>Current 1.75DS, 2030 start, 'Expect the Unexpected' but with cheap CCS</v>
      </c>
      <c r="B369" s="3" t="s">
        <v>38</v>
      </c>
      <c r="C369" s="3" t="s">
        <v>65</v>
      </c>
      <c r="D369" s="14">
        <v>172.55578195052306</v>
      </c>
      <c r="E369" s="14">
        <v>625.93335166737552</v>
      </c>
      <c r="F369" s="14">
        <v>477.14024472244631</v>
      </c>
      <c r="G369" s="14">
        <v>16.783672963106241</v>
      </c>
      <c r="H369" s="14">
        <v>362.05977389395525</v>
      </c>
      <c r="I369" s="14">
        <v>387.75169353061409</v>
      </c>
      <c r="J369" s="14">
        <v>97.2713155778127</v>
      </c>
      <c r="K369" s="14">
        <v>80.787330691457996</v>
      </c>
      <c r="L369" s="14">
        <v>12.7553089875619</v>
      </c>
      <c r="M369" s="14">
        <v>269.93096375633252</v>
      </c>
      <c r="N369" s="14">
        <v>42.273040803640804</v>
      </c>
    </row>
    <row r="370" spans="1:14" x14ac:dyDescent="0.3">
      <c r="A370" s="3" t="str">
        <f>INDEX('R1. Scenario specifications'!$C$11:$C$49,MATCH($B370,'R1. Scenario specifications'!$A$11:$A$49,0))</f>
        <v>Current 1.75DS, 2030 start, 'Expect the Unexpected' but with cheap CCS</v>
      </c>
      <c r="B370" s="3" t="s">
        <v>38</v>
      </c>
      <c r="C370" s="3" t="s">
        <v>74</v>
      </c>
      <c r="D370" s="14">
        <v>0</v>
      </c>
      <c r="E370" s="14">
        <v>0</v>
      </c>
      <c r="F370" s="14">
        <v>0</v>
      </c>
      <c r="G370" s="14">
        <v>0</v>
      </c>
      <c r="H370" s="14">
        <v>1.1069172668694101</v>
      </c>
      <c r="I370" s="14">
        <v>19.460263888769802</v>
      </c>
      <c r="J370" s="14">
        <v>160.60986464299833</v>
      </c>
      <c r="K370" s="14">
        <v>854.07728767775393</v>
      </c>
      <c r="L370" s="14">
        <v>427.51128310918062</v>
      </c>
      <c r="M370" s="14">
        <v>167.57626281815948</v>
      </c>
      <c r="N370" s="14">
        <v>760.13081929660234</v>
      </c>
    </row>
    <row r="371" spans="1:14" x14ac:dyDescent="0.3">
      <c r="A371" s="3" t="str">
        <f>INDEX('R1. Scenario specifications'!$C$11:$C$49,MATCH($B371,'R1. Scenario specifications'!$A$11:$A$49,0))</f>
        <v>Current 1.75DS, 2030 start, 'Expect the Unexpected' but with cheap CCS</v>
      </c>
      <c r="B371" s="3" t="s">
        <v>38</v>
      </c>
      <c r="C371" s="3" t="s">
        <v>66</v>
      </c>
      <c r="D371" s="14">
        <v>0.27881728888888901</v>
      </c>
      <c r="E371" s="14">
        <v>0.33361993333333301</v>
      </c>
      <c r="F371" s="14">
        <v>88.922972540092587</v>
      </c>
      <c r="G371" s="14">
        <v>53.162220652850131</v>
      </c>
      <c r="H371" s="14">
        <v>157.3432976323879</v>
      </c>
      <c r="I371" s="14">
        <v>412.36225028139177</v>
      </c>
      <c r="J371" s="14">
        <v>79.106237832129921</v>
      </c>
      <c r="K371" s="14">
        <v>50.506529352466792</v>
      </c>
      <c r="L371" s="14">
        <v>371.87018364746666</v>
      </c>
      <c r="M371" s="14">
        <v>185.0858934808457</v>
      </c>
      <c r="N371" s="14">
        <v>1586.8716977428126</v>
      </c>
    </row>
    <row r="372" spans="1:14" x14ac:dyDescent="0.3">
      <c r="A372" s="3" t="str">
        <f>INDEX('R1. Scenario specifications'!$C$11:$C$49,MATCH($B372,'R1. Scenario specifications'!$A$11:$A$49,0))</f>
        <v>Current 1.75DS, 2030 start, 'Expect the Unexpected' but with cheap CCS</v>
      </c>
      <c r="B372" s="3" t="s">
        <v>38</v>
      </c>
      <c r="C372" s="3" t="s">
        <v>67</v>
      </c>
      <c r="D372" s="14">
        <v>154.73557777463142</v>
      </c>
      <c r="E372" s="14">
        <v>162.76418662806225</v>
      </c>
      <c r="F372" s="14">
        <v>90.613637816084008</v>
      </c>
      <c r="G372" s="14">
        <v>132.60270357542757</v>
      </c>
      <c r="H372" s="14">
        <v>639.84684563564997</v>
      </c>
      <c r="I372" s="14">
        <v>419.55067721937439</v>
      </c>
      <c r="J372" s="14">
        <v>70.906517034808701</v>
      </c>
      <c r="K372" s="14">
        <v>405.12281513141642</v>
      </c>
      <c r="L372" s="14">
        <v>223.96677863410136</v>
      </c>
      <c r="M372" s="14">
        <v>120.03394842064394</v>
      </c>
      <c r="N372" s="14">
        <v>37.121889102391457</v>
      </c>
    </row>
    <row r="373" spans="1:14" x14ac:dyDescent="0.3">
      <c r="A373" s="3" t="str">
        <f>INDEX('R1. Scenario specifications'!$C$11:$C$49,MATCH($B373,'R1. Scenario specifications'!$A$11:$A$49,0))</f>
        <v>Current 1.75DS, 2030 start, 'Expect the Unexpected' but with cheap CCS</v>
      </c>
      <c r="B373" s="3" t="s">
        <v>38</v>
      </c>
      <c r="C373" s="3" t="s">
        <v>68</v>
      </c>
      <c r="D373" s="14">
        <v>0</v>
      </c>
      <c r="E373" s="14">
        <v>0</v>
      </c>
      <c r="F373" s="14">
        <v>0</v>
      </c>
      <c r="G373" s="14">
        <v>22.553218427439354</v>
      </c>
      <c r="H373" s="14">
        <v>443.38931616917722</v>
      </c>
      <c r="I373" s="14">
        <v>620.70961578713195</v>
      </c>
      <c r="J373" s="14">
        <v>90.405459387940198</v>
      </c>
      <c r="K373" s="14">
        <v>201.26157472393857</v>
      </c>
      <c r="L373" s="14">
        <v>512.63648722981975</v>
      </c>
      <c r="M373" s="14">
        <v>637.75729592794198</v>
      </c>
      <c r="N373" s="14">
        <v>0</v>
      </c>
    </row>
    <row r="374" spans="1:14" x14ac:dyDescent="0.3">
      <c r="A374" s="3" t="str">
        <f>INDEX('R1. Scenario specifications'!$C$11:$C$49,MATCH($B374,'R1. Scenario specifications'!$A$11:$A$49,0))</f>
        <v>Current 1.75DS, 2030 start, 'Expect the Unexpected' but with cheap CCS</v>
      </c>
      <c r="B374" s="3" t="s">
        <v>38</v>
      </c>
      <c r="C374" s="3" t="s">
        <v>69</v>
      </c>
      <c r="D374" s="14">
        <v>68.24730636209857</v>
      </c>
      <c r="E374" s="14">
        <v>21.625867125843534</v>
      </c>
      <c r="F374" s="14">
        <v>0.39656849116918491</v>
      </c>
      <c r="G374" s="14">
        <v>4.39481081527373</v>
      </c>
      <c r="H374" s="14">
        <v>14.030915497460459</v>
      </c>
      <c r="I374" s="14">
        <v>0</v>
      </c>
      <c r="J374" s="14">
        <v>12.651434497431699</v>
      </c>
      <c r="K374" s="14">
        <v>65.512166277983255</v>
      </c>
      <c r="L374" s="14">
        <v>33.973785545423496</v>
      </c>
      <c r="M374" s="14">
        <v>70.146146446599602</v>
      </c>
      <c r="N374" s="14">
        <v>95.858116685708723</v>
      </c>
    </row>
    <row r="375" spans="1:14" x14ac:dyDescent="0.3">
      <c r="A375" s="3" t="str">
        <f>INDEX('R1. Scenario specifications'!$C$11:$C$49,MATCH($B375,'R1. Scenario specifications'!$A$11:$A$49,0))</f>
        <v>Current 1.75DS, 2030 start, 'Expect the Unexpected' but with cheap CCS</v>
      </c>
      <c r="B375" s="3" t="s">
        <v>38</v>
      </c>
      <c r="C375" s="3" t="s">
        <v>70</v>
      </c>
      <c r="D375" s="14">
        <v>12.637708883949241</v>
      </c>
      <c r="E375" s="14">
        <v>82.719415916369499</v>
      </c>
      <c r="F375" s="14">
        <v>97.288686865313664</v>
      </c>
      <c r="G375" s="14">
        <v>401.65756364057171</v>
      </c>
      <c r="H375" s="14">
        <v>1930.4933201213453</v>
      </c>
      <c r="I375" s="14">
        <v>3569.1384607075006</v>
      </c>
      <c r="J375" s="14">
        <v>4447.4692707623781</v>
      </c>
      <c r="K375" s="14">
        <v>5677.9314014605407</v>
      </c>
      <c r="L375" s="14">
        <v>8550.4426225128082</v>
      </c>
      <c r="M375" s="14">
        <v>8465.9471282567592</v>
      </c>
      <c r="N375" s="14">
        <v>8546.5853397797364</v>
      </c>
    </row>
    <row r="376" spans="1:14" x14ac:dyDescent="0.3">
      <c r="A376" s="3" t="str">
        <f>INDEX('R1. Scenario specifications'!$C$11:$C$49,MATCH($B376,'R1. Scenario specifications'!$A$11:$A$49,0))</f>
        <v>Current 1.75DS, 2030 start, 'Expect the Unexpected' but with cheap CCS</v>
      </c>
      <c r="B376" s="3" t="s">
        <v>38</v>
      </c>
      <c r="C376" s="3" t="s">
        <v>71</v>
      </c>
      <c r="D376" s="14">
        <v>3.9388921868092472E-3</v>
      </c>
      <c r="E376" s="14">
        <v>1.0352472304670233</v>
      </c>
      <c r="F376" s="14">
        <v>1.710734171095331</v>
      </c>
      <c r="G376" s="14">
        <v>10.613038269375846</v>
      </c>
      <c r="H376" s="14">
        <v>1.6471765923021378</v>
      </c>
      <c r="I376" s="14">
        <v>6.5635584138142473</v>
      </c>
      <c r="J376" s="14">
        <v>11.072743692381072</v>
      </c>
      <c r="K376" s="14">
        <v>3.8486386142159614</v>
      </c>
      <c r="L376" s="14">
        <v>8.7551464566127208</v>
      </c>
      <c r="M376" s="14">
        <v>8.9231867955254813</v>
      </c>
      <c r="N376" s="14">
        <v>6.0013311149546844</v>
      </c>
    </row>
    <row r="377" spans="1:14" x14ac:dyDescent="0.3">
      <c r="A377" s="3" t="str">
        <f>INDEX('R1. Scenario specifications'!$C$11:$C$49,MATCH($B377,'R1. Scenario specifications'!$A$11:$A$49,0))</f>
        <v>Current 1.75DS, 2030 start, 'Expect the Unexpected' but with cheap CCS</v>
      </c>
      <c r="B377" s="3" t="s">
        <v>38</v>
      </c>
      <c r="C377" s="3" t="s">
        <v>72</v>
      </c>
      <c r="D377" s="14">
        <v>164.94116315871048</v>
      </c>
      <c r="E377" s="14">
        <v>30.000000000000007</v>
      </c>
      <c r="F377" s="14">
        <v>130.00000000000006</v>
      </c>
      <c r="G377" s="14">
        <v>1203.724349327679</v>
      </c>
      <c r="H377" s="14">
        <v>2307.470708717768</v>
      </c>
      <c r="I377" s="14">
        <v>2419.0755157412427</v>
      </c>
      <c r="J377" s="14">
        <v>5445.9267211007473</v>
      </c>
      <c r="K377" s="14">
        <v>3744.045552536204</v>
      </c>
      <c r="L377" s="14">
        <v>8711.6905584750257</v>
      </c>
      <c r="M377" s="14">
        <v>10178.489824883827</v>
      </c>
      <c r="N377" s="14">
        <v>11072.834775358157</v>
      </c>
    </row>
    <row r="378" spans="1:14" x14ac:dyDescent="0.3">
      <c r="A378" s="3" t="str">
        <f>INDEX('R1. Scenario specifications'!$C$11:$C$49,MATCH($B378,'R1. Scenario specifications'!$A$11:$A$49,0))</f>
        <v>Current 1.75DS, 2020 start, 'Expect the Unexpected' but with cheap EVs</v>
      </c>
      <c r="B378" s="3" t="s">
        <v>39</v>
      </c>
      <c r="C378" s="3" t="s">
        <v>63</v>
      </c>
      <c r="D378" s="14">
        <v>0</v>
      </c>
      <c r="E378" s="14">
        <v>8.3774952878671591</v>
      </c>
      <c r="F378" s="14">
        <v>93.789531468729919</v>
      </c>
      <c r="G378" s="14">
        <v>413.00409706419612</v>
      </c>
      <c r="H378" s="14">
        <v>55.87643955564203</v>
      </c>
      <c r="I378" s="14">
        <v>10.884986938113681</v>
      </c>
      <c r="J378" s="14">
        <v>0</v>
      </c>
      <c r="K378" s="14">
        <v>4.8669657326190903</v>
      </c>
      <c r="L378" s="14">
        <v>1.6206538356201099</v>
      </c>
      <c r="M378" s="14">
        <v>0</v>
      </c>
      <c r="N378" s="14">
        <v>4.3824741515625396</v>
      </c>
    </row>
    <row r="379" spans="1:14" x14ac:dyDescent="0.3">
      <c r="A379" s="3" t="str">
        <f>INDEX('R1. Scenario specifications'!$C$11:$C$49,MATCH($B379,'R1. Scenario specifications'!$A$11:$A$49,0))</f>
        <v>Current 1.75DS, 2020 start, 'Expect the Unexpected' but with cheap EVs</v>
      </c>
      <c r="B379" s="3" t="s">
        <v>39</v>
      </c>
      <c r="C379" s="3" t="s">
        <v>73</v>
      </c>
      <c r="D379" s="14">
        <v>0</v>
      </c>
      <c r="E379" s="14">
        <v>0</v>
      </c>
      <c r="F379" s="14">
        <v>0</v>
      </c>
      <c r="G379" s="14">
        <v>27.279275507962588</v>
      </c>
      <c r="H379" s="14">
        <v>118.07808133456282</v>
      </c>
      <c r="I379" s="14">
        <v>644.40947644630444</v>
      </c>
      <c r="J379" s="14">
        <v>1344.7655898837836</v>
      </c>
      <c r="K379" s="14">
        <v>650.75049621732819</v>
      </c>
      <c r="L379" s="14">
        <v>1193.519982234393</v>
      </c>
      <c r="M379" s="14">
        <v>1579.6746240200907</v>
      </c>
      <c r="N379" s="14">
        <v>743.21029236874335</v>
      </c>
    </row>
    <row r="380" spans="1:14" x14ac:dyDescent="0.3">
      <c r="A380" s="3" t="str">
        <f>INDEX('R1. Scenario specifications'!$C$11:$C$49,MATCH($B380,'R1. Scenario specifications'!$A$11:$A$49,0))</f>
        <v>Current 1.75DS, 2020 start, 'Expect the Unexpected' but with cheap EVs</v>
      </c>
      <c r="B380" s="3" t="s">
        <v>39</v>
      </c>
      <c r="C380" s="3" t="s">
        <v>64</v>
      </c>
      <c r="D380" s="14">
        <v>545.32032761765083</v>
      </c>
      <c r="E380" s="14">
        <v>171.97506671901115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</row>
    <row r="381" spans="1:14" x14ac:dyDescent="0.3">
      <c r="A381" s="3" t="str">
        <f>INDEX('R1. Scenario specifications'!$C$11:$C$49,MATCH($B381,'R1. Scenario specifications'!$A$11:$A$49,0))</f>
        <v>Current 1.75DS, 2020 start, 'Expect the Unexpected' but with cheap EVs</v>
      </c>
      <c r="B381" s="3" t="s">
        <v>39</v>
      </c>
      <c r="C381" s="3" t="s">
        <v>65</v>
      </c>
      <c r="D381" s="14">
        <v>172.55578195052306</v>
      </c>
      <c r="E381" s="14">
        <v>625.93335166737552</v>
      </c>
      <c r="F381" s="14">
        <v>477.14024472244631</v>
      </c>
      <c r="G381" s="14">
        <v>30.2837753436085</v>
      </c>
      <c r="H381" s="14">
        <v>135.8264816152674</v>
      </c>
      <c r="I381" s="14">
        <v>641.89648230419778</v>
      </c>
      <c r="J381" s="14">
        <v>113.74308528310388</v>
      </c>
      <c r="K381" s="14">
        <v>73.406056061202108</v>
      </c>
      <c r="L381" s="14">
        <v>32.259609551679361</v>
      </c>
      <c r="M381" s="14">
        <v>192.76609110284366</v>
      </c>
      <c r="N381" s="14">
        <v>110.77917630537559</v>
      </c>
    </row>
    <row r="382" spans="1:14" x14ac:dyDescent="0.3">
      <c r="A382" s="3" t="str">
        <f>INDEX('R1. Scenario specifications'!$C$11:$C$49,MATCH($B382,'R1. Scenario specifications'!$A$11:$A$49,0))</f>
        <v>Current 1.75DS, 2020 start, 'Expect the Unexpected' but with cheap EVs</v>
      </c>
      <c r="B382" s="3" t="s">
        <v>39</v>
      </c>
      <c r="C382" s="3" t="s">
        <v>74</v>
      </c>
      <c r="D382" s="14">
        <v>0</v>
      </c>
      <c r="E382" s="14">
        <v>0</v>
      </c>
      <c r="F382" s="14">
        <v>0</v>
      </c>
      <c r="G382" s="14">
        <v>2.2771989062244602</v>
      </c>
      <c r="H382" s="14">
        <v>14.106527242372691</v>
      </c>
      <c r="I382" s="14">
        <v>100.91899994373097</v>
      </c>
      <c r="J382" s="14">
        <v>310.74245941100014</v>
      </c>
      <c r="K382" s="14">
        <v>794.4831284450803</v>
      </c>
      <c r="L382" s="14">
        <v>725.68318779549259</v>
      </c>
      <c r="M382" s="14">
        <v>22.256099878339199</v>
      </c>
      <c r="N382" s="14">
        <v>872.28001834617965</v>
      </c>
    </row>
    <row r="383" spans="1:14" x14ac:dyDescent="0.3">
      <c r="A383" s="3" t="str">
        <f>INDEX('R1. Scenario specifications'!$C$11:$C$49,MATCH($B383,'R1. Scenario specifications'!$A$11:$A$49,0))</f>
        <v>Current 1.75DS, 2020 start, 'Expect the Unexpected' but with cheap EVs</v>
      </c>
      <c r="B383" s="3" t="s">
        <v>39</v>
      </c>
      <c r="C383" s="3" t="s">
        <v>66</v>
      </c>
      <c r="D383" s="14">
        <v>0.27881728888888901</v>
      </c>
      <c r="E383" s="14">
        <v>0.33361993333333301</v>
      </c>
      <c r="F383" s="14">
        <v>88.922972540092587</v>
      </c>
      <c r="G383" s="14">
        <v>53.53277898674402</v>
      </c>
      <c r="H383" s="14">
        <v>56.296130050950133</v>
      </c>
      <c r="I383" s="14">
        <v>287.17076735473643</v>
      </c>
      <c r="J383" s="14">
        <v>112.80133476820353</v>
      </c>
      <c r="K383" s="14">
        <v>266.80038233456122</v>
      </c>
      <c r="L383" s="14">
        <v>246.30121255671204</v>
      </c>
      <c r="M383" s="14">
        <v>232.61633270847582</v>
      </c>
      <c r="N383" s="14">
        <v>710.02889948581753</v>
      </c>
    </row>
    <row r="384" spans="1:14" x14ac:dyDescent="0.3">
      <c r="A384" s="3" t="str">
        <f>INDEX('R1. Scenario specifications'!$C$11:$C$49,MATCH($B384,'R1. Scenario specifications'!$A$11:$A$49,0))</f>
        <v>Current 1.75DS, 2020 start, 'Expect the Unexpected' but with cheap EVs</v>
      </c>
      <c r="B384" s="3" t="s">
        <v>39</v>
      </c>
      <c r="C384" s="3" t="s">
        <v>67</v>
      </c>
      <c r="D384" s="14">
        <v>154.73557777463142</v>
      </c>
      <c r="E384" s="14">
        <v>162.76418662806225</v>
      </c>
      <c r="F384" s="14">
        <v>90.613637816084008</v>
      </c>
      <c r="G384" s="14">
        <v>284.36881735241178</v>
      </c>
      <c r="H384" s="14">
        <v>254.07498437610474</v>
      </c>
      <c r="I384" s="14">
        <v>220.17747280700655</v>
      </c>
      <c r="J384" s="14">
        <v>205.74339408747889</v>
      </c>
      <c r="K384" s="14">
        <v>664.72481832595156</v>
      </c>
      <c r="L384" s="14">
        <v>272.32093645556063</v>
      </c>
      <c r="M384" s="14">
        <v>138.35404117016986</v>
      </c>
      <c r="N384" s="14">
        <v>47.77413155815384</v>
      </c>
    </row>
    <row r="385" spans="1:14" x14ac:dyDescent="0.3">
      <c r="A385" s="3" t="str">
        <f>INDEX('R1. Scenario specifications'!$C$11:$C$49,MATCH($B385,'R1. Scenario specifications'!$A$11:$A$49,0))</f>
        <v>Current 1.75DS, 2020 start, 'Expect the Unexpected' but with cheap EVs</v>
      </c>
      <c r="B385" s="3" t="s">
        <v>39</v>
      </c>
      <c r="C385" s="3" t="s">
        <v>68</v>
      </c>
      <c r="D385" s="14">
        <v>0</v>
      </c>
      <c r="E385" s="14">
        <v>0</v>
      </c>
      <c r="F385" s="14">
        <v>0</v>
      </c>
      <c r="G385" s="14">
        <v>94.943116153705276</v>
      </c>
      <c r="H385" s="14">
        <v>353.72250320595703</v>
      </c>
      <c r="I385" s="14">
        <v>616.19482554036608</v>
      </c>
      <c r="J385" s="14">
        <v>151.69228358535759</v>
      </c>
      <c r="K385" s="14">
        <v>219.4004356822517</v>
      </c>
      <c r="L385" s="14">
        <v>437.7255923208557</v>
      </c>
      <c r="M385" s="14">
        <v>637.18084787932423</v>
      </c>
      <c r="N385" s="14">
        <v>0</v>
      </c>
    </row>
    <row r="386" spans="1:14" x14ac:dyDescent="0.3">
      <c r="A386" s="3" t="str">
        <f>INDEX('R1. Scenario specifications'!$C$11:$C$49,MATCH($B386,'R1. Scenario specifications'!$A$11:$A$49,0))</f>
        <v>Current 1.75DS, 2020 start, 'Expect the Unexpected' but with cheap EVs</v>
      </c>
      <c r="B386" s="3" t="s">
        <v>39</v>
      </c>
      <c r="C386" s="3" t="s">
        <v>69</v>
      </c>
      <c r="D386" s="14">
        <v>68.24730636209857</v>
      </c>
      <c r="E386" s="14">
        <v>21.625867125843534</v>
      </c>
      <c r="F386" s="14">
        <v>0.39656849116918491</v>
      </c>
      <c r="G386" s="14">
        <v>2.9777395561364202</v>
      </c>
      <c r="H386" s="14">
        <v>19.579848869290196</v>
      </c>
      <c r="I386" s="14">
        <v>1.7410519109248599</v>
      </c>
      <c r="J386" s="14">
        <v>21.342858021130276</v>
      </c>
      <c r="K386" s="14">
        <v>56.176770860561405</v>
      </c>
      <c r="L386" s="14">
        <v>65.227443157170413</v>
      </c>
      <c r="M386" s="14">
        <v>96.854107518946861</v>
      </c>
      <c r="N386" s="14">
        <v>122.4592144366099</v>
      </c>
    </row>
    <row r="387" spans="1:14" x14ac:dyDescent="0.3">
      <c r="A387" s="3" t="str">
        <f>INDEX('R1. Scenario specifications'!$C$11:$C$49,MATCH($B387,'R1. Scenario specifications'!$A$11:$A$49,0))</f>
        <v>Current 1.75DS, 2020 start, 'Expect the Unexpected' but with cheap EVs</v>
      </c>
      <c r="B387" s="3" t="s">
        <v>39</v>
      </c>
      <c r="C387" s="3" t="s">
        <v>70</v>
      </c>
      <c r="D387" s="14">
        <v>12.637708883949241</v>
      </c>
      <c r="E387" s="14">
        <v>82.719415916369499</v>
      </c>
      <c r="F387" s="14">
        <v>97.288686865313664</v>
      </c>
      <c r="G387" s="14">
        <v>737.88269430827836</v>
      </c>
      <c r="H387" s="14">
        <v>2483.9277408382845</v>
      </c>
      <c r="I387" s="14">
        <v>2327.7266922140029</v>
      </c>
      <c r="J387" s="14">
        <v>2652.3475768195804</v>
      </c>
      <c r="K387" s="14">
        <v>6782.8938398592245</v>
      </c>
      <c r="L387" s="14">
        <v>9881.2399561879956</v>
      </c>
      <c r="M387" s="14">
        <v>7214.9600778341983</v>
      </c>
      <c r="N387" s="14">
        <v>9259.9801786010103</v>
      </c>
    </row>
    <row r="388" spans="1:14" x14ac:dyDescent="0.3">
      <c r="A388" s="3" t="str">
        <f>INDEX('R1. Scenario specifications'!$C$11:$C$49,MATCH($B388,'R1. Scenario specifications'!$A$11:$A$49,0))</f>
        <v>Current 1.75DS, 2020 start, 'Expect the Unexpected' but with cheap EVs</v>
      </c>
      <c r="B388" s="3" t="s">
        <v>39</v>
      </c>
      <c r="C388" s="3" t="s">
        <v>71</v>
      </c>
      <c r="D388" s="14">
        <v>3.9388921868092472E-3</v>
      </c>
      <c r="E388" s="14">
        <v>1.0352472304670233</v>
      </c>
      <c r="F388" s="14">
        <v>1.710734171095331</v>
      </c>
      <c r="G388" s="14">
        <v>10.612638265775848</v>
      </c>
      <c r="H388" s="14">
        <v>1.4617068396369914</v>
      </c>
      <c r="I388" s="14">
        <v>5.8538553410871668</v>
      </c>
      <c r="J388" s="14">
        <v>6.6796341150064906</v>
      </c>
      <c r="K388" s="14">
        <v>3.6023938873671133</v>
      </c>
      <c r="L388" s="14">
        <v>7.2408380599952578</v>
      </c>
      <c r="M388" s="14">
        <v>10.259905183931416</v>
      </c>
      <c r="N388" s="14">
        <v>5.1984095794177474</v>
      </c>
    </row>
    <row r="389" spans="1:14" x14ac:dyDescent="0.3">
      <c r="A389" s="3" t="str">
        <f>INDEX('R1. Scenario specifications'!$C$11:$C$49,MATCH($B389,'R1. Scenario specifications'!$A$11:$A$49,0))</f>
        <v>Current 1.75DS, 2020 start, 'Expect the Unexpected' but with cheap EVs</v>
      </c>
      <c r="B389" s="3" t="s">
        <v>39</v>
      </c>
      <c r="C389" s="3" t="s">
        <v>72</v>
      </c>
      <c r="D389" s="14">
        <v>164.94116315871048</v>
      </c>
      <c r="E389" s="14">
        <v>30.000000000000007</v>
      </c>
      <c r="F389" s="14">
        <v>130.00000000000006</v>
      </c>
      <c r="G389" s="14">
        <v>1418.5164033565914</v>
      </c>
      <c r="H389" s="14">
        <v>2120.9243001885843</v>
      </c>
      <c r="I389" s="14">
        <v>2178.8100576136349</v>
      </c>
      <c r="J389" s="14">
        <v>3848.2663666660778</v>
      </c>
      <c r="K389" s="14">
        <v>5091.0850581683617</v>
      </c>
      <c r="L389" s="14">
        <v>9331.2842110840047</v>
      </c>
      <c r="M389" s="14">
        <v>10101.103387585426</v>
      </c>
      <c r="N389" s="14">
        <v>11536.030210747254</v>
      </c>
    </row>
    <row r="390" spans="1:14" x14ac:dyDescent="0.3">
      <c r="A390" s="3" t="str">
        <f>INDEX('R1. Scenario specifications'!$C$11:$C$49,MATCH($B390,'R1. Scenario specifications'!$A$11:$A$49,0))</f>
        <v>Current 1.75DS, 2030 start, 'Expect the Unexpected' but with cheap EVs</v>
      </c>
      <c r="B390" s="3" t="s">
        <v>40</v>
      </c>
      <c r="C390" s="3" t="s">
        <v>63</v>
      </c>
      <c r="D390" s="14">
        <v>0</v>
      </c>
      <c r="E390" s="14">
        <v>8.3774952878671591</v>
      </c>
      <c r="F390" s="14">
        <v>93.789531468729919</v>
      </c>
      <c r="G390" s="14">
        <v>300.17967178830617</v>
      </c>
      <c r="H390" s="14">
        <v>189.13583111855732</v>
      </c>
      <c r="I390" s="14">
        <v>43.095210009268484</v>
      </c>
      <c r="J390" s="14">
        <v>0</v>
      </c>
      <c r="K390" s="14">
        <v>0</v>
      </c>
      <c r="L390" s="14">
        <v>0</v>
      </c>
      <c r="M390" s="14">
        <v>5.2868784133656597</v>
      </c>
      <c r="N390" s="14">
        <v>0</v>
      </c>
    </row>
    <row r="391" spans="1:14" x14ac:dyDescent="0.3">
      <c r="A391" s="3" t="str">
        <f>INDEX('R1. Scenario specifications'!$C$11:$C$49,MATCH($B391,'R1. Scenario specifications'!$A$11:$A$49,0))</f>
        <v>Current 1.75DS, 2030 start, 'Expect the Unexpected' but with cheap EVs</v>
      </c>
      <c r="B391" s="3" t="s">
        <v>40</v>
      </c>
      <c r="C391" s="3" t="s">
        <v>73</v>
      </c>
      <c r="D391" s="14">
        <v>0</v>
      </c>
      <c r="E391" s="14">
        <v>0</v>
      </c>
      <c r="F391" s="14">
        <v>0</v>
      </c>
      <c r="G391" s="14">
        <v>0</v>
      </c>
      <c r="H391" s="14">
        <v>33.051066326497477</v>
      </c>
      <c r="I391" s="14">
        <v>545.01538722027158</v>
      </c>
      <c r="J391" s="14">
        <v>2413.6073331645002</v>
      </c>
      <c r="K391" s="14">
        <v>122.055726000994</v>
      </c>
      <c r="L391" s="14">
        <v>872.61930476405905</v>
      </c>
      <c r="M391" s="14">
        <v>1754.9167010704004</v>
      </c>
      <c r="N391" s="14">
        <v>1614.5467705776437</v>
      </c>
    </row>
    <row r="392" spans="1:14" x14ac:dyDescent="0.3">
      <c r="A392" s="3" t="str">
        <f>INDEX('R1. Scenario specifications'!$C$11:$C$49,MATCH($B392,'R1. Scenario specifications'!$A$11:$A$49,0))</f>
        <v>Current 1.75DS, 2030 start, 'Expect the Unexpected' but with cheap EVs</v>
      </c>
      <c r="B392" s="3" t="s">
        <v>40</v>
      </c>
      <c r="C392" s="3" t="s">
        <v>64</v>
      </c>
      <c r="D392" s="14">
        <v>545.32032761765083</v>
      </c>
      <c r="E392" s="14">
        <v>171.97506671901115</v>
      </c>
      <c r="F392" s="14">
        <v>0</v>
      </c>
      <c r="G392" s="14">
        <v>16.396787724521602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</row>
    <row r="393" spans="1:14" x14ac:dyDescent="0.3">
      <c r="A393" s="3" t="str">
        <f>INDEX('R1. Scenario specifications'!$C$11:$C$49,MATCH($B393,'R1. Scenario specifications'!$A$11:$A$49,0))</f>
        <v>Current 1.75DS, 2030 start, 'Expect the Unexpected' but with cheap EVs</v>
      </c>
      <c r="B393" s="3" t="s">
        <v>40</v>
      </c>
      <c r="C393" s="3" t="s">
        <v>65</v>
      </c>
      <c r="D393" s="14">
        <v>172.55578195052306</v>
      </c>
      <c r="E393" s="14">
        <v>625.93335166737552</v>
      </c>
      <c r="F393" s="14">
        <v>477.14024472244631</v>
      </c>
      <c r="G393" s="14">
        <v>16.783672963106241</v>
      </c>
      <c r="H393" s="14">
        <v>393.8261965680685</v>
      </c>
      <c r="I393" s="14">
        <v>380.562951442665</v>
      </c>
      <c r="J393" s="14">
        <v>91.229457890274773</v>
      </c>
      <c r="K393" s="14">
        <v>52.380605679940899</v>
      </c>
      <c r="L393" s="14">
        <v>16.3519317833983</v>
      </c>
      <c r="M393" s="14">
        <v>266.40776086700237</v>
      </c>
      <c r="N393" s="14">
        <v>12.10728639705847</v>
      </c>
    </row>
    <row r="394" spans="1:14" x14ac:dyDescent="0.3">
      <c r="A394" s="3" t="str">
        <f>INDEX('R1. Scenario specifications'!$C$11:$C$49,MATCH($B394,'R1. Scenario specifications'!$A$11:$A$49,0))</f>
        <v>Current 1.75DS, 2030 start, 'Expect the Unexpected' but with cheap EVs</v>
      </c>
      <c r="B394" s="3" t="s">
        <v>40</v>
      </c>
      <c r="C394" s="3" t="s">
        <v>74</v>
      </c>
      <c r="D394" s="14">
        <v>0</v>
      </c>
      <c r="E394" s="14">
        <v>0</v>
      </c>
      <c r="F394" s="14">
        <v>0</v>
      </c>
      <c r="G394" s="14">
        <v>0</v>
      </c>
      <c r="H394" s="14">
        <v>1.1069172668694101</v>
      </c>
      <c r="I394" s="14">
        <v>19.460263888769791</v>
      </c>
      <c r="J394" s="14">
        <v>153.8380164473283</v>
      </c>
      <c r="K394" s="14">
        <v>825.09593232791178</v>
      </c>
      <c r="L394" s="14">
        <v>429.31729225178128</v>
      </c>
      <c r="M394" s="14">
        <v>249.9127333402414</v>
      </c>
      <c r="N394" s="14">
        <v>729.95242986432095</v>
      </c>
    </row>
    <row r="395" spans="1:14" x14ac:dyDescent="0.3">
      <c r="A395" s="3" t="str">
        <f>INDEX('R1. Scenario specifications'!$C$11:$C$49,MATCH($B395,'R1. Scenario specifications'!$A$11:$A$49,0))</f>
        <v>Current 1.75DS, 2030 start, 'Expect the Unexpected' but with cheap EVs</v>
      </c>
      <c r="B395" s="3" t="s">
        <v>40</v>
      </c>
      <c r="C395" s="3" t="s">
        <v>66</v>
      </c>
      <c r="D395" s="14">
        <v>0.27881728888888901</v>
      </c>
      <c r="E395" s="14">
        <v>0.33361993333333301</v>
      </c>
      <c r="F395" s="14">
        <v>88.922972540092587</v>
      </c>
      <c r="G395" s="14">
        <v>53.162220652850131</v>
      </c>
      <c r="H395" s="14">
        <v>157.3432976323879</v>
      </c>
      <c r="I395" s="14">
        <v>414.14018371245089</v>
      </c>
      <c r="J395" s="14">
        <v>79.106237832129921</v>
      </c>
      <c r="K395" s="14">
        <v>50.506529352466792</v>
      </c>
      <c r="L395" s="14">
        <v>391.248156187115</v>
      </c>
      <c r="M395" s="14">
        <v>189.57911122976074</v>
      </c>
      <c r="N395" s="14">
        <v>1447.0943665568116</v>
      </c>
    </row>
    <row r="396" spans="1:14" x14ac:dyDescent="0.3">
      <c r="A396" s="3" t="str">
        <f>INDEX('R1. Scenario specifications'!$C$11:$C$49,MATCH($B396,'R1. Scenario specifications'!$A$11:$A$49,0))</f>
        <v>Current 1.75DS, 2030 start, 'Expect the Unexpected' but with cheap EVs</v>
      </c>
      <c r="B396" s="3" t="s">
        <v>40</v>
      </c>
      <c r="C396" s="3" t="s">
        <v>67</v>
      </c>
      <c r="D396" s="14">
        <v>154.73557777463142</v>
      </c>
      <c r="E396" s="14">
        <v>162.76418662806225</v>
      </c>
      <c r="F396" s="14">
        <v>90.613637816084008</v>
      </c>
      <c r="G396" s="14">
        <v>132.60270357542757</v>
      </c>
      <c r="H396" s="14">
        <v>674.5544656975992</v>
      </c>
      <c r="I396" s="14">
        <v>412.82492776387937</v>
      </c>
      <c r="J396" s="14">
        <v>115.86454065273229</v>
      </c>
      <c r="K396" s="14">
        <v>394.26505398792665</v>
      </c>
      <c r="L396" s="14">
        <v>235.43611406508117</v>
      </c>
      <c r="M396" s="14">
        <v>88.275806245679291</v>
      </c>
      <c r="N396" s="14">
        <v>35.6756728303966</v>
      </c>
    </row>
    <row r="397" spans="1:14" x14ac:dyDescent="0.3">
      <c r="A397" s="3" t="str">
        <f>INDEX('R1. Scenario specifications'!$C$11:$C$49,MATCH($B397,'R1. Scenario specifications'!$A$11:$A$49,0))</f>
        <v>Current 1.75DS, 2030 start, 'Expect the Unexpected' but with cheap EVs</v>
      </c>
      <c r="B397" s="3" t="s">
        <v>40</v>
      </c>
      <c r="C397" s="3" t="s">
        <v>68</v>
      </c>
      <c r="D397" s="14">
        <v>0</v>
      </c>
      <c r="E397" s="14">
        <v>0</v>
      </c>
      <c r="F397" s="14">
        <v>0</v>
      </c>
      <c r="G397" s="14">
        <v>22.553218427439354</v>
      </c>
      <c r="H397" s="14">
        <v>443.38931616917733</v>
      </c>
      <c r="I397" s="14">
        <v>635.02784305663943</v>
      </c>
      <c r="J397" s="14">
        <v>90.405459387940198</v>
      </c>
      <c r="K397" s="14">
        <v>185.86236463343548</v>
      </c>
      <c r="L397" s="14">
        <v>513.71747005081534</v>
      </c>
      <c r="M397" s="14">
        <v>657.18555611530826</v>
      </c>
      <c r="N397" s="14">
        <v>0</v>
      </c>
    </row>
    <row r="398" spans="1:14" x14ac:dyDescent="0.3">
      <c r="A398" s="3" t="str">
        <f>INDEX('R1. Scenario specifications'!$C$11:$C$49,MATCH($B398,'R1. Scenario specifications'!$A$11:$A$49,0))</f>
        <v>Current 1.75DS, 2030 start, 'Expect the Unexpected' but with cheap EVs</v>
      </c>
      <c r="B398" s="3" t="s">
        <v>40</v>
      </c>
      <c r="C398" s="3" t="s">
        <v>69</v>
      </c>
      <c r="D398" s="14">
        <v>68.24730636209857</v>
      </c>
      <c r="E398" s="14">
        <v>21.625867125843534</v>
      </c>
      <c r="F398" s="14">
        <v>0.39656849116918491</v>
      </c>
      <c r="G398" s="14">
        <v>4.39481081527373</v>
      </c>
      <c r="H398" s="14">
        <v>14.492559891982747</v>
      </c>
      <c r="I398" s="14">
        <v>0</v>
      </c>
      <c r="J398" s="14">
        <v>12.5966429777164</v>
      </c>
      <c r="K398" s="14">
        <v>65.527407409514367</v>
      </c>
      <c r="L398" s="14">
        <v>34.601752808238359</v>
      </c>
      <c r="M398" s="14">
        <v>62.515818657086299</v>
      </c>
      <c r="N398" s="14">
        <v>98.425877923960797</v>
      </c>
    </row>
    <row r="399" spans="1:14" x14ac:dyDescent="0.3">
      <c r="A399" s="3" t="str">
        <f>INDEX('R1. Scenario specifications'!$C$11:$C$49,MATCH($B399,'R1. Scenario specifications'!$A$11:$A$49,0))</f>
        <v>Current 1.75DS, 2030 start, 'Expect the Unexpected' but with cheap EVs</v>
      </c>
      <c r="B399" s="3" t="s">
        <v>40</v>
      </c>
      <c r="C399" s="3" t="s">
        <v>70</v>
      </c>
      <c r="D399" s="14">
        <v>12.637708883949241</v>
      </c>
      <c r="E399" s="14">
        <v>82.719415916369499</v>
      </c>
      <c r="F399" s="14">
        <v>97.288686865313664</v>
      </c>
      <c r="G399" s="14">
        <v>401.65756364057171</v>
      </c>
      <c r="H399" s="14">
        <v>1940.623318419965</v>
      </c>
      <c r="I399" s="14">
        <v>3594.2895070802169</v>
      </c>
      <c r="J399" s="14">
        <v>4328.7718335798199</v>
      </c>
      <c r="K399" s="14">
        <v>5553.4795004017942</v>
      </c>
      <c r="L399" s="14">
        <v>8558.0127609453066</v>
      </c>
      <c r="M399" s="14">
        <v>8231.6972741384288</v>
      </c>
      <c r="N399" s="14">
        <v>8552.5620753578805</v>
      </c>
    </row>
    <row r="400" spans="1:14" x14ac:dyDescent="0.3">
      <c r="A400" s="3" t="str">
        <f>INDEX('R1. Scenario specifications'!$C$11:$C$49,MATCH($B400,'R1. Scenario specifications'!$A$11:$A$49,0))</f>
        <v>Current 1.75DS, 2030 start, 'Expect the Unexpected' but with cheap EVs</v>
      </c>
      <c r="B400" s="3" t="s">
        <v>40</v>
      </c>
      <c r="C400" s="3" t="s">
        <v>71</v>
      </c>
      <c r="D400" s="14">
        <v>3.9388921868092472E-3</v>
      </c>
      <c r="E400" s="14">
        <v>1.0352472304670233</v>
      </c>
      <c r="F400" s="14">
        <v>1.710734171095331</v>
      </c>
      <c r="G400" s="14">
        <v>10.613038269375846</v>
      </c>
      <c r="H400" s="14">
        <v>1.6471765923021378</v>
      </c>
      <c r="I400" s="14">
        <v>6.5635584138142473</v>
      </c>
      <c r="J400" s="14">
        <v>11.072743692381072</v>
      </c>
      <c r="K400" s="14">
        <v>3.8486386142159614</v>
      </c>
      <c r="L400" s="14">
        <v>8.7551464566127208</v>
      </c>
      <c r="M400" s="14">
        <v>8.9231867955254813</v>
      </c>
      <c r="N400" s="14">
        <v>6.0013311149546844</v>
      </c>
    </row>
    <row r="401" spans="1:14" x14ac:dyDescent="0.3">
      <c r="A401" s="3" t="str">
        <f>INDEX('R1. Scenario specifications'!$C$11:$C$49,MATCH($B401,'R1. Scenario specifications'!$A$11:$A$49,0))</f>
        <v>Current 1.75DS, 2030 start, 'Expect the Unexpected' but with cheap EVs</v>
      </c>
      <c r="B401" s="3" t="s">
        <v>40</v>
      </c>
      <c r="C401" s="3" t="s">
        <v>72</v>
      </c>
      <c r="D401" s="14">
        <v>164.94116315871048</v>
      </c>
      <c r="E401" s="14">
        <v>30.000000000000007</v>
      </c>
      <c r="F401" s="14">
        <v>130.00000000000006</v>
      </c>
      <c r="G401" s="14">
        <v>1203.724349327679</v>
      </c>
      <c r="H401" s="14">
        <v>2341.3409057632362</v>
      </c>
      <c r="I401" s="14">
        <v>2439.6453612826126</v>
      </c>
      <c r="J401" s="14">
        <v>5501.4647105024287</v>
      </c>
      <c r="K401" s="14">
        <v>3732.8498608110426</v>
      </c>
      <c r="L401" s="14">
        <v>8719.6941450585728</v>
      </c>
      <c r="M401" s="14">
        <v>10177.967594880531</v>
      </c>
      <c r="N401" s="14">
        <v>11025.037794283109</v>
      </c>
    </row>
    <row r="402" spans="1:14" x14ac:dyDescent="0.3">
      <c r="A402" s="3" t="str">
        <f>INDEX('R1. Scenario specifications'!$C$11:$C$49,MATCH($B402,'R1. Scenario specifications'!$A$11:$A$49,0))</f>
        <v>Current 1.75DS, 2020 start, 'Expect the Unexpected' but with cheap energy efficiency</v>
      </c>
      <c r="B402" s="3" t="s">
        <v>41</v>
      </c>
      <c r="C402" s="3" t="s">
        <v>63</v>
      </c>
      <c r="D402" s="14">
        <v>0</v>
      </c>
      <c r="E402" s="14">
        <v>8.3774952878671591</v>
      </c>
      <c r="F402" s="14">
        <v>93.789531468729919</v>
      </c>
      <c r="G402" s="14">
        <v>364.38260736060153</v>
      </c>
      <c r="H402" s="14">
        <v>63.562361547424089</v>
      </c>
      <c r="I402" s="14">
        <v>46.131845305489442</v>
      </c>
      <c r="J402" s="14">
        <v>0</v>
      </c>
      <c r="K402" s="14">
        <v>2.8194301169650999</v>
      </c>
      <c r="L402" s="14">
        <v>1.54093581162842</v>
      </c>
      <c r="M402" s="14">
        <v>0</v>
      </c>
      <c r="N402" s="14">
        <v>4.4569933307477703</v>
      </c>
    </row>
    <row r="403" spans="1:14" x14ac:dyDescent="0.3">
      <c r="A403" s="3" t="str">
        <f>INDEX('R1. Scenario specifications'!$C$11:$C$49,MATCH($B403,'R1. Scenario specifications'!$A$11:$A$49,0))</f>
        <v>Current 1.75DS, 2020 start, 'Expect the Unexpected' but with cheap energy efficiency</v>
      </c>
      <c r="B403" s="3" t="s">
        <v>41</v>
      </c>
      <c r="C403" s="3" t="s">
        <v>73</v>
      </c>
      <c r="D403" s="14">
        <v>0</v>
      </c>
      <c r="E403" s="14">
        <v>0</v>
      </c>
      <c r="F403" s="14">
        <v>0</v>
      </c>
      <c r="G403" s="14">
        <v>21.219608231551021</v>
      </c>
      <c r="H403" s="14">
        <v>97.90999380867531</v>
      </c>
      <c r="I403" s="14">
        <v>427.85350988243107</v>
      </c>
      <c r="J403" s="14">
        <v>1311.7387560647428</v>
      </c>
      <c r="K403" s="14">
        <v>654.75148970242992</v>
      </c>
      <c r="L403" s="14">
        <v>956.26123128299901</v>
      </c>
      <c r="M403" s="14">
        <v>1574.0555942966628</v>
      </c>
      <c r="N403" s="14">
        <v>1011.0633938818495</v>
      </c>
    </row>
    <row r="404" spans="1:14" x14ac:dyDescent="0.3">
      <c r="A404" s="3" t="str">
        <f>INDEX('R1. Scenario specifications'!$C$11:$C$49,MATCH($B404,'R1. Scenario specifications'!$A$11:$A$49,0))</f>
        <v>Current 1.75DS, 2020 start, 'Expect the Unexpected' but with cheap energy efficiency</v>
      </c>
      <c r="B404" s="3" t="s">
        <v>41</v>
      </c>
      <c r="C404" s="3" t="s">
        <v>64</v>
      </c>
      <c r="D404" s="14">
        <v>545.32032761765083</v>
      </c>
      <c r="E404" s="14">
        <v>171.97506671901115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</row>
    <row r="405" spans="1:14" x14ac:dyDescent="0.3">
      <c r="A405" s="3" t="str">
        <f>INDEX('R1. Scenario specifications'!$C$11:$C$49,MATCH($B405,'R1. Scenario specifications'!$A$11:$A$49,0))</f>
        <v>Current 1.75DS, 2020 start, 'Expect the Unexpected' but with cheap energy efficiency</v>
      </c>
      <c r="B405" s="3" t="s">
        <v>41</v>
      </c>
      <c r="C405" s="3" t="s">
        <v>65</v>
      </c>
      <c r="D405" s="14">
        <v>172.55578195052306</v>
      </c>
      <c r="E405" s="14">
        <v>625.93335166737552</v>
      </c>
      <c r="F405" s="14">
        <v>477.14024472244631</v>
      </c>
      <c r="G405" s="14">
        <v>23.775605195709851</v>
      </c>
      <c r="H405" s="14">
        <v>153.21154488704269</v>
      </c>
      <c r="I405" s="14">
        <v>389.55491124844326</v>
      </c>
      <c r="J405" s="14">
        <v>106.06491440479917</v>
      </c>
      <c r="K405" s="14">
        <v>79.094671185327897</v>
      </c>
      <c r="L405" s="14">
        <v>17.607216536782815</v>
      </c>
      <c r="M405" s="14">
        <v>121.82963367749619</v>
      </c>
      <c r="N405" s="14">
        <v>137.7115454900607</v>
      </c>
    </row>
    <row r="406" spans="1:14" x14ac:dyDescent="0.3">
      <c r="A406" s="3" t="str">
        <f>INDEX('R1. Scenario specifications'!$C$11:$C$49,MATCH($B406,'R1. Scenario specifications'!$A$11:$A$49,0))</f>
        <v>Current 1.75DS, 2020 start, 'Expect the Unexpected' but with cheap energy efficiency</v>
      </c>
      <c r="B406" s="3" t="s">
        <v>41</v>
      </c>
      <c r="C406" s="3" t="s">
        <v>74</v>
      </c>
      <c r="D406" s="14">
        <v>0</v>
      </c>
      <c r="E406" s="14">
        <v>0</v>
      </c>
      <c r="F406" s="14">
        <v>0</v>
      </c>
      <c r="G406" s="14">
        <v>4.7689293862533101E-2</v>
      </c>
      <c r="H406" s="14">
        <v>1.6451816916586499</v>
      </c>
      <c r="I406" s="14">
        <v>19.288179946913999</v>
      </c>
      <c r="J406" s="14">
        <v>44.006714335528301</v>
      </c>
      <c r="K406" s="14">
        <v>125.63333014093121</v>
      </c>
      <c r="L406" s="14">
        <v>448.82859062164755</v>
      </c>
      <c r="M406" s="14">
        <v>20.885461455555099</v>
      </c>
      <c r="N406" s="14">
        <v>70.888352473840499</v>
      </c>
    </row>
    <row r="407" spans="1:14" x14ac:dyDescent="0.3">
      <c r="A407" s="3" t="str">
        <f>INDEX('R1. Scenario specifications'!$C$11:$C$49,MATCH($B407,'R1. Scenario specifications'!$A$11:$A$49,0))</f>
        <v>Current 1.75DS, 2020 start, 'Expect the Unexpected' but with cheap energy efficiency</v>
      </c>
      <c r="B407" s="3" t="s">
        <v>41</v>
      </c>
      <c r="C407" s="3" t="s">
        <v>66</v>
      </c>
      <c r="D407" s="14">
        <v>0.27881728888888901</v>
      </c>
      <c r="E407" s="14">
        <v>0.33361993333333301</v>
      </c>
      <c r="F407" s="14">
        <v>88.922972540092587</v>
      </c>
      <c r="G407" s="14">
        <v>53.53277898674402</v>
      </c>
      <c r="H407" s="14">
        <v>56.666288384844016</v>
      </c>
      <c r="I407" s="14">
        <v>107.75591416563876</v>
      </c>
      <c r="J407" s="14">
        <v>79.079776086078255</v>
      </c>
      <c r="K407" s="14">
        <v>332.86714129686789</v>
      </c>
      <c r="L407" s="14">
        <v>150.14222364924549</v>
      </c>
      <c r="M407" s="14">
        <v>50.770057767988035</v>
      </c>
      <c r="N407" s="14">
        <v>600.05857310421425</v>
      </c>
    </row>
    <row r="408" spans="1:14" x14ac:dyDescent="0.3">
      <c r="A408" s="3" t="str">
        <f>INDEX('R1. Scenario specifications'!$C$11:$C$49,MATCH($B408,'R1. Scenario specifications'!$A$11:$A$49,0))</f>
        <v>Current 1.75DS, 2020 start, 'Expect the Unexpected' but with cheap energy efficiency</v>
      </c>
      <c r="B408" s="3" t="s">
        <v>41</v>
      </c>
      <c r="C408" s="3" t="s">
        <v>67</v>
      </c>
      <c r="D408" s="14">
        <v>154.73557777463142</v>
      </c>
      <c r="E408" s="14">
        <v>162.76418662806225</v>
      </c>
      <c r="F408" s="14">
        <v>90.613637816084008</v>
      </c>
      <c r="G408" s="14">
        <v>204.33024605906186</v>
      </c>
      <c r="H408" s="14">
        <v>216.13781837712574</v>
      </c>
      <c r="I408" s="14">
        <v>127.67551509061643</v>
      </c>
      <c r="J408" s="14">
        <v>110.79590151317871</v>
      </c>
      <c r="K408" s="14">
        <v>540.67621893958597</v>
      </c>
      <c r="L408" s="14">
        <v>293.51731989328744</v>
      </c>
      <c r="M408" s="14">
        <v>86.401285451047542</v>
      </c>
      <c r="N408" s="14">
        <v>45.347866971518528</v>
      </c>
    </row>
    <row r="409" spans="1:14" x14ac:dyDescent="0.3">
      <c r="A409" s="3" t="str">
        <f>INDEX('R1. Scenario specifications'!$C$11:$C$49,MATCH($B409,'R1. Scenario specifications'!$A$11:$A$49,0))</f>
        <v>Current 1.75DS, 2020 start, 'Expect the Unexpected' but with cheap energy efficiency</v>
      </c>
      <c r="B409" s="3" t="s">
        <v>41</v>
      </c>
      <c r="C409" s="3" t="s">
        <v>68</v>
      </c>
      <c r="D409" s="14">
        <v>0</v>
      </c>
      <c r="E409" s="14">
        <v>0</v>
      </c>
      <c r="F409" s="14">
        <v>0</v>
      </c>
      <c r="G409" s="14">
        <v>88.898394766516461</v>
      </c>
      <c r="H409" s="14">
        <v>260.77518926240424</v>
      </c>
      <c r="I409" s="14">
        <v>564.40512717190302</v>
      </c>
      <c r="J409" s="14">
        <v>130.37876355231145</v>
      </c>
      <c r="K409" s="14">
        <v>362.79410239131323</v>
      </c>
      <c r="L409" s="14">
        <v>351.18586108834126</v>
      </c>
      <c r="M409" s="14">
        <v>614.18415235965995</v>
      </c>
      <c r="N409" s="14">
        <v>0</v>
      </c>
    </row>
    <row r="410" spans="1:14" x14ac:dyDescent="0.3">
      <c r="A410" s="3" t="str">
        <f>INDEX('R1. Scenario specifications'!$C$11:$C$49,MATCH($B410,'R1. Scenario specifications'!$A$11:$A$49,0))</f>
        <v>Current 1.75DS, 2020 start, 'Expect the Unexpected' but with cheap energy efficiency</v>
      </c>
      <c r="B410" s="3" t="s">
        <v>41</v>
      </c>
      <c r="C410" s="3" t="s">
        <v>69</v>
      </c>
      <c r="D410" s="14">
        <v>68.24730636209857</v>
      </c>
      <c r="E410" s="14">
        <v>21.625867125843534</v>
      </c>
      <c r="F410" s="14">
        <v>0.39656849116918491</v>
      </c>
      <c r="G410" s="14">
        <v>2.1951296070698501</v>
      </c>
      <c r="H410" s="14">
        <v>16.698207598475722</v>
      </c>
      <c r="I410" s="14">
        <v>1.6315295759217601</v>
      </c>
      <c r="J410" s="14">
        <v>16.932763962037601</v>
      </c>
      <c r="K410" s="14">
        <v>30.297916393239429</v>
      </c>
      <c r="L410" s="14">
        <v>35.22819487583417</v>
      </c>
      <c r="M410" s="14">
        <v>61.365638193622765</v>
      </c>
      <c r="N410" s="14">
        <v>95.826074558307283</v>
      </c>
    </row>
    <row r="411" spans="1:14" x14ac:dyDescent="0.3">
      <c r="A411" s="3" t="str">
        <f>INDEX('R1. Scenario specifications'!$C$11:$C$49,MATCH($B411,'R1. Scenario specifications'!$A$11:$A$49,0))</f>
        <v>Current 1.75DS, 2020 start, 'Expect the Unexpected' but with cheap energy efficiency</v>
      </c>
      <c r="B411" s="3" t="s">
        <v>41</v>
      </c>
      <c r="C411" s="3" t="s">
        <v>70</v>
      </c>
      <c r="D411" s="14">
        <v>12.637708883949241</v>
      </c>
      <c r="E411" s="14">
        <v>82.719415916369499</v>
      </c>
      <c r="F411" s="14">
        <v>97.288686865313664</v>
      </c>
      <c r="G411" s="14">
        <v>716.79467102114563</v>
      </c>
      <c r="H411" s="14">
        <v>2297.1036855462035</v>
      </c>
      <c r="I411" s="14">
        <v>2087.0776234534742</v>
      </c>
      <c r="J411" s="14">
        <v>2393.8554773065525</v>
      </c>
      <c r="K411" s="14">
        <v>5415.8269837057169</v>
      </c>
      <c r="L411" s="14">
        <v>7069.2972484009952</v>
      </c>
      <c r="M411" s="14">
        <v>6066.9753566257323</v>
      </c>
      <c r="N411" s="14">
        <v>8788.0786206179946</v>
      </c>
    </row>
    <row r="412" spans="1:14" x14ac:dyDescent="0.3">
      <c r="A412" s="3" t="str">
        <f>INDEX('R1. Scenario specifications'!$C$11:$C$49,MATCH($B412,'R1. Scenario specifications'!$A$11:$A$49,0))</f>
        <v>Current 1.75DS, 2020 start, 'Expect the Unexpected' but with cheap energy efficiency</v>
      </c>
      <c r="B412" s="3" t="s">
        <v>41</v>
      </c>
      <c r="C412" s="3" t="s">
        <v>71</v>
      </c>
      <c r="D412" s="14">
        <v>3.9388921868092472E-3</v>
      </c>
      <c r="E412" s="14">
        <v>1.0352472304670233</v>
      </c>
      <c r="F412" s="14">
        <v>1.710734171095331</v>
      </c>
      <c r="G412" s="14">
        <v>10.612638265775848</v>
      </c>
      <c r="H412" s="14">
        <v>1.4617068396369914</v>
      </c>
      <c r="I412" s="14">
        <v>5.6657599553605813</v>
      </c>
      <c r="J412" s="14">
        <v>6.6796341150064906</v>
      </c>
      <c r="K412" s="14">
        <v>3.5197611460406142</v>
      </c>
      <c r="L412" s="14">
        <v>7.1353754155951723</v>
      </c>
      <c r="M412" s="14">
        <v>5.2890609566882851</v>
      </c>
      <c r="N412" s="14">
        <v>5.1057473657152972</v>
      </c>
    </row>
    <row r="413" spans="1:14" x14ac:dyDescent="0.3">
      <c r="A413" s="3" t="str">
        <f>INDEX('R1. Scenario specifications'!$C$11:$C$49,MATCH($B413,'R1. Scenario specifications'!$A$11:$A$49,0))</f>
        <v>Current 1.75DS, 2020 start, 'Expect the Unexpected' but with cheap energy efficiency</v>
      </c>
      <c r="B413" s="3" t="s">
        <v>41</v>
      </c>
      <c r="C413" s="3" t="s">
        <v>72</v>
      </c>
      <c r="D413" s="14">
        <v>164.94116315871048</v>
      </c>
      <c r="E413" s="14">
        <v>30.000000000000007</v>
      </c>
      <c r="F413" s="14">
        <v>130.00000000000006</v>
      </c>
      <c r="G413" s="14">
        <v>1422.1710451263793</v>
      </c>
      <c r="H413" s="14">
        <v>1980.312706646901</v>
      </c>
      <c r="I413" s="14">
        <v>1823.0836048057579</v>
      </c>
      <c r="J413" s="14">
        <v>2934.5566023749843</v>
      </c>
      <c r="K413" s="14">
        <v>4263.7581477749773</v>
      </c>
      <c r="L413" s="14">
        <v>7182.9863221768146</v>
      </c>
      <c r="M413" s="14">
        <v>7868.8664503887248</v>
      </c>
      <c r="N413" s="14">
        <v>10072.881995555741</v>
      </c>
    </row>
    <row r="414" spans="1:14" x14ac:dyDescent="0.3">
      <c r="A414" s="3" t="str">
        <f>INDEX('R1. Scenario specifications'!$C$11:$C$49,MATCH($B414,'R1. Scenario specifications'!$A$11:$A$49,0))</f>
        <v>Current 1.75DS, 2030 start, 'Expect the Unexpected' but with cheap energy efficiency</v>
      </c>
      <c r="B414" s="3" t="s">
        <v>42</v>
      </c>
      <c r="C414" s="3" t="s">
        <v>63</v>
      </c>
      <c r="D414" s="14">
        <v>0</v>
      </c>
      <c r="E414" s="14">
        <v>8.3774952878671591</v>
      </c>
      <c r="F414" s="14">
        <v>93.789531468729919</v>
      </c>
      <c r="G414" s="14">
        <v>300.17967178830617</v>
      </c>
      <c r="H414" s="14">
        <v>156.47903763672548</v>
      </c>
      <c r="I414" s="14">
        <v>8.3028878335569605</v>
      </c>
      <c r="J414" s="14">
        <v>0</v>
      </c>
      <c r="K414" s="14">
        <v>0</v>
      </c>
      <c r="L414" s="14">
        <v>0</v>
      </c>
      <c r="M414" s="14">
        <v>6.1561760877276104</v>
      </c>
      <c r="N414" s="14">
        <v>0</v>
      </c>
    </row>
    <row r="415" spans="1:14" x14ac:dyDescent="0.3">
      <c r="A415" s="3" t="str">
        <f>INDEX('R1. Scenario specifications'!$C$11:$C$49,MATCH($B415,'R1. Scenario specifications'!$A$11:$A$49,0))</f>
        <v>Current 1.75DS, 2030 start, 'Expect the Unexpected' but with cheap energy efficiency</v>
      </c>
      <c r="B415" s="3" t="s">
        <v>42</v>
      </c>
      <c r="C415" s="3" t="s">
        <v>73</v>
      </c>
      <c r="D415" s="14">
        <v>0</v>
      </c>
      <c r="E415" s="14">
        <v>0</v>
      </c>
      <c r="F415" s="14">
        <v>0</v>
      </c>
      <c r="G415" s="14">
        <v>0</v>
      </c>
      <c r="H415" s="14">
        <v>33.051066326497484</v>
      </c>
      <c r="I415" s="14">
        <v>431.39181573168963</v>
      </c>
      <c r="J415" s="14">
        <v>1980.0067243970234</v>
      </c>
      <c r="K415" s="14">
        <v>22.635034473233091</v>
      </c>
      <c r="L415" s="14">
        <v>1007.5657799150837</v>
      </c>
      <c r="M415" s="14">
        <v>1877.0444929226214</v>
      </c>
      <c r="N415" s="14">
        <v>817.87442439948268</v>
      </c>
    </row>
    <row r="416" spans="1:14" x14ac:dyDescent="0.3">
      <c r="A416" s="3" t="str">
        <f>INDEX('R1. Scenario specifications'!$C$11:$C$49,MATCH($B416,'R1. Scenario specifications'!$A$11:$A$49,0))</f>
        <v>Current 1.75DS, 2030 start, 'Expect the Unexpected' but with cheap energy efficiency</v>
      </c>
      <c r="B416" s="3" t="s">
        <v>42</v>
      </c>
      <c r="C416" s="3" t="s">
        <v>64</v>
      </c>
      <c r="D416" s="14">
        <v>545.32032761765083</v>
      </c>
      <c r="E416" s="14">
        <v>171.97506671901115</v>
      </c>
      <c r="F416" s="14">
        <v>0</v>
      </c>
      <c r="G416" s="14">
        <v>16.396787724521602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</row>
    <row r="417" spans="1:14" x14ac:dyDescent="0.3">
      <c r="A417" s="3" t="str">
        <f>INDEX('R1. Scenario specifications'!$C$11:$C$49,MATCH($B417,'R1. Scenario specifications'!$A$11:$A$49,0))</f>
        <v>Current 1.75DS, 2030 start, 'Expect the Unexpected' but with cheap energy efficiency</v>
      </c>
      <c r="B417" s="3" t="s">
        <v>42</v>
      </c>
      <c r="C417" s="3" t="s">
        <v>65</v>
      </c>
      <c r="D417" s="14">
        <v>172.55578195052306</v>
      </c>
      <c r="E417" s="14">
        <v>625.93335166737552</v>
      </c>
      <c r="F417" s="14">
        <v>477.14024472244631</v>
      </c>
      <c r="G417" s="14">
        <v>16.783672963106241</v>
      </c>
      <c r="H417" s="14">
        <v>187.72817209138464</v>
      </c>
      <c r="I417" s="14">
        <v>215.07308743934308</v>
      </c>
      <c r="J417" s="14">
        <v>114.34663912415787</v>
      </c>
      <c r="K417" s="14">
        <v>21.128411349877801</v>
      </c>
      <c r="L417" s="14">
        <v>60.43223022850303</v>
      </c>
      <c r="M417" s="14">
        <v>121.1243528648986</v>
      </c>
      <c r="N417" s="14">
        <v>78.244318606154849</v>
      </c>
    </row>
    <row r="418" spans="1:14" x14ac:dyDescent="0.3">
      <c r="A418" s="3" t="str">
        <f>INDEX('R1. Scenario specifications'!$C$11:$C$49,MATCH($B418,'R1. Scenario specifications'!$A$11:$A$49,0))</f>
        <v>Current 1.75DS, 2030 start, 'Expect the Unexpected' but with cheap energy efficiency</v>
      </c>
      <c r="B418" s="3" t="s">
        <v>42</v>
      </c>
      <c r="C418" s="3" t="s">
        <v>74</v>
      </c>
      <c r="D418" s="14">
        <v>0</v>
      </c>
      <c r="E418" s="14">
        <v>0</v>
      </c>
      <c r="F418" s="14">
        <v>0</v>
      </c>
      <c r="G418" s="14">
        <v>0</v>
      </c>
      <c r="H418" s="14">
        <v>1.1069172668694101</v>
      </c>
      <c r="I418" s="14">
        <v>20.523538548599781</v>
      </c>
      <c r="J418" s="14">
        <v>142.9625582142333</v>
      </c>
      <c r="K418" s="14">
        <v>0</v>
      </c>
      <c r="L418" s="14">
        <v>389.62415361829068</v>
      </c>
      <c r="M418" s="14">
        <v>178.2782422424782</v>
      </c>
      <c r="N418" s="14">
        <v>87.222600343791399</v>
      </c>
    </row>
    <row r="419" spans="1:14" x14ac:dyDescent="0.3">
      <c r="A419" s="3" t="str">
        <f>INDEX('R1. Scenario specifications'!$C$11:$C$49,MATCH($B419,'R1. Scenario specifications'!$A$11:$A$49,0))</f>
        <v>Current 1.75DS, 2030 start, 'Expect the Unexpected' but with cheap energy efficiency</v>
      </c>
      <c r="B419" s="3" t="s">
        <v>42</v>
      </c>
      <c r="C419" s="3" t="s">
        <v>66</v>
      </c>
      <c r="D419" s="14">
        <v>0.27881728888888901</v>
      </c>
      <c r="E419" s="14">
        <v>0.33361993333333301</v>
      </c>
      <c r="F419" s="14">
        <v>88.922972540092587</v>
      </c>
      <c r="G419" s="14">
        <v>53.162220652850131</v>
      </c>
      <c r="H419" s="14">
        <v>58.488836627850127</v>
      </c>
      <c r="I419" s="14">
        <v>379.00624983548505</v>
      </c>
      <c r="J419" s="14">
        <v>79.07937608607827</v>
      </c>
      <c r="K419" s="14">
        <v>15.27234142799794</v>
      </c>
      <c r="L419" s="14">
        <v>148.00658445008335</v>
      </c>
      <c r="M419" s="14">
        <v>282.62916028789806</v>
      </c>
      <c r="N419" s="14">
        <v>656.65099250218475</v>
      </c>
    </row>
    <row r="420" spans="1:14" x14ac:dyDescent="0.3">
      <c r="A420" s="3" t="str">
        <f>INDEX('R1. Scenario specifications'!$C$11:$C$49,MATCH($B420,'R1. Scenario specifications'!$A$11:$A$49,0))</f>
        <v>Current 1.75DS, 2030 start, 'Expect the Unexpected' but with cheap energy efficiency</v>
      </c>
      <c r="B420" s="3" t="s">
        <v>42</v>
      </c>
      <c r="C420" s="3" t="s">
        <v>67</v>
      </c>
      <c r="D420" s="14">
        <v>154.73557777463142</v>
      </c>
      <c r="E420" s="14">
        <v>162.76418662806225</v>
      </c>
      <c r="F420" s="14">
        <v>90.613637816084008</v>
      </c>
      <c r="G420" s="14">
        <v>132.60270357542757</v>
      </c>
      <c r="H420" s="14">
        <v>465.07174797001784</v>
      </c>
      <c r="I420" s="14">
        <v>301.01352683567603</v>
      </c>
      <c r="J420" s="14">
        <v>56.806022666694645</v>
      </c>
      <c r="K420" s="14">
        <v>225.81229964773249</v>
      </c>
      <c r="L420" s="14">
        <v>355.18009682040451</v>
      </c>
      <c r="M420" s="14">
        <v>116.63718682770542</v>
      </c>
      <c r="N420" s="14">
        <v>34.689355354058236</v>
      </c>
    </row>
    <row r="421" spans="1:14" x14ac:dyDescent="0.3">
      <c r="A421" s="3" t="str">
        <f>INDEX('R1. Scenario specifications'!$C$11:$C$49,MATCH($B421,'R1. Scenario specifications'!$A$11:$A$49,0))</f>
        <v>Current 1.75DS, 2030 start, 'Expect the Unexpected' but with cheap energy efficiency</v>
      </c>
      <c r="B421" s="3" t="s">
        <v>42</v>
      </c>
      <c r="C421" s="3" t="s">
        <v>68</v>
      </c>
      <c r="D421" s="14">
        <v>0</v>
      </c>
      <c r="E421" s="14">
        <v>0</v>
      </c>
      <c r="F421" s="14">
        <v>0</v>
      </c>
      <c r="G421" s="14">
        <v>22.553218427439354</v>
      </c>
      <c r="H421" s="14">
        <v>373.59958934344291</v>
      </c>
      <c r="I421" s="14">
        <v>688.30954886594054</v>
      </c>
      <c r="J421" s="14">
        <v>90.405459387940198</v>
      </c>
      <c r="K421" s="14">
        <v>145.47296765899659</v>
      </c>
      <c r="L421" s="14">
        <v>469.30984876720856</v>
      </c>
      <c r="M421" s="14">
        <v>758.41668477410155</v>
      </c>
      <c r="N421" s="14">
        <v>0</v>
      </c>
    </row>
    <row r="422" spans="1:14" x14ac:dyDescent="0.3">
      <c r="A422" s="3" t="str">
        <f>INDEX('R1. Scenario specifications'!$C$11:$C$49,MATCH($B422,'R1. Scenario specifications'!$A$11:$A$49,0))</f>
        <v>Current 1.75DS, 2030 start, 'Expect the Unexpected' but with cheap energy efficiency</v>
      </c>
      <c r="B422" s="3" t="s">
        <v>42</v>
      </c>
      <c r="C422" s="3" t="s">
        <v>69</v>
      </c>
      <c r="D422" s="14">
        <v>68.24730636209857</v>
      </c>
      <c r="E422" s="14">
        <v>21.625867125843534</v>
      </c>
      <c r="F422" s="14">
        <v>0.39656849116918491</v>
      </c>
      <c r="G422" s="14">
        <v>4.39481081527373</v>
      </c>
      <c r="H422" s="14">
        <v>21.926975884927145</v>
      </c>
      <c r="I422" s="14">
        <v>1.3138336787682701</v>
      </c>
      <c r="J422" s="14">
        <v>10.1413471653195</v>
      </c>
      <c r="K422" s="14">
        <v>90.587154431168727</v>
      </c>
      <c r="L422" s="14">
        <v>38.440460061068244</v>
      </c>
      <c r="M422" s="14">
        <v>32.875109179506204</v>
      </c>
      <c r="N422" s="14">
        <v>122.44530101742592</v>
      </c>
    </row>
    <row r="423" spans="1:14" x14ac:dyDescent="0.3">
      <c r="A423" s="3" t="str">
        <f>INDEX('R1. Scenario specifications'!$C$11:$C$49,MATCH($B423,'R1. Scenario specifications'!$A$11:$A$49,0))</f>
        <v>Current 1.75DS, 2030 start, 'Expect the Unexpected' but with cheap energy efficiency</v>
      </c>
      <c r="B423" s="3" t="s">
        <v>42</v>
      </c>
      <c r="C423" s="3" t="s">
        <v>70</v>
      </c>
      <c r="D423" s="14">
        <v>12.637708883949241</v>
      </c>
      <c r="E423" s="14">
        <v>82.719415916369499</v>
      </c>
      <c r="F423" s="14">
        <v>97.288686865313664</v>
      </c>
      <c r="G423" s="14">
        <v>401.65756364057171</v>
      </c>
      <c r="H423" s="14">
        <v>1848.8523337522508</v>
      </c>
      <c r="I423" s="14">
        <v>3020.9566595687993</v>
      </c>
      <c r="J423" s="14">
        <v>3287.4508687699254</v>
      </c>
      <c r="K423" s="14">
        <v>3819.7018968573666</v>
      </c>
      <c r="L423" s="14">
        <v>6707.4794914557806</v>
      </c>
      <c r="M423" s="14">
        <v>7204.4288561678177</v>
      </c>
      <c r="N423" s="14">
        <v>6817.2787359880813</v>
      </c>
    </row>
    <row r="424" spans="1:14" x14ac:dyDescent="0.3">
      <c r="A424" s="3" t="str">
        <f>INDEX('R1. Scenario specifications'!$C$11:$C$49,MATCH($B424,'R1. Scenario specifications'!$A$11:$A$49,0))</f>
        <v>Current 1.75DS, 2030 start, 'Expect the Unexpected' but with cheap energy efficiency</v>
      </c>
      <c r="B424" s="3" t="s">
        <v>42</v>
      </c>
      <c r="C424" s="3" t="s">
        <v>71</v>
      </c>
      <c r="D424" s="14">
        <v>3.9388921868092472E-3</v>
      </c>
      <c r="E424" s="14">
        <v>1.0352472304670233</v>
      </c>
      <c r="F424" s="14">
        <v>1.710734171095331</v>
      </c>
      <c r="G424" s="14">
        <v>10.613038269375846</v>
      </c>
      <c r="H424" s="14">
        <v>1.6468770254288105</v>
      </c>
      <c r="I424" s="14">
        <v>6.5620180141363873</v>
      </c>
      <c r="J424" s="14">
        <v>11.06713038322356</v>
      </c>
      <c r="K424" s="14">
        <v>3.8031437985873202</v>
      </c>
      <c r="L424" s="14">
        <v>8.5380935647313354</v>
      </c>
      <c r="M424" s="14">
        <v>7.8731669098148167</v>
      </c>
      <c r="N424" s="14">
        <v>5.8804686124330132</v>
      </c>
    </row>
    <row r="425" spans="1:14" x14ac:dyDescent="0.3">
      <c r="A425" s="3" t="str">
        <f>INDEX('R1. Scenario specifications'!$C$11:$C$49,MATCH($B425,'R1. Scenario specifications'!$A$11:$A$49,0))</f>
        <v>Current 1.75DS, 2030 start, 'Expect the Unexpected' but with cheap energy efficiency</v>
      </c>
      <c r="B425" s="3" t="s">
        <v>42</v>
      </c>
      <c r="C425" s="3" t="s">
        <v>72</v>
      </c>
      <c r="D425" s="14">
        <v>164.94116315871048</v>
      </c>
      <c r="E425" s="14">
        <v>30.000000000000007</v>
      </c>
      <c r="F425" s="14">
        <v>130.00000000000006</v>
      </c>
      <c r="G425" s="14">
        <v>1203.724349327679</v>
      </c>
      <c r="H425" s="14">
        <v>2110.0680397751712</v>
      </c>
      <c r="I425" s="14">
        <v>1813.3206762077532</v>
      </c>
      <c r="J425" s="14">
        <v>4085.3107692530793</v>
      </c>
      <c r="K425" s="14">
        <v>2947.2395273654924</v>
      </c>
      <c r="L425" s="14">
        <v>6583.9650328033158</v>
      </c>
      <c r="M425" s="14">
        <v>8410.4637745481396</v>
      </c>
      <c r="N425" s="14">
        <v>8481.4910183871161</v>
      </c>
    </row>
    <row r="426" spans="1:14" x14ac:dyDescent="0.3">
      <c r="A426" s="3" t="str">
        <f>INDEX('R1. Scenario specifications'!$C$11:$C$49,MATCH($B426,'R1. Scenario specifications'!$A$11:$A$49,0))</f>
        <v>Current 1.75DS, 2020 start, 'Expect the Unexpected' but with most conservative biomass CCS / NET technology cost assumptions</v>
      </c>
      <c r="B426" s="3" t="s">
        <v>43</v>
      </c>
      <c r="C426" s="3" t="s">
        <v>63</v>
      </c>
      <c r="D426" s="14">
        <v>0</v>
      </c>
      <c r="E426" s="14">
        <v>8.3774952878671591</v>
      </c>
      <c r="F426" s="14">
        <v>93.789531468729919</v>
      </c>
      <c r="G426" s="14">
        <v>346.07517026410164</v>
      </c>
      <c r="H426" s="14">
        <v>25.351354870580703</v>
      </c>
      <c r="I426" s="14">
        <v>0</v>
      </c>
      <c r="J426" s="14">
        <v>1.75308983618334</v>
      </c>
      <c r="K426" s="14">
        <v>3.1138760318636001</v>
      </c>
      <c r="L426" s="14">
        <v>1.57983040433832</v>
      </c>
      <c r="M426" s="14">
        <v>1.5430624349632001</v>
      </c>
      <c r="N426" s="14">
        <v>2.8803969288956099</v>
      </c>
    </row>
    <row r="427" spans="1:14" x14ac:dyDescent="0.3">
      <c r="A427" s="3" t="str">
        <f>INDEX('R1. Scenario specifications'!$C$11:$C$49,MATCH($B427,'R1. Scenario specifications'!$A$11:$A$49,0))</f>
        <v>Current 1.75DS, 2020 start, 'Expect the Unexpected' but with most conservative biomass CCS / NET technology cost assumptions</v>
      </c>
      <c r="B427" s="3" t="s">
        <v>43</v>
      </c>
      <c r="C427" s="3" t="s">
        <v>73</v>
      </c>
      <c r="D427" s="14">
        <v>0</v>
      </c>
      <c r="E427" s="14">
        <v>0</v>
      </c>
      <c r="F427" s="14">
        <v>0</v>
      </c>
      <c r="G427" s="14">
        <v>28.883475621038773</v>
      </c>
      <c r="H427" s="14">
        <v>127.19215023426227</v>
      </c>
      <c r="I427" s="14">
        <v>516.52606696172882</v>
      </c>
      <c r="J427" s="14">
        <v>1505.128613117316</v>
      </c>
      <c r="K427" s="14">
        <v>588.26006515345102</v>
      </c>
      <c r="L427" s="14">
        <v>1069.8495996981276</v>
      </c>
      <c r="M427" s="14">
        <v>1662.5025094503824</v>
      </c>
      <c r="N427" s="14">
        <v>953.08227606075047</v>
      </c>
    </row>
    <row r="428" spans="1:14" x14ac:dyDescent="0.3">
      <c r="A428" s="3" t="str">
        <f>INDEX('R1. Scenario specifications'!$C$11:$C$49,MATCH($B428,'R1. Scenario specifications'!$A$11:$A$49,0))</f>
        <v>Current 1.75DS, 2020 start, 'Expect the Unexpected' but with most conservative biomass CCS / NET technology cost assumptions</v>
      </c>
      <c r="B428" s="3" t="s">
        <v>43</v>
      </c>
      <c r="C428" s="3" t="s">
        <v>64</v>
      </c>
      <c r="D428" s="14">
        <v>545.32032761765083</v>
      </c>
      <c r="E428" s="14">
        <v>171.97506671901115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</row>
    <row r="429" spans="1:14" x14ac:dyDescent="0.3">
      <c r="A429" s="3" t="str">
        <f>INDEX('R1. Scenario specifications'!$C$11:$C$49,MATCH($B429,'R1. Scenario specifications'!$A$11:$A$49,0))</f>
        <v>Current 1.75DS, 2020 start, 'Expect the Unexpected' but with most conservative biomass CCS / NET technology cost assumptions</v>
      </c>
      <c r="B429" s="3" t="s">
        <v>43</v>
      </c>
      <c r="C429" s="3" t="s">
        <v>65</v>
      </c>
      <c r="D429" s="14">
        <v>172.55578195052306</v>
      </c>
      <c r="E429" s="14">
        <v>625.93335166737552</v>
      </c>
      <c r="F429" s="14">
        <v>477.14024472244631</v>
      </c>
      <c r="G429" s="14">
        <v>50.128622856052573</v>
      </c>
      <c r="H429" s="14">
        <v>126.22387665572373</v>
      </c>
      <c r="I429" s="14">
        <v>601.97172395764164</v>
      </c>
      <c r="J429" s="14">
        <v>106.75632478766275</v>
      </c>
      <c r="K429" s="14">
        <v>80.317597077591387</v>
      </c>
      <c r="L429" s="14">
        <v>29.150449143357928</v>
      </c>
      <c r="M429" s="14">
        <v>188.25829105179142</v>
      </c>
      <c r="N429" s="14">
        <v>114.44029019996586</v>
      </c>
    </row>
    <row r="430" spans="1:14" x14ac:dyDescent="0.3">
      <c r="A430" s="3" t="str">
        <f>INDEX('R1. Scenario specifications'!$C$11:$C$49,MATCH($B430,'R1. Scenario specifications'!$A$11:$A$49,0))</f>
        <v>Current 1.75DS, 2020 start, 'Expect the Unexpected' but with most conservative biomass CCS / NET technology cost assumptions</v>
      </c>
      <c r="B430" s="3" t="s">
        <v>43</v>
      </c>
      <c r="C430" s="3" t="s">
        <v>74</v>
      </c>
      <c r="D430" s="14">
        <v>0</v>
      </c>
      <c r="E430" s="14">
        <v>0</v>
      </c>
      <c r="F430" s="14">
        <v>0</v>
      </c>
      <c r="G430" s="14">
        <v>2.2771989062244602</v>
      </c>
      <c r="H430" s="14">
        <v>0.53544675471543401</v>
      </c>
      <c r="I430" s="14">
        <v>165.2241306005358</v>
      </c>
      <c r="J430" s="14">
        <v>243.95379548184735</v>
      </c>
      <c r="K430" s="14">
        <v>801.28806445484884</v>
      </c>
      <c r="L430" s="14">
        <v>712.33181943533714</v>
      </c>
      <c r="M430" s="14">
        <v>16.448725638925598</v>
      </c>
      <c r="N430" s="14">
        <v>857.06939076814501</v>
      </c>
    </row>
    <row r="431" spans="1:14" x14ac:dyDescent="0.3">
      <c r="A431" s="3" t="str">
        <f>INDEX('R1. Scenario specifications'!$C$11:$C$49,MATCH($B431,'R1. Scenario specifications'!$A$11:$A$49,0))</f>
        <v>Current 1.75DS, 2020 start, 'Expect the Unexpected' but with most conservative biomass CCS / NET technology cost assumptions</v>
      </c>
      <c r="B431" s="3" t="s">
        <v>43</v>
      </c>
      <c r="C431" s="3" t="s">
        <v>66</v>
      </c>
      <c r="D431" s="14">
        <v>0.27881728888888901</v>
      </c>
      <c r="E431" s="14">
        <v>0.33361993333333301</v>
      </c>
      <c r="F431" s="14">
        <v>88.922972540092587</v>
      </c>
      <c r="G431" s="14">
        <v>53.53277898674402</v>
      </c>
      <c r="H431" s="14">
        <v>155.72608019788956</v>
      </c>
      <c r="I431" s="14">
        <v>159.21363309970917</v>
      </c>
      <c r="J431" s="14">
        <v>127.31290538281948</v>
      </c>
      <c r="K431" s="14">
        <v>268.69517571639409</v>
      </c>
      <c r="L431" s="14">
        <v>323.51859826824989</v>
      </c>
      <c r="M431" s="14">
        <v>113.65227536428046</v>
      </c>
      <c r="N431" s="14">
        <v>726.57398274492255</v>
      </c>
    </row>
    <row r="432" spans="1:14" x14ac:dyDescent="0.3">
      <c r="A432" s="3" t="str">
        <f>INDEX('R1. Scenario specifications'!$C$11:$C$49,MATCH($B432,'R1. Scenario specifications'!$A$11:$A$49,0))</f>
        <v>Current 1.75DS, 2020 start, 'Expect the Unexpected' but with most conservative biomass CCS / NET technology cost assumptions</v>
      </c>
      <c r="B432" s="3" t="s">
        <v>43</v>
      </c>
      <c r="C432" s="3" t="s">
        <v>67</v>
      </c>
      <c r="D432" s="14">
        <v>154.73557777463142</v>
      </c>
      <c r="E432" s="14">
        <v>162.76418662806225</v>
      </c>
      <c r="F432" s="14">
        <v>90.613637816084008</v>
      </c>
      <c r="G432" s="14">
        <v>309.38351931888423</v>
      </c>
      <c r="H432" s="14">
        <v>239.87036520858408</v>
      </c>
      <c r="I432" s="14">
        <v>250.22681851856203</v>
      </c>
      <c r="J432" s="14">
        <v>142.21688625492004</v>
      </c>
      <c r="K432" s="14">
        <v>674.04242495196058</v>
      </c>
      <c r="L432" s="14">
        <v>265.28308179385249</v>
      </c>
      <c r="M432" s="14">
        <v>130.0009110086863</v>
      </c>
      <c r="N432" s="14">
        <v>37.565233023442275</v>
      </c>
    </row>
    <row r="433" spans="1:14" x14ac:dyDescent="0.3">
      <c r="A433" s="3" t="str">
        <f>INDEX('R1. Scenario specifications'!$C$11:$C$49,MATCH($B433,'R1. Scenario specifications'!$A$11:$A$49,0))</f>
        <v>Current 1.75DS, 2020 start, 'Expect the Unexpected' but with most conservative biomass CCS / NET technology cost assumptions</v>
      </c>
      <c r="B433" s="3" t="s">
        <v>43</v>
      </c>
      <c r="C433" s="3" t="s">
        <v>68</v>
      </c>
      <c r="D433" s="14">
        <v>0</v>
      </c>
      <c r="E433" s="14">
        <v>0</v>
      </c>
      <c r="F433" s="14">
        <v>0</v>
      </c>
      <c r="G433" s="14">
        <v>94.943116153705176</v>
      </c>
      <c r="H433" s="14">
        <v>361.95064664055133</v>
      </c>
      <c r="I433" s="14">
        <v>602.96800116344536</v>
      </c>
      <c r="J433" s="14">
        <v>155.99053910475217</v>
      </c>
      <c r="K433" s="14">
        <v>219.50561919301148</v>
      </c>
      <c r="L433" s="14">
        <v>446.54897766762167</v>
      </c>
      <c r="M433" s="14">
        <v>618.58357291020138</v>
      </c>
      <c r="N433" s="14">
        <v>0</v>
      </c>
    </row>
    <row r="434" spans="1:14" x14ac:dyDescent="0.3">
      <c r="A434" s="3" t="str">
        <f>INDEX('R1. Scenario specifications'!$C$11:$C$49,MATCH($B434,'R1. Scenario specifications'!$A$11:$A$49,0))</f>
        <v>Current 1.75DS, 2020 start, 'Expect the Unexpected' but with most conservative biomass CCS / NET technology cost assumptions</v>
      </c>
      <c r="B434" s="3" t="s">
        <v>43</v>
      </c>
      <c r="C434" s="3" t="s">
        <v>69</v>
      </c>
      <c r="D434" s="14">
        <v>68.24730636209857</v>
      </c>
      <c r="E434" s="14">
        <v>21.625867125843534</v>
      </c>
      <c r="F434" s="14">
        <v>0.39656849116918491</v>
      </c>
      <c r="G434" s="14">
        <v>4.4312085546083999</v>
      </c>
      <c r="H434" s="14">
        <v>13.52699705942217</v>
      </c>
      <c r="I434" s="14">
        <v>2.2493696387123001</v>
      </c>
      <c r="J434" s="14">
        <v>20.956834205647858</v>
      </c>
      <c r="K434" s="14">
        <v>62.84467629830192</v>
      </c>
      <c r="L434" s="14">
        <v>39.64663125439305</v>
      </c>
      <c r="M434" s="14">
        <v>111.60074758127297</v>
      </c>
      <c r="N434" s="14">
        <v>107.6331946789214</v>
      </c>
    </row>
    <row r="435" spans="1:14" x14ac:dyDescent="0.3">
      <c r="A435" s="3" t="str">
        <f>INDEX('R1. Scenario specifications'!$C$11:$C$49,MATCH($B435,'R1. Scenario specifications'!$A$11:$A$49,0))</f>
        <v>Current 1.75DS, 2020 start, 'Expect the Unexpected' but with most conservative biomass CCS / NET technology cost assumptions</v>
      </c>
      <c r="B435" s="3" t="s">
        <v>43</v>
      </c>
      <c r="C435" s="3" t="s">
        <v>70</v>
      </c>
      <c r="D435" s="14">
        <v>12.637708883949241</v>
      </c>
      <c r="E435" s="14">
        <v>82.719415916369499</v>
      </c>
      <c r="F435" s="14">
        <v>97.288686865313664</v>
      </c>
      <c r="G435" s="14">
        <v>739.15367136288592</v>
      </c>
      <c r="H435" s="14">
        <v>2554.1818000389494</v>
      </c>
      <c r="I435" s="14">
        <v>2322.5426121738437</v>
      </c>
      <c r="J435" s="14">
        <v>2680.8603226183932</v>
      </c>
      <c r="K435" s="14">
        <v>6950.9688277685927</v>
      </c>
      <c r="L435" s="14">
        <v>9798.6566884982076</v>
      </c>
      <c r="M435" s="14">
        <v>7371.1834130553507</v>
      </c>
      <c r="N435" s="14">
        <v>9365.2848005499927</v>
      </c>
    </row>
    <row r="436" spans="1:14" x14ac:dyDescent="0.3">
      <c r="A436" s="3" t="str">
        <f>INDEX('R1. Scenario specifications'!$C$11:$C$49,MATCH($B436,'R1. Scenario specifications'!$A$11:$A$49,0))</f>
        <v>Current 1.75DS, 2020 start, 'Expect the Unexpected' but with most conservative biomass CCS / NET technology cost assumptions</v>
      </c>
      <c r="B436" s="3" t="s">
        <v>43</v>
      </c>
      <c r="C436" s="3" t="s">
        <v>71</v>
      </c>
      <c r="D436" s="14">
        <v>3.9388921868092472E-3</v>
      </c>
      <c r="E436" s="14">
        <v>1.0352472304670233</v>
      </c>
      <c r="F436" s="14">
        <v>1.710734171095331</v>
      </c>
      <c r="G436" s="14">
        <v>10.612238265775847</v>
      </c>
      <c r="H436" s="14">
        <v>1.6494022253635763</v>
      </c>
      <c r="I436" s="14">
        <v>6.5666810074602777</v>
      </c>
      <c r="J436" s="14">
        <v>6.7193637276845521</v>
      </c>
      <c r="K436" s="14">
        <v>48.280383241802461</v>
      </c>
      <c r="L436" s="14">
        <v>8.0763701896320406</v>
      </c>
      <c r="M436" s="14">
        <v>24.975258377016299</v>
      </c>
      <c r="N436" s="14">
        <v>30.615839122773988</v>
      </c>
    </row>
    <row r="437" spans="1:14" x14ac:dyDescent="0.3">
      <c r="A437" s="3" t="str">
        <f>INDEX('R1. Scenario specifications'!$C$11:$C$49,MATCH($B437,'R1. Scenario specifications'!$A$11:$A$49,0))</f>
        <v>Current 1.75DS, 2020 start, 'Expect the Unexpected' but with most conservative biomass CCS / NET technology cost assumptions</v>
      </c>
      <c r="B437" s="3" t="s">
        <v>43</v>
      </c>
      <c r="C437" s="3" t="s">
        <v>72</v>
      </c>
      <c r="D437" s="14">
        <v>164.94116315871048</v>
      </c>
      <c r="E437" s="14">
        <v>30.000000000000007</v>
      </c>
      <c r="F437" s="14">
        <v>130.00000000000006</v>
      </c>
      <c r="G437" s="14">
        <v>1508.2223158309662</v>
      </c>
      <c r="H437" s="14">
        <v>2044.9088880921681</v>
      </c>
      <c r="I437" s="14">
        <v>2311.4292707869099</v>
      </c>
      <c r="J437" s="14">
        <v>3647.9194943235138</v>
      </c>
      <c r="K437" s="14">
        <v>5102.1872452100242</v>
      </c>
      <c r="L437" s="14">
        <v>9344.0128467210961</v>
      </c>
      <c r="M437" s="14">
        <v>10069.25552436782</v>
      </c>
      <c r="N437" s="14">
        <v>11471.061693755415</v>
      </c>
    </row>
    <row r="438" spans="1:14" x14ac:dyDescent="0.3">
      <c r="A438" s="3" t="str">
        <f>INDEX('R1. Scenario specifications'!$C$11:$C$49,MATCH($B438,'R1. Scenario specifications'!$A$11:$A$49,0))</f>
        <v>Current 2DS, 2020 start, 'Expect the unexpceted' but with expensive renewables (cheap CCS)</v>
      </c>
      <c r="B438" s="3" t="s">
        <v>1026</v>
      </c>
      <c r="C438" s="3" t="s">
        <v>63</v>
      </c>
      <c r="D438" s="14">
        <v>0</v>
      </c>
      <c r="E438" s="14">
        <v>8.3774952878671591</v>
      </c>
      <c r="F438" s="14">
        <v>93.789531468729919</v>
      </c>
      <c r="G438" s="14">
        <v>394.40417051737865</v>
      </c>
      <c r="H438" s="14">
        <v>166.75701301285636</v>
      </c>
      <c r="I438" s="14">
        <v>111.98008062049811</v>
      </c>
      <c r="J438" s="14">
        <v>23.982047334576698</v>
      </c>
      <c r="K438" s="14">
        <v>2.1559973782264299</v>
      </c>
      <c r="L438" s="14">
        <v>6.4087755737199972</v>
      </c>
      <c r="M438" s="14">
        <v>5.0221984512746696</v>
      </c>
      <c r="N438" s="14">
        <v>0.130041177374497</v>
      </c>
    </row>
    <row r="439" spans="1:14" x14ac:dyDescent="0.3">
      <c r="A439" s="3" t="str">
        <f>INDEX('R1. Scenario specifications'!$C$11:$C$49,MATCH($B439,'R1. Scenario specifications'!$A$11:$A$49,0))</f>
        <v>Current 2DS, 2020 start, 'Expect the unexpceted' but with expensive renewables (cheap CCS)</v>
      </c>
      <c r="B439" s="3" t="s">
        <v>1026</v>
      </c>
      <c r="C439" s="3" t="s">
        <v>73</v>
      </c>
      <c r="D439" s="14">
        <v>0</v>
      </c>
      <c r="E439" s="14">
        <v>0</v>
      </c>
      <c r="F439" s="14">
        <v>0</v>
      </c>
      <c r="G439" s="14">
        <v>13.729503682200086</v>
      </c>
      <c r="H439" s="14">
        <v>80.372416122453131</v>
      </c>
      <c r="I439" s="14">
        <v>363.8725057545243</v>
      </c>
      <c r="J439" s="14">
        <v>1243.7743934403834</v>
      </c>
      <c r="K439" s="14">
        <v>440.12493470593404</v>
      </c>
      <c r="L439" s="14">
        <v>715.80235697441265</v>
      </c>
      <c r="M439" s="14">
        <v>1811.6763647010266</v>
      </c>
      <c r="N439" s="14">
        <v>720.54726720812539</v>
      </c>
    </row>
    <row r="440" spans="1:14" x14ac:dyDescent="0.3">
      <c r="A440" s="3" t="str">
        <f>INDEX('R1. Scenario specifications'!$C$11:$C$49,MATCH($B440,'R1. Scenario specifications'!$A$11:$A$49,0))</f>
        <v>Current 2DS, 2020 start, 'Expect the unexpceted' but with expensive renewables (cheap CCS)</v>
      </c>
      <c r="B440" s="3" t="s">
        <v>1026</v>
      </c>
      <c r="C440" s="3" t="s">
        <v>64</v>
      </c>
      <c r="D440" s="14">
        <v>545.32032761765083</v>
      </c>
      <c r="E440" s="14">
        <v>171.97506671901115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</row>
    <row r="441" spans="1:14" x14ac:dyDescent="0.3">
      <c r="A441" s="3" t="str">
        <f>INDEX('R1. Scenario specifications'!$C$11:$C$49,MATCH($B441,'R1. Scenario specifications'!$A$11:$A$49,0))</f>
        <v>Current 2DS, 2020 start, 'Expect the unexpceted' but with expensive renewables (cheap CCS)</v>
      </c>
      <c r="B441" s="3" t="s">
        <v>1026</v>
      </c>
      <c r="C441" s="3" t="s">
        <v>65</v>
      </c>
      <c r="D441" s="14">
        <v>172.55578195052306</v>
      </c>
      <c r="E441" s="14">
        <v>625.93335166737552</v>
      </c>
      <c r="F441" s="14">
        <v>477.14024472244631</v>
      </c>
      <c r="G441" s="14">
        <v>74.602823011927967</v>
      </c>
      <c r="H441" s="14">
        <v>266.42368549777785</v>
      </c>
      <c r="I441" s="14">
        <v>513.4837126347644</v>
      </c>
      <c r="J441" s="14">
        <v>353.40120136295775</v>
      </c>
      <c r="K441" s="14">
        <v>130.43544657104874</v>
      </c>
      <c r="L441" s="14">
        <v>136.08491196191895</v>
      </c>
      <c r="M441" s="14">
        <v>457.49273526722686</v>
      </c>
      <c r="N441" s="14">
        <v>264.42359882740436</v>
      </c>
    </row>
    <row r="442" spans="1:14" x14ac:dyDescent="0.3">
      <c r="A442" s="3" t="str">
        <f>INDEX('R1. Scenario specifications'!$C$11:$C$49,MATCH($B442,'R1. Scenario specifications'!$A$11:$A$49,0))</f>
        <v>Current 2DS, 2020 start, 'Expect the unexpceted' but with expensive renewables (cheap CCS)</v>
      </c>
      <c r="B442" s="3" t="s">
        <v>1026</v>
      </c>
      <c r="C442" s="3" t="s">
        <v>74</v>
      </c>
      <c r="D442" s="14">
        <v>0</v>
      </c>
      <c r="E442" s="14">
        <v>0</v>
      </c>
      <c r="F442" s="14">
        <v>0</v>
      </c>
      <c r="G442" s="14">
        <v>17.298777480283785</v>
      </c>
      <c r="H442" s="14">
        <v>6.24173942564423</v>
      </c>
      <c r="I442" s="14">
        <v>34.536877412295304</v>
      </c>
      <c r="J442" s="14">
        <v>31.404589181719167</v>
      </c>
      <c r="K442" s="14">
        <v>551.83731530916396</v>
      </c>
      <c r="L442" s="14">
        <v>124.5943729414102</v>
      </c>
      <c r="M442" s="14">
        <v>333.89594554228302</v>
      </c>
      <c r="N442" s="14">
        <v>1427.0436960887689</v>
      </c>
    </row>
    <row r="443" spans="1:14" x14ac:dyDescent="0.3">
      <c r="A443" s="3" t="str">
        <f>INDEX('R1. Scenario specifications'!$C$11:$C$49,MATCH($B443,'R1. Scenario specifications'!$A$11:$A$49,0))</f>
        <v>Current 2DS, 2020 start, 'Expect the unexpceted' but with expensive renewables (cheap CCS)</v>
      </c>
      <c r="B443" s="3" t="s">
        <v>1026</v>
      </c>
      <c r="C443" s="3" t="s">
        <v>66</v>
      </c>
      <c r="D443" s="14">
        <v>0.27881728888888901</v>
      </c>
      <c r="E443" s="14">
        <v>0.33361993333333301</v>
      </c>
      <c r="F443" s="14">
        <v>88.922972540092587</v>
      </c>
      <c r="G443" s="14">
        <v>53.53277898674402</v>
      </c>
      <c r="H443" s="14">
        <v>58.858994961744024</v>
      </c>
      <c r="I443" s="14">
        <v>437.65787141772631</v>
      </c>
      <c r="J443" s="14">
        <v>116.97614160399138</v>
      </c>
      <c r="K443" s="14">
        <v>50.877087686360689</v>
      </c>
      <c r="L443" s="14">
        <v>428.83072634428851</v>
      </c>
      <c r="M443" s="14">
        <v>467.6195605320724</v>
      </c>
      <c r="N443" s="14">
        <v>93.650611336547485</v>
      </c>
    </row>
    <row r="444" spans="1:14" x14ac:dyDescent="0.3">
      <c r="A444" s="3" t="str">
        <f>INDEX('R1. Scenario specifications'!$C$11:$C$49,MATCH($B444,'R1. Scenario specifications'!$A$11:$A$49,0))</f>
        <v>Current 2DS, 2020 start, 'Expect the unexpceted' but with expensive renewables (cheap CCS)</v>
      </c>
      <c r="B444" s="3" t="s">
        <v>1026</v>
      </c>
      <c r="C444" s="3" t="s">
        <v>67</v>
      </c>
      <c r="D444" s="14">
        <v>154.73557777463142</v>
      </c>
      <c r="E444" s="14">
        <v>162.76418662806225</v>
      </c>
      <c r="F444" s="14">
        <v>90.613637816084008</v>
      </c>
      <c r="G444" s="14">
        <v>270.53172876951214</v>
      </c>
      <c r="H444" s="14">
        <v>295.53886691706845</v>
      </c>
      <c r="I444" s="14">
        <v>195.09162475160298</v>
      </c>
      <c r="J444" s="14">
        <v>394.68421520492058</v>
      </c>
      <c r="K444" s="14">
        <v>543.3530273872301</v>
      </c>
      <c r="L444" s="14">
        <v>857.27968915192253</v>
      </c>
      <c r="M444" s="14">
        <v>619.00765543217938</v>
      </c>
      <c r="N444" s="14">
        <v>86.912006963572054</v>
      </c>
    </row>
    <row r="445" spans="1:14" x14ac:dyDescent="0.3">
      <c r="A445" s="3" t="str">
        <f>INDEX('R1. Scenario specifications'!$C$11:$C$49,MATCH($B445,'R1. Scenario specifications'!$A$11:$A$49,0))</f>
        <v>Current 2DS, 2020 start, 'Expect the unexpceted' but with expensive renewables (cheap CCS)</v>
      </c>
      <c r="B445" s="3" t="s">
        <v>1026</v>
      </c>
      <c r="C445" s="3" t="s">
        <v>68</v>
      </c>
      <c r="D445" s="14">
        <v>0</v>
      </c>
      <c r="E445" s="14">
        <v>0</v>
      </c>
      <c r="F445" s="14">
        <v>0</v>
      </c>
      <c r="G445" s="14">
        <v>116.23637394572938</v>
      </c>
      <c r="H445" s="14">
        <v>349.70616065088757</v>
      </c>
      <c r="I445" s="14">
        <v>598.20752385571666</v>
      </c>
      <c r="J445" s="14">
        <v>149.81886493750824</v>
      </c>
      <c r="K445" s="14">
        <v>192.7831334631372</v>
      </c>
      <c r="L445" s="14">
        <v>484.20361487246862</v>
      </c>
      <c r="M445" s="14">
        <v>652.66456313053982</v>
      </c>
      <c r="N445" s="14">
        <v>0</v>
      </c>
    </row>
    <row r="446" spans="1:14" x14ac:dyDescent="0.3">
      <c r="A446" s="3" t="str">
        <f>INDEX('R1. Scenario specifications'!$C$11:$C$49,MATCH($B446,'R1. Scenario specifications'!$A$11:$A$49,0))</f>
        <v>Current 2DS, 2020 start, 'Expect the unexpceted' but with expensive renewables (cheap CCS)</v>
      </c>
      <c r="B446" s="3" t="s">
        <v>1026</v>
      </c>
      <c r="C446" s="3" t="s">
        <v>69</v>
      </c>
      <c r="D446" s="14">
        <v>68.24730636209857</v>
      </c>
      <c r="E446" s="14">
        <v>21.625867125843534</v>
      </c>
      <c r="F446" s="14">
        <v>0.39656849116918491</v>
      </c>
      <c r="G446" s="14">
        <v>2.0388203525608501</v>
      </c>
      <c r="H446" s="14">
        <v>14.762373042306484</v>
      </c>
      <c r="I446" s="14">
        <v>3.7934800714015435</v>
      </c>
      <c r="J446" s="14">
        <v>64.242242581529553</v>
      </c>
      <c r="K446" s="14">
        <v>11.73568467133946</v>
      </c>
      <c r="L446" s="14">
        <v>133.71707561283387</v>
      </c>
      <c r="M446" s="14">
        <v>186.14856221977476</v>
      </c>
      <c r="N446" s="14">
        <v>176.39613094046805</v>
      </c>
    </row>
    <row r="447" spans="1:14" x14ac:dyDescent="0.3">
      <c r="A447" s="3" t="str">
        <f>INDEX('R1. Scenario specifications'!$C$11:$C$49,MATCH($B447,'R1. Scenario specifications'!$A$11:$A$49,0))</f>
        <v>Current 2DS, 2020 start, 'Expect the unexpceted' but with expensive renewables (cheap CCS)</v>
      </c>
      <c r="B447" s="3" t="s">
        <v>1026</v>
      </c>
      <c r="C447" s="3" t="s">
        <v>70</v>
      </c>
      <c r="D447" s="14">
        <v>12.637708883949241</v>
      </c>
      <c r="E447" s="14">
        <v>82.719415916369499</v>
      </c>
      <c r="F447" s="14">
        <v>97.288686865313664</v>
      </c>
      <c r="G447" s="14">
        <v>53.333333333333357</v>
      </c>
      <c r="H447" s="14">
        <v>115.21576266937677</v>
      </c>
      <c r="I447" s="14">
        <v>70.562180532060239</v>
      </c>
      <c r="J447" s="14">
        <v>82.756812224284744</v>
      </c>
      <c r="K447" s="14">
        <v>191.36287628378022</v>
      </c>
      <c r="L447" s="14">
        <v>237.6204979178558</v>
      </c>
      <c r="M447" s="14">
        <v>1494.9952539333378</v>
      </c>
      <c r="N447" s="14">
        <v>1729.2833714260473</v>
      </c>
    </row>
    <row r="448" spans="1:14" x14ac:dyDescent="0.3">
      <c r="A448" s="3" t="str">
        <f>INDEX('R1. Scenario specifications'!$C$11:$C$49,MATCH($B448,'R1. Scenario specifications'!$A$11:$A$49,0))</f>
        <v>Current 2DS, 2020 start, 'Expect the unexpceted' but with expensive renewables (cheap CCS)</v>
      </c>
      <c r="B448" s="3" t="s">
        <v>1026</v>
      </c>
      <c r="C448" s="3" t="s">
        <v>71</v>
      </c>
      <c r="D448" s="14">
        <v>3.9388921868092472E-3</v>
      </c>
      <c r="E448" s="14">
        <v>1.0352472304670233</v>
      </c>
      <c r="F448" s="14">
        <v>1.710734171095331</v>
      </c>
      <c r="G448" s="14">
        <v>10.802256382858131</v>
      </c>
      <c r="H448" s="14">
        <v>3.5115032015380807</v>
      </c>
      <c r="I448" s="14">
        <v>14.462623651917887</v>
      </c>
      <c r="J448" s="14">
        <v>49.569527109277303</v>
      </c>
      <c r="K448" s="14">
        <v>210.07120774967638</v>
      </c>
      <c r="L448" s="14">
        <v>775.42392285742039</v>
      </c>
      <c r="M448" s="14">
        <v>1360.0765195029032</v>
      </c>
      <c r="N448" s="14">
        <v>1272.288630644962</v>
      </c>
    </row>
    <row r="449" spans="1:14" x14ac:dyDescent="0.3">
      <c r="A449" s="3" t="str">
        <f>INDEX('R1. Scenario specifications'!$C$11:$C$49,MATCH($B449,'R1. Scenario specifications'!$A$11:$A$49,0))</f>
        <v>Current 2DS, 2020 start, 'Expect the unexpceted' but with expensive renewables (cheap CCS)</v>
      </c>
      <c r="B449" s="3" t="s">
        <v>1026</v>
      </c>
      <c r="C449" s="3" t="s">
        <v>72</v>
      </c>
      <c r="D449" s="14">
        <v>164.94116315871048</v>
      </c>
      <c r="E449" s="14">
        <v>30.000000000000007</v>
      </c>
      <c r="F449" s="14">
        <v>130.00000000000006</v>
      </c>
      <c r="G449" s="14">
        <v>1097.5023392162591</v>
      </c>
      <c r="H449" s="14">
        <v>1675.0817319683736</v>
      </c>
      <c r="I449" s="14">
        <v>1727.9542253230602</v>
      </c>
      <c r="J449" s="14">
        <v>2632.0253648082476</v>
      </c>
      <c r="K449" s="14">
        <v>3269.7329177610454</v>
      </c>
      <c r="L449" s="14">
        <v>4812.665910583697</v>
      </c>
      <c r="M449" s="14">
        <v>8190.6754769123363</v>
      </c>
      <c r="N449" s="14">
        <v>10163.526790557837</v>
      </c>
    </row>
    <row r="450" spans="1:14" x14ac:dyDescent="0.3">
      <c r="A450" s="3" t="str">
        <f>INDEX('R1. Scenario specifications'!$C$11:$C$49,MATCH($B450,'R1. Scenario specifications'!$A$11:$A$49,0))</f>
        <v>Current 2DS, 2030 start, 'Expect the Unexpected' but with cheap renewables</v>
      </c>
      <c r="B450" s="3" t="s">
        <v>44</v>
      </c>
      <c r="C450" s="3" t="s">
        <v>63</v>
      </c>
      <c r="D450" s="14">
        <v>0</v>
      </c>
      <c r="E450" s="14">
        <v>8.3774952878671591</v>
      </c>
      <c r="F450" s="14">
        <v>93.789531468729919</v>
      </c>
      <c r="G450" s="14">
        <v>300.17967178830617</v>
      </c>
      <c r="H450" s="14">
        <v>171.81712003425486</v>
      </c>
      <c r="I450" s="14">
        <v>104.58791588499699</v>
      </c>
      <c r="J450" s="14">
        <v>36.152505364018879</v>
      </c>
      <c r="K450" s="14">
        <v>0</v>
      </c>
      <c r="L450" s="14">
        <v>6.0643835623550801</v>
      </c>
      <c r="M450" s="14">
        <v>0</v>
      </c>
      <c r="N450" s="14">
        <v>0</v>
      </c>
    </row>
    <row r="451" spans="1:14" x14ac:dyDescent="0.3">
      <c r="A451" s="3" t="str">
        <f>INDEX('R1. Scenario specifications'!$C$11:$C$49,MATCH($B451,'R1. Scenario specifications'!$A$11:$A$49,0))</f>
        <v>Current 2DS, 2030 start, 'Expect the Unexpected' but with cheap renewables</v>
      </c>
      <c r="B451" s="3" t="s">
        <v>44</v>
      </c>
      <c r="C451" s="3" t="s">
        <v>73</v>
      </c>
      <c r="D451" s="14">
        <v>0</v>
      </c>
      <c r="E451" s="14">
        <v>0</v>
      </c>
      <c r="F451" s="14">
        <v>0</v>
      </c>
      <c r="G451" s="14">
        <v>0</v>
      </c>
      <c r="H451" s="14">
        <v>20.831100038195601</v>
      </c>
      <c r="I451" s="14">
        <v>125.28853531837254</v>
      </c>
      <c r="J451" s="14">
        <v>711.29735472493951</v>
      </c>
      <c r="K451" s="14">
        <v>1028.3882317002062</v>
      </c>
      <c r="L451" s="14">
        <v>1165.7527040755842</v>
      </c>
      <c r="M451" s="14">
        <v>625.61601761679515</v>
      </c>
      <c r="N451" s="14">
        <v>1732.4667093071967</v>
      </c>
    </row>
    <row r="452" spans="1:14" x14ac:dyDescent="0.3">
      <c r="A452" s="3" t="str">
        <f>INDEX('R1. Scenario specifications'!$C$11:$C$49,MATCH($B452,'R1. Scenario specifications'!$A$11:$A$49,0))</f>
        <v>Current 2DS, 2030 start, 'Expect the Unexpected' but with cheap renewables</v>
      </c>
      <c r="B452" s="3" t="s">
        <v>44</v>
      </c>
      <c r="C452" s="3" t="s">
        <v>64</v>
      </c>
      <c r="D452" s="14">
        <v>545.32032761765083</v>
      </c>
      <c r="E452" s="14">
        <v>171.97506671901115</v>
      </c>
      <c r="F452" s="14">
        <v>0</v>
      </c>
      <c r="G452" s="14">
        <v>16.396787724521602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</row>
    <row r="453" spans="1:14" x14ac:dyDescent="0.3">
      <c r="A453" s="3" t="str">
        <f>INDEX('R1. Scenario specifications'!$C$11:$C$49,MATCH($B453,'R1. Scenario specifications'!$A$11:$A$49,0))</f>
        <v>Current 2DS, 2030 start, 'Expect the Unexpected' but with cheap renewables</v>
      </c>
      <c r="B453" s="3" t="s">
        <v>44</v>
      </c>
      <c r="C453" s="3" t="s">
        <v>65</v>
      </c>
      <c r="D453" s="14">
        <v>172.55578195052306</v>
      </c>
      <c r="E453" s="14">
        <v>625.93335166737552</v>
      </c>
      <c r="F453" s="14">
        <v>477.14024472244631</v>
      </c>
      <c r="G453" s="14">
        <v>16.783672963106241</v>
      </c>
      <c r="H453" s="14">
        <v>170.047867863471</v>
      </c>
      <c r="I453" s="14">
        <v>659.63526932512752</v>
      </c>
      <c r="J453" s="14">
        <v>205.90670376463129</v>
      </c>
      <c r="K453" s="14">
        <v>94.142898246780732</v>
      </c>
      <c r="L453" s="14">
        <v>83.822955960053292</v>
      </c>
      <c r="M453" s="14">
        <v>34.628586775141741</v>
      </c>
      <c r="N453" s="14">
        <v>129.50840085661056</v>
      </c>
    </row>
    <row r="454" spans="1:14" x14ac:dyDescent="0.3">
      <c r="A454" s="3" t="str">
        <f>INDEX('R1. Scenario specifications'!$C$11:$C$49,MATCH($B454,'R1. Scenario specifications'!$A$11:$A$49,0))</f>
        <v>Current 2DS, 2030 start, 'Expect the Unexpected' but with cheap renewables</v>
      </c>
      <c r="B454" s="3" t="s">
        <v>44</v>
      </c>
      <c r="C454" s="3" t="s">
        <v>74</v>
      </c>
      <c r="D454" s="14">
        <v>0</v>
      </c>
      <c r="E454" s="14">
        <v>0</v>
      </c>
      <c r="F454" s="14">
        <v>0</v>
      </c>
      <c r="G454" s="14">
        <v>0</v>
      </c>
      <c r="H454" s="14">
        <v>4.0387160229338237</v>
      </c>
      <c r="I454" s="14">
        <v>3.9688914740850998</v>
      </c>
      <c r="J454" s="14">
        <v>65.486555733199353</v>
      </c>
      <c r="K454" s="14">
        <v>96.409212818157101</v>
      </c>
      <c r="L454" s="14">
        <v>880.09223287879638</v>
      </c>
      <c r="M454" s="14">
        <v>274.96801448891358</v>
      </c>
      <c r="N454" s="14">
        <v>65.637003855375497</v>
      </c>
    </row>
    <row r="455" spans="1:14" x14ac:dyDescent="0.3">
      <c r="A455" s="3" t="str">
        <f>INDEX('R1. Scenario specifications'!$C$11:$C$49,MATCH($B455,'R1. Scenario specifications'!$A$11:$A$49,0))</f>
        <v>Current 2DS, 2030 start, 'Expect the Unexpected' but with cheap renewables</v>
      </c>
      <c r="B455" s="3" t="s">
        <v>44</v>
      </c>
      <c r="C455" s="3" t="s">
        <v>66</v>
      </c>
      <c r="D455" s="14">
        <v>0.27881728888888901</v>
      </c>
      <c r="E455" s="14">
        <v>0.33361993333333301</v>
      </c>
      <c r="F455" s="14">
        <v>88.922972540092587</v>
      </c>
      <c r="G455" s="14">
        <v>53.162220652850131</v>
      </c>
      <c r="H455" s="14">
        <v>59.541404232387912</v>
      </c>
      <c r="I455" s="14">
        <v>267.84779496043848</v>
      </c>
      <c r="J455" s="14">
        <v>108.2585460203764</v>
      </c>
      <c r="K455" s="14">
        <v>65.949554248523796</v>
      </c>
      <c r="L455" s="14">
        <v>251.82122301245977</v>
      </c>
      <c r="M455" s="14">
        <v>446.61868012033841</v>
      </c>
      <c r="N455" s="14">
        <v>209.68171934311772</v>
      </c>
    </row>
    <row r="456" spans="1:14" x14ac:dyDescent="0.3">
      <c r="A456" s="3" t="str">
        <f>INDEX('R1. Scenario specifications'!$C$11:$C$49,MATCH($B456,'R1. Scenario specifications'!$A$11:$A$49,0))</f>
        <v>Current 2DS, 2030 start, 'Expect the Unexpected' but with cheap renewables</v>
      </c>
      <c r="B456" s="3" t="s">
        <v>44</v>
      </c>
      <c r="C456" s="3" t="s">
        <v>67</v>
      </c>
      <c r="D456" s="14">
        <v>154.73557777463142</v>
      </c>
      <c r="E456" s="14">
        <v>162.76418662806225</v>
      </c>
      <c r="F456" s="14">
        <v>90.613637816084008</v>
      </c>
      <c r="G456" s="14">
        <v>132.60270357542757</v>
      </c>
      <c r="H456" s="14">
        <v>388.82658943286043</v>
      </c>
      <c r="I456" s="14">
        <v>142.40513421803857</v>
      </c>
      <c r="J456" s="14">
        <v>164.73627347376009</v>
      </c>
      <c r="K456" s="14">
        <v>345.83256056196723</v>
      </c>
      <c r="L456" s="14">
        <v>661.29942288059226</v>
      </c>
      <c r="M456" s="14">
        <v>156.76530865611312</v>
      </c>
      <c r="N456" s="14">
        <v>40.362263506870114</v>
      </c>
    </row>
    <row r="457" spans="1:14" x14ac:dyDescent="0.3">
      <c r="A457" s="3" t="str">
        <f>INDEX('R1. Scenario specifications'!$C$11:$C$49,MATCH($B457,'R1. Scenario specifications'!$A$11:$A$49,0))</f>
        <v>Current 2DS, 2030 start, 'Expect the Unexpected' but with cheap renewables</v>
      </c>
      <c r="B457" s="3" t="s">
        <v>44</v>
      </c>
      <c r="C457" s="3" t="s">
        <v>68</v>
      </c>
      <c r="D457" s="14">
        <v>0</v>
      </c>
      <c r="E457" s="14">
        <v>0</v>
      </c>
      <c r="F457" s="14">
        <v>0</v>
      </c>
      <c r="G457" s="14">
        <v>22.553218427439354</v>
      </c>
      <c r="H457" s="14">
        <v>359.46118379082304</v>
      </c>
      <c r="I457" s="14">
        <v>664.87247242173362</v>
      </c>
      <c r="J457" s="14">
        <v>149.10277601881364</v>
      </c>
      <c r="K457" s="14">
        <v>142.47068893982055</v>
      </c>
      <c r="L457" s="14">
        <v>469.28169911667186</v>
      </c>
      <c r="M457" s="14">
        <v>721.86922720210657</v>
      </c>
      <c r="N457" s="14">
        <v>0</v>
      </c>
    </row>
    <row r="458" spans="1:14" x14ac:dyDescent="0.3">
      <c r="A458" s="3" t="str">
        <f>INDEX('R1. Scenario specifications'!$C$11:$C$49,MATCH($B458,'R1. Scenario specifications'!$A$11:$A$49,0))</f>
        <v>Current 2DS, 2030 start, 'Expect the Unexpected' but with cheap renewables</v>
      </c>
      <c r="B458" s="3" t="s">
        <v>44</v>
      </c>
      <c r="C458" s="3" t="s">
        <v>69</v>
      </c>
      <c r="D458" s="14">
        <v>68.24730636209857</v>
      </c>
      <c r="E458" s="14">
        <v>21.625867125843534</v>
      </c>
      <c r="F458" s="14">
        <v>0.39656849116918491</v>
      </c>
      <c r="G458" s="14">
        <v>4.39481081527373</v>
      </c>
      <c r="H458" s="14">
        <v>12.788217534795447</v>
      </c>
      <c r="I458" s="14">
        <v>0</v>
      </c>
      <c r="J458" s="14">
        <v>11.770123572344779</v>
      </c>
      <c r="K458" s="14">
        <v>9.3919916010484901</v>
      </c>
      <c r="L458" s="14">
        <v>50.091231200434294</v>
      </c>
      <c r="M458" s="14">
        <v>63.500224956467704</v>
      </c>
      <c r="N458" s="14">
        <v>95.153653578075307</v>
      </c>
    </row>
    <row r="459" spans="1:14" x14ac:dyDescent="0.3">
      <c r="A459" s="3" t="str">
        <f>INDEX('R1. Scenario specifications'!$C$11:$C$49,MATCH($B459,'R1. Scenario specifications'!$A$11:$A$49,0))</f>
        <v>Current 2DS, 2030 start, 'Expect the Unexpected' but with cheap renewables</v>
      </c>
      <c r="B459" s="3" t="s">
        <v>44</v>
      </c>
      <c r="C459" s="3" t="s">
        <v>70</v>
      </c>
      <c r="D459" s="14">
        <v>12.637708883949241</v>
      </c>
      <c r="E459" s="14">
        <v>82.719415916369499</v>
      </c>
      <c r="F459" s="14">
        <v>97.288686865313664</v>
      </c>
      <c r="G459" s="14">
        <v>401.65756364057171</v>
      </c>
      <c r="H459" s="14">
        <v>2388.0814102127306</v>
      </c>
      <c r="I459" s="14">
        <v>3378.9544631785047</v>
      </c>
      <c r="J459" s="14">
        <v>2261.5565527160838</v>
      </c>
      <c r="K459" s="14">
        <v>4248.1441461125851</v>
      </c>
      <c r="L459" s="14">
        <v>7061.9008973224518</v>
      </c>
      <c r="M459" s="14">
        <v>9589.3617615381845</v>
      </c>
      <c r="N459" s="14">
        <v>6448.5729404898138</v>
      </c>
    </row>
    <row r="460" spans="1:14" x14ac:dyDescent="0.3">
      <c r="A460" s="3" t="str">
        <f>INDEX('R1. Scenario specifications'!$C$11:$C$49,MATCH($B460,'R1. Scenario specifications'!$A$11:$A$49,0))</f>
        <v>Current 2DS, 2030 start, 'Expect the Unexpected' but with cheap renewables</v>
      </c>
      <c r="B460" s="3" t="s">
        <v>44</v>
      </c>
      <c r="C460" s="3" t="s">
        <v>71</v>
      </c>
      <c r="D460" s="14">
        <v>3.9388921868092472E-3</v>
      </c>
      <c r="E460" s="14">
        <v>1.0352472304670233</v>
      </c>
      <c r="F460" s="14">
        <v>1.710734171095331</v>
      </c>
      <c r="G460" s="14">
        <v>10.613038269375846</v>
      </c>
      <c r="H460" s="14">
        <v>1.4567584740198549</v>
      </c>
      <c r="I460" s="14">
        <v>5.6524045919345118</v>
      </c>
      <c r="J460" s="14">
        <v>6.6196359376715384</v>
      </c>
      <c r="K460" s="14">
        <v>77.011042177042853</v>
      </c>
      <c r="L460" s="14">
        <v>6.0746431456082455</v>
      </c>
      <c r="M460" s="14">
        <v>37.541093218474593</v>
      </c>
      <c r="N460" s="14">
        <v>45.845362497665789</v>
      </c>
    </row>
    <row r="461" spans="1:14" x14ac:dyDescent="0.3">
      <c r="A461" s="3" t="str">
        <f>INDEX('R1. Scenario specifications'!$C$11:$C$49,MATCH($B461,'R1. Scenario specifications'!$A$11:$A$49,0))</f>
        <v>Current 2DS, 2030 start, 'Expect the Unexpected' but with cheap renewables</v>
      </c>
      <c r="B461" s="3" t="s">
        <v>44</v>
      </c>
      <c r="C461" s="3" t="s">
        <v>72</v>
      </c>
      <c r="D461" s="14">
        <v>164.94116315871048</v>
      </c>
      <c r="E461" s="14">
        <v>30.000000000000007</v>
      </c>
      <c r="F461" s="14">
        <v>130.00000000000006</v>
      </c>
      <c r="G461" s="14">
        <v>1203.724349327679</v>
      </c>
      <c r="H461" s="14">
        <v>2381.537001534683</v>
      </c>
      <c r="I461" s="14">
        <v>1975.6954009508893</v>
      </c>
      <c r="J461" s="14">
        <v>3540.6627113995019</v>
      </c>
      <c r="K461" s="14">
        <v>4105.2314205148596</v>
      </c>
      <c r="L461" s="14">
        <v>6191.3911527310102</v>
      </c>
      <c r="M461" s="14">
        <v>11547.033703762492</v>
      </c>
      <c r="N461" s="14">
        <v>9674.7837993154972</v>
      </c>
    </row>
    <row r="462" spans="1:14" x14ac:dyDescent="0.3">
      <c r="A462" s="3" t="str">
        <f>INDEX('R1. Scenario specifications'!$C$11:$C$49,MATCH($B462,'R1. Scenario specifications'!$A$11:$A$49,0))</f>
        <v>Current 2DS, 2020 start, 'Expect the Unexpected' but with cheap CCS</v>
      </c>
      <c r="B462" s="3" t="s">
        <v>45</v>
      </c>
      <c r="C462" s="3" t="s">
        <v>63</v>
      </c>
      <c r="D462" s="14">
        <v>0</v>
      </c>
      <c r="E462" s="14">
        <v>8.3774952878671591</v>
      </c>
      <c r="F462" s="14">
        <v>93.789531468729919</v>
      </c>
      <c r="G462" s="14">
        <v>355.03602247221227</v>
      </c>
      <c r="H462" s="14">
        <v>95.21469399982675</v>
      </c>
      <c r="I462" s="14">
        <v>154.94228644743288</v>
      </c>
      <c r="J462" s="14">
        <v>25.724598791750601</v>
      </c>
      <c r="K462" s="14">
        <v>0</v>
      </c>
      <c r="L462" s="14">
        <v>6.1392172448603199</v>
      </c>
      <c r="M462" s="14">
        <v>0</v>
      </c>
      <c r="N462" s="14">
        <v>0</v>
      </c>
    </row>
    <row r="463" spans="1:14" x14ac:dyDescent="0.3">
      <c r="A463" s="3" t="str">
        <f>INDEX('R1. Scenario specifications'!$C$11:$C$49,MATCH($B463,'R1. Scenario specifications'!$A$11:$A$49,0))</f>
        <v>Current 2DS, 2020 start, 'Expect the Unexpected' but with cheap CCS</v>
      </c>
      <c r="B463" s="3" t="s">
        <v>45</v>
      </c>
      <c r="C463" s="3" t="s">
        <v>73</v>
      </c>
      <c r="D463" s="14">
        <v>0</v>
      </c>
      <c r="E463" s="14">
        <v>0</v>
      </c>
      <c r="F463" s="14">
        <v>0</v>
      </c>
      <c r="G463" s="14">
        <v>11.405991027710661</v>
      </c>
      <c r="H463" s="14">
        <v>48.906427955486315</v>
      </c>
      <c r="I463" s="14">
        <v>228.22645000608509</v>
      </c>
      <c r="J463" s="14">
        <v>858.20958620817396</v>
      </c>
      <c r="K463" s="14">
        <v>625.8519167848649</v>
      </c>
      <c r="L463" s="14">
        <v>1215.8378210810092</v>
      </c>
      <c r="M463" s="14">
        <v>1120.6621498630761</v>
      </c>
      <c r="N463" s="14">
        <v>891.88038404696567</v>
      </c>
    </row>
    <row r="464" spans="1:14" x14ac:dyDescent="0.3">
      <c r="A464" s="3" t="str">
        <f>INDEX('R1. Scenario specifications'!$C$11:$C$49,MATCH($B464,'R1. Scenario specifications'!$A$11:$A$49,0))</f>
        <v>Current 2DS, 2020 start, 'Expect the Unexpected' but with cheap CCS</v>
      </c>
      <c r="B464" s="3" t="s">
        <v>45</v>
      </c>
      <c r="C464" s="3" t="s">
        <v>64</v>
      </c>
      <c r="D464" s="14">
        <v>545.32032761765083</v>
      </c>
      <c r="E464" s="14">
        <v>171.97506671901115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</row>
    <row r="465" spans="1:14" x14ac:dyDescent="0.3">
      <c r="A465" s="3" t="str">
        <f>INDEX('R1. Scenario specifications'!$C$11:$C$49,MATCH($B465,'R1. Scenario specifications'!$A$11:$A$49,0))</f>
        <v>Current 2DS, 2020 start, 'Expect the Unexpected' but with cheap CCS</v>
      </c>
      <c r="B465" s="3" t="s">
        <v>45</v>
      </c>
      <c r="C465" s="3" t="s">
        <v>65</v>
      </c>
      <c r="D465" s="14">
        <v>172.55578195052306</v>
      </c>
      <c r="E465" s="14">
        <v>625.93335166737552</v>
      </c>
      <c r="F465" s="14">
        <v>477.14024472244631</v>
      </c>
      <c r="G465" s="14">
        <v>62.637882448714436</v>
      </c>
      <c r="H465" s="14">
        <v>97.09791099510521</v>
      </c>
      <c r="I465" s="14">
        <v>481.22807177893986</v>
      </c>
      <c r="J465" s="14">
        <v>417.74745713643074</v>
      </c>
      <c r="K465" s="14">
        <v>88.597510019573832</v>
      </c>
      <c r="L465" s="14">
        <v>62.093007921119792</v>
      </c>
      <c r="M465" s="14">
        <v>104.28152111428253</v>
      </c>
      <c r="N465" s="14">
        <v>122.25706358504243</v>
      </c>
    </row>
    <row r="466" spans="1:14" x14ac:dyDescent="0.3">
      <c r="A466" s="3" t="str">
        <f>INDEX('R1. Scenario specifications'!$C$11:$C$49,MATCH($B466,'R1. Scenario specifications'!$A$11:$A$49,0))</f>
        <v>Current 2DS, 2020 start, 'Expect the Unexpected' but with cheap CCS</v>
      </c>
      <c r="B466" s="3" t="s">
        <v>45</v>
      </c>
      <c r="C466" s="3" t="s">
        <v>74</v>
      </c>
      <c r="D466" s="14">
        <v>0</v>
      </c>
      <c r="E466" s="14">
        <v>0</v>
      </c>
      <c r="F466" s="14">
        <v>0</v>
      </c>
      <c r="G466" s="14">
        <v>17.298777480283789</v>
      </c>
      <c r="H466" s="14">
        <v>2.4530177096118901</v>
      </c>
      <c r="I466" s="14">
        <v>43.550809997235511</v>
      </c>
      <c r="J466" s="14">
        <v>55.160784494045259</v>
      </c>
      <c r="K466" s="14">
        <v>99.112749938738276</v>
      </c>
      <c r="L466" s="14">
        <v>816.53460322341061</v>
      </c>
      <c r="M466" s="14">
        <v>390.41644075728561</v>
      </c>
      <c r="N466" s="14">
        <v>211.65816642624586</v>
      </c>
    </row>
    <row r="467" spans="1:14" x14ac:dyDescent="0.3">
      <c r="A467" s="3" t="str">
        <f>INDEX('R1. Scenario specifications'!$C$11:$C$49,MATCH($B467,'R1. Scenario specifications'!$A$11:$A$49,0))</f>
        <v>Current 2DS, 2020 start, 'Expect the Unexpected' but with cheap CCS</v>
      </c>
      <c r="B467" s="3" t="s">
        <v>45</v>
      </c>
      <c r="C467" s="3" t="s">
        <v>66</v>
      </c>
      <c r="D467" s="14">
        <v>0.27881728888888901</v>
      </c>
      <c r="E467" s="14">
        <v>0.33361993333333301</v>
      </c>
      <c r="F467" s="14">
        <v>88.922972540092587</v>
      </c>
      <c r="G467" s="14">
        <v>53.53277898674402</v>
      </c>
      <c r="H467" s="14">
        <v>59.170445898494023</v>
      </c>
      <c r="I467" s="14">
        <v>202.65209138351028</v>
      </c>
      <c r="J467" s="14">
        <v>175.57111243286829</v>
      </c>
      <c r="K467" s="14">
        <v>52.076693521934601</v>
      </c>
      <c r="L467" s="14">
        <v>342.70518635692616</v>
      </c>
      <c r="M467" s="14">
        <v>298.68860464542206</v>
      </c>
      <c r="N467" s="14">
        <v>218.92454517571136</v>
      </c>
    </row>
    <row r="468" spans="1:14" x14ac:dyDescent="0.3">
      <c r="A468" s="3" t="str">
        <f>INDEX('R1. Scenario specifications'!$C$11:$C$49,MATCH($B468,'R1. Scenario specifications'!$A$11:$A$49,0))</f>
        <v>Current 2DS, 2020 start, 'Expect the Unexpected' but with cheap CCS</v>
      </c>
      <c r="B468" s="3" t="s">
        <v>45</v>
      </c>
      <c r="C468" s="3" t="s">
        <v>67</v>
      </c>
      <c r="D468" s="14">
        <v>154.73557777463142</v>
      </c>
      <c r="E468" s="14">
        <v>162.76418662806225</v>
      </c>
      <c r="F468" s="14">
        <v>90.613637816084008</v>
      </c>
      <c r="G468" s="14">
        <v>198.77365112845121</v>
      </c>
      <c r="H468" s="14">
        <v>205.60991296058825</v>
      </c>
      <c r="I468" s="14">
        <v>216.02942496001384</v>
      </c>
      <c r="J468" s="14">
        <v>135.45361802314042</v>
      </c>
      <c r="K468" s="14">
        <v>327.76914721346219</v>
      </c>
      <c r="L468" s="14">
        <v>734.51371163507042</v>
      </c>
      <c r="M468" s="14">
        <v>248.91895193581553</v>
      </c>
      <c r="N468" s="14">
        <v>27.274895517578447</v>
      </c>
    </row>
    <row r="469" spans="1:14" x14ac:dyDescent="0.3">
      <c r="A469" s="3" t="str">
        <f>INDEX('R1. Scenario specifications'!$C$11:$C$49,MATCH($B469,'R1. Scenario specifications'!$A$11:$A$49,0))</f>
        <v>Current 2DS, 2020 start, 'Expect the Unexpected' but with cheap CCS</v>
      </c>
      <c r="B469" s="3" t="s">
        <v>45</v>
      </c>
      <c r="C469" s="3" t="s">
        <v>68</v>
      </c>
      <c r="D469" s="14">
        <v>0</v>
      </c>
      <c r="E469" s="14">
        <v>0</v>
      </c>
      <c r="F469" s="14">
        <v>0</v>
      </c>
      <c r="G469" s="14">
        <v>74.412462999148872</v>
      </c>
      <c r="H469" s="14">
        <v>328.22955793977712</v>
      </c>
      <c r="I469" s="14">
        <v>659.26632791510724</v>
      </c>
      <c r="J469" s="14">
        <v>138.87540825037865</v>
      </c>
      <c r="K469" s="14">
        <v>152.82766317547342</v>
      </c>
      <c r="L469" s="14">
        <v>471.8840604654892</v>
      </c>
      <c r="M469" s="14">
        <v>715.88304451231318</v>
      </c>
      <c r="N469" s="14">
        <v>0</v>
      </c>
    </row>
    <row r="470" spans="1:14" x14ac:dyDescent="0.3">
      <c r="A470" s="3" t="str">
        <f>INDEX('R1. Scenario specifications'!$C$11:$C$49,MATCH($B470,'R1. Scenario specifications'!$A$11:$A$49,0))</f>
        <v>Current 2DS, 2020 start, 'Expect the Unexpected' but with cheap CCS</v>
      </c>
      <c r="B470" s="3" t="s">
        <v>45</v>
      </c>
      <c r="C470" s="3" t="s">
        <v>69</v>
      </c>
      <c r="D470" s="14">
        <v>68.24730636209857</v>
      </c>
      <c r="E470" s="14">
        <v>21.625867125843534</v>
      </c>
      <c r="F470" s="14">
        <v>0.39656849116918491</v>
      </c>
      <c r="G470" s="14">
        <v>2.2198454799124199</v>
      </c>
      <c r="H470" s="14">
        <v>19.909025160171272</v>
      </c>
      <c r="I470" s="14">
        <v>0</v>
      </c>
      <c r="J470" s="14">
        <v>13.006396750000821</v>
      </c>
      <c r="K470" s="14">
        <v>1.9199603876079401</v>
      </c>
      <c r="L470" s="14">
        <v>84.524573084466738</v>
      </c>
      <c r="M470" s="14">
        <v>38.597601307128748</v>
      </c>
      <c r="N470" s="14">
        <v>124.37751880012621</v>
      </c>
    </row>
    <row r="471" spans="1:14" x14ac:dyDescent="0.3">
      <c r="A471" s="3" t="str">
        <f>INDEX('R1. Scenario specifications'!$C$11:$C$49,MATCH($B471,'R1. Scenario specifications'!$A$11:$A$49,0))</f>
        <v>Current 2DS, 2020 start, 'Expect the Unexpected' but with cheap CCS</v>
      </c>
      <c r="B471" s="3" t="s">
        <v>45</v>
      </c>
      <c r="C471" s="3" t="s">
        <v>70</v>
      </c>
      <c r="D471" s="14">
        <v>12.637708883949241</v>
      </c>
      <c r="E471" s="14">
        <v>82.719415916369499</v>
      </c>
      <c r="F471" s="14">
        <v>97.288686865313664</v>
      </c>
      <c r="G471" s="14">
        <v>746.4544126011134</v>
      </c>
      <c r="H471" s="14">
        <v>2258.5481461948452</v>
      </c>
      <c r="I471" s="14">
        <v>2528.8185271503776</v>
      </c>
      <c r="J471" s="14">
        <v>2259.9317550307906</v>
      </c>
      <c r="K471" s="14">
        <v>4322.3041100214286</v>
      </c>
      <c r="L471" s="14">
        <v>5790.073224341575</v>
      </c>
      <c r="M471" s="14">
        <v>8780.5822740861659</v>
      </c>
      <c r="N471" s="14">
        <v>6874.101276738601</v>
      </c>
    </row>
    <row r="472" spans="1:14" x14ac:dyDescent="0.3">
      <c r="A472" s="3" t="str">
        <f>INDEX('R1. Scenario specifications'!$C$11:$C$49,MATCH($B472,'R1. Scenario specifications'!$A$11:$A$49,0))</f>
        <v>Current 2DS, 2020 start, 'Expect the Unexpected' but with cheap CCS</v>
      </c>
      <c r="B472" s="3" t="s">
        <v>45</v>
      </c>
      <c r="C472" s="3" t="s">
        <v>71</v>
      </c>
      <c r="D472" s="14">
        <v>3.9388921868092472E-3</v>
      </c>
      <c r="E472" s="14">
        <v>1.0352472304670233</v>
      </c>
      <c r="F472" s="14">
        <v>1.710734171095331</v>
      </c>
      <c r="G472" s="14">
        <v>10.612638265775848</v>
      </c>
      <c r="H472" s="14">
        <v>1.4617068396369914</v>
      </c>
      <c r="I472" s="14">
        <v>5.6657599553605813</v>
      </c>
      <c r="J472" s="14">
        <v>6.6796341150064906</v>
      </c>
      <c r="K472" s="14">
        <v>3.7337086311251122</v>
      </c>
      <c r="L472" s="14">
        <v>7.1353754155951723</v>
      </c>
      <c r="M472" s="14">
        <v>10.317593453164577</v>
      </c>
      <c r="N472" s="14">
        <v>5.2257049470913604</v>
      </c>
    </row>
    <row r="473" spans="1:14" x14ac:dyDescent="0.3">
      <c r="A473" s="3" t="str">
        <f>INDEX('R1. Scenario specifications'!$C$11:$C$49,MATCH($B473,'R1. Scenario specifications'!$A$11:$A$49,0))</f>
        <v>Current 2DS, 2020 start, 'Expect the Unexpected' but with cheap CCS</v>
      </c>
      <c r="B473" s="3" t="s">
        <v>45</v>
      </c>
      <c r="C473" s="3" t="s">
        <v>72</v>
      </c>
      <c r="D473" s="14">
        <v>164.94116315871048</v>
      </c>
      <c r="E473" s="14">
        <v>30.000000000000007</v>
      </c>
      <c r="F473" s="14">
        <v>130.00000000000006</v>
      </c>
      <c r="G473" s="14">
        <v>1335.9602944691526</v>
      </c>
      <c r="H473" s="14">
        <v>2090.9403068194974</v>
      </c>
      <c r="I473" s="14">
        <v>2092.613015235906</v>
      </c>
      <c r="J473" s="14">
        <v>3295.2722854759086</v>
      </c>
      <c r="K473" s="14">
        <v>3652.8340504602556</v>
      </c>
      <c r="L473" s="14">
        <v>6060.1004760234819</v>
      </c>
      <c r="M473" s="14">
        <v>10353.120377361556</v>
      </c>
      <c r="N473" s="14">
        <v>9492.4399719765515</v>
      </c>
    </row>
    <row r="474" spans="1:14" x14ac:dyDescent="0.3">
      <c r="A474" s="3" t="str">
        <f>INDEX('R1. Scenario specifications'!$C$11:$C$49,MATCH($B474,'R1. Scenario specifications'!$A$11:$A$49,0))</f>
        <v>Current 2DS, 2030 start, 'Expect the Unexpected' but with cheap CCS</v>
      </c>
      <c r="B474" s="3" t="s">
        <v>46</v>
      </c>
      <c r="C474" s="3" t="s">
        <v>63</v>
      </c>
      <c r="D474" s="14">
        <v>0</v>
      </c>
      <c r="E474" s="14">
        <v>8.3774952878671591</v>
      </c>
      <c r="F474" s="14">
        <v>93.789531468729919</v>
      </c>
      <c r="G474" s="14">
        <v>300.17967178830617</v>
      </c>
      <c r="H474" s="14">
        <v>199.92710461283463</v>
      </c>
      <c r="I474" s="14">
        <v>98.475811361134873</v>
      </c>
      <c r="J474" s="14">
        <v>56.563025023983556</v>
      </c>
      <c r="K474" s="14">
        <v>0</v>
      </c>
      <c r="L474" s="14">
        <v>6.1410339106256302</v>
      </c>
      <c r="M474" s="14">
        <v>0</v>
      </c>
      <c r="N474" s="14">
        <v>0</v>
      </c>
    </row>
    <row r="475" spans="1:14" x14ac:dyDescent="0.3">
      <c r="A475" s="3" t="str">
        <f>INDEX('R1. Scenario specifications'!$C$11:$C$49,MATCH($B475,'R1. Scenario specifications'!$A$11:$A$49,0))</f>
        <v>Current 2DS, 2030 start, 'Expect the Unexpected' but with cheap CCS</v>
      </c>
      <c r="B475" s="3" t="s">
        <v>46</v>
      </c>
      <c r="C475" s="3" t="s">
        <v>73</v>
      </c>
      <c r="D475" s="14">
        <v>0</v>
      </c>
      <c r="E475" s="14">
        <v>0</v>
      </c>
      <c r="F475" s="14">
        <v>0</v>
      </c>
      <c r="G475" s="14">
        <v>0</v>
      </c>
      <c r="H475" s="14">
        <v>21.654915170512126</v>
      </c>
      <c r="I475" s="14">
        <v>126.87022238678138</v>
      </c>
      <c r="J475" s="14">
        <v>699.5809764181306</v>
      </c>
      <c r="K475" s="14">
        <v>1057.9081768113979</v>
      </c>
      <c r="L475" s="14">
        <v>1130.347323147213</v>
      </c>
      <c r="M475" s="14">
        <v>683.54806650253181</v>
      </c>
      <c r="N475" s="14">
        <v>1667.4277408605062</v>
      </c>
    </row>
    <row r="476" spans="1:14" x14ac:dyDescent="0.3">
      <c r="A476" s="3" t="str">
        <f>INDEX('R1. Scenario specifications'!$C$11:$C$49,MATCH($B476,'R1. Scenario specifications'!$A$11:$A$49,0))</f>
        <v>Current 2DS, 2030 start, 'Expect the Unexpected' but with cheap CCS</v>
      </c>
      <c r="B476" s="3" t="s">
        <v>46</v>
      </c>
      <c r="C476" s="3" t="s">
        <v>64</v>
      </c>
      <c r="D476" s="14">
        <v>545.32032761765083</v>
      </c>
      <c r="E476" s="14">
        <v>171.97506671901115</v>
      </c>
      <c r="F476" s="14">
        <v>0</v>
      </c>
      <c r="G476" s="14">
        <v>16.396787724521602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</row>
    <row r="477" spans="1:14" x14ac:dyDescent="0.3">
      <c r="A477" s="3" t="str">
        <f>INDEX('R1. Scenario specifications'!$C$11:$C$49,MATCH($B477,'R1. Scenario specifications'!$A$11:$A$49,0))</f>
        <v>Current 2DS, 2030 start, 'Expect the Unexpected' but with cheap CCS</v>
      </c>
      <c r="B477" s="3" t="s">
        <v>46</v>
      </c>
      <c r="C477" s="3" t="s">
        <v>65</v>
      </c>
      <c r="D477" s="14">
        <v>172.55578195052306</v>
      </c>
      <c r="E477" s="14">
        <v>625.93335166737552</v>
      </c>
      <c r="F477" s="14">
        <v>477.14024472244631</v>
      </c>
      <c r="G477" s="14">
        <v>16.783672963106241</v>
      </c>
      <c r="H477" s="14">
        <v>143.24602049382341</v>
      </c>
      <c r="I477" s="14">
        <v>511.77454623808001</v>
      </c>
      <c r="J477" s="14">
        <v>368.2261126593628</v>
      </c>
      <c r="K477" s="14">
        <v>87.10290864145081</v>
      </c>
      <c r="L477" s="14">
        <v>87.429345996746775</v>
      </c>
      <c r="M477" s="14">
        <v>71.775467286512722</v>
      </c>
      <c r="N477" s="14">
        <v>156.6506873514177</v>
      </c>
    </row>
    <row r="478" spans="1:14" x14ac:dyDescent="0.3">
      <c r="A478" s="3" t="str">
        <f>INDEX('R1. Scenario specifications'!$C$11:$C$49,MATCH($B478,'R1. Scenario specifications'!$A$11:$A$49,0))</f>
        <v>Current 2DS, 2030 start, 'Expect the Unexpected' but with cheap CCS</v>
      </c>
      <c r="B478" s="3" t="s">
        <v>46</v>
      </c>
      <c r="C478" s="3" t="s">
        <v>74</v>
      </c>
      <c r="D478" s="14">
        <v>0</v>
      </c>
      <c r="E478" s="14">
        <v>0</v>
      </c>
      <c r="F478" s="14">
        <v>0</v>
      </c>
      <c r="G478" s="14">
        <v>0</v>
      </c>
      <c r="H478" s="14">
        <v>4.3469307020099839</v>
      </c>
      <c r="I478" s="14">
        <v>6.1897035787355703</v>
      </c>
      <c r="J478" s="14">
        <v>78.088674346335935</v>
      </c>
      <c r="K478" s="14">
        <v>105.86408860965507</v>
      </c>
      <c r="L478" s="14">
        <v>820.05547272826323</v>
      </c>
      <c r="M478" s="14">
        <v>394.312273843458</v>
      </c>
      <c r="N478" s="14">
        <v>100.47241808056614</v>
      </c>
    </row>
    <row r="479" spans="1:14" x14ac:dyDescent="0.3">
      <c r="A479" s="3" t="str">
        <f>INDEX('R1. Scenario specifications'!$C$11:$C$49,MATCH($B479,'R1. Scenario specifications'!$A$11:$A$49,0))</f>
        <v>Current 2DS, 2030 start, 'Expect the Unexpected' but with cheap CCS</v>
      </c>
      <c r="B479" s="3" t="s">
        <v>46</v>
      </c>
      <c r="C479" s="3" t="s">
        <v>66</v>
      </c>
      <c r="D479" s="14">
        <v>0.27881728888888901</v>
      </c>
      <c r="E479" s="14">
        <v>0.33361993333333301</v>
      </c>
      <c r="F479" s="14">
        <v>88.922972540092587</v>
      </c>
      <c r="G479" s="14">
        <v>53.162220652850131</v>
      </c>
      <c r="H479" s="14">
        <v>59.541804232387911</v>
      </c>
      <c r="I479" s="14">
        <v>286.59172998653281</v>
      </c>
      <c r="J479" s="14">
        <v>101.9532267145195</v>
      </c>
      <c r="K479" s="14">
        <v>50.506529352466792</v>
      </c>
      <c r="L479" s="14">
        <v>305.45301177534725</v>
      </c>
      <c r="M479" s="14">
        <v>469.06335059513736</v>
      </c>
      <c r="N479" s="14">
        <v>263.33562509559226</v>
      </c>
    </row>
    <row r="480" spans="1:14" x14ac:dyDescent="0.3">
      <c r="A480" s="3" t="str">
        <f>INDEX('R1. Scenario specifications'!$C$11:$C$49,MATCH($B480,'R1. Scenario specifications'!$A$11:$A$49,0))</f>
        <v>Current 2DS, 2030 start, 'Expect the Unexpected' but with cheap CCS</v>
      </c>
      <c r="B480" s="3" t="s">
        <v>46</v>
      </c>
      <c r="C480" s="3" t="s">
        <v>67</v>
      </c>
      <c r="D480" s="14">
        <v>154.73557777463142</v>
      </c>
      <c r="E480" s="14">
        <v>162.76418662806225</v>
      </c>
      <c r="F480" s="14">
        <v>90.613637816084008</v>
      </c>
      <c r="G480" s="14">
        <v>132.60270357542757</v>
      </c>
      <c r="H480" s="14">
        <v>352.38061205099848</v>
      </c>
      <c r="I480" s="14">
        <v>187.94021585480101</v>
      </c>
      <c r="J480" s="14">
        <v>108.96940821501616</v>
      </c>
      <c r="K480" s="14">
        <v>289.71477761749355</v>
      </c>
      <c r="L480" s="14">
        <v>797.98572123209237</v>
      </c>
      <c r="M480" s="14">
        <v>205.71215989678024</v>
      </c>
      <c r="N480" s="14">
        <v>38.147037914086106</v>
      </c>
    </row>
    <row r="481" spans="1:14" x14ac:dyDescent="0.3">
      <c r="A481" s="3" t="str">
        <f>INDEX('R1. Scenario specifications'!$C$11:$C$49,MATCH($B481,'R1. Scenario specifications'!$A$11:$A$49,0))</f>
        <v>Current 2DS, 2030 start, 'Expect the Unexpected' but with cheap CCS</v>
      </c>
      <c r="B481" s="3" t="s">
        <v>46</v>
      </c>
      <c r="C481" s="3" t="s">
        <v>68</v>
      </c>
      <c r="D481" s="14">
        <v>0</v>
      </c>
      <c r="E481" s="14">
        <v>0</v>
      </c>
      <c r="F481" s="14">
        <v>0</v>
      </c>
      <c r="G481" s="14">
        <v>22.553218427439354</v>
      </c>
      <c r="H481" s="14">
        <v>400.3412720274859</v>
      </c>
      <c r="I481" s="14">
        <v>637.73484501359917</v>
      </c>
      <c r="J481" s="14">
        <v>136.63369865207895</v>
      </c>
      <c r="K481" s="14">
        <v>141.88374494356299</v>
      </c>
      <c r="L481" s="14">
        <v>506.92333407919671</v>
      </c>
      <c r="M481" s="14">
        <v>694.02939872881518</v>
      </c>
      <c r="N481" s="14">
        <v>0</v>
      </c>
    </row>
    <row r="482" spans="1:14" x14ac:dyDescent="0.3">
      <c r="A482" s="3" t="str">
        <f>INDEX('R1. Scenario specifications'!$C$11:$C$49,MATCH($B482,'R1. Scenario specifications'!$A$11:$A$49,0))</f>
        <v>Current 2DS, 2030 start, 'Expect the Unexpected' but with cheap CCS</v>
      </c>
      <c r="B482" s="3" t="s">
        <v>46</v>
      </c>
      <c r="C482" s="3" t="s">
        <v>69</v>
      </c>
      <c r="D482" s="14">
        <v>68.24730636209857</v>
      </c>
      <c r="E482" s="14">
        <v>21.625867125843534</v>
      </c>
      <c r="F482" s="14">
        <v>0.39656849116918491</v>
      </c>
      <c r="G482" s="14">
        <v>4.39481081527373</v>
      </c>
      <c r="H482" s="14">
        <v>18.439054726354183</v>
      </c>
      <c r="I482" s="14">
        <v>0</v>
      </c>
      <c r="J482" s="14">
        <v>13.818263395933759</v>
      </c>
      <c r="K482" s="14">
        <v>7.5563375157593207</v>
      </c>
      <c r="L482" s="14">
        <v>77.724937384084001</v>
      </c>
      <c r="M482" s="14">
        <v>50.545577834737259</v>
      </c>
      <c r="N482" s="14">
        <v>100.62994160922901</v>
      </c>
    </row>
    <row r="483" spans="1:14" x14ac:dyDescent="0.3">
      <c r="A483" s="3" t="str">
        <f>INDEX('R1. Scenario specifications'!$C$11:$C$49,MATCH($B483,'R1. Scenario specifications'!$A$11:$A$49,0))</f>
        <v>Current 2DS, 2030 start, 'Expect the Unexpected' but with cheap CCS</v>
      </c>
      <c r="B483" s="3" t="s">
        <v>46</v>
      </c>
      <c r="C483" s="3" t="s">
        <v>70</v>
      </c>
      <c r="D483" s="14">
        <v>12.637708883949241</v>
      </c>
      <c r="E483" s="14">
        <v>82.719415916369499</v>
      </c>
      <c r="F483" s="14">
        <v>97.288686865313664</v>
      </c>
      <c r="G483" s="14">
        <v>401.65756364057171</v>
      </c>
      <c r="H483" s="14">
        <v>1882.8437871582832</v>
      </c>
      <c r="I483" s="14">
        <v>3222.2641899974096</v>
      </c>
      <c r="J483" s="14">
        <v>2281.9965896787166</v>
      </c>
      <c r="K483" s="14">
        <v>4034.0825853768952</v>
      </c>
      <c r="L483" s="14">
        <v>6824.2964756995416</v>
      </c>
      <c r="M483" s="14">
        <v>9064.7923724464417</v>
      </c>
      <c r="N483" s="14">
        <v>6231.4914372986486</v>
      </c>
    </row>
    <row r="484" spans="1:14" x14ac:dyDescent="0.3">
      <c r="A484" s="3" t="str">
        <f>INDEX('R1. Scenario specifications'!$C$11:$C$49,MATCH($B484,'R1. Scenario specifications'!$A$11:$A$49,0))</f>
        <v>Current 2DS, 2030 start, 'Expect the Unexpected' but with cheap CCS</v>
      </c>
      <c r="B484" s="3" t="s">
        <v>46</v>
      </c>
      <c r="C484" s="3" t="s">
        <v>71</v>
      </c>
      <c r="D484" s="14">
        <v>3.9388921868092472E-3</v>
      </c>
      <c r="E484" s="14">
        <v>1.0352472304670233</v>
      </c>
      <c r="F484" s="14">
        <v>1.710734171095331</v>
      </c>
      <c r="G484" s="14">
        <v>10.613038269375846</v>
      </c>
      <c r="H484" s="14">
        <v>1.4567584740198549</v>
      </c>
      <c r="I484" s="14">
        <v>5.6512966655079877</v>
      </c>
      <c r="J484" s="14">
        <v>6.6074503370628781</v>
      </c>
      <c r="K484" s="14">
        <v>3.3865068168250478</v>
      </c>
      <c r="L484" s="14">
        <v>6.282616138392445</v>
      </c>
      <c r="M484" s="14">
        <v>6.2169342076380687</v>
      </c>
      <c r="N484" s="14">
        <v>4.6564051855378681</v>
      </c>
    </row>
    <row r="485" spans="1:14" x14ac:dyDescent="0.3">
      <c r="A485" s="3" t="str">
        <f>INDEX('R1. Scenario specifications'!$C$11:$C$49,MATCH($B485,'R1. Scenario specifications'!$A$11:$A$49,0))</f>
        <v>Current 2DS, 2030 start, 'Expect the Unexpected' but with cheap CCS</v>
      </c>
      <c r="B485" s="3" t="s">
        <v>46</v>
      </c>
      <c r="C485" s="3" t="s">
        <v>72</v>
      </c>
      <c r="D485" s="14">
        <v>164.94116315871048</v>
      </c>
      <c r="E485" s="14">
        <v>30.000000000000007</v>
      </c>
      <c r="F485" s="14">
        <v>130.00000000000006</v>
      </c>
      <c r="G485" s="14">
        <v>1203.724349327679</v>
      </c>
      <c r="H485" s="14">
        <v>2261.7761169179048</v>
      </c>
      <c r="I485" s="14">
        <v>1958.7756565591719</v>
      </c>
      <c r="J485" s="14">
        <v>3448.6713854885616</v>
      </c>
      <c r="K485" s="14">
        <v>3833.336993839951</v>
      </c>
      <c r="L485" s="14">
        <v>6110.6734232119061</v>
      </c>
      <c r="M485" s="14">
        <v>11056.381502924785</v>
      </c>
      <c r="N485" s="14">
        <v>9253.1214050304879</v>
      </c>
    </row>
    <row r="486" spans="1:14" x14ac:dyDescent="0.3">
      <c r="A486" s="3" t="str">
        <f>INDEX('R1. Scenario specifications'!$C$11:$C$49,MATCH($B486,'R1. Scenario specifications'!$A$11:$A$49,0))</f>
        <v>Current 2DS, 2020 start, 'Expect the Unexpected' but with cheap EVs</v>
      </c>
      <c r="B486" s="3" t="s">
        <v>47</v>
      </c>
      <c r="C486" s="3" t="s">
        <v>63</v>
      </c>
      <c r="D486" s="14">
        <v>0</v>
      </c>
      <c r="E486" s="14">
        <v>8.3774952878671591</v>
      </c>
      <c r="F486" s="14">
        <v>93.789531468729919</v>
      </c>
      <c r="G486" s="14">
        <v>349.96542730571792</v>
      </c>
      <c r="H486" s="14">
        <v>98.434899551194349</v>
      </c>
      <c r="I486" s="14">
        <v>180.71730280110086</v>
      </c>
      <c r="J486" s="14">
        <v>37.858774271586469</v>
      </c>
      <c r="K486" s="14">
        <v>0</v>
      </c>
      <c r="L486" s="14">
        <v>5.4853128222963896</v>
      </c>
      <c r="M486" s="14">
        <v>0.47646502498277599</v>
      </c>
      <c r="N486" s="14">
        <v>0</v>
      </c>
    </row>
    <row r="487" spans="1:14" x14ac:dyDescent="0.3">
      <c r="A487" s="3" t="str">
        <f>INDEX('R1. Scenario specifications'!$C$11:$C$49,MATCH($B487,'R1. Scenario specifications'!$A$11:$A$49,0))</f>
        <v>Current 2DS, 2020 start, 'Expect the Unexpected' but with cheap EVs</v>
      </c>
      <c r="B487" s="3" t="s">
        <v>47</v>
      </c>
      <c r="C487" s="3" t="s">
        <v>73</v>
      </c>
      <c r="D487" s="14">
        <v>0</v>
      </c>
      <c r="E487" s="14">
        <v>0</v>
      </c>
      <c r="F487" s="14">
        <v>0</v>
      </c>
      <c r="G487" s="14">
        <v>7.2038579960429363</v>
      </c>
      <c r="H487" s="14">
        <v>37.16876557725184</v>
      </c>
      <c r="I487" s="14">
        <v>243.84846046353505</v>
      </c>
      <c r="J487" s="14">
        <v>843.77614144531822</v>
      </c>
      <c r="K487" s="14">
        <v>721.86329270820841</v>
      </c>
      <c r="L487" s="14">
        <v>1040.0713457387401</v>
      </c>
      <c r="M487" s="14">
        <v>1258.6126646884202</v>
      </c>
      <c r="N487" s="14">
        <v>865.83631000646358</v>
      </c>
    </row>
    <row r="488" spans="1:14" x14ac:dyDescent="0.3">
      <c r="A488" s="3" t="str">
        <f>INDEX('R1. Scenario specifications'!$C$11:$C$49,MATCH($B488,'R1. Scenario specifications'!$A$11:$A$49,0))</f>
        <v>Current 2DS, 2020 start, 'Expect the Unexpected' but with cheap EVs</v>
      </c>
      <c r="B488" s="3" t="s">
        <v>47</v>
      </c>
      <c r="C488" s="3" t="s">
        <v>64</v>
      </c>
      <c r="D488" s="14">
        <v>545.32032761765083</v>
      </c>
      <c r="E488" s="14">
        <v>171.97506671901115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</row>
    <row r="489" spans="1:14" x14ac:dyDescent="0.3">
      <c r="A489" s="3" t="str">
        <f>INDEX('R1. Scenario specifications'!$C$11:$C$49,MATCH($B489,'R1. Scenario specifications'!$A$11:$A$49,0))</f>
        <v>Current 2DS, 2020 start, 'Expect the Unexpected' but with cheap EVs</v>
      </c>
      <c r="B489" s="3" t="s">
        <v>47</v>
      </c>
      <c r="C489" s="3" t="s">
        <v>65</v>
      </c>
      <c r="D489" s="14">
        <v>172.55578195052306</v>
      </c>
      <c r="E489" s="14">
        <v>625.93335166737552</v>
      </c>
      <c r="F489" s="14">
        <v>477.14024472244631</v>
      </c>
      <c r="G489" s="14">
        <v>33.433396017735035</v>
      </c>
      <c r="H489" s="14">
        <v>164.13534268703239</v>
      </c>
      <c r="I489" s="14">
        <v>564.8979231265107</v>
      </c>
      <c r="J489" s="14">
        <v>426.1171921919651</v>
      </c>
      <c r="K489" s="14">
        <v>106.82863152155183</v>
      </c>
      <c r="L489" s="14">
        <v>69.404280395616695</v>
      </c>
      <c r="M489" s="14">
        <v>97.033739915329278</v>
      </c>
      <c r="N489" s="14">
        <v>116.2586721525192</v>
      </c>
    </row>
    <row r="490" spans="1:14" x14ac:dyDescent="0.3">
      <c r="A490" s="3" t="str">
        <f>INDEX('R1. Scenario specifications'!$C$11:$C$49,MATCH($B490,'R1. Scenario specifications'!$A$11:$A$49,0))</f>
        <v>Current 2DS, 2020 start, 'Expect the Unexpected' but with cheap EVs</v>
      </c>
      <c r="B490" s="3" t="s">
        <v>47</v>
      </c>
      <c r="C490" s="3" t="s">
        <v>74</v>
      </c>
      <c r="D490" s="14">
        <v>0</v>
      </c>
      <c r="E490" s="14">
        <v>0</v>
      </c>
      <c r="F490" s="14">
        <v>0</v>
      </c>
      <c r="G490" s="14">
        <v>0</v>
      </c>
      <c r="H490" s="14">
        <v>2.8258981313322402</v>
      </c>
      <c r="I490" s="14">
        <v>5.1584221986004097</v>
      </c>
      <c r="J490" s="14">
        <v>1.7411364404752869</v>
      </c>
      <c r="K490" s="14">
        <v>121.06441609933727</v>
      </c>
      <c r="L490" s="14">
        <v>1017.0906490039225</v>
      </c>
      <c r="M490" s="14">
        <v>256.21073197147894</v>
      </c>
      <c r="N490" s="14">
        <v>268.72608501107737</v>
      </c>
    </row>
    <row r="491" spans="1:14" x14ac:dyDescent="0.3">
      <c r="A491" s="3" t="str">
        <f>INDEX('R1. Scenario specifications'!$C$11:$C$49,MATCH($B491,'R1. Scenario specifications'!$A$11:$A$49,0))</f>
        <v>Current 2DS, 2020 start, 'Expect the Unexpected' but with cheap EVs</v>
      </c>
      <c r="B491" s="3" t="s">
        <v>47</v>
      </c>
      <c r="C491" s="3" t="s">
        <v>66</v>
      </c>
      <c r="D491" s="14">
        <v>0.27881728888888901</v>
      </c>
      <c r="E491" s="14">
        <v>0.33361993333333301</v>
      </c>
      <c r="F491" s="14">
        <v>88.922972540092587</v>
      </c>
      <c r="G491" s="14">
        <v>53.53277898674402</v>
      </c>
      <c r="H491" s="14">
        <v>58.799887564600134</v>
      </c>
      <c r="I491" s="14">
        <v>226.42204212557795</v>
      </c>
      <c r="J491" s="14">
        <v>161.76813159072191</v>
      </c>
      <c r="K491" s="14">
        <v>65.751029608279993</v>
      </c>
      <c r="L491" s="14">
        <v>350.97781611575272</v>
      </c>
      <c r="M491" s="14">
        <v>310.4995481045043</v>
      </c>
      <c r="N491" s="14">
        <v>217.72226970529644</v>
      </c>
    </row>
    <row r="492" spans="1:14" x14ac:dyDescent="0.3">
      <c r="A492" s="3" t="str">
        <f>INDEX('R1. Scenario specifications'!$C$11:$C$49,MATCH($B492,'R1. Scenario specifications'!$A$11:$A$49,0))</f>
        <v>Current 2DS, 2020 start, 'Expect the Unexpected' but with cheap EVs</v>
      </c>
      <c r="B492" s="3" t="s">
        <v>47</v>
      </c>
      <c r="C492" s="3" t="s">
        <v>67</v>
      </c>
      <c r="D492" s="14">
        <v>154.73557777463142</v>
      </c>
      <c r="E492" s="14">
        <v>162.76418662806225</v>
      </c>
      <c r="F492" s="14">
        <v>90.613637816084008</v>
      </c>
      <c r="G492" s="14">
        <v>183.34906544996517</v>
      </c>
      <c r="H492" s="14">
        <v>260.53123185369139</v>
      </c>
      <c r="I492" s="14">
        <v>194.18151144654195</v>
      </c>
      <c r="J492" s="14">
        <v>216.30621435063702</v>
      </c>
      <c r="K492" s="14">
        <v>287.80771929017476</v>
      </c>
      <c r="L492" s="14">
        <v>556.68791870335269</v>
      </c>
      <c r="M492" s="14">
        <v>354.92670204194201</v>
      </c>
      <c r="N492" s="14">
        <v>28.760093490294945</v>
      </c>
    </row>
    <row r="493" spans="1:14" x14ac:dyDescent="0.3">
      <c r="A493" s="3" t="str">
        <f>INDEX('R1. Scenario specifications'!$C$11:$C$49,MATCH($B493,'R1. Scenario specifications'!$A$11:$A$49,0))</f>
        <v>Current 2DS, 2020 start, 'Expect the Unexpected' but with cheap EVs</v>
      </c>
      <c r="B493" s="3" t="s">
        <v>47</v>
      </c>
      <c r="C493" s="3" t="s">
        <v>68</v>
      </c>
      <c r="D493" s="14">
        <v>0</v>
      </c>
      <c r="E493" s="14">
        <v>0</v>
      </c>
      <c r="F493" s="14">
        <v>0</v>
      </c>
      <c r="G493" s="14">
        <v>69.716908539002176</v>
      </c>
      <c r="H493" s="14">
        <v>323.51127288405621</v>
      </c>
      <c r="I493" s="14">
        <v>648.97736415744828</v>
      </c>
      <c r="J493" s="14">
        <v>158.57821152390537</v>
      </c>
      <c r="K493" s="14">
        <v>153.58089942255353</v>
      </c>
      <c r="L493" s="14">
        <v>460.77547954471095</v>
      </c>
      <c r="M493" s="14">
        <v>706.53558591248429</v>
      </c>
      <c r="N493" s="14">
        <v>0</v>
      </c>
    </row>
    <row r="494" spans="1:14" x14ac:dyDescent="0.3">
      <c r="A494" s="3" t="str">
        <f>INDEX('R1. Scenario specifications'!$C$11:$C$49,MATCH($B494,'R1. Scenario specifications'!$A$11:$A$49,0))</f>
        <v>Current 2DS, 2020 start, 'Expect the Unexpected' but with cheap EVs</v>
      </c>
      <c r="B494" s="3" t="s">
        <v>47</v>
      </c>
      <c r="C494" s="3" t="s">
        <v>69</v>
      </c>
      <c r="D494" s="14">
        <v>68.24730636209857</v>
      </c>
      <c r="E494" s="14">
        <v>21.625867125843534</v>
      </c>
      <c r="F494" s="14">
        <v>0.39656849116918491</v>
      </c>
      <c r="G494" s="14">
        <v>2.5536160036621101</v>
      </c>
      <c r="H494" s="14">
        <v>17.735316855471471</v>
      </c>
      <c r="I494" s="14">
        <v>0</v>
      </c>
      <c r="J494" s="14">
        <v>12.330935574181529</v>
      </c>
      <c r="K494" s="14">
        <v>0</v>
      </c>
      <c r="L494" s="14">
        <v>75.339832950564414</v>
      </c>
      <c r="M494" s="14">
        <v>39.518736853535131</v>
      </c>
      <c r="N494" s="14">
        <v>114.5018822425196</v>
      </c>
    </row>
    <row r="495" spans="1:14" x14ac:dyDescent="0.3">
      <c r="A495" s="3" t="str">
        <f>INDEX('R1. Scenario specifications'!$C$11:$C$49,MATCH($B495,'R1. Scenario specifications'!$A$11:$A$49,0))</f>
        <v>Current 2DS, 2020 start, 'Expect the Unexpected' but with cheap EVs</v>
      </c>
      <c r="B495" s="3" t="s">
        <v>47</v>
      </c>
      <c r="C495" s="3" t="s">
        <v>70</v>
      </c>
      <c r="D495" s="14">
        <v>12.637708883949241</v>
      </c>
      <c r="E495" s="14">
        <v>82.719415916369499</v>
      </c>
      <c r="F495" s="14">
        <v>97.288686865313664</v>
      </c>
      <c r="G495" s="14">
        <v>529.48721481650102</v>
      </c>
      <c r="H495" s="14">
        <v>2122.1775499837777</v>
      </c>
      <c r="I495" s="14">
        <v>2900.9016653179065</v>
      </c>
      <c r="J495" s="14">
        <v>2097.6899357861153</v>
      </c>
      <c r="K495" s="14">
        <v>4435.9051678037904</v>
      </c>
      <c r="L495" s="14">
        <v>5363.2195812125638</v>
      </c>
      <c r="M495" s="14">
        <v>8737.2525366561204</v>
      </c>
      <c r="N495" s="14">
        <v>7140.3394795503955</v>
      </c>
    </row>
    <row r="496" spans="1:14" x14ac:dyDescent="0.3">
      <c r="A496" s="3" t="str">
        <f>INDEX('R1. Scenario specifications'!$C$11:$C$49,MATCH($B496,'R1. Scenario specifications'!$A$11:$A$49,0))</f>
        <v>Current 2DS, 2020 start, 'Expect the Unexpected' but with cheap EVs</v>
      </c>
      <c r="B496" s="3" t="s">
        <v>47</v>
      </c>
      <c r="C496" s="3" t="s">
        <v>71</v>
      </c>
      <c r="D496" s="14">
        <v>3.9388921868092472E-3</v>
      </c>
      <c r="E496" s="14">
        <v>1.0352472304670233</v>
      </c>
      <c r="F496" s="14">
        <v>1.710734171095331</v>
      </c>
      <c r="G496" s="14">
        <v>10.612638265775848</v>
      </c>
      <c r="H496" s="14">
        <v>1.4617068396369914</v>
      </c>
      <c r="I496" s="14">
        <v>5.6657599553605813</v>
      </c>
      <c r="J496" s="14">
        <v>6.6796341150064906</v>
      </c>
      <c r="K496" s="14">
        <v>3.7337086311251122</v>
      </c>
      <c r="L496" s="14">
        <v>7.1353754155951723</v>
      </c>
      <c r="M496" s="14">
        <v>10.317593453164577</v>
      </c>
      <c r="N496" s="14">
        <v>5.2257049470913604</v>
      </c>
    </row>
    <row r="497" spans="1:14" x14ac:dyDescent="0.3">
      <c r="A497" s="3" t="str">
        <f>INDEX('R1. Scenario specifications'!$C$11:$C$49,MATCH($B497,'R1. Scenario specifications'!$A$11:$A$49,0))</f>
        <v>Current 2DS, 2020 start, 'Expect the Unexpected' but with cheap EVs</v>
      </c>
      <c r="B497" s="3" t="s">
        <v>47</v>
      </c>
      <c r="C497" s="3" t="s">
        <v>72</v>
      </c>
      <c r="D497" s="14">
        <v>164.94116315871048</v>
      </c>
      <c r="E497" s="14">
        <v>30.000000000000007</v>
      </c>
      <c r="F497" s="14">
        <v>130.00000000000006</v>
      </c>
      <c r="G497" s="14">
        <v>1185.5005087326144</v>
      </c>
      <c r="H497" s="14">
        <v>2271.5635293816431</v>
      </c>
      <c r="I497" s="14">
        <v>2045.115138888734</v>
      </c>
      <c r="J497" s="14">
        <v>3338.4349688863067</v>
      </c>
      <c r="K497" s="14">
        <v>3893.9444152756441</v>
      </c>
      <c r="L497" s="14">
        <v>5700.6213408186713</v>
      </c>
      <c r="M497" s="14">
        <v>10496.397678800829</v>
      </c>
      <c r="N497" s="14">
        <v>9658.8646869275362</v>
      </c>
    </row>
    <row r="498" spans="1:14" x14ac:dyDescent="0.3">
      <c r="A498" s="3" t="str">
        <f>INDEX('R1. Scenario specifications'!$C$11:$C$49,MATCH($B498,'R1. Scenario specifications'!$A$11:$A$49,0))</f>
        <v>Current 2DS, 2030 start, 'Expect the Unexpected' but with cheap EVs</v>
      </c>
      <c r="B498" s="3" t="s">
        <v>48</v>
      </c>
      <c r="C498" s="3" t="s">
        <v>63</v>
      </c>
      <c r="D498" s="14">
        <v>0</v>
      </c>
      <c r="E498" s="14">
        <v>8.3774952878671591</v>
      </c>
      <c r="F498" s="14">
        <v>93.789531468729919</v>
      </c>
      <c r="G498" s="14">
        <v>300.17967178830617</v>
      </c>
      <c r="H498" s="14">
        <v>236.45814066517187</v>
      </c>
      <c r="I498" s="14">
        <v>96.546149844038254</v>
      </c>
      <c r="J498" s="14">
        <v>50.271439895314892</v>
      </c>
      <c r="K498" s="14">
        <v>0</v>
      </c>
      <c r="L498" s="14">
        <v>6.1410339106258096</v>
      </c>
      <c r="M498" s="14">
        <v>0</v>
      </c>
      <c r="N498" s="14">
        <v>0</v>
      </c>
    </row>
    <row r="499" spans="1:14" x14ac:dyDescent="0.3">
      <c r="A499" s="3" t="str">
        <f>INDEX('R1. Scenario specifications'!$C$11:$C$49,MATCH($B499,'R1. Scenario specifications'!$A$11:$A$49,0))</f>
        <v>Current 2DS, 2030 start, 'Expect the Unexpected' but with cheap EVs</v>
      </c>
      <c r="B499" s="3" t="s">
        <v>48</v>
      </c>
      <c r="C499" s="3" t="s">
        <v>73</v>
      </c>
      <c r="D499" s="14">
        <v>0</v>
      </c>
      <c r="E499" s="14">
        <v>0</v>
      </c>
      <c r="F499" s="14">
        <v>0</v>
      </c>
      <c r="G499" s="14">
        <v>0</v>
      </c>
      <c r="H499" s="14">
        <v>20.526033206764048</v>
      </c>
      <c r="I499" s="14">
        <v>122.01765206946405</v>
      </c>
      <c r="J499" s="14">
        <v>695.3265995365424</v>
      </c>
      <c r="K499" s="14">
        <v>1122.2254790637369</v>
      </c>
      <c r="L499" s="14">
        <v>1042.4532692671223</v>
      </c>
      <c r="M499" s="14">
        <v>785.71212412551006</v>
      </c>
      <c r="N499" s="14">
        <v>1579.6240524181458</v>
      </c>
    </row>
    <row r="500" spans="1:14" x14ac:dyDescent="0.3">
      <c r="A500" s="3" t="str">
        <f>INDEX('R1. Scenario specifications'!$C$11:$C$49,MATCH($B500,'R1. Scenario specifications'!$A$11:$A$49,0))</f>
        <v>Current 2DS, 2030 start, 'Expect the Unexpected' but with cheap EVs</v>
      </c>
      <c r="B500" s="3" t="s">
        <v>48</v>
      </c>
      <c r="C500" s="3" t="s">
        <v>64</v>
      </c>
      <c r="D500" s="14">
        <v>545.32032761765083</v>
      </c>
      <c r="E500" s="14">
        <v>171.97506671901115</v>
      </c>
      <c r="F500" s="14">
        <v>0</v>
      </c>
      <c r="G500" s="14">
        <v>16.396787724521602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</row>
    <row r="501" spans="1:14" x14ac:dyDescent="0.3">
      <c r="A501" s="3" t="str">
        <f>INDEX('R1. Scenario specifications'!$C$11:$C$49,MATCH($B501,'R1. Scenario specifications'!$A$11:$A$49,0))</f>
        <v>Current 2DS, 2030 start, 'Expect the Unexpected' but with cheap EVs</v>
      </c>
      <c r="B501" s="3" t="s">
        <v>48</v>
      </c>
      <c r="C501" s="3" t="s">
        <v>65</v>
      </c>
      <c r="D501" s="14">
        <v>172.55578195052306</v>
      </c>
      <c r="E501" s="14">
        <v>625.93335166737552</v>
      </c>
      <c r="F501" s="14">
        <v>477.14024472244631</v>
      </c>
      <c r="G501" s="14">
        <v>16.783672963106241</v>
      </c>
      <c r="H501" s="14">
        <v>151.20247789159384</v>
      </c>
      <c r="I501" s="14">
        <v>575.66259780338396</v>
      </c>
      <c r="J501" s="14">
        <v>337.18442037936722</v>
      </c>
      <c r="K501" s="14">
        <v>85.510689763267521</v>
      </c>
      <c r="L501" s="14">
        <v>93.506048577551638</v>
      </c>
      <c r="M501" s="14">
        <v>68.070486246193155</v>
      </c>
      <c r="N501" s="14">
        <v>156.08892704784441</v>
      </c>
    </row>
    <row r="502" spans="1:14" x14ac:dyDescent="0.3">
      <c r="A502" s="3" t="str">
        <f>INDEX('R1. Scenario specifications'!$C$11:$C$49,MATCH($B502,'R1. Scenario specifications'!$A$11:$A$49,0))</f>
        <v>Current 2DS, 2030 start, 'Expect the Unexpected' but with cheap EVs</v>
      </c>
      <c r="B502" s="3" t="s">
        <v>48</v>
      </c>
      <c r="C502" s="3" t="s">
        <v>74</v>
      </c>
      <c r="D502" s="14">
        <v>0</v>
      </c>
      <c r="E502" s="14">
        <v>0</v>
      </c>
      <c r="F502" s="14">
        <v>0</v>
      </c>
      <c r="G502" s="14">
        <v>0</v>
      </c>
      <c r="H502" s="14">
        <v>5.3076216022836862</v>
      </c>
      <c r="I502" s="14">
        <v>11.01364183051788</v>
      </c>
      <c r="J502" s="14">
        <v>71.716388665622119</v>
      </c>
      <c r="K502" s="14">
        <v>167.71352226990393</v>
      </c>
      <c r="L502" s="14">
        <v>781.96651056662461</v>
      </c>
      <c r="M502" s="14">
        <v>473.97826745849295</v>
      </c>
      <c r="N502" s="14">
        <v>101.54631530647231</v>
      </c>
    </row>
    <row r="503" spans="1:14" x14ac:dyDescent="0.3">
      <c r="A503" s="3" t="str">
        <f>INDEX('R1. Scenario specifications'!$C$11:$C$49,MATCH($B503,'R1. Scenario specifications'!$A$11:$A$49,0))</f>
        <v>Current 2DS, 2030 start, 'Expect the Unexpected' but with cheap EVs</v>
      </c>
      <c r="B503" s="3" t="s">
        <v>48</v>
      </c>
      <c r="C503" s="3" t="s">
        <v>66</v>
      </c>
      <c r="D503" s="14">
        <v>0.27881728888888901</v>
      </c>
      <c r="E503" s="14">
        <v>0.33361993333333301</v>
      </c>
      <c r="F503" s="14">
        <v>88.922972540092587</v>
      </c>
      <c r="G503" s="14">
        <v>53.162220652850131</v>
      </c>
      <c r="H503" s="14">
        <v>58.799887564600134</v>
      </c>
      <c r="I503" s="14">
        <v>293.18864840487322</v>
      </c>
      <c r="J503" s="14">
        <v>110.79702404337172</v>
      </c>
      <c r="K503" s="14">
        <v>50.506529352466792</v>
      </c>
      <c r="L503" s="14">
        <v>310.24318967705892</v>
      </c>
      <c r="M503" s="14">
        <v>480.50233931160096</v>
      </c>
      <c r="N503" s="14">
        <v>232.4540244955711</v>
      </c>
    </row>
    <row r="504" spans="1:14" x14ac:dyDescent="0.3">
      <c r="A504" s="3" t="str">
        <f>INDEX('R1. Scenario specifications'!$C$11:$C$49,MATCH($B504,'R1. Scenario specifications'!$A$11:$A$49,0))</f>
        <v>Current 2DS, 2030 start, 'Expect the Unexpected' but with cheap EVs</v>
      </c>
      <c r="B504" s="3" t="s">
        <v>48</v>
      </c>
      <c r="C504" s="3" t="s">
        <v>67</v>
      </c>
      <c r="D504" s="14">
        <v>154.73557777463142</v>
      </c>
      <c r="E504" s="14">
        <v>162.76418662806225</v>
      </c>
      <c r="F504" s="14">
        <v>90.613637816084008</v>
      </c>
      <c r="G504" s="14">
        <v>132.60270357542757</v>
      </c>
      <c r="H504" s="14">
        <v>361.38473342604266</v>
      </c>
      <c r="I504" s="14">
        <v>180.50757939756545</v>
      </c>
      <c r="J504" s="14">
        <v>144.05922430380775</v>
      </c>
      <c r="K504" s="14">
        <v>302.0202083351441</v>
      </c>
      <c r="L504" s="14">
        <v>744.89528529626045</v>
      </c>
      <c r="M504" s="14">
        <v>199.81670825196178</v>
      </c>
      <c r="N504" s="14">
        <v>36.947462025214264</v>
      </c>
    </row>
    <row r="505" spans="1:14" x14ac:dyDescent="0.3">
      <c r="A505" s="3" t="str">
        <f>INDEX('R1. Scenario specifications'!$C$11:$C$49,MATCH($B505,'R1. Scenario specifications'!$A$11:$A$49,0))</f>
        <v>Current 2DS, 2030 start, 'Expect the Unexpected' but with cheap EVs</v>
      </c>
      <c r="B505" s="3" t="s">
        <v>48</v>
      </c>
      <c r="C505" s="3" t="s">
        <v>68</v>
      </c>
      <c r="D505" s="14">
        <v>0</v>
      </c>
      <c r="E505" s="14">
        <v>0</v>
      </c>
      <c r="F505" s="14">
        <v>0</v>
      </c>
      <c r="G505" s="14">
        <v>22.553218427439354</v>
      </c>
      <c r="H505" s="14">
        <v>398.04549721037694</v>
      </c>
      <c r="I505" s="14">
        <v>643.62027028254056</v>
      </c>
      <c r="J505" s="14">
        <v>135.60411135268188</v>
      </c>
      <c r="K505" s="14">
        <v>126.29360318416391</v>
      </c>
      <c r="L505" s="14">
        <v>516.26398655996093</v>
      </c>
      <c r="M505" s="14">
        <v>701.30847530684787</v>
      </c>
      <c r="N505" s="14">
        <v>0</v>
      </c>
    </row>
    <row r="506" spans="1:14" x14ac:dyDescent="0.3">
      <c r="A506" s="3" t="str">
        <f>INDEX('R1. Scenario specifications'!$C$11:$C$49,MATCH($B506,'R1. Scenario specifications'!$A$11:$A$49,0))</f>
        <v>Current 2DS, 2030 start, 'Expect the Unexpected' but with cheap EVs</v>
      </c>
      <c r="B506" s="3" t="s">
        <v>48</v>
      </c>
      <c r="C506" s="3" t="s">
        <v>69</v>
      </c>
      <c r="D506" s="14">
        <v>68.24730636209857</v>
      </c>
      <c r="E506" s="14">
        <v>21.625867125843534</v>
      </c>
      <c r="F506" s="14">
        <v>0.39656849116918491</v>
      </c>
      <c r="G506" s="14">
        <v>4.39481081527373</v>
      </c>
      <c r="H506" s="14">
        <v>14.004059098060768</v>
      </c>
      <c r="I506" s="14">
        <v>0</v>
      </c>
      <c r="J506" s="14">
        <v>13.72094117752351</v>
      </c>
      <c r="K506" s="14">
        <v>6.02931083836926</v>
      </c>
      <c r="L506" s="14">
        <v>78.200452723307791</v>
      </c>
      <c r="M506" s="14">
        <v>50.862047774870675</v>
      </c>
      <c r="N506" s="14">
        <v>100.7738697654006</v>
      </c>
    </row>
    <row r="507" spans="1:14" x14ac:dyDescent="0.3">
      <c r="A507" s="3" t="str">
        <f>INDEX('R1. Scenario specifications'!$C$11:$C$49,MATCH($B507,'R1. Scenario specifications'!$A$11:$A$49,0))</f>
        <v>Current 2DS, 2030 start, 'Expect the Unexpected' but with cheap EVs</v>
      </c>
      <c r="B507" s="3" t="s">
        <v>48</v>
      </c>
      <c r="C507" s="3" t="s">
        <v>70</v>
      </c>
      <c r="D507" s="14">
        <v>12.637708883949241</v>
      </c>
      <c r="E507" s="14">
        <v>82.719415916369499</v>
      </c>
      <c r="F507" s="14">
        <v>97.288686865313664</v>
      </c>
      <c r="G507" s="14">
        <v>401.65756364057171</v>
      </c>
      <c r="H507" s="14">
        <v>1869.7382842197403</v>
      </c>
      <c r="I507" s="14">
        <v>3236.7628902771103</v>
      </c>
      <c r="J507" s="14">
        <v>2252.9622648140421</v>
      </c>
      <c r="K507" s="14">
        <v>3991.4293064262401</v>
      </c>
      <c r="L507" s="14">
        <v>6541.4752165346572</v>
      </c>
      <c r="M507" s="14">
        <v>9003.7226567021498</v>
      </c>
      <c r="N507" s="14">
        <v>6436.0284701330393</v>
      </c>
    </row>
    <row r="508" spans="1:14" x14ac:dyDescent="0.3">
      <c r="A508" s="3" t="str">
        <f>INDEX('R1. Scenario specifications'!$C$11:$C$49,MATCH($B508,'R1. Scenario specifications'!$A$11:$A$49,0))</f>
        <v>Current 2DS, 2030 start, 'Expect the Unexpected' but with cheap EVs</v>
      </c>
      <c r="B508" s="3" t="s">
        <v>48</v>
      </c>
      <c r="C508" s="3" t="s">
        <v>71</v>
      </c>
      <c r="D508" s="14">
        <v>3.9388921868092472E-3</v>
      </c>
      <c r="E508" s="14">
        <v>1.0352472304670233</v>
      </c>
      <c r="F508" s="14">
        <v>1.710734171095331</v>
      </c>
      <c r="G508" s="14">
        <v>10.613038269375846</v>
      </c>
      <c r="H508" s="14">
        <v>1.4567584740198549</v>
      </c>
      <c r="I508" s="14">
        <v>5.6512966655079877</v>
      </c>
      <c r="J508" s="14">
        <v>6.6074503370628781</v>
      </c>
      <c r="K508" s="14">
        <v>3.3865068168250478</v>
      </c>
      <c r="L508" s="14">
        <v>6.282616138392445</v>
      </c>
      <c r="M508" s="14">
        <v>6.2169342076380687</v>
      </c>
      <c r="N508" s="14">
        <v>4.6564051855378681</v>
      </c>
    </row>
    <row r="509" spans="1:14" x14ac:dyDescent="0.3">
      <c r="A509" s="3" t="str">
        <f>INDEX('R1. Scenario specifications'!$C$11:$C$49,MATCH($B509,'R1. Scenario specifications'!$A$11:$A$49,0))</f>
        <v>Current 2DS, 2030 start, 'Expect the Unexpected' but with cheap EVs</v>
      </c>
      <c r="B509" s="3" t="s">
        <v>48</v>
      </c>
      <c r="C509" s="3" t="s">
        <v>72</v>
      </c>
      <c r="D509" s="14">
        <v>164.94116315871048</v>
      </c>
      <c r="E509" s="14">
        <v>30.000000000000007</v>
      </c>
      <c r="F509" s="14">
        <v>130.00000000000006</v>
      </c>
      <c r="G509" s="14">
        <v>1203.724349327679</v>
      </c>
      <c r="H509" s="14">
        <v>2245.680193014739</v>
      </c>
      <c r="I509" s="14">
        <v>2033.019370232558</v>
      </c>
      <c r="J509" s="14">
        <v>3412.9113137974296</v>
      </c>
      <c r="K509" s="14">
        <v>3901.1264924647908</v>
      </c>
      <c r="L509" s="14">
        <v>6119.5140082610951</v>
      </c>
      <c r="M509" s="14">
        <v>10945.537662443767</v>
      </c>
      <c r="N509" s="14">
        <v>9457.3729163602293</v>
      </c>
    </row>
    <row r="510" spans="1:14" x14ac:dyDescent="0.3">
      <c r="A510" s="3" t="str">
        <f>INDEX('R1. Scenario specifications'!$C$11:$C$49,MATCH($B510,'R1. Scenario specifications'!$A$11:$A$49,0))</f>
        <v>Current 2DS, 2020 start, 'Expect the Unexpected' but with cheap energy efficiency</v>
      </c>
      <c r="B510" s="3" t="s">
        <v>49</v>
      </c>
      <c r="C510" s="3" t="s">
        <v>63</v>
      </c>
      <c r="D510" s="14">
        <v>0</v>
      </c>
      <c r="E510" s="14">
        <v>8.3774952878671591</v>
      </c>
      <c r="F510" s="14">
        <v>93.789531468729919</v>
      </c>
      <c r="G510" s="14">
        <v>334.99227998822181</v>
      </c>
      <c r="H510" s="14">
        <v>84.017913716308655</v>
      </c>
      <c r="I510" s="14">
        <v>197.8708612771411</v>
      </c>
      <c r="J510" s="14">
        <v>52.360354653156229</v>
      </c>
      <c r="K510" s="14">
        <v>0</v>
      </c>
      <c r="L510" s="14">
        <v>1.78698953739248</v>
      </c>
      <c r="M510" s="14">
        <v>4.1592449977806396</v>
      </c>
      <c r="N510" s="14">
        <v>0</v>
      </c>
    </row>
    <row r="511" spans="1:14" x14ac:dyDescent="0.3">
      <c r="A511" s="3" t="str">
        <f>INDEX('R1. Scenario specifications'!$C$11:$C$49,MATCH($B511,'R1. Scenario specifications'!$A$11:$A$49,0))</f>
        <v>Current 2DS, 2020 start, 'Expect the Unexpected' but with cheap energy efficiency</v>
      </c>
      <c r="B511" s="3" t="s">
        <v>49</v>
      </c>
      <c r="C511" s="3" t="s">
        <v>73</v>
      </c>
      <c r="D511" s="14">
        <v>0</v>
      </c>
      <c r="E511" s="14">
        <v>0</v>
      </c>
      <c r="F511" s="14">
        <v>0</v>
      </c>
      <c r="G511" s="14">
        <v>2.9729870970485912</v>
      </c>
      <c r="H511" s="14">
        <v>21.319182283186592</v>
      </c>
      <c r="I511" s="14">
        <v>131.88933209627382</v>
      </c>
      <c r="J511" s="14">
        <v>454.84464037357014</v>
      </c>
      <c r="K511" s="14">
        <v>708.45184632042231</v>
      </c>
      <c r="L511" s="14">
        <v>1108.4500175960047</v>
      </c>
      <c r="M511" s="14">
        <v>761.82788345186384</v>
      </c>
      <c r="N511" s="14">
        <v>1630.080485596169</v>
      </c>
    </row>
    <row r="512" spans="1:14" x14ac:dyDescent="0.3">
      <c r="A512" s="3" t="str">
        <f>INDEX('R1. Scenario specifications'!$C$11:$C$49,MATCH($B512,'R1. Scenario specifications'!$A$11:$A$49,0))</f>
        <v>Current 2DS, 2020 start, 'Expect the Unexpected' but with cheap energy efficiency</v>
      </c>
      <c r="B512" s="3" t="s">
        <v>49</v>
      </c>
      <c r="C512" s="3" t="s">
        <v>64</v>
      </c>
      <c r="D512" s="14">
        <v>545.32032761765083</v>
      </c>
      <c r="E512" s="14">
        <v>171.97506671901115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</row>
    <row r="513" spans="1:14" x14ac:dyDescent="0.3">
      <c r="A513" s="3" t="str">
        <f>INDEX('R1. Scenario specifications'!$C$11:$C$49,MATCH($B513,'R1. Scenario specifications'!$A$11:$A$49,0))</f>
        <v>Current 2DS, 2020 start, 'Expect the Unexpected' but with cheap energy efficiency</v>
      </c>
      <c r="B513" s="3" t="s">
        <v>49</v>
      </c>
      <c r="C513" s="3" t="s">
        <v>65</v>
      </c>
      <c r="D513" s="14">
        <v>172.55578195052306</v>
      </c>
      <c r="E513" s="14">
        <v>625.93335166737552</v>
      </c>
      <c r="F513" s="14">
        <v>477.14024472244631</v>
      </c>
      <c r="G513" s="14">
        <v>27.680413411287809</v>
      </c>
      <c r="H513" s="14">
        <v>120.0418843744411</v>
      </c>
      <c r="I513" s="14">
        <v>310.54677893991982</v>
      </c>
      <c r="J513" s="14">
        <v>138.58160829988668</v>
      </c>
      <c r="K513" s="14">
        <v>176.57835329288034</v>
      </c>
      <c r="L513" s="14">
        <v>88.576828925388952</v>
      </c>
      <c r="M513" s="14">
        <v>59.925327841830409</v>
      </c>
      <c r="N513" s="14">
        <v>134.85158125248012</v>
      </c>
    </row>
    <row r="514" spans="1:14" x14ac:dyDescent="0.3">
      <c r="A514" s="3" t="str">
        <f>INDEX('R1. Scenario specifications'!$C$11:$C$49,MATCH($B514,'R1. Scenario specifications'!$A$11:$A$49,0))</f>
        <v>Current 2DS, 2020 start, 'Expect the Unexpected' but with cheap energy efficiency</v>
      </c>
      <c r="B514" s="3" t="s">
        <v>49</v>
      </c>
      <c r="C514" s="3" t="s">
        <v>74</v>
      </c>
      <c r="D514" s="14">
        <v>0</v>
      </c>
      <c r="E514" s="14">
        <v>0</v>
      </c>
      <c r="F514" s="14">
        <v>0</v>
      </c>
      <c r="G514" s="14">
        <v>0.13703440916395501</v>
      </c>
      <c r="H514" s="14">
        <v>0.31459898436279649</v>
      </c>
      <c r="I514" s="14">
        <v>2.1396353153825132</v>
      </c>
      <c r="J514" s="14">
        <v>0</v>
      </c>
      <c r="K514" s="14">
        <v>54.178598605419523</v>
      </c>
      <c r="L514" s="14">
        <v>141.04277830293304</v>
      </c>
      <c r="M514" s="14">
        <v>79.912232790674608</v>
      </c>
      <c r="N514" s="14">
        <v>671.52298822000444</v>
      </c>
    </row>
    <row r="515" spans="1:14" x14ac:dyDescent="0.3">
      <c r="A515" s="3" t="str">
        <f>INDEX('R1. Scenario specifications'!$C$11:$C$49,MATCH($B515,'R1. Scenario specifications'!$A$11:$A$49,0))</f>
        <v>Current 2DS, 2020 start, 'Expect the Unexpected' but with cheap energy efficiency</v>
      </c>
      <c r="B515" s="3" t="s">
        <v>49</v>
      </c>
      <c r="C515" s="3" t="s">
        <v>66</v>
      </c>
      <c r="D515" s="14">
        <v>0.27881728888888901</v>
      </c>
      <c r="E515" s="14">
        <v>0.33361993333333301</v>
      </c>
      <c r="F515" s="14">
        <v>88.922972540092587</v>
      </c>
      <c r="G515" s="14">
        <v>53.53277898674402</v>
      </c>
      <c r="H515" s="14">
        <v>53.53277898674402</v>
      </c>
      <c r="I515" s="14">
        <v>59.570932170313604</v>
      </c>
      <c r="J515" s="14">
        <v>79.282193357594934</v>
      </c>
      <c r="K515" s="14">
        <v>50.506529352466792</v>
      </c>
      <c r="L515" s="14">
        <v>209.22472762745051</v>
      </c>
      <c r="M515" s="14">
        <v>76.660583201961131</v>
      </c>
      <c r="N515" s="14">
        <v>1538.9771258738283</v>
      </c>
    </row>
    <row r="516" spans="1:14" x14ac:dyDescent="0.3">
      <c r="A516" s="3" t="str">
        <f>INDEX('R1. Scenario specifications'!$C$11:$C$49,MATCH($B516,'R1. Scenario specifications'!$A$11:$A$49,0))</f>
        <v>Current 2DS, 2020 start, 'Expect the Unexpected' but with cheap energy efficiency</v>
      </c>
      <c r="B516" s="3" t="s">
        <v>49</v>
      </c>
      <c r="C516" s="3" t="s">
        <v>67</v>
      </c>
      <c r="D516" s="14">
        <v>154.73557777463142</v>
      </c>
      <c r="E516" s="14">
        <v>162.76418662806225</v>
      </c>
      <c r="F516" s="14">
        <v>90.613637816084008</v>
      </c>
      <c r="G516" s="14">
        <v>156.67659640803873</v>
      </c>
      <c r="H516" s="14">
        <v>182.69267627777515</v>
      </c>
      <c r="I516" s="14">
        <v>140.96543129642325</v>
      </c>
      <c r="J516" s="14">
        <v>76.847104554407409</v>
      </c>
      <c r="K516" s="14">
        <v>131.37569976244029</v>
      </c>
      <c r="L516" s="14">
        <v>383.18613973849943</v>
      </c>
      <c r="M516" s="14">
        <v>333.7760780520847</v>
      </c>
      <c r="N516" s="14">
        <v>276.03054845045358</v>
      </c>
    </row>
    <row r="517" spans="1:14" x14ac:dyDescent="0.3">
      <c r="A517" s="3" t="str">
        <f>INDEX('R1. Scenario specifications'!$C$11:$C$49,MATCH($B517,'R1. Scenario specifications'!$A$11:$A$49,0))</f>
        <v>Current 2DS, 2020 start, 'Expect the Unexpected' but with cheap energy efficiency</v>
      </c>
      <c r="B517" s="3" t="s">
        <v>49</v>
      </c>
      <c r="C517" s="3" t="s">
        <v>68</v>
      </c>
      <c r="D517" s="14">
        <v>0</v>
      </c>
      <c r="E517" s="14">
        <v>0</v>
      </c>
      <c r="F517" s="14">
        <v>0</v>
      </c>
      <c r="G517" s="14">
        <v>69.370606073730301</v>
      </c>
      <c r="H517" s="14">
        <v>255.94398822199798</v>
      </c>
      <c r="I517" s="14">
        <v>632.2544927729848</v>
      </c>
      <c r="J517" s="14">
        <v>134.49112368381444</v>
      </c>
      <c r="K517" s="14">
        <v>220.90086944889865</v>
      </c>
      <c r="L517" s="14">
        <v>421.32601572456866</v>
      </c>
      <c r="M517" s="14">
        <v>655.83410546336165</v>
      </c>
      <c r="N517" s="14">
        <v>0</v>
      </c>
    </row>
    <row r="518" spans="1:14" x14ac:dyDescent="0.3">
      <c r="A518" s="3" t="str">
        <f>INDEX('R1. Scenario specifications'!$C$11:$C$49,MATCH($B518,'R1. Scenario specifications'!$A$11:$A$49,0))</f>
        <v>Current 2DS, 2020 start, 'Expect the Unexpected' but with cheap energy efficiency</v>
      </c>
      <c r="B518" s="3" t="s">
        <v>49</v>
      </c>
      <c r="C518" s="3" t="s">
        <v>69</v>
      </c>
      <c r="D518" s="14">
        <v>68.24730636209857</v>
      </c>
      <c r="E518" s="14">
        <v>21.625867125843534</v>
      </c>
      <c r="F518" s="14">
        <v>0.39656849116918491</v>
      </c>
      <c r="G518" s="14">
        <v>2.1157777612063602</v>
      </c>
      <c r="H518" s="14">
        <v>13.181656366682827</v>
      </c>
      <c r="I518" s="14">
        <v>0</v>
      </c>
      <c r="J518" s="14">
        <v>5.8056942231844308</v>
      </c>
      <c r="K518" s="14">
        <v>10.45596685570167</v>
      </c>
      <c r="L518" s="14">
        <v>17.46729932456272</v>
      </c>
      <c r="M518" s="14">
        <v>44.875497911168672</v>
      </c>
      <c r="N518" s="14">
        <v>58.537328718872736</v>
      </c>
    </row>
    <row r="519" spans="1:14" x14ac:dyDescent="0.3">
      <c r="A519" s="3" t="str">
        <f>INDEX('R1. Scenario specifications'!$C$11:$C$49,MATCH($B519,'R1. Scenario specifications'!$A$11:$A$49,0))</f>
        <v>Current 2DS, 2020 start, 'Expect the Unexpected' but with cheap energy efficiency</v>
      </c>
      <c r="B519" s="3" t="s">
        <v>49</v>
      </c>
      <c r="C519" s="3" t="s">
        <v>70</v>
      </c>
      <c r="D519" s="14">
        <v>12.637708883949241</v>
      </c>
      <c r="E519" s="14">
        <v>82.719415916369499</v>
      </c>
      <c r="F519" s="14">
        <v>97.288686865313664</v>
      </c>
      <c r="G519" s="14">
        <v>491.39800684351371</v>
      </c>
      <c r="H519" s="14">
        <v>1778.4083584743539</v>
      </c>
      <c r="I519" s="14">
        <v>2850.5664996369665</v>
      </c>
      <c r="J519" s="14">
        <v>1990.1404592424071</v>
      </c>
      <c r="K519" s="14">
        <v>3194.945945815939</v>
      </c>
      <c r="L519" s="14">
        <v>4890.0702568902325</v>
      </c>
      <c r="M519" s="14">
        <v>5536.6836503070117</v>
      </c>
      <c r="N519" s="14">
        <v>7486.4214895975001</v>
      </c>
    </row>
    <row r="520" spans="1:14" x14ac:dyDescent="0.3">
      <c r="A520" s="3" t="str">
        <f>INDEX('R1. Scenario specifications'!$C$11:$C$49,MATCH($B520,'R1. Scenario specifications'!$A$11:$A$49,0))</f>
        <v>Current 2DS, 2020 start, 'Expect the Unexpected' but with cheap energy efficiency</v>
      </c>
      <c r="B520" s="3" t="s">
        <v>49</v>
      </c>
      <c r="C520" s="3" t="s">
        <v>71</v>
      </c>
      <c r="D520" s="14">
        <v>3.9388921868092472E-3</v>
      </c>
      <c r="E520" s="14">
        <v>1.0352472304670233</v>
      </c>
      <c r="F520" s="14">
        <v>1.710734171095331</v>
      </c>
      <c r="G520" s="14">
        <v>10.611838265775846</v>
      </c>
      <c r="H520" s="14">
        <v>1.4578613769255955</v>
      </c>
      <c r="I520" s="14">
        <v>5.6469240256588513</v>
      </c>
      <c r="J520" s="14">
        <v>6.5886444837492091</v>
      </c>
      <c r="K520" s="14">
        <v>3.2965826917667664</v>
      </c>
      <c r="L520" s="14">
        <v>6.0587553156787086</v>
      </c>
      <c r="M520" s="14">
        <v>5.1406233366630127</v>
      </c>
      <c r="N520" s="14">
        <v>4.5082166580949457</v>
      </c>
    </row>
    <row r="521" spans="1:14" x14ac:dyDescent="0.3">
      <c r="A521" s="3" t="str">
        <f>INDEX('R1. Scenario specifications'!$C$11:$C$49,MATCH($B521,'R1. Scenario specifications'!$A$11:$A$49,0))</f>
        <v>Current 2DS, 2020 start, 'Expect the Unexpected' but with cheap energy efficiency</v>
      </c>
      <c r="B521" s="3" t="s">
        <v>49</v>
      </c>
      <c r="C521" s="3" t="s">
        <v>72</v>
      </c>
      <c r="D521" s="14">
        <v>164.94116315871048</v>
      </c>
      <c r="E521" s="14">
        <v>30.000000000000007</v>
      </c>
      <c r="F521" s="14">
        <v>130.00000000000006</v>
      </c>
      <c r="G521" s="14">
        <v>1204.8789027517898</v>
      </c>
      <c r="H521" s="14">
        <v>2096.1963579382677</v>
      </c>
      <c r="I521" s="14">
        <v>1626.6934491678601</v>
      </c>
      <c r="J521" s="14">
        <v>2920.7785812721113</v>
      </c>
      <c r="K521" s="14">
        <v>2889.4737034873224</v>
      </c>
      <c r="L521" s="14">
        <v>4437.5992835957495</v>
      </c>
      <c r="M521" s="14">
        <v>7442.9640138268878</v>
      </c>
      <c r="N521" s="14">
        <v>9134.857337352938</v>
      </c>
    </row>
  </sheetData>
  <mergeCells count="2">
    <mergeCell ref="C37:N37"/>
    <mergeCell ref="O37:Z37"/>
  </mergeCells>
  <conditionalFormatting sqref="A6005:XFD1048576 A1:XFD12 N19:XFD19 A38 A37:C37 O37 C38:XFD38 AA37:XFD37 A93:A6004 D512:XFD6004 A39:XFD511 A20:XFD36 A14:XFD18 A13:E13 J13:XFD13">
    <cfRule type="expression" dxfId="127" priority="4">
      <formula>_xlfn.ISFORMULA(A1)</formula>
    </cfRule>
  </conditionalFormatting>
  <conditionalFormatting sqref="A19:M19">
    <cfRule type="expression" dxfId="126" priority="3">
      <formula>_xlfn.ISFORMULA(A19)</formula>
    </cfRule>
  </conditionalFormatting>
  <conditionalFormatting sqref="B38">
    <cfRule type="expression" dxfId="125" priority="2">
      <formula>_xlfn.ISFORMULA(B38)</formula>
    </cfRule>
  </conditionalFormatting>
  <conditionalFormatting sqref="F13:I13">
    <cfRule type="expression" dxfId="124" priority="1">
      <formula>_xlfn.ISFORMULA(F13)</formula>
    </cfRule>
  </conditionalFormatting>
  <dataValidations count="1">
    <dataValidation type="list" allowBlank="1" showInputMessage="1" showErrorMessage="1" sqref="B22" xr:uid="{7C543520-34BB-40F9-BA56-6F21DC7571AD}">
      <formula1>$C$78:$C$89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A08C758-AC88-4CBB-8C8C-833CBA8EBA14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B1B26-8DFC-4DC8-AFDB-F8E43D0F7E6D}">
  <sheetPr>
    <tabColor theme="5" tint="0.39997558519241921"/>
  </sheetPr>
  <dimension ref="A1:Z561"/>
  <sheetViews>
    <sheetView zoomScale="70" zoomScaleNormal="70" workbookViewId="0">
      <selection activeCell="D9" sqref="D9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227</v>
      </c>
    </row>
    <row r="2" spans="1:9" s="5" customFormat="1" x14ac:dyDescent="0.3">
      <c r="A2" s="5" t="s">
        <v>5</v>
      </c>
      <c r="B2" s="5" t="s">
        <v>226</v>
      </c>
    </row>
    <row r="3" spans="1:9" s="5" customFormat="1" x14ac:dyDescent="0.3">
      <c r="A3" s="5" t="s">
        <v>6</v>
      </c>
      <c r="B3" s="5" t="s">
        <v>224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281</v>
      </c>
    </row>
    <row r="7" spans="1:9" s="5" customFormat="1" x14ac:dyDescent="0.3">
      <c r="B7" s="5" t="s">
        <v>188</v>
      </c>
      <c r="C7" s="5" t="s">
        <v>9</v>
      </c>
      <c r="D7" s="5" t="s">
        <v>282</v>
      </c>
    </row>
    <row r="8" spans="1:9" s="5" customFormat="1" x14ac:dyDescent="0.3">
      <c r="B8" s="5" t="s">
        <v>190</v>
      </c>
      <c r="C8" s="5" t="s">
        <v>10</v>
      </c>
      <c r="D8" s="5" t="s">
        <v>283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$E$8:$P6500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CONCATENATE($B$22, " Power Generation (PJ")</f>
        <v>POWGEN - BIO CCS Power Generation (PJ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59</v>
      </c>
      <c r="B22" s="17" t="s">
        <v>73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INDEX($D$55:$N$561,MATCH(B$24&amp;$B$22,$B$55:$B$561&amp;$C$55:$C$561,0),MATCH($A25,$D$54:$N$54,0))</f>
        <v>0</v>
      </c>
      <c r="C25" s="14">
        <f t="array" ref="C25">INDEX($D$55:$N$561,MATCH(C$24&amp;$B$22,$B$55:$B$561&amp;$C$55:$C$561,0),MATCH($A25,$D$54:$N$54,0))</f>
        <v>0</v>
      </c>
      <c r="D25" s="14">
        <f t="array" ref="D25">INDEX($D$55:$N$561,MATCH(D$24&amp;$B$22,$B$55:$B$561&amp;$C$55:$C$561,0),MATCH($A25,$D$54:$N$54,0))</f>
        <v>0</v>
      </c>
      <c r="E25" s="14">
        <f t="array" ref="E25">INDEX($D$55:$N$561,MATCH(E$24&amp;$B$22,$B$55:$B$561&amp;$C$55:$C$561,0),MATCH($A25,$D$54:$N$54,0))</f>
        <v>0</v>
      </c>
      <c r="F25" s="14">
        <f t="array" ref="F25">INDEX($D$55:$N$561,MATCH(F$24&amp;$B$22,$B$55:$B$561&amp;$C$55:$C$561,0),MATCH($A25,$D$54:$N$54,0))</f>
        <v>0</v>
      </c>
      <c r="G25" s="14">
        <f t="array" ref="G25">INDEX($D$55:$N$561,MATCH(G$24&amp;$B$22,$B$55:$B$561&amp;$C$55:$C$561,0),MATCH($A25,$D$54:$N$54,0))</f>
        <v>0</v>
      </c>
      <c r="H25" s="14">
        <f t="array" ref="H25">INDEX($D$55:$N$561,MATCH(H$24&amp;$B$22,$B$55:$B$561&amp;$C$55:$C$561,0),MATCH($A25,$D$54:$N$54,0))</f>
        <v>0</v>
      </c>
      <c r="I25" s="14">
        <f t="array" ref="I25">INDEX($D$55:$N$561,MATCH(I$24&amp;$B$22,$B$55:$B$561&amp;$C$55:$C$561,0),MATCH($A25,$D$54:$N$54,0))</f>
        <v>0</v>
      </c>
      <c r="J25" s="14">
        <f t="array" ref="J25">INDEX($D$55:$N$561,MATCH(J$24&amp;$B$22,$B$55:$B$561&amp;$C$55:$C$561,0),MATCH($A25,$D$54:$N$54,0))</f>
        <v>0</v>
      </c>
      <c r="K25" s="14" t="e">
        <f t="array" ref="K25">INDEX($D$55:$N$561,MATCH(K$24&amp;$B$22,$B$55:$B$561&amp;$C$55:$C$561,0),MATCH($A25,$D$54:$N$54,0))</f>
        <v>#N/A</v>
      </c>
      <c r="L25" s="14" t="e">
        <f t="array" ref="L25">INDEX($D$55:$N$561,MATCH(L$24&amp;$B$22,$B$55:$B$561&amp;$C$55:$C$561,0),MATCH($A25,$D$54:$N$54,0))</f>
        <v>#N/A</v>
      </c>
      <c r="M25" s="14" t="e">
        <f t="array" ref="M25">INDEX($D$55:$N$561,MATCH(M$24&amp;$B$22,$B$55:$B$561&amp;$C$55:$C$561,0),MATCH($A25,$D$54:$N$54,0))</f>
        <v>#N/A</v>
      </c>
    </row>
    <row r="26" spans="1:13" x14ac:dyDescent="0.3">
      <c r="A26" s="3">
        <v>2020</v>
      </c>
      <c r="B26" s="14">
        <f t="array" ref="B26">INDEX($D$55:$N$561,MATCH(B$24&amp;$B$22,$B$55:$B$561&amp;$C$55:$C$561,0),MATCH($A26,$D$54:$N$54,0))</f>
        <v>0</v>
      </c>
      <c r="C26" s="14">
        <f t="array" ref="C26">INDEX($D$55:$N$561,MATCH(C$24&amp;$B$22,$B$55:$B$561&amp;$C$55:$C$561,0),MATCH($A26,$D$54:$N$54,0))</f>
        <v>0</v>
      </c>
      <c r="D26" s="14">
        <f t="array" ref="D26">INDEX($D$55:$N$561,MATCH(D$24&amp;$B$22,$B$55:$B$561&amp;$C$55:$C$561,0),MATCH($A26,$D$54:$N$54,0))</f>
        <v>0</v>
      </c>
      <c r="E26" s="14">
        <f t="array" ref="E26">INDEX($D$55:$N$561,MATCH(E$24&amp;$B$22,$B$55:$B$561&amp;$C$55:$C$561,0),MATCH($A26,$D$54:$N$54,0))</f>
        <v>0</v>
      </c>
      <c r="F26" s="14">
        <f t="array" ref="F26">INDEX($D$55:$N$561,MATCH(F$24&amp;$B$22,$B$55:$B$561&amp;$C$55:$C$561,0),MATCH($A26,$D$54:$N$54,0))</f>
        <v>0</v>
      </c>
      <c r="G26" s="14">
        <f t="array" ref="G26">INDEX($D$55:$N$561,MATCH(G$24&amp;$B$22,$B$55:$B$561&amp;$C$55:$C$561,0),MATCH($A26,$D$54:$N$54,0))</f>
        <v>0</v>
      </c>
      <c r="H26" s="14">
        <f t="array" ref="H26">INDEX($D$55:$N$561,MATCH(H$24&amp;$B$22,$B$55:$B$561&amp;$C$55:$C$561,0),MATCH($A26,$D$54:$N$54,0))</f>
        <v>0</v>
      </c>
      <c r="I26" s="14">
        <f t="array" ref="I26">INDEX($D$55:$N$561,MATCH(I$24&amp;$B$22,$B$55:$B$561&amp;$C$55:$C$561,0),MATCH($A26,$D$54:$N$54,0))</f>
        <v>0</v>
      </c>
      <c r="J26" s="14">
        <f t="array" ref="J26">INDEX($D$55:$N$561,MATCH(J$24&amp;$B$22,$B$55:$B$561&amp;$C$55:$C$561,0),MATCH($A26,$D$54:$N$54,0))</f>
        <v>0</v>
      </c>
      <c r="K26" s="14" t="e">
        <f t="array" ref="K26">INDEX($D$55:$N$561,MATCH(K$24&amp;$B$22,$B$55:$B$561&amp;$C$55:$C$561,0),MATCH($A26,$D$54:$N$54,0))</f>
        <v>#N/A</v>
      </c>
      <c r="L26" s="14" t="e">
        <f t="array" ref="L26">INDEX($D$55:$N$561,MATCH(L$24&amp;$B$22,$B$55:$B$561&amp;$C$55:$C$561,0),MATCH($A26,$D$54:$N$54,0))</f>
        <v>#N/A</v>
      </c>
      <c r="M26" s="14" t="e">
        <f t="array" ref="M26">INDEX($D$55:$N$561,MATCH(M$24&amp;$B$22,$B$55:$B$561&amp;$C$55:$C$561,0),MATCH($A26,$D$54:$N$54,0))</f>
        <v>#N/A</v>
      </c>
    </row>
    <row r="27" spans="1:13" x14ac:dyDescent="0.3">
      <c r="A27" s="3">
        <v>2030</v>
      </c>
      <c r="B27" s="14">
        <f t="array" ref="B27">INDEX($D$55:$N$561,MATCH(B$24&amp;$B$22,$B$55:$B$561&amp;$C$55:$C$561,0),MATCH($A27,$D$54:$N$54,0))</f>
        <v>0</v>
      </c>
      <c r="C27" s="14">
        <f t="array" ref="C27">INDEX($D$55:$N$561,MATCH(C$24&amp;$B$22,$B$55:$B$561&amp;$C$55:$C$561,0),MATCH($A27,$D$54:$N$54,0))</f>
        <v>0</v>
      </c>
      <c r="D27" s="14">
        <f t="array" ref="D27">INDEX($D$55:$N$561,MATCH(D$24&amp;$B$22,$B$55:$B$561&amp;$C$55:$C$561,0),MATCH($A27,$D$54:$N$54,0))</f>
        <v>0</v>
      </c>
      <c r="E27" s="14">
        <f t="array" ref="E27">INDEX($D$55:$N$561,MATCH(E$24&amp;$B$22,$B$55:$B$561&amp;$C$55:$C$561,0),MATCH($A27,$D$54:$N$54,0))</f>
        <v>145.59217603035023</v>
      </c>
      <c r="F27" s="14">
        <f t="array" ref="F27">INDEX($D$55:$N$561,MATCH(F$24&amp;$B$22,$B$55:$B$561&amp;$C$55:$C$561,0),MATCH($A27,$D$54:$N$54,0))</f>
        <v>0</v>
      </c>
      <c r="G27" s="14">
        <f t="array" ref="G27">INDEX($D$55:$N$561,MATCH(G$24&amp;$B$22,$B$55:$B$561&amp;$C$55:$C$561,0),MATCH($A27,$D$54:$N$54,0))</f>
        <v>403.27271997052515</v>
      </c>
      <c r="H27" s="14">
        <f t="array" ref="H27">INDEX($D$55:$N$561,MATCH(H$24&amp;$B$22,$B$55:$B$561&amp;$C$55:$C$561,0),MATCH($A27,$D$54:$N$54,0))</f>
        <v>0</v>
      </c>
      <c r="I27" s="14">
        <f t="array" ref="I27">INDEX($D$55:$N$561,MATCH(I$24&amp;$B$22,$B$55:$B$561&amp;$C$55:$C$561,0),MATCH($A27,$D$54:$N$54,0))</f>
        <v>359.51520107745858</v>
      </c>
      <c r="J27" s="14">
        <f t="array" ref="J27">INDEX($D$55:$N$561,MATCH(J$24&amp;$B$22,$B$55:$B$561&amp;$C$55:$C$561,0),MATCH($A27,$D$54:$N$54,0))</f>
        <v>0</v>
      </c>
      <c r="K27" s="14" t="e">
        <f t="array" ref="K27">INDEX($D$55:$N$561,MATCH(K$24&amp;$B$22,$B$55:$B$561&amp;$C$55:$C$561,0),MATCH($A27,$D$54:$N$54,0))</f>
        <v>#N/A</v>
      </c>
      <c r="L27" s="14" t="e">
        <f t="array" ref="L27">INDEX($D$55:$N$561,MATCH(L$24&amp;$B$22,$B$55:$B$561&amp;$C$55:$C$561,0),MATCH($A27,$D$54:$N$54,0))</f>
        <v>#N/A</v>
      </c>
      <c r="M27" s="14" t="e">
        <f t="array" ref="M27">INDEX($D$55:$N$561,MATCH(M$24&amp;$B$22,$B$55:$B$561&amp;$C$55:$C$561,0),MATCH($A27,$D$54:$N$54,0))</f>
        <v>#N/A</v>
      </c>
    </row>
    <row r="28" spans="1:13" x14ac:dyDescent="0.3">
      <c r="A28" s="3">
        <v>2040</v>
      </c>
      <c r="B28" s="14">
        <f t="array" ref="B28">INDEX($D$55:$N$561,MATCH(B$24&amp;$B$22,$B$55:$B$561&amp;$C$55:$C$561,0),MATCH($A28,$D$54:$N$54,0))</f>
        <v>0</v>
      </c>
      <c r="C28" s="14">
        <f t="array" ref="C28">INDEX($D$55:$N$561,MATCH(C$24&amp;$B$22,$B$55:$B$561&amp;$C$55:$C$561,0),MATCH($A28,$D$54:$N$54,0))</f>
        <v>0</v>
      </c>
      <c r="D28" s="14">
        <f t="array" ref="D28">INDEX($D$55:$N$561,MATCH(D$24&amp;$B$22,$B$55:$B$561&amp;$C$55:$C$561,0),MATCH($A28,$D$54:$N$54,0))</f>
        <v>0</v>
      </c>
      <c r="E28" s="14">
        <f t="array" ref="E28">INDEX($D$55:$N$561,MATCH(E$24&amp;$B$22,$B$55:$B$561&amp;$C$55:$C$561,0),MATCH($A28,$D$54:$N$54,0))</f>
        <v>964.37596068172218</v>
      </c>
      <c r="F28" s="14">
        <f t="array" ref="F28">INDEX($D$55:$N$561,MATCH(F$24&amp;$B$22,$B$55:$B$561&amp;$C$55:$C$561,0),MATCH($A28,$D$54:$N$54,0))</f>
        <v>270.00985899650868</v>
      </c>
      <c r="G28" s="14">
        <f t="array" ref="G28">INDEX($D$55:$N$561,MATCH(G$24&amp;$B$22,$B$55:$B$561&amp;$C$55:$C$561,0),MATCH($A28,$D$54:$N$54,0))</f>
        <v>10870.321005773201</v>
      </c>
      <c r="H28" s="14">
        <f t="array" ref="H28">INDEX($D$55:$N$561,MATCH(H$24&amp;$B$22,$B$55:$B$561&amp;$C$55:$C$561,0),MATCH($A28,$D$54:$N$54,0))</f>
        <v>340.78932463689671</v>
      </c>
      <c r="I28" s="14">
        <f t="array" ref="I28">INDEX($D$55:$N$561,MATCH(I$24&amp;$B$22,$B$55:$B$561&amp;$C$55:$C$561,0),MATCH($A28,$D$54:$N$54,0))</f>
        <v>2453.7763208585197</v>
      </c>
      <c r="J28" s="14">
        <f t="array" ref="J28">INDEX($D$55:$N$561,MATCH(J$24&amp;$B$22,$B$55:$B$561&amp;$C$55:$C$561,0),MATCH($A28,$D$54:$N$54,0))</f>
        <v>412.10569001230584</v>
      </c>
      <c r="K28" s="14" t="e">
        <f t="array" ref="K28">INDEX($D$55:$N$561,MATCH(K$24&amp;$B$22,$B$55:$B$561&amp;$C$55:$C$561,0),MATCH($A28,$D$54:$N$54,0))</f>
        <v>#N/A</v>
      </c>
      <c r="L28" s="14" t="e">
        <f t="array" ref="L28">INDEX($D$55:$N$561,MATCH(L$24&amp;$B$22,$B$55:$B$561&amp;$C$55:$C$561,0),MATCH($A28,$D$54:$N$54,0))</f>
        <v>#N/A</v>
      </c>
      <c r="M28" s="14" t="e">
        <f t="array" ref="M28">INDEX($D$55:$N$561,MATCH(M$24&amp;$B$22,$B$55:$B$561&amp;$C$55:$C$561,0),MATCH($A28,$D$54:$N$54,0))</f>
        <v>#N/A</v>
      </c>
    </row>
    <row r="29" spans="1:13" x14ac:dyDescent="0.3">
      <c r="A29" s="3">
        <v>2050</v>
      </c>
      <c r="B29" s="14">
        <f t="array" ref="B29">INDEX($D$55:$N$561,MATCH(B$24&amp;$B$22,$B$55:$B$561&amp;$C$55:$C$561,0),MATCH($A29,$D$54:$N$54,0))</f>
        <v>0</v>
      </c>
      <c r="C29" s="14">
        <f t="array" ref="C29">INDEX($D$55:$N$561,MATCH(C$24&amp;$B$22,$B$55:$B$561&amp;$C$55:$C$561,0),MATCH($A29,$D$54:$N$54,0))</f>
        <v>0</v>
      </c>
      <c r="D29" s="14">
        <f t="array" ref="D29">INDEX($D$55:$N$561,MATCH(D$24&amp;$B$22,$B$55:$B$561&amp;$C$55:$C$561,0),MATCH($A29,$D$54:$N$54,0))</f>
        <v>0</v>
      </c>
      <c r="E29" s="14">
        <f t="array" ref="E29">INDEX($D$55:$N$561,MATCH(E$24&amp;$B$22,$B$55:$B$561&amp;$C$55:$C$561,0),MATCH($A29,$D$54:$N$54,0))</f>
        <v>4542.4446258560292</v>
      </c>
      <c r="F29" s="14">
        <f t="array" ref="F29">INDEX($D$55:$N$561,MATCH(F$24&amp;$B$22,$B$55:$B$561&amp;$C$55:$C$561,0),MATCH($A29,$D$54:$N$54,0))</f>
        <v>2169.837927123408</v>
      </c>
      <c r="G29" s="14">
        <f t="array" ref="G29">INDEX($D$55:$N$561,MATCH(G$24&amp;$B$22,$B$55:$B$561&amp;$C$55:$C$561,0),MATCH($A29,$D$54:$N$54,0))</f>
        <v>27894.282607794783</v>
      </c>
      <c r="H29" s="14">
        <f t="array" ref="H29">INDEX($D$55:$N$561,MATCH(H$24&amp;$B$22,$B$55:$B$561&amp;$C$55:$C$561,0),MATCH($A29,$D$54:$N$54,0))</f>
        <v>25473.358540989968</v>
      </c>
      <c r="I29" s="14">
        <f t="array" ref="I29">INDEX($D$55:$N$561,MATCH(I$24&amp;$B$22,$B$55:$B$561&amp;$C$55:$C$561,0),MATCH($A29,$D$54:$N$54,0))</f>
        <v>12154.191027748144</v>
      </c>
      <c r="J29" s="14">
        <f t="array" ref="J29">INDEX($D$55:$N$561,MATCH(J$24&amp;$B$22,$B$55:$B$561&amp;$C$55:$C$561,0),MATCH($A29,$D$54:$N$54,0))</f>
        <v>7731.9134458495946</v>
      </c>
      <c r="K29" s="14" t="e">
        <f t="array" ref="K29">INDEX($D$55:$N$561,MATCH(K$24&amp;$B$22,$B$55:$B$561&amp;$C$55:$C$561,0),MATCH($A29,$D$54:$N$54,0))</f>
        <v>#N/A</v>
      </c>
      <c r="L29" s="14" t="e">
        <f t="array" ref="L29">INDEX($D$55:$N$561,MATCH(L$24&amp;$B$22,$B$55:$B$561&amp;$C$55:$C$561,0),MATCH($A29,$D$54:$N$54,0))</f>
        <v>#N/A</v>
      </c>
      <c r="M29" s="14" t="e">
        <f t="array" ref="M29">INDEX($D$55:$N$561,MATCH(M$24&amp;$B$22,$B$55:$B$561&amp;$C$55:$C$561,0),MATCH($A29,$D$54:$N$54,0))</f>
        <v>#N/A</v>
      </c>
    </row>
    <row r="30" spans="1:13" x14ac:dyDescent="0.3">
      <c r="A30" s="3">
        <v>2060</v>
      </c>
      <c r="B30" s="14">
        <f t="array" ref="B30">INDEX($D$55:$N$561,MATCH(B$24&amp;$B$22,$B$55:$B$561&amp;$C$55:$C$561,0),MATCH($A30,$D$54:$N$54,0))</f>
        <v>0</v>
      </c>
      <c r="C30" s="14">
        <f t="array" ref="C30">INDEX($D$55:$N$561,MATCH(C$24&amp;$B$22,$B$55:$B$561&amp;$C$55:$C$561,0),MATCH($A30,$D$54:$N$54,0))</f>
        <v>0</v>
      </c>
      <c r="D30" s="14">
        <f t="array" ref="D30">INDEX($D$55:$N$561,MATCH(D$24&amp;$B$22,$B$55:$B$561&amp;$C$55:$C$561,0),MATCH($A30,$D$54:$N$54,0))</f>
        <v>0</v>
      </c>
      <c r="E30" s="14">
        <f t="array" ref="E30">INDEX($D$55:$N$561,MATCH(E$24&amp;$B$22,$B$55:$B$561&amp;$C$55:$C$561,0),MATCH($A30,$D$54:$N$54,0))</f>
        <v>18965.473592652841</v>
      </c>
      <c r="F30" s="14">
        <f t="array" ref="F30">INDEX($D$55:$N$561,MATCH(F$24&amp;$B$22,$B$55:$B$561&amp;$C$55:$C$561,0),MATCH($A30,$D$54:$N$54,0))</f>
        <v>12938.404540249272</v>
      </c>
      <c r="G30" s="14">
        <f t="array" ref="G30">INDEX($D$55:$N$561,MATCH(G$24&amp;$B$22,$B$55:$B$561&amp;$C$55:$C$561,0),MATCH($A30,$D$54:$N$54,0))</f>
        <v>65901.094546991444</v>
      </c>
      <c r="H30" s="14">
        <f t="array" ref="H30">INDEX($D$55:$N$561,MATCH(H$24&amp;$B$22,$B$55:$B$561&amp;$C$55:$C$561,0),MATCH($A30,$D$54:$N$54,0))</f>
        <v>80678.970830831691</v>
      </c>
      <c r="I30" s="14">
        <f t="array" ref="I30">INDEX($D$55:$N$561,MATCH(I$24&amp;$B$22,$B$55:$B$561&amp;$C$55:$C$561,0),MATCH($A30,$D$54:$N$54,0))</f>
        <v>38293.787282623925</v>
      </c>
      <c r="J30" s="14">
        <f t="array" ref="J30">INDEX($D$55:$N$561,MATCH(J$24&amp;$B$22,$B$55:$B$561&amp;$C$55:$C$561,0),MATCH($A30,$D$54:$N$54,0))</f>
        <v>46229.392935086915</v>
      </c>
      <c r="K30" s="14" t="e">
        <f t="array" ref="K30">INDEX($D$55:$N$561,MATCH(K$24&amp;$B$22,$B$55:$B$561&amp;$C$55:$C$561,0),MATCH($A30,$D$54:$N$54,0))</f>
        <v>#N/A</v>
      </c>
      <c r="L30" s="14" t="e">
        <f t="array" ref="L30">INDEX($D$55:$N$561,MATCH(L$24&amp;$B$22,$B$55:$B$561&amp;$C$55:$C$561,0),MATCH($A30,$D$54:$N$54,0))</f>
        <v>#N/A</v>
      </c>
      <c r="M30" s="14" t="e">
        <f t="array" ref="M30">INDEX($D$55:$N$561,MATCH(M$24&amp;$B$22,$B$55:$B$561&amp;$C$55:$C$561,0),MATCH($A30,$D$54:$N$54,0))</f>
        <v>#N/A</v>
      </c>
    </row>
    <row r="31" spans="1:13" x14ac:dyDescent="0.3">
      <c r="A31" s="3">
        <v>2070</v>
      </c>
      <c r="B31" s="14">
        <f t="array" ref="B31">INDEX($D$55:$N$561,MATCH(B$24&amp;$B$22,$B$55:$B$561&amp;$C$55:$C$561,0),MATCH($A31,$D$54:$N$54,0))</f>
        <v>0</v>
      </c>
      <c r="C31" s="14">
        <f t="array" ref="C31">INDEX($D$55:$N$561,MATCH(C$24&amp;$B$22,$B$55:$B$561&amp;$C$55:$C$561,0),MATCH($A31,$D$54:$N$54,0))</f>
        <v>0</v>
      </c>
      <c r="D31" s="14">
        <f t="array" ref="D31">INDEX($D$55:$N$561,MATCH(D$24&amp;$B$22,$B$55:$B$561&amp;$C$55:$C$561,0),MATCH($A31,$D$54:$N$54,0))</f>
        <v>0</v>
      </c>
      <c r="E31" s="14">
        <f t="array" ref="E31">INDEX($D$55:$N$561,MATCH(E$24&amp;$B$22,$B$55:$B$561&amp;$C$55:$C$561,0),MATCH($A31,$D$54:$N$54,0))</f>
        <v>38816.631624880189</v>
      </c>
      <c r="F31" s="14">
        <f t="array" ref="F31">INDEX($D$55:$N$561,MATCH(F$24&amp;$B$22,$B$55:$B$561&amp;$C$55:$C$561,0),MATCH($A31,$D$54:$N$54,0))</f>
        <v>36935.123364192586</v>
      </c>
      <c r="G31" s="14">
        <f t="array" ref="G31">INDEX($D$55:$N$561,MATCH(G$24&amp;$B$22,$B$55:$B$561&amp;$C$55:$C$561,0),MATCH($A31,$D$54:$N$54,0))</f>
        <v>61886.575844793566</v>
      </c>
      <c r="H31" s="14">
        <f t="array" ref="H31">INDEX($D$55:$N$561,MATCH(H$24&amp;$B$22,$B$55:$B$561&amp;$C$55:$C$561,0),MATCH($A31,$D$54:$N$54,0))</f>
        <v>36939.610274390689</v>
      </c>
      <c r="I31" s="14">
        <f t="array" ref="I31">INDEX($D$55:$N$561,MATCH(I$24&amp;$B$22,$B$55:$B$561&amp;$C$55:$C$561,0),MATCH($A31,$D$54:$N$54,0))</f>
        <v>62185.73254732776</v>
      </c>
      <c r="J31" s="14">
        <f t="array" ref="J31">INDEX($D$55:$N$561,MATCH(J$24&amp;$B$22,$B$55:$B$561&amp;$C$55:$C$561,0),MATCH($A31,$D$54:$N$54,0))</f>
        <v>60652.577985470467</v>
      </c>
      <c r="K31" s="14" t="e">
        <f t="array" ref="K31">INDEX($D$55:$N$561,MATCH(K$24&amp;$B$22,$B$55:$B$561&amp;$C$55:$C$561,0),MATCH($A31,$D$54:$N$54,0))</f>
        <v>#N/A</v>
      </c>
      <c r="L31" s="14" t="e">
        <f t="array" ref="L31">INDEX($D$55:$N$561,MATCH(L$24&amp;$B$22,$B$55:$B$561&amp;$C$55:$C$561,0),MATCH($A31,$D$54:$N$54,0))</f>
        <v>#N/A</v>
      </c>
      <c r="M31" s="14" t="e">
        <f t="array" ref="M31">INDEX($D$55:$N$561,MATCH(M$24&amp;$B$22,$B$55:$B$561&amp;$C$55:$C$561,0),MATCH($A31,$D$54:$N$54,0))</f>
        <v>#N/A</v>
      </c>
    </row>
    <row r="32" spans="1:13" x14ac:dyDescent="0.3">
      <c r="A32" s="3">
        <v>2080</v>
      </c>
      <c r="B32" s="14">
        <f t="array" ref="B32">INDEX($D$55:$N$561,MATCH(B$24&amp;$B$22,$B$55:$B$561&amp;$C$55:$C$561,0),MATCH($A32,$D$54:$N$54,0))</f>
        <v>0</v>
      </c>
      <c r="C32" s="14">
        <f t="array" ref="C32">INDEX($D$55:$N$561,MATCH(C$24&amp;$B$22,$B$55:$B$561&amp;$C$55:$C$561,0),MATCH($A32,$D$54:$N$54,0))</f>
        <v>0</v>
      </c>
      <c r="D32" s="14">
        <f t="array" ref="D32">INDEX($D$55:$N$561,MATCH(D$24&amp;$B$22,$B$55:$B$561&amp;$C$55:$C$561,0),MATCH($A32,$D$54:$N$54,0))</f>
        <v>0</v>
      </c>
      <c r="E32" s="14">
        <f t="array" ref="E32">INDEX($D$55:$N$561,MATCH(E$24&amp;$B$22,$B$55:$B$561&amp;$C$55:$C$561,0),MATCH($A32,$D$54:$N$54,0))</f>
        <v>60609.997746609944</v>
      </c>
      <c r="F32" s="14">
        <f t="array" ref="F32">INDEX($D$55:$N$561,MATCH(F$24&amp;$B$22,$B$55:$B$561&amp;$C$55:$C$561,0),MATCH($A32,$D$54:$N$54,0))</f>
        <v>63976.353637159496</v>
      </c>
      <c r="G32" s="14">
        <f t="array" ref="G32">INDEX($D$55:$N$561,MATCH(G$24&amp;$B$22,$B$55:$B$561&amp;$C$55:$C$561,0),MATCH($A32,$D$54:$N$54,0))</f>
        <v>70498.973366683276</v>
      </c>
      <c r="H32" s="14">
        <f t="array" ref="H32">INDEX($D$55:$N$561,MATCH(H$24&amp;$B$22,$B$55:$B$561&amp;$C$55:$C$561,0),MATCH($A32,$D$54:$N$54,0))</f>
        <v>40534.569807071966</v>
      </c>
      <c r="I32" s="14">
        <f t="array" ref="I32">INDEX($D$55:$N$561,MATCH(I$24&amp;$B$22,$B$55:$B$561&amp;$C$55:$C$561,0),MATCH($A32,$D$54:$N$54,0))</f>
        <v>78414.515404931546</v>
      </c>
      <c r="J32" s="14">
        <f t="array" ref="J32">INDEX($D$55:$N$561,MATCH(J$24&amp;$B$22,$B$55:$B$561&amp;$C$55:$C$561,0),MATCH($A32,$D$54:$N$54,0))</f>
        <v>76302.192954750208</v>
      </c>
      <c r="K32" s="14" t="e">
        <f t="array" ref="K32">INDEX($D$55:$N$561,MATCH(K$24&amp;$B$22,$B$55:$B$561&amp;$C$55:$C$561,0),MATCH($A32,$D$54:$N$54,0))</f>
        <v>#N/A</v>
      </c>
      <c r="L32" s="14" t="e">
        <f t="array" ref="L32">INDEX($D$55:$N$561,MATCH(L$24&amp;$B$22,$B$55:$B$561&amp;$C$55:$C$561,0),MATCH($A32,$D$54:$N$54,0))</f>
        <v>#N/A</v>
      </c>
      <c r="M32" s="14" t="e">
        <f t="array" ref="M32">INDEX($D$55:$N$561,MATCH(M$24&amp;$B$22,$B$55:$B$561&amp;$C$55:$C$561,0),MATCH($A32,$D$54:$N$54,0))</f>
        <v>#N/A</v>
      </c>
    </row>
    <row r="33" spans="1:26" x14ac:dyDescent="0.3">
      <c r="A33" s="3">
        <v>2090</v>
      </c>
      <c r="B33" s="14">
        <f t="array" ref="B33">INDEX($D$55:$N$561,MATCH(B$24&amp;$B$22,$B$55:$B$561&amp;$C$55:$C$561,0),MATCH($A33,$D$54:$N$54,0))</f>
        <v>0</v>
      </c>
      <c r="C33" s="14">
        <f t="array" ref="C33">INDEX($D$55:$N$561,MATCH(C$24&amp;$B$22,$B$55:$B$561&amp;$C$55:$C$561,0),MATCH($A33,$D$54:$N$54,0))</f>
        <v>0</v>
      </c>
      <c r="D33" s="14">
        <f t="array" ref="D33">INDEX($D$55:$N$561,MATCH(D$24&amp;$B$22,$B$55:$B$561&amp;$C$55:$C$561,0),MATCH($A33,$D$54:$N$54,0))</f>
        <v>0</v>
      </c>
      <c r="E33" s="14">
        <f t="array" ref="E33">INDEX($D$55:$N$561,MATCH(E$24&amp;$B$22,$B$55:$B$561&amp;$C$55:$C$561,0),MATCH($A33,$D$54:$N$54,0))</f>
        <v>79452.624925581971</v>
      </c>
      <c r="F33" s="14">
        <f t="array" ref="F33">INDEX($D$55:$N$561,MATCH(F$24&amp;$B$22,$B$55:$B$561&amp;$C$55:$C$561,0),MATCH($A33,$D$54:$N$54,0))</f>
        <v>81083.247529628003</v>
      </c>
      <c r="G33" s="14">
        <f t="array" ref="G33">INDEX($D$55:$N$561,MATCH(G$24&amp;$B$22,$B$55:$B$561&amp;$C$55:$C$561,0),MATCH($A33,$D$54:$N$54,0))</f>
        <v>84113.215371372062</v>
      </c>
      <c r="H33" s="14">
        <f t="array" ref="H33">INDEX($D$55:$N$561,MATCH(H$24&amp;$B$22,$B$55:$B$561&amp;$C$55:$C$561,0),MATCH($A33,$D$54:$N$54,0))</f>
        <v>45859.882168327029</v>
      </c>
      <c r="I33" s="14">
        <f t="array" ref="I33">INDEX($D$55:$N$561,MATCH(I$24&amp;$B$22,$B$55:$B$561&amp;$C$55:$C$561,0),MATCH($A33,$D$54:$N$54,0))</f>
        <v>91157.590675333355</v>
      </c>
      <c r="J33" s="14">
        <f t="array" ref="J33">INDEX($D$55:$N$561,MATCH(J$24&amp;$B$22,$B$55:$B$561&amp;$C$55:$C$561,0),MATCH($A33,$D$54:$N$54,0))</f>
        <v>87313.707169819434</v>
      </c>
      <c r="K33" s="14" t="e">
        <f t="array" ref="K33">INDEX($D$55:$N$561,MATCH(K$24&amp;$B$22,$B$55:$B$561&amp;$C$55:$C$561,0),MATCH($A33,$D$54:$N$54,0))</f>
        <v>#N/A</v>
      </c>
      <c r="L33" s="14" t="e">
        <f t="array" ref="L33">INDEX($D$55:$N$561,MATCH(L$24&amp;$B$22,$B$55:$B$561&amp;$C$55:$C$561,0),MATCH($A33,$D$54:$N$54,0))</f>
        <v>#N/A</v>
      </c>
      <c r="M33" s="14" t="e">
        <f t="array" ref="M33">INDEX($D$55:$N$561,MATCH(M$24&amp;$B$22,$B$55:$B$561&amp;$C$55:$C$561,0),MATCH($A33,$D$54:$N$54,0))</f>
        <v>#N/A</v>
      </c>
    </row>
    <row r="34" spans="1:26" x14ac:dyDescent="0.3">
      <c r="A34" s="3">
        <v>2100</v>
      </c>
      <c r="B34" s="14">
        <f t="array" ref="B34">INDEX($D$55:$N$561,MATCH(B$24&amp;$B$22,$B$55:$B$561&amp;$C$55:$C$561,0),MATCH($A34,$D$54:$N$54,0))</f>
        <v>0</v>
      </c>
      <c r="C34" s="14">
        <f t="array" ref="C34">INDEX($D$55:$N$561,MATCH(C$24&amp;$B$22,$B$55:$B$561&amp;$C$55:$C$561,0),MATCH($A34,$D$54:$N$54,0))</f>
        <v>0</v>
      </c>
      <c r="D34" s="14">
        <f t="array" ref="D34">INDEX($D$55:$N$561,MATCH(D$24&amp;$B$22,$B$55:$B$561&amp;$C$55:$C$561,0),MATCH($A34,$D$54:$N$54,0))</f>
        <v>0</v>
      </c>
      <c r="E34" s="14">
        <f t="array" ref="E34">INDEX($D$55:$N$561,MATCH(E$24&amp;$B$22,$B$55:$B$561&amp;$C$55:$C$561,0),MATCH($A34,$D$54:$N$54,0))</f>
        <v>86657.930411388748</v>
      </c>
      <c r="F34" s="14">
        <f t="array" ref="F34">INDEX($D$55:$N$561,MATCH(F$24&amp;$B$22,$B$55:$B$561&amp;$C$55:$C$561,0),MATCH($A34,$D$54:$N$54,0))</f>
        <v>87776.521074442906</v>
      </c>
      <c r="G34" s="14">
        <f t="array" ref="G34">INDEX($D$55:$N$561,MATCH(G$24&amp;$B$22,$B$55:$B$561&amp;$C$55:$C$561,0),MATCH($A34,$D$54:$N$54,0))</f>
        <v>92412.420554081851</v>
      </c>
      <c r="H34" s="14">
        <f t="array" ref="H34">INDEX($D$55:$N$561,MATCH(H$24&amp;$B$22,$B$55:$B$561&amp;$C$55:$C$561,0),MATCH($A34,$D$54:$N$54,0))</f>
        <v>60523.460084520506</v>
      </c>
      <c r="I34" s="14">
        <f t="array" ref="I34">INDEX($D$55:$N$561,MATCH(I$24&amp;$B$22,$B$55:$B$561&amp;$C$55:$C$561,0),MATCH($A34,$D$54:$N$54,0))</f>
        <v>97123.839150176631</v>
      </c>
      <c r="J34" s="14">
        <f t="array" ref="J34">INDEX($D$55:$N$561,MATCH(J$24&amp;$B$22,$B$55:$B$561&amp;$C$55:$C$561,0),MATCH($A34,$D$54:$N$54,0))</f>
        <v>94923.030455316373</v>
      </c>
      <c r="K34" s="14" t="e">
        <f t="array" ref="K34">INDEX($D$55:$N$561,MATCH(K$24&amp;$B$22,$B$55:$B$561&amp;$C$55:$C$561,0),MATCH($A34,$D$54:$N$54,0))</f>
        <v>#N/A</v>
      </c>
      <c r="L34" s="14" t="e">
        <f t="array" ref="L34">INDEX($D$55:$N$561,MATCH(L$24&amp;$B$22,$B$55:$B$561&amp;$C$55:$C$561,0),MATCH($A34,$D$54:$N$54,0))</f>
        <v>#N/A</v>
      </c>
      <c r="M34" s="14" t="e">
        <f t="array" ref="M34">INDEX($D$55:$N$561,MATCH(M$24&amp;$B$22,$B$55:$B$561&amp;$C$55:$C$561,0),MATCH($A34,$D$54:$N$54,0))</f>
        <v>#N/A</v>
      </c>
    </row>
    <row r="35" spans="1:26" x14ac:dyDescent="0.3"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252</v>
      </c>
      <c r="B38" s="14" t="str">
        <f>IF(ISBLANK(B20),"",B20)</f>
        <v>Vivid_0A</v>
      </c>
      <c r="C38" s="14" t="str">
        <f>IF(ISBLANK(B20),"",B20)</f>
        <v>Vivid_0A</v>
      </c>
      <c r="D38" s="14" t="str">
        <f t="shared" ref="D38:N38" si="2">IF(ISBLANK(C20),"",C20)</f>
        <v>Vivid_0A_BAU</v>
      </c>
      <c r="E38" s="14" t="str">
        <f t="shared" si="2"/>
        <v>Vivid_0B</v>
      </c>
      <c r="F38" s="14" t="str">
        <f t="shared" si="2"/>
        <v>Vivid_1</v>
      </c>
      <c r="G38" s="14" t="str">
        <f t="shared" si="2"/>
        <v>Vivid_2</v>
      </c>
      <c r="H38" s="14" t="str">
        <f t="shared" si="2"/>
        <v>Vivid_13</v>
      </c>
      <c r="I38" s="14" t="str">
        <f t="shared" si="2"/>
        <v>Vivid_14</v>
      </c>
      <c r="J38" s="14" t="str">
        <f t="shared" si="2"/>
        <v>Vivid_25</v>
      </c>
      <c r="K38" s="14" t="str">
        <f t="shared" si="2"/>
        <v>Vivid_26</v>
      </c>
      <c r="L38" s="14" t="str">
        <f t="shared" si="2"/>
        <v/>
      </c>
      <c r="M38" s="14" t="str">
        <f t="shared" si="2"/>
        <v/>
      </c>
      <c r="N38" s="14" t="str">
        <f t="shared" si="2"/>
        <v/>
      </c>
      <c r="O38" s="3" t="str">
        <f>IF(ISBLANK(B20),"",B20)</f>
        <v>Vivid_0A</v>
      </c>
      <c r="P38" s="3" t="str">
        <f t="shared" ref="P38:Z38" si="3">IF(ISBLANK(C20),"",C20)</f>
        <v>Vivid_0A_BAU</v>
      </c>
      <c r="Q38" s="3" t="str">
        <f t="shared" si="3"/>
        <v>Vivid_0B</v>
      </c>
      <c r="R38" s="3" t="str">
        <f t="shared" si="3"/>
        <v>Vivid_1</v>
      </c>
      <c r="S38" s="3" t="str">
        <f t="shared" si="3"/>
        <v>Vivid_2</v>
      </c>
      <c r="T38" s="3" t="str">
        <f t="shared" si="3"/>
        <v>Vivid_13</v>
      </c>
      <c r="U38" s="3" t="str">
        <f t="shared" si="3"/>
        <v>Vivid_14</v>
      </c>
      <c r="V38" s="3" t="str">
        <f t="shared" si="3"/>
        <v>Vivid_25</v>
      </c>
      <c r="W38" s="3" t="str">
        <f t="shared" si="3"/>
        <v>Vivid_26</v>
      </c>
      <c r="X38" s="3" t="str">
        <f t="shared" si="3"/>
        <v/>
      </c>
      <c r="Y38" s="3" t="str">
        <f t="shared" si="3"/>
        <v/>
      </c>
      <c r="Z38" s="3" t="str">
        <f t="shared" si="3"/>
        <v/>
      </c>
    </row>
    <row r="39" spans="1:26" x14ac:dyDescent="0.3">
      <c r="A39" s="3" t="s">
        <v>63</v>
      </c>
      <c r="B39" s="14">
        <f t="array" ref="B39">INDEX($D$55:$N$561,MATCH(B$38&amp;$A39,$B$55:$B$561&amp;$C$55:$C$561,0),MATCH(B$36,$D$54:$N$54,0))</f>
        <v>432.13326707926797</v>
      </c>
      <c r="C39" s="14">
        <f t="array" ref="C39">INDEX($D$55:$N$561,MATCH(C$38&amp;$A39,$B$55:$B$561&amp;$C$55:$C$561,0),MATCH(C$36,$D$54:$N$54,0))</f>
        <v>6246.0324344003538</v>
      </c>
      <c r="D39" s="14">
        <f t="array" ref="D39">INDEX($D$55:$N$561,MATCH(D$38&amp;$A39,$B$55:$B$561&amp;$C$55:$C$561,0),MATCH(D$36,$D$54:$N$54,0))</f>
        <v>7605.6066347943761</v>
      </c>
      <c r="E39" s="14">
        <f t="array" ref="E39">INDEX($D$55:$N$561,MATCH(E$38&amp;$A39,$B$55:$B$561&amp;$C$55:$C$561,0),MATCH(E$36,$D$54:$N$54,0))</f>
        <v>10791.541692619947</v>
      </c>
      <c r="F39" s="14">
        <f t="array" ref="F39">INDEX($D$55:$N$561,MATCH(F$38&amp;$A39,$B$55:$B$561&amp;$C$55:$C$561,0),MATCH(F$36,$D$54:$N$54,0))</f>
        <v>12174.222869820878</v>
      </c>
      <c r="G39" s="14">
        <f t="array" ref="G39">INDEX($D$55:$N$561,MATCH(G$38&amp;$A39,$B$55:$B$561&amp;$C$55:$C$561,0),MATCH(G$36,$D$54:$N$54,0))</f>
        <v>10791.541692619947</v>
      </c>
      <c r="H39" s="14">
        <f t="array" ref="H39">INDEX($D$55:$N$561,MATCH(H$38&amp;$A39,$B$55:$B$561&amp;$C$55:$C$561,0),MATCH(H$36,$D$54:$N$54,0))</f>
        <v>15525.776677741014</v>
      </c>
      <c r="I39" s="14">
        <f t="array" ref="I39">INDEX($D$55:$N$561,MATCH(I$38&amp;$A39,$B$55:$B$561&amp;$C$55:$C$561,0),MATCH(I$36,$D$54:$N$54,0))</f>
        <v>10791.541692619947</v>
      </c>
      <c r="J39" s="14">
        <f t="array" ref="J39">INDEX($D$55:$N$561,MATCH(J$38&amp;$A39,$B$55:$B$561&amp;$C$55:$C$561,0),MATCH(J$36,$D$54:$N$54,0))</f>
        <v>12635.036182064405</v>
      </c>
      <c r="K39" s="14">
        <f t="array" ref="K39">INDEX($D$55:$N$561,MATCH(K$38&amp;$A39,$B$55:$B$561&amp;$C$55:$C$561,0),MATCH(K$36,$D$54:$N$54,0))</f>
        <v>10791.541692619947</v>
      </c>
      <c r="L39" s="14" t="e">
        <f t="array" ref="L39">INDEX($D$55:$N$561,MATCH(L$38&amp;$A39,$B$55:$B$561&amp;$C$55:$C$561,0),MATCH(L$36,$D$54:$N$54,0))</f>
        <v>#N/A</v>
      </c>
      <c r="M39" s="14" t="e">
        <f t="array" ref="M39">INDEX($D$55:$N$561,MATCH(M$38&amp;$A39,$B$55:$B$561&amp;$C$55:$C$561,0),MATCH(M$36,$D$54:$N$54,0))</f>
        <v>#N/A</v>
      </c>
      <c r="N39" s="14" t="e">
        <f t="array" ref="N39">INDEX($D$55:$N$561,MATCH(N$38&amp;$A39,$B$55:$B$561&amp;$C$55:$C$561,0),MATCH(N$36,$D$54:$N$54,0))</f>
        <v>#N/A</v>
      </c>
      <c r="O39" s="14">
        <f t="array" ref="O39">INDEX($D$55:$N$561,MATCH(O$38&amp;$A39,$B$55:$B$561&amp;$C$55:$C$561,0),MATCH(O$36,$D$54:$N$54,0))</f>
        <v>9873.1558435672832</v>
      </c>
      <c r="P39" s="14">
        <f t="array" ref="P39">INDEX($D$55:$N$561,MATCH(P$38&amp;$A39,$B$55:$B$561&amp;$C$55:$C$561,0),MATCH(P$36,$D$54:$N$54,0))</f>
        <v>9948.045164573623</v>
      </c>
      <c r="Q39" s="14">
        <f t="array" ref="Q39">INDEX($D$55:$N$561,MATCH(Q$38&amp;$A39,$B$55:$B$561&amp;$C$55:$C$561,0),MATCH(Q$36,$D$54:$N$54,0))</f>
        <v>15334.168717542236</v>
      </c>
      <c r="R39" s="14">
        <f t="array" ref="R39">INDEX($D$55:$N$561,MATCH(R$38&amp;$A39,$B$55:$B$561&amp;$C$55:$C$561,0),MATCH(R$36,$D$54:$N$54,0))</f>
        <v>15723.464364919433</v>
      </c>
      <c r="S39" s="14">
        <f t="array" ref="S39">INDEX($D$55:$N$561,MATCH(S$38&amp;$A39,$B$55:$B$561&amp;$C$55:$C$561,0),MATCH(S$36,$D$54:$N$54,0))</f>
        <v>15284.36733404034</v>
      </c>
      <c r="T39" s="14">
        <f t="array" ref="T39">INDEX($D$55:$N$561,MATCH(T$38&amp;$A39,$B$55:$B$561&amp;$C$55:$C$561,0),MATCH(T$36,$D$54:$N$54,0))</f>
        <v>1975.8711624804941</v>
      </c>
      <c r="U39" s="14">
        <f t="array" ref="U39">INDEX($D$55:$N$561,MATCH(U$38&amp;$A39,$B$55:$B$561&amp;$C$55:$C$561,0),MATCH(U$36,$D$54:$N$54,0))</f>
        <v>4841.0881331971086</v>
      </c>
      <c r="V39" s="14">
        <f t="array" ref="V39">INDEX($D$55:$N$561,MATCH(V$38&amp;$A39,$B$55:$B$561&amp;$C$55:$C$561,0),MATCH(V$36,$D$54:$N$54,0))</f>
        <v>10322.183073730919</v>
      </c>
      <c r="W39" s="14">
        <f t="array" ref="W39">INDEX($D$55:$N$561,MATCH(W$38&amp;$A39,$B$55:$B$561&amp;$C$55:$C$561,0),MATCH(W$36,$D$54:$N$54,0))</f>
        <v>8616.6352895485343</v>
      </c>
      <c r="X39" s="14" t="e">
        <f t="array" ref="X39">INDEX($D$55:$N$561,MATCH(X$38&amp;$A39,$B$55:$B$561&amp;$C$55:$C$561,0),MATCH(X$36,$D$54:$N$54,0))</f>
        <v>#N/A</v>
      </c>
      <c r="Y39" s="14" t="e">
        <f t="array" ref="Y39">INDEX($D$55:$N$561,MATCH(Y$38&amp;$A39,$B$55:$B$561&amp;$C$55:$C$561,0),MATCH(Y$36,$D$54:$N$54,0))</f>
        <v>#N/A</v>
      </c>
      <c r="Z39" s="14" t="e">
        <f t="array" ref="Z39">INDEX($D$55:$N$561,MATCH(Z$38&amp;$A39,$B$55:$B$561&amp;$C$55:$C$561,0),MATCH(Z$36,$D$54:$N$54,0))</f>
        <v>#N/A</v>
      </c>
    </row>
    <row r="40" spans="1:26" x14ac:dyDescent="0.3">
      <c r="A40" s="3" t="s">
        <v>64</v>
      </c>
      <c r="B40" s="14">
        <f t="array" ref="B40">INDEX($D$55:$N$561,MATCH(B$38&amp;$A40,$B$55:$B$561&amp;$C$55:$C$561,0),MATCH(B$36,$D$54:$N$54,0))</f>
        <v>42259.332050485427</v>
      </c>
      <c r="C40" s="14">
        <f t="array" ref="C40">INDEX($D$55:$N$561,MATCH(C$38&amp;$A40,$B$55:$B$561&amp;$C$55:$C$561,0),MATCH(C$36,$D$54:$N$54,0))</f>
        <v>48640.65106619041</v>
      </c>
      <c r="D40" s="14">
        <f t="array" ref="D40">INDEX($D$55:$N$561,MATCH(D$38&amp;$A40,$B$55:$B$561&amp;$C$55:$C$561,0),MATCH(D$36,$D$54:$N$54,0))</f>
        <v>43788.120091333862</v>
      </c>
      <c r="E40" s="14">
        <f t="array" ref="E40">INDEX($D$55:$N$561,MATCH(E$38&amp;$A40,$B$55:$B$561&amp;$C$55:$C$561,0),MATCH(E$36,$D$54:$N$54,0))</f>
        <v>29995.093630544216</v>
      </c>
      <c r="F40" s="14">
        <f t="array" ref="F40">INDEX($D$55:$N$561,MATCH(F$38&amp;$A40,$B$55:$B$561&amp;$C$55:$C$561,0),MATCH(F$36,$D$54:$N$54,0))</f>
        <v>20860.314383134577</v>
      </c>
      <c r="G40" s="14">
        <f t="array" ref="G40">INDEX($D$55:$N$561,MATCH(G$38&amp;$A40,$B$55:$B$561&amp;$C$55:$C$561,0),MATCH(G$36,$D$54:$N$54,0))</f>
        <v>29995.093630544216</v>
      </c>
      <c r="H40" s="14">
        <f t="array" ref="H40">INDEX($D$55:$N$561,MATCH(H$38&amp;$A40,$B$55:$B$561&amp;$C$55:$C$561,0),MATCH(H$36,$D$54:$N$54,0))</f>
        <v>0</v>
      </c>
      <c r="I40" s="14">
        <f t="array" ref="I40">INDEX($D$55:$N$561,MATCH(I$38&amp;$A40,$B$55:$B$561&amp;$C$55:$C$561,0),MATCH(I$36,$D$54:$N$54,0))</f>
        <v>29995.093630544216</v>
      </c>
      <c r="J40" s="14">
        <f t="array" ref="J40">INDEX($D$55:$N$561,MATCH(J$38&amp;$A40,$B$55:$B$561&amp;$C$55:$C$561,0),MATCH(J$36,$D$54:$N$54,0))</f>
        <v>15659.62284806537</v>
      </c>
      <c r="K40" s="14">
        <f t="array" ref="K40">INDEX($D$55:$N$561,MATCH(K$38&amp;$A40,$B$55:$B$561&amp;$C$55:$C$561,0),MATCH(K$36,$D$54:$N$54,0))</f>
        <v>29995.093630544216</v>
      </c>
      <c r="L40" s="14" t="e">
        <f t="array" ref="L40">INDEX($D$55:$N$561,MATCH(L$38&amp;$A40,$B$55:$B$561&amp;$C$55:$C$561,0),MATCH(L$36,$D$54:$N$54,0))</f>
        <v>#N/A</v>
      </c>
      <c r="M40" s="14" t="e">
        <f t="array" ref="M40">INDEX($D$55:$N$561,MATCH(M$38&amp;$A40,$B$55:$B$561&amp;$C$55:$C$561,0),MATCH(M$36,$D$54:$N$54,0))</f>
        <v>#N/A</v>
      </c>
      <c r="N40" s="14" t="e">
        <f t="array" ref="N40">INDEX($D$55:$N$561,MATCH(N$38&amp;$A40,$B$55:$B$561&amp;$C$55:$C$561,0),MATCH(N$36,$D$54:$N$54,0))</f>
        <v>#N/A</v>
      </c>
      <c r="O40" s="14">
        <f t="array" ref="O40">INDEX($D$55:$N$561,MATCH(O$38&amp;$A40,$B$55:$B$561&amp;$C$55:$C$561,0),MATCH(O$36,$D$54:$N$54,0))</f>
        <v>51598.839564556249</v>
      </c>
      <c r="P40" s="14">
        <f t="array" ref="P40">INDEX($D$55:$N$561,MATCH(P$38&amp;$A40,$B$55:$B$561&amp;$C$55:$C$561,0),MATCH(P$36,$D$54:$N$54,0))</f>
        <v>51652.506799666757</v>
      </c>
      <c r="Q40" s="14">
        <f t="array" ref="Q40">INDEX($D$55:$N$561,MATCH(Q$38&amp;$A40,$B$55:$B$561&amp;$C$55:$C$561,0),MATCH(Q$36,$D$54:$N$54,0))</f>
        <v>30961.317864540219</v>
      </c>
      <c r="R40" s="14">
        <f t="array" ref="R40">INDEX($D$55:$N$561,MATCH(R$38&amp;$A40,$B$55:$B$561&amp;$C$55:$C$561,0),MATCH(R$36,$D$54:$N$54,0))</f>
        <v>0</v>
      </c>
      <c r="S40" s="14">
        <f t="array" ref="S40">INDEX($D$55:$N$561,MATCH(S$38&amp;$A40,$B$55:$B$561&amp;$C$55:$C$561,0),MATCH(S$36,$D$54:$N$54,0))</f>
        <v>465.380187912461</v>
      </c>
      <c r="T40" s="14">
        <f t="array" ref="T40">INDEX($D$55:$N$561,MATCH(T$38&amp;$A40,$B$55:$B$561&amp;$C$55:$C$561,0),MATCH(T$36,$D$54:$N$54,0))</f>
        <v>0</v>
      </c>
      <c r="U40" s="14">
        <f t="array" ref="U40">INDEX($D$55:$N$561,MATCH(U$38&amp;$A40,$B$55:$B$561&amp;$C$55:$C$561,0),MATCH(U$36,$D$54:$N$54,0))</f>
        <v>0</v>
      </c>
      <c r="V40" s="14">
        <f t="array" ref="V40">INDEX($D$55:$N$561,MATCH(V$38&amp;$A40,$B$55:$B$561&amp;$C$55:$C$561,0),MATCH(V$36,$D$54:$N$54,0))</f>
        <v>0</v>
      </c>
      <c r="W40" s="14">
        <f t="array" ref="W40">INDEX($D$55:$N$561,MATCH(W$38&amp;$A40,$B$55:$B$561&amp;$C$55:$C$561,0),MATCH(W$36,$D$54:$N$54,0))</f>
        <v>0</v>
      </c>
      <c r="X40" s="14" t="e">
        <f t="array" ref="X40">INDEX($D$55:$N$561,MATCH(X$38&amp;$A40,$B$55:$B$561&amp;$C$55:$C$561,0),MATCH(X$36,$D$54:$N$54,0))</f>
        <v>#N/A</v>
      </c>
      <c r="Y40" s="14" t="e">
        <f t="array" ref="Y40">INDEX($D$55:$N$561,MATCH(Y$38&amp;$A40,$B$55:$B$561&amp;$C$55:$C$561,0),MATCH(Y$36,$D$54:$N$54,0))</f>
        <v>#N/A</v>
      </c>
      <c r="Z40" s="14" t="e">
        <f t="array" ref="Z40">INDEX($D$55:$N$561,MATCH(Z$38&amp;$A40,$B$55:$B$561&amp;$C$55:$C$561,0),MATCH(Z$36,$D$54:$N$54,0))</f>
        <v>#N/A</v>
      </c>
    </row>
    <row r="41" spans="1:26" x14ac:dyDescent="0.3">
      <c r="A41" s="3" t="s">
        <v>65</v>
      </c>
      <c r="B41" s="14">
        <f t="array" ref="B41">INDEX($D$55:$N$561,MATCH(B$38&amp;$A41,$B$55:$B$561&amp;$C$55:$C$561,0),MATCH(B$36,$D$54:$N$54,0))</f>
        <v>15742.568461825351</v>
      </c>
      <c r="C41" s="14">
        <f t="array" ref="C41">INDEX($D$55:$N$561,MATCH(C$38&amp;$A41,$B$55:$B$561&amp;$C$55:$C$561,0),MATCH(C$36,$D$54:$N$54,0))</f>
        <v>14398.689418417292</v>
      </c>
      <c r="D41" s="14">
        <f t="array" ref="D41">INDEX($D$55:$N$561,MATCH(D$38&amp;$A41,$B$55:$B$561&amp;$C$55:$C$561,0),MATCH(D$36,$D$54:$N$54,0))</f>
        <v>12635.868080254928</v>
      </c>
      <c r="E41" s="14">
        <f t="array" ref="E41">INDEX($D$55:$N$561,MATCH(E$38&amp;$A41,$B$55:$B$561&amp;$C$55:$C$561,0),MATCH(E$36,$D$54:$N$54,0))</f>
        <v>18923.773890589895</v>
      </c>
      <c r="F41" s="14">
        <f t="array" ref="F41">INDEX($D$55:$N$561,MATCH(F$38&amp;$A41,$B$55:$B$561&amp;$C$55:$C$561,0),MATCH(F$36,$D$54:$N$54,0))</f>
        <v>19093.931385060863</v>
      </c>
      <c r="G41" s="14">
        <f t="array" ref="G41">INDEX($D$55:$N$561,MATCH(G$38&amp;$A41,$B$55:$B$561&amp;$C$55:$C$561,0),MATCH(G$36,$D$54:$N$54,0))</f>
        <v>18923.773890589895</v>
      </c>
      <c r="H41" s="14">
        <f t="array" ref="H41">INDEX($D$55:$N$561,MATCH(H$38&amp;$A41,$B$55:$B$561&amp;$C$55:$C$561,0),MATCH(H$36,$D$54:$N$54,0))</f>
        <v>27037.011968621366</v>
      </c>
      <c r="I41" s="14">
        <f t="array" ref="I41">INDEX($D$55:$N$561,MATCH(I$38&amp;$A41,$B$55:$B$561&amp;$C$55:$C$561,0),MATCH(I$36,$D$54:$N$54,0))</f>
        <v>18923.773890589895</v>
      </c>
      <c r="J41" s="14">
        <f t="array" ref="J41">INDEX($D$55:$N$561,MATCH(J$38&amp;$A41,$B$55:$B$561&amp;$C$55:$C$561,0),MATCH(J$36,$D$54:$N$54,0))</f>
        <v>19566.491189455017</v>
      </c>
      <c r="K41" s="14">
        <f t="array" ref="K41">INDEX($D$55:$N$561,MATCH(K$38&amp;$A41,$B$55:$B$561&amp;$C$55:$C$561,0),MATCH(K$36,$D$54:$N$54,0))</f>
        <v>18923.773890589895</v>
      </c>
      <c r="L41" s="14" t="e">
        <f t="array" ref="L41">INDEX($D$55:$N$561,MATCH(L$38&amp;$A41,$B$55:$B$561&amp;$C$55:$C$561,0),MATCH(L$36,$D$54:$N$54,0))</f>
        <v>#N/A</v>
      </c>
      <c r="M41" s="14" t="e">
        <f t="array" ref="M41">INDEX($D$55:$N$561,MATCH(M$38&amp;$A41,$B$55:$B$561&amp;$C$55:$C$561,0),MATCH(M$36,$D$54:$N$54,0))</f>
        <v>#N/A</v>
      </c>
      <c r="N41" s="14" t="e">
        <f t="array" ref="N41">INDEX($D$55:$N$561,MATCH(N$38&amp;$A41,$B$55:$B$561&amp;$C$55:$C$561,0),MATCH(N$36,$D$54:$N$54,0))</f>
        <v>#N/A</v>
      </c>
      <c r="O41" s="14">
        <f t="array" ref="O41">INDEX($D$55:$N$561,MATCH(O$38&amp;$A41,$B$55:$B$561&amp;$C$55:$C$561,0),MATCH(O$36,$D$54:$N$54,0))</f>
        <v>1060.775447752804</v>
      </c>
      <c r="P41" s="14">
        <f t="array" ref="P41">INDEX($D$55:$N$561,MATCH(P$38&amp;$A41,$B$55:$B$561&amp;$C$55:$C$561,0),MATCH(P$36,$D$54:$N$54,0))</f>
        <v>517.33153743325352</v>
      </c>
      <c r="Q41" s="14">
        <f t="array" ref="Q41">INDEX($D$55:$N$561,MATCH(Q$38&amp;$A41,$B$55:$B$561&amp;$C$55:$C$561,0),MATCH(Q$36,$D$54:$N$54,0))</f>
        <v>1986.6517017881108</v>
      </c>
      <c r="R41" s="14">
        <f t="array" ref="R41">INDEX($D$55:$N$561,MATCH(R$38&amp;$A41,$B$55:$B$561&amp;$C$55:$C$561,0),MATCH(R$36,$D$54:$N$54,0))</f>
        <v>10074.464974840312</v>
      </c>
      <c r="S41" s="14">
        <f t="array" ref="S41">INDEX($D$55:$N$561,MATCH(S$38&amp;$A41,$B$55:$B$561&amp;$C$55:$C$561,0),MATCH(S$36,$D$54:$N$54,0))</f>
        <v>10129.993726845913</v>
      </c>
      <c r="T41" s="14">
        <f t="array" ref="T41">INDEX($D$55:$N$561,MATCH(T$38&amp;$A41,$B$55:$B$561&amp;$C$55:$C$561,0),MATCH(T$36,$D$54:$N$54,0))</f>
        <v>0</v>
      </c>
      <c r="U41" s="14">
        <f t="array" ref="U41">INDEX($D$55:$N$561,MATCH(U$38&amp;$A41,$B$55:$B$561&amp;$C$55:$C$561,0),MATCH(U$36,$D$54:$N$54,0))</f>
        <v>0</v>
      </c>
      <c r="V41" s="14">
        <f t="array" ref="V41">INDEX($D$55:$N$561,MATCH(V$38&amp;$A41,$B$55:$B$561&amp;$C$55:$C$561,0),MATCH(V$36,$D$54:$N$54,0))</f>
        <v>9398.7650948800183</v>
      </c>
      <c r="W41" s="14">
        <f t="array" ref="W41">INDEX($D$55:$N$561,MATCH(W$38&amp;$A41,$B$55:$B$561&amp;$C$55:$C$561,0),MATCH(W$36,$D$54:$N$54,0))</f>
        <v>13126.45164675711</v>
      </c>
      <c r="X41" s="14" t="e">
        <f t="array" ref="X41">INDEX($D$55:$N$561,MATCH(X$38&amp;$A41,$B$55:$B$561&amp;$C$55:$C$561,0),MATCH(X$36,$D$54:$N$54,0))</f>
        <v>#N/A</v>
      </c>
      <c r="Y41" s="14" t="e">
        <f t="array" ref="Y41">INDEX($D$55:$N$561,MATCH(Y$38&amp;$A41,$B$55:$B$561&amp;$C$55:$C$561,0),MATCH(Y$36,$D$54:$N$54,0))</f>
        <v>#N/A</v>
      </c>
      <c r="Z41" s="14" t="e">
        <f t="array" ref="Z41">INDEX($D$55:$N$561,MATCH(Z$38&amp;$A41,$B$55:$B$561&amp;$C$55:$C$561,0),MATCH(Z$36,$D$54:$N$54,0))</f>
        <v>#N/A</v>
      </c>
    </row>
    <row r="42" spans="1:26" x14ac:dyDescent="0.3">
      <c r="A42" s="3" t="s">
        <v>66</v>
      </c>
      <c r="B42" s="14">
        <f t="array" ref="B42">INDEX($D$55:$N$561,MATCH(B$38&amp;$A42,$B$55:$B$561&amp;$C$55:$C$561,0),MATCH(B$36,$D$54:$N$54,0))</f>
        <v>194.35225063586262</v>
      </c>
      <c r="C42" s="14">
        <f t="array" ref="C42">INDEX($D$55:$N$561,MATCH(C$38&amp;$A42,$B$55:$B$561&amp;$C$55:$C$561,0),MATCH(C$36,$D$54:$N$54,0))</f>
        <v>3172.5909908451158</v>
      </c>
      <c r="D42" s="14">
        <f t="array" ref="D42">INDEX($D$55:$N$561,MATCH(D$38&amp;$A42,$B$55:$B$561&amp;$C$55:$C$561,0),MATCH(D$36,$D$54:$N$54,0))</f>
        <v>3904.0355698060566</v>
      </c>
      <c r="E42" s="14">
        <f t="array" ref="E42">INDEX($D$55:$N$561,MATCH(E$38&amp;$A42,$B$55:$B$561&amp;$C$55:$C$561,0),MATCH(E$36,$D$54:$N$54,0))</f>
        <v>4149.3454146666118</v>
      </c>
      <c r="F42" s="14">
        <f t="array" ref="F42">INDEX($D$55:$N$561,MATCH(F$38&amp;$A42,$B$55:$B$561&amp;$C$55:$C$561,0),MATCH(F$36,$D$54:$N$54,0))</f>
        <v>4159.862749522521</v>
      </c>
      <c r="G42" s="14">
        <f t="array" ref="G42">INDEX($D$55:$N$561,MATCH(G$38&amp;$A42,$B$55:$B$561&amp;$C$55:$C$561,0),MATCH(G$36,$D$54:$N$54,0))</f>
        <v>4149.3454146666118</v>
      </c>
      <c r="H42" s="14">
        <f t="array" ref="H42">INDEX($D$55:$N$561,MATCH(H$38&amp;$A42,$B$55:$B$561&amp;$C$55:$C$561,0),MATCH(H$36,$D$54:$N$54,0))</f>
        <v>6171.3434767778981</v>
      </c>
      <c r="I42" s="14">
        <f t="array" ref="I42">INDEX($D$55:$N$561,MATCH(I$38&amp;$A42,$B$55:$B$561&amp;$C$55:$C$561,0),MATCH(I$36,$D$54:$N$54,0))</f>
        <v>4149.3454146666118</v>
      </c>
      <c r="J42" s="14">
        <f t="array" ref="J42">INDEX($D$55:$N$561,MATCH(J$38&amp;$A42,$B$55:$B$561&amp;$C$55:$C$561,0),MATCH(J$36,$D$54:$N$54,0))</f>
        <v>4159.862749522521</v>
      </c>
      <c r="K42" s="14">
        <f t="array" ref="K42">INDEX($D$55:$N$561,MATCH(K$38&amp;$A42,$B$55:$B$561&amp;$C$55:$C$561,0),MATCH(K$36,$D$54:$N$54,0))</f>
        <v>4149.3454146666118</v>
      </c>
      <c r="L42" s="14" t="e">
        <f t="array" ref="L42">INDEX($D$55:$N$561,MATCH(L$38&amp;$A42,$B$55:$B$561&amp;$C$55:$C$561,0),MATCH(L$36,$D$54:$N$54,0))</f>
        <v>#N/A</v>
      </c>
      <c r="M42" s="14" t="e">
        <f t="array" ref="M42">INDEX($D$55:$N$561,MATCH(M$38&amp;$A42,$B$55:$B$561&amp;$C$55:$C$561,0),MATCH(M$36,$D$54:$N$54,0))</f>
        <v>#N/A</v>
      </c>
      <c r="N42" s="14" t="e">
        <f t="array" ref="N42">INDEX($D$55:$N$561,MATCH(N$38&amp;$A42,$B$55:$B$561&amp;$C$55:$C$561,0),MATCH(N$36,$D$54:$N$54,0))</f>
        <v>#N/A</v>
      </c>
      <c r="O42" s="14">
        <f t="array" ref="O42">INDEX($D$55:$N$561,MATCH(O$38&amp;$A42,$B$55:$B$561&amp;$C$55:$C$561,0),MATCH(O$36,$D$54:$N$54,0))</f>
        <v>6850.0387198457183</v>
      </c>
      <c r="P42" s="14">
        <f t="array" ref="P42">INDEX($D$55:$N$561,MATCH(P$38&amp;$A42,$B$55:$B$561&amp;$C$55:$C$561,0),MATCH(P$36,$D$54:$N$54,0))</f>
        <v>6923.5581208228496</v>
      </c>
      <c r="Q42" s="14">
        <f t="array" ref="Q42">INDEX($D$55:$N$561,MATCH(Q$38&amp;$A42,$B$55:$B$561&amp;$C$55:$C$561,0),MATCH(Q$36,$D$54:$N$54,0))</f>
        <v>7062.2667670530764</v>
      </c>
      <c r="R42" s="14">
        <f t="array" ref="R42">INDEX($D$55:$N$561,MATCH(R$38&amp;$A42,$B$55:$B$561&amp;$C$55:$C$561,0),MATCH(R$36,$D$54:$N$54,0))</f>
        <v>7894.0158499123654</v>
      </c>
      <c r="S42" s="14">
        <f t="array" ref="S42">INDEX($D$55:$N$561,MATCH(S$38&amp;$A42,$B$55:$B$561&amp;$C$55:$C$561,0),MATCH(S$36,$D$54:$N$54,0))</f>
        <v>8258.9392853750469</v>
      </c>
      <c r="T42" s="14">
        <f t="array" ref="T42">INDEX($D$55:$N$561,MATCH(T$38&amp;$A42,$B$55:$B$561&amp;$C$55:$C$561,0),MATCH(T$36,$D$54:$N$54,0))</f>
        <v>27809.324384165368</v>
      </c>
      <c r="U42" s="14">
        <f t="array" ref="U42">INDEX($D$55:$N$561,MATCH(U$38&amp;$A42,$B$55:$B$561&amp;$C$55:$C$561,0),MATCH(U$36,$D$54:$N$54,0))</f>
        <v>34850.302702589608</v>
      </c>
      <c r="V42" s="14">
        <f t="array" ref="V42">INDEX($D$55:$N$561,MATCH(V$38&amp;$A42,$B$55:$B$561&amp;$C$55:$C$561,0),MATCH(V$36,$D$54:$N$54,0))</f>
        <v>8042.6975515589183</v>
      </c>
      <c r="W42" s="14">
        <f t="array" ref="W42">INDEX($D$55:$N$561,MATCH(W$38&amp;$A42,$B$55:$B$561&amp;$C$55:$C$561,0),MATCH(W$36,$D$54:$N$54,0))</f>
        <v>11624.893817097511</v>
      </c>
      <c r="X42" s="14" t="e">
        <f t="array" ref="X42">INDEX($D$55:$N$561,MATCH(X$38&amp;$A42,$B$55:$B$561&amp;$C$55:$C$561,0),MATCH(X$36,$D$54:$N$54,0))</f>
        <v>#N/A</v>
      </c>
      <c r="Y42" s="14" t="e">
        <f t="array" ref="Y42">INDEX($D$55:$N$561,MATCH(Y$38&amp;$A42,$B$55:$B$561&amp;$C$55:$C$561,0),MATCH(Y$36,$D$54:$N$54,0))</f>
        <v>#N/A</v>
      </c>
      <c r="Z42" s="14" t="e">
        <f t="array" ref="Z42">INDEX($D$55:$N$561,MATCH(Z$38&amp;$A42,$B$55:$B$561&amp;$C$55:$C$561,0),MATCH(Z$36,$D$54:$N$54,0))</f>
        <v>#N/A</v>
      </c>
    </row>
    <row r="43" spans="1:26" x14ac:dyDescent="0.3">
      <c r="A43" s="3" t="s">
        <v>67</v>
      </c>
      <c r="B43" s="14">
        <f t="array" ref="B43">INDEX($D$55:$N$561,MATCH(B$38&amp;$A43,$B$55:$B$561&amp;$C$55:$C$561,0),MATCH(B$36,$D$54:$N$54,0))</f>
        <v>10349.477981293301</v>
      </c>
      <c r="C43" s="14">
        <f t="array" ref="C43">INDEX($D$55:$N$561,MATCH(C$38&amp;$A43,$B$55:$B$561&amp;$C$55:$C$561,0),MATCH(C$36,$D$54:$N$54,0))</f>
        <v>16009.923163672718</v>
      </c>
      <c r="D43" s="14">
        <f t="array" ref="D43">INDEX($D$55:$N$561,MATCH(D$38&amp;$A43,$B$55:$B$561&amp;$C$55:$C$561,0),MATCH(D$36,$D$54:$N$54,0))</f>
        <v>16252.67414209737</v>
      </c>
      <c r="E43" s="14">
        <f t="array" ref="E43">INDEX($D$55:$N$561,MATCH(E$38&amp;$A43,$B$55:$B$561&amp;$C$55:$C$561,0),MATCH(E$36,$D$54:$N$54,0))</f>
        <v>17168.548108229523</v>
      </c>
      <c r="F43" s="14">
        <f t="array" ref="F43">INDEX($D$55:$N$561,MATCH(F$38&amp;$A43,$B$55:$B$561&amp;$C$55:$C$561,0),MATCH(F$36,$D$54:$N$54,0))</f>
        <v>17355.17407654487</v>
      </c>
      <c r="G43" s="14">
        <f t="array" ref="G43">INDEX($D$55:$N$561,MATCH(G$38&amp;$A43,$B$55:$B$561&amp;$C$55:$C$561,0),MATCH(G$36,$D$54:$N$54,0))</f>
        <v>17168.548108229523</v>
      </c>
      <c r="H43" s="14">
        <f t="array" ref="H43">INDEX($D$55:$N$561,MATCH(H$38&amp;$A43,$B$55:$B$561&amp;$C$55:$C$561,0),MATCH(H$36,$D$54:$N$54,0))</f>
        <v>18122.491862578743</v>
      </c>
      <c r="I43" s="14">
        <f t="array" ref="I43">INDEX($D$55:$N$561,MATCH(I$38&amp;$A43,$B$55:$B$561&amp;$C$55:$C$561,0),MATCH(I$36,$D$54:$N$54,0))</f>
        <v>17168.548108229523</v>
      </c>
      <c r="J43" s="14">
        <f t="array" ref="J43">INDEX($D$55:$N$561,MATCH(J$38&amp;$A43,$B$55:$B$561&amp;$C$55:$C$561,0),MATCH(J$36,$D$54:$N$54,0))</f>
        <v>17738.971768023683</v>
      </c>
      <c r="K43" s="14">
        <f t="array" ref="K43">INDEX($D$55:$N$561,MATCH(K$38&amp;$A43,$B$55:$B$561&amp;$C$55:$C$561,0),MATCH(K$36,$D$54:$N$54,0))</f>
        <v>17168.548108229523</v>
      </c>
      <c r="L43" s="14" t="e">
        <f t="array" ref="L43">INDEX($D$55:$N$561,MATCH(L$38&amp;$A43,$B$55:$B$561&amp;$C$55:$C$561,0),MATCH(L$36,$D$54:$N$54,0))</f>
        <v>#N/A</v>
      </c>
      <c r="M43" s="14" t="e">
        <f t="array" ref="M43">INDEX($D$55:$N$561,MATCH(M$38&amp;$A43,$B$55:$B$561&amp;$C$55:$C$561,0),MATCH(M$36,$D$54:$N$54,0))</f>
        <v>#N/A</v>
      </c>
      <c r="N43" s="14" t="e">
        <f t="array" ref="N43">INDEX($D$55:$N$561,MATCH(N$38&amp;$A43,$B$55:$B$561&amp;$C$55:$C$561,0),MATCH(N$36,$D$54:$N$54,0))</f>
        <v>#N/A</v>
      </c>
      <c r="O43" s="14">
        <f t="array" ref="O43">INDEX($D$55:$N$561,MATCH(O$38&amp;$A43,$B$55:$B$561&amp;$C$55:$C$561,0),MATCH(O$36,$D$54:$N$54,0))</f>
        <v>18695.667122362567</v>
      </c>
      <c r="P43" s="14">
        <f t="array" ref="P43">INDEX($D$55:$N$561,MATCH(P$38&amp;$A43,$B$55:$B$561&amp;$C$55:$C$561,0),MATCH(P$36,$D$54:$N$54,0))</f>
        <v>18732.90961335901</v>
      </c>
      <c r="Q43" s="14">
        <f t="array" ref="Q43">INDEX($D$55:$N$561,MATCH(Q$38&amp;$A43,$B$55:$B$561&amp;$C$55:$C$561,0),MATCH(Q$36,$D$54:$N$54,0))</f>
        <v>20498.349948626241</v>
      </c>
      <c r="R43" s="14">
        <f t="array" ref="R43">INDEX($D$55:$N$561,MATCH(R$38&amp;$A43,$B$55:$B$561&amp;$C$55:$C$561,0),MATCH(R$36,$D$54:$N$54,0))</f>
        <v>23790.208360954177</v>
      </c>
      <c r="S43" s="14">
        <f t="array" ref="S43">INDEX($D$55:$N$561,MATCH(S$38&amp;$A43,$B$55:$B$561&amp;$C$55:$C$561,0),MATCH(S$36,$D$54:$N$54,0))</f>
        <v>24529.344910639837</v>
      </c>
      <c r="T43" s="14">
        <f t="array" ref="T43">INDEX($D$55:$N$561,MATCH(T$38&amp;$A43,$B$55:$B$561&amp;$C$55:$C$561,0),MATCH(T$36,$D$54:$N$54,0))</f>
        <v>31262.479715490143</v>
      </c>
      <c r="U43" s="14">
        <f t="array" ref="U43">INDEX($D$55:$N$561,MATCH(U$38&amp;$A43,$B$55:$B$561&amp;$C$55:$C$561,0),MATCH(U$36,$D$54:$N$54,0))</f>
        <v>29545.026525364938</v>
      </c>
      <c r="V43" s="14">
        <f t="array" ref="V43">INDEX($D$55:$N$561,MATCH(V$38&amp;$A43,$B$55:$B$561&amp;$C$55:$C$561,0),MATCH(V$36,$D$54:$N$54,0))</f>
        <v>25435.87656849375</v>
      </c>
      <c r="W43" s="14">
        <f t="array" ref="W43">INDEX($D$55:$N$561,MATCH(W$38&amp;$A43,$B$55:$B$561&amp;$C$55:$C$561,0),MATCH(W$36,$D$54:$N$54,0))</f>
        <v>27586.463990941786</v>
      </c>
      <c r="X43" s="14" t="e">
        <f t="array" ref="X43">INDEX($D$55:$N$561,MATCH(X$38&amp;$A43,$B$55:$B$561&amp;$C$55:$C$561,0),MATCH(X$36,$D$54:$N$54,0))</f>
        <v>#N/A</v>
      </c>
      <c r="Y43" s="14" t="e">
        <f t="array" ref="Y43">INDEX($D$55:$N$561,MATCH(Y$38&amp;$A43,$B$55:$B$561&amp;$C$55:$C$561,0),MATCH(Y$36,$D$54:$N$54,0))</f>
        <v>#N/A</v>
      </c>
      <c r="Z43" s="14" t="e">
        <f t="array" ref="Z43">INDEX($D$55:$N$561,MATCH(Z$38&amp;$A43,$B$55:$B$561&amp;$C$55:$C$561,0),MATCH(Z$36,$D$54:$N$54,0))</f>
        <v>#N/A</v>
      </c>
    </row>
    <row r="44" spans="1:26" x14ac:dyDescent="0.3">
      <c r="A44" s="3" t="s">
        <v>68</v>
      </c>
      <c r="B44" s="14">
        <f t="array" ref="B44">INDEX($D$55:$N$561,MATCH(B$38&amp;$A44,$B$55:$B$561&amp;$C$55:$C$561,0),MATCH(B$36,$D$54:$N$54,0))</f>
        <v>9854.768593125913</v>
      </c>
      <c r="C44" s="14">
        <f t="array" ref="C44">INDEX($D$55:$N$561,MATCH(C$38&amp;$A44,$B$55:$B$561&amp;$C$55:$C$561,0),MATCH(C$36,$D$54:$N$54,0))</f>
        <v>14514.167854150604</v>
      </c>
      <c r="D44" s="14">
        <f t="array" ref="D44">INDEX($D$55:$N$561,MATCH(D$38&amp;$A44,$B$55:$B$561&amp;$C$55:$C$561,0),MATCH(D$36,$D$54:$N$54,0))</f>
        <v>14568.342003330639</v>
      </c>
      <c r="E44" s="14">
        <f t="array" ref="E44">INDEX($D$55:$N$561,MATCH(E$38&amp;$A44,$B$55:$B$561&amp;$C$55:$C$561,0),MATCH(E$36,$D$54:$N$54,0))</f>
        <v>14514.167854150606</v>
      </c>
      <c r="F44" s="14">
        <f t="array" ref="F44">INDEX($D$55:$N$561,MATCH(F$38&amp;$A44,$B$55:$B$561&amp;$C$55:$C$561,0),MATCH(F$36,$D$54:$N$54,0))</f>
        <v>14514.167854150604</v>
      </c>
      <c r="G44" s="14">
        <f t="array" ref="G44">INDEX($D$55:$N$561,MATCH(G$38&amp;$A44,$B$55:$B$561&amp;$C$55:$C$561,0),MATCH(G$36,$D$54:$N$54,0))</f>
        <v>14514.167854150606</v>
      </c>
      <c r="H44" s="14">
        <f t="array" ref="H44">INDEX($D$55:$N$561,MATCH(H$38&amp;$A44,$B$55:$B$561&amp;$C$55:$C$561,0),MATCH(H$36,$D$54:$N$54,0))</f>
        <v>14514.167854150604</v>
      </c>
      <c r="I44" s="14">
        <f t="array" ref="I44">INDEX($D$55:$N$561,MATCH(I$38&amp;$A44,$B$55:$B$561&amp;$C$55:$C$561,0),MATCH(I$36,$D$54:$N$54,0))</f>
        <v>14514.167854150606</v>
      </c>
      <c r="J44" s="14">
        <f t="array" ref="J44">INDEX($D$55:$N$561,MATCH(J$38&amp;$A44,$B$55:$B$561&amp;$C$55:$C$561,0),MATCH(J$36,$D$54:$N$54,0))</f>
        <v>14514.167854150606</v>
      </c>
      <c r="K44" s="14">
        <f t="array" ref="K44">INDEX($D$55:$N$561,MATCH(K$38&amp;$A44,$B$55:$B$561&amp;$C$55:$C$561,0),MATCH(K$36,$D$54:$N$54,0))</f>
        <v>14514.167854150606</v>
      </c>
      <c r="L44" s="14" t="e">
        <f t="array" ref="L44">INDEX($D$55:$N$561,MATCH(L$38&amp;$A44,$B$55:$B$561&amp;$C$55:$C$561,0),MATCH(L$36,$D$54:$N$54,0))</f>
        <v>#N/A</v>
      </c>
      <c r="M44" s="14" t="e">
        <f t="array" ref="M44">INDEX($D$55:$N$561,MATCH(M$38&amp;$A44,$B$55:$B$561&amp;$C$55:$C$561,0),MATCH(M$36,$D$54:$N$54,0))</f>
        <v>#N/A</v>
      </c>
      <c r="N44" s="14" t="e">
        <f t="array" ref="N44">INDEX($D$55:$N$561,MATCH(N$38&amp;$A44,$B$55:$B$561&amp;$C$55:$C$561,0),MATCH(N$36,$D$54:$N$54,0))</f>
        <v>#N/A</v>
      </c>
      <c r="O44" s="14">
        <f t="array" ref="O44">INDEX($D$55:$N$561,MATCH(O$38&amp;$A44,$B$55:$B$561&amp;$C$55:$C$561,0),MATCH(O$36,$D$54:$N$54,0))</f>
        <v>15996.975726628421</v>
      </c>
      <c r="P44" s="14">
        <f t="array" ref="P44">INDEX($D$55:$N$561,MATCH(P$38&amp;$A44,$B$55:$B$561&amp;$C$55:$C$561,0),MATCH(P$36,$D$54:$N$54,0))</f>
        <v>15975.507766665305</v>
      </c>
      <c r="Q44" s="14">
        <f t="array" ref="Q44">INDEX($D$55:$N$561,MATCH(Q$38&amp;$A44,$B$55:$B$561&amp;$C$55:$C$561,0),MATCH(Q$36,$D$54:$N$54,0))</f>
        <v>18032.949236508615</v>
      </c>
      <c r="R44" s="14">
        <f t="array" ref="R44">INDEX($D$55:$N$561,MATCH(R$38&amp;$A44,$B$55:$B$561&amp;$C$55:$C$561,0),MATCH(R$36,$D$54:$N$54,0))</f>
        <v>23100.058135655392</v>
      </c>
      <c r="S44" s="14">
        <f t="array" ref="S44">INDEX($D$55:$N$561,MATCH(S$38&amp;$A44,$B$55:$B$561&amp;$C$55:$C$561,0),MATCH(S$36,$D$54:$N$54,0))</f>
        <v>23771.416194236695</v>
      </c>
      <c r="T44" s="14">
        <f t="array" ref="T44">INDEX($D$55:$N$561,MATCH(T$38&amp;$A44,$B$55:$B$561&amp;$C$55:$C$561,0),MATCH(T$36,$D$54:$N$54,0))</f>
        <v>24729.320000000007</v>
      </c>
      <c r="U44" s="14">
        <f t="array" ref="U44">INDEX($D$55:$N$561,MATCH(U$38&amp;$A44,$B$55:$B$561&amp;$C$55:$C$561,0),MATCH(U$36,$D$54:$N$54,0))</f>
        <v>22237.501768606766</v>
      </c>
      <c r="V44" s="14">
        <f t="array" ref="V44">INDEX($D$55:$N$561,MATCH(V$38&amp;$A44,$B$55:$B$561&amp;$C$55:$C$561,0),MATCH(V$36,$D$54:$N$54,0))</f>
        <v>24552.996119163545</v>
      </c>
      <c r="W44" s="14">
        <f t="array" ref="W44">INDEX($D$55:$N$561,MATCH(W$38&amp;$A44,$B$55:$B$561&amp;$C$55:$C$561,0),MATCH(W$36,$D$54:$N$54,0))</f>
        <v>24925.344846272608</v>
      </c>
      <c r="X44" s="14" t="e">
        <f t="array" ref="X44">INDEX($D$55:$N$561,MATCH(X$38&amp;$A44,$B$55:$B$561&amp;$C$55:$C$561,0),MATCH(X$36,$D$54:$N$54,0))</f>
        <v>#N/A</v>
      </c>
      <c r="Y44" s="14" t="e">
        <f t="array" ref="Y44">INDEX($D$55:$N$561,MATCH(Y$38&amp;$A44,$B$55:$B$561&amp;$C$55:$C$561,0),MATCH(Y$36,$D$54:$N$54,0))</f>
        <v>#N/A</v>
      </c>
      <c r="Z44" s="14" t="e">
        <f t="array" ref="Z44">INDEX($D$55:$N$561,MATCH(Z$38&amp;$A44,$B$55:$B$561&amp;$C$55:$C$561,0),MATCH(Z$36,$D$54:$N$54,0))</f>
        <v>#N/A</v>
      </c>
    </row>
    <row r="45" spans="1:26" x14ac:dyDescent="0.3">
      <c r="A45" s="3" t="s">
        <v>69</v>
      </c>
      <c r="B45" s="14">
        <f t="array" ref="B45">INDEX($D$55:$N$561,MATCH(B$38&amp;$A45,$B$55:$B$561&amp;$C$55:$C$561,0),MATCH(B$36,$D$54:$N$54,0))</f>
        <v>2356.8190162179026</v>
      </c>
      <c r="C45" s="14">
        <f t="array" ref="C45">INDEX($D$55:$N$561,MATCH(C$38&amp;$A45,$B$55:$B$561&amp;$C$55:$C$561,0),MATCH(C$36,$D$54:$N$54,0))</f>
        <v>1537.0506464091866</v>
      </c>
      <c r="D45" s="14">
        <f t="array" ref="D45">INDEX($D$55:$N$561,MATCH(D$38&amp;$A45,$B$55:$B$561&amp;$C$55:$C$561,0),MATCH(D$36,$D$54:$N$54,0))</f>
        <v>1516.6896991611875</v>
      </c>
      <c r="E45" s="14">
        <f t="array" ref="E45">INDEX($D$55:$N$561,MATCH(E$38&amp;$A45,$B$55:$B$561&amp;$C$55:$C$561,0),MATCH(E$36,$D$54:$N$54,0))</f>
        <v>1516.5761695611868</v>
      </c>
      <c r="F45" s="14">
        <f t="array" ref="F45">INDEX($D$55:$N$561,MATCH(F$38&amp;$A45,$B$55:$B$561&amp;$C$55:$C$561,0),MATCH(F$36,$D$54:$N$54,0))</f>
        <v>1503.8223551611873</v>
      </c>
      <c r="G45" s="14">
        <f t="array" ref="G45">INDEX($D$55:$N$561,MATCH(G$38&amp;$A45,$B$55:$B$561&amp;$C$55:$C$561,0),MATCH(G$36,$D$54:$N$54,0))</f>
        <v>1516.5761695611868</v>
      </c>
      <c r="H45" s="14">
        <f t="array" ref="H45">INDEX($D$55:$N$561,MATCH(H$38&amp;$A45,$B$55:$B$561&amp;$C$55:$C$561,0),MATCH(H$36,$D$54:$N$54,0))</f>
        <v>1503.8223551611866</v>
      </c>
      <c r="I45" s="14">
        <f t="array" ref="I45">INDEX($D$55:$N$561,MATCH(I$38&amp;$A45,$B$55:$B$561&amp;$C$55:$C$561,0),MATCH(I$36,$D$54:$N$54,0))</f>
        <v>1516.5761695611868</v>
      </c>
      <c r="J45" s="14">
        <f t="array" ref="J45">INDEX($D$55:$N$561,MATCH(J$38&amp;$A45,$B$55:$B$561&amp;$C$55:$C$561,0),MATCH(J$36,$D$54:$N$54,0))</f>
        <v>1503.8223551611877</v>
      </c>
      <c r="K45" s="14">
        <f t="array" ref="K45">INDEX($D$55:$N$561,MATCH(K$38&amp;$A45,$B$55:$B$561&amp;$C$55:$C$561,0),MATCH(K$36,$D$54:$N$54,0))</f>
        <v>1516.5761695611868</v>
      </c>
      <c r="L45" s="14" t="e">
        <f t="array" ref="L45">INDEX($D$55:$N$561,MATCH(L$38&amp;$A45,$B$55:$B$561&amp;$C$55:$C$561,0),MATCH(L$36,$D$54:$N$54,0))</f>
        <v>#N/A</v>
      </c>
      <c r="M45" s="14" t="e">
        <f t="array" ref="M45">INDEX($D$55:$N$561,MATCH(M$38&amp;$A45,$B$55:$B$561&amp;$C$55:$C$561,0),MATCH(M$36,$D$54:$N$54,0))</f>
        <v>#N/A</v>
      </c>
      <c r="N45" s="14" t="e">
        <f t="array" ref="N45">INDEX($D$55:$N$561,MATCH(N$38&amp;$A45,$B$55:$B$561&amp;$C$55:$C$561,0),MATCH(N$36,$D$54:$N$54,0))</f>
        <v>#N/A</v>
      </c>
      <c r="O45" s="14">
        <f t="array" ref="O45">INDEX($D$55:$N$561,MATCH(O$38&amp;$A45,$B$55:$B$561&amp;$C$55:$C$561,0),MATCH(O$36,$D$54:$N$54,0))</f>
        <v>0</v>
      </c>
      <c r="P45" s="14">
        <f t="array" ref="P45">INDEX($D$55:$N$561,MATCH(P$38&amp;$A45,$B$55:$B$561&amp;$C$55:$C$561,0),MATCH(P$36,$D$54:$N$54,0))</f>
        <v>0</v>
      </c>
      <c r="Q45" s="14">
        <f t="array" ref="Q45">INDEX($D$55:$N$561,MATCH(Q$38&amp;$A45,$B$55:$B$561&amp;$C$55:$C$561,0),MATCH(Q$36,$D$54:$N$54,0))</f>
        <v>0</v>
      </c>
      <c r="R45" s="14">
        <f t="array" ref="R45">INDEX($D$55:$N$561,MATCH(R$38&amp;$A45,$B$55:$B$561&amp;$C$55:$C$561,0),MATCH(R$36,$D$54:$N$54,0))</f>
        <v>0</v>
      </c>
      <c r="S45" s="14">
        <f t="array" ref="S45">INDEX($D$55:$N$561,MATCH(S$38&amp;$A45,$B$55:$B$561&amp;$C$55:$C$561,0),MATCH(S$36,$D$54:$N$54,0))</f>
        <v>0</v>
      </c>
      <c r="T45" s="14">
        <f t="array" ref="T45">INDEX($D$55:$N$561,MATCH(T$38&amp;$A45,$B$55:$B$561&amp;$C$55:$C$561,0),MATCH(T$36,$D$54:$N$54,0))</f>
        <v>0</v>
      </c>
      <c r="U45" s="14">
        <f t="array" ref="U45">INDEX($D$55:$N$561,MATCH(U$38&amp;$A45,$B$55:$B$561&amp;$C$55:$C$561,0),MATCH(U$36,$D$54:$N$54,0))</f>
        <v>0</v>
      </c>
      <c r="V45" s="14">
        <f t="array" ref="V45">INDEX($D$55:$N$561,MATCH(V$38&amp;$A45,$B$55:$B$561&amp;$C$55:$C$561,0),MATCH(V$36,$D$54:$N$54,0))</f>
        <v>0</v>
      </c>
      <c r="W45" s="14">
        <f t="array" ref="W45">INDEX($D$55:$N$561,MATCH(W$38&amp;$A45,$B$55:$B$561&amp;$C$55:$C$561,0),MATCH(W$36,$D$54:$N$54,0))</f>
        <v>0</v>
      </c>
      <c r="X45" s="14" t="e">
        <f t="array" ref="X45">INDEX($D$55:$N$561,MATCH(X$38&amp;$A45,$B$55:$B$561&amp;$C$55:$C$561,0),MATCH(X$36,$D$54:$N$54,0))</f>
        <v>#N/A</v>
      </c>
      <c r="Y45" s="14" t="e">
        <f t="array" ref="Y45">INDEX($D$55:$N$561,MATCH(Y$38&amp;$A45,$B$55:$B$561&amp;$C$55:$C$561,0),MATCH(Y$36,$D$54:$N$54,0))</f>
        <v>#N/A</v>
      </c>
      <c r="Z45" s="14" t="e">
        <f t="array" ref="Z45">INDEX($D$55:$N$561,MATCH(Z$38&amp;$A45,$B$55:$B$561&amp;$C$55:$C$561,0),MATCH(Z$36,$D$54:$N$54,0))</f>
        <v>#N/A</v>
      </c>
    </row>
    <row r="46" spans="1:26" x14ac:dyDescent="0.3">
      <c r="A46" s="3" t="s">
        <v>70</v>
      </c>
      <c r="B46" s="14">
        <f t="array" ref="B46">INDEX($D$55:$N$561,MATCH(B$38&amp;$A46,$B$55:$B$561&amp;$C$55:$C$561,0),MATCH(B$36,$D$54:$N$54,0))</f>
        <v>458.66984800047192</v>
      </c>
      <c r="C46" s="14">
        <f t="array" ref="C46">INDEX($D$55:$N$561,MATCH(C$38&amp;$A46,$B$55:$B$561&amp;$C$55:$C$561,0),MATCH(C$36,$D$54:$N$54,0))</f>
        <v>1937.9162854842307</v>
      </c>
      <c r="D46" s="14">
        <f t="array" ref="D46">INDEX($D$55:$N$561,MATCH(D$38&amp;$A46,$B$55:$B$561&amp;$C$55:$C$561,0),MATCH(D$36,$D$54:$N$54,0))</f>
        <v>2254.6180527015404</v>
      </c>
      <c r="E46" s="14">
        <f t="array" ref="E46">INDEX($D$55:$N$561,MATCH(E$38&amp;$A46,$B$55:$B$561&amp;$C$55:$C$561,0),MATCH(E$36,$D$54:$N$54,0))</f>
        <v>2670.3548260954558</v>
      </c>
      <c r="F46" s="14">
        <f t="array" ref="F46">INDEX($D$55:$N$561,MATCH(F$38&amp;$A46,$B$55:$B$561&amp;$C$55:$C$561,0),MATCH(F$36,$D$54:$N$54,0))</f>
        <v>4281.3973409693535</v>
      </c>
      <c r="G46" s="14">
        <f t="array" ref="G46">INDEX($D$55:$N$561,MATCH(G$38&amp;$A46,$B$55:$B$561&amp;$C$55:$C$561,0),MATCH(G$36,$D$54:$N$54,0))</f>
        <v>2670.3548260954558</v>
      </c>
      <c r="H46" s="14">
        <f t="array" ref="H46">INDEX($D$55:$N$561,MATCH(H$38&amp;$A46,$B$55:$B$561&amp;$C$55:$C$561,0),MATCH(H$36,$D$54:$N$54,0))</f>
        <v>4403.8172003886039</v>
      </c>
      <c r="I46" s="14">
        <f t="array" ref="I46">INDEX($D$55:$N$561,MATCH(I$38&amp;$A46,$B$55:$B$561&amp;$C$55:$C$561,0),MATCH(I$36,$D$54:$N$54,0))</f>
        <v>2670.3548260954558</v>
      </c>
      <c r="J46" s="14">
        <f t="array" ref="J46">INDEX($D$55:$N$561,MATCH(J$38&amp;$A46,$B$55:$B$561&amp;$C$55:$C$561,0),MATCH(J$36,$D$54:$N$54,0))</f>
        <v>4272.9290423621815</v>
      </c>
      <c r="K46" s="14">
        <f t="array" ref="K46">INDEX($D$55:$N$561,MATCH(K$38&amp;$A46,$B$55:$B$561&amp;$C$55:$C$561,0),MATCH(K$36,$D$54:$N$54,0))</f>
        <v>2670.3548260954558</v>
      </c>
      <c r="L46" s="14" t="e">
        <f t="array" ref="L46">INDEX($D$55:$N$561,MATCH(L$38&amp;$A46,$B$55:$B$561&amp;$C$55:$C$561,0),MATCH(L$36,$D$54:$N$54,0))</f>
        <v>#N/A</v>
      </c>
      <c r="M46" s="14" t="e">
        <f t="array" ref="M46">INDEX($D$55:$N$561,MATCH(M$38&amp;$A46,$B$55:$B$561&amp;$C$55:$C$561,0),MATCH(M$36,$D$54:$N$54,0))</f>
        <v>#N/A</v>
      </c>
      <c r="N46" s="14" t="e">
        <f t="array" ref="N46">INDEX($D$55:$N$561,MATCH(N$38&amp;$A46,$B$55:$B$561&amp;$C$55:$C$561,0),MATCH(N$36,$D$54:$N$54,0))</f>
        <v>#N/A</v>
      </c>
      <c r="O46" s="14">
        <f t="array" ref="O46">INDEX($D$55:$N$561,MATCH(O$38&amp;$A46,$B$55:$B$561&amp;$C$55:$C$561,0),MATCH(O$36,$D$54:$N$54,0))</f>
        <v>11256.995239996413</v>
      </c>
      <c r="P46" s="14">
        <f t="array" ref="P46">INDEX($D$55:$N$561,MATCH(P$38&amp;$A46,$B$55:$B$561&amp;$C$55:$C$561,0),MATCH(P$36,$D$54:$N$54,0))</f>
        <v>11271.527863925479</v>
      </c>
      <c r="Q46" s="14">
        <f t="array" ref="Q46">INDEX($D$55:$N$561,MATCH(Q$38&amp;$A46,$B$55:$B$561&amp;$C$55:$C$561,0),MATCH(Q$36,$D$54:$N$54,0))</f>
        <v>18495.842434518949</v>
      </c>
      <c r="R46" s="14">
        <f t="array" ref="R46">INDEX($D$55:$N$561,MATCH(R$38&amp;$A46,$B$55:$B$561&amp;$C$55:$C$561,0),MATCH(R$36,$D$54:$N$54,0))</f>
        <v>25366.249877192175</v>
      </c>
      <c r="S46" s="14">
        <f t="array" ref="S46">INDEX($D$55:$N$561,MATCH(S$38&amp;$A46,$B$55:$B$561&amp;$C$55:$C$561,0),MATCH(S$36,$D$54:$N$54,0))</f>
        <v>25238.428055700046</v>
      </c>
      <c r="T46" s="14">
        <f t="array" ref="T46">INDEX($D$55:$N$561,MATCH(T$38&amp;$A46,$B$55:$B$561&amp;$C$55:$C$561,0),MATCH(T$36,$D$54:$N$54,0))</f>
        <v>42423.957268059421</v>
      </c>
      <c r="U46" s="14">
        <f t="array" ref="U46">INDEX($D$55:$N$561,MATCH(U$38&amp;$A46,$B$55:$B$561&amp;$C$55:$C$561,0),MATCH(U$36,$D$54:$N$54,0))</f>
        <v>33518.218940665705</v>
      </c>
      <c r="V46" s="14">
        <f t="array" ref="V46">INDEX($D$55:$N$561,MATCH(V$38&amp;$A46,$B$55:$B$561&amp;$C$55:$C$561,0),MATCH(V$36,$D$54:$N$54,0))</f>
        <v>25600.1453939479</v>
      </c>
      <c r="W46" s="14">
        <f t="array" ref="W46">INDEX($D$55:$N$561,MATCH(W$38&amp;$A46,$B$55:$B$561&amp;$C$55:$C$561,0),MATCH(W$36,$D$54:$N$54,0))</f>
        <v>27104.68345653604</v>
      </c>
      <c r="X46" s="14" t="e">
        <f t="array" ref="X46">INDEX($D$55:$N$561,MATCH(X$38&amp;$A46,$B$55:$B$561&amp;$C$55:$C$561,0),MATCH(X$36,$D$54:$N$54,0))</f>
        <v>#N/A</v>
      </c>
      <c r="Y46" s="14" t="e">
        <f t="array" ref="Y46">INDEX($D$55:$N$561,MATCH(Y$38&amp;$A46,$B$55:$B$561&amp;$C$55:$C$561,0),MATCH(Y$36,$D$54:$N$54,0))</f>
        <v>#N/A</v>
      </c>
      <c r="Z46" s="14" t="e">
        <f t="array" ref="Z46">INDEX($D$55:$N$561,MATCH(Z$38&amp;$A46,$B$55:$B$561&amp;$C$55:$C$561,0),MATCH(Z$36,$D$54:$N$54,0))</f>
        <v>#N/A</v>
      </c>
    </row>
    <row r="47" spans="1:26" x14ac:dyDescent="0.3">
      <c r="A47" s="3" t="s">
        <v>71</v>
      </c>
      <c r="B47" s="14">
        <f t="array" ref="B47">INDEX($D$55:$N$561,MATCH(B$38&amp;$A47,$B$55:$B$561&amp;$C$55:$C$561,0),MATCH(B$36,$D$54:$N$54,0))</f>
        <v>0.6257617671977489</v>
      </c>
      <c r="C47" s="14">
        <f t="array" ref="C47">INDEX($D$55:$N$561,MATCH(C$38&amp;$A47,$B$55:$B$561&amp;$C$55:$C$561,0),MATCH(C$36,$D$54:$N$54,0))</f>
        <v>0.35092549599678308</v>
      </c>
      <c r="D47" s="14">
        <f t="array" ref="D47">INDEX($D$55:$N$561,MATCH(D$38&amp;$A47,$B$55:$B$561&amp;$C$55:$C$561,0),MATCH(D$36,$D$54:$N$54,0))</f>
        <v>0.35092549599678308</v>
      </c>
      <c r="E47" s="14">
        <f t="array" ref="E47">INDEX($D$55:$N$561,MATCH(E$38&amp;$A47,$B$55:$B$561&amp;$C$55:$C$561,0),MATCH(E$36,$D$54:$N$54,0))</f>
        <v>0.35092549599678308</v>
      </c>
      <c r="F47" s="14">
        <f t="array" ref="F47">INDEX($D$55:$N$561,MATCH(F$38&amp;$A47,$B$55:$B$561&amp;$C$55:$C$561,0),MATCH(F$36,$D$54:$N$54,0))</f>
        <v>0.35092549599678308</v>
      </c>
      <c r="G47" s="14">
        <f t="array" ref="G47">INDEX($D$55:$N$561,MATCH(G$38&amp;$A47,$B$55:$B$561&amp;$C$55:$C$561,0),MATCH(G$36,$D$54:$N$54,0))</f>
        <v>0.35092549599678308</v>
      </c>
      <c r="H47" s="14">
        <f t="array" ref="H47">INDEX($D$55:$N$561,MATCH(H$38&amp;$A47,$B$55:$B$561&amp;$C$55:$C$561,0),MATCH(H$36,$D$54:$N$54,0))</f>
        <v>0.35092549599678308</v>
      </c>
      <c r="I47" s="14">
        <f t="array" ref="I47">INDEX($D$55:$N$561,MATCH(I$38&amp;$A47,$B$55:$B$561&amp;$C$55:$C$561,0),MATCH(I$36,$D$54:$N$54,0))</f>
        <v>0.35092549599678308</v>
      </c>
      <c r="J47" s="14">
        <f t="array" ref="J47">INDEX($D$55:$N$561,MATCH(J$38&amp;$A47,$B$55:$B$561&amp;$C$55:$C$561,0),MATCH(J$36,$D$54:$N$54,0))</f>
        <v>0.35092549599678308</v>
      </c>
      <c r="K47" s="14">
        <f t="array" ref="K47">INDEX($D$55:$N$561,MATCH(K$38&amp;$A47,$B$55:$B$561&amp;$C$55:$C$561,0),MATCH(K$36,$D$54:$N$54,0))</f>
        <v>0.35092549599678308</v>
      </c>
      <c r="L47" s="14" t="e">
        <f t="array" ref="L47">INDEX($D$55:$N$561,MATCH(L$38&amp;$A47,$B$55:$B$561&amp;$C$55:$C$561,0),MATCH(L$36,$D$54:$N$54,0))</f>
        <v>#N/A</v>
      </c>
      <c r="M47" s="14" t="e">
        <f t="array" ref="M47">INDEX($D$55:$N$561,MATCH(M$38&amp;$A47,$B$55:$B$561&amp;$C$55:$C$561,0),MATCH(M$36,$D$54:$N$54,0))</f>
        <v>#N/A</v>
      </c>
      <c r="N47" s="14" t="e">
        <f t="array" ref="N47">INDEX($D$55:$N$561,MATCH(N$38&amp;$A47,$B$55:$B$561&amp;$C$55:$C$561,0),MATCH(N$36,$D$54:$N$54,0))</f>
        <v>#N/A</v>
      </c>
      <c r="O47" s="14">
        <f t="array" ref="O47">INDEX($D$55:$N$561,MATCH(O$38&amp;$A47,$B$55:$B$561&amp;$C$55:$C$561,0),MATCH(O$36,$D$54:$N$54,0))</f>
        <v>0</v>
      </c>
      <c r="P47" s="14">
        <f t="array" ref="P47">INDEX($D$55:$N$561,MATCH(P$38&amp;$A47,$B$55:$B$561&amp;$C$55:$C$561,0),MATCH(P$36,$D$54:$N$54,0))</f>
        <v>0</v>
      </c>
      <c r="Q47" s="14">
        <f t="array" ref="Q47">INDEX($D$55:$N$561,MATCH(Q$38&amp;$A47,$B$55:$B$561&amp;$C$55:$C$561,0),MATCH(Q$36,$D$54:$N$54,0))</f>
        <v>0</v>
      </c>
      <c r="R47" s="14">
        <f t="array" ref="R47">INDEX($D$55:$N$561,MATCH(R$38&amp;$A47,$B$55:$B$561&amp;$C$55:$C$561,0),MATCH(R$36,$D$54:$N$54,0))</f>
        <v>0</v>
      </c>
      <c r="S47" s="14">
        <f t="array" ref="S47">INDEX($D$55:$N$561,MATCH(S$38&amp;$A47,$B$55:$B$561&amp;$C$55:$C$561,0),MATCH(S$36,$D$54:$N$54,0))</f>
        <v>0</v>
      </c>
      <c r="T47" s="14">
        <f t="array" ref="T47">INDEX($D$55:$N$561,MATCH(T$38&amp;$A47,$B$55:$B$561&amp;$C$55:$C$561,0),MATCH(T$36,$D$54:$N$54,0))</f>
        <v>0</v>
      </c>
      <c r="U47" s="14">
        <f t="array" ref="U47">INDEX($D$55:$N$561,MATCH(U$38&amp;$A47,$B$55:$B$561&amp;$C$55:$C$561,0),MATCH(U$36,$D$54:$N$54,0))</f>
        <v>0</v>
      </c>
      <c r="V47" s="14">
        <f t="array" ref="V47">INDEX($D$55:$N$561,MATCH(V$38&amp;$A47,$B$55:$B$561&amp;$C$55:$C$561,0),MATCH(V$36,$D$54:$N$54,0))</f>
        <v>0</v>
      </c>
      <c r="W47" s="14">
        <f t="array" ref="W47">INDEX($D$55:$N$561,MATCH(W$38&amp;$A47,$B$55:$B$561&amp;$C$55:$C$561,0),MATCH(W$36,$D$54:$N$54,0))</f>
        <v>0</v>
      </c>
      <c r="X47" s="14" t="e">
        <f t="array" ref="X47">INDEX($D$55:$N$561,MATCH(X$38&amp;$A47,$B$55:$B$561&amp;$C$55:$C$561,0),MATCH(X$36,$D$54:$N$54,0))</f>
        <v>#N/A</v>
      </c>
      <c r="Y47" s="14" t="e">
        <f t="array" ref="Y47">INDEX($D$55:$N$561,MATCH(Y$38&amp;$A47,$B$55:$B$561&amp;$C$55:$C$561,0),MATCH(Y$36,$D$54:$N$54,0))</f>
        <v>#N/A</v>
      </c>
      <c r="Z47" s="14" t="e">
        <f t="array" ref="Z47">INDEX($D$55:$N$561,MATCH(Z$38&amp;$A47,$B$55:$B$561&amp;$C$55:$C$561,0),MATCH(Z$36,$D$54:$N$54,0))</f>
        <v>#N/A</v>
      </c>
    </row>
    <row r="48" spans="1:26" x14ac:dyDescent="0.3">
      <c r="A48" s="3" t="s">
        <v>75</v>
      </c>
      <c r="B48" s="14">
        <f t="array" ref="B48">INDEX($D$55:$N$561,MATCH(B$38&amp;$A48,$B$55:$B$561&amp;$C$55:$C$561,0),MATCH(B$36,$D$54:$N$54,0))</f>
        <v>1.7858497922310126</v>
      </c>
      <c r="C48" s="14">
        <f t="array" ref="C48">INDEX($D$55:$N$561,MATCH(C$38&amp;$A48,$B$55:$B$561&amp;$C$55:$C$561,0),MATCH(C$36,$D$54:$N$54,0))</f>
        <v>1.0014997031871673</v>
      </c>
      <c r="D48" s="14">
        <f t="array" ref="D48">INDEX($D$55:$N$561,MATCH(D$38&amp;$A48,$B$55:$B$561&amp;$C$55:$C$561,0),MATCH(D$36,$D$54:$N$54,0))</f>
        <v>1.0014997031871682</v>
      </c>
      <c r="E48" s="14">
        <f t="array" ref="E48">INDEX($D$55:$N$561,MATCH(E$38&amp;$A48,$B$55:$B$561&amp;$C$55:$C$561,0),MATCH(E$36,$D$54:$N$54,0))</f>
        <v>1.0014997031871682</v>
      </c>
      <c r="F48" s="14">
        <f t="array" ref="F48">INDEX($D$55:$N$561,MATCH(F$38&amp;$A48,$B$55:$B$561&amp;$C$55:$C$561,0),MATCH(F$36,$D$54:$N$54,0))</f>
        <v>1.0014997031871673</v>
      </c>
      <c r="G48" s="14">
        <f t="array" ref="G48">INDEX($D$55:$N$561,MATCH(G$38&amp;$A48,$B$55:$B$561&amp;$C$55:$C$561,0),MATCH(G$36,$D$54:$N$54,0))</f>
        <v>1.0014997031871682</v>
      </c>
      <c r="H48" s="14">
        <f t="array" ref="H48">INDEX($D$55:$N$561,MATCH(H$38&amp;$A48,$B$55:$B$561&amp;$C$55:$C$561,0),MATCH(H$36,$D$54:$N$54,0))</f>
        <v>1.0014997031871673</v>
      </c>
      <c r="I48" s="14">
        <f t="array" ref="I48">INDEX($D$55:$N$561,MATCH(I$38&amp;$A48,$B$55:$B$561&amp;$C$55:$C$561,0),MATCH(I$36,$D$54:$N$54,0))</f>
        <v>1.0014997031871682</v>
      </c>
      <c r="J48" s="14">
        <f t="array" ref="J48">INDEX($D$55:$N$561,MATCH(J$38&amp;$A48,$B$55:$B$561&amp;$C$55:$C$561,0),MATCH(J$36,$D$54:$N$54,0))</f>
        <v>1.0014997031871682</v>
      </c>
      <c r="K48" s="14">
        <f t="array" ref="K48">INDEX($D$55:$N$561,MATCH(K$38&amp;$A48,$B$55:$B$561&amp;$C$55:$C$561,0),MATCH(K$36,$D$54:$N$54,0))</f>
        <v>1.0014997031871682</v>
      </c>
      <c r="L48" s="14" t="e">
        <f t="array" ref="L48">INDEX($D$55:$N$561,MATCH(L$38&amp;$A48,$B$55:$B$561&amp;$C$55:$C$561,0),MATCH(L$36,$D$54:$N$54,0))</f>
        <v>#N/A</v>
      </c>
      <c r="M48" s="14" t="e">
        <f t="array" ref="M48">INDEX($D$55:$N$561,MATCH(M$38&amp;$A48,$B$55:$B$561&amp;$C$55:$C$561,0),MATCH(M$36,$D$54:$N$54,0))</f>
        <v>#N/A</v>
      </c>
      <c r="N48" s="14" t="e">
        <f t="array" ref="N48">INDEX($D$55:$N$561,MATCH(N$38&amp;$A48,$B$55:$B$561&amp;$C$55:$C$561,0),MATCH(N$36,$D$54:$N$54,0))</f>
        <v>#N/A</v>
      </c>
      <c r="O48" s="14">
        <f t="array" ref="O48">INDEX($D$55:$N$561,MATCH(O$38&amp;$A48,$B$55:$B$561&amp;$C$55:$C$561,0),MATCH(O$36,$D$54:$N$54,0))</f>
        <v>0</v>
      </c>
      <c r="P48" s="14">
        <f t="array" ref="P48">INDEX($D$55:$N$561,MATCH(P$38&amp;$A48,$B$55:$B$561&amp;$C$55:$C$561,0),MATCH(P$36,$D$54:$N$54,0))</f>
        <v>0</v>
      </c>
      <c r="Q48" s="14">
        <f t="array" ref="Q48">INDEX($D$55:$N$561,MATCH(Q$38&amp;$A48,$B$55:$B$561&amp;$C$55:$C$561,0),MATCH(Q$36,$D$54:$N$54,0))</f>
        <v>0</v>
      </c>
      <c r="R48" s="14">
        <f t="array" ref="R48">INDEX($D$55:$N$561,MATCH(R$38&amp;$A48,$B$55:$B$561&amp;$C$55:$C$561,0),MATCH(R$36,$D$54:$N$54,0))</f>
        <v>0</v>
      </c>
      <c r="S48" s="14">
        <f t="array" ref="S48">INDEX($D$55:$N$561,MATCH(S$38&amp;$A48,$B$55:$B$561&amp;$C$55:$C$561,0),MATCH(S$36,$D$54:$N$54,0))</f>
        <v>0</v>
      </c>
      <c r="T48" s="14">
        <f t="array" ref="T48">INDEX($D$55:$N$561,MATCH(T$38&amp;$A48,$B$55:$B$561&amp;$C$55:$C$561,0),MATCH(T$36,$D$54:$N$54,0))</f>
        <v>0</v>
      </c>
      <c r="U48" s="14">
        <f t="array" ref="U48">INDEX($D$55:$N$561,MATCH(U$38&amp;$A48,$B$55:$B$561&amp;$C$55:$C$561,0),MATCH(U$36,$D$54:$N$54,0))</f>
        <v>0</v>
      </c>
      <c r="V48" s="14">
        <f t="array" ref="V48">INDEX($D$55:$N$561,MATCH(V$38&amp;$A48,$B$55:$B$561&amp;$C$55:$C$561,0),MATCH(V$36,$D$54:$N$54,0))</f>
        <v>0</v>
      </c>
      <c r="W48" s="14">
        <f t="array" ref="W48">INDEX($D$55:$N$561,MATCH(W$38&amp;$A48,$B$55:$B$561&amp;$C$55:$C$561,0),MATCH(W$36,$D$54:$N$54,0))</f>
        <v>0</v>
      </c>
      <c r="X48" s="14" t="e">
        <f t="array" ref="X48">INDEX($D$55:$N$561,MATCH(X$38&amp;$A48,$B$55:$B$561&amp;$C$55:$C$561,0),MATCH(X$36,$D$54:$N$54,0))</f>
        <v>#N/A</v>
      </c>
      <c r="Y48" s="14" t="e">
        <f t="array" ref="Y48">INDEX($D$55:$N$561,MATCH(Y$38&amp;$A48,$B$55:$B$561&amp;$C$55:$C$561,0),MATCH(Y$36,$D$54:$N$54,0))</f>
        <v>#N/A</v>
      </c>
      <c r="Z48" s="14" t="e">
        <f t="array" ref="Z48">INDEX($D$55:$N$561,MATCH(Z$38&amp;$A48,$B$55:$B$561&amp;$C$55:$C$561,0),MATCH(Z$36,$D$54:$N$54,0))</f>
        <v>#N/A</v>
      </c>
    </row>
    <row r="49" spans="1:26" x14ac:dyDescent="0.3">
      <c r="A49" s="3" t="s">
        <v>72</v>
      </c>
      <c r="B49" s="14">
        <f t="array" ref="B49">INDEX($D$55:$N$561,MATCH(B$38&amp;$A49,$B$55:$B$561&amp;$C$55:$C$561,0),MATCH(B$36,$D$54:$N$54,0))</f>
        <v>1704.9418897085425</v>
      </c>
      <c r="C49" s="14">
        <f t="array" ref="C49">INDEX($D$55:$N$561,MATCH(C$38&amp;$A49,$B$55:$B$561&amp;$C$55:$C$561,0),MATCH(C$36,$D$54:$N$54,0))</f>
        <v>10568.055334803987</v>
      </c>
      <c r="D49" s="14">
        <f t="array" ref="D49">INDEX($D$55:$N$561,MATCH(D$38&amp;$A49,$B$55:$B$561&amp;$C$55:$C$561,0),MATCH(D$36,$D$54:$N$54,0))</f>
        <v>10699.247864870576</v>
      </c>
      <c r="E49" s="14">
        <f t="array" ref="E49">INDEX($D$55:$N$561,MATCH(E$38&amp;$A49,$B$55:$B$561&amp;$C$55:$C$561,0),MATCH(E$36,$D$54:$N$54,0))</f>
        <v>10882.32058635127</v>
      </c>
      <c r="F49" s="14">
        <f t="array" ref="F49">INDEX($D$55:$N$561,MATCH(F$38&amp;$A49,$B$55:$B$561&amp;$C$55:$C$561,0),MATCH(F$36,$D$54:$N$54,0))</f>
        <v>11687.103641782611</v>
      </c>
      <c r="G49" s="14">
        <f t="array" ref="G49">INDEX($D$55:$N$561,MATCH(G$38&amp;$A49,$B$55:$B$561&amp;$C$55:$C$561,0),MATCH(G$36,$D$54:$N$54,0))</f>
        <v>10882.32058635127</v>
      </c>
      <c r="H49" s="14">
        <f t="array" ref="H49">INDEX($D$55:$N$561,MATCH(H$38&amp;$A49,$B$55:$B$561&amp;$C$55:$C$561,0),MATCH(H$36,$D$54:$N$54,0))</f>
        <v>13084.955487531341</v>
      </c>
      <c r="I49" s="14">
        <f t="array" ref="I49">INDEX($D$55:$N$561,MATCH(I$38&amp;$A49,$B$55:$B$561&amp;$C$55:$C$561,0),MATCH(I$36,$D$54:$N$54,0))</f>
        <v>10882.32058635127</v>
      </c>
      <c r="J49" s="14">
        <f t="array" ref="J49">INDEX($D$55:$N$561,MATCH(J$38&amp;$A49,$B$55:$B$561&amp;$C$55:$C$561,0),MATCH(J$36,$D$54:$N$54,0))</f>
        <v>12230.817081009372</v>
      </c>
      <c r="K49" s="14">
        <f t="array" ref="K49">INDEX($D$55:$N$561,MATCH(K$38&amp;$A49,$B$55:$B$561&amp;$C$55:$C$561,0),MATCH(K$36,$D$54:$N$54,0))</f>
        <v>10882.32058635127</v>
      </c>
      <c r="L49" s="14" t="e">
        <f t="array" ref="L49">INDEX($D$55:$N$561,MATCH(L$38&amp;$A49,$B$55:$B$561&amp;$C$55:$C$561,0),MATCH(L$36,$D$54:$N$54,0))</f>
        <v>#N/A</v>
      </c>
      <c r="M49" s="14" t="e">
        <f t="array" ref="M49">INDEX($D$55:$N$561,MATCH(M$38&amp;$A49,$B$55:$B$561&amp;$C$55:$C$561,0),MATCH(M$36,$D$54:$N$54,0))</f>
        <v>#N/A</v>
      </c>
      <c r="N49" s="14" t="e">
        <f t="array" ref="N49">INDEX($D$55:$N$561,MATCH(N$38&amp;$A49,$B$55:$B$561&amp;$C$55:$C$561,0),MATCH(N$36,$D$54:$N$54,0))</f>
        <v>#N/A</v>
      </c>
      <c r="O49" s="14">
        <f t="array" ref="O49">INDEX($D$55:$N$561,MATCH(O$38&amp;$A49,$B$55:$B$561&amp;$C$55:$C$561,0),MATCH(O$36,$D$54:$N$54,0))</f>
        <v>35131.682108742236</v>
      </c>
      <c r="P49" s="14">
        <f t="array" ref="P49">INDEX($D$55:$N$561,MATCH(P$38&amp;$A49,$B$55:$B$561&amp;$C$55:$C$561,0),MATCH(P$36,$D$54:$N$54,0))</f>
        <v>35401.277503274396</v>
      </c>
      <c r="Q49" s="14">
        <f t="array" ref="Q49">INDEX($D$55:$N$561,MATCH(Q$38&amp;$A49,$B$55:$B$561&amp;$C$55:$C$561,0),MATCH(Q$36,$D$54:$N$54,0))</f>
        <v>35685.876785717061</v>
      </c>
      <c r="R49" s="14">
        <f t="array" ref="R49">INDEX($D$55:$N$561,MATCH(R$38&amp;$A49,$B$55:$B$561&amp;$C$55:$C$561,0),MATCH(R$36,$D$54:$N$54,0))</f>
        <v>35070.13325460851</v>
      </c>
      <c r="S49" s="14">
        <f t="array" ref="S49">INDEX($D$55:$N$561,MATCH(S$38&amp;$A49,$B$55:$B$561&amp;$C$55:$C$561,0),MATCH(S$36,$D$54:$N$54,0))</f>
        <v>34981.449026780552</v>
      </c>
      <c r="T49" s="14">
        <f t="array" ref="T49">INDEX($D$55:$N$561,MATCH(T$38&amp;$A49,$B$55:$B$561&amp;$C$55:$C$561,0),MATCH(T$36,$D$54:$N$54,0))</f>
        <v>59060.33695313675</v>
      </c>
      <c r="U49" s="14">
        <f t="array" ref="U49">INDEX($D$55:$N$561,MATCH(U$38&amp;$A49,$B$55:$B$561&amp;$C$55:$C$561,0),MATCH(U$36,$D$54:$N$54,0))</f>
        <v>48641.893576000104</v>
      </c>
      <c r="V49" s="14">
        <f t="array" ref="V49">INDEX($D$55:$N$561,MATCH(V$38&amp;$A49,$B$55:$B$561&amp;$C$55:$C$561,0),MATCH(V$36,$D$54:$N$54,0))</f>
        <v>35889.905723426833</v>
      </c>
      <c r="W49" s="14">
        <f t="array" ref="W49">INDEX($D$55:$N$561,MATCH(W$38&amp;$A49,$B$55:$B$561&amp;$C$55:$C$561,0),MATCH(W$36,$D$54:$N$54,0))</f>
        <v>37655.530009808834</v>
      </c>
      <c r="X49" s="14" t="e">
        <f t="array" ref="X49">INDEX($D$55:$N$561,MATCH(X$38&amp;$A49,$B$55:$B$561&amp;$C$55:$C$561,0),MATCH(X$36,$D$54:$N$54,0))</f>
        <v>#N/A</v>
      </c>
      <c r="Y49" s="14" t="e">
        <f t="array" ref="Y49">INDEX($D$55:$N$561,MATCH(Y$38&amp;$A49,$B$55:$B$561&amp;$C$55:$C$561,0),MATCH(Y$36,$D$54:$N$54,0))</f>
        <v>#N/A</v>
      </c>
      <c r="Z49" s="14" t="e">
        <f t="array" ref="Z49">INDEX($D$55:$N$561,MATCH(Z$38&amp;$A49,$B$55:$B$561&amp;$C$55:$C$561,0),MATCH(Z$36,$D$54:$N$54,0))</f>
        <v>#N/A</v>
      </c>
    </row>
    <row r="50" spans="1:26" x14ac:dyDescent="0.3">
      <c r="A50" s="3" t="s">
        <v>73</v>
      </c>
      <c r="B50" s="14">
        <f t="array" ref="B50">INDEX($D$55:$N$561,MATCH(B$38&amp;$A50,$B$55:$B$561&amp;$C$55:$C$561,0),MATCH(B$36,$D$54:$N$54,0))</f>
        <v>0</v>
      </c>
      <c r="C50" s="14">
        <f t="array" ref="C50">INDEX($D$55:$N$561,MATCH(C$38&amp;$A50,$B$55:$B$561&amp;$C$55:$C$561,0),MATCH(C$36,$D$54:$N$54,0))</f>
        <v>0</v>
      </c>
      <c r="D50" s="14">
        <f t="array" ref="D50">INDEX($D$55:$N$561,MATCH(D$38&amp;$A50,$B$55:$B$561&amp;$C$55:$C$561,0),MATCH(D$36,$D$54:$N$54,0))</f>
        <v>0</v>
      </c>
      <c r="E50" s="14">
        <f t="array" ref="E50">INDEX($D$55:$N$561,MATCH(E$38&amp;$A50,$B$55:$B$561&amp;$C$55:$C$561,0),MATCH(E$36,$D$54:$N$54,0))</f>
        <v>0</v>
      </c>
      <c r="F50" s="14">
        <f t="array" ref="F50">INDEX($D$55:$N$561,MATCH(F$38&amp;$A50,$B$55:$B$561&amp;$C$55:$C$561,0),MATCH(F$36,$D$54:$N$54,0))</f>
        <v>145.59217603035023</v>
      </c>
      <c r="G50" s="14">
        <f t="array" ref="G50">INDEX($D$55:$N$561,MATCH(G$38&amp;$A50,$B$55:$B$561&amp;$C$55:$C$561,0),MATCH(G$36,$D$54:$N$54,0))</f>
        <v>0</v>
      </c>
      <c r="H50" s="14">
        <f t="array" ref="H50">INDEX($D$55:$N$561,MATCH(H$38&amp;$A50,$B$55:$B$561&amp;$C$55:$C$561,0),MATCH(H$36,$D$54:$N$54,0))</f>
        <v>403.27271997052515</v>
      </c>
      <c r="I50" s="14">
        <f t="array" ref="I50">INDEX($D$55:$N$561,MATCH(I$38&amp;$A50,$B$55:$B$561&amp;$C$55:$C$561,0),MATCH(I$36,$D$54:$N$54,0))</f>
        <v>0</v>
      </c>
      <c r="J50" s="14">
        <f t="array" ref="J50">INDEX($D$55:$N$561,MATCH(J$38&amp;$A50,$B$55:$B$561&amp;$C$55:$C$561,0),MATCH(J$36,$D$54:$N$54,0))</f>
        <v>359.51520107745858</v>
      </c>
      <c r="K50" s="14">
        <f t="array" ref="K50">INDEX($D$55:$N$561,MATCH(K$38&amp;$A50,$B$55:$B$561&amp;$C$55:$C$561,0),MATCH(K$36,$D$54:$N$54,0))</f>
        <v>0</v>
      </c>
      <c r="L50" s="14" t="e">
        <f t="array" ref="L50">INDEX($D$55:$N$561,MATCH(L$38&amp;$A50,$B$55:$B$561&amp;$C$55:$C$561,0),MATCH(L$36,$D$54:$N$54,0))</f>
        <v>#N/A</v>
      </c>
      <c r="M50" s="14" t="e">
        <f t="array" ref="M50">INDEX($D$55:$N$561,MATCH(M$38&amp;$A50,$B$55:$B$561&amp;$C$55:$C$561,0),MATCH(M$36,$D$54:$N$54,0))</f>
        <v>#N/A</v>
      </c>
      <c r="N50" s="14" t="e">
        <f t="array" ref="N50">INDEX($D$55:$N$561,MATCH(N$38&amp;$A50,$B$55:$B$561&amp;$C$55:$C$561,0),MATCH(N$36,$D$54:$N$54,0))</f>
        <v>#N/A</v>
      </c>
      <c r="O50" s="14">
        <f t="array" ref="O50">INDEX($D$55:$N$561,MATCH(O$38&amp;$A50,$B$55:$B$561&amp;$C$55:$C$561,0),MATCH(O$36,$D$54:$N$54,0))</f>
        <v>0</v>
      </c>
      <c r="P50" s="14">
        <f t="array" ref="P50">INDEX($D$55:$N$561,MATCH(P$38&amp;$A50,$B$55:$B$561&amp;$C$55:$C$561,0),MATCH(P$36,$D$54:$N$54,0))</f>
        <v>0</v>
      </c>
      <c r="Q50" s="14">
        <f t="array" ref="Q50">INDEX($D$55:$N$561,MATCH(Q$38&amp;$A50,$B$55:$B$561&amp;$C$55:$C$561,0),MATCH(Q$36,$D$54:$N$54,0))</f>
        <v>0</v>
      </c>
      <c r="R50" s="14">
        <f t="array" ref="R50">INDEX($D$55:$N$561,MATCH(R$38&amp;$A50,$B$55:$B$561&amp;$C$55:$C$561,0),MATCH(R$36,$D$54:$N$54,0))</f>
        <v>4542.4446258560292</v>
      </c>
      <c r="S50" s="14">
        <f t="array" ref="S50">INDEX($D$55:$N$561,MATCH(S$38&amp;$A50,$B$55:$B$561&amp;$C$55:$C$561,0),MATCH(S$36,$D$54:$N$54,0))</f>
        <v>2169.837927123408</v>
      </c>
      <c r="T50" s="14">
        <f t="array" ref="T50">INDEX($D$55:$N$561,MATCH(T$38&amp;$A50,$B$55:$B$561&amp;$C$55:$C$561,0),MATCH(T$36,$D$54:$N$54,0))</f>
        <v>27894.282607794783</v>
      </c>
      <c r="U50" s="14">
        <f t="array" ref="U50">INDEX($D$55:$N$561,MATCH(U$38&amp;$A50,$B$55:$B$561&amp;$C$55:$C$561,0),MATCH(U$36,$D$54:$N$54,0))</f>
        <v>25473.358540989968</v>
      </c>
      <c r="V50" s="14">
        <f t="array" ref="V50">INDEX($D$55:$N$561,MATCH(V$38&amp;$A50,$B$55:$B$561&amp;$C$55:$C$561,0),MATCH(V$36,$D$54:$N$54,0))</f>
        <v>12154.191027748144</v>
      </c>
      <c r="W50" s="14">
        <f t="array" ref="W50">INDEX($D$55:$N$561,MATCH(W$38&amp;$A50,$B$55:$B$561&amp;$C$55:$C$561,0),MATCH(W$36,$D$54:$N$54,0))</f>
        <v>7731.9134458495946</v>
      </c>
      <c r="X50" s="14" t="e">
        <f t="array" ref="X50">INDEX($D$55:$N$561,MATCH(X$38&amp;$A50,$B$55:$B$561&amp;$C$55:$C$561,0),MATCH(X$36,$D$54:$N$54,0))</f>
        <v>#N/A</v>
      </c>
      <c r="Y50" s="14" t="e">
        <f t="array" ref="Y50">INDEX($D$55:$N$561,MATCH(Y$38&amp;$A50,$B$55:$B$561&amp;$C$55:$C$561,0),MATCH(Y$36,$D$54:$N$54,0))</f>
        <v>#N/A</v>
      </c>
      <c r="Z50" s="14" t="e">
        <f t="array" ref="Z50">INDEX($D$55:$N$561,MATCH(Z$38&amp;$A50,$B$55:$B$561&amp;$C$55:$C$561,0),MATCH(Z$36,$D$54:$N$54,0))</f>
        <v>#N/A</v>
      </c>
    </row>
    <row r="51" spans="1:26" x14ac:dyDescent="0.3">
      <c r="A51" s="3" t="s">
        <v>74</v>
      </c>
      <c r="B51" s="14">
        <f t="array" ref="B51">INDEX($D$55:$N$561,MATCH(B$38&amp;$A51,$B$55:$B$561&amp;$C$55:$C$561,0),MATCH(B$36,$D$54:$N$54,0))</f>
        <v>0</v>
      </c>
      <c r="C51" s="14">
        <f t="array" ref="C51">INDEX($D$55:$N$561,MATCH(C$38&amp;$A51,$B$55:$B$561&amp;$C$55:$C$561,0),MATCH(C$36,$D$54:$N$54,0))</f>
        <v>0</v>
      </c>
      <c r="D51" s="14">
        <f t="array" ref="D51">INDEX($D$55:$N$561,MATCH(D$38&amp;$A51,$B$55:$B$561&amp;$C$55:$C$561,0),MATCH(D$36,$D$54:$N$54,0))</f>
        <v>0</v>
      </c>
      <c r="E51" s="14">
        <f t="array" ref="E51">INDEX($D$55:$N$561,MATCH(E$38&amp;$A51,$B$55:$B$561&amp;$C$55:$C$561,0),MATCH(E$36,$D$54:$N$54,0))</f>
        <v>0</v>
      </c>
      <c r="F51" s="14">
        <f t="array" ref="F51">INDEX($D$55:$N$561,MATCH(F$38&amp;$A51,$B$55:$B$561&amp;$C$55:$C$561,0),MATCH(F$36,$D$54:$N$54,0))</f>
        <v>0</v>
      </c>
      <c r="G51" s="14">
        <f t="array" ref="G51">INDEX($D$55:$N$561,MATCH(G$38&amp;$A51,$B$55:$B$561&amp;$C$55:$C$561,0),MATCH(G$36,$D$54:$N$54,0))</f>
        <v>0</v>
      </c>
      <c r="H51" s="14">
        <f t="array" ref="H51">INDEX($D$55:$N$561,MATCH(H$38&amp;$A51,$B$55:$B$561&amp;$C$55:$C$561,0),MATCH(H$36,$D$54:$N$54,0))</f>
        <v>22.634851637474846</v>
      </c>
      <c r="I51" s="14">
        <f t="array" ref="I51">INDEX($D$55:$N$561,MATCH(I$38&amp;$A51,$B$55:$B$561&amp;$C$55:$C$561,0),MATCH(I$36,$D$54:$N$54,0))</f>
        <v>0</v>
      </c>
      <c r="J51" s="14">
        <f t="array" ref="J51">INDEX($D$55:$N$561,MATCH(J$38&amp;$A51,$B$55:$B$561&amp;$C$55:$C$561,0),MATCH(J$36,$D$54:$N$54,0))</f>
        <v>28.393838107200004</v>
      </c>
      <c r="K51" s="14">
        <f t="array" ref="K51">INDEX($D$55:$N$561,MATCH(K$38&amp;$A51,$B$55:$B$561&amp;$C$55:$C$561,0),MATCH(K$36,$D$54:$N$54,0))</f>
        <v>0</v>
      </c>
      <c r="L51" s="14" t="e">
        <f t="array" ref="L51">INDEX($D$55:$N$561,MATCH(L$38&amp;$A51,$B$55:$B$561&amp;$C$55:$C$561,0),MATCH(L$36,$D$54:$N$54,0))</f>
        <v>#N/A</v>
      </c>
      <c r="M51" s="14" t="e">
        <f t="array" ref="M51">INDEX($D$55:$N$561,MATCH(M$38&amp;$A51,$B$55:$B$561&amp;$C$55:$C$561,0),MATCH(M$36,$D$54:$N$54,0))</f>
        <v>#N/A</v>
      </c>
      <c r="N51" s="14" t="e">
        <f t="array" ref="N51">INDEX($D$55:$N$561,MATCH(N$38&amp;$A51,$B$55:$B$561&amp;$C$55:$C$561,0),MATCH(N$36,$D$54:$N$54,0))</f>
        <v>#N/A</v>
      </c>
      <c r="O51" s="14">
        <f t="array" ref="O51">INDEX($D$55:$N$561,MATCH(O$38&amp;$A51,$B$55:$B$561&amp;$C$55:$C$561,0),MATCH(O$36,$D$54:$N$54,0))</f>
        <v>0</v>
      </c>
      <c r="P51" s="14">
        <f t="array" ref="P51">INDEX($D$55:$N$561,MATCH(P$38&amp;$A51,$B$55:$B$561&amp;$C$55:$C$561,0),MATCH(P$36,$D$54:$N$54,0))</f>
        <v>0</v>
      </c>
      <c r="Q51" s="14">
        <f t="array" ref="Q51">INDEX($D$55:$N$561,MATCH(Q$38&amp;$A51,$B$55:$B$561&amp;$C$55:$C$561,0),MATCH(Q$36,$D$54:$N$54,0))</f>
        <v>0</v>
      </c>
      <c r="R51" s="14">
        <f t="array" ref="R51">INDEX($D$55:$N$561,MATCH(R$38&amp;$A51,$B$55:$B$561&amp;$C$55:$C$561,0),MATCH(R$36,$D$54:$N$54,0))</f>
        <v>21.903449435142061</v>
      </c>
      <c r="S51" s="14">
        <f t="array" ref="S51">INDEX($D$55:$N$561,MATCH(S$38&amp;$A51,$B$55:$B$561&amp;$C$55:$C$561,0),MATCH(S$36,$D$54:$N$54,0))</f>
        <v>70.819287993947157</v>
      </c>
      <c r="T51" s="14">
        <f t="array" ref="T51">INDEX($D$55:$N$561,MATCH(T$38&amp;$A51,$B$55:$B$561&amp;$C$55:$C$561,0),MATCH(T$36,$D$54:$N$54,0))</f>
        <v>33861.028448870689</v>
      </c>
      <c r="U51" s="14">
        <f t="array" ref="U51">INDEX($D$55:$N$561,MATCH(U$38&amp;$A51,$B$55:$B$561&amp;$C$55:$C$561,0),MATCH(U$36,$D$54:$N$54,0))</f>
        <v>10863.406371960351</v>
      </c>
      <c r="V51" s="14">
        <f t="array" ref="V51">INDEX($D$55:$N$561,MATCH(V$38&amp;$A51,$B$55:$B$561&amp;$C$55:$C$561,0),MATCH(V$36,$D$54:$N$54,0))</f>
        <v>1973.32270451876</v>
      </c>
      <c r="W51" s="14">
        <f t="array" ref="W51">INDEX($D$55:$N$561,MATCH(W$38&amp;$A51,$B$55:$B$561&amp;$C$55:$C$561,0),MATCH(W$36,$D$54:$N$54,0))</f>
        <v>205.31012508296612</v>
      </c>
      <c r="X51" s="14" t="e">
        <f t="array" ref="X51">INDEX($D$55:$N$561,MATCH(X$38&amp;$A51,$B$55:$B$561&amp;$C$55:$C$561,0),MATCH(X$36,$D$54:$N$54,0))</f>
        <v>#N/A</v>
      </c>
      <c r="Y51" s="14" t="e">
        <f t="array" ref="Y51">INDEX($D$55:$N$561,MATCH(Y$38&amp;$A51,$B$55:$B$561&amp;$C$55:$C$561,0),MATCH(Y$36,$D$54:$N$54,0))</f>
        <v>#N/A</v>
      </c>
      <c r="Z51" s="14" t="e">
        <f t="array" ref="Z51">INDEX($D$55:$N$561,MATCH(Z$38&amp;$A51,$B$55:$B$561&amp;$C$55:$C$561,0),MATCH(Z$36,$D$54:$N$54,0))</f>
        <v>#N/A</v>
      </c>
    </row>
    <row r="52" spans="1:26" ht="15" thickBot="1" x14ac:dyDescent="0.35"/>
    <row r="53" spans="1:26" s="15" customFormat="1" ht="15" thickBot="1" x14ac:dyDescent="0.35">
      <c r="A53" s="15" t="s">
        <v>198</v>
      </c>
      <c r="S53" s="16"/>
    </row>
    <row r="54" spans="1:26" x14ac:dyDescent="0.3">
      <c r="A54" s="3" t="s">
        <v>86</v>
      </c>
      <c r="B54" s="3" t="s">
        <v>8</v>
      </c>
      <c r="C54" s="3" t="s">
        <v>59</v>
      </c>
      <c r="D54" s="3">
        <v>2007</v>
      </c>
      <c r="E54" s="3">
        <v>2012</v>
      </c>
      <c r="F54" s="3">
        <v>2020</v>
      </c>
      <c r="G54" s="3">
        <v>2030</v>
      </c>
      <c r="H54" s="3">
        <v>2040</v>
      </c>
      <c r="I54" s="3">
        <v>2050</v>
      </c>
      <c r="J54" s="3">
        <v>2060</v>
      </c>
      <c r="K54" s="3">
        <v>2070</v>
      </c>
      <c r="L54" s="3">
        <v>2080</v>
      </c>
      <c r="M54" s="3">
        <v>2090</v>
      </c>
      <c r="N54" s="3">
        <v>2100</v>
      </c>
    </row>
    <row r="55" spans="1:26" x14ac:dyDescent="0.3">
      <c r="A55" s="3" t="str">
        <f>INDEX('R1. Scenario specifications'!$C$11:$C$49,MATCH($B55,'R1. Scenario specifications'!$A$11:$A$49,0))</f>
        <v>TIAM BAU - No Policy Action</v>
      </c>
      <c r="B55" s="3" t="s">
        <v>11</v>
      </c>
      <c r="C55" s="3" t="s">
        <v>63</v>
      </c>
      <c r="D55" s="14">
        <v>225.44707509197985</v>
      </c>
      <c r="E55" s="14">
        <v>432.13326707926797</v>
      </c>
      <c r="F55" s="14">
        <v>1954.1549323210418</v>
      </c>
      <c r="G55" s="14">
        <v>6246.0324344003538</v>
      </c>
      <c r="H55" s="14">
        <v>8790.2734486894624</v>
      </c>
      <c r="I55" s="14">
        <v>9873.1558435672832</v>
      </c>
      <c r="J55" s="14">
        <v>10881.897520167136</v>
      </c>
      <c r="K55" s="14">
        <v>13138.58666477141</v>
      </c>
      <c r="L55" s="14">
        <v>15588.528349156568</v>
      </c>
      <c r="M55" s="14">
        <v>16659.38917449614</v>
      </c>
      <c r="N55" s="14">
        <v>14964.899079967241</v>
      </c>
    </row>
    <row r="56" spans="1:26" x14ac:dyDescent="0.3">
      <c r="A56" s="3" t="str">
        <f>INDEX('R1. Scenario specifications'!$C$11:$C$49,MATCH($B56,'R1. Scenario specifications'!$A$11:$A$49,0))</f>
        <v>TIAM BAU - No Policy Action</v>
      </c>
      <c r="B56" s="3" t="s">
        <v>11</v>
      </c>
      <c r="C56" s="3" t="s">
        <v>64</v>
      </c>
      <c r="D56" s="14">
        <v>33040.313548549595</v>
      </c>
      <c r="E56" s="14">
        <v>42259.332050485427</v>
      </c>
      <c r="F56" s="14">
        <v>46653.575703123897</v>
      </c>
      <c r="G56" s="14">
        <v>48640.65106619041</v>
      </c>
      <c r="H56" s="14">
        <v>43593.771038087812</v>
      </c>
      <c r="I56" s="14">
        <v>51598.839564556249</v>
      </c>
      <c r="J56" s="14">
        <v>60584.994750041224</v>
      </c>
      <c r="K56" s="14">
        <v>62658.302845118749</v>
      </c>
      <c r="L56" s="14">
        <v>62629.471930308078</v>
      </c>
      <c r="M56" s="14">
        <v>63962.449252176571</v>
      </c>
      <c r="N56" s="14">
        <v>68628.928071324975</v>
      </c>
    </row>
    <row r="57" spans="1:26" x14ac:dyDescent="0.3">
      <c r="A57" s="3" t="str">
        <f>INDEX('R1. Scenario specifications'!$C$11:$C$49,MATCH($B57,'R1. Scenario specifications'!$A$11:$A$49,0))</f>
        <v>TIAM BAU - No Policy Action</v>
      </c>
      <c r="B57" s="3" t="s">
        <v>11</v>
      </c>
      <c r="C57" s="3" t="s">
        <v>65</v>
      </c>
      <c r="D57" s="14">
        <v>14597.074835304187</v>
      </c>
      <c r="E57" s="14">
        <v>15742.568461825351</v>
      </c>
      <c r="F57" s="14">
        <v>19392.429168177841</v>
      </c>
      <c r="G57" s="14">
        <v>14398.689418417292</v>
      </c>
      <c r="H57" s="14">
        <v>5952.507510258999</v>
      </c>
      <c r="I57" s="14">
        <v>1060.775447752804</v>
      </c>
      <c r="J57" s="14">
        <v>1990.8416466641656</v>
      </c>
      <c r="K57" s="14">
        <v>2206.9275138580415</v>
      </c>
      <c r="L57" s="14">
        <v>2223.8623548862529</v>
      </c>
      <c r="M57" s="14">
        <v>2105.7511057162656</v>
      </c>
      <c r="N57" s="14">
        <v>2360.3293296530355</v>
      </c>
    </row>
    <row r="58" spans="1:26" x14ac:dyDescent="0.3">
      <c r="A58" s="3" t="str">
        <f>INDEX('R1. Scenario specifications'!$C$11:$C$49,MATCH($B58,'R1. Scenario specifications'!$A$11:$A$49,0))</f>
        <v>TIAM BAU - No Policy Action</v>
      </c>
      <c r="B58" s="3" t="s">
        <v>11</v>
      </c>
      <c r="C58" s="3" t="s">
        <v>66</v>
      </c>
      <c r="D58" s="14">
        <v>202.4480216544064</v>
      </c>
      <c r="E58" s="14">
        <v>194.35225063586262</v>
      </c>
      <c r="F58" s="14">
        <v>186.84742064404864</v>
      </c>
      <c r="G58" s="14">
        <v>3172.5909908451158</v>
      </c>
      <c r="H58" s="14">
        <v>5415.665528243584</v>
      </c>
      <c r="I58" s="14">
        <v>6850.0387198457183</v>
      </c>
      <c r="J58" s="14">
        <v>6914.4380641871985</v>
      </c>
      <c r="K58" s="14">
        <v>6914.4380641871985</v>
      </c>
      <c r="L58" s="14">
        <v>6891.4854823770611</v>
      </c>
      <c r="M58" s="14">
        <v>6848.5570641688983</v>
      </c>
      <c r="N58" s="14">
        <v>6914.4380641871985</v>
      </c>
    </row>
    <row r="59" spans="1:26" x14ac:dyDescent="0.3">
      <c r="A59" s="3" t="str">
        <f>INDEX('R1. Scenario specifications'!$C$11:$C$49,MATCH($B59,'R1. Scenario specifications'!$A$11:$A$49,0))</f>
        <v>TIAM BAU - No Policy Action</v>
      </c>
      <c r="B59" s="3" t="s">
        <v>11</v>
      </c>
      <c r="C59" s="3" t="s">
        <v>67</v>
      </c>
      <c r="D59" s="14">
        <v>10255.125599999996</v>
      </c>
      <c r="E59" s="14">
        <v>10349.477981293301</v>
      </c>
      <c r="F59" s="14">
        <v>14634.882951848354</v>
      </c>
      <c r="G59" s="14">
        <v>16009.923163672718</v>
      </c>
      <c r="H59" s="14">
        <v>16845.130485645554</v>
      </c>
      <c r="I59" s="14">
        <v>18695.667122362567</v>
      </c>
      <c r="J59" s="14">
        <v>19316.948968144032</v>
      </c>
      <c r="K59" s="14">
        <v>19263.865513002216</v>
      </c>
      <c r="L59" s="14">
        <v>19203.672824966376</v>
      </c>
      <c r="M59" s="14">
        <v>19120.975044148494</v>
      </c>
      <c r="N59" s="14">
        <v>18963.680802158771</v>
      </c>
    </row>
    <row r="60" spans="1:26" x14ac:dyDescent="0.3">
      <c r="A60" s="3" t="str">
        <f>INDEX('R1. Scenario specifications'!$C$11:$C$49,MATCH($B60,'R1. Scenario specifications'!$A$11:$A$49,0))</f>
        <v>TIAM BAU - No Policy Action</v>
      </c>
      <c r="B60" s="3" t="s">
        <v>11</v>
      </c>
      <c r="C60" s="3" t="s">
        <v>68</v>
      </c>
      <c r="D60" s="14">
        <v>9499.4101148835834</v>
      </c>
      <c r="E60" s="14">
        <v>9854.768593125913</v>
      </c>
      <c r="F60" s="14">
        <v>13753.197500000002</v>
      </c>
      <c r="G60" s="14">
        <v>14514.167854150604</v>
      </c>
      <c r="H60" s="14">
        <v>15151.482454857593</v>
      </c>
      <c r="I60" s="14">
        <v>15996.975726628421</v>
      </c>
      <c r="J60" s="14">
        <v>17118.412500000002</v>
      </c>
      <c r="K60" s="14">
        <v>19195.575161874567</v>
      </c>
      <c r="L60" s="14">
        <v>21484.300323749136</v>
      </c>
      <c r="M60" s="14">
        <v>22896.802668451677</v>
      </c>
      <c r="N60" s="14">
        <v>23679.924999999985</v>
      </c>
    </row>
    <row r="61" spans="1:26" x14ac:dyDescent="0.3">
      <c r="A61" s="3" t="str">
        <f>INDEX('R1. Scenario specifications'!$C$11:$C$49,MATCH($B61,'R1. Scenario specifications'!$A$11:$A$49,0))</f>
        <v>TIAM BAU - No Policy Action</v>
      </c>
      <c r="B61" s="3" t="s">
        <v>11</v>
      </c>
      <c r="C61" s="3" t="s">
        <v>69</v>
      </c>
      <c r="D61" s="14">
        <v>2379.5369238501598</v>
      </c>
      <c r="E61" s="14">
        <v>2356.8190162179026</v>
      </c>
      <c r="F61" s="14">
        <v>2309.0032840062922</v>
      </c>
      <c r="G61" s="14">
        <v>1537.0506464091866</v>
      </c>
      <c r="H61" s="14">
        <v>755.00498478308964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</row>
    <row r="62" spans="1:26" x14ac:dyDescent="0.3">
      <c r="A62" s="3" t="str">
        <f>INDEX('R1. Scenario specifications'!$C$11:$C$49,MATCH($B62,'R1. Scenario specifications'!$A$11:$A$49,0))</f>
        <v>TIAM BAU - No Policy Action</v>
      </c>
      <c r="B62" s="3" t="s">
        <v>11</v>
      </c>
      <c r="C62" s="3" t="s">
        <v>70</v>
      </c>
      <c r="D62" s="14">
        <v>67.937052631788802</v>
      </c>
      <c r="E62" s="14">
        <v>458.66984800047192</v>
      </c>
      <c r="F62" s="14">
        <v>1150.6811295366963</v>
      </c>
      <c r="G62" s="14">
        <v>1937.9162854842307</v>
      </c>
      <c r="H62" s="14">
        <v>5840.314182902559</v>
      </c>
      <c r="I62" s="14">
        <v>11256.995239996413</v>
      </c>
      <c r="J62" s="14">
        <v>13316.81885008569</v>
      </c>
      <c r="K62" s="14">
        <v>14436.927877033384</v>
      </c>
      <c r="L62" s="14">
        <v>15535.096403336145</v>
      </c>
      <c r="M62" s="14">
        <v>16580.81749728756</v>
      </c>
      <c r="N62" s="14">
        <v>17680.981740695512</v>
      </c>
    </row>
    <row r="63" spans="1:26" x14ac:dyDescent="0.3">
      <c r="A63" s="3" t="str">
        <f>INDEX('R1. Scenario specifications'!$C$11:$C$49,MATCH($B63,'R1. Scenario specifications'!$A$11:$A$49,0))</f>
        <v>TIAM BAU - No Policy Action</v>
      </c>
      <c r="B63" s="3" t="s">
        <v>11</v>
      </c>
      <c r="C63" s="3" t="s">
        <v>71</v>
      </c>
      <c r="D63" s="14">
        <v>0.68787021919935687</v>
      </c>
      <c r="E63" s="14">
        <v>0.6257617671977489</v>
      </c>
      <c r="F63" s="14">
        <v>0.52638824399517614</v>
      </c>
      <c r="G63" s="14">
        <v>0.35092549599678308</v>
      </c>
      <c r="H63" s="14">
        <v>0.17546274799839209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</row>
    <row r="64" spans="1:26" x14ac:dyDescent="0.3">
      <c r="A64" s="3" t="str">
        <f>INDEX('R1. Scenario specifications'!$C$11:$C$49,MATCH($B64,'R1. Scenario specifications'!$A$11:$A$49,0))</f>
        <v>TIAM BAU - No Policy Action</v>
      </c>
      <c r="B64" s="3" t="s">
        <v>11</v>
      </c>
      <c r="C64" s="3" t="s">
        <v>75</v>
      </c>
      <c r="D64" s="14">
        <v>1.963099940637433</v>
      </c>
      <c r="E64" s="14">
        <v>1.7858497922310126</v>
      </c>
      <c r="F64" s="14">
        <v>1.5022495547807475</v>
      </c>
      <c r="G64" s="14">
        <v>1.0014997031871673</v>
      </c>
      <c r="H64" s="14">
        <v>0.50074985159358421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</row>
    <row r="65" spans="1:14" x14ac:dyDescent="0.3">
      <c r="A65" s="3" t="str">
        <f>INDEX('R1. Scenario specifications'!$C$11:$C$49,MATCH($B65,'R1. Scenario specifications'!$A$11:$A$49,0))</f>
        <v>TIAM BAU - No Policy Action</v>
      </c>
      <c r="B65" s="3" t="s">
        <v>11</v>
      </c>
      <c r="C65" s="3" t="s">
        <v>72</v>
      </c>
      <c r="D65" s="14">
        <v>1517.4635089937533</v>
      </c>
      <c r="E65" s="14">
        <v>1704.9418897085425</v>
      </c>
      <c r="F65" s="14">
        <v>2689.1763567601406</v>
      </c>
      <c r="G65" s="14">
        <v>10568.055334803987</v>
      </c>
      <c r="H65" s="14">
        <v>27574.468395370932</v>
      </c>
      <c r="I65" s="14">
        <v>35131.682108742236</v>
      </c>
      <c r="J65" s="14">
        <v>47104.512985141235</v>
      </c>
      <c r="K65" s="14">
        <v>57121.142125931554</v>
      </c>
      <c r="L65" s="14">
        <v>67862.016885922654</v>
      </c>
      <c r="M65" s="14">
        <v>79446.271917336489</v>
      </c>
      <c r="N65" s="14">
        <v>92723.690150367285</v>
      </c>
    </row>
    <row r="66" spans="1:14" x14ac:dyDescent="0.3">
      <c r="A66" s="3" t="str">
        <f>INDEX('R1. Scenario specifications'!$C$11:$C$49,MATCH($B66,'R1. Scenario specifications'!$A$11:$A$49,0))</f>
        <v>TIAM BAU - No Policy Action</v>
      </c>
      <c r="B66" s="3" t="s">
        <v>11</v>
      </c>
      <c r="C66" s="3" t="s">
        <v>73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</row>
    <row r="67" spans="1:14" x14ac:dyDescent="0.3">
      <c r="A67" s="3" t="str">
        <f>INDEX('R1. Scenario specifications'!$C$11:$C$49,MATCH($B67,'R1. Scenario specifications'!$A$11:$A$49,0))</f>
        <v>TIAM BAU - No Policy Action</v>
      </c>
      <c r="B67" s="3" t="s">
        <v>11</v>
      </c>
      <c r="C67" s="3" t="s">
        <v>74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</row>
    <row r="68" spans="1:14" x14ac:dyDescent="0.3">
      <c r="A68" s="3" t="str">
        <f>INDEX('R1. Scenario specifications'!$C$11:$C$49,MATCH($B68,'R1. Scenario specifications'!$A$11:$A$49,0))</f>
        <v>Vivid BAU - WEO Current Policies Scenario emissions pathway run through TIAM</v>
      </c>
      <c r="B68" s="3" t="s">
        <v>13</v>
      </c>
      <c r="C68" s="3" t="s">
        <v>63</v>
      </c>
      <c r="D68" s="14">
        <v>225.44707509197954</v>
      </c>
      <c r="E68" s="14">
        <v>450.54881959468401</v>
      </c>
      <c r="F68" s="14">
        <v>2791.4345770479872</v>
      </c>
      <c r="G68" s="14">
        <v>7605.6066347943761</v>
      </c>
      <c r="H68" s="14">
        <v>9127.306807246563</v>
      </c>
      <c r="I68" s="14">
        <v>9948.045164573623</v>
      </c>
      <c r="J68" s="14">
        <v>10685.93782624684</v>
      </c>
      <c r="K68" s="14">
        <v>13095.581021995253</v>
      </c>
      <c r="L68" s="14">
        <v>15675.611402904105</v>
      </c>
      <c r="M68" s="14">
        <v>16658.598702629763</v>
      </c>
      <c r="N68" s="14">
        <v>14646.146294322643</v>
      </c>
    </row>
    <row r="69" spans="1:14" x14ac:dyDescent="0.3">
      <c r="A69" s="3" t="str">
        <f>INDEX('R1. Scenario specifications'!$C$11:$C$49,MATCH($B69,'R1. Scenario specifications'!$A$11:$A$49,0))</f>
        <v>Vivid BAU - WEO Current Policies Scenario emissions pathway run through TIAM</v>
      </c>
      <c r="B69" s="3" t="s">
        <v>13</v>
      </c>
      <c r="C69" s="3" t="s">
        <v>64</v>
      </c>
      <c r="D69" s="14">
        <v>32847.478215415395</v>
      </c>
      <c r="E69" s="14">
        <v>41078.617153382074</v>
      </c>
      <c r="F69" s="14">
        <v>38278.20347988946</v>
      </c>
      <c r="G69" s="14">
        <v>43788.120091333862</v>
      </c>
      <c r="H69" s="14">
        <v>42162.734256308468</v>
      </c>
      <c r="I69" s="14">
        <v>51652.506799666757</v>
      </c>
      <c r="J69" s="14">
        <v>60860.374064682299</v>
      </c>
      <c r="K69" s="14">
        <v>62913.07132903731</v>
      </c>
      <c r="L69" s="14">
        <v>62591.653795729668</v>
      </c>
      <c r="M69" s="14">
        <v>64231.478200974889</v>
      </c>
      <c r="N69" s="14">
        <v>69050.999658417641</v>
      </c>
    </row>
    <row r="70" spans="1:14" x14ac:dyDescent="0.3">
      <c r="A70" s="3" t="str">
        <f>INDEX('R1. Scenario specifications'!$C$11:$C$49,MATCH($B70,'R1. Scenario specifications'!$A$11:$A$49,0))</f>
        <v>Vivid BAU - WEO Current Policies Scenario emissions pathway run through TIAM</v>
      </c>
      <c r="B70" s="3" t="s">
        <v>13</v>
      </c>
      <c r="C70" s="3" t="s">
        <v>65</v>
      </c>
      <c r="D70" s="14">
        <v>14749.906304811355</v>
      </c>
      <c r="E70" s="14">
        <v>15742.568461825545</v>
      </c>
      <c r="F70" s="14">
        <v>19392.429168177347</v>
      </c>
      <c r="G70" s="14">
        <v>12635.868080254928</v>
      </c>
      <c r="H70" s="14">
        <v>5524.3741474811095</v>
      </c>
      <c r="I70" s="14">
        <v>517.33153743325352</v>
      </c>
      <c r="J70" s="14">
        <v>1894.3523043839068</v>
      </c>
      <c r="K70" s="14">
        <v>2127.9279853941566</v>
      </c>
      <c r="L70" s="14">
        <v>2214.7842088816383</v>
      </c>
      <c r="M70" s="14">
        <v>2088.9472682085388</v>
      </c>
      <c r="N70" s="14">
        <v>2375.4508014132634</v>
      </c>
    </row>
    <row r="71" spans="1:14" x14ac:dyDescent="0.3">
      <c r="A71" s="3" t="str">
        <f>INDEX('R1. Scenario specifications'!$C$11:$C$49,MATCH($B71,'R1. Scenario specifications'!$A$11:$A$49,0))</f>
        <v>Vivid BAU - WEO Current Policies Scenario emissions pathway run through TIAM</v>
      </c>
      <c r="B71" s="3" t="s">
        <v>13</v>
      </c>
      <c r="C71" s="3" t="s">
        <v>66</v>
      </c>
      <c r="D71" s="14">
        <v>204.4880804486464</v>
      </c>
      <c r="E71" s="14">
        <v>210.36857456066264</v>
      </c>
      <c r="F71" s="14">
        <v>2544.1100901144487</v>
      </c>
      <c r="G71" s="14">
        <v>3904.0355698060566</v>
      </c>
      <c r="H71" s="14">
        <v>5443.4743480968154</v>
      </c>
      <c r="I71" s="14">
        <v>6923.5581208228496</v>
      </c>
      <c r="J71" s="14">
        <v>6914.4380641871985</v>
      </c>
      <c r="K71" s="14">
        <v>6914.4380641871985</v>
      </c>
      <c r="L71" s="14">
        <v>6897.4255841357708</v>
      </c>
      <c r="M71" s="14">
        <v>6835.2028486157697</v>
      </c>
      <c r="N71" s="14">
        <v>6914.4380641871985</v>
      </c>
    </row>
    <row r="72" spans="1:14" x14ac:dyDescent="0.3">
      <c r="A72" s="3" t="str">
        <f>INDEX('R1. Scenario specifications'!$C$11:$C$49,MATCH($B72,'R1. Scenario specifications'!$A$11:$A$49,0))</f>
        <v>Vivid BAU - WEO Current Policies Scenario emissions pathway run through TIAM</v>
      </c>
      <c r="B72" s="3" t="s">
        <v>13</v>
      </c>
      <c r="C72" s="3" t="s">
        <v>67</v>
      </c>
      <c r="D72" s="14">
        <v>10255.125599999994</v>
      </c>
      <c r="E72" s="14">
        <v>10334.432845488634</v>
      </c>
      <c r="F72" s="14">
        <v>15100.929733665431</v>
      </c>
      <c r="G72" s="14">
        <v>16252.67414209737</v>
      </c>
      <c r="H72" s="14">
        <v>17110.989567712189</v>
      </c>
      <c r="I72" s="14">
        <v>18732.90961335901</v>
      </c>
      <c r="J72" s="14">
        <v>19197.285029959003</v>
      </c>
      <c r="K72" s="14">
        <v>19147.026021623067</v>
      </c>
      <c r="L72" s="14">
        <v>19083.937255542263</v>
      </c>
      <c r="M72" s="14">
        <v>19000.195093196431</v>
      </c>
      <c r="N72" s="14">
        <v>18852.183167811378</v>
      </c>
    </row>
    <row r="73" spans="1:14" x14ac:dyDescent="0.3">
      <c r="A73" s="3" t="str">
        <f>INDEX('R1. Scenario specifications'!$C$11:$C$49,MATCH($B73,'R1. Scenario specifications'!$A$11:$A$49,0))</f>
        <v>Vivid BAU - WEO Current Policies Scenario emissions pathway run through TIAM</v>
      </c>
      <c r="B73" s="3" t="s">
        <v>13</v>
      </c>
      <c r="C73" s="3" t="s">
        <v>68</v>
      </c>
      <c r="D73" s="14">
        <v>9499.4101148835816</v>
      </c>
      <c r="E73" s="14">
        <v>9854.2534923099101</v>
      </c>
      <c r="F73" s="14">
        <v>13753.197500000002</v>
      </c>
      <c r="G73" s="14">
        <v>14568.342003330639</v>
      </c>
      <c r="H73" s="14">
        <v>15128.160274906884</v>
      </c>
      <c r="I73" s="14">
        <v>15975.507766665305</v>
      </c>
      <c r="J73" s="14">
        <v>17118.412499999999</v>
      </c>
      <c r="K73" s="14">
        <v>19195.575161874567</v>
      </c>
      <c r="L73" s="14">
        <v>21484.300323749136</v>
      </c>
      <c r="M73" s="14">
        <v>22896.802668451677</v>
      </c>
      <c r="N73" s="14">
        <v>23679.924999999985</v>
      </c>
    </row>
    <row r="74" spans="1:14" x14ac:dyDescent="0.3">
      <c r="A74" s="3" t="str">
        <f>INDEX('R1. Scenario specifications'!$C$11:$C$49,MATCH($B74,'R1. Scenario specifications'!$A$11:$A$49,0))</f>
        <v>Vivid BAU - WEO Current Policies Scenario emissions pathway run through TIAM</v>
      </c>
      <c r="B74" s="3" t="s">
        <v>13</v>
      </c>
      <c r="C74" s="3" t="s">
        <v>69</v>
      </c>
      <c r="D74" s="14">
        <v>2379.5369238501598</v>
      </c>
      <c r="E74" s="14">
        <v>2356.819016217903</v>
      </c>
      <c r="F74" s="14">
        <v>2309.0032840062927</v>
      </c>
      <c r="G74" s="14">
        <v>1516.6896991611875</v>
      </c>
      <c r="H74" s="14">
        <v>744.82451115908952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</row>
    <row r="75" spans="1:14" x14ac:dyDescent="0.3">
      <c r="A75" s="3" t="str">
        <f>INDEX('R1. Scenario specifications'!$C$11:$C$49,MATCH($B75,'R1. Scenario specifications'!$A$11:$A$49,0))</f>
        <v>Vivid BAU - WEO Current Policies Scenario emissions pathway run through TIAM</v>
      </c>
      <c r="B75" s="3" t="s">
        <v>13</v>
      </c>
      <c r="C75" s="3" t="s">
        <v>70</v>
      </c>
      <c r="D75" s="14">
        <v>67.937052631788831</v>
      </c>
      <c r="E75" s="14">
        <v>458.66984800047186</v>
      </c>
      <c r="F75" s="14">
        <v>1127.3553024617142</v>
      </c>
      <c r="G75" s="14">
        <v>2254.6180527015404</v>
      </c>
      <c r="H75" s="14">
        <v>5828.6294366548136</v>
      </c>
      <c r="I75" s="14">
        <v>11271.527863925479</v>
      </c>
      <c r="J75" s="14">
        <v>13348.943886516037</v>
      </c>
      <c r="K75" s="14">
        <v>14480.056831189488</v>
      </c>
      <c r="L75" s="14">
        <v>15503.561346280365</v>
      </c>
      <c r="M75" s="14">
        <v>16517.860026095979</v>
      </c>
      <c r="N75" s="14">
        <v>17629.233029667914</v>
      </c>
    </row>
    <row r="76" spans="1:14" x14ac:dyDescent="0.3">
      <c r="A76" s="3" t="str">
        <f>INDEX('R1. Scenario specifications'!$C$11:$C$49,MATCH($B76,'R1. Scenario specifications'!$A$11:$A$49,0))</f>
        <v>Vivid BAU - WEO Current Policies Scenario emissions pathway run through TIAM</v>
      </c>
      <c r="B76" s="3" t="s">
        <v>13</v>
      </c>
      <c r="C76" s="3" t="s">
        <v>71</v>
      </c>
      <c r="D76" s="14">
        <v>0.68787021919935687</v>
      </c>
      <c r="E76" s="14">
        <v>0.6257617671977489</v>
      </c>
      <c r="F76" s="14">
        <v>0.52638824399517514</v>
      </c>
      <c r="G76" s="14">
        <v>0.35092549599678308</v>
      </c>
      <c r="H76" s="14">
        <v>0.17546274799839201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</row>
    <row r="77" spans="1:14" x14ac:dyDescent="0.3">
      <c r="A77" s="3" t="str">
        <f>INDEX('R1. Scenario specifications'!$C$11:$C$49,MATCH($B77,'R1. Scenario specifications'!$A$11:$A$49,0))</f>
        <v>Vivid BAU - WEO Current Policies Scenario emissions pathway run through TIAM</v>
      </c>
      <c r="B77" s="3" t="s">
        <v>13</v>
      </c>
      <c r="C77" s="3" t="s">
        <v>75</v>
      </c>
      <c r="D77" s="14">
        <v>1.963099940637433</v>
      </c>
      <c r="E77" s="14">
        <v>1.7858497922310126</v>
      </c>
      <c r="F77" s="14">
        <v>1.5022495547807513</v>
      </c>
      <c r="G77" s="14">
        <v>1.0014997031871682</v>
      </c>
      <c r="H77" s="14">
        <v>0.50074985159358421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</row>
    <row r="78" spans="1:14" x14ac:dyDescent="0.3">
      <c r="A78" s="3" t="str">
        <f>INDEX('R1. Scenario specifications'!$C$11:$C$49,MATCH($B78,'R1. Scenario specifications'!$A$11:$A$49,0))</f>
        <v>Vivid BAU - WEO Current Policies Scenario emissions pathway run through TIAM</v>
      </c>
      <c r="B78" s="3" t="s">
        <v>13</v>
      </c>
      <c r="C78" s="3" t="s">
        <v>72</v>
      </c>
      <c r="D78" s="14">
        <v>1522.2914863992651</v>
      </c>
      <c r="E78" s="14">
        <v>1704.9418897085425</v>
      </c>
      <c r="F78" s="14">
        <v>2690.2584188209735</v>
      </c>
      <c r="G78" s="14">
        <v>10699.247864870576</v>
      </c>
      <c r="H78" s="14">
        <v>28051.155236656792</v>
      </c>
      <c r="I78" s="14">
        <v>35401.277503274396</v>
      </c>
      <c r="J78" s="14">
        <v>47095.728782410006</v>
      </c>
      <c r="K78" s="14">
        <v>57161.943854723082</v>
      </c>
      <c r="L78" s="14">
        <v>67804.719580684861</v>
      </c>
      <c r="M78" s="14">
        <v>79498.169024071307</v>
      </c>
      <c r="N78" s="14">
        <v>92723.759225116475</v>
      </c>
    </row>
    <row r="79" spans="1:14" x14ac:dyDescent="0.3">
      <c r="A79" s="3" t="str">
        <f>INDEX('R1. Scenario specifications'!$C$11:$C$49,MATCH($B79,'R1. Scenario specifications'!$A$11:$A$49,0))</f>
        <v>Vivid BAU - WEO Current Policies Scenario emissions pathway run through TIAM</v>
      </c>
      <c r="B79" s="3" t="s">
        <v>13</v>
      </c>
      <c r="C79" s="3" t="s">
        <v>73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</row>
    <row r="80" spans="1:14" x14ac:dyDescent="0.3">
      <c r="A80" s="3" t="str">
        <f>INDEX('R1. Scenario specifications'!$C$11:$C$49,MATCH($B80,'R1. Scenario specifications'!$A$11:$A$49,0))</f>
        <v>Vivid BAU - WEO Current Policies Scenario emissions pathway run through TIAM</v>
      </c>
      <c r="B80" s="3" t="s">
        <v>13</v>
      </c>
      <c r="C80" s="3" t="s">
        <v>74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</row>
    <row r="81" spans="1:14" x14ac:dyDescent="0.3">
      <c r="A81" s="3" t="str">
        <f>INDEX('R1. Scenario specifications'!$C$11:$C$49,MATCH($B81,'R1. Scenario specifications'!$A$11:$A$49,0))</f>
        <v>Vivid Paris NDCs - WEO New Policies Scenario emissions pathway run through TIAM</v>
      </c>
      <c r="B81" s="3" t="s">
        <v>14</v>
      </c>
      <c r="C81" s="3" t="s">
        <v>63</v>
      </c>
      <c r="D81" s="14">
        <v>225.44707509197985</v>
      </c>
      <c r="E81" s="14">
        <v>432.13326707926797</v>
      </c>
      <c r="F81" s="14">
        <v>2791.4850951746125</v>
      </c>
      <c r="G81" s="14">
        <v>10791.541692619947</v>
      </c>
      <c r="H81" s="14">
        <v>13440.648679255763</v>
      </c>
      <c r="I81" s="14">
        <v>15334.168717542236</v>
      </c>
      <c r="J81" s="14">
        <v>17287.691635543997</v>
      </c>
      <c r="K81" s="14">
        <v>16090.912706368972</v>
      </c>
      <c r="L81" s="14">
        <v>16179.333927785037</v>
      </c>
      <c r="M81" s="14">
        <v>15761.000925631608</v>
      </c>
      <c r="N81" s="14">
        <v>14214.331004654985</v>
      </c>
    </row>
    <row r="82" spans="1:14" x14ac:dyDescent="0.3">
      <c r="A82" s="3" t="str">
        <f>INDEX('R1. Scenario specifications'!$C$11:$C$49,MATCH($B82,'R1. Scenario specifications'!$A$11:$A$49,0))</f>
        <v>Vivid Paris NDCs - WEO New Policies Scenario emissions pathway run through TIAM</v>
      </c>
      <c r="B82" s="3" t="s">
        <v>14</v>
      </c>
      <c r="C82" s="3" t="s">
        <v>73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</row>
    <row r="83" spans="1:14" x14ac:dyDescent="0.3">
      <c r="A83" s="3" t="str">
        <f>INDEX('R1. Scenario specifications'!$C$11:$C$49,MATCH($B83,'R1. Scenario specifications'!$A$11:$A$49,0))</f>
        <v>Vivid Paris NDCs - WEO New Policies Scenario emissions pathway run through TIAM</v>
      </c>
      <c r="B83" s="3" t="s">
        <v>14</v>
      </c>
      <c r="C83" s="3" t="s">
        <v>64</v>
      </c>
      <c r="D83" s="14">
        <v>33040.313548549595</v>
      </c>
      <c r="E83" s="14">
        <v>42259.332050485427</v>
      </c>
      <c r="F83" s="14">
        <v>32172.508335863538</v>
      </c>
      <c r="G83" s="14">
        <v>29995.093630544216</v>
      </c>
      <c r="H83" s="14">
        <v>28296.139540874025</v>
      </c>
      <c r="I83" s="14">
        <v>30961.317864540219</v>
      </c>
      <c r="J83" s="14">
        <v>36273.803074937998</v>
      </c>
      <c r="K83" s="14">
        <v>48177.553265229813</v>
      </c>
      <c r="L83" s="14">
        <v>52140.823951628961</v>
      </c>
      <c r="M83" s="14">
        <v>55540.237133537601</v>
      </c>
      <c r="N83" s="14">
        <v>60119.843163135614</v>
      </c>
    </row>
    <row r="84" spans="1:14" x14ac:dyDescent="0.3">
      <c r="A84" s="3" t="str">
        <f>INDEX('R1. Scenario specifications'!$C$11:$C$49,MATCH($B84,'R1. Scenario specifications'!$A$11:$A$49,0))</f>
        <v>Vivid Paris NDCs - WEO New Policies Scenario emissions pathway run through TIAM</v>
      </c>
      <c r="B84" s="3" t="s">
        <v>14</v>
      </c>
      <c r="C84" s="3" t="s">
        <v>65</v>
      </c>
      <c r="D84" s="14">
        <v>14597.074835304187</v>
      </c>
      <c r="E84" s="14">
        <v>15742.568461825351</v>
      </c>
      <c r="F84" s="14">
        <v>23692.881756781935</v>
      </c>
      <c r="G84" s="14">
        <v>18923.773890589895</v>
      </c>
      <c r="H84" s="14">
        <v>9531.0264518442909</v>
      </c>
      <c r="I84" s="14">
        <v>1986.6517017881108</v>
      </c>
      <c r="J84" s="14">
        <v>2739.3114135858063</v>
      </c>
      <c r="K84" s="14">
        <v>2259.8146267557477</v>
      </c>
      <c r="L84" s="14">
        <v>2062.8734616980851</v>
      </c>
      <c r="M84" s="14">
        <v>2063.010739970422</v>
      </c>
      <c r="N84" s="14">
        <v>2426.6768282695534</v>
      </c>
    </row>
    <row r="85" spans="1:14" x14ac:dyDescent="0.3">
      <c r="A85" s="3" t="str">
        <f>INDEX('R1. Scenario specifications'!$C$11:$C$49,MATCH($B85,'R1. Scenario specifications'!$A$11:$A$49,0))</f>
        <v>Vivid Paris NDCs - WEO New Policies Scenario emissions pathway run through TIAM</v>
      </c>
      <c r="B85" s="3" t="s">
        <v>14</v>
      </c>
      <c r="C85" s="3" t="s">
        <v>74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</row>
    <row r="86" spans="1:14" x14ac:dyDescent="0.3">
      <c r="A86" s="3" t="str">
        <f>INDEX('R1. Scenario specifications'!$C$11:$C$49,MATCH($B86,'R1. Scenario specifications'!$A$11:$A$49,0))</f>
        <v>Vivid Paris NDCs - WEO New Policies Scenario emissions pathway run through TIAM</v>
      </c>
      <c r="B86" s="3" t="s">
        <v>14</v>
      </c>
      <c r="C86" s="3" t="s">
        <v>66</v>
      </c>
      <c r="D86" s="14">
        <v>202.4480216544064</v>
      </c>
      <c r="E86" s="14">
        <v>194.35225063586262</v>
      </c>
      <c r="F86" s="14">
        <v>2690.096097794773</v>
      </c>
      <c r="G86" s="14">
        <v>4149.3454146666118</v>
      </c>
      <c r="H86" s="14">
        <v>5608.5947315384501</v>
      </c>
      <c r="I86" s="14">
        <v>7062.2667670530764</v>
      </c>
      <c r="J86" s="14">
        <v>6914.7577649970754</v>
      </c>
      <c r="K86" s="14">
        <v>6914.7577649970754</v>
      </c>
      <c r="L86" s="14">
        <v>6914.7577649970754</v>
      </c>
      <c r="M86" s="14">
        <v>6863.4538220658478</v>
      </c>
      <c r="N86" s="14">
        <v>6892.7636560710926</v>
      </c>
    </row>
    <row r="87" spans="1:14" x14ac:dyDescent="0.3">
      <c r="A87" s="3" t="str">
        <f>INDEX('R1. Scenario specifications'!$C$11:$C$49,MATCH($B87,'R1. Scenario specifications'!$A$11:$A$49,0))</f>
        <v>Vivid Paris NDCs - WEO New Policies Scenario emissions pathway run through TIAM</v>
      </c>
      <c r="B87" s="3" t="s">
        <v>14</v>
      </c>
      <c r="C87" s="3" t="s">
        <v>67</v>
      </c>
      <c r="D87" s="14">
        <v>10255.125599999996</v>
      </c>
      <c r="E87" s="14">
        <v>10349.477981293301</v>
      </c>
      <c r="F87" s="14">
        <v>14634.999767850808</v>
      </c>
      <c r="G87" s="14">
        <v>17168.548108229523</v>
      </c>
      <c r="H87" s="14">
        <v>19049.063218116142</v>
      </c>
      <c r="I87" s="14">
        <v>20498.349948626241</v>
      </c>
      <c r="J87" s="14">
        <v>20788.493831528041</v>
      </c>
      <c r="K87" s="14">
        <v>20654.057746635452</v>
      </c>
      <c r="L87" s="14">
        <v>20519.621661742869</v>
      </c>
      <c r="M87" s="14">
        <v>20385.185576850279</v>
      </c>
      <c r="N87" s="14">
        <v>20208.202398589743</v>
      </c>
    </row>
    <row r="88" spans="1:14" x14ac:dyDescent="0.3">
      <c r="A88" s="3" t="str">
        <f>INDEX('R1. Scenario specifications'!$C$11:$C$49,MATCH($B88,'R1. Scenario specifications'!$A$11:$A$49,0))</f>
        <v>Vivid Paris NDCs - WEO New Policies Scenario emissions pathway run through TIAM</v>
      </c>
      <c r="B88" s="3" t="s">
        <v>14</v>
      </c>
      <c r="C88" s="3" t="s">
        <v>68</v>
      </c>
      <c r="D88" s="14">
        <v>9499.4101148835834</v>
      </c>
      <c r="E88" s="14">
        <v>9854.768593125913</v>
      </c>
      <c r="F88" s="14">
        <v>13753.197500000002</v>
      </c>
      <c r="G88" s="14">
        <v>14514.167854150606</v>
      </c>
      <c r="H88" s="14">
        <v>15191.631806438927</v>
      </c>
      <c r="I88" s="14">
        <v>18032.949236508615</v>
      </c>
      <c r="J88" s="14">
        <v>19125.229865824553</v>
      </c>
      <c r="K88" s="14">
        <v>19855.027820120376</v>
      </c>
      <c r="L88" s="14">
        <v>21444.150972167809</v>
      </c>
      <c r="M88" s="14">
        <v>22856.653316870346</v>
      </c>
      <c r="N88" s="14">
        <v>23679.924999999985</v>
      </c>
    </row>
    <row r="89" spans="1:14" x14ac:dyDescent="0.3">
      <c r="A89" s="3" t="str">
        <f>INDEX('R1. Scenario specifications'!$C$11:$C$49,MATCH($B89,'R1. Scenario specifications'!$A$11:$A$49,0))</f>
        <v>Vivid Paris NDCs - WEO New Policies Scenario emissions pathway run through TIAM</v>
      </c>
      <c r="B89" s="3" t="s">
        <v>14</v>
      </c>
      <c r="C89" s="3" t="s">
        <v>69</v>
      </c>
      <c r="D89" s="14">
        <v>2379.5369238501598</v>
      </c>
      <c r="E89" s="14">
        <v>2356.8190162179026</v>
      </c>
      <c r="F89" s="14">
        <v>2308.8771400062938</v>
      </c>
      <c r="G89" s="14">
        <v>1516.5761695611868</v>
      </c>
      <c r="H89" s="14">
        <v>734.15459382575602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</row>
    <row r="90" spans="1:14" x14ac:dyDescent="0.3">
      <c r="A90" s="3" t="str">
        <f>INDEX('R1. Scenario specifications'!$C$11:$C$49,MATCH($B90,'R1. Scenario specifications'!$A$11:$A$49,0))</f>
        <v>Vivid Paris NDCs - WEO New Policies Scenario emissions pathway run through TIAM</v>
      </c>
      <c r="B90" s="3" t="s">
        <v>14</v>
      </c>
      <c r="C90" s="3" t="s">
        <v>70</v>
      </c>
      <c r="D90" s="14">
        <v>67.937052631788802</v>
      </c>
      <c r="E90" s="14">
        <v>458.66984800047192</v>
      </c>
      <c r="F90" s="14">
        <v>917.48161125092997</v>
      </c>
      <c r="G90" s="14">
        <v>2670.3548260954558</v>
      </c>
      <c r="H90" s="14">
        <v>7654.3346505861427</v>
      </c>
      <c r="I90" s="14">
        <v>18495.842434518949</v>
      </c>
      <c r="J90" s="14">
        <v>22133.755621556393</v>
      </c>
      <c r="K90" s="14">
        <v>22996.845022681151</v>
      </c>
      <c r="L90" s="14">
        <v>23526.249752027801</v>
      </c>
      <c r="M90" s="14">
        <v>24047.837034506247</v>
      </c>
      <c r="N90" s="14">
        <v>25117.008224091845</v>
      </c>
    </row>
    <row r="91" spans="1:14" x14ac:dyDescent="0.3">
      <c r="A91" s="3" t="str">
        <f>INDEX('R1. Scenario specifications'!$C$11:$C$49,MATCH($B91,'R1. Scenario specifications'!$A$11:$A$49,0))</f>
        <v>Vivid Paris NDCs - WEO New Policies Scenario emissions pathway run through TIAM</v>
      </c>
      <c r="B91" s="3" t="s">
        <v>14</v>
      </c>
      <c r="C91" s="3" t="s">
        <v>71</v>
      </c>
      <c r="D91" s="14">
        <v>0.68787021919935687</v>
      </c>
      <c r="E91" s="14">
        <v>0.6257617671977489</v>
      </c>
      <c r="F91" s="14">
        <v>0.52638824399517514</v>
      </c>
      <c r="G91" s="14">
        <v>0.35092549599678308</v>
      </c>
      <c r="H91" s="14">
        <v>0.17546274799839201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</row>
    <row r="92" spans="1:14" x14ac:dyDescent="0.3">
      <c r="A92" s="3" t="str">
        <f>INDEX('R1. Scenario specifications'!$C$11:$C$49,MATCH($B92,'R1. Scenario specifications'!$A$11:$A$49,0))</f>
        <v>Vivid Paris NDCs - WEO New Policies Scenario emissions pathway run through TIAM</v>
      </c>
      <c r="B92" s="3" t="s">
        <v>14</v>
      </c>
      <c r="C92" s="3" t="s">
        <v>75</v>
      </c>
      <c r="D92" s="14">
        <v>1.963099940637433</v>
      </c>
      <c r="E92" s="14">
        <v>1.7858497922310126</v>
      </c>
      <c r="F92" s="14">
        <v>1.5022495547807513</v>
      </c>
      <c r="G92" s="14">
        <v>1.0014997031871682</v>
      </c>
      <c r="H92" s="14">
        <v>0.50074985159358421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</row>
    <row r="93" spans="1:14" x14ac:dyDescent="0.3">
      <c r="A93" s="3" t="str">
        <f>INDEX('R1. Scenario specifications'!$C$11:$C$49,MATCH($B93,'R1. Scenario specifications'!$A$11:$A$49,0))</f>
        <v>Vivid Paris NDCs - WEO New Policies Scenario emissions pathway run through TIAM</v>
      </c>
      <c r="B93" s="3" t="s">
        <v>14</v>
      </c>
      <c r="C93" s="3" t="s">
        <v>72</v>
      </c>
      <c r="D93" s="14">
        <v>1517.4635089937533</v>
      </c>
      <c r="E93" s="14">
        <v>1704.9418897085425</v>
      </c>
      <c r="F93" s="14">
        <v>2685.5545190640855</v>
      </c>
      <c r="G93" s="14">
        <v>10882.32058635127</v>
      </c>
      <c r="H93" s="14">
        <v>27797.586268754509</v>
      </c>
      <c r="I93" s="14">
        <v>35685.876785717061</v>
      </c>
      <c r="J93" s="14">
        <v>46014.388008862428</v>
      </c>
      <c r="K93" s="14">
        <v>56296.900184074904</v>
      </c>
      <c r="L93" s="14">
        <v>68006.394821006877</v>
      </c>
      <c r="M93" s="14">
        <v>79607.158786818734</v>
      </c>
      <c r="N93" s="14">
        <v>92930.676179710572</v>
      </c>
    </row>
    <row r="94" spans="1:14" x14ac:dyDescent="0.3">
      <c r="A94" s="3" t="str">
        <f>INDEX('R1. Scenario specifications'!$C$11:$C$49,MATCH($B94,'R1. Scenario specifications'!$A$11:$A$49,0))</f>
        <v>Current 2DS, 2020 start, 'Expect the Unexpected'</v>
      </c>
      <c r="B94" s="3" t="s">
        <v>15</v>
      </c>
      <c r="C94" s="3" t="s">
        <v>63</v>
      </c>
      <c r="D94" s="14">
        <v>225.44707509197985</v>
      </c>
      <c r="E94" s="14">
        <v>432.13326707926797</v>
      </c>
      <c r="F94" s="14">
        <v>2791.4850951746125</v>
      </c>
      <c r="G94" s="14">
        <v>12174.222869820878</v>
      </c>
      <c r="H94" s="14">
        <v>14338.797257821856</v>
      </c>
      <c r="I94" s="14">
        <v>15723.464364919433</v>
      </c>
      <c r="J94" s="14">
        <v>7241.3199855508128</v>
      </c>
      <c r="K94" s="14">
        <v>3830.9217438691144</v>
      </c>
      <c r="L94" s="14">
        <v>177.42385919471167</v>
      </c>
      <c r="M94" s="14">
        <v>72.902472988018005</v>
      </c>
      <c r="N94" s="14">
        <v>70.795401292520495</v>
      </c>
    </row>
    <row r="95" spans="1:14" x14ac:dyDescent="0.3">
      <c r="A95" s="3" t="str">
        <f>INDEX('R1. Scenario specifications'!$C$11:$C$49,MATCH($B95,'R1. Scenario specifications'!$A$11:$A$49,0))</f>
        <v>Current 2DS, 2020 start, 'Expect the Unexpected'</v>
      </c>
      <c r="B95" s="3" t="s">
        <v>15</v>
      </c>
      <c r="C95" s="3" t="s">
        <v>73</v>
      </c>
      <c r="D95" s="14">
        <v>0</v>
      </c>
      <c r="E95" s="14">
        <v>0</v>
      </c>
      <c r="F95" s="14">
        <v>0</v>
      </c>
      <c r="G95" s="14">
        <v>145.59217603035023</v>
      </c>
      <c r="H95" s="14">
        <v>964.37596068172218</v>
      </c>
      <c r="I95" s="14">
        <v>4542.4446258560292</v>
      </c>
      <c r="J95" s="14">
        <v>18965.473592652841</v>
      </c>
      <c r="K95" s="14">
        <v>38816.631624880189</v>
      </c>
      <c r="L95" s="14">
        <v>60609.997746609944</v>
      </c>
      <c r="M95" s="14">
        <v>79452.624925581971</v>
      </c>
      <c r="N95" s="14">
        <v>86657.930411388748</v>
      </c>
    </row>
    <row r="96" spans="1:14" x14ac:dyDescent="0.3">
      <c r="A96" s="3" t="str">
        <f>INDEX('R1. Scenario specifications'!$C$11:$C$49,MATCH($B96,'R1. Scenario specifications'!$A$11:$A$49,0))</f>
        <v>Current 2DS, 2020 start, 'Expect the Unexpected'</v>
      </c>
      <c r="B96" s="3" t="s">
        <v>15</v>
      </c>
      <c r="C96" s="3" t="s">
        <v>64</v>
      </c>
      <c r="D96" s="14">
        <v>33040.313548549595</v>
      </c>
      <c r="E96" s="14">
        <v>42259.332050485427</v>
      </c>
      <c r="F96" s="14">
        <v>32172.508335863538</v>
      </c>
      <c r="G96" s="14">
        <v>20860.314383134577</v>
      </c>
      <c r="H96" s="14">
        <v>5816.1116212190855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</row>
    <row r="97" spans="1:14" x14ac:dyDescent="0.3">
      <c r="A97" s="3" t="str">
        <f>INDEX('R1. Scenario specifications'!$C$11:$C$49,MATCH($B97,'R1. Scenario specifications'!$A$11:$A$49,0))</f>
        <v>Current 2DS, 2020 start, 'Expect the Unexpected'</v>
      </c>
      <c r="B97" s="3" t="s">
        <v>15</v>
      </c>
      <c r="C97" s="3" t="s">
        <v>65</v>
      </c>
      <c r="D97" s="14">
        <v>14597.074835304187</v>
      </c>
      <c r="E97" s="14">
        <v>15742.568461825351</v>
      </c>
      <c r="F97" s="14">
        <v>23692.881756781935</v>
      </c>
      <c r="G97" s="14">
        <v>19093.931385060863</v>
      </c>
      <c r="H97" s="14">
        <v>17330.291474644364</v>
      </c>
      <c r="I97" s="14">
        <v>10074.464974840312</v>
      </c>
      <c r="J97" s="14">
        <v>6570.7708290619821</v>
      </c>
      <c r="K97" s="14">
        <v>3353.2900661562244</v>
      </c>
      <c r="L97" s="14">
        <v>907.46677744308045</v>
      </c>
      <c r="M97" s="14">
        <v>0</v>
      </c>
      <c r="N97" s="14">
        <v>0</v>
      </c>
    </row>
    <row r="98" spans="1:14" x14ac:dyDescent="0.3">
      <c r="A98" s="3" t="str">
        <f>INDEX('R1. Scenario specifications'!$C$11:$C$49,MATCH($B98,'R1. Scenario specifications'!$A$11:$A$49,0))</f>
        <v>Current 2DS, 2020 start, 'Expect the Unexpected'</v>
      </c>
      <c r="B98" s="3" t="s">
        <v>15</v>
      </c>
      <c r="C98" s="3" t="s">
        <v>74</v>
      </c>
      <c r="D98" s="14">
        <v>0</v>
      </c>
      <c r="E98" s="14">
        <v>0</v>
      </c>
      <c r="F98" s="14">
        <v>0</v>
      </c>
      <c r="G98" s="14">
        <v>0</v>
      </c>
      <c r="H98" s="14">
        <v>0</v>
      </c>
      <c r="I98" s="14">
        <v>21.903449435142061</v>
      </c>
      <c r="J98" s="14">
        <v>44.828853610253312</v>
      </c>
      <c r="K98" s="14">
        <v>725.81311181948172</v>
      </c>
      <c r="L98" s="14">
        <v>3747.7393398610584</v>
      </c>
      <c r="M98" s="14">
        <v>7856.3284193620866</v>
      </c>
      <c r="N98" s="14">
        <v>9748.1036734759255</v>
      </c>
    </row>
    <row r="99" spans="1:14" x14ac:dyDescent="0.3">
      <c r="A99" s="3" t="str">
        <f>INDEX('R1. Scenario specifications'!$C$11:$C$49,MATCH($B99,'R1. Scenario specifications'!$A$11:$A$49,0))</f>
        <v>Current 2DS, 2020 start, 'Expect the Unexpected'</v>
      </c>
      <c r="B99" s="3" t="s">
        <v>15</v>
      </c>
      <c r="C99" s="3" t="s">
        <v>66</v>
      </c>
      <c r="D99" s="14">
        <v>202.4480216544064</v>
      </c>
      <c r="E99" s="14">
        <v>194.35225063586262</v>
      </c>
      <c r="F99" s="14">
        <v>2690.096097794773</v>
      </c>
      <c r="G99" s="14">
        <v>4159.862749522521</v>
      </c>
      <c r="H99" s="14">
        <v>5663.1266090847057</v>
      </c>
      <c r="I99" s="14">
        <v>7894.0158499123654</v>
      </c>
      <c r="J99" s="14">
        <v>11744.242064701035</v>
      </c>
      <c r="K99" s="14">
        <v>13790.513840985599</v>
      </c>
      <c r="L99" s="14">
        <v>15139.703627941299</v>
      </c>
      <c r="M99" s="14">
        <v>22343.238187709678</v>
      </c>
      <c r="N99" s="14">
        <v>24927.928879188788</v>
      </c>
    </row>
    <row r="100" spans="1:14" x14ac:dyDescent="0.3">
      <c r="A100" s="3" t="str">
        <f>INDEX('R1. Scenario specifications'!$C$11:$C$49,MATCH($B100,'R1. Scenario specifications'!$A$11:$A$49,0))</f>
        <v>Current 2DS, 2020 start, 'Expect the Unexpected'</v>
      </c>
      <c r="B100" s="3" t="s">
        <v>15</v>
      </c>
      <c r="C100" s="3" t="s">
        <v>67</v>
      </c>
      <c r="D100" s="14">
        <v>10255.125599999996</v>
      </c>
      <c r="E100" s="14">
        <v>10349.477981293301</v>
      </c>
      <c r="F100" s="14">
        <v>14634.999767850808</v>
      </c>
      <c r="G100" s="14">
        <v>17355.17407654487</v>
      </c>
      <c r="H100" s="14">
        <v>20324.658801137899</v>
      </c>
      <c r="I100" s="14">
        <v>23790.208360954177</v>
      </c>
      <c r="J100" s="14">
        <v>25650.488693715743</v>
      </c>
      <c r="K100" s="14">
        <v>26839.471107177083</v>
      </c>
      <c r="L100" s="14">
        <v>29826.529269349441</v>
      </c>
      <c r="M100" s="14">
        <v>36451.061730150002</v>
      </c>
      <c r="N100" s="14">
        <v>38926.967271773909</v>
      </c>
    </row>
    <row r="101" spans="1:14" x14ac:dyDescent="0.3">
      <c r="A101" s="3" t="str">
        <f>INDEX('R1. Scenario specifications'!$C$11:$C$49,MATCH($B101,'R1. Scenario specifications'!$A$11:$A$49,0))</f>
        <v>Current 2DS, 2020 start, 'Expect the Unexpected'</v>
      </c>
      <c r="B101" s="3" t="s">
        <v>15</v>
      </c>
      <c r="C101" s="3" t="s">
        <v>68</v>
      </c>
      <c r="D101" s="14">
        <v>9499.4101148835834</v>
      </c>
      <c r="E101" s="14">
        <v>9854.768593125913</v>
      </c>
      <c r="F101" s="14">
        <v>13753.197500000002</v>
      </c>
      <c r="G101" s="14">
        <v>14514.167854150604</v>
      </c>
      <c r="H101" s="14">
        <v>16581.749972730344</v>
      </c>
      <c r="I101" s="14">
        <v>23100.058135655392</v>
      </c>
      <c r="J101" s="14">
        <v>29261.482250082478</v>
      </c>
      <c r="K101" s="14">
        <v>32599.848668703977</v>
      </c>
      <c r="L101" s="14">
        <v>34710.866813346678</v>
      </c>
      <c r="M101" s="14">
        <v>38384.767147552011</v>
      </c>
      <c r="N101" s="14">
        <v>39733.174999999996</v>
      </c>
    </row>
    <row r="102" spans="1:14" x14ac:dyDescent="0.3">
      <c r="A102" s="3" t="str">
        <f>INDEX('R1. Scenario specifications'!$C$11:$C$49,MATCH($B102,'R1. Scenario specifications'!$A$11:$A$49,0))</f>
        <v>Current 2DS, 2020 start, 'Expect the Unexpected'</v>
      </c>
      <c r="B102" s="3" t="s">
        <v>15</v>
      </c>
      <c r="C102" s="3" t="s">
        <v>69</v>
      </c>
      <c r="D102" s="14">
        <v>2379.5369238501598</v>
      </c>
      <c r="E102" s="14">
        <v>2356.8190162179026</v>
      </c>
      <c r="F102" s="14">
        <v>2308.8771400062938</v>
      </c>
      <c r="G102" s="14">
        <v>1503.8223551611873</v>
      </c>
      <c r="H102" s="14">
        <v>735.7921415590896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</row>
    <row r="103" spans="1:14" x14ac:dyDescent="0.3">
      <c r="A103" s="3" t="str">
        <f>INDEX('R1. Scenario specifications'!$C$11:$C$49,MATCH($B103,'R1. Scenario specifications'!$A$11:$A$49,0))</f>
        <v>Current 2DS, 2020 start, 'Expect the Unexpected'</v>
      </c>
      <c r="B103" s="3" t="s">
        <v>15</v>
      </c>
      <c r="C103" s="3" t="s">
        <v>70</v>
      </c>
      <c r="D103" s="14">
        <v>67.937052631788802</v>
      </c>
      <c r="E103" s="14">
        <v>458.66984800047192</v>
      </c>
      <c r="F103" s="14">
        <v>917.48161125092997</v>
      </c>
      <c r="G103" s="14">
        <v>4281.3973409693535</v>
      </c>
      <c r="H103" s="14">
        <v>14413.333051530297</v>
      </c>
      <c r="I103" s="14">
        <v>25366.249877192175</v>
      </c>
      <c r="J103" s="14">
        <v>32545.145563928483</v>
      </c>
      <c r="K103" s="14">
        <v>40572.43907884042</v>
      </c>
      <c r="L103" s="14">
        <v>56737.394697464544</v>
      </c>
      <c r="M103" s="14">
        <v>86904.478439008482</v>
      </c>
      <c r="N103" s="14">
        <v>98890.44400587058</v>
      </c>
    </row>
    <row r="104" spans="1:14" x14ac:dyDescent="0.3">
      <c r="A104" s="3" t="str">
        <f>INDEX('R1. Scenario specifications'!$C$11:$C$49,MATCH($B104,'R1. Scenario specifications'!$A$11:$A$49,0))</f>
        <v>Current 2DS, 2020 start, 'Expect the Unexpected'</v>
      </c>
      <c r="B104" s="3" t="s">
        <v>15</v>
      </c>
      <c r="C104" s="3" t="s">
        <v>71</v>
      </c>
      <c r="D104" s="14">
        <v>0.68787021919935687</v>
      </c>
      <c r="E104" s="14">
        <v>0.6257617671977489</v>
      </c>
      <c r="F104" s="14">
        <v>0.52638824399517514</v>
      </c>
      <c r="G104" s="14">
        <v>0.35092549599678308</v>
      </c>
      <c r="H104" s="14">
        <v>0.17546274799839173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</row>
    <row r="105" spans="1:14" x14ac:dyDescent="0.3">
      <c r="A105" s="3" t="str">
        <f>INDEX('R1. Scenario specifications'!$C$11:$C$49,MATCH($B105,'R1. Scenario specifications'!$A$11:$A$49,0))</f>
        <v>Current 2DS, 2020 start, 'Expect the Unexpected'</v>
      </c>
      <c r="B105" s="3" t="s">
        <v>15</v>
      </c>
      <c r="C105" s="3" t="s">
        <v>75</v>
      </c>
      <c r="D105" s="14">
        <v>1.963099940637433</v>
      </c>
      <c r="E105" s="14">
        <v>1.7858497922310126</v>
      </c>
      <c r="F105" s="14">
        <v>1.5022495547807513</v>
      </c>
      <c r="G105" s="14">
        <v>1.0014997031871673</v>
      </c>
      <c r="H105" s="14">
        <v>0.50074985159358421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</row>
    <row r="106" spans="1:14" x14ac:dyDescent="0.3">
      <c r="A106" s="3" t="str">
        <f>INDEX('R1. Scenario specifications'!$C$11:$C$49,MATCH($B106,'R1. Scenario specifications'!$A$11:$A$49,0))</f>
        <v>Current 2DS, 2020 start, 'Expect the Unexpected'</v>
      </c>
      <c r="B106" s="3" t="s">
        <v>15</v>
      </c>
      <c r="C106" s="3" t="s">
        <v>72</v>
      </c>
      <c r="D106" s="14">
        <v>1517.4635089937533</v>
      </c>
      <c r="E106" s="14">
        <v>1704.9418897085425</v>
      </c>
      <c r="F106" s="14">
        <v>2685.5545190640855</v>
      </c>
      <c r="G106" s="14">
        <v>11687.103641782611</v>
      </c>
      <c r="H106" s="14">
        <v>27133.166085332879</v>
      </c>
      <c r="I106" s="14">
        <v>35070.13325460851</v>
      </c>
      <c r="J106" s="14">
        <v>47531.225316239877</v>
      </c>
      <c r="K106" s="14">
        <v>61757.030217582171</v>
      </c>
      <c r="L106" s="14">
        <v>89103.143474557583</v>
      </c>
      <c r="M106" s="14">
        <v>143091.26545193396</v>
      </c>
      <c r="N106" s="14">
        <v>181138.44005837044</v>
      </c>
    </row>
    <row r="107" spans="1:14" x14ac:dyDescent="0.3">
      <c r="A107" s="3" t="str">
        <f>INDEX('R1. Scenario specifications'!$C$11:$C$49,MATCH($B107,'R1. Scenario specifications'!$A$11:$A$49,0))</f>
        <v>Current 2DS, 2030 start, 'Expect the Unexpected' but with cheap energy efficiency</v>
      </c>
      <c r="B107" s="3" t="s">
        <v>16</v>
      </c>
      <c r="C107" s="3" t="s">
        <v>63</v>
      </c>
      <c r="D107" s="14">
        <v>225.44707509197985</v>
      </c>
      <c r="E107" s="14">
        <v>432.13326707926797</v>
      </c>
      <c r="F107" s="14">
        <v>2791.4850951746125</v>
      </c>
      <c r="G107" s="14">
        <v>10791.541692619947</v>
      </c>
      <c r="H107" s="14">
        <v>13119.31315682875</v>
      </c>
      <c r="I107" s="14">
        <v>15182.411583100751</v>
      </c>
      <c r="J107" s="14">
        <v>8881.573586957642</v>
      </c>
      <c r="K107" s="14">
        <v>3940.4759006496561</v>
      </c>
      <c r="L107" s="14">
        <v>259.92493562576215</v>
      </c>
      <c r="M107" s="14">
        <v>70.975556904314999</v>
      </c>
      <c r="N107" s="14">
        <v>88.759500056411994</v>
      </c>
    </row>
    <row r="108" spans="1:14" x14ac:dyDescent="0.3">
      <c r="A108" s="3" t="str">
        <f>INDEX('R1. Scenario specifications'!$C$11:$C$49,MATCH($B108,'R1. Scenario specifications'!$A$11:$A$49,0))</f>
        <v>Current 2DS, 2030 start, 'Expect the Unexpected' but with cheap energy efficiency</v>
      </c>
      <c r="B108" s="3" t="s">
        <v>16</v>
      </c>
      <c r="C108" s="3" t="s">
        <v>73</v>
      </c>
      <c r="D108" s="14">
        <v>0</v>
      </c>
      <c r="E108" s="14">
        <v>0</v>
      </c>
      <c r="F108" s="14">
        <v>0</v>
      </c>
      <c r="G108" s="14">
        <v>0</v>
      </c>
      <c r="H108" s="14">
        <v>169.40948579919038</v>
      </c>
      <c r="I108" s="14">
        <v>1317.6720196478341</v>
      </c>
      <c r="J108" s="14">
        <v>8277.1308364059187</v>
      </c>
      <c r="K108" s="14">
        <v>28852.200465932332</v>
      </c>
      <c r="L108" s="14">
        <v>53187.847783859594</v>
      </c>
      <c r="M108" s="14">
        <v>71631.64497809505</v>
      </c>
      <c r="N108" s="14">
        <v>85383.651705687545</v>
      </c>
    </row>
    <row r="109" spans="1:14" x14ac:dyDescent="0.3">
      <c r="A109" s="3" t="str">
        <f>INDEX('R1. Scenario specifications'!$C$11:$C$49,MATCH($B109,'R1. Scenario specifications'!$A$11:$A$49,0))</f>
        <v>Current 2DS, 2030 start, 'Expect the Unexpected' but with cheap energy efficiency</v>
      </c>
      <c r="B109" s="3" t="s">
        <v>16</v>
      </c>
      <c r="C109" s="3" t="s">
        <v>64</v>
      </c>
      <c r="D109" s="14">
        <v>33040.313548549595</v>
      </c>
      <c r="E109" s="14">
        <v>42259.332050485427</v>
      </c>
      <c r="F109" s="14">
        <v>32172.508335863538</v>
      </c>
      <c r="G109" s="14">
        <v>29995.093630544216</v>
      </c>
      <c r="H109" s="14">
        <v>9335.0939205021441</v>
      </c>
      <c r="I109" s="14">
        <v>465.380187912461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</row>
    <row r="110" spans="1:14" x14ac:dyDescent="0.3">
      <c r="A110" s="3" t="str">
        <f>INDEX('R1. Scenario specifications'!$C$11:$C$49,MATCH($B110,'R1. Scenario specifications'!$A$11:$A$49,0))</f>
        <v>Current 2DS, 2030 start, 'Expect the Unexpected' but with cheap energy efficiency</v>
      </c>
      <c r="B110" s="3" t="s">
        <v>16</v>
      </c>
      <c r="C110" s="3" t="s">
        <v>65</v>
      </c>
      <c r="D110" s="14">
        <v>14597.074835304187</v>
      </c>
      <c r="E110" s="14">
        <v>15742.568461825351</v>
      </c>
      <c r="F110" s="14">
        <v>23692.881756781935</v>
      </c>
      <c r="G110" s="14">
        <v>18923.773890589895</v>
      </c>
      <c r="H110" s="14">
        <v>17542.140816776195</v>
      </c>
      <c r="I110" s="14">
        <v>7327.053334729826</v>
      </c>
      <c r="J110" s="14">
        <v>3658.398379099971</v>
      </c>
      <c r="K110" s="14">
        <v>2286.8854776521302</v>
      </c>
      <c r="L110" s="14">
        <v>516.40430256677428</v>
      </c>
      <c r="M110" s="14">
        <v>85.098268012191909</v>
      </c>
      <c r="N110" s="14">
        <v>0</v>
      </c>
    </row>
    <row r="111" spans="1:14" x14ac:dyDescent="0.3">
      <c r="A111" s="3" t="str">
        <f>INDEX('R1. Scenario specifications'!$C$11:$C$49,MATCH($B111,'R1. Scenario specifications'!$A$11:$A$49,0))</f>
        <v>Current 2DS, 2030 start, 'Expect the Unexpected' but with cheap energy efficiency</v>
      </c>
      <c r="B111" s="3" t="s">
        <v>16</v>
      </c>
      <c r="C111" s="3" t="s">
        <v>74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7.3551637802445597</v>
      </c>
      <c r="J111" s="14">
        <v>16.74242371871604</v>
      </c>
      <c r="K111" s="14">
        <v>376.4424806161577</v>
      </c>
      <c r="L111" s="14">
        <v>1542.7540295224019</v>
      </c>
      <c r="M111" s="14">
        <v>2671.8740705530972</v>
      </c>
      <c r="N111" s="14">
        <v>5008.248719386509</v>
      </c>
    </row>
    <row r="112" spans="1:14" x14ac:dyDescent="0.3">
      <c r="A112" s="3" t="str">
        <f>INDEX('R1. Scenario specifications'!$C$11:$C$49,MATCH($B112,'R1. Scenario specifications'!$A$11:$A$49,0))</f>
        <v>Current 2DS, 2030 start, 'Expect the Unexpected' but with cheap energy efficiency</v>
      </c>
      <c r="B112" s="3" t="s">
        <v>16</v>
      </c>
      <c r="C112" s="3" t="s">
        <v>66</v>
      </c>
      <c r="D112" s="14">
        <v>202.4480216544064</v>
      </c>
      <c r="E112" s="14">
        <v>194.35225063586262</v>
      </c>
      <c r="F112" s="14">
        <v>2690.096097794773</v>
      </c>
      <c r="G112" s="14">
        <v>4149.3454146666118</v>
      </c>
      <c r="H112" s="14">
        <v>5629.6294012502703</v>
      </c>
      <c r="I112" s="14">
        <v>7436.6039070837596</v>
      </c>
      <c r="J112" s="14">
        <v>9374.0325802145544</v>
      </c>
      <c r="K112" s="14">
        <v>9228.0896865563973</v>
      </c>
      <c r="L112" s="14">
        <v>9842.1714918672351</v>
      </c>
      <c r="M112" s="14">
        <v>13940.308351763455</v>
      </c>
      <c r="N112" s="14">
        <v>17739.428265446346</v>
      </c>
    </row>
    <row r="113" spans="1:14" x14ac:dyDescent="0.3">
      <c r="A113" s="3" t="str">
        <f>INDEX('R1. Scenario specifications'!$C$11:$C$49,MATCH($B113,'R1. Scenario specifications'!$A$11:$A$49,0))</f>
        <v>Current 2DS, 2030 start, 'Expect the Unexpected' but with cheap energy efficiency</v>
      </c>
      <c r="B113" s="3" t="s">
        <v>16</v>
      </c>
      <c r="C113" s="3" t="s">
        <v>67</v>
      </c>
      <c r="D113" s="14">
        <v>10255.125599999996</v>
      </c>
      <c r="E113" s="14">
        <v>10349.477981293301</v>
      </c>
      <c r="F113" s="14">
        <v>14634.999767850808</v>
      </c>
      <c r="G113" s="14">
        <v>17168.548108229523</v>
      </c>
      <c r="H113" s="14">
        <v>19461.980262769441</v>
      </c>
      <c r="I113" s="14">
        <v>22744.778370166074</v>
      </c>
      <c r="J113" s="14">
        <v>24327.126201357954</v>
      </c>
      <c r="K113" s="14">
        <v>24304.162306190956</v>
      </c>
      <c r="L113" s="14">
        <v>25595.362647791204</v>
      </c>
      <c r="M113" s="14">
        <v>31993.667579705103</v>
      </c>
      <c r="N113" s="14">
        <v>35185.698194486977</v>
      </c>
    </row>
    <row r="114" spans="1:14" x14ac:dyDescent="0.3">
      <c r="A114" s="3" t="str">
        <f>INDEX('R1. Scenario specifications'!$C$11:$C$49,MATCH($B114,'R1. Scenario specifications'!$A$11:$A$49,0))</f>
        <v>Current 2DS, 2030 start, 'Expect the Unexpected' but with cheap energy efficiency</v>
      </c>
      <c r="B114" s="3" t="s">
        <v>16</v>
      </c>
      <c r="C114" s="3" t="s">
        <v>68</v>
      </c>
      <c r="D114" s="14">
        <v>9499.4101148835834</v>
      </c>
      <c r="E114" s="14">
        <v>9854.768593125913</v>
      </c>
      <c r="F114" s="14">
        <v>13753.197500000002</v>
      </c>
      <c r="G114" s="14">
        <v>14514.167854150606</v>
      </c>
      <c r="H114" s="14">
        <v>15191.631806438927</v>
      </c>
      <c r="I114" s="14">
        <v>21456.309859441822</v>
      </c>
      <c r="J114" s="14">
        <v>27472.333715478202</v>
      </c>
      <c r="K114" s="14">
        <v>30620.062634624104</v>
      </c>
      <c r="L114" s="14">
        <v>32168.05608279469</v>
      </c>
      <c r="M114" s="14">
        <v>37908.53</v>
      </c>
      <c r="N114" s="14">
        <v>39237.674999999996</v>
      </c>
    </row>
    <row r="115" spans="1:14" x14ac:dyDescent="0.3">
      <c r="A115" s="3" t="str">
        <f>INDEX('R1. Scenario specifications'!$C$11:$C$49,MATCH($B115,'R1. Scenario specifications'!$A$11:$A$49,0))</f>
        <v>Current 2DS, 2030 start, 'Expect the Unexpected' but with cheap energy efficiency</v>
      </c>
      <c r="B115" s="3" t="s">
        <v>16</v>
      </c>
      <c r="C115" s="3" t="s">
        <v>69</v>
      </c>
      <c r="D115" s="14">
        <v>2379.5369238501598</v>
      </c>
      <c r="E115" s="14">
        <v>2356.8190162179026</v>
      </c>
      <c r="F115" s="14">
        <v>2308.8771400062938</v>
      </c>
      <c r="G115" s="14">
        <v>1516.5761695611868</v>
      </c>
      <c r="H115" s="14">
        <v>737.6469333190895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</row>
    <row r="116" spans="1:14" x14ac:dyDescent="0.3">
      <c r="A116" s="3" t="str">
        <f>INDEX('R1. Scenario specifications'!$C$11:$C$49,MATCH($B116,'R1. Scenario specifications'!$A$11:$A$49,0))</f>
        <v>Current 2DS, 2030 start, 'Expect the Unexpected' but with cheap energy efficiency</v>
      </c>
      <c r="B116" s="3" t="s">
        <v>16</v>
      </c>
      <c r="C116" s="3" t="s">
        <v>70</v>
      </c>
      <c r="D116" s="14">
        <v>67.937052631788802</v>
      </c>
      <c r="E116" s="14">
        <v>458.66984800047192</v>
      </c>
      <c r="F116" s="14">
        <v>917.48161125092997</v>
      </c>
      <c r="G116" s="14">
        <v>2670.3548260954558</v>
      </c>
      <c r="H116" s="14">
        <v>10868.542474992475</v>
      </c>
      <c r="I116" s="14">
        <v>23061.054037820977</v>
      </c>
      <c r="J116" s="14">
        <v>30060.683597181574</v>
      </c>
      <c r="K116" s="14">
        <v>36634.792794821391</v>
      </c>
      <c r="L116" s="14">
        <v>46216.589244839983</v>
      </c>
      <c r="M116" s="14">
        <v>66637.346687781202</v>
      </c>
      <c r="N116" s="14">
        <v>82885.484385675329</v>
      </c>
    </row>
    <row r="117" spans="1:14" x14ac:dyDescent="0.3">
      <c r="A117" s="3" t="str">
        <f>INDEX('R1. Scenario specifications'!$C$11:$C$49,MATCH($B117,'R1. Scenario specifications'!$A$11:$A$49,0))</f>
        <v>Current 2DS, 2030 start, 'Expect the Unexpected' but with cheap energy efficiency</v>
      </c>
      <c r="B117" s="3" t="s">
        <v>16</v>
      </c>
      <c r="C117" s="3" t="s">
        <v>71</v>
      </c>
      <c r="D117" s="14">
        <v>0.68787021919935687</v>
      </c>
      <c r="E117" s="14">
        <v>0.6257617671977489</v>
      </c>
      <c r="F117" s="14">
        <v>0.52638824399517514</v>
      </c>
      <c r="G117" s="14">
        <v>0.35092549599678308</v>
      </c>
      <c r="H117" s="14">
        <v>0.17546274799839173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</row>
    <row r="118" spans="1:14" x14ac:dyDescent="0.3">
      <c r="A118" s="3" t="str">
        <f>INDEX('R1. Scenario specifications'!$C$11:$C$49,MATCH($B118,'R1. Scenario specifications'!$A$11:$A$49,0))</f>
        <v>Current 2DS, 2030 start, 'Expect the Unexpected' but with cheap energy efficiency</v>
      </c>
      <c r="B118" s="3" t="s">
        <v>16</v>
      </c>
      <c r="C118" s="3" t="s">
        <v>75</v>
      </c>
      <c r="D118" s="14">
        <v>1.963099940637433</v>
      </c>
      <c r="E118" s="14">
        <v>1.7858497922310126</v>
      </c>
      <c r="F118" s="14">
        <v>1.5022495547807513</v>
      </c>
      <c r="G118" s="14">
        <v>1.0014997031871682</v>
      </c>
      <c r="H118" s="14">
        <v>0.50074985159358421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</row>
    <row r="119" spans="1:14" x14ac:dyDescent="0.3">
      <c r="A119" s="3" t="str">
        <f>INDEX('R1. Scenario specifications'!$C$11:$C$49,MATCH($B119,'R1. Scenario specifications'!$A$11:$A$49,0))</f>
        <v>Current 2DS, 2030 start, 'Expect the Unexpected' but with cheap energy efficiency</v>
      </c>
      <c r="B119" s="3" t="s">
        <v>16</v>
      </c>
      <c r="C119" s="3" t="s">
        <v>72</v>
      </c>
      <c r="D119" s="14">
        <v>1517.4635089937533</v>
      </c>
      <c r="E119" s="14">
        <v>1704.9418897085425</v>
      </c>
      <c r="F119" s="14">
        <v>2685.5545190640855</v>
      </c>
      <c r="G119" s="14">
        <v>10882.32058635127</v>
      </c>
      <c r="H119" s="14">
        <v>26002.35018229884</v>
      </c>
      <c r="I119" s="14">
        <v>31081.067019643015</v>
      </c>
      <c r="J119" s="14">
        <v>40716.403919760021</v>
      </c>
      <c r="K119" s="14">
        <v>51544.330065041286</v>
      </c>
      <c r="L119" s="14">
        <v>70551.245724257824</v>
      </c>
      <c r="M119" s="14">
        <v>112971.96628387233</v>
      </c>
      <c r="N119" s="14">
        <v>154869.0809179598</v>
      </c>
    </row>
    <row r="120" spans="1:14" x14ac:dyDescent="0.3">
      <c r="A120" s="3" t="str">
        <f>INDEX('R1. Scenario specifications'!$C$11:$C$49,MATCH($B120,'R1. Scenario specifications'!$A$11:$A$49,0))</f>
        <v>Current 2DS, 2020 start, 'Expect the Unexpected' but with most conservative biomass CCS / NET technology cost assumptions</v>
      </c>
      <c r="B120" s="3" t="s">
        <v>17</v>
      </c>
      <c r="C120" s="3" t="s">
        <v>63</v>
      </c>
      <c r="D120" s="14">
        <v>225.44707509197985</v>
      </c>
      <c r="E120" s="14">
        <v>432.13326707926797</v>
      </c>
      <c r="F120" s="14">
        <v>2791.4850951746125</v>
      </c>
      <c r="G120" s="14">
        <v>12007.243807728046</v>
      </c>
      <c r="H120" s="14">
        <v>14114.463019013154</v>
      </c>
      <c r="I120" s="14">
        <v>15402.067868900389</v>
      </c>
      <c r="J120" s="14">
        <v>7327.3704376612641</v>
      </c>
      <c r="K120" s="14">
        <v>3875.4002436304036</v>
      </c>
      <c r="L120" s="14">
        <v>254.09748709673599</v>
      </c>
      <c r="M120" s="14">
        <v>72.770101359648194</v>
      </c>
      <c r="N120" s="14">
        <v>70.795401292520793</v>
      </c>
    </row>
    <row r="121" spans="1:14" x14ac:dyDescent="0.3">
      <c r="A121" s="3" t="str">
        <f>INDEX('R1. Scenario specifications'!$C$11:$C$49,MATCH($B121,'R1. Scenario specifications'!$A$11:$A$49,0))</f>
        <v>Current 2DS, 2020 start, 'Expect the Unexpected' but with most conservative biomass CCS / NET technology cost assumptions</v>
      </c>
      <c r="B121" s="3" t="s">
        <v>17</v>
      </c>
      <c r="C121" s="3" t="s">
        <v>73</v>
      </c>
      <c r="D121" s="14">
        <v>0</v>
      </c>
      <c r="E121" s="14">
        <v>0</v>
      </c>
      <c r="F121" s="14">
        <v>0</v>
      </c>
      <c r="G121" s="14">
        <v>127.23523147499051</v>
      </c>
      <c r="H121" s="14">
        <v>840.67892214988944</v>
      </c>
      <c r="I121" s="14">
        <v>4212.2361080982364</v>
      </c>
      <c r="J121" s="14">
        <v>18878.016812722497</v>
      </c>
      <c r="K121" s="14">
        <v>38731.652983062871</v>
      </c>
      <c r="L121" s="14">
        <v>60449.623727239268</v>
      </c>
      <c r="M121" s="14">
        <v>79628.594082404335</v>
      </c>
      <c r="N121" s="14">
        <v>86840.186445453524</v>
      </c>
    </row>
    <row r="122" spans="1:14" x14ac:dyDescent="0.3">
      <c r="A122" s="3" t="str">
        <f>INDEX('R1. Scenario specifications'!$C$11:$C$49,MATCH($B122,'R1. Scenario specifications'!$A$11:$A$49,0))</f>
        <v>Current 2DS, 2020 start, 'Expect the Unexpected' but with most conservative biomass CCS / NET technology cost assumptions</v>
      </c>
      <c r="B122" s="3" t="s">
        <v>17</v>
      </c>
      <c r="C122" s="3" t="s">
        <v>64</v>
      </c>
      <c r="D122" s="14">
        <v>33040.313548549595</v>
      </c>
      <c r="E122" s="14">
        <v>42259.332050485427</v>
      </c>
      <c r="F122" s="14">
        <v>32172.508335863538</v>
      </c>
      <c r="G122" s="14">
        <v>20835.601701078842</v>
      </c>
      <c r="H122" s="14">
        <v>5723.4671743102072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</row>
    <row r="123" spans="1:14" x14ac:dyDescent="0.3">
      <c r="A123" s="3" t="str">
        <f>INDEX('R1. Scenario specifications'!$C$11:$C$49,MATCH($B123,'R1. Scenario specifications'!$A$11:$A$49,0))</f>
        <v>Current 2DS, 2020 start, 'Expect the Unexpected' but with most conservative biomass CCS / NET technology cost assumptions</v>
      </c>
      <c r="B123" s="3" t="s">
        <v>17</v>
      </c>
      <c r="C123" s="3" t="s">
        <v>65</v>
      </c>
      <c r="D123" s="14">
        <v>14597.074835304187</v>
      </c>
      <c r="E123" s="14">
        <v>15742.568461825351</v>
      </c>
      <c r="F123" s="14">
        <v>23692.881756781935</v>
      </c>
      <c r="G123" s="14">
        <v>19106.895942196497</v>
      </c>
      <c r="H123" s="14">
        <v>17348.608841017907</v>
      </c>
      <c r="I123" s="14">
        <v>10142.097061667251</v>
      </c>
      <c r="J123" s="14">
        <v>6607.7550978502286</v>
      </c>
      <c r="K123" s="14">
        <v>3385.1636780459135</v>
      </c>
      <c r="L123" s="14">
        <v>919.36645561155865</v>
      </c>
      <c r="M123" s="14">
        <v>0</v>
      </c>
      <c r="N123" s="14">
        <v>0</v>
      </c>
    </row>
    <row r="124" spans="1:14" x14ac:dyDescent="0.3">
      <c r="A124" s="3" t="str">
        <f>INDEX('R1. Scenario specifications'!$C$11:$C$49,MATCH($B124,'R1. Scenario specifications'!$A$11:$A$49,0))</f>
        <v>Current 2DS, 2020 start, 'Expect the Unexpected' but with most conservative biomass CCS / NET technology cost assumptions</v>
      </c>
      <c r="B124" s="3" t="s">
        <v>17</v>
      </c>
      <c r="C124" s="3" t="s">
        <v>74</v>
      </c>
      <c r="D124" s="14">
        <v>0</v>
      </c>
      <c r="E124" s="14">
        <v>0</v>
      </c>
      <c r="F124" s="14">
        <v>0</v>
      </c>
      <c r="G124" s="14">
        <v>0</v>
      </c>
      <c r="H124" s="14">
        <v>0</v>
      </c>
      <c r="I124" s="14">
        <v>14.142475362135142</v>
      </c>
      <c r="J124" s="14">
        <v>24.786969076874811</v>
      </c>
      <c r="K124" s="14">
        <v>494.84243020208919</v>
      </c>
      <c r="L124" s="14">
        <v>3660.2451602136798</v>
      </c>
      <c r="M124" s="14">
        <v>7977.1205888328459</v>
      </c>
      <c r="N124" s="14">
        <v>9782.9207629431348</v>
      </c>
    </row>
    <row r="125" spans="1:14" x14ac:dyDescent="0.3">
      <c r="A125" s="3" t="str">
        <f>INDEX('R1. Scenario specifications'!$C$11:$C$49,MATCH($B125,'R1. Scenario specifications'!$A$11:$A$49,0))</f>
        <v>Current 2DS, 2020 start, 'Expect the Unexpected' but with most conservative biomass CCS / NET technology cost assumptions</v>
      </c>
      <c r="B125" s="3" t="s">
        <v>17</v>
      </c>
      <c r="C125" s="3" t="s">
        <v>66</v>
      </c>
      <c r="D125" s="14">
        <v>202.4480216544064</v>
      </c>
      <c r="E125" s="14">
        <v>194.35225063586262</v>
      </c>
      <c r="F125" s="14">
        <v>2690.096097794773</v>
      </c>
      <c r="G125" s="14">
        <v>4159.862749522521</v>
      </c>
      <c r="H125" s="14">
        <v>5663.1266090847057</v>
      </c>
      <c r="I125" s="14">
        <v>7894.0583648156698</v>
      </c>
      <c r="J125" s="14">
        <v>11659.728086608227</v>
      </c>
      <c r="K125" s="14">
        <v>13355.232511599012</v>
      </c>
      <c r="L125" s="14">
        <v>15138.949117791521</v>
      </c>
      <c r="M125" s="14">
        <v>22343.019111938327</v>
      </c>
      <c r="N125" s="14">
        <v>24932.230162241503</v>
      </c>
    </row>
    <row r="126" spans="1:14" x14ac:dyDescent="0.3">
      <c r="A126" s="3" t="str">
        <f>INDEX('R1. Scenario specifications'!$C$11:$C$49,MATCH($B126,'R1. Scenario specifications'!$A$11:$A$49,0))</f>
        <v>Current 2DS, 2020 start, 'Expect the Unexpected' but with most conservative biomass CCS / NET technology cost assumptions</v>
      </c>
      <c r="B126" s="3" t="s">
        <v>17</v>
      </c>
      <c r="C126" s="3" t="s">
        <v>67</v>
      </c>
      <c r="D126" s="14">
        <v>10255.125599999996</v>
      </c>
      <c r="E126" s="14">
        <v>10349.477981293301</v>
      </c>
      <c r="F126" s="14">
        <v>14634.999767850808</v>
      </c>
      <c r="G126" s="14">
        <v>17355.174076544867</v>
      </c>
      <c r="H126" s="14">
        <v>20416.308960018265</v>
      </c>
      <c r="I126" s="14">
        <v>23768.019094946678</v>
      </c>
      <c r="J126" s="14">
        <v>25621.951765147616</v>
      </c>
      <c r="K126" s="14">
        <v>26841.392394082759</v>
      </c>
      <c r="L126" s="14">
        <v>29798.693119658794</v>
      </c>
      <c r="M126" s="14">
        <v>36311.466142485588</v>
      </c>
      <c r="N126" s="14">
        <v>38620.98578924813</v>
      </c>
    </row>
    <row r="127" spans="1:14" x14ac:dyDescent="0.3">
      <c r="A127" s="3" t="str">
        <f>INDEX('R1. Scenario specifications'!$C$11:$C$49,MATCH($B127,'R1. Scenario specifications'!$A$11:$A$49,0))</f>
        <v>Current 2DS, 2020 start, 'Expect the Unexpected' but with most conservative biomass CCS / NET technology cost assumptions</v>
      </c>
      <c r="B127" s="3" t="s">
        <v>17</v>
      </c>
      <c r="C127" s="3" t="s">
        <v>68</v>
      </c>
      <c r="D127" s="14">
        <v>9499.4101148835834</v>
      </c>
      <c r="E127" s="14">
        <v>9854.768593125913</v>
      </c>
      <c r="F127" s="14">
        <v>13753.197500000002</v>
      </c>
      <c r="G127" s="14">
        <v>14514.167854150604</v>
      </c>
      <c r="H127" s="14">
        <v>16687.999972730344</v>
      </c>
      <c r="I127" s="14">
        <v>23261.469892496461</v>
      </c>
      <c r="J127" s="14">
        <v>29244.228200795176</v>
      </c>
      <c r="K127" s="14">
        <v>32599.848668703977</v>
      </c>
      <c r="L127" s="14">
        <v>34709.36721196377</v>
      </c>
      <c r="M127" s="14">
        <v>38385.301352004171</v>
      </c>
      <c r="N127" s="14">
        <v>39733.174999999996</v>
      </c>
    </row>
    <row r="128" spans="1:14" x14ac:dyDescent="0.3">
      <c r="A128" s="3" t="str">
        <f>INDEX('R1. Scenario specifications'!$C$11:$C$49,MATCH($B128,'R1. Scenario specifications'!$A$11:$A$49,0))</f>
        <v>Current 2DS, 2020 start, 'Expect the Unexpected' but with most conservative biomass CCS / NET technology cost assumptions</v>
      </c>
      <c r="B128" s="3" t="s">
        <v>17</v>
      </c>
      <c r="C128" s="3" t="s">
        <v>69</v>
      </c>
      <c r="D128" s="14">
        <v>2379.5369238501598</v>
      </c>
      <c r="E128" s="14">
        <v>2356.8190162179026</v>
      </c>
      <c r="F128" s="14">
        <v>2308.8771400062938</v>
      </c>
      <c r="G128" s="14">
        <v>1503.8223551611868</v>
      </c>
      <c r="H128" s="14">
        <v>735.79214155908949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</row>
    <row r="129" spans="1:14" x14ac:dyDescent="0.3">
      <c r="A129" s="3" t="str">
        <f>INDEX('R1. Scenario specifications'!$C$11:$C$49,MATCH($B129,'R1. Scenario specifications'!$A$11:$A$49,0))</f>
        <v>Current 2DS, 2020 start, 'Expect the Unexpected' but with most conservative biomass CCS / NET technology cost assumptions</v>
      </c>
      <c r="B129" s="3" t="s">
        <v>17</v>
      </c>
      <c r="C129" s="3" t="s">
        <v>70</v>
      </c>
      <c r="D129" s="14">
        <v>67.937052631788802</v>
      </c>
      <c r="E129" s="14">
        <v>458.66984800047192</v>
      </c>
      <c r="F129" s="14">
        <v>917.48161125092997</v>
      </c>
      <c r="G129" s="14">
        <v>4301.3818404184058</v>
      </c>
      <c r="H129" s="14">
        <v>14453.305435552735</v>
      </c>
      <c r="I129" s="14">
        <v>25492.645001160239</v>
      </c>
      <c r="J129" s="14">
        <v>32695.201151518897</v>
      </c>
      <c r="K129" s="14">
        <v>41110.004898228741</v>
      </c>
      <c r="L129" s="14">
        <v>56612.512094721933</v>
      </c>
      <c r="M129" s="14">
        <v>86534.263220009132</v>
      </c>
      <c r="N129" s="14">
        <v>98289.00939559855</v>
      </c>
    </row>
    <row r="130" spans="1:14" x14ac:dyDescent="0.3">
      <c r="A130" s="3" t="str">
        <f>INDEX('R1. Scenario specifications'!$C$11:$C$49,MATCH($B130,'R1. Scenario specifications'!$A$11:$A$49,0))</f>
        <v>Current 2DS, 2020 start, 'Expect the Unexpected' but with most conservative biomass CCS / NET technology cost assumptions</v>
      </c>
      <c r="B130" s="3" t="s">
        <v>17</v>
      </c>
      <c r="C130" s="3" t="s">
        <v>71</v>
      </c>
      <c r="D130" s="14">
        <v>0.68787021919935687</v>
      </c>
      <c r="E130" s="14">
        <v>0.6257617671977489</v>
      </c>
      <c r="F130" s="14">
        <v>0.52638824399517514</v>
      </c>
      <c r="G130" s="14">
        <v>0.35092549599678308</v>
      </c>
      <c r="H130" s="14">
        <v>0.17546274799839173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</row>
    <row r="131" spans="1:14" x14ac:dyDescent="0.3">
      <c r="A131" s="3" t="str">
        <f>INDEX('R1. Scenario specifications'!$C$11:$C$49,MATCH($B131,'R1. Scenario specifications'!$A$11:$A$49,0))</f>
        <v>Current 2DS, 2020 start, 'Expect the Unexpected' but with most conservative biomass CCS / NET technology cost assumptions</v>
      </c>
      <c r="B131" s="3" t="s">
        <v>17</v>
      </c>
      <c r="C131" s="3" t="s">
        <v>75</v>
      </c>
      <c r="D131" s="14">
        <v>1.963099940637433</v>
      </c>
      <c r="E131" s="14">
        <v>1.7858497922310126</v>
      </c>
      <c r="F131" s="14">
        <v>1.5022495547807513</v>
      </c>
      <c r="G131" s="14">
        <v>1.0014997031871682</v>
      </c>
      <c r="H131" s="14">
        <v>0.50074985159358421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</row>
    <row r="132" spans="1:14" x14ac:dyDescent="0.3">
      <c r="A132" s="3" t="str">
        <f>INDEX('R1. Scenario specifications'!$C$11:$C$49,MATCH($B132,'R1. Scenario specifications'!$A$11:$A$49,0))</f>
        <v>Current 2DS, 2020 start, 'Expect the Unexpected' but with most conservative biomass CCS / NET technology cost assumptions</v>
      </c>
      <c r="B132" s="3" t="s">
        <v>17</v>
      </c>
      <c r="C132" s="3" t="s">
        <v>72</v>
      </c>
      <c r="D132" s="14">
        <v>1517.4635089937533</v>
      </c>
      <c r="E132" s="14">
        <v>1704.9418897085425</v>
      </c>
      <c r="F132" s="14">
        <v>2685.5545190640855</v>
      </c>
      <c r="G132" s="14">
        <v>11805.080446473738</v>
      </c>
      <c r="H132" s="14">
        <v>27324.825223641485</v>
      </c>
      <c r="I132" s="14">
        <v>35186.337362124374</v>
      </c>
      <c r="J132" s="14">
        <v>47526.721491369659</v>
      </c>
      <c r="K132" s="14">
        <v>61987.5009742806</v>
      </c>
      <c r="L132" s="14">
        <v>89446.127151324763</v>
      </c>
      <c r="M132" s="14">
        <v>143567.00978241258</v>
      </c>
      <c r="N132" s="14">
        <v>181297.26989258069</v>
      </c>
    </row>
    <row r="133" spans="1:14" x14ac:dyDescent="0.3">
      <c r="A133" s="3" t="str">
        <f>INDEX('R1. Scenario specifications'!$C$11:$C$49,MATCH($B133,'R1. Scenario specifications'!$A$11:$A$49,0))</f>
        <v>Current 2DS, 2030 start, 'Expect the Unexpected' but with most conservative biomass CCS / NET technology cost assumptions</v>
      </c>
      <c r="B133" s="3" t="s">
        <v>18</v>
      </c>
      <c r="C133" s="3" t="s">
        <v>63</v>
      </c>
      <c r="D133" s="14">
        <v>225.44707509197985</v>
      </c>
      <c r="E133" s="14">
        <v>432.13326707926797</v>
      </c>
      <c r="F133" s="14">
        <v>2791.4850951746125</v>
      </c>
      <c r="G133" s="14">
        <v>10791.541692619947</v>
      </c>
      <c r="H133" s="14">
        <v>15013.428015613285</v>
      </c>
      <c r="I133" s="14">
        <v>14639.634401519903</v>
      </c>
      <c r="J133" s="14">
        <v>8150.9321798250194</v>
      </c>
      <c r="K133" s="14">
        <v>2576.6357975678957</v>
      </c>
      <c r="L133" s="14">
        <v>257.4077736177382</v>
      </c>
      <c r="M133" s="14">
        <v>72.924045677437192</v>
      </c>
      <c r="N133" s="14">
        <v>72.924045677437192</v>
      </c>
    </row>
    <row r="134" spans="1:14" x14ac:dyDescent="0.3">
      <c r="A134" s="3" t="str">
        <f>INDEX('R1. Scenario specifications'!$C$11:$C$49,MATCH($B134,'R1. Scenario specifications'!$A$11:$A$49,0))</f>
        <v>Current 2DS, 2030 start, 'Expect the Unexpected' but with most conservative biomass CCS / NET technology cost assumptions</v>
      </c>
      <c r="B134" s="3" t="s">
        <v>18</v>
      </c>
      <c r="C134" s="3" t="s">
        <v>73</v>
      </c>
      <c r="D134" s="14">
        <v>0</v>
      </c>
      <c r="E134" s="14">
        <v>0</v>
      </c>
      <c r="F134" s="14">
        <v>0</v>
      </c>
      <c r="G134" s="14">
        <v>0</v>
      </c>
      <c r="H134" s="14">
        <v>264.79357968131234</v>
      </c>
      <c r="I134" s="14">
        <v>2095.5085663097975</v>
      </c>
      <c r="J134" s="14">
        <v>12718.708624501089</v>
      </c>
      <c r="K134" s="14">
        <v>36421.605596471491</v>
      </c>
      <c r="L134" s="14">
        <v>63506.927843127334</v>
      </c>
      <c r="M134" s="14">
        <v>80943.3263598341</v>
      </c>
      <c r="N134" s="14">
        <v>87898.239917127052</v>
      </c>
    </row>
    <row r="135" spans="1:14" x14ac:dyDescent="0.3">
      <c r="A135" s="3" t="str">
        <f>INDEX('R1. Scenario specifications'!$C$11:$C$49,MATCH($B135,'R1. Scenario specifications'!$A$11:$A$49,0))</f>
        <v>Current 2DS, 2030 start, 'Expect the Unexpected' but with most conservative biomass CCS / NET technology cost assumptions</v>
      </c>
      <c r="B135" s="3" t="s">
        <v>18</v>
      </c>
      <c r="C135" s="3" t="s">
        <v>64</v>
      </c>
      <c r="D135" s="14">
        <v>33040.313548549595</v>
      </c>
      <c r="E135" s="14">
        <v>42259.332050485427</v>
      </c>
      <c r="F135" s="14">
        <v>32172.508335863538</v>
      </c>
      <c r="G135" s="14">
        <v>29995.093630544216</v>
      </c>
      <c r="H135" s="14">
        <v>8264.0520840352074</v>
      </c>
      <c r="I135" s="14">
        <v>465.380187912461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</row>
    <row r="136" spans="1:14" x14ac:dyDescent="0.3">
      <c r="A136" s="3" t="str">
        <f>INDEX('R1. Scenario specifications'!$C$11:$C$49,MATCH($B136,'R1. Scenario specifications'!$A$11:$A$49,0))</f>
        <v>Current 2DS, 2030 start, 'Expect the Unexpected' but with most conservative biomass CCS / NET technology cost assumptions</v>
      </c>
      <c r="B136" s="3" t="s">
        <v>18</v>
      </c>
      <c r="C136" s="3" t="s">
        <v>65</v>
      </c>
      <c r="D136" s="14">
        <v>14597.074835304187</v>
      </c>
      <c r="E136" s="14">
        <v>15742.568461825351</v>
      </c>
      <c r="F136" s="14">
        <v>23692.881756781935</v>
      </c>
      <c r="G136" s="14">
        <v>18923.773890589895</v>
      </c>
      <c r="H136" s="14">
        <v>19242.645428846437</v>
      </c>
      <c r="I136" s="14">
        <v>10581.02302088043</v>
      </c>
      <c r="J136" s="14">
        <v>7140.4596101319275</v>
      </c>
      <c r="K136" s="14">
        <v>3207.2003344323925</v>
      </c>
      <c r="L136" s="14">
        <v>881.65774563805439</v>
      </c>
      <c r="M136" s="14">
        <v>0</v>
      </c>
      <c r="N136" s="14">
        <v>0</v>
      </c>
    </row>
    <row r="137" spans="1:14" x14ac:dyDescent="0.3">
      <c r="A137" s="3" t="str">
        <f>INDEX('R1. Scenario specifications'!$C$11:$C$49,MATCH($B137,'R1. Scenario specifications'!$A$11:$A$49,0))</f>
        <v>Current 2DS, 2030 start, 'Expect the Unexpected' but with most conservative biomass CCS / NET technology cost assumptions</v>
      </c>
      <c r="B137" s="3" t="s">
        <v>18</v>
      </c>
      <c r="C137" s="3" t="s">
        <v>74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60.864340901016782</v>
      </c>
      <c r="J137" s="14">
        <v>966.03940471822102</v>
      </c>
      <c r="K137" s="14">
        <v>1030.8306436903699</v>
      </c>
      <c r="L137" s="14">
        <v>3808.9589654962974</v>
      </c>
      <c r="M137" s="14">
        <v>7836.5076601807114</v>
      </c>
      <c r="N137" s="14">
        <v>9352.0556167049763</v>
      </c>
    </row>
    <row r="138" spans="1:14" x14ac:dyDescent="0.3">
      <c r="A138" s="3" t="str">
        <f>INDEX('R1. Scenario specifications'!$C$11:$C$49,MATCH($B138,'R1. Scenario specifications'!$A$11:$A$49,0))</f>
        <v>Current 2DS, 2030 start, 'Expect the Unexpected' but with most conservative biomass CCS / NET technology cost assumptions</v>
      </c>
      <c r="B138" s="3" t="s">
        <v>18</v>
      </c>
      <c r="C138" s="3" t="s">
        <v>66</v>
      </c>
      <c r="D138" s="14">
        <v>202.4480216544064</v>
      </c>
      <c r="E138" s="14">
        <v>194.35225063586262</v>
      </c>
      <c r="F138" s="14">
        <v>2690.096097794773</v>
      </c>
      <c r="G138" s="14">
        <v>4149.3454146666118</v>
      </c>
      <c r="H138" s="14">
        <v>5663.1284594398303</v>
      </c>
      <c r="I138" s="14">
        <v>8265.3992807127379</v>
      </c>
      <c r="J138" s="14">
        <v>13651.22139829029</v>
      </c>
      <c r="K138" s="14">
        <v>14016.80994347599</v>
      </c>
      <c r="L138" s="14">
        <v>15155.627828384342</v>
      </c>
      <c r="M138" s="14">
        <v>21935.278889019464</v>
      </c>
      <c r="N138" s="14">
        <v>27078.402941623965</v>
      </c>
    </row>
    <row r="139" spans="1:14" x14ac:dyDescent="0.3">
      <c r="A139" s="3" t="str">
        <f>INDEX('R1. Scenario specifications'!$C$11:$C$49,MATCH($B139,'R1. Scenario specifications'!$A$11:$A$49,0))</f>
        <v>Current 2DS, 2030 start, 'Expect the Unexpected' but with most conservative biomass CCS / NET technology cost assumptions</v>
      </c>
      <c r="B139" s="3" t="s">
        <v>18</v>
      </c>
      <c r="C139" s="3" t="s">
        <v>67</v>
      </c>
      <c r="D139" s="14">
        <v>10255.125599999996</v>
      </c>
      <c r="E139" s="14">
        <v>10349.477981293301</v>
      </c>
      <c r="F139" s="14">
        <v>14634.999767850808</v>
      </c>
      <c r="G139" s="14">
        <v>17168.548108229523</v>
      </c>
      <c r="H139" s="14">
        <v>19644.239865638818</v>
      </c>
      <c r="I139" s="14">
        <v>24704.407701364751</v>
      </c>
      <c r="J139" s="14">
        <v>26551.747726391695</v>
      </c>
      <c r="K139" s="14">
        <v>27481.332355712319</v>
      </c>
      <c r="L139" s="14">
        <v>29993.783203194394</v>
      </c>
      <c r="M139" s="14">
        <v>36569.015212914572</v>
      </c>
      <c r="N139" s="14">
        <v>38636.339546204013</v>
      </c>
    </row>
    <row r="140" spans="1:14" x14ac:dyDescent="0.3">
      <c r="A140" s="3" t="str">
        <f>INDEX('R1. Scenario specifications'!$C$11:$C$49,MATCH($B140,'R1. Scenario specifications'!$A$11:$A$49,0))</f>
        <v>Current 2DS, 2030 start, 'Expect the Unexpected' but with most conservative biomass CCS / NET technology cost assumptions</v>
      </c>
      <c r="B140" s="3" t="s">
        <v>18</v>
      </c>
      <c r="C140" s="3" t="s">
        <v>68</v>
      </c>
      <c r="D140" s="14">
        <v>9499.4101148835834</v>
      </c>
      <c r="E140" s="14">
        <v>9854.768593125913</v>
      </c>
      <c r="F140" s="14">
        <v>13753.197500000002</v>
      </c>
      <c r="G140" s="14">
        <v>14514.167854150606</v>
      </c>
      <c r="H140" s="14">
        <v>15191.631806438927</v>
      </c>
      <c r="I140" s="14">
        <v>23790.9476510352</v>
      </c>
      <c r="J140" s="14">
        <v>29256.773818393347</v>
      </c>
      <c r="K140" s="14">
        <v>32725.976656330131</v>
      </c>
      <c r="L140" s="14">
        <v>35725.380419297268</v>
      </c>
      <c r="M140" s="14">
        <v>38388.387576479392</v>
      </c>
      <c r="N140" s="14">
        <v>39733.174999999996</v>
      </c>
    </row>
    <row r="141" spans="1:14" x14ac:dyDescent="0.3">
      <c r="A141" s="3" t="str">
        <f>INDEX('R1. Scenario specifications'!$C$11:$C$49,MATCH($B141,'R1. Scenario specifications'!$A$11:$A$49,0))</f>
        <v>Current 2DS, 2030 start, 'Expect the Unexpected' but with most conservative biomass CCS / NET technology cost assumptions</v>
      </c>
      <c r="B141" s="3" t="s">
        <v>18</v>
      </c>
      <c r="C141" s="3" t="s">
        <v>69</v>
      </c>
      <c r="D141" s="14">
        <v>2379.5369238501598</v>
      </c>
      <c r="E141" s="14">
        <v>2356.8190162179026</v>
      </c>
      <c r="F141" s="14">
        <v>2308.8771400062938</v>
      </c>
      <c r="G141" s="14">
        <v>1516.5761695611868</v>
      </c>
      <c r="H141" s="14">
        <v>735.79214155908971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</row>
    <row r="142" spans="1:14" x14ac:dyDescent="0.3">
      <c r="A142" s="3" t="str">
        <f>INDEX('R1. Scenario specifications'!$C$11:$C$49,MATCH($B142,'R1. Scenario specifications'!$A$11:$A$49,0))</f>
        <v>Current 2DS, 2030 start, 'Expect the Unexpected' but with most conservative biomass CCS / NET technology cost assumptions</v>
      </c>
      <c r="B142" s="3" t="s">
        <v>18</v>
      </c>
      <c r="C142" s="3" t="s">
        <v>70</v>
      </c>
      <c r="D142" s="14">
        <v>67.937052631788802</v>
      </c>
      <c r="E142" s="14">
        <v>458.66984800047192</v>
      </c>
      <c r="F142" s="14">
        <v>917.48161125092997</v>
      </c>
      <c r="G142" s="14">
        <v>2670.3548260954558</v>
      </c>
      <c r="H142" s="14">
        <v>11027.414683205621</v>
      </c>
      <c r="I142" s="14">
        <v>25275.287596769827</v>
      </c>
      <c r="J142" s="14">
        <v>33811.082953572892</v>
      </c>
      <c r="K142" s="14">
        <v>42283.503863837039</v>
      </c>
      <c r="L142" s="14">
        <v>59895.313307255608</v>
      </c>
      <c r="M142" s="14">
        <v>91066.989684998931</v>
      </c>
      <c r="N142" s="14">
        <v>101215.64113769759</v>
      </c>
    </row>
    <row r="143" spans="1:14" x14ac:dyDescent="0.3">
      <c r="A143" s="3" t="str">
        <f>INDEX('R1. Scenario specifications'!$C$11:$C$49,MATCH($B143,'R1. Scenario specifications'!$A$11:$A$49,0))</f>
        <v>Current 2DS, 2030 start, 'Expect the Unexpected' but with most conservative biomass CCS / NET technology cost assumptions</v>
      </c>
      <c r="B143" s="3" t="s">
        <v>18</v>
      </c>
      <c r="C143" s="3" t="s">
        <v>71</v>
      </c>
      <c r="D143" s="14">
        <v>0.68787021919935687</v>
      </c>
      <c r="E143" s="14">
        <v>0.6257617671977489</v>
      </c>
      <c r="F143" s="14">
        <v>0.52638824399517514</v>
      </c>
      <c r="G143" s="14">
        <v>0.35092549599678308</v>
      </c>
      <c r="H143" s="14">
        <v>0.17546274799839173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</row>
    <row r="144" spans="1:14" x14ac:dyDescent="0.3">
      <c r="A144" s="3" t="str">
        <f>INDEX('R1. Scenario specifications'!$C$11:$C$49,MATCH($B144,'R1. Scenario specifications'!$A$11:$A$49,0))</f>
        <v>Current 2DS, 2030 start, 'Expect the Unexpected' but with most conservative biomass CCS / NET technology cost assumptions</v>
      </c>
      <c r="B144" s="3" t="s">
        <v>18</v>
      </c>
      <c r="C144" s="3" t="s">
        <v>75</v>
      </c>
      <c r="D144" s="14">
        <v>1.963099940637433</v>
      </c>
      <c r="E144" s="14">
        <v>1.7858497922310126</v>
      </c>
      <c r="F144" s="14">
        <v>1.5022495547807513</v>
      </c>
      <c r="G144" s="14">
        <v>1.0014997031871682</v>
      </c>
      <c r="H144" s="14">
        <v>0.50074985159358421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</row>
    <row r="145" spans="1:14" x14ac:dyDescent="0.3">
      <c r="A145" s="3" t="str">
        <f>INDEX('R1. Scenario specifications'!$C$11:$C$49,MATCH($B145,'R1. Scenario specifications'!$A$11:$A$49,0))</f>
        <v>Current 2DS, 2030 start, 'Expect the Unexpected' but with most conservative biomass CCS / NET technology cost assumptions</v>
      </c>
      <c r="B145" s="3" t="s">
        <v>18</v>
      </c>
      <c r="C145" s="3" t="s">
        <v>72</v>
      </c>
      <c r="D145" s="14">
        <v>1517.4635089937533</v>
      </c>
      <c r="E145" s="14">
        <v>1704.9418897085425</v>
      </c>
      <c r="F145" s="14">
        <v>2685.5545190640855</v>
      </c>
      <c r="G145" s="14">
        <v>10882.32058635127</v>
      </c>
      <c r="H145" s="14">
        <v>27426.576316396204</v>
      </c>
      <c r="I145" s="14">
        <v>34992.619880405582</v>
      </c>
      <c r="J145" s="14">
        <v>48405.194316232497</v>
      </c>
      <c r="K145" s="14">
        <v>63647.804271153873</v>
      </c>
      <c r="L145" s="14">
        <v>92479.550208006651</v>
      </c>
      <c r="M145" s="14">
        <v>146513.43203731731</v>
      </c>
      <c r="N145" s="14">
        <v>184566.46953394113</v>
      </c>
    </row>
    <row r="146" spans="1:14" x14ac:dyDescent="0.3">
      <c r="A146" s="3" t="str">
        <f>INDEX('R1. Scenario specifications'!$C$11:$C$49,MATCH($B146,'R1. Scenario specifications'!$A$11:$A$49,0))</f>
        <v>Current 1.5DS, 2020 start, 'Expect the Unexpected'</v>
      </c>
      <c r="B146" s="3" t="s">
        <v>19</v>
      </c>
      <c r="C146" s="3" t="s">
        <v>63</v>
      </c>
      <c r="D146" s="14">
        <v>225.44707509197985</v>
      </c>
      <c r="E146" s="14">
        <v>432.13326707926797</v>
      </c>
      <c r="F146" s="14">
        <v>2791.4850951746125</v>
      </c>
      <c r="G146" s="14">
        <v>15525.776677741014</v>
      </c>
      <c r="H146" s="14">
        <v>14028.870494875751</v>
      </c>
      <c r="I146" s="14">
        <v>1975.8711624804941</v>
      </c>
      <c r="J146" s="14">
        <v>213.89887075482028</v>
      </c>
      <c r="K146" s="14">
        <v>0</v>
      </c>
      <c r="L146" s="14">
        <v>77.037101891102296</v>
      </c>
      <c r="M146" s="14">
        <v>74.059578440527801</v>
      </c>
      <c r="N146" s="14">
        <v>71.257781247035297</v>
      </c>
    </row>
    <row r="147" spans="1:14" x14ac:dyDescent="0.3">
      <c r="A147" s="3" t="str">
        <f>INDEX('R1. Scenario specifications'!$C$11:$C$49,MATCH($B147,'R1. Scenario specifications'!$A$11:$A$49,0))</f>
        <v>Current 1.5DS, 2020 start, 'Expect the Unexpected'</v>
      </c>
      <c r="B147" s="3" t="s">
        <v>19</v>
      </c>
      <c r="C147" s="3" t="s">
        <v>73</v>
      </c>
      <c r="D147" s="14">
        <v>0</v>
      </c>
      <c r="E147" s="14">
        <v>0</v>
      </c>
      <c r="F147" s="14">
        <v>0</v>
      </c>
      <c r="G147" s="14">
        <v>403.27271997052515</v>
      </c>
      <c r="H147" s="14">
        <v>10870.321005773201</v>
      </c>
      <c r="I147" s="14">
        <v>27894.282607794783</v>
      </c>
      <c r="J147" s="14">
        <v>65901.094546991444</v>
      </c>
      <c r="K147" s="14">
        <v>61886.575844793566</v>
      </c>
      <c r="L147" s="14">
        <v>70498.973366683276</v>
      </c>
      <c r="M147" s="14">
        <v>84113.215371372062</v>
      </c>
      <c r="N147" s="14">
        <v>92412.420554081851</v>
      </c>
    </row>
    <row r="148" spans="1:14" x14ac:dyDescent="0.3">
      <c r="A148" s="3" t="str">
        <f>INDEX('R1. Scenario specifications'!$C$11:$C$49,MATCH($B148,'R1. Scenario specifications'!$A$11:$A$49,0))</f>
        <v>Current 1.5DS, 2020 start, 'Expect the Unexpected'</v>
      </c>
      <c r="B148" s="3" t="s">
        <v>19</v>
      </c>
      <c r="C148" s="3" t="s">
        <v>64</v>
      </c>
      <c r="D148" s="14">
        <v>33040.313548549595</v>
      </c>
      <c r="E148" s="14">
        <v>42259.332050485427</v>
      </c>
      <c r="F148" s="14">
        <v>32172.508335863538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</row>
    <row r="149" spans="1:14" x14ac:dyDescent="0.3">
      <c r="A149" s="3" t="str">
        <f>INDEX('R1. Scenario specifications'!$C$11:$C$49,MATCH($B149,'R1. Scenario specifications'!$A$11:$A$49,0))</f>
        <v>Current 1.5DS, 2020 start, 'Expect the Unexpected'</v>
      </c>
      <c r="B149" s="3" t="s">
        <v>19</v>
      </c>
      <c r="C149" s="3" t="s">
        <v>65</v>
      </c>
      <c r="D149" s="14">
        <v>14597.074835304187</v>
      </c>
      <c r="E149" s="14">
        <v>15742.568461825351</v>
      </c>
      <c r="F149" s="14">
        <v>23692.881756781935</v>
      </c>
      <c r="G149" s="14">
        <v>27037.011968621366</v>
      </c>
      <c r="H149" s="14">
        <v>424.6989295954296</v>
      </c>
      <c r="I149" s="14">
        <v>0</v>
      </c>
      <c r="J149" s="14">
        <v>0</v>
      </c>
      <c r="K149" s="14">
        <v>0</v>
      </c>
      <c r="L149" s="14">
        <v>15.9890863265239</v>
      </c>
      <c r="M149" s="14">
        <v>0</v>
      </c>
      <c r="N149" s="14">
        <v>0</v>
      </c>
    </row>
    <row r="150" spans="1:14" x14ac:dyDescent="0.3">
      <c r="A150" s="3" t="str">
        <f>INDEX('R1. Scenario specifications'!$C$11:$C$49,MATCH($B150,'R1. Scenario specifications'!$A$11:$A$49,0))</f>
        <v>Current 1.5DS, 2020 start, 'Expect the Unexpected'</v>
      </c>
      <c r="B150" s="3" t="s">
        <v>19</v>
      </c>
      <c r="C150" s="3" t="s">
        <v>74</v>
      </c>
      <c r="D150" s="14">
        <v>0</v>
      </c>
      <c r="E150" s="14">
        <v>0</v>
      </c>
      <c r="F150" s="14">
        <v>0</v>
      </c>
      <c r="G150" s="14">
        <v>22.634851637474846</v>
      </c>
      <c r="H150" s="14">
        <v>4070.8088439341223</v>
      </c>
      <c r="I150" s="14">
        <v>33861.028448870689</v>
      </c>
      <c r="J150" s="14">
        <v>33177.223168800963</v>
      </c>
      <c r="K150" s="14">
        <v>5599.5972302995469</v>
      </c>
      <c r="L150" s="14">
        <v>12965.420344439828</v>
      </c>
      <c r="M150" s="14">
        <v>10290.260751252459</v>
      </c>
      <c r="N150" s="14">
        <v>10314.219854934048</v>
      </c>
    </row>
    <row r="151" spans="1:14" x14ac:dyDescent="0.3">
      <c r="A151" s="3" t="str">
        <f>INDEX('R1. Scenario specifications'!$C$11:$C$49,MATCH($B151,'R1. Scenario specifications'!$A$11:$A$49,0))</f>
        <v>Current 1.5DS, 2020 start, 'Expect the Unexpected'</v>
      </c>
      <c r="B151" s="3" t="s">
        <v>19</v>
      </c>
      <c r="C151" s="3" t="s">
        <v>66</v>
      </c>
      <c r="D151" s="14">
        <v>202.4480216544064</v>
      </c>
      <c r="E151" s="14">
        <v>194.35225063586262</v>
      </c>
      <c r="F151" s="14">
        <v>2690.096097794773</v>
      </c>
      <c r="G151" s="14">
        <v>6171.3434767778981</v>
      </c>
      <c r="H151" s="14">
        <v>23831.418401343522</v>
      </c>
      <c r="I151" s="14">
        <v>27809.324384165368</v>
      </c>
      <c r="J151" s="14">
        <v>27444.214328988633</v>
      </c>
      <c r="K151" s="14">
        <v>23775.392447300655</v>
      </c>
      <c r="L151" s="14">
        <v>11143.308319753007</v>
      </c>
      <c r="M151" s="14">
        <v>16793.212604289671</v>
      </c>
      <c r="N151" s="14">
        <v>22508.781378441894</v>
      </c>
    </row>
    <row r="152" spans="1:14" x14ac:dyDescent="0.3">
      <c r="A152" s="3" t="str">
        <f>INDEX('R1. Scenario specifications'!$C$11:$C$49,MATCH($B152,'R1. Scenario specifications'!$A$11:$A$49,0))</f>
        <v>Current 1.5DS, 2020 start, 'Expect the Unexpected'</v>
      </c>
      <c r="B152" s="3" t="s">
        <v>19</v>
      </c>
      <c r="C152" s="3" t="s">
        <v>67</v>
      </c>
      <c r="D152" s="14">
        <v>10255.125599999996</v>
      </c>
      <c r="E152" s="14">
        <v>10349.477981293301</v>
      </c>
      <c r="F152" s="14">
        <v>14634.999767850808</v>
      </c>
      <c r="G152" s="14">
        <v>18122.491862578743</v>
      </c>
      <c r="H152" s="14">
        <v>27076.22106646033</v>
      </c>
      <c r="I152" s="14">
        <v>31262.479715490143</v>
      </c>
      <c r="J152" s="14">
        <v>35627.071275719311</v>
      </c>
      <c r="K152" s="14">
        <v>36325.149684913267</v>
      </c>
      <c r="L152" s="14">
        <v>40287.532148452912</v>
      </c>
      <c r="M152" s="14">
        <v>41520.613320846212</v>
      </c>
      <c r="N152" s="14">
        <v>42755.62917105457</v>
      </c>
    </row>
    <row r="153" spans="1:14" x14ac:dyDescent="0.3">
      <c r="A153" s="3" t="str">
        <f>INDEX('R1. Scenario specifications'!$C$11:$C$49,MATCH($B153,'R1. Scenario specifications'!$A$11:$A$49,0))</f>
        <v>Current 1.5DS, 2020 start, 'Expect the Unexpected'</v>
      </c>
      <c r="B153" s="3" t="s">
        <v>19</v>
      </c>
      <c r="C153" s="3" t="s">
        <v>68</v>
      </c>
      <c r="D153" s="14">
        <v>9499.4101148835834</v>
      </c>
      <c r="E153" s="14">
        <v>9854.768593125913</v>
      </c>
      <c r="F153" s="14">
        <v>13753.197500000002</v>
      </c>
      <c r="G153" s="14">
        <v>14514.167854150604</v>
      </c>
      <c r="H153" s="14">
        <v>17736.301924026731</v>
      </c>
      <c r="I153" s="14">
        <v>24729.320000000007</v>
      </c>
      <c r="J153" s="14">
        <v>29436.277027089687</v>
      </c>
      <c r="K153" s="14">
        <v>31167.368402745789</v>
      </c>
      <c r="L153" s="14">
        <v>35846.591827386314</v>
      </c>
      <c r="M153" s="14">
        <v>38043.533784250227</v>
      </c>
      <c r="N153" s="14">
        <v>39733.174999999996</v>
      </c>
    </row>
    <row r="154" spans="1:14" x14ac:dyDescent="0.3">
      <c r="A154" s="3" t="str">
        <f>INDEX('R1. Scenario specifications'!$C$11:$C$49,MATCH($B154,'R1. Scenario specifications'!$A$11:$A$49,0))</f>
        <v>Current 1.5DS, 2020 start, 'Expect the Unexpected'</v>
      </c>
      <c r="B154" s="3" t="s">
        <v>19</v>
      </c>
      <c r="C154" s="3" t="s">
        <v>69</v>
      </c>
      <c r="D154" s="14">
        <v>2379.5369238501598</v>
      </c>
      <c r="E154" s="14">
        <v>2356.8190162179026</v>
      </c>
      <c r="F154" s="14">
        <v>2308.8771400062938</v>
      </c>
      <c r="G154" s="14">
        <v>1503.8223551611866</v>
      </c>
      <c r="H154" s="14">
        <v>67.922332266666302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</row>
    <row r="155" spans="1:14" x14ac:dyDescent="0.3">
      <c r="A155" s="3" t="str">
        <f>INDEX('R1. Scenario specifications'!$C$11:$C$49,MATCH($B155,'R1. Scenario specifications'!$A$11:$A$49,0))</f>
        <v>Current 1.5DS, 2020 start, 'Expect the Unexpected'</v>
      </c>
      <c r="B155" s="3" t="s">
        <v>19</v>
      </c>
      <c r="C155" s="3" t="s">
        <v>70</v>
      </c>
      <c r="D155" s="14">
        <v>67.937052631788802</v>
      </c>
      <c r="E155" s="14">
        <v>458.66984800047192</v>
      </c>
      <c r="F155" s="14">
        <v>917.48161125092997</v>
      </c>
      <c r="G155" s="14">
        <v>4403.8172003886039</v>
      </c>
      <c r="H155" s="14">
        <v>17792.252669130256</v>
      </c>
      <c r="I155" s="14">
        <v>42423.957268059421</v>
      </c>
      <c r="J155" s="14">
        <v>68623.417015255691</v>
      </c>
      <c r="K155" s="14">
        <v>63322.749086690856</v>
      </c>
      <c r="L155" s="14">
        <v>83556.964017471633</v>
      </c>
      <c r="M155" s="14">
        <v>96731.161874230849</v>
      </c>
      <c r="N155" s="14">
        <v>111839.19321497114</v>
      </c>
    </row>
    <row r="156" spans="1:14" x14ac:dyDescent="0.3">
      <c r="A156" s="3" t="str">
        <f>INDEX('R1. Scenario specifications'!$C$11:$C$49,MATCH($B156,'R1. Scenario specifications'!$A$11:$A$49,0))</f>
        <v>Current 1.5DS, 2020 start, 'Expect the Unexpected'</v>
      </c>
      <c r="B156" s="3" t="s">
        <v>19</v>
      </c>
      <c r="C156" s="3" t="s">
        <v>71</v>
      </c>
      <c r="D156" s="14">
        <v>0.68787021919935687</v>
      </c>
      <c r="E156" s="14">
        <v>0.6257617671977489</v>
      </c>
      <c r="F156" s="14">
        <v>0.52638824399517514</v>
      </c>
      <c r="G156" s="14">
        <v>0.35092549599678308</v>
      </c>
      <c r="H156" s="14">
        <v>0.17546274799839173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</row>
    <row r="157" spans="1:14" x14ac:dyDescent="0.3">
      <c r="A157" s="3" t="str">
        <f>INDEX('R1. Scenario specifications'!$C$11:$C$49,MATCH($B157,'R1. Scenario specifications'!$A$11:$A$49,0))</f>
        <v>Current 1.5DS, 2020 start, 'Expect the Unexpected'</v>
      </c>
      <c r="B157" s="3" t="s">
        <v>19</v>
      </c>
      <c r="C157" s="3" t="s">
        <v>75</v>
      </c>
      <c r="D157" s="14">
        <v>1.963099940637433</v>
      </c>
      <c r="E157" s="14">
        <v>1.7858497922310126</v>
      </c>
      <c r="F157" s="14">
        <v>1.5022495547807513</v>
      </c>
      <c r="G157" s="14">
        <v>1.0014997031871673</v>
      </c>
      <c r="H157" s="14">
        <v>0.50074985159358421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</row>
    <row r="158" spans="1:14" x14ac:dyDescent="0.3">
      <c r="A158" s="3" t="str">
        <f>INDEX('R1. Scenario specifications'!$C$11:$C$49,MATCH($B158,'R1. Scenario specifications'!$A$11:$A$49,0))</f>
        <v>Current 1.5DS, 2020 start, 'Expect the Unexpected'</v>
      </c>
      <c r="B158" s="3" t="s">
        <v>19</v>
      </c>
      <c r="C158" s="3" t="s">
        <v>72</v>
      </c>
      <c r="D158" s="14">
        <v>1517.4635089937533</v>
      </c>
      <c r="E158" s="14">
        <v>1704.9418897085425</v>
      </c>
      <c r="F158" s="14">
        <v>2685.5545190640855</v>
      </c>
      <c r="G158" s="14">
        <v>13084.955487531341</v>
      </c>
      <c r="H158" s="14">
        <v>28411.31854671066</v>
      </c>
      <c r="I158" s="14">
        <v>59060.33695313675</v>
      </c>
      <c r="J158" s="14">
        <v>91431.678009608906</v>
      </c>
      <c r="K158" s="14">
        <v>82212.074282739341</v>
      </c>
      <c r="L158" s="14">
        <v>113451.01977760618</v>
      </c>
      <c r="M158" s="14">
        <v>150624.02136095407</v>
      </c>
      <c r="N158" s="14">
        <v>193089.31108523277</v>
      </c>
    </row>
    <row r="159" spans="1:14" x14ac:dyDescent="0.3">
      <c r="A159" s="3" t="str">
        <f>INDEX('R1. Scenario specifications'!$C$11:$C$49,MATCH($B159,'R1. Scenario specifications'!$A$11:$A$49,0))</f>
        <v>Current 1.5DS, 2030 start, 'Expect the Unexpected'</v>
      </c>
      <c r="B159" s="3" t="s">
        <v>20</v>
      </c>
      <c r="C159" s="3" t="s">
        <v>63</v>
      </c>
      <c r="D159" s="14">
        <v>225.44707509197985</v>
      </c>
      <c r="E159" s="14">
        <v>432.13326707926797</v>
      </c>
      <c r="F159" s="14">
        <v>2791.4850951746125</v>
      </c>
      <c r="G159" s="14">
        <v>10791.541692619947</v>
      </c>
      <c r="H159" s="14">
        <v>24176.463859369163</v>
      </c>
      <c r="I159" s="14">
        <v>4841.0881331971086</v>
      </c>
      <c r="J159" s="14">
        <v>221.63449995308295</v>
      </c>
      <c r="K159" s="14">
        <v>233.10275476446878</v>
      </c>
      <c r="L159" s="14">
        <v>461.31842085095224</v>
      </c>
      <c r="M159" s="14">
        <v>252.86513000152516</v>
      </c>
      <c r="N159" s="14">
        <v>105.520049533036</v>
      </c>
    </row>
    <row r="160" spans="1:14" x14ac:dyDescent="0.3">
      <c r="A160" s="3" t="str">
        <f>INDEX('R1. Scenario specifications'!$C$11:$C$49,MATCH($B160,'R1. Scenario specifications'!$A$11:$A$49,0))</f>
        <v>Current 1.5DS, 2030 start, 'Expect the Unexpected'</v>
      </c>
      <c r="B160" s="3" t="s">
        <v>20</v>
      </c>
      <c r="C160" s="3" t="s">
        <v>73</v>
      </c>
      <c r="D160" s="14">
        <v>0</v>
      </c>
      <c r="E160" s="14">
        <v>0</v>
      </c>
      <c r="F160" s="14">
        <v>0</v>
      </c>
      <c r="G160" s="14">
        <v>0</v>
      </c>
      <c r="H160" s="14">
        <v>340.78932463689671</v>
      </c>
      <c r="I160" s="14">
        <v>25473.358540989968</v>
      </c>
      <c r="J160" s="14">
        <v>80678.970830831691</v>
      </c>
      <c r="K160" s="14">
        <v>36939.610274390689</v>
      </c>
      <c r="L160" s="14">
        <v>40534.569807071966</v>
      </c>
      <c r="M160" s="14">
        <v>45859.882168327029</v>
      </c>
      <c r="N160" s="14">
        <v>60523.460084520506</v>
      </c>
    </row>
    <row r="161" spans="1:14" x14ac:dyDescent="0.3">
      <c r="A161" s="3" t="str">
        <f>INDEX('R1. Scenario specifications'!$C$11:$C$49,MATCH($B161,'R1. Scenario specifications'!$A$11:$A$49,0))</f>
        <v>Current 1.5DS, 2030 start, 'Expect the Unexpected'</v>
      </c>
      <c r="B161" s="3" t="s">
        <v>20</v>
      </c>
      <c r="C161" s="3" t="s">
        <v>64</v>
      </c>
      <c r="D161" s="14">
        <v>33040.313548549595</v>
      </c>
      <c r="E161" s="14">
        <v>42259.332050485427</v>
      </c>
      <c r="F161" s="14">
        <v>32172.508335863538</v>
      </c>
      <c r="G161" s="14">
        <v>29995.093630544216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</row>
    <row r="162" spans="1:14" x14ac:dyDescent="0.3">
      <c r="A162" s="3" t="str">
        <f>INDEX('R1. Scenario specifications'!$C$11:$C$49,MATCH($B162,'R1. Scenario specifications'!$A$11:$A$49,0))</f>
        <v>Current 1.5DS, 2030 start, 'Expect the Unexpected'</v>
      </c>
      <c r="B162" s="3" t="s">
        <v>20</v>
      </c>
      <c r="C162" s="3" t="s">
        <v>65</v>
      </c>
      <c r="D162" s="14">
        <v>14597.074835304187</v>
      </c>
      <c r="E162" s="14">
        <v>15742.568461825351</v>
      </c>
      <c r="F162" s="14">
        <v>23692.881756781935</v>
      </c>
      <c r="G162" s="14">
        <v>18923.773890589895</v>
      </c>
      <c r="H162" s="14">
        <v>8902.7386539256422</v>
      </c>
      <c r="I162" s="14">
        <v>0</v>
      </c>
      <c r="J162" s="14">
        <v>0</v>
      </c>
      <c r="K162" s="14">
        <v>1210.2509459087589</v>
      </c>
      <c r="L162" s="14">
        <v>1422.9420757892485</v>
      </c>
      <c r="M162" s="14">
        <v>2425.3554036650885</v>
      </c>
      <c r="N162" s="14">
        <v>1491.9049463527376</v>
      </c>
    </row>
    <row r="163" spans="1:14" x14ac:dyDescent="0.3">
      <c r="A163" s="3" t="str">
        <f>INDEX('R1. Scenario specifications'!$C$11:$C$49,MATCH($B163,'R1. Scenario specifications'!$A$11:$A$49,0))</f>
        <v>Current 1.5DS, 2030 start, 'Expect the Unexpected'</v>
      </c>
      <c r="B163" s="3" t="s">
        <v>20</v>
      </c>
      <c r="C163" s="3" t="s">
        <v>74</v>
      </c>
      <c r="D163" s="14">
        <v>0</v>
      </c>
      <c r="E163" s="14">
        <v>0</v>
      </c>
      <c r="F163" s="14">
        <v>0</v>
      </c>
      <c r="G163" s="14">
        <v>0</v>
      </c>
      <c r="H163" s="14">
        <v>85.118246971103332</v>
      </c>
      <c r="I163" s="14">
        <v>10863.406371960351</v>
      </c>
      <c r="J163" s="14">
        <v>35128.809039321946</v>
      </c>
      <c r="K163" s="14">
        <v>948.46436606576663</v>
      </c>
      <c r="L163" s="14">
        <v>1519.7982598349417</v>
      </c>
      <c r="M163" s="14">
        <v>1374.6967952640116</v>
      </c>
      <c r="N163" s="14">
        <v>1575.1070732378812</v>
      </c>
    </row>
    <row r="164" spans="1:14" x14ac:dyDescent="0.3">
      <c r="A164" s="3" t="str">
        <f>INDEX('R1. Scenario specifications'!$C$11:$C$49,MATCH($B164,'R1. Scenario specifications'!$A$11:$A$49,0))</f>
        <v>Current 1.5DS, 2030 start, 'Expect the Unexpected'</v>
      </c>
      <c r="B164" s="3" t="s">
        <v>20</v>
      </c>
      <c r="C164" s="3" t="s">
        <v>66</v>
      </c>
      <c r="D164" s="14">
        <v>202.4480216544064</v>
      </c>
      <c r="E164" s="14">
        <v>194.35225063586262</v>
      </c>
      <c r="F164" s="14">
        <v>2690.096097794773</v>
      </c>
      <c r="G164" s="14">
        <v>4149.3454146666118</v>
      </c>
      <c r="H164" s="14">
        <v>15275.348303178231</v>
      </c>
      <c r="I164" s="14">
        <v>34850.302702589608</v>
      </c>
      <c r="J164" s="14">
        <v>33691.359126054718</v>
      </c>
      <c r="K164" s="14">
        <v>31973.645165250531</v>
      </c>
      <c r="L164" s="14">
        <v>20196.398423047547</v>
      </c>
      <c r="M164" s="14">
        <v>6621.2194631520097</v>
      </c>
      <c r="N164" s="14">
        <v>9790.9087696969436</v>
      </c>
    </row>
    <row r="165" spans="1:14" x14ac:dyDescent="0.3">
      <c r="A165" s="3" t="str">
        <f>INDEX('R1. Scenario specifications'!$C$11:$C$49,MATCH($B165,'R1. Scenario specifications'!$A$11:$A$49,0))</f>
        <v>Current 1.5DS, 2030 start, 'Expect the Unexpected'</v>
      </c>
      <c r="B165" s="3" t="s">
        <v>20</v>
      </c>
      <c r="C165" s="3" t="s">
        <v>67</v>
      </c>
      <c r="D165" s="14">
        <v>10255.125599999996</v>
      </c>
      <c r="E165" s="14">
        <v>10349.477981293301</v>
      </c>
      <c r="F165" s="14">
        <v>14634.999767850808</v>
      </c>
      <c r="G165" s="14">
        <v>17168.548108229523</v>
      </c>
      <c r="H165" s="14">
        <v>20741.876445540391</v>
      </c>
      <c r="I165" s="14">
        <v>29545.026525364938</v>
      </c>
      <c r="J165" s="14">
        <v>34119.309036068938</v>
      </c>
      <c r="K165" s="14">
        <v>36219.740006890119</v>
      </c>
      <c r="L165" s="14">
        <v>30692.368461582773</v>
      </c>
      <c r="M165" s="14">
        <v>35381.900348442679</v>
      </c>
      <c r="N165" s="14">
        <v>37973.66621363366</v>
      </c>
    </row>
    <row r="166" spans="1:14" x14ac:dyDescent="0.3">
      <c r="A166" s="3" t="str">
        <f>INDEX('R1. Scenario specifications'!$C$11:$C$49,MATCH($B166,'R1. Scenario specifications'!$A$11:$A$49,0))</f>
        <v>Current 1.5DS, 2030 start, 'Expect the Unexpected'</v>
      </c>
      <c r="B166" s="3" t="s">
        <v>20</v>
      </c>
      <c r="C166" s="3" t="s">
        <v>68</v>
      </c>
      <c r="D166" s="14">
        <v>9499.4101148835834</v>
      </c>
      <c r="E166" s="14">
        <v>9854.768593125913</v>
      </c>
      <c r="F166" s="14">
        <v>13753.197500000002</v>
      </c>
      <c r="G166" s="14">
        <v>14514.167854150606</v>
      </c>
      <c r="H166" s="14">
        <v>15191.631806438927</v>
      </c>
      <c r="I166" s="14">
        <v>22237.501768606766</v>
      </c>
      <c r="J166" s="14">
        <v>26150.393330293373</v>
      </c>
      <c r="K166" s="14">
        <v>28214.064929933284</v>
      </c>
      <c r="L166" s="14">
        <v>29596.55974126852</v>
      </c>
      <c r="M166" s="14">
        <v>34348.929999999993</v>
      </c>
      <c r="N166" s="14">
        <v>32998.118842553158</v>
      </c>
    </row>
    <row r="167" spans="1:14" x14ac:dyDescent="0.3">
      <c r="A167" s="3" t="str">
        <f>INDEX('R1. Scenario specifications'!$C$11:$C$49,MATCH($B167,'R1. Scenario specifications'!$A$11:$A$49,0))</f>
        <v>Current 1.5DS, 2030 start, 'Expect the Unexpected'</v>
      </c>
      <c r="B167" s="3" t="s">
        <v>20</v>
      </c>
      <c r="C167" s="3" t="s">
        <v>69</v>
      </c>
      <c r="D167" s="14">
        <v>2379.5369238501598</v>
      </c>
      <c r="E167" s="14">
        <v>2356.8190162179026</v>
      </c>
      <c r="F167" s="14">
        <v>2308.8771400062938</v>
      </c>
      <c r="G167" s="14">
        <v>1516.5761695611868</v>
      </c>
      <c r="H167" s="14">
        <v>67.922332266666274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</row>
    <row r="168" spans="1:14" x14ac:dyDescent="0.3">
      <c r="A168" s="3" t="str">
        <f>INDEX('R1. Scenario specifications'!$C$11:$C$49,MATCH($B168,'R1. Scenario specifications'!$A$11:$A$49,0))</f>
        <v>Current 1.5DS, 2030 start, 'Expect the Unexpected'</v>
      </c>
      <c r="B168" s="3" t="s">
        <v>20</v>
      </c>
      <c r="C168" s="3" t="s">
        <v>70</v>
      </c>
      <c r="D168" s="14">
        <v>67.937052631788802</v>
      </c>
      <c r="E168" s="14">
        <v>458.66984800047192</v>
      </c>
      <c r="F168" s="14">
        <v>917.48161125092997</v>
      </c>
      <c r="G168" s="14">
        <v>2670.3548260954558</v>
      </c>
      <c r="H168" s="14">
        <v>11369.021149564673</v>
      </c>
      <c r="I168" s="14">
        <v>33518.218940665705</v>
      </c>
      <c r="J168" s="14">
        <v>79111.083528721007</v>
      </c>
      <c r="K168" s="14">
        <v>64464.395473124074</v>
      </c>
      <c r="L168" s="14">
        <v>62729.049407018043</v>
      </c>
      <c r="M168" s="14">
        <v>80146.014344623356</v>
      </c>
      <c r="N168" s="14">
        <v>89451.976912609156</v>
      </c>
    </row>
    <row r="169" spans="1:14" x14ac:dyDescent="0.3">
      <c r="A169" s="3" t="str">
        <f>INDEX('R1. Scenario specifications'!$C$11:$C$49,MATCH($B169,'R1. Scenario specifications'!$A$11:$A$49,0))</f>
        <v>Current 1.5DS, 2030 start, 'Expect the Unexpected'</v>
      </c>
      <c r="B169" s="3" t="s">
        <v>20</v>
      </c>
      <c r="C169" s="3" t="s">
        <v>71</v>
      </c>
      <c r="D169" s="14">
        <v>0.68787021919935687</v>
      </c>
      <c r="E169" s="14">
        <v>0.6257617671977489</v>
      </c>
      <c r="F169" s="14">
        <v>0.52638824399517514</v>
      </c>
      <c r="G169" s="14">
        <v>0.35092549599678308</v>
      </c>
      <c r="H169" s="14">
        <v>0.17546274799839173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</row>
    <row r="170" spans="1:14" x14ac:dyDescent="0.3">
      <c r="A170" s="3" t="str">
        <f>INDEX('R1. Scenario specifications'!$C$11:$C$49,MATCH($B170,'R1. Scenario specifications'!$A$11:$A$49,0))</f>
        <v>Current 1.5DS, 2030 start, 'Expect the Unexpected'</v>
      </c>
      <c r="B170" s="3" t="s">
        <v>20</v>
      </c>
      <c r="C170" s="3" t="s">
        <v>75</v>
      </c>
      <c r="D170" s="14">
        <v>1.963099940637433</v>
      </c>
      <c r="E170" s="14">
        <v>1.7858497922310126</v>
      </c>
      <c r="F170" s="14">
        <v>1.5022495547807513</v>
      </c>
      <c r="G170" s="14">
        <v>1.0014997031871682</v>
      </c>
      <c r="H170" s="14">
        <v>0.50074985159358421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</row>
    <row r="171" spans="1:14" x14ac:dyDescent="0.3">
      <c r="A171" s="3" t="str">
        <f>INDEX('R1. Scenario specifications'!$C$11:$C$49,MATCH($B171,'R1. Scenario specifications'!$A$11:$A$49,0))</f>
        <v>Current 1.5DS, 2030 start, 'Expect the Unexpected'</v>
      </c>
      <c r="B171" s="3" t="s">
        <v>20</v>
      </c>
      <c r="C171" s="3" t="s">
        <v>72</v>
      </c>
      <c r="D171" s="14">
        <v>1517.4635089937533</v>
      </c>
      <c r="E171" s="14">
        <v>1704.9418897085425</v>
      </c>
      <c r="F171" s="14">
        <v>2685.5545190640855</v>
      </c>
      <c r="G171" s="14">
        <v>10882.32058635127</v>
      </c>
      <c r="H171" s="14">
        <v>24084.253617279952</v>
      </c>
      <c r="I171" s="14">
        <v>48641.893576000104</v>
      </c>
      <c r="J171" s="14">
        <v>100707.86142362282</v>
      </c>
      <c r="K171" s="14">
        <v>75909.943422712677</v>
      </c>
      <c r="L171" s="14">
        <v>76116.690606060889</v>
      </c>
      <c r="M171" s="14">
        <v>95068.172649640444</v>
      </c>
      <c r="N171" s="14">
        <v>123057.68815720989</v>
      </c>
    </row>
    <row r="172" spans="1:14" x14ac:dyDescent="0.3">
      <c r="A172" s="3" t="str">
        <f>INDEX('R1. Scenario specifications'!$C$11:$C$49,MATCH($B172,'R1. Scenario specifications'!$A$11:$A$49,0))</f>
        <v>Current 1.5DS, 2020 start, 'Expect the Unexpected' but with cheap renewables</v>
      </c>
      <c r="B172" s="3" t="s">
        <v>21</v>
      </c>
      <c r="C172" s="3" t="s">
        <v>63</v>
      </c>
      <c r="D172" s="14">
        <v>225.44707509197985</v>
      </c>
      <c r="E172" s="14">
        <v>432.13326707926797</v>
      </c>
      <c r="F172" s="14">
        <v>2791.4850951746125</v>
      </c>
      <c r="G172" s="14">
        <v>13690.694575798349</v>
      </c>
      <c r="H172" s="14">
        <v>10511.948358186724</v>
      </c>
      <c r="I172" s="14">
        <v>826.93572369879053</v>
      </c>
      <c r="J172" s="14">
        <v>306.77688009101979</v>
      </c>
      <c r="K172" s="14">
        <v>0</v>
      </c>
      <c r="L172" s="14">
        <v>77.038640709664278</v>
      </c>
      <c r="M172" s="14">
        <v>74.061117259089798</v>
      </c>
      <c r="N172" s="14">
        <v>74.061117259089798</v>
      </c>
    </row>
    <row r="173" spans="1:14" x14ac:dyDescent="0.3">
      <c r="A173" s="3" t="str">
        <f>INDEX('R1. Scenario specifications'!$C$11:$C$49,MATCH($B173,'R1. Scenario specifications'!$A$11:$A$49,0))</f>
        <v>Current 1.5DS, 2020 start, 'Expect the Unexpected' but with cheap renewables</v>
      </c>
      <c r="B173" s="3" t="s">
        <v>21</v>
      </c>
      <c r="C173" s="3" t="s">
        <v>73</v>
      </c>
      <c r="D173" s="14">
        <v>0</v>
      </c>
      <c r="E173" s="14">
        <v>0</v>
      </c>
      <c r="F173" s="14">
        <v>0</v>
      </c>
      <c r="G173" s="14">
        <v>411.85920133598563</v>
      </c>
      <c r="H173" s="14">
        <v>11168.626770318715</v>
      </c>
      <c r="I173" s="14">
        <v>27950.780880273076</v>
      </c>
      <c r="J173" s="14">
        <v>67179.847521337855</v>
      </c>
      <c r="K173" s="14">
        <v>62737.027557896421</v>
      </c>
      <c r="L173" s="14">
        <v>70890.867024659281</v>
      </c>
      <c r="M173" s="14">
        <v>83918.292743747224</v>
      </c>
      <c r="N173" s="14">
        <v>91300.304773932454</v>
      </c>
    </row>
    <row r="174" spans="1:14" x14ac:dyDescent="0.3">
      <c r="A174" s="3" t="str">
        <f>INDEX('R1. Scenario specifications'!$C$11:$C$49,MATCH($B174,'R1. Scenario specifications'!$A$11:$A$49,0))</f>
        <v>Current 1.5DS, 2020 start, 'Expect the Unexpected' but with cheap renewables</v>
      </c>
      <c r="B174" s="3" t="s">
        <v>21</v>
      </c>
      <c r="C174" s="3" t="s">
        <v>64</v>
      </c>
      <c r="D174" s="14">
        <v>33040.313548549595</v>
      </c>
      <c r="E174" s="14">
        <v>42259.332050485427</v>
      </c>
      <c r="F174" s="14">
        <v>32172.508335863538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</row>
    <row r="175" spans="1:14" x14ac:dyDescent="0.3">
      <c r="A175" s="3" t="str">
        <f>INDEX('R1. Scenario specifications'!$C$11:$C$49,MATCH($B175,'R1. Scenario specifications'!$A$11:$A$49,0))</f>
        <v>Current 1.5DS, 2020 start, 'Expect the Unexpected' but with cheap renewables</v>
      </c>
      <c r="B175" s="3" t="s">
        <v>21</v>
      </c>
      <c r="C175" s="3" t="s">
        <v>65</v>
      </c>
      <c r="D175" s="14">
        <v>14597.074835304187</v>
      </c>
      <c r="E175" s="14">
        <v>15742.568461825351</v>
      </c>
      <c r="F175" s="14">
        <v>23692.881756781935</v>
      </c>
      <c r="G175" s="14">
        <v>25219.159204070653</v>
      </c>
      <c r="H175" s="14">
        <v>953.99007706703492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</row>
    <row r="176" spans="1:14" x14ac:dyDescent="0.3">
      <c r="A176" s="3" t="str">
        <f>INDEX('R1. Scenario specifications'!$C$11:$C$49,MATCH($B176,'R1. Scenario specifications'!$A$11:$A$49,0))</f>
        <v>Current 1.5DS, 2020 start, 'Expect the Unexpected' but with cheap renewables</v>
      </c>
      <c r="B176" s="3" t="s">
        <v>21</v>
      </c>
      <c r="C176" s="3" t="s">
        <v>74</v>
      </c>
      <c r="D176" s="14">
        <v>0</v>
      </c>
      <c r="E176" s="14">
        <v>0</v>
      </c>
      <c r="F176" s="14">
        <v>0</v>
      </c>
      <c r="G176" s="14">
        <v>14.048370272014372</v>
      </c>
      <c r="H176" s="14">
        <v>3269.6726746796535</v>
      </c>
      <c r="I176" s="14">
        <v>29103.898317723895</v>
      </c>
      <c r="J176" s="14">
        <v>20091.598764191189</v>
      </c>
      <c r="K176" s="14">
        <v>5365.8042317154295</v>
      </c>
      <c r="L176" s="14">
        <v>11318.246074970441</v>
      </c>
      <c r="M176" s="14">
        <v>9207.4020416133681</v>
      </c>
      <c r="N176" s="14">
        <v>9933.8179114618815</v>
      </c>
    </row>
    <row r="177" spans="1:14" x14ac:dyDescent="0.3">
      <c r="A177" s="3" t="str">
        <f>INDEX('R1. Scenario specifications'!$C$11:$C$49,MATCH($B177,'R1. Scenario specifications'!$A$11:$A$49,0))</f>
        <v>Current 1.5DS, 2020 start, 'Expect the Unexpected' but with cheap renewables</v>
      </c>
      <c r="B177" s="3" t="s">
        <v>21</v>
      </c>
      <c r="C177" s="3" t="s">
        <v>66</v>
      </c>
      <c r="D177" s="14">
        <v>202.4480216544064</v>
      </c>
      <c r="E177" s="14">
        <v>194.35225063586262</v>
      </c>
      <c r="F177" s="14">
        <v>2690.096097794773</v>
      </c>
      <c r="G177" s="14">
        <v>5950.5150191489474</v>
      </c>
      <c r="H177" s="14">
        <v>23113.477283947821</v>
      </c>
      <c r="I177" s="14">
        <v>28896.909612199514</v>
      </c>
      <c r="J177" s="14">
        <v>28086.538487774909</v>
      </c>
      <c r="K177" s="14">
        <v>24962.558337641767</v>
      </c>
      <c r="L177" s="14">
        <v>12656.207880555134</v>
      </c>
      <c r="M177" s="14">
        <v>16942.164815740292</v>
      </c>
      <c r="N177" s="14">
        <v>21444.669607355259</v>
      </c>
    </row>
    <row r="178" spans="1:14" x14ac:dyDescent="0.3">
      <c r="A178" s="3" t="str">
        <f>INDEX('R1. Scenario specifications'!$C$11:$C$49,MATCH($B178,'R1. Scenario specifications'!$A$11:$A$49,0))</f>
        <v>Current 1.5DS, 2020 start, 'Expect the Unexpected' but with cheap renewables</v>
      </c>
      <c r="B178" s="3" t="s">
        <v>21</v>
      </c>
      <c r="C178" s="3" t="s">
        <v>67</v>
      </c>
      <c r="D178" s="14">
        <v>10255.125599999996</v>
      </c>
      <c r="E178" s="14">
        <v>10349.477981293301</v>
      </c>
      <c r="F178" s="14">
        <v>14634.999767850808</v>
      </c>
      <c r="G178" s="14">
        <v>18022.872774040807</v>
      </c>
      <c r="H178" s="14">
        <v>27921.300128735365</v>
      </c>
      <c r="I178" s="14">
        <v>32846.340732357879</v>
      </c>
      <c r="J178" s="14">
        <v>34568.80739472666</v>
      </c>
      <c r="K178" s="14">
        <v>37162.809483232391</v>
      </c>
      <c r="L178" s="14">
        <v>39133.3560258898</v>
      </c>
      <c r="M178" s="14">
        <v>41316.092340222378</v>
      </c>
      <c r="N178" s="14">
        <v>42270.757790255651</v>
      </c>
    </row>
    <row r="179" spans="1:14" x14ac:dyDescent="0.3">
      <c r="A179" s="3" t="str">
        <f>INDEX('R1. Scenario specifications'!$C$11:$C$49,MATCH($B179,'R1. Scenario specifications'!$A$11:$A$49,0))</f>
        <v>Current 1.5DS, 2020 start, 'Expect the Unexpected' but with cheap renewables</v>
      </c>
      <c r="B179" s="3" t="s">
        <v>21</v>
      </c>
      <c r="C179" s="3" t="s">
        <v>68</v>
      </c>
      <c r="D179" s="14">
        <v>9499.4101148835834</v>
      </c>
      <c r="E179" s="14">
        <v>9854.768593125913</v>
      </c>
      <c r="F179" s="14">
        <v>13753.197500000002</v>
      </c>
      <c r="G179" s="14">
        <v>14514.167854150606</v>
      </c>
      <c r="H179" s="14">
        <v>18029.264999999996</v>
      </c>
      <c r="I179" s="14">
        <v>24649.158391214027</v>
      </c>
      <c r="J179" s="14">
        <v>29430.007903762555</v>
      </c>
      <c r="K179" s="14">
        <v>31176.747654386771</v>
      </c>
      <c r="L179" s="14">
        <v>35053.494748070778</v>
      </c>
      <c r="M179" s="14">
        <v>37908.53</v>
      </c>
      <c r="N179" s="14">
        <v>39367.755311037785</v>
      </c>
    </row>
    <row r="180" spans="1:14" x14ac:dyDescent="0.3">
      <c r="A180" s="3" t="str">
        <f>INDEX('R1. Scenario specifications'!$C$11:$C$49,MATCH($B180,'R1. Scenario specifications'!$A$11:$A$49,0))</f>
        <v>Current 1.5DS, 2020 start, 'Expect the Unexpected' but with cheap renewables</v>
      </c>
      <c r="B180" s="3" t="s">
        <v>21</v>
      </c>
      <c r="C180" s="3" t="s">
        <v>69</v>
      </c>
      <c r="D180" s="14">
        <v>2379.5369238501598</v>
      </c>
      <c r="E180" s="14">
        <v>2356.8190162179026</v>
      </c>
      <c r="F180" s="14">
        <v>2308.8771400062938</v>
      </c>
      <c r="G180" s="14">
        <v>1503.8223551611879</v>
      </c>
      <c r="H180" s="14">
        <v>67.922332266666288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</row>
    <row r="181" spans="1:14" x14ac:dyDescent="0.3">
      <c r="A181" s="3" t="str">
        <f>INDEX('R1. Scenario specifications'!$C$11:$C$49,MATCH($B181,'R1. Scenario specifications'!$A$11:$A$49,0))</f>
        <v>Current 1.5DS, 2020 start, 'Expect the Unexpected' but with cheap renewables</v>
      </c>
      <c r="B181" s="3" t="s">
        <v>21</v>
      </c>
      <c r="C181" s="3" t="s">
        <v>70</v>
      </c>
      <c r="D181" s="14">
        <v>67.937052631788802</v>
      </c>
      <c r="E181" s="14">
        <v>458.66984800047192</v>
      </c>
      <c r="F181" s="14">
        <v>917.48161125092997</v>
      </c>
      <c r="G181" s="14">
        <v>5672.3017560750859</v>
      </c>
      <c r="H181" s="14">
        <v>21144.8207579685</v>
      </c>
      <c r="I181" s="14">
        <v>51677.309226071869</v>
      </c>
      <c r="J181" s="14">
        <v>73690.190292500483</v>
      </c>
      <c r="K181" s="14">
        <v>70406.38596795348</v>
      </c>
      <c r="L181" s="14">
        <v>84361.519393703114</v>
      </c>
      <c r="M181" s="14">
        <v>96314.674992181201</v>
      </c>
      <c r="N181" s="14">
        <v>111042.17817998065</v>
      </c>
    </row>
    <row r="182" spans="1:14" x14ac:dyDescent="0.3">
      <c r="A182" s="3" t="str">
        <f>INDEX('R1. Scenario specifications'!$C$11:$C$49,MATCH($B182,'R1. Scenario specifications'!$A$11:$A$49,0))</f>
        <v>Current 1.5DS, 2020 start, 'Expect the Unexpected' but with cheap renewables</v>
      </c>
      <c r="B182" s="3" t="s">
        <v>21</v>
      </c>
      <c r="C182" s="3" t="s">
        <v>71</v>
      </c>
      <c r="D182" s="14">
        <v>0.68787021919935687</v>
      </c>
      <c r="E182" s="14">
        <v>0.6257617671977489</v>
      </c>
      <c r="F182" s="14">
        <v>0.52638824399517514</v>
      </c>
      <c r="G182" s="14">
        <v>0.35092549599678308</v>
      </c>
      <c r="H182" s="14">
        <v>0.17546274799839173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</row>
    <row r="183" spans="1:14" x14ac:dyDescent="0.3">
      <c r="A183" s="3" t="str">
        <f>INDEX('R1. Scenario specifications'!$C$11:$C$49,MATCH($B183,'R1. Scenario specifications'!$A$11:$A$49,0))</f>
        <v>Current 1.5DS, 2020 start, 'Expect the Unexpected' but with cheap renewables</v>
      </c>
      <c r="B183" s="3" t="s">
        <v>21</v>
      </c>
      <c r="C183" s="3" t="s">
        <v>75</v>
      </c>
      <c r="D183" s="14">
        <v>1.963099940637433</v>
      </c>
      <c r="E183" s="14">
        <v>1.7858497922310126</v>
      </c>
      <c r="F183" s="14">
        <v>1.5022495547807513</v>
      </c>
      <c r="G183" s="14">
        <v>1.0014997031871682</v>
      </c>
      <c r="H183" s="14">
        <v>0.50074985159358421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</row>
    <row r="184" spans="1:14" x14ac:dyDescent="0.3">
      <c r="A184" s="3" t="str">
        <f>INDEX('R1. Scenario specifications'!$C$11:$C$49,MATCH($B184,'R1. Scenario specifications'!$A$11:$A$49,0))</f>
        <v>Current 1.5DS, 2020 start, 'Expect the Unexpected' but with cheap renewables</v>
      </c>
      <c r="B184" s="3" t="s">
        <v>21</v>
      </c>
      <c r="C184" s="3" t="s">
        <v>72</v>
      </c>
      <c r="D184" s="14">
        <v>1517.4635089937533</v>
      </c>
      <c r="E184" s="14">
        <v>1704.9418897085425</v>
      </c>
      <c r="F184" s="14">
        <v>2685.5545190640855</v>
      </c>
      <c r="G184" s="14">
        <v>16858.087537511175</v>
      </c>
      <c r="H184" s="14">
        <v>32302.579709089339</v>
      </c>
      <c r="I184" s="14">
        <v>65723.49866030713</v>
      </c>
      <c r="J184" s="14">
        <v>92044.388912508643</v>
      </c>
      <c r="K184" s="14">
        <v>87463.340676145177</v>
      </c>
      <c r="L184" s="14">
        <v>114456.1353943248</v>
      </c>
      <c r="M184" s="14">
        <v>151178.26534295522</v>
      </c>
      <c r="N184" s="14">
        <v>191384.27901352497</v>
      </c>
    </row>
    <row r="185" spans="1:14" x14ac:dyDescent="0.3">
      <c r="A185" s="3" t="str">
        <f>INDEX('R1. Scenario specifications'!$C$11:$C$49,MATCH($B185,'R1. Scenario specifications'!$A$11:$A$49,0))</f>
        <v>Current 1.5DS, 2030 start, 'Expect the Unexpected' but with cheap renewables</v>
      </c>
      <c r="B185" s="3" t="s">
        <v>22</v>
      </c>
      <c r="C185" s="3" t="s">
        <v>63</v>
      </c>
      <c r="D185" s="14">
        <v>225.44707509197985</v>
      </c>
      <c r="E185" s="14">
        <v>432.13326707926797</v>
      </c>
      <c r="F185" s="14">
        <v>2791.4850951746125</v>
      </c>
      <c r="G185" s="14">
        <v>10791.541692619947</v>
      </c>
      <c r="H185" s="14">
        <v>21691.272679667552</v>
      </c>
      <c r="I185" s="14">
        <v>2432.3490430642833</v>
      </c>
      <c r="J185" s="14">
        <v>236.53898230944378</v>
      </c>
      <c r="K185" s="14">
        <v>54.464504838131596</v>
      </c>
      <c r="L185" s="14">
        <v>424.77846594659303</v>
      </c>
      <c r="M185" s="14">
        <v>332.48079192160776</v>
      </c>
      <c r="N185" s="14">
        <v>81.725581303943272</v>
      </c>
    </row>
    <row r="186" spans="1:14" x14ac:dyDescent="0.3">
      <c r="A186" s="3" t="str">
        <f>INDEX('R1. Scenario specifications'!$C$11:$C$49,MATCH($B186,'R1. Scenario specifications'!$A$11:$A$49,0))</f>
        <v>Current 1.5DS, 2030 start, 'Expect the Unexpected' but with cheap renewables</v>
      </c>
      <c r="B186" s="3" t="s">
        <v>22</v>
      </c>
      <c r="C186" s="3" t="s">
        <v>73</v>
      </c>
      <c r="D186" s="14">
        <v>0</v>
      </c>
      <c r="E186" s="14">
        <v>0</v>
      </c>
      <c r="F186" s="14">
        <v>0</v>
      </c>
      <c r="G186" s="14">
        <v>0</v>
      </c>
      <c r="H186" s="14">
        <v>369.11989539360002</v>
      </c>
      <c r="I186" s="14">
        <v>25171.186247629794</v>
      </c>
      <c r="J186" s="14">
        <v>80977.372923132338</v>
      </c>
      <c r="K186" s="14">
        <v>36000.652805660968</v>
      </c>
      <c r="L186" s="14">
        <v>40703.763758152068</v>
      </c>
      <c r="M186" s="14">
        <v>45407.48467638735</v>
      </c>
      <c r="N186" s="14">
        <v>59286.840279507007</v>
      </c>
    </row>
    <row r="187" spans="1:14" x14ac:dyDescent="0.3">
      <c r="A187" s="3" t="str">
        <f>INDEX('R1. Scenario specifications'!$C$11:$C$49,MATCH($B187,'R1. Scenario specifications'!$A$11:$A$49,0))</f>
        <v>Current 1.5DS, 2030 start, 'Expect the Unexpected' but with cheap renewables</v>
      </c>
      <c r="B187" s="3" t="s">
        <v>22</v>
      </c>
      <c r="C187" s="3" t="s">
        <v>64</v>
      </c>
      <c r="D187" s="14">
        <v>33040.313548549595</v>
      </c>
      <c r="E187" s="14">
        <v>42259.332050485427</v>
      </c>
      <c r="F187" s="14">
        <v>32172.508335863538</v>
      </c>
      <c r="G187" s="14">
        <v>29995.093630544216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</row>
    <row r="188" spans="1:14" x14ac:dyDescent="0.3">
      <c r="A188" s="3" t="str">
        <f>INDEX('R1. Scenario specifications'!$C$11:$C$49,MATCH($B188,'R1. Scenario specifications'!$A$11:$A$49,0))</f>
        <v>Current 1.5DS, 2030 start, 'Expect the Unexpected' but with cheap renewables</v>
      </c>
      <c r="B188" s="3" t="s">
        <v>22</v>
      </c>
      <c r="C188" s="3" t="s">
        <v>65</v>
      </c>
      <c r="D188" s="14">
        <v>14597.074835304187</v>
      </c>
      <c r="E188" s="14">
        <v>15742.568461825351</v>
      </c>
      <c r="F188" s="14">
        <v>23692.881756781935</v>
      </c>
      <c r="G188" s="14">
        <v>18923.773890589895</v>
      </c>
      <c r="H188" s="14">
        <v>8762.5410644813437</v>
      </c>
      <c r="I188" s="14">
        <v>0</v>
      </c>
      <c r="J188" s="14">
        <v>0</v>
      </c>
      <c r="K188" s="14">
        <v>265.02765549876017</v>
      </c>
      <c r="L188" s="14">
        <v>1609.6241617076785</v>
      </c>
      <c r="M188" s="14">
        <v>2849.6604470486873</v>
      </c>
      <c r="N188" s="14">
        <v>2329.3700977025846</v>
      </c>
    </row>
    <row r="189" spans="1:14" x14ac:dyDescent="0.3">
      <c r="A189" s="3" t="str">
        <f>INDEX('R1. Scenario specifications'!$C$11:$C$49,MATCH($B189,'R1. Scenario specifications'!$A$11:$A$49,0))</f>
        <v>Current 1.5DS, 2030 start, 'Expect the Unexpected' but with cheap renewables</v>
      </c>
      <c r="B189" s="3" t="s">
        <v>22</v>
      </c>
      <c r="C189" s="3" t="s">
        <v>74</v>
      </c>
      <c r="D189" s="14">
        <v>0</v>
      </c>
      <c r="E189" s="14">
        <v>0</v>
      </c>
      <c r="F189" s="14">
        <v>0</v>
      </c>
      <c r="G189" s="14">
        <v>0</v>
      </c>
      <c r="H189" s="14">
        <v>56.787676214400008</v>
      </c>
      <c r="I189" s="14">
        <v>10962.981898030108</v>
      </c>
      <c r="J189" s="14">
        <v>31723.557562567177</v>
      </c>
      <c r="K189" s="14">
        <v>1364.000030766354</v>
      </c>
      <c r="L189" s="14">
        <v>1698.4796351534933</v>
      </c>
      <c r="M189" s="14">
        <v>804.29207958436496</v>
      </c>
      <c r="N189" s="14">
        <v>924.03868144272428</v>
      </c>
    </row>
    <row r="190" spans="1:14" x14ac:dyDescent="0.3">
      <c r="A190" s="3" t="str">
        <f>INDEX('R1. Scenario specifications'!$C$11:$C$49,MATCH($B190,'R1. Scenario specifications'!$A$11:$A$49,0))</f>
        <v>Current 1.5DS, 2030 start, 'Expect the Unexpected' but with cheap renewables</v>
      </c>
      <c r="B190" s="3" t="s">
        <v>22</v>
      </c>
      <c r="C190" s="3" t="s">
        <v>66</v>
      </c>
      <c r="D190" s="14">
        <v>202.4480216544064</v>
      </c>
      <c r="E190" s="14">
        <v>194.35225063586262</v>
      </c>
      <c r="F190" s="14">
        <v>2690.096097794773</v>
      </c>
      <c r="G190" s="14">
        <v>4149.3454146666118</v>
      </c>
      <c r="H190" s="14">
        <v>14138.661045358644</v>
      </c>
      <c r="I190" s="14">
        <v>35436.891623432231</v>
      </c>
      <c r="J190" s="14">
        <v>34198.022341491007</v>
      </c>
      <c r="K190" s="14">
        <v>32955.967469056923</v>
      </c>
      <c r="L190" s="14">
        <v>22470.762898519039</v>
      </c>
      <c r="M190" s="14">
        <v>6420.7166375761626</v>
      </c>
      <c r="N190" s="14">
        <v>9324.1873020508938</v>
      </c>
    </row>
    <row r="191" spans="1:14" x14ac:dyDescent="0.3">
      <c r="A191" s="3" t="str">
        <f>INDEX('R1. Scenario specifications'!$C$11:$C$49,MATCH($B191,'R1. Scenario specifications'!$A$11:$A$49,0))</f>
        <v>Current 1.5DS, 2030 start, 'Expect the Unexpected' but with cheap renewables</v>
      </c>
      <c r="B191" s="3" t="s">
        <v>22</v>
      </c>
      <c r="C191" s="3" t="s">
        <v>67</v>
      </c>
      <c r="D191" s="14">
        <v>10255.125599999996</v>
      </c>
      <c r="E191" s="14">
        <v>10349.477981293301</v>
      </c>
      <c r="F191" s="14">
        <v>14634.999767850808</v>
      </c>
      <c r="G191" s="14">
        <v>17168.548108229523</v>
      </c>
      <c r="H191" s="14">
        <v>20789.788082162377</v>
      </c>
      <c r="I191" s="14">
        <v>30784.557600287379</v>
      </c>
      <c r="J191" s="14">
        <v>34192.829404593773</v>
      </c>
      <c r="K191" s="14">
        <v>36900.525111503361</v>
      </c>
      <c r="L191" s="14">
        <v>30117.798665254333</v>
      </c>
      <c r="M191" s="14">
        <v>35236.257683603973</v>
      </c>
      <c r="N191" s="14">
        <v>38376.967207607311</v>
      </c>
    </row>
    <row r="192" spans="1:14" x14ac:dyDescent="0.3">
      <c r="A192" s="3" t="str">
        <f>INDEX('R1. Scenario specifications'!$C$11:$C$49,MATCH($B192,'R1. Scenario specifications'!$A$11:$A$49,0))</f>
        <v>Current 1.5DS, 2030 start, 'Expect the Unexpected' but with cheap renewables</v>
      </c>
      <c r="B192" s="3" t="s">
        <v>22</v>
      </c>
      <c r="C192" s="3" t="s">
        <v>68</v>
      </c>
      <c r="D192" s="14">
        <v>9499.4101148835834</v>
      </c>
      <c r="E192" s="14">
        <v>9854.768593125913</v>
      </c>
      <c r="F192" s="14">
        <v>13753.197500000002</v>
      </c>
      <c r="G192" s="14">
        <v>14514.167854150606</v>
      </c>
      <c r="H192" s="14">
        <v>15191.631806438927</v>
      </c>
      <c r="I192" s="14">
        <v>22237.501768606773</v>
      </c>
      <c r="J192" s="14">
        <v>26150.393330293373</v>
      </c>
      <c r="K192" s="14">
        <v>27129.481099018416</v>
      </c>
      <c r="L192" s="14">
        <v>29039.905749301004</v>
      </c>
      <c r="M192" s="14">
        <v>35035.377892868542</v>
      </c>
      <c r="N192" s="14">
        <v>33419.130710370584</v>
      </c>
    </row>
    <row r="193" spans="1:14" x14ac:dyDescent="0.3">
      <c r="A193" s="3" t="str">
        <f>INDEX('R1. Scenario specifications'!$C$11:$C$49,MATCH($B193,'R1. Scenario specifications'!$A$11:$A$49,0))</f>
        <v>Current 1.5DS, 2030 start, 'Expect the Unexpected' but with cheap renewables</v>
      </c>
      <c r="B193" s="3" t="s">
        <v>22</v>
      </c>
      <c r="C193" s="3" t="s">
        <v>69</v>
      </c>
      <c r="D193" s="14">
        <v>2379.5369238501598</v>
      </c>
      <c r="E193" s="14">
        <v>2356.8190162179026</v>
      </c>
      <c r="F193" s="14">
        <v>2308.8771400062938</v>
      </c>
      <c r="G193" s="14">
        <v>1516.5761695611868</v>
      </c>
      <c r="H193" s="14">
        <v>119.60087754810706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</row>
    <row r="194" spans="1:14" x14ac:dyDescent="0.3">
      <c r="A194" s="3" t="str">
        <f>INDEX('R1. Scenario specifications'!$C$11:$C$49,MATCH($B194,'R1. Scenario specifications'!$A$11:$A$49,0))</f>
        <v>Current 1.5DS, 2030 start, 'Expect the Unexpected' but with cheap renewables</v>
      </c>
      <c r="B194" s="3" t="s">
        <v>22</v>
      </c>
      <c r="C194" s="3" t="s">
        <v>70</v>
      </c>
      <c r="D194" s="14">
        <v>67.937052631788802</v>
      </c>
      <c r="E194" s="14">
        <v>458.66984800047192</v>
      </c>
      <c r="F194" s="14">
        <v>917.48161125092997</v>
      </c>
      <c r="G194" s="14">
        <v>2670.3548260954558</v>
      </c>
      <c r="H194" s="14">
        <v>13974.05855684448</v>
      </c>
      <c r="I194" s="14">
        <v>39419.684605583359</v>
      </c>
      <c r="J194" s="14">
        <v>84058.81016117426</v>
      </c>
      <c r="K194" s="14">
        <v>67879.285122443413</v>
      </c>
      <c r="L194" s="14">
        <v>65888.300403347341</v>
      </c>
      <c r="M194" s="14">
        <v>84542.245106866918</v>
      </c>
      <c r="N194" s="14">
        <v>91630.331144324242</v>
      </c>
    </row>
    <row r="195" spans="1:14" x14ac:dyDescent="0.3">
      <c r="A195" s="3" t="str">
        <f>INDEX('R1. Scenario specifications'!$C$11:$C$49,MATCH($B195,'R1. Scenario specifications'!$A$11:$A$49,0))</f>
        <v>Current 1.5DS, 2030 start, 'Expect the Unexpected' but with cheap renewables</v>
      </c>
      <c r="B195" s="3" t="s">
        <v>22</v>
      </c>
      <c r="C195" s="3" t="s">
        <v>71</v>
      </c>
      <c r="D195" s="14">
        <v>0.68787021919935687</v>
      </c>
      <c r="E195" s="14">
        <v>0.6257617671977489</v>
      </c>
      <c r="F195" s="14">
        <v>0.52638824399517514</v>
      </c>
      <c r="G195" s="14">
        <v>0.35092549599678308</v>
      </c>
      <c r="H195" s="14">
        <v>0.17546274799839201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</row>
    <row r="196" spans="1:14" x14ac:dyDescent="0.3">
      <c r="A196" s="3" t="str">
        <f>INDEX('R1. Scenario specifications'!$C$11:$C$49,MATCH($B196,'R1. Scenario specifications'!$A$11:$A$49,0))</f>
        <v>Current 1.5DS, 2030 start, 'Expect the Unexpected' but with cheap renewables</v>
      </c>
      <c r="B196" s="3" t="s">
        <v>22</v>
      </c>
      <c r="C196" s="3" t="s">
        <v>75</v>
      </c>
      <c r="D196" s="14">
        <v>1.963099940637433</v>
      </c>
      <c r="E196" s="14">
        <v>1.7858497922310126</v>
      </c>
      <c r="F196" s="14">
        <v>1.5022495547807513</v>
      </c>
      <c r="G196" s="14">
        <v>1.0014997031871682</v>
      </c>
      <c r="H196" s="14">
        <v>0.50074985159358421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</row>
    <row r="197" spans="1:14" x14ac:dyDescent="0.3">
      <c r="A197" s="3" t="str">
        <f>INDEX('R1. Scenario specifications'!$C$11:$C$49,MATCH($B197,'R1. Scenario specifications'!$A$11:$A$49,0))</f>
        <v>Current 1.5DS, 2030 start, 'Expect the Unexpected' but with cheap renewables</v>
      </c>
      <c r="B197" s="3" t="s">
        <v>22</v>
      </c>
      <c r="C197" s="3" t="s">
        <v>72</v>
      </c>
      <c r="D197" s="14">
        <v>1517.4635089937533</v>
      </c>
      <c r="E197" s="14">
        <v>1704.9418897085425</v>
      </c>
      <c r="F197" s="14">
        <v>2685.5545190640855</v>
      </c>
      <c r="G197" s="14">
        <v>10882.32058635127</v>
      </c>
      <c r="H197" s="14">
        <v>25826.928961551297</v>
      </c>
      <c r="I197" s="14">
        <v>52189.769849870157</v>
      </c>
      <c r="J197" s="14">
        <v>103353.31328260883</v>
      </c>
      <c r="K197" s="14">
        <v>77834.400466257197</v>
      </c>
      <c r="L197" s="14">
        <v>78326.420243297674</v>
      </c>
      <c r="M197" s="14">
        <v>95407.409929948306</v>
      </c>
      <c r="N197" s="14">
        <v>123429.58853574388</v>
      </c>
    </row>
    <row r="198" spans="1:14" x14ac:dyDescent="0.3">
      <c r="A198" s="3" t="str">
        <f>INDEX('R1. Scenario specifications'!$C$11:$C$49,MATCH($B198,'R1. Scenario specifications'!$A$11:$A$49,0))</f>
        <v>Current 1.5DS, 2020 start, 'Expect the Unexpected' but with cheap CCS</v>
      </c>
      <c r="B198" s="3" t="s">
        <v>23</v>
      </c>
      <c r="C198" s="3" t="s">
        <v>63</v>
      </c>
      <c r="D198" s="14">
        <v>225.44707509197985</v>
      </c>
      <c r="E198" s="14">
        <v>432.13326707926797</v>
      </c>
      <c r="F198" s="14">
        <v>2791.4850951746125</v>
      </c>
      <c r="G198" s="14">
        <v>15525.776677643207</v>
      </c>
      <c r="H198" s="14">
        <v>14028.870853928269</v>
      </c>
      <c r="I198" s="14">
        <v>1975.8711620330134</v>
      </c>
      <c r="J198" s="14">
        <v>213.89887075481977</v>
      </c>
      <c r="K198" s="14">
        <v>0</v>
      </c>
      <c r="L198" s="14">
        <v>77.037101891102296</v>
      </c>
      <c r="M198" s="14">
        <v>74.059578440527702</v>
      </c>
      <c r="N198" s="14">
        <v>71.257781247035297</v>
      </c>
    </row>
    <row r="199" spans="1:14" x14ac:dyDescent="0.3">
      <c r="A199" s="3" t="str">
        <f>INDEX('R1. Scenario specifications'!$C$11:$C$49,MATCH($B199,'R1. Scenario specifications'!$A$11:$A$49,0))</f>
        <v>Current 1.5DS, 2020 start, 'Expect the Unexpected' but with cheap CCS</v>
      </c>
      <c r="B199" s="3" t="s">
        <v>23</v>
      </c>
      <c r="C199" s="3" t="s">
        <v>73</v>
      </c>
      <c r="D199" s="14">
        <v>0</v>
      </c>
      <c r="E199" s="14">
        <v>0</v>
      </c>
      <c r="F199" s="14">
        <v>0</v>
      </c>
      <c r="G199" s="14">
        <v>403.2727199705252</v>
      </c>
      <c r="H199" s="14">
        <v>10870.320974256732</v>
      </c>
      <c r="I199" s="14">
        <v>27894.282607477297</v>
      </c>
      <c r="J199" s="14">
        <v>65901.094547313129</v>
      </c>
      <c r="K199" s="14">
        <v>61886.577242750995</v>
      </c>
      <c r="L199" s="14">
        <v>70498.971199049614</v>
      </c>
      <c r="M199" s="14">
        <v>84113.213207876383</v>
      </c>
      <c r="N199" s="14">
        <v>92412.420514374418</v>
      </c>
    </row>
    <row r="200" spans="1:14" x14ac:dyDescent="0.3">
      <c r="A200" s="3" t="str">
        <f>INDEX('R1. Scenario specifications'!$C$11:$C$49,MATCH($B200,'R1. Scenario specifications'!$A$11:$A$49,0))</f>
        <v>Current 1.5DS, 2020 start, 'Expect the Unexpected' but with cheap CCS</v>
      </c>
      <c r="B200" s="3" t="s">
        <v>23</v>
      </c>
      <c r="C200" s="3" t="s">
        <v>64</v>
      </c>
      <c r="D200" s="14">
        <v>33040.313548549595</v>
      </c>
      <c r="E200" s="14">
        <v>42259.332050485427</v>
      </c>
      <c r="F200" s="14">
        <v>32172.508335863538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</row>
    <row r="201" spans="1:14" x14ac:dyDescent="0.3">
      <c r="A201" s="3" t="str">
        <f>INDEX('R1. Scenario specifications'!$C$11:$C$49,MATCH($B201,'R1. Scenario specifications'!$A$11:$A$49,0))</f>
        <v>Current 1.5DS, 2020 start, 'Expect the Unexpected' but with cheap CCS</v>
      </c>
      <c r="B201" s="3" t="s">
        <v>23</v>
      </c>
      <c r="C201" s="3" t="s">
        <v>65</v>
      </c>
      <c r="D201" s="14">
        <v>14597.074835304187</v>
      </c>
      <c r="E201" s="14">
        <v>15742.568461825351</v>
      </c>
      <c r="F201" s="14">
        <v>23692.881756781935</v>
      </c>
      <c r="G201" s="14">
        <v>27037.011968833889</v>
      </c>
      <c r="H201" s="14">
        <v>424.69892959542449</v>
      </c>
      <c r="I201" s="14">
        <v>0</v>
      </c>
      <c r="J201" s="14">
        <v>0</v>
      </c>
      <c r="K201" s="14">
        <v>0</v>
      </c>
      <c r="L201" s="14">
        <v>15.9890863265239</v>
      </c>
      <c r="M201" s="14">
        <v>0</v>
      </c>
      <c r="N201" s="14">
        <v>0</v>
      </c>
    </row>
    <row r="202" spans="1:14" x14ac:dyDescent="0.3">
      <c r="A202" s="3" t="str">
        <f>INDEX('R1. Scenario specifications'!$C$11:$C$49,MATCH($B202,'R1. Scenario specifications'!$A$11:$A$49,0))</f>
        <v>Current 1.5DS, 2020 start, 'Expect the Unexpected' but with cheap CCS</v>
      </c>
      <c r="B202" s="3" t="s">
        <v>23</v>
      </c>
      <c r="C202" s="3" t="s">
        <v>74</v>
      </c>
      <c r="D202" s="14">
        <v>0</v>
      </c>
      <c r="E202" s="14">
        <v>0</v>
      </c>
      <c r="F202" s="14">
        <v>0</v>
      </c>
      <c r="G202" s="14">
        <v>22.634851637474775</v>
      </c>
      <c r="H202" s="14">
        <v>4070.8088439340963</v>
      </c>
      <c r="I202" s="14">
        <v>33861.02969652912</v>
      </c>
      <c r="J202" s="14">
        <v>33177.217567214757</v>
      </c>
      <c r="K202" s="14">
        <v>5599.5909440550358</v>
      </c>
      <c r="L202" s="14">
        <v>12965.411118996448</v>
      </c>
      <c r="M202" s="14">
        <v>10290.257382641819</v>
      </c>
      <c r="N202" s="14">
        <v>10314.21725992115</v>
      </c>
    </row>
    <row r="203" spans="1:14" x14ac:dyDescent="0.3">
      <c r="A203" s="3" t="str">
        <f>INDEX('R1. Scenario specifications'!$C$11:$C$49,MATCH($B203,'R1. Scenario specifications'!$A$11:$A$49,0))</f>
        <v>Current 1.5DS, 2020 start, 'Expect the Unexpected' but with cheap CCS</v>
      </c>
      <c r="B203" s="3" t="s">
        <v>23</v>
      </c>
      <c r="C203" s="3" t="s">
        <v>66</v>
      </c>
      <c r="D203" s="14">
        <v>202.4480216544064</v>
      </c>
      <c r="E203" s="14">
        <v>194.35225063586262</v>
      </c>
      <c r="F203" s="14">
        <v>2690.096097794773</v>
      </c>
      <c r="G203" s="14">
        <v>6171.3434765499569</v>
      </c>
      <c r="H203" s="14">
        <v>23831.418328581847</v>
      </c>
      <c r="I203" s="14">
        <v>27809.324316938688</v>
      </c>
      <c r="J203" s="14">
        <v>27444.214256212999</v>
      </c>
      <c r="K203" s="14">
        <v>23775.392374839212</v>
      </c>
      <c r="L203" s="14">
        <v>11143.308319978874</v>
      </c>
      <c r="M203" s="14">
        <v>16793.212600212144</v>
      </c>
      <c r="N203" s="14">
        <v>22508.781379416614</v>
      </c>
    </row>
    <row r="204" spans="1:14" x14ac:dyDescent="0.3">
      <c r="A204" s="3" t="str">
        <f>INDEX('R1. Scenario specifications'!$C$11:$C$49,MATCH($B204,'R1. Scenario specifications'!$A$11:$A$49,0))</f>
        <v>Current 1.5DS, 2020 start, 'Expect the Unexpected' but with cheap CCS</v>
      </c>
      <c r="B204" s="3" t="s">
        <v>23</v>
      </c>
      <c r="C204" s="3" t="s">
        <v>67</v>
      </c>
      <c r="D204" s="14">
        <v>10255.125599999996</v>
      </c>
      <c r="E204" s="14">
        <v>10349.477981293301</v>
      </c>
      <c r="F204" s="14">
        <v>14634.999767850808</v>
      </c>
      <c r="G204" s="14">
        <v>18122.491862578743</v>
      </c>
      <c r="H204" s="14">
        <v>27076.221066460512</v>
      </c>
      <c r="I204" s="14">
        <v>31262.479728489365</v>
      </c>
      <c r="J204" s="14">
        <v>35627.071282250428</v>
      </c>
      <c r="K204" s="14">
        <v>36325.149546202818</v>
      </c>
      <c r="L204" s="14">
        <v>40287.532159763308</v>
      </c>
      <c r="M204" s="14">
        <v>41520.613331595414</v>
      </c>
      <c r="N204" s="14">
        <v>42755.629181239085</v>
      </c>
    </row>
    <row r="205" spans="1:14" x14ac:dyDescent="0.3">
      <c r="A205" s="3" t="str">
        <f>INDEX('R1. Scenario specifications'!$C$11:$C$49,MATCH($B205,'R1. Scenario specifications'!$A$11:$A$49,0))</f>
        <v>Current 1.5DS, 2020 start, 'Expect the Unexpected' but with cheap CCS</v>
      </c>
      <c r="B205" s="3" t="s">
        <v>23</v>
      </c>
      <c r="C205" s="3" t="s">
        <v>68</v>
      </c>
      <c r="D205" s="14">
        <v>9499.4101148835834</v>
      </c>
      <c r="E205" s="14">
        <v>9854.768593125913</v>
      </c>
      <c r="F205" s="14">
        <v>13753.197500000002</v>
      </c>
      <c r="G205" s="14">
        <v>14514.167854150604</v>
      </c>
      <c r="H205" s="14">
        <v>17736.301924026731</v>
      </c>
      <c r="I205" s="14">
        <v>24729.320000000007</v>
      </c>
      <c r="J205" s="14">
        <v>29436.277027089724</v>
      </c>
      <c r="K205" s="14">
        <v>31167.367336850752</v>
      </c>
      <c r="L205" s="14">
        <v>35846.591827386263</v>
      </c>
      <c r="M205" s="14">
        <v>38043.533784250118</v>
      </c>
      <c r="N205" s="14">
        <v>39733.174999999996</v>
      </c>
    </row>
    <row r="206" spans="1:14" x14ac:dyDescent="0.3">
      <c r="A206" s="3" t="str">
        <f>INDEX('R1. Scenario specifications'!$C$11:$C$49,MATCH($B206,'R1. Scenario specifications'!$A$11:$A$49,0))</f>
        <v>Current 1.5DS, 2020 start, 'Expect the Unexpected' but with cheap CCS</v>
      </c>
      <c r="B206" s="3" t="s">
        <v>23</v>
      </c>
      <c r="C206" s="3" t="s">
        <v>69</v>
      </c>
      <c r="D206" s="14">
        <v>2379.5369238501598</v>
      </c>
      <c r="E206" s="14">
        <v>2356.8190162179026</v>
      </c>
      <c r="F206" s="14">
        <v>2308.8771400062938</v>
      </c>
      <c r="G206" s="14">
        <v>1503.8223551611877</v>
      </c>
      <c r="H206" s="14">
        <v>67.922332266666274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</row>
    <row r="207" spans="1:14" x14ac:dyDescent="0.3">
      <c r="A207" s="3" t="str">
        <f>INDEX('R1. Scenario specifications'!$C$11:$C$49,MATCH($B207,'R1. Scenario specifications'!$A$11:$A$49,0))</f>
        <v>Current 1.5DS, 2020 start, 'Expect the Unexpected' but with cheap CCS</v>
      </c>
      <c r="B207" s="3" t="s">
        <v>23</v>
      </c>
      <c r="C207" s="3" t="s">
        <v>70</v>
      </c>
      <c r="D207" s="14">
        <v>67.937052631788802</v>
      </c>
      <c r="E207" s="14">
        <v>458.66984800047192</v>
      </c>
      <c r="F207" s="14">
        <v>917.48161125092997</v>
      </c>
      <c r="G207" s="14">
        <v>4403.8172003886039</v>
      </c>
      <c r="H207" s="14">
        <v>17792.25266991862</v>
      </c>
      <c r="I207" s="14">
        <v>42423.957268057711</v>
      </c>
      <c r="J207" s="14">
        <v>68623.413676752927</v>
      </c>
      <c r="K207" s="14">
        <v>63322.745799126795</v>
      </c>
      <c r="L207" s="14">
        <v>83556.960673483642</v>
      </c>
      <c r="M207" s="14">
        <v>96731.158538150092</v>
      </c>
      <c r="N207" s="14">
        <v>111839.18109584054</v>
      </c>
    </row>
    <row r="208" spans="1:14" x14ac:dyDescent="0.3">
      <c r="A208" s="3" t="str">
        <f>INDEX('R1. Scenario specifications'!$C$11:$C$49,MATCH($B208,'R1. Scenario specifications'!$A$11:$A$49,0))</f>
        <v>Current 1.5DS, 2020 start, 'Expect the Unexpected' but with cheap CCS</v>
      </c>
      <c r="B208" s="3" t="s">
        <v>23</v>
      </c>
      <c r="C208" s="3" t="s">
        <v>71</v>
      </c>
      <c r="D208" s="14">
        <v>0.68787021919935687</v>
      </c>
      <c r="E208" s="14">
        <v>0.6257617671977489</v>
      </c>
      <c r="F208" s="14">
        <v>0.52638824399517514</v>
      </c>
      <c r="G208" s="14">
        <v>0.35092549599678308</v>
      </c>
      <c r="H208" s="14">
        <v>0.17546274799839173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</row>
    <row r="209" spans="1:14" x14ac:dyDescent="0.3">
      <c r="A209" s="3" t="str">
        <f>INDEX('R1. Scenario specifications'!$C$11:$C$49,MATCH($B209,'R1. Scenario specifications'!$A$11:$A$49,0))</f>
        <v>Current 1.5DS, 2020 start, 'Expect the Unexpected' but with cheap CCS</v>
      </c>
      <c r="B209" s="3" t="s">
        <v>23</v>
      </c>
      <c r="C209" s="3" t="s">
        <v>75</v>
      </c>
      <c r="D209" s="14">
        <v>1.963099940637433</v>
      </c>
      <c r="E209" s="14">
        <v>1.7858497922310126</v>
      </c>
      <c r="F209" s="14">
        <v>1.5022495547807513</v>
      </c>
      <c r="G209" s="14">
        <v>1.0014997031871673</v>
      </c>
      <c r="H209" s="14">
        <v>0.50074985159358421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</row>
    <row r="210" spans="1:14" x14ac:dyDescent="0.3">
      <c r="A210" s="3" t="str">
        <f>INDEX('R1. Scenario specifications'!$C$11:$C$49,MATCH($B210,'R1. Scenario specifications'!$A$11:$A$49,0))</f>
        <v>Current 1.5DS, 2020 start, 'Expect the Unexpected' but with cheap CCS</v>
      </c>
      <c r="B210" s="3" t="s">
        <v>23</v>
      </c>
      <c r="C210" s="3" t="s">
        <v>72</v>
      </c>
      <c r="D210" s="14">
        <v>1517.4635089937533</v>
      </c>
      <c r="E210" s="14">
        <v>1704.9418897085425</v>
      </c>
      <c r="F210" s="14">
        <v>2685.5545190640855</v>
      </c>
      <c r="G210" s="14">
        <v>13084.955487531341</v>
      </c>
      <c r="H210" s="14">
        <v>28411.318547520939</v>
      </c>
      <c r="I210" s="14">
        <v>59060.336954633458</v>
      </c>
      <c r="J210" s="14">
        <v>91431.677029547369</v>
      </c>
      <c r="K210" s="14">
        <v>82212.073799169695</v>
      </c>
      <c r="L210" s="14">
        <v>113451.01552967538</v>
      </c>
      <c r="M210" s="14">
        <v>150624.01998242337</v>
      </c>
      <c r="N210" s="14">
        <v>193089.30557190347</v>
      </c>
    </row>
    <row r="211" spans="1:14" x14ac:dyDescent="0.3">
      <c r="A211" s="3" t="str">
        <f>INDEX('R1. Scenario specifications'!$C$11:$C$49,MATCH($B211,'R1. Scenario specifications'!$A$11:$A$49,0))</f>
        <v>Current 1.5DS, 2030 start, 'Expect the Unexpected' but with cheap CCS</v>
      </c>
      <c r="B211" s="3" t="s">
        <v>24</v>
      </c>
      <c r="C211" s="3" t="s">
        <v>63</v>
      </c>
      <c r="D211" s="14">
        <v>225.44707509197985</v>
      </c>
      <c r="E211" s="14">
        <v>432.13326707926797</v>
      </c>
      <c r="F211" s="14">
        <v>2791.4850951746125</v>
      </c>
      <c r="G211" s="14">
        <v>10791.541692619947</v>
      </c>
      <c r="H211" s="14">
        <v>24176.463867534731</v>
      </c>
      <c r="I211" s="14">
        <v>4841.0881070552505</v>
      </c>
      <c r="J211" s="14">
        <v>221.63449992090017</v>
      </c>
      <c r="K211" s="14">
        <v>233.10272862366551</v>
      </c>
      <c r="L211" s="14">
        <v>461.31842084704078</v>
      </c>
      <c r="M211" s="14">
        <v>252.8651300098249</v>
      </c>
      <c r="N211" s="14">
        <v>105.52004953435019</v>
      </c>
    </row>
    <row r="212" spans="1:14" x14ac:dyDescent="0.3">
      <c r="A212" s="3" t="str">
        <f>INDEX('R1. Scenario specifications'!$C$11:$C$49,MATCH($B212,'R1. Scenario specifications'!$A$11:$A$49,0))</f>
        <v>Current 1.5DS, 2030 start, 'Expect the Unexpected' but with cheap CCS</v>
      </c>
      <c r="B212" s="3" t="s">
        <v>24</v>
      </c>
      <c r="C212" s="3" t="s">
        <v>73</v>
      </c>
      <c r="D212" s="14">
        <v>0</v>
      </c>
      <c r="E212" s="14">
        <v>0</v>
      </c>
      <c r="F212" s="14">
        <v>0</v>
      </c>
      <c r="G212" s="14">
        <v>0</v>
      </c>
      <c r="H212" s="14">
        <v>340.7893246368933</v>
      </c>
      <c r="I212" s="14">
        <v>25473.358540989968</v>
      </c>
      <c r="J212" s="14">
        <v>80678.970811244217</v>
      </c>
      <c r="K212" s="14">
        <v>36939.610260742411</v>
      </c>
      <c r="L212" s="14">
        <v>40534.569787175249</v>
      </c>
      <c r="M212" s="14">
        <v>45859.882156332249</v>
      </c>
      <c r="N212" s="14">
        <v>60523.460086941697</v>
      </c>
    </row>
    <row r="213" spans="1:14" x14ac:dyDescent="0.3">
      <c r="A213" s="3" t="str">
        <f>INDEX('R1. Scenario specifications'!$C$11:$C$49,MATCH($B213,'R1. Scenario specifications'!$A$11:$A$49,0))</f>
        <v>Current 1.5DS, 2030 start, 'Expect the Unexpected' but with cheap CCS</v>
      </c>
      <c r="B213" s="3" t="s">
        <v>24</v>
      </c>
      <c r="C213" s="3" t="s">
        <v>64</v>
      </c>
      <c r="D213" s="14">
        <v>33040.313548549595</v>
      </c>
      <c r="E213" s="14">
        <v>42259.332050485427</v>
      </c>
      <c r="F213" s="14">
        <v>32172.508335863538</v>
      </c>
      <c r="G213" s="14">
        <v>29995.093630544216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</row>
    <row r="214" spans="1:14" x14ac:dyDescent="0.3">
      <c r="A214" s="3" t="str">
        <f>INDEX('R1. Scenario specifications'!$C$11:$C$49,MATCH($B214,'R1. Scenario specifications'!$A$11:$A$49,0))</f>
        <v>Current 1.5DS, 2030 start, 'Expect the Unexpected' but with cheap CCS</v>
      </c>
      <c r="B214" s="3" t="s">
        <v>24</v>
      </c>
      <c r="C214" s="3" t="s">
        <v>65</v>
      </c>
      <c r="D214" s="14">
        <v>14597.074835304187</v>
      </c>
      <c r="E214" s="14">
        <v>15742.568461825351</v>
      </c>
      <c r="F214" s="14">
        <v>23692.881756781935</v>
      </c>
      <c r="G214" s="14">
        <v>18923.773890589895</v>
      </c>
      <c r="H214" s="14">
        <v>8902.7386124300883</v>
      </c>
      <c r="I214" s="14">
        <v>0</v>
      </c>
      <c r="J214" s="14">
        <v>0</v>
      </c>
      <c r="K214" s="14">
        <v>1210.2509444180412</v>
      </c>
      <c r="L214" s="14">
        <v>1422.9420757892531</v>
      </c>
      <c r="M214" s="14">
        <v>2425.3553949212155</v>
      </c>
      <c r="N214" s="14">
        <v>1491.9049462927867</v>
      </c>
    </row>
    <row r="215" spans="1:14" x14ac:dyDescent="0.3">
      <c r="A215" s="3" t="str">
        <f>INDEX('R1. Scenario specifications'!$C$11:$C$49,MATCH($B215,'R1. Scenario specifications'!$A$11:$A$49,0))</f>
        <v>Current 1.5DS, 2030 start, 'Expect the Unexpected' but with cheap CCS</v>
      </c>
      <c r="B215" s="3" t="s">
        <v>24</v>
      </c>
      <c r="C215" s="3" t="s">
        <v>74</v>
      </c>
      <c r="D215" s="14">
        <v>0</v>
      </c>
      <c r="E215" s="14">
        <v>0</v>
      </c>
      <c r="F215" s="14">
        <v>0</v>
      </c>
      <c r="G215" s="14">
        <v>0</v>
      </c>
      <c r="H215" s="14">
        <v>85.118246971106686</v>
      </c>
      <c r="I215" s="14">
        <v>10863.406371970192</v>
      </c>
      <c r="J215" s="14">
        <v>35128.80901260356</v>
      </c>
      <c r="K215" s="14">
        <v>948.46437839913665</v>
      </c>
      <c r="L215" s="14">
        <v>1519.7982598349981</v>
      </c>
      <c r="M215" s="14">
        <v>1374.6967952637719</v>
      </c>
      <c r="N215" s="14">
        <v>1575.1070732376447</v>
      </c>
    </row>
    <row r="216" spans="1:14" x14ac:dyDescent="0.3">
      <c r="A216" s="3" t="str">
        <f>INDEX('R1. Scenario specifications'!$C$11:$C$49,MATCH($B216,'R1. Scenario specifications'!$A$11:$A$49,0))</f>
        <v>Current 1.5DS, 2030 start, 'Expect the Unexpected' but with cheap CCS</v>
      </c>
      <c r="B216" s="3" t="s">
        <v>24</v>
      </c>
      <c r="C216" s="3" t="s">
        <v>66</v>
      </c>
      <c r="D216" s="14">
        <v>202.4480216544064</v>
      </c>
      <c r="E216" s="14">
        <v>194.35225063586262</v>
      </c>
      <c r="F216" s="14">
        <v>2690.096097794773</v>
      </c>
      <c r="G216" s="14">
        <v>4149.3454146666118</v>
      </c>
      <c r="H216" s="14">
        <v>15275.34834441326</v>
      </c>
      <c r="I216" s="14">
        <v>34850.302743824628</v>
      </c>
      <c r="J216" s="14">
        <v>33691.359167289753</v>
      </c>
      <c r="K216" s="14">
        <v>31973.64520648542</v>
      </c>
      <c r="L216" s="14">
        <v>20196.398423047616</v>
      </c>
      <c r="M216" s="14">
        <v>6621.2194795248488</v>
      </c>
      <c r="N216" s="14">
        <v>9790.9088701537057</v>
      </c>
    </row>
    <row r="217" spans="1:14" x14ac:dyDescent="0.3">
      <c r="A217" s="3" t="str">
        <f>INDEX('R1. Scenario specifications'!$C$11:$C$49,MATCH($B217,'R1. Scenario specifications'!$A$11:$A$49,0))</f>
        <v>Current 1.5DS, 2030 start, 'Expect the Unexpected' but with cheap CCS</v>
      </c>
      <c r="B217" s="3" t="s">
        <v>24</v>
      </c>
      <c r="C217" s="3" t="s">
        <v>67</v>
      </c>
      <c r="D217" s="14">
        <v>10255.125599999996</v>
      </c>
      <c r="E217" s="14">
        <v>10349.477981293301</v>
      </c>
      <c r="F217" s="14">
        <v>14634.999767850808</v>
      </c>
      <c r="G217" s="14">
        <v>17168.548108229523</v>
      </c>
      <c r="H217" s="14">
        <v>20741.876437374704</v>
      </c>
      <c r="I217" s="14">
        <v>29545.0265067771</v>
      </c>
      <c r="J217" s="14">
        <v>34119.309017439911</v>
      </c>
      <c r="K217" s="14">
        <v>36219.739988302717</v>
      </c>
      <c r="L217" s="14">
        <v>30692.368442995372</v>
      </c>
      <c r="M217" s="14">
        <v>35381.900330177465</v>
      </c>
      <c r="N217" s="14">
        <v>37973.666194926787</v>
      </c>
    </row>
    <row r="218" spans="1:14" x14ac:dyDescent="0.3">
      <c r="A218" s="3" t="str">
        <f>INDEX('R1. Scenario specifications'!$C$11:$C$49,MATCH($B218,'R1. Scenario specifications'!$A$11:$A$49,0))</f>
        <v>Current 1.5DS, 2030 start, 'Expect the Unexpected' but with cheap CCS</v>
      </c>
      <c r="B218" s="3" t="s">
        <v>24</v>
      </c>
      <c r="C218" s="3" t="s">
        <v>68</v>
      </c>
      <c r="D218" s="14">
        <v>9499.4101148835834</v>
      </c>
      <c r="E218" s="14">
        <v>9854.768593125913</v>
      </c>
      <c r="F218" s="14">
        <v>13753.197500000002</v>
      </c>
      <c r="G218" s="14">
        <v>14514.167854150606</v>
      </c>
      <c r="H218" s="14">
        <v>15191.631806438927</v>
      </c>
      <c r="I218" s="14">
        <v>22237.501768606766</v>
      </c>
      <c r="J218" s="14">
        <v>26150.393330293362</v>
      </c>
      <c r="K218" s="14">
        <v>28214.064929933284</v>
      </c>
      <c r="L218" s="14">
        <v>29596.559741268509</v>
      </c>
      <c r="M218" s="14">
        <v>34348.929999999993</v>
      </c>
      <c r="N218" s="14">
        <v>32998.118842553726</v>
      </c>
    </row>
    <row r="219" spans="1:14" x14ac:dyDescent="0.3">
      <c r="A219" s="3" t="str">
        <f>INDEX('R1. Scenario specifications'!$C$11:$C$49,MATCH($B219,'R1. Scenario specifications'!$A$11:$A$49,0))</f>
        <v>Current 1.5DS, 2030 start, 'Expect the Unexpected' but with cheap CCS</v>
      </c>
      <c r="B219" s="3" t="s">
        <v>24</v>
      </c>
      <c r="C219" s="3" t="s">
        <v>69</v>
      </c>
      <c r="D219" s="14">
        <v>2379.5369238501598</v>
      </c>
      <c r="E219" s="14">
        <v>2356.8190162179026</v>
      </c>
      <c r="F219" s="14">
        <v>2308.8771400062938</v>
      </c>
      <c r="G219" s="14">
        <v>1516.5761695611868</v>
      </c>
      <c r="H219" s="14">
        <v>67.922332266666302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</row>
    <row r="220" spans="1:14" x14ac:dyDescent="0.3">
      <c r="A220" s="3" t="str">
        <f>INDEX('R1. Scenario specifications'!$C$11:$C$49,MATCH($B220,'R1. Scenario specifications'!$A$11:$A$49,0))</f>
        <v>Current 1.5DS, 2030 start, 'Expect the Unexpected' but with cheap CCS</v>
      </c>
      <c r="B220" s="3" t="s">
        <v>24</v>
      </c>
      <c r="C220" s="3" t="s">
        <v>70</v>
      </c>
      <c r="D220" s="14">
        <v>67.937052631788802</v>
      </c>
      <c r="E220" s="14">
        <v>458.66984800047192</v>
      </c>
      <c r="F220" s="14">
        <v>917.48161125092997</v>
      </c>
      <c r="G220" s="14">
        <v>2670.3548260954558</v>
      </c>
      <c r="H220" s="14">
        <v>11369.021149564496</v>
      </c>
      <c r="I220" s="14">
        <v>33518.21895905889</v>
      </c>
      <c r="J220" s="14">
        <v>79111.083544082765</v>
      </c>
      <c r="K220" s="14">
        <v>64464.395490616196</v>
      </c>
      <c r="L220" s="14">
        <v>62729.049425912577</v>
      </c>
      <c r="M220" s="14">
        <v>80146.014262762052</v>
      </c>
      <c r="N220" s="14">
        <v>89451.976827301172</v>
      </c>
    </row>
    <row r="221" spans="1:14" x14ac:dyDescent="0.3">
      <c r="A221" s="3" t="str">
        <f>INDEX('R1. Scenario specifications'!$C$11:$C$49,MATCH($B221,'R1. Scenario specifications'!$A$11:$A$49,0))</f>
        <v>Current 1.5DS, 2030 start, 'Expect the Unexpected' but with cheap CCS</v>
      </c>
      <c r="B221" s="3" t="s">
        <v>24</v>
      </c>
      <c r="C221" s="3" t="s">
        <v>71</v>
      </c>
      <c r="D221" s="14">
        <v>0.68787021919935687</v>
      </c>
      <c r="E221" s="14">
        <v>0.6257617671977489</v>
      </c>
      <c r="F221" s="14">
        <v>0.52638824399517514</v>
      </c>
      <c r="G221" s="14">
        <v>0.35092549599678308</v>
      </c>
      <c r="H221" s="14">
        <v>0.17546274799839173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</row>
    <row r="222" spans="1:14" x14ac:dyDescent="0.3">
      <c r="A222" s="3" t="str">
        <f>INDEX('R1. Scenario specifications'!$C$11:$C$49,MATCH($B222,'R1. Scenario specifications'!$A$11:$A$49,0))</f>
        <v>Current 1.5DS, 2030 start, 'Expect the Unexpected' but with cheap CCS</v>
      </c>
      <c r="B222" s="3" t="s">
        <v>24</v>
      </c>
      <c r="C222" s="3" t="s">
        <v>75</v>
      </c>
      <c r="D222" s="14">
        <v>1.963099940637433</v>
      </c>
      <c r="E222" s="14">
        <v>1.7858497922310126</v>
      </c>
      <c r="F222" s="14">
        <v>1.5022495547807513</v>
      </c>
      <c r="G222" s="14">
        <v>1.0014997031871682</v>
      </c>
      <c r="H222" s="14">
        <v>0.50074985159358421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</row>
    <row r="223" spans="1:14" x14ac:dyDescent="0.3">
      <c r="A223" s="3" t="str">
        <f>INDEX('R1. Scenario specifications'!$C$11:$C$49,MATCH($B223,'R1. Scenario specifications'!$A$11:$A$49,0))</f>
        <v>Current 1.5DS, 2030 start, 'Expect the Unexpected' but with cheap CCS</v>
      </c>
      <c r="B223" s="3" t="s">
        <v>24</v>
      </c>
      <c r="C223" s="3" t="s">
        <v>72</v>
      </c>
      <c r="D223" s="14">
        <v>1517.4635089937533</v>
      </c>
      <c r="E223" s="14">
        <v>1704.9418897085425</v>
      </c>
      <c r="F223" s="14">
        <v>2685.5545190640855</v>
      </c>
      <c r="G223" s="14">
        <v>10882.32058635127</v>
      </c>
      <c r="H223" s="14">
        <v>24084.253617193102</v>
      </c>
      <c r="I223" s="14">
        <v>48641.893581037868</v>
      </c>
      <c r="J223" s="14">
        <v>100707.86142039642</v>
      </c>
      <c r="K223" s="14">
        <v>75909.943436818925</v>
      </c>
      <c r="L223" s="14">
        <v>76116.69057671052</v>
      </c>
      <c r="M223" s="14">
        <v>95068.172569746035</v>
      </c>
      <c r="N223" s="14">
        <v>123057.68815670459</v>
      </c>
    </row>
    <row r="224" spans="1:14" x14ac:dyDescent="0.3">
      <c r="A224" s="3" t="str">
        <f>INDEX('R1. Scenario specifications'!$C$11:$C$49,MATCH($B224,'R1. Scenario specifications'!$A$11:$A$49,0))</f>
        <v>Current 1.5DS, 2020 start, 'Expect the Unexpected' but with cheap EVs</v>
      </c>
      <c r="B224" s="3" t="s">
        <v>25</v>
      </c>
      <c r="C224" s="3" t="s">
        <v>63</v>
      </c>
      <c r="D224" s="14">
        <v>225.44707509197985</v>
      </c>
      <c r="E224" s="14">
        <v>432.13326707926797</v>
      </c>
      <c r="F224" s="14">
        <v>2791.4850951746125</v>
      </c>
      <c r="G224" s="14">
        <v>14842.008226359896</v>
      </c>
      <c r="H224" s="14">
        <v>14235.46331618663</v>
      </c>
      <c r="I224" s="14">
        <v>1501.4993657264058</v>
      </c>
      <c r="J224" s="14">
        <v>222.89575192875733</v>
      </c>
      <c r="K224" s="14">
        <v>2.7771895576461543E-2</v>
      </c>
      <c r="L224" s="14">
        <v>77.037101891102296</v>
      </c>
      <c r="M224" s="14">
        <v>74.059578440527403</v>
      </c>
      <c r="N224" s="14">
        <v>71.257781247035297</v>
      </c>
    </row>
    <row r="225" spans="1:14" x14ac:dyDescent="0.3">
      <c r="A225" s="3" t="str">
        <f>INDEX('R1. Scenario specifications'!$C$11:$C$49,MATCH($B225,'R1. Scenario specifications'!$A$11:$A$49,0))</f>
        <v>Current 1.5DS, 2020 start, 'Expect the Unexpected' but with cheap EVs</v>
      </c>
      <c r="B225" s="3" t="s">
        <v>25</v>
      </c>
      <c r="C225" s="3" t="s">
        <v>73</v>
      </c>
      <c r="D225" s="14">
        <v>0</v>
      </c>
      <c r="E225" s="14">
        <v>0</v>
      </c>
      <c r="F225" s="14">
        <v>0</v>
      </c>
      <c r="G225" s="14">
        <v>403.28077028310884</v>
      </c>
      <c r="H225" s="14">
        <v>11253.559170898616</v>
      </c>
      <c r="I225" s="14">
        <v>27576.513746536144</v>
      </c>
      <c r="J225" s="14">
        <v>65937.507724092633</v>
      </c>
      <c r="K225" s="14">
        <v>61800.150315407504</v>
      </c>
      <c r="L225" s="14">
        <v>70263.049577588987</v>
      </c>
      <c r="M225" s="14">
        <v>84484.589887426249</v>
      </c>
      <c r="N225" s="14">
        <v>92723.039685765063</v>
      </c>
    </row>
    <row r="226" spans="1:14" x14ac:dyDescent="0.3">
      <c r="A226" s="3" t="str">
        <f>INDEX('R1. Scenario specifications'!$C$11:$C$49,MATCH($B226,'R1. Scenario specifications'!$A$11:$A$49,0))</f>
        <v>Current 1.5DS, 2020 start, 'Expect the Unexpected' but with cheap EVs</v>
      </c>
      <c r="B226" s="3" t="s">
        <v>25</v>
      </c>
      <c r="C226" s="3" t="s">
        <v>64</v>
      </c>
      <c r="D226" s="14">
        <v>33040.313548549595</v>
      </c>
      <c r="E226" s="14">
        <v>42259.332050485427</v>
      </c>
      <c r="F226" s="14">
        <v>32172.508335863538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</row>
    <row r="227" spans="1:14" x14ac:dyDescent="0.3">
      <c r="A227" s="3" t="str">
        <f>INDEX('R1. Scenario specifications'!$C$11:$C$49,MATCH($B227,'R1. Scenario specifications'!$A$11:$A$49,0))</f>
        <v>Current 1.5DS, 2020 start, 'Expect the Unexpected' but with cheap EVs</v>
      </c>
      <c r="B227" s="3" t="s">
        <v>25</v>
      </c>
      <c r="C227" s="3" t="s">
        <v>65</v>
      </c>
      <c r="D227" s="14">
        <v>14597.074835304187</v>
      </c>
      <c r="E227" s="14">
        <v>15742.568461825351</v>
      </c>
      <c r="F227" s="14">
        <v>23692.881756781935</v>
      </c>
      <c r="G227" s="14">
        <v>29670.031852617652</v>
      </c>
      <c r="H227" s="14">
        <v>481.18149296108038</v>
      </c>
      <c r="I227" s="14">
        <v>0</v>
      </c>
      <c r="J227" s="14">
        <v>0</v>
      </c>
      <c r="K227" s="14">
        <v>0</v>
      </c>
      <c r="L227" s="14">
        <v>17.788287251937199</v>
      </c>
      <c r="M227" s="14">
        <v>0</v>
      </c>
      <c r="N227" s="14">
        <v>0</v>
      </c>
    </row>
    <row r="228" spans="1:14" x14ac:dyDescent="0.3">
      <c r="A228" s="3" t="str">
        <f>INDEX('R1. Scenario specifications'!$C$11:$C$49,MATCH($B228,'R1. Scenario specifications'!$A$11:$A$49,0))</f>
        <v>Current 1.5DS, 2020 start, 'Expect the Unexpected' but with cheap EVs</v>
      </c>
      <c r="B228" s="3" t="s">
        <v>25</v>
      </c>
      <c r="C228" s="3" t="s">
        <v>74</v>
      </c>
      <c r="D228" s="14">
        <v>0</v>
      </c>
      <c r="E228" s="14">
        <v>0</v>
      </c>
      <c r="F228" s="14">
        <v>0</v>
      </c>
      <c r="G228" s="14">
        <v>22.626801324891176</v>
      </c>
      <c r="H228" s="14">
        <v>3831.245636159741</v>
      </c>
      <c r="I228" s="14">
        <v>35007.591971815287</v>
      </c>
      <c r="J228" s="14">
        <v>33843.32052869063</v>
      </c>
      <c r="K228" s="14">
        <v>7879.5007004157869</v>
      </c>
      <c r="L228" s="14">
        <v>14601.172557083555</v>
      </c>
      <c r="M228" s="14">
        <v>10876.015601058532</v>
      </c>
      <c r="N228" s="14">
        <v>10844.848657368158</v>
      </c>
    </row>
    <row r="229" spans="1:14" x14ac:dyDescent="0.3">
      <c r="A229" s="3" t="str">
        <f>INDEX('R1. Scenario specifications'!$C$11:$C$49,MATCH($B229,'R1. Scenario specifications'!$A$11:$A$49,0))</f>
        <v>Current 1.5DS, 2020 start, 'Expect the Unexpected' but with cheap EVs</v>
      </c>
      <c r="B229" s="3" t="s">
        <v>25</v>
      </c>
      <c r="C229" s="3" t="s">
        <v>66</v>
      </c>
      <c r="D229" s="14">
        <v>202.4480216544064</v>
      </c>
      <c r="E229" s="14">
        <v>194.35225063586262</v>
      </c>
      <c r="F229" s="14">
        <v>2690.096097794773</v>
      </c>
      <c r="G229" s="14">
        <v>6127.8645620215721</v>
      </c>
      <c r="H229" s="14">
        <v>23349.616701279941</v>
      </c>
      <c r="I229" s="14">
        <v>27669.386056902342</v>
      </c>
      <c r="J229" s="14">
        <v>27491.282804643</v>
      </c>
      <c r="K229" s="14">
        <v>24030.826745812807</v>
      </c>
      <c r="L229" s="14">
        <v>11757.186746353997</v>
      </c>
      <c r="M229" s="14">
        <v>17238.415445055281</v>
      </c>
      <c r="N229" s="14">
        <v>23195.028916152653</v>
      </c>
    </row>
    <row r="230" spans="1:14" x14ac:dyDescent="0.3">
      <c r="A230" s="3" t="str">
        <f>INDEX('R1. Scenario specifications'!$C$11:$C$49,MATCH($B230,'R1. Scenario specifications'!$A$11:$A$49,0))</f>
        <v>Current 1.5DS, 2020 start, 'Expect the Unexpected' but with cheap EVs</v>
      </c>
      <c r="B230" s="3" t="s">
        <v>25</v>
      </c>
      <c r="C230" s="3" t="s">
        <v>67</v>
      </c>
      <c r="D230" s="14">
        <v>10255.125599999996</v>
      </c>
      <c r="E230" s="14">
        <v>10349.477981293301</v>
      </c>
      <c r="F230" s="14">
        <v>14634.999767850808</v>
      </c>
      <c r="G230" s="14">
        <v>18123.009718498997</v>
      </c>
      <c r="H230" s="14">
        <v>27103.684034283946</v>
      </c>
      <c r="I230" s="14">
        <v>31366.606695745471</v>
      </c>
      <c r="J230" s="14">
        <v>35765.63616907347</v>
      </c>
      <c r="K230" s="14">
        <v>36649.125658051213</v>
      </c>
      <c r="L230" s="14">
        <v>40319.52328941349</v>
      </c>
      <c r="M230" s="14">
        <v>41612.033410422577</v>
      </c>
      <c r="N230" s="14">
        <v>42833.259911888395</v>
      </c>
    </row>
    <row r="231" spans="1:14" x14ac:dyDescent="0.3">
      <c r="A231" s="3" t="str">
        <f>INDEX('R1. Scenario specifications'!$C$11:$C$49,MATCH($B231,'R1. Scenario specifications'!$A$11:$A$49,0))</f>
        <v>Current 1.5DS, 2020 start, 'Expect the Unexpected' but with cheap EVs</v>
      </c>
      <c r="B231" s="3" t="s">
        <v>25</v>
      </c>
      <c r="C231" s="3" t="s">
        <v>68</v>
      </c>
      <c r="D231" s="14">
        <v>9499.4101148835834</v>
      </c>
      <c r="E231" s="14">
        <v>9854.768593125913</v>
      </c>
      <c r="F231" s="14">
        <v>13753.197500000002</v>
      </c>
      <c r="G231" s="14">
        <v>14514.167854150604</v>
      </c>
      <c r="H231" s="14">
        <v>17768.724696857524</v>
      </c>
      <c r="I231" s="14">
        <v>24733.869122662094</v>
      </c>
      <c r="J231" s="14">
        <v>29447.081752809056</v>
      </c>
      <c r="K231" s="14">
        <v>31157.254900431963</v>
      </c>
      <c r="L231" s="14">
        <v>35855.340823261431</v>
      </c>
      <c r="M231" s="14">
        <v>38100.824119550663</v>
      </c>
      <c r="N231" s="14">
        <v>39637.540124127663</v>
      </c>
    </row>
    <row r="232" spans="1:14" x14ac:dyDescent="0.3">
      <c r="A232" s="3" t="str">
        <f>INDEX('R1. Scenario specifications'!$C$11:$C$49,MATCH($B232,'R1. Scenario specifications'!$A$11:$A$49,0))</f>
        <v>Current 1.5DS, 2020 start, 'Expect the Unexpected' but with cheap EVs</v>
      </c>
      <c r="B232" s="3" t="s">
        <v>25</v>
      </c>
      <c r="C232" s="3" t="s">
        <v>69</v>
      </c>
      <c r="D232" s="14">
        <v>2379.5369238501598</v>
      </c>
      <c r="E232" s="14">
        <v>2356.8190162179026</v>
      </c>
      <c r="F232" s="14">
        <v>2308.8771400062938</v>
      </c>
      <c r="G232" s="14">
        <v>1503.822355161187</v>
      </c>
      <c r="H232" s="14">
        <v>67.922332266666274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</row>
    <row r="233" spans="1:14" x14ac:dyDescent="0.3">
      <c r="A233" s="3" t="str">
        <f>INDEX('R1. Scenario specifications'!$C$11:$C$49,MATCH($B233,'R1. Scenario specifications'!$A$11:$A$49,0))</f>
        <v>Current 1.5DS, 2020 start, 'Expect the Unexpected' but with cheap EVs</v>
      </c>
      <c r="B233" s="3" t="s">
        <v>25</v>
      </c>
      <c r="C233" s="3" t="s">
        <v>70</v>
      </c>
      <c r="D233" s="14">
        <v>67.937052631788802</v>
      </c>
      <c r="E233" s="14">
        <v>458.66984800047192</v>
      </c>
      <c r="F233" s="14">
        <v>917.48161125092997</v>
      </c>
      <c r="G233" s="14">
        <v>4403.8172003886039</v>
      </c>
      <c r="H233" s="14">
        <v>17762.24164702648</v>
      </c>
      <c r="I233" s="14">
        <v>42443.569447221395</v>
      </c>
      <c r="J233" s="14">
        <v>68463.0356064472</v>
      </c>
      <c r="K233" s="14">
        <v>63376.381643149631</v>
      </c>
      <c r="L233" s="14">
        <v>83374.544198614967</v>
      </c>
      <c r="M233" s="14">
        <v>96883.430184293189</v>
      </c>
      <c r="N233" s="14">
        <v>112297.8975490913</v>
      </c>
    </row>
    <row r="234" spans="1:14" x14ac:dyDescent="0.3">
      <c r="A234" s="3" t="str">
        <f>INDEX('R1. Scenario specifications'!$C$11:$C$49,MATCH($B234,'R1. Scenario specifications'!$A$11:$A$49,0))</f>
        <v>Current 1.5DS, 2020 start, 'Expect the Unexpected' but with cheap EVs</v>
      </c>
      <c r="B234" s="3" t="s">
        <v>25</v>
      </c>
      <c r="C234" s="3" t="s">
        <v>71</v>
      </c>
      <c r="D234" s="14">
        <v>0.68787021919935687</v>
      </c>
      <c r="E234" s="14">
        <v>0.6257617671977489</v>
      </c>
      <c r="F234" s="14">
        <v>0.52638824399517514</v>
      </c>
      <c r="G234" s="14">
        <v>0.35092549599678308</v>
      </c>
      <c r="H234" s="14">
        <v>0.17546274799839173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</row>
    <row r="235" spans="1:14" x14ac:dyDescent="0.3">
      <c r="A235" s="3" t="str">
        <f>INDEX('R1. Scenario specifications'!$C$11:$C$49,MATCH($B235,'R1. Scenario specifications'!$A$11:$A$49,0))</f>
        <v>Current 1.5DS, 2020 start, 'Expect the Unexpected' but with cheap EVs</v>
      </c>
      <c r="B235" s="3" t="s">
        <v>25</v>
      </c>
      <c r="C235" s="3" t="s">
        <v>75</v>
      </c>
      <c r="D235" s="14">
        <v>1.963099940637433</v>
      </c>
      <c r="E235" s="14">
        <v>1.7858497922310126</v>
      </c>
      <c r="F235" s="14">
        <v>1.5022495547807513</v>
      </c>
      <c r="G235" s="14">
        <v>1.0014997031871673</v>
      </c>
      <c r="H235" s="14">
        <v>0.50074985159358409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</row>
    <row r="236" spans="1:14" x14ac:dyDescent="0.3">
      <c r="A236" s="3" t="str">
        <f>INDEX('R1. Scenario specifications'!$C$11:$C$49,MATCH($B236,'R1. Scenario specifications'!$A$11:$A$49,0))</f>
        <v>Current 1.5DS, 2020 start, 'Expect the Unexpected' but with cheap EVs</v>
      </c>
      <c r="B236" s="3" t="s">
        <v>25</v>
      </c>
      <c r="C236" s="3" t="s">
        <v>72</v>
      </c>
      <c r="D236" s="14">
        <v>1517.4635089937533</v>
      </c>
      <c r="E236" s="14">
        <v>1704.9418897085425</v>
      </c>
      <c r="F236" s="14">
        <v>2685.5545190640855</v>
      </c>
      <c r="G236" s="14">
        <v>13084.955487531341</v>
      </c>
      <c r="H236" s="14">
        <v>28296.763540436554</v>
      </c>
      <c r="I236" s="14">
        <v>58977.692966210896</v>
      </c>
      <c r="J236" s="14">
        <v>91603.086742068728</v>
      </c>
      <c r="K236" s="14">
        <v>83207.931727390896</v>
      </c>
      <c r="L236" s="14">
        <v>114326.46394186703</v>
      </c>
      <c r="M236" s="14">
        <v>152163.83458804138</v>
      </c>
      <c r="N236" s="14">
        <v>194443.89510976616</v>
      </c>
    </row>
    <row r="237" spans="1:14" x14ac:dyDescent="0.3">
      <c r="A237" s="3" t="str">
        <f>INDEX('R1. Scenario specifications'!$C$11:$C$49,MATCH($B237,'R1. Scenario specifications'!$A$11:$A$49,0))</f>
        <v>Current 2DS, 2030 start, 'Expect the Unexpected'</v>
      </c>
      <c r="B237" s="3" t="s">
        <v>26</v>
      </c>
      <c r="C237" s="3" t="s">
        <v>63</v>
      </c>
      <c r="D237" s="14">
        <v>225.44707509197985</v>
      </c>
      <c r="E237" s="14">
        <v>432.13326707926797</v>
      </c>
      <c r="F237" s="14">
        <v>2791.4850951746125</v>
      </c>
      <c r="G237" s="14">
        <v>10791.541692619947</v>
      </c>
      <c r="H237" s="14">
        <v>15440.70490179696</v>
      </c>
      <c r="I237" s="14">
        <v>15284.36733404034</v>
      </c>
      <c r="J237" s="14">
        <v>8515.686821200803</v>
      </c>
      <c r="K237" s="14">
        <v>2805.2790913572298</v>
      </c>
      <c r="L237" s="14">
        <v>241.22289209516276</v>
      </c>
      <c r="M237" s="14">
        <v>72.924045677437292</v>
      </c>
      <c r="N237" s="14">
        <v>72.924045677437292</v>
      </c>
    </row>
    <row r="238" spans="1:14" x14ac:dyDescent="0.3">
      <c r="A238" s="3" t="str">
        <f>INDEX('R1. Scenario specifications'!$C$11:$C$49,MATCH($B238,'R1. Scenario specifications'!$A$11:$A$49,0))</f>
        <v>Current 2DS, 2030 start, 'Expect the Unexpected'</v>
      </c>
      <c r="B238" s="3" t="s">
        <v>26</v>
      </c>
      <c r="C238" s="3" t="s">
        <v>73</v>
      </c>
      <c r="D238" s="14">
        <v>0</v>
      </c>
      <c r="E238" s="14">
        <v>0</v>
      </c>
      <c r="F238" s="14">
        <v>0</v>
      </c>
      <c r="G238" s="14">
        <v>0</v>
      </c>
      <c r="H238" s="14">
        <v>270.00985899650868</v>
      </c>
      <c r="I238" s="14">
        <v>2169.837927123408</v>
      </c>
      <c r="J238" s="14">
        <v>12938.404540249272</v>
      </c>
      <c r="K238" s="14">
        <v>36935.123364192586</v>
      </c>
      <c r="L238" s="14">
        <v>63976.353637159496</v>
      </c>
      <c r="M238" s="14">
        <v>81083.247529628003</v>
      </c>
      <c r="N238" s="14">
        <v>87776.521074442906</v>
      </c>
    </row>
    <row r="239" spans="1:14" x14ac:dyDescent="0.3">
      <c r="A239" s="3" t="str">
        <f>INDEX('R1. Scenario specifications'!$C$11:$C$49,MATCH($B239,'R1. Scenario specifications'!$A$11:$A$49,0))</f>
        <v>Current 2DS, 2030 start, 'Expect the Unexpected'</v>
      </c>
      <c r="B239" s="3" t="s">
        <v>26</v>
      </c>
      <c r="C239" s="3" t="s">
        <v>64</v>
      </c>
      <c r="D239" s="14">
        <v>33040.313548549595</v>
      </c>
      <c r="E239" s="14">
        <v>42259.332050485427</v>
      </c>
      <c r="F239" s="14">
        <v>32172.508335863538</v>
      </c>
      <c r="G239" s="14">
        <v>29995.093630544216</v>
      </c>
      <c r="H239" s="14">
        <v>8390.8155515261678</v>
      </c>
      <c r="I239" s="14">
        <v>465.380187912461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</row>
    <row r="240" spans="1:14" x14ac:dyDescent="0.3">
      <c r="A240" s="3" t="str">
        <f>INDEX('R1. Scenario specifications'!$C$11:$C$49,MATCH($B240,'R1. Scenario specifications'!$A$11:$A$49,0))</f>
        <v>Current 2DS, 2030 start, 'Expect the Unexpected'</v>
      </c>
      <c r="B240" s="3" t="s">
        <v>26</v>
      </c>
      <c r="C240" s="3" t="s">
        <v>65</v>
      </c>
      <c r="D240" s="14">
        <v>14597.074835304187</v>
      </c>
      <c r="E240" s="14">
        <v>15742.568461825351</v>
      </c>
      <c r="F240" s="14">
        <v>23692.881756781935</v>
      </c>
      <c r="G240" s="14">
        <v>18923.773890589895</v>
      </c>
      <c r="H240" s="14">
        <v>18754.712740386818</v>
      </c>
      <c r="I240" s="14">
        <v>10129.993726845913</v>
      </c>
      <c r="J240" s="14">
        <v>6743.7785244863408</v>
      </c>
      <c r="K240" s="14">
        <v>3290.9310036734178</v>
      </c>
      <c r="L240" s="14">
        <v>916.0878555553968</v>
      </c>
      <c r="M240" s="14">
        <v>0</v>
      </c>
      <c r="N240" s="14">
        <v>0</v>
      </c>
    </row>
    <row r="241" spans="1:14" x14ac:dyDescent="0.3">
      <c r="A241" s="3" t="str">
        <f>INDEX('R1. Scenario specifications'!$C$11:$C$49,MATCH($B241,'R1. Scenario specifications'!$A$11:$A$49,0))</f>
        <v>Current 2DS, 2030 start, 'Expect the Unexpected'</v>
      </c>
      <c r="B241" s="3" t="s">
        <v>26</v>
      </c>
      <c r="C241" s="3" t="s">
        <v>74</v>
      </c>
      <c r="D241" s="14">
        <v>0</v>
      </c>
      <c r="E241" s="14">
        <v>0</v>
      </c>
      <c r="F241" s="14">
        <v>0</v>
      </c>
      <c r="G241" s="14">
        <v>0</v>
      </c>
      <c r="H241" s="14">
        <v>2.9697125574700269</v>
      </c>
      <c r="I241" s="14">
        <v>70.819287993947157</v>
      </c>
      <c r="J241" s="14">
        <v>1218.9636603452548</v>
      </c>
      <c r="K241" s="14">
        <v>1435.6261088720717</v>
      </c>
      <c r="L241" s="14">
        <v>4173.2897604409181</v>
      </c>
      <c r="M241" s="14">
        <v>8106.9454842062751</v>
      </c>
      <c r="N241" s="14">
        <v>9366.8064378405761</v>
      </c>
    </row>
    <row r="242" spans="1:14" x14ac:dyDescent="0.3">
      <c r="A242" s="3" t="str">
        <f>INDEX('R1. Scenario specifications'!$C$11:$C$49,MATCH($B242,'R1. Scenario specifications'!$A$11:$A$49,0))</f>
        <v>Current 2DS, 2030 start, 'Expect the Unexpected'</v>
      </c>
      <c r="B242" s="3" t="s">
        <v>26</v>
      </c>
      <c r="C242" s="3" t="s">
        <v>66</v>
      </c>
      <c r="D242" s="14">
        <v>202.4480216544064</v>
      </c>
      <c r="E242" s="14">
        <v>194.35225063586262</v>
      </c>
      <c r="F242" s="14">
        <v>2690.096097794773</v>
      </c>
      <c r="G242" s="14">
        <v>4149.3454146666118</v>
      </c>
      <c r="H242" s="14">
        <v>5663.1303097949549</v>
      </c>
      <c r="I242" s="14">
        <v>8258.9392853750469</v>
      </c>
      <c r="J242" s="14">
        <v>13678.159618389587</v>
      </c>
      <c r="K242" s="14">
        <v>14041.946464546398</v>
      </c>
      <c r="L242" s="14">
        <v>15179.616443003628</v>
      </c>
      <c r="M242" s="14">
        <v>21947.119950529108</v>
      </c>
      <c r="N242" s="14">
        <v>27097.597125851524</v>
      </c>
    </row>
    <row r="243" spans="1:14" x14ac:dyDescent="0.3">
      <c r="A243" s="3" t="str">
        <f>INDEX('R1. Scenario specifications'!$C$11:$C$49,MATCH($B243,'R1. Scenario specifications'!$A$11:$A$49,0))</f>
        <v>Current 2DS, 2030 start, 'Expect the Unexpected'</v>
      </c>
      <c r="B243" s="3" t="s">
        <v>26</v>
      </c>
      <c r="C243" s="3" t="s">
        <v>67</v>
      </c>
      <c r="D243" s="14">
        <v>10255.125599999996</v>
      </c>
      <c r="E243" s="14">
        <v>10349.477981293301</v>
      </c>
      <c r="F243" s="14">
        <v>14634.999767850808</v>
      </c>
      <c r="G243" s="14">
        <v>17168.548108229523</v>
      </c>
      <c r="H243" s="14">
        <v>19644.239865638818</v>
      </c>
      <c r="I243" s="14">
        <v>24529.344910639837</v>
      </c>
      <c r="J243" s="14">
        <v>26240.228346390999</v>
      </c>
      <c r="K243" s="14">
        <v>27203.153573047093</v>
      </c>
      <c r="L243" s="14">
        <v>30050.462436225163</v>
      </c>
      <c r="M243" s="14">
        <v>36654.414028672043</v>
      </c>
      <c r="N243" s="14">
        <v>38787.139304742625</v>
      </c>
    </row>
    <row r="244" spans="1:14" x14ac:dyDescent="0.3">
      <c r="A244" s="3" t="str">
        <f>INDEX('R1. Scenario specifications'!$C$11:$C$49,MATCH($B244,'R1. Scenario specifications'!$A$11:$A$49,0))</f>
        <v>Current 2DS, 2030 start, 'Expect the Unexpected'</v>
      </c>
      <c r="B244" s="3" t="s">
        <v>26</v>
      </c>
      <c r="C244" s="3" t="s">
        <v>68</v>
      </c>
      <c r="D244" s="14">
        <v>9499.4101148835834</v>
      </c>
      <c r="E244" s="14">
        <v>9854.768593125913</v>
      </c>
      <c r="F244" s="14">
        <v>13753.197500000002</v>
      </c>
      <c r="G244" s="14">
        <v>14514.167854150606</v>
      </c>
      <c r="H244" s="14">
        <v>15191.631806438927</v>
      </c>
      <c r="I244" s="14">
        <v>23771.416194236695</v>
      </c>
      <c r="J244" s="14">
        <v>29226.529402157888</v>
      </c>
      <c r="K244" s="14">
        <v>32695.732240094672</v>
      </c>
      <c r="L244" s="14">
        <v>35726.45228345404</v>
      </c>
      <c r="M244" s="14">
        <v>38404.324322916174</v>
      </c>
      <c r="N244" s="14">
        <v>39733.174999999996</v>
      </c>
    </row>
    <row r="245" spans="1:14" x14ac:dyDescent="0.3">
      <c r="A245" s="3" t="str">
        <f>INDEX('R1. Scenario specifications'!$C$11:$C$49,MATCH($B245,'R1. Scenario specifications'!$A$11:$A$49,0))</f>
        <v>Current 2DS, 2030 start, 'Expect the Unexpected'</v>
      </c>
      <c r="B245" s="3" t="s">
        <v>26</v>
      </c>
      <c r="C245" s="3" t="s">
        <v>69</v>
      </c>
      <c r="D245" s="14">
        <v>2379.5369238501598</v>
      </c>
      <c r="E245" s="14">
        <v>2356.8190162179026</v>
      </c>
      <c r="F245" s="14">
        <v>2308.8771400062938</v>
      </c>
      <c r="G245" s="14">
        <v>1516.5761695611868</v>
      </c>
      <c r="H245" s="14">
        <v>735.79214155908926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</row>
    <row r="246" spans="1:14" x14ac:dyDescent="0.3">
      <c r="A246" s="3" t="str">
        <f>INDEX('R1. Scenario specifications'!$C$11:$C$49,MATCH($B246,'R1. Scenario specifications'!$A$11:$A$49,0))</f>
        <v>Current 2DS, 2030 start, 'Expect the Unexpected'</v>
      </c>
      <c r="B246" s="3" t="s">
        <v>26</v>
      </c>
      <c r="C246" s="3" t="s">
        <v>70</v>
      </c>
      <c r="D246" s="14">
        <v>67.937052631788802</v>
      </c>
      <c r="E246" s="14">
        <v>458.66984800047192</v>
      </c>
      <c r="F246" s="14">
        <v>917.48161125092997</v>
      </c>
      <c r="G246" s="14">
        <v>2670.3548260954558</v>
      </c>
      <c r="H246" s="14">
        <v>11031.398228755243</v>
      </c>
      <c r="I246" s="14">
        <v>25238.428055700046</v>
      </c>
      <c r="J246" s="14">
        <v>34159.125342258048</v>
      </c>
      <c r="K246" s="14">
        <v>42746.915527638157</v>
      </c>
      <c r="L246" s="14">
        <v>60475.97743641428</v>
      </c>
      <c r="M246" s="14">
        <v>91671.841544991621</v>
      </c>
      <c r="N246" s="14">
        <v>101863.6743391616</v>
      </c>
    </row>
    <row r="247" spans="1:14" x14ac:dyDescent="0.3">
      <c r="A247" s="3" t="str">
        <f>INDEX('R1. Scenario specifications'!$C$11:$C$49,MATCH($B247,'R1. Scenario specifications'!$A$11:$A$49,0))</f>
        <v>Current 2DS, 2030 start, 'Expect the Unexpected'</v>
      </c>
      <c r="B247" s="3" t="s">
        <v>26</v>
      </c>
      <c r="C247" s="3" t="s">
        <v>71</v>
      </c>
      <c r="D247" s="14">
        <v>0.68787021919935687</v>
      </c>
      <c r="E247" s="14">
        <v>0.6257617671977489</v>
      </c>
      <c r="F247" s="14">
        <v>0.52638824399517514</v>
      </c>
      <c r="G247" s="14">
        <v>0.35092549599678308</v>
      </c>
      <c r="H247" s="14">
        <v>0.17546274799839173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</row>
    <row r="248" spans="1:14" x14ac:dyDescent="0.3">
      <c r="A248" s="3" t="str">
        <f>INDEX('R1. Scenario specifications'!$C$11:$C$49,MATCH($B248,'R1. Scenario specifications'!$A$11:$A$49,0))</f>
        <v>Current 2DS, 2030 start, 'Expect the Unexpected'</v>
      </c>
      <c r="B248" s="3" t="s">
        <v>26</v>
      </c>
      <c r="C248" s="3" t="s">
        <v>75</v>
      </c>
      <c r="D248" s="14">
        <v>1.963099940637433</v>
      </c>
      <c r="E248" s="14">
        <v>1.7858497922310126</v>
      </c>
      <c r="F248" s="14">
        <v>1.5022495547807513</v>
      </c>
      <c r="G248" s="14">
        <v>1.0014997031871682</v>
      </c>
      <c r="H248" s="14">
        <v>0.50074985159358421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</row>
    <row r="249" spans="1:14" x14ac:dyDescent="0.3">
      <c r="A249" s="3" t="str">
        <f>INDEX('R1. Scenario specifications'!$C$11:$C$49,MATCH($B249,'R1. Scenario specifications'!$A$11:$A$49,0))</f>
        <v>Current 2DS, 2030 start, 'Expect the Unexpected'</v>
      </c>
      <c r="B249" s="3" t="s">
        <v>26</v>
      </c>
      <c r="C249" s="3" t="s">
        <v>72</v>
      </c>
      <c r="D249" s="14">
        <v>1517.4635089937533</v>
      </c>
      <c r="E249" s="14">
        <v>1704.9418897085425</v>
      </c>
      <c r="F249" s="14">
        <v>2685.5545190640855</v>
      </c>
      <c r="G249" s="14">
        <v>10882.32058635127</v>
      </c>
      <c r="H249" s="14">
        <v>27461.490665347628</v>
      </c>
      <c r="I249" s="14">
        <v>34981.449026780552</v>
      </c>
      <c r="J249" s="14">
        <v>48538.665888058436</v>
      </c>
      <c r="K249" s="14">
        <v>63032.933129040553</v>
      </c>
      <c r="L249" s="14">
        <v>92354.388092596811</v>
      </c>
      <c r="M249" s="14">
        <v>146572.01402902466</v>
      </c>
      <c r="N249" s="14">
        <v>184315.10915030775</v>
      </c>
    </row>
    <row r="250" spans="1:14" x14ac:dyDescent="0.3">
      <c r="A250" s="3" t="str">
        <f>INDEX('R1. Scenario specifications'!$C$11:$C$49,MATCH($B250,'R1. Scenario specifications'!$A$11:$A$49,0))</f>
        <v>Current 1.5DS, 2030 start, 'Expect the Unexpected' but with cheap EVs</v>
      </c>
      <c r="B250" s="3" t="s">
        <v>27</v>
      </c>
      <c r="C250" s="3" t="s">
        <v>63</v>
      </c>
      <c r="D250" s="14">
        <v>225.44707509197985</v>
      </c>
      <c r="E250" s="14">
        <v>432.13326707926797</v>
      </c>
      <c r="F250" s="14">
        <v>2791.4850951746125</v>
      </c>
      <c r="G250" s="14">
        <v>10791.541692619947</v>
      </c>
      <c r="H250" s="14">
        <v>24127.714527500779</v>
      </c>
      <c r="I250" s="14">
        <v>4829.1363008783255</v>
      </c>
      <c r="J250" s="14">
        <v>220.08281375103849</v>
      </c>
      <c r="K250" s="14">
        <v>176.08002815720639</v>
      </c>
      <c r="L250" s="14">
        <v>503.49112613717955</v>
      </c>
      <c r="M250" s="14">
        <v>374.63436997975401</v>
      </c>
      <c r="N250" s="14">
        <v>137.8458063291169</v>
      </c>
    </row>
    <row r="251" spans="1:14" x14ac:dyDescent="0.3">
      <c r="A251" s="3" t="str">
        <f>INDEX('R1. Scenario specifications'!$C$11:$C$49,MATCH($B251,'R1. Scenario specifications'!$A$11:$A$49,0))</f>
        <v>Current 1.5DS, 2030 start, 'Expect the Unexpected' but with cheap EVs</v>
      </c>
      <c r="B251" s="3" t="s">
        <v>27</v>
      </c>
      <c r="C251" s="3" t="s">
        <v>73</v>
      </c>
      <c r="D251" s="14">
        <v>0</v>
      </c>
      <c r="E251" s="14">
        <v>0</v>
      </c>
      <c r="F251" s="14">
        <v>0</v>
      </c>
      <c r="G251" s="14">
        <v>0</v>
      </c>
      <c r="H251" s="14">
        <v>340.72605728640002</v>
      </c>
      <c r="I251" s="14">
        <v>25761.761503255562</v>
      </c>
      <c r="J251" s="14">
        <v>80679.753287205705</v>
      </c>
      <c r="K251" s="14">
        <v>36354.386098625677</v>
      </c>
      <c r="L251" s="14">
        <v>41125.756034221711</v>
      </c>
      <c r="M251" s="14">
        <v>43702.555478208924</v>
      </c>
      <c r="N251" s="14">
        <v>60937.731963549362</v>
      </c>
    </row>
    <row r="252" spans="1:14" x14ac:dyDescent="0.3">
      <c r="A252" s="3" t="str">
        <f>INDEX('R1. Scenario specifications'!$C$11:$C$49,MATCH($B252,'R1. Scenario specifications'!$A$11:$A$49,0))</f>
        <v>Current 1.5DS, 2030 start, 'Expect the Unexpected' but with cheap EVs</v>
      </c>
      <c r="B252" s="3" t="s">
        <v>27</v>
      </c>
      <c r="C252" s="3" t="s">
        <v>64</v>
      </c>
      <c r="D252" s="14">
        <v>33040.313548549595</v>
      </c>
      <c r="E252" s="14">
        <v>42259.332050485427</v>
      </c>
      <c r="F252" s="14">
        <v>32172.508335863538</v>
      </c>
      <c r="G252" s="14">
        <v>29995.093630544216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</row>
    <row r="253" spans="1:14" x14ac:dyDescent="0.3">
      <c r="A253" s="3" t="str">
        <f>INDEX('R1. Scenario specifications'!$C$11:$C$49,MATCH($B253,'R1. Scenario specifications'!$A$11:$A$49,0))</f>
        <v>Current 1.5DS, 2030 start, 'Expect the Unexpected' but with cheap EVs</v>
      </c>
      <c r="B253" s="3" t="s">
        <v>27</v>
      </c>
      <c r="C253" s="3" t="s">
        <v>65</v>
      </c>
      <c r="D253" s="14">
        <v>14597.074835304187</v>
      </c>
      <c r="E253" s="14">
        <v>15742.568461825351</v>
      </c>
      <c r="F253" s="14">
        <v>23692.881756781935</v>
      </c>
      <c r="G253" s="14">
        <v>18923.773890589895</v>
      </c>
      <c r="H253" s="14">
        <v>8395.989517279826</v>
      </c>
      <c r="I253" s="14">
        <v>0</v>
      </c>
      <c r="J253" s="14">
        <v>0</v>
      </c>
      <c r="K253" s="14">
        <v>1435.0356213131681</v>
      </c>
      <c r="L253" s="14">
        <v>1477.1712257407175</v>
      </c>
      <c r="M253" s="14">
        <v>3020.4242199255841</v>
      </c>
      <c r="N253" s="14">
        <v>2076.1547160930477</v>
      </c>
    </row>
    <row r="254" spans="1:14" x14ac:dyDescent="0.3">
      <c r="A254" s="3" t="str">
        <f>INDEX('R1. Scenario specifications'!$C$11:$C$49,MATCH($B254,'R1. Scenario specifications'!$A$11:$A$49,0))</f>
        <v>Current 1.5DS, 2030 start, 'Expect the Unexpected' but with cheap EVs</v>
      </c>
      <c r="B254" s="3" t="s">
        <v>27</v>
      </c>
      <c r="C254" s="3" t="s">
        <v>74</v>
      </c>
      <c r="D254" s="14">
        <v>0</v>
      </c>
      <c r="E254" s="14">
        <v>0</v>
      </c>
      <c r="F254" s="14">
        <v>0</v>
      </c>
      <c r="G254" s="14">
        <v>0</v>
      </c>
      <c r="H254" s="14">
        <v>85.181514321600019</v>
      </c>
      <c r="I254" s="14">
        <v>10554.485027396076</v>
      </c>
      <c r="J254" s="14">
        <v>34703.069818728676</v>
      </c>
      <c r="K254" s="14">
        <v>1153.3165977733643</v>
      </c>
      <c r="L254" s="14">
        <v>1639.0762224994676</v>
      </c>
      <c r="M254" s="14">
        <v>1270.9082287980805</v>
      </c>
      <c r="N254" s="14">
        <v>1150.1236149809301</v>
      </c>
    </row>
    <row r="255" spans="1:14" x14ac:dyDescent="0.3">
      <c r="A255" s="3" t="str">
        <f>INDEX('R1. Scenario specifications'!$C$11:$C$49,MATCH($B255,'R1. Scenario specifications'!$A$11:$A$49,0))</f>
        <v>Current 1.5DS, 2030 start, 'Expect the Unexpected' but with cheap EVs</v>
      </c>
      <c r="B255" s="3" t="s">
        <v>27</v>
      </c>
      <c r="C255" s="3" t="s">
        <v>66</v>
      </c>
      <c r="D255" s="14">
        <v>202.4480216544064</v>
      </c>
      <c r="E255" s="14">
        <v>194.35225063586262</v>
      </c>
      <c r="F255" s="14">
        <v>2690.096097794773</v>
      </c>
      <c r="G255" s="14">
        <v>4149.3454146666118</v>
      </c>
      <c r="H255" s="14">
        <v>15880.072957987215</v>
      </c>
      <c r="I255" s="14">
        <v>35661.099799975047</v>
      </c>
      <c r="J255" s="14">
        <v>34428.680724821847</v>
      </c>
      <c r="K255" s="14">
        <v>32672.822742118919</v>
      </c>
      <c r="L255" s="14">
        <v>20331.350892645129</v>
      </c>
      <c r="M255" s="14">
        <v>6706.9011932335543</v>
      </c>
      <c r="N255" s="14">
        <v>10055.04927152038</v>
      </c>
    </row>
    <row r="256" spans="1:14" x14ac:dyDescent="0.3">
      <c r="A256" s="3" t="str">
        <f>INDEX('R1. Scenario specifications'!$C$11:$C$49,MATCH($B256,'R1. Scenario specifications'!$A$11:$A$49,0))</f>
        <v>Current 1.5DS, 2030 start, 'Expect the Unexpected' but with cheap EVs</v>
      </c>
      <c r="B256" s="3" t="s">
        <v>27</v>
      </c>
      <c r="C256" s="3" t="s">
        <v>67</v>
      </c>
      <c r="D256" s="14">
        <v>10255.125599999996</v>
      </c>
      <c r="E256" s="14">
        <v>10349.477981293301</v>
      </c>
      <c r="F256" s="14">
        <v>14634.999767850808</v>
      </c>
      <c r="G256" s="14">
        <v>17168.548108229523</v>
      </c>
      <c r="H256" s="14">
        <v>20747.467227390625</v>
      </c>
      <c r="I256" s="14">
        <v>29555.994293675485</v>
      </c>
      <c r="J256" s="14">
        <v>34190.443379024007</v>
      </c>
      <c r="K256" s="14">
        <v>36194.076520373652</v>
      </c>
      <c r="L256" s="14">
        <v>30622.705564939079</v>
      </c>
      <c r="M256" s="14">
        <v>35082.698616003552</v>
      </c>
      <c r="N256" s="14">
        <v>37063.005608887564</v>
      </c>
    </row>
    <row r="257" spans="1:14" x14ac:dyDescent="0.3">
      <c r="A257" s="3" t="str">
        <f>INDEX('R1. Scenario specifications'!$C$11:$C$49,MATCH($B257,'R1. Scenario specifications'!$A$11:$A$49,0))</f>
        <v>Current 1.5DS, 2030 start, 'Expect the Unexpected' but with cheap EVs</v>
      </c>
      <c r="B257" s="3" t="s">
        <v>27</v>
      </c>
      <c r="C257" s="3" t="s">
        <v>68</v>
      </c>
      <c r="D257" s="14">
        <v>9499.4101148835834</v>
      </c>
      <c r="E257" s="14">
        <v>9854.768593125913</v>
      </c>
      <c r="F257" s="14">
        <v>13753.197500000002</v>
      </c>
      <c r="G257" s="14">
        <v>14514.167854150606</v>
      </c>
      <c r="H257" s="14">
        <v>15191.631806438927</v>
      </c>
      <c r="I257" s="14">
        <v>22237.501768606766</v>
      </c>
      <c r="J257" s="14">
        <v>26150.393330293373</v>
      </c>
      <c r="K257" s="14">
        <v>28214.064929933287</v>
      </c>
      <c r="L257" s="14">
        <v>29900.116184521798</v>
      </c>
      <c r="M257" s="14">
        <v>34173.566821146575</v>
      </c>
      <c r="N257" s="14">
        <v>32964.393909721999</v>
      </c>
    </row>
    <row r="258" spans="1:14" x14ac:dyDescent="0.3">
      <c r="A258" s="3" t="str">
        <f>INDEX('R1. Scenario specifications'!$C$11:$C$49,MATCH($B258,'R1. Scenario specifications'!$A$11:$A$49,0))</f>
        <v>Current 1.5DS, 2030 start, 'Expect the Unexpected' but with cheap EVs</v>
      </c>
      <c r="B258" s="3" t="s">
        <v>27</v>
      </c>
      <c r="C258" s="3" t="s">
        <v>69</v>
      </c>
      <c r="D258" s="14">
        <v>2379.5369238501598</v>
      </c>
      <c r="E258" s="14">
        <v>2356.8190162179026</v>
      </c>
      <c r="F258" s="14">
        <v>2308.8771400062938</v>
      </c>
      <c r="G258" s="14">
        <v>1516.5761695611868</v>
      </c>
      <c r="H258" s="14">
        <v>67.922332266666245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</row>
    <row r="259" spans="1:14" x14ac:dyDescent="0.3">
      <c r="A259" s="3" t="str">
        <f>INDEX('R1. Scenario specifications'!$C$11:$C$49,MATCH($B259,'R1. Scenario specifications'!$A$11:$A$49,0))</f>
        <v>Current 1.5DS, 2030 start, 'Expect the Unexpected' but with cheap EVs</v>
      </c>
      <c r="B259" s="3" t="s">
        <v>27</v>
      </c>
      <c r="C259" s="3" t="s">
        <v>70</v>
      </c>
      <c r="D259" s="14">
        <v>67.937052631788802</v>
      </c>
      <c r="E259" s="14">
        <v>458.66984800047192</v>
      </c>
      <c r="F259" s="14">
        <v>917.48161125092997</v>
      </c>
      <c r="G259" s="14">
        <v>2670.3548260954558</v>
      </c>
      <c r="H259" s="14">
        <v>11369.024495814108</v>
      </c>
      <c r="I259" s="14">
        <v>33392.778292564224</v>
      </c>
      <c r="J259" s="14">
        <v>78968.403219017899</v>
      </c>
      <c r="K259" s="14">
        <v>64632.55443220336</v>
      </c>
      <c r="L259" s="14">
        <v>63098.372922483512</v>
      </c>
      <c r="M259" s="14">
        <v>78792.43491874446</v>
      </c>
      <c r="N259" s="14">
        <v>87619.276770735625</v>
      </c>
    </row>
    <row r="260" spans="1:14" x14ac:dyDescent="0.3">
      <c r="A260" s="3" t="str">
        <f>INDEX('R1. Scenario specifications'!$C$11:$C$49,MATCH($B260,'R1. Scenario specifications'!$A$11:$A$49,0))</f>
        <v>Current 1.5DS, 2030 start, 'Expect the Unexpected' but with cheap EVs</v>
      </c>
      <c r="B260" s="3" t="s">
        <v>27</v>
      </c>
      <c r="C260" s="3" t="s">
        <v>71</v>
      </c>
      <c r="D260" s="14">
        <v>0.68787021919935687</v>
      </c>
      <c r="E260" s="14">
        <v>0.6257617671977489</v>
      </c>
      <c r="F260" s="14">
        <v>0.52638824399517514</v>
      </c>
      <c r="G260" s="14">
        <v>0.35092549599678308</v>
      </c>
      <c r="H260" s="14">
        <v>0.17546274799839173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</row>
    <row r="261" spans="1:14" x14ac:dyDescent="0.3">
      <c r="A261" s="3" t="str">
        <f>INDEX('R1. Scenario specifications'!$C$11:$C$49,MATCH($B261,'R1. Scenario specifications'!$A$11:$A$49,0))</f>
        <v>Current 1.5DS, 2030 start, 'Expect the Unexpected' but with cheap EVs</v>
      </c>
      <c r="B261" s="3" t="s">
        <v>27</v>
      </c>
      <c r="C261" s="3" t="s">
        <v>75</v>
      </c>
      <c r="D261" s="14">
        <v>1.963099940637433</v>
      </c>
      <c r="E261" s="14">
        <v>1.7858497922310126</v>
      </c>
      <c r="F261" s="14">
        <v>1.5022495547807513</v>
      </c>
      <c r="G261" s="14">
        <v>1.0014997031871682</v>
      </c>
      <c r="H261" s="14">
        <v>0.50074985159358421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</row>
    <row r="262" spans="1:14" x14ac:dyDescent="0.3">
      <c r="A262" s="3" t="str">
        <f>INDEX('R1. Scenario specifications'!$C$11:$C$49,MATCH($B262,'R1. Scenario specifications'!$A$11:$A$49,0))</f>
        <v>Current 1.5DS, 2030 start, 'Expect the Unexpected' but with cheap EVs</v>
      </c>
      <c r="B262" s="3" t="s">
        <v>27</v>
      </c>
      <c r="C262" s="3" t="s">
        <v>72</v>
      </c>
      <c r="D262" s="14">
        <v>1517.4635089937533</v>
      </c>
      <c r="E262" s="14">
        <v>1704.9418897085425</v>
      </c>
      <c r="F262" s="14">
        <v>2685.5545190640855</v>
      </c>
      <c r="G262" s="14">
        <v>10882.32058635127</v>
      </c>
      <c r="H262" s="14">
        <v>24086.798884443124</v>
      </c>
      <c r="I262" s="14">
        <v>48760.866015567968</v>
      </c>
      <c r="J262" s="14">
        <v>100755.21847869596</v>
      </c>
      <c r="K262" s="14">
        <v>76215.646251626938</v>
      </c>
      <c r="L262" s="14">
        <v>76772.385622555084</v>
      </c>
      <c r="M262" s="14">
        <v>93307.753860734112</v>
      </c>
      <c r="N262" s="14">
        <v>121754.59461337674</v>
      </c>
    </row>
    <row r="263" spans="1:14" x14ac:dyDescent="0.3">
      <c r="A263" s="3" t="str">
        <f>INDEX('R1. Scenario specifications'!$C$11:$C$49,MATCH($B263,'R1. Scenario specifications'!$A$11:$A$49,0))</f>
        <v>Current 1.5DS, 2020 start, 'Expect the Unexpected' but with cheap energy efficiency</v>
      </c>
      <c r="B263" s="3" t="s">
        <v>28</v>
      </c>
      <c r="C263" s="3" t="s">
        <v>63</v>
      </c>
      <c r="D263" s="14">
        <v>225.44707509197985</v>
      </c>
      <c r="E263" s="14">
        <v>432.13326707926797</v>
      </c>
      <c r="F263" s="14">
        <v>2791.4850951746125</v>
      </c>
      <c r="G263" s="14">
        <v>14463.821316930946</v>
      </c>
      <c r="H263" s="14">
        <v>13367.075811301045</v>
      </c>
      <c r="I263" s="14">
        <v>1714.5401513667409</v>
      </c>
      <c r="J263" s="14">
        <v>191.61021521985651</v>
      </c>
      <c r="K263" s="14">
        <v>0</v>
      </c>
      <c r="L263" s="14">
        <v>36.262438776827096</v>
      </c>
      <c r="M263" s="14">
        <v>36.262438776827096</v>
      </c>
      <c r="N263" s="14">
        <v>45.348512601269093</v>
      </c>
    </row>
    <row r="264" spans="1:14" x14ac:dyDescent="0.3">
      <c r="A264" s="3" t="str">
        <f>INDEX('R1. Scenario specifications'!$C$11:$C$49,MATCH($B264,'R1. Scenario specifications'!$A$11:$A$49,0))</f>
        <v>Current 1.5DS, 2020 start, 'Expect the Unexpected' but with cheap energy efficiency</v>
      </c>
      <c r="B264" s="3" t="s">
        <v>28</v>
      </c>
      <c r="C264" s="3" t="s">
        <v>73</v>
      </c>
      <c r="D264" s="14">
        <v>0</v>
      </c>
      <c r="E264" s="14">
        <v>0</v>
      </c>
      <c r="F264" s="14">
        <v>0</v>
      </c>
      <c r="G264" s="14">
        <v>411.85920133598563</v>
      </c>
      <c r="H264" s="14">
        <v>10837.402705749208</v>
      </c>
      <c r="I264" s="14">
        <v>28315.022093380234</v>
      </c>
      <c r="J264" s="14">
        <v>63522.174437530397</v>
      </c>
      <c r="K264" s="14">
        <v>59582.015650422865</v>
      </c>
      <c r="L264" s="14">
        <v>67036.089775602435</v>
      </c>
      <c r="M264" s="14">
        <v>82721.105409818148</v>
      </c>
      <c r="N264" s="14">
        <v>89489.352121312724</v>
      </c>
    </row>
    <row r="265" spans="1:14" x14ac:dyDescent="0.3">
      <c r="A265" s="3" t="str">
        <f>INDEX('R1. Scenario specifications'!$C$11:$C$49,MATCH($B265,'R1. Scenario specifications'!$A$11:$A$49,0))</f>
        <v>Current 1.5DS, 2020 start, 'Expect the Unexpected' but with cheap energy efficiency</v>
      </c>
      <c r="B265" s="3" t="s">
        <v>28</v>
      </c>
      <c r="C265" s="3" t="s">
        <v>64</v>
      </c>
      <c r="D265" s="14">
        <v>33040.313548549595</v>
      </c>
      <c r="E265" s="14">
        <v>42259.332050485427</v>
      </c>
      <c r="F265" s="14">
        <v>32172.508335863538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</row>
    <row r="266" spans="1:14" x14ac:dyDescent="0.3">
      <c r="A266" s="3" t="str">
        <f>INDEX('R1. Scenario specifications'!$C$11:$C$49,MATCH($B266,'R1. Scenario specifications'!$A$11:$A$49,0))</f>
        <v>Current 1.5DS, 2020 start, 'Expect the Unexpected' but with cheap energy efficiency</v>
      </c>
      <c r="B266" s="3" t="s">
        <v>28</v>
      </c>
      <c r="C266" s="3" t="s">
        <v>65</v>
      </c>
      <c r="D266" s="14">
        <v>14597.074835304187</v>
      </c>
      <c r="E266" s="14">
        <v>15742.568461825351</v>
      </c>
      <c r="F266" s="14">
        <v>23692.881756781935</v>
      </c>
      <c r="G266" s="14">
        <v>28213.660976884144</v>
      </c>
      <c r="H266" s="14">
        <v>5689.5335936375322</v>
      </c>
      <c r="I266" s="14">
        <v>0</v>
      </c>
      <c r="J266" s="14">
        <v>0</v>
      </c>
      <c r="K266" s="14">
        <v>6.7939922201226404</v>
      </c>
      <c r="L266" s="14">
        <v>8.4912163585631895</v>
      </c>
      <c r="M266" s="14">
        <v>5.7905592880330801</v>
      </c>
      <c r="N266" s="14">
        <v>0</v>
      </c>
    </row>
    <row r="267" spans="1:14" x14ac:dyDescent="0.3">
      <c r="A267" s="3" t="str">
        <f>INDEX('R1. Scenario specifications'!$C$11:$C$49,MATCH($B267,'R1. Scenario specifications'!$A$11:$A$49,0))</f>
        <v>Current 1.5DS, 2020 start, 'Expect the Unexpected' but with cheap energy efficiency</v>
      </c>
      <c r="B267" s="3" t="s">
        <v>28</v>
      </c>
      <c r="C267" s="3" t="s">
        <v>74</v>
      </c>
      <c r="D267" s="14">
        <v>0</v>
      </c>
      <c r="E267" s="14">
        <v>0</v>
      </c>
      <c r="F267" s="14">
        <v>0</v>
      </c>
      <c r="G267" s="14">
        <v>14.04837027201434</v>
      </c>
      <c r="H267" s="14">
        <v>3170.6826627168534</v>
      </c>
      <c r="I267" s="14">
        <v>30164.869075325012</v>
      </c>
      <c r="J267" s="14">
        <v>22889.395682924962</v>
      </c>
      <c r="K267" s="14">
        <v>4041.5087300838895</v>
      </c>
      <c r="L267" s="14">
        <v>3822.5846525168213</v>
      </c>
      <c r="M267" s="14">
        <v>3158.757902718</v>
      </c>
      <c r="N267" s="14">
        <v>5391.3213009876717</v>
      </c>
    </row>
    <row r="268" spans="1:14" x14ac:dyDescent="0.3">
      <c r="A268" s="3" t="str">
        <f>INDEX('R1. Scenario specifications'!$C$11:$C$49,MATCH($B268,'R1. Scenario specifications'!$A$11:$A$49,0))</f>
        <v>Current 1.5DS, 2020 start, 'Expect the Unexpected' but with cheap energy efficiency</v>
      </c>
      <c r="B268" s="3" t="s">
        <v>28</v>
      </c>
      <c r="C268" s="3" t="s">
        <v>66</v>
      </c>
      <c r="D268" s="14">
        <v>202.4480216544064</v>
      </c>
      <c r="E268" s="14">
        <v>194.35225063586262</v>
      </c>
      <c r="F268" s="14">
        <v>2690.096097794773</v>
      </c>
      <c r="G268" s="14">
        <v>5586.241999093384</v>
      </c>
      <c r="H268" s="14">
        <v>15052.97292174924</v>
      </c>
      <c r="I268" s="14">
        <v>19647.493159994152</v>
      </c>
      <c r="J268" s="14">
        <v>19167.856001497174</v>
      </c>
      <c r="K268" s="14">
        <v>16482.92486365456</v>
      </c>
      <c r="L268" s="14">
        <v>10321.133436764987</v>
      </c>
      <c r="M268" s="14">
        <v>13214.415052877355</v>
      </c>
      <c r="N268" s="14">
        <v>14928.926142143169</v>
      </c>
    </row>
    <row r="269" spans="1:14" x14ac:dyDescent="0.3">
      <c r="A269" s="3" t="str">
        <f>INDEX('R1. Scenario specifications'!$C$11:$C$49,MATCH($B269,'R1. Scenario specifications'!$A$11:$A$49,0))</f>
        <v>Current 1.5DS, 2020 start, 'Expect the Unexpected' but with cheap energy efficiency</v>
      </c>
      <c r="B269" s="3" t="s">
        <v>28</v>
      </c>
      <c r="C269" s="3" t="s">
        <v>67</v>
      </c>
      <c r="D269" s="14">
        <v>10255.125599999996</v>
      </c>
      <c r="E269" s="14">
        <v>10349.477981293301</v>
      </c>
      <c r="F269" s="14">
        <v>14634.999767850808</v>
      </c>
      <c r="G269" s="14">
        <v>17953.6177732449</v>
      </c>
      <c r="H269" s="14">
        <v>25596.741248218026</v>
      </c>
      <c r="I269" s="14">
        <v>29555.044198911251</v>
      </c>
      <c r="J269" s="14">
        <v>33566.203537503679</v>
      </c>
      <c r="K269" s="14">
        <v>34148.405914135037</v>
      </c>
      <c r="L269" s="14">
        <v>34756.47443305418</v>
      </c>
      <c r="M269" s="14">
        <v>36656.130886985666</v>
      </c>
      <c r="N269" s="14">
        <v>38097.454206516049</v>
      </c>
    </row>
    <row r="270" spans="1:14" x14ac:dyDescent="0.3">
      <c r="A270" s="3" t="str">
        <f>INDEX('R1. Scenario specifications'!$C$11:$C$49,MATCH($B270,'R1. Scenario specifications'!$A$11:$A$49,0))</f>
        <v>Current 1.5DS, 2020 start, 'Expect the Unexpected' but with cheap energy efficiency</v>
      </c>
      <c r="B270" s="3" t="s">
        <v>28</v>
      </c>
      <c r="C270" s="3" t="s">
        <v>68</v>
      </c>
      <c r="D270" s="14">
        <v>9499.4101148835834</v>
      </c>
      <c r="E270" s="14">
        <v>9854.768593125913</v>
      </c>
      <c r="F270" s="14">
        <v>13753.197500000002</v>
      </c>
      <c r="G270" s="14">
        <v>14514.167854150604</v>
      </c>
      <c r="H270" s="14">
        <v>17854.165000000005</v>
      </c>
      <c r="I270" s="14">
        <v>24317.573565047023</v>
      </c>
      <c r="J270" s="14">
        <v>25909.055475677334</v>
      </c>
      <c r="K270" s="14">
        <v>27913.644743563273</v>
      </c>
      <c r="L270" s="14">
        <v>29154.962054802083</v>
      </c>
      <c r="M270" s="14">
        <v>37908.53</v>
      </c>
      <c r="N270" s="14">
        <v>39237.674999999996</v>
      </c>
    </row>
    <row r="271" spans="1:14" x14ac:dyDescent="0.3">
      <c r="A271" s="3" t="str">
        <f>INDEX('R1. Scenario specifications'!$C$11:$C$49,MATCH($B271,'R1. Scenario specifications'!$A$11:$A$49,0))</f>
        <v>Current 1.5DS, 2020 start, 'Expect the Unexpected' but with cheap energy efficiency</v>
      </c>
      <c r="B271" s="3" t="s">
        <v>28</v>
      </c>
      <c r="C271" s="3" t="s">
        <v>69</v>
      </c>
      <c r="D271" s="14">
        <v>2379.5369238501598</v>
      </c>
      <c r="E271" s="14">
        <v>2356.8190162179026</v>
      </c>
      <c r="F271" s="14">
        <v>2308.8771400062938</v>
      </c>
      <c r="G271" s="14">
        <v>1503.8223551611882</v>
      </c>
      <c r="H271" s="14">
        <v>67.922332266666288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</row>
    <row r="272" spans="1:14" x14ac:dyDescent="0.3">
      <c r="A272" s="3" t="str">
        <f>INDEX('R1. Scenario specifications'!$C$11:$C$49,MATCH($B272,'R1. Scenario specifications'!$A$11:$A$49,0))</f>
        <v>Current 1.5DS, 2020 start, 'Expect the Unexpected' but with cheap energy efficiency</v>
      </c>
      <c r="B272" s="3" t="s">
        <v>28</v>
      </c>
      <c r="C272" s="3" t="s">
        <v>70</v>
      </c>
      <c r="D272" s="14">
        <v>67.937052631788802</v>
      </c>
      <c r="E272" s="14">
        <v>458.66984800047192</v>
      </c>
      <c r="F272" s="14">
        <v>917.48161125092997</v>
      </c>
      <c r="G272" s="14">
        <v>4403.8172003886011</v>
      </c>
      <c r="H272" s="14">
        <v>17228.181448363328</v>
      </c>
      <c r="I272" s="14">
        <v>34524.489923872279</v>
      </c>
      <c r="J272" s="14">
        <v>53731.076972387367</v>
      </c>
      <c r="K272" s="14">
        <v>49877.352297482583</v>
      </c>
      <c r="L272" s="14">
        <v>64506.8155214406</v>
      </c>
      <c r="M272" s="14">
        <v>79297.823932773026</v>
      </c>
      <c r="N272" s="14">
        <v>90246.690886204771</v>
      </c>
    </row>
    <row r="273" spans="1:14" x14ac:dyDescent="0.3">
      <c r="A273" s="3" t="str">
        <f>INDEX('R1. Scenario specifications'!$C$11:$C$49,MATCH($B273,'R1. Scenario specifications'!$A$11:$A$49,0))</f>
        <v>Current 1.5DS, 2020 start, 'Expect the Unexpected' but with cheap energy efficiency</v>
      </c>
      <c r="B273" s="3" t="s">
        <v>28</v>
      </c>
      <c r="C273" s="3" t="s">
        <v>71</v>
      </c>
      <c r="D273" s="14">
        <v>0.68787021919935687</v>
      </c>
      <c r="E273" s="14">
        <v>0.6257617671977489</v>
      </c>
      <c r="F273" s="14">
        <v>0.52638824399517514</v>
      </c>
      <c r="G273" s="14">
        <v>0.35092549599678308</v>
      </c>
      <c r="H273" s="14">
        <v>0.17546274799839173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</row>
    <row r="274" spans="1:14" x14ac:dyDescent="0.3">
      <c r="A274" s="3" t="str">
        <f>INDEX('R1. Scenario specifications'!$C$11:$C$49,MATCH($B274,'R1. Scenario specifications'!$A$11:$A$49,0))</f>
        <v>Current 1.5DS, 2020 start, 'Expect the Unexpected' but with cheap energy efficiency</v>
      </c>
      <c r="B274" s="3" t="s">
        <v>28</v>
      </c>
      <c r="C274" s="3" t="s">
        <v>75</v>
      </c>
      <c r="D274" s="14">
        <v>1.963099940637433</v>
      </c>
      <c r="E274" s="14">
        <v>1.7858497922310126</v>
      </c>
      <c r="F274" s="14">
        <v>1.5022495547807513</v>
      </c>
      <c r="G274" s="14">
        <v>1.0014997031871682</v>
      </c>
      <c r="H274" s="14">
        <v>0.50074985159358421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</row>
    <row r="275" spans="1:14" x14ac:dyDescent="0.3">
      <c r="A275" s="3" t="str">
        <f>INDEX('R1. Scenario specifications'!$C$11:$C$49,MATCH($B275,'R1. Scenario specifications'!$A$11:$A$49,0))</f>
        <v>Current 1.5DS, 2020 start, 'Expect the Unexpected' but with cheap energy efficiency</v>
      </c>
      <c r="B275" s="3" t="s">
        <v>28</v>
      </c>
      <c r="C275" s="3" t="s">
        <v>72</v>
      </c>
      <c r="D275" s="14">
        <v>1517.4635089937533</v>
      </c>
      <c r="E275" s="14">
        <v>1704.9418897085425</v>
      </c>
      <c r="F275" s="14">
        <v>2685.5545190640855</v>
      </c>
      <c r="G275" s="14">
        <v>13084.992759087228</v>
      </c>
      <c r="H275" s="14">
        <v>27544.8295132778</v>
      </c>
      <c r="I275" s="14">
        <v>50454.553242518268</v>
      </c>
      <c r="J275" s="14">
        <v>73372.17644085559</v>
      </c>
      <c r="K275" s="14">
        <v>67551.073970114579</v>
      </c>
      <c r="L275" s="14">
        <v>90259.850032026632</v>
      </c>
      <c r="M275" s="14">
        <v>128596.29722143643</v>
      </c>
      <c r="N275" s="14">
        <v>161067.10290895979</v>
      </c>
    </row>
    <row r="276" spans="1:14" x14ac:dyDescent="0.3">
      <c r="A276" s="3" t="str">
        <f>INDEX('R1. Scenario specifications'!$C$11:$C$49,MATCH($B276,'R1. Scenario specifications'!$A$11:$A$49,0))</f>
        <v>Current 1.5DS, 2030 start, 'Expect the Unexpected' but with cheap energy efficiency</v>
      </c>
      <c r="B276" s="3" t="s">
        <v>29</v>
      </c>
      <c r="C276" s="3" t="s">
        <v>63</v>
      </c>
      <c r="D276" s="14">
        <v>225.44707509197985</v>
      </c>
      <c r="E276" s="14">
        <v>432.13326707926797</v>
      </c>
      <c r="F276" s="14">
        <v>2791.4850951746125</v>
      </c>
      <c r="G276" s="14">
        <v>10791.541692619947</v>
      </c>
      <c r="H276" s="14">
        <v>23094.14097423376</v>
      </c>
      <c r="I276" s="14">
        <v>7389.0338851765282</v>
      </c>
      <c r="J276" s="14">
        <v>210.17323318752341</v>
      </c>
      <c r="K276" s="14">
        <v>568.50830273491738</v>
      </c>
      <c r="L276" s="14">
        <v>273.1481546303155</v>
      </c>
      <c r="M276" s="14">
        <v>417.55400010104546</v>
      </c>
      <c r="N276" s="14">
        <v>194.44392400123019</v>
      </c>
    </row>
    <row r="277" spans="1:14" x14ac:dyDescent="0.3">
      <c r="A277" s="3" t="str">
        <f>INDEX('R1. Scenario specifications'!$C$11:$C$49,MATCH($B277,'R1. Scenario specifications'!$A$11:$A$49,0))</f>
        <v>Current 1.5DS, 2030 start, 'Expect the Unexpected' but with cheap energy efficiency</v>
      </c>
      <c r="B277" s="3" t="s">
        <v>29</v>
      </c>
      <c r="C277" s="3" t="s">
        <v>73</v>
      </c>
      <c r="D277" s="14">
        <v>0</v>
      </c>
      <c r="E277" s="14">
        <v>0</v>
      </c>
      <c r="F277" s="14">
        <v>0</v>
      </c>
      <c r="G277" s="14">
        <v>0</v>
      </c>
      <c r="H277" s="14">
        <v>340.72605728640002</v>
      </c>
      <c r="I277" s="14">
        <v>25670.259857008143</v>
      </c>
      <c r="J277" s="14">
        <v>81356.863039106</v>
      </c>
      <c r="K277" s="14">
        <v>33099.884751360507</v>
      </c>
      <c r="L277" s="14">
        <v>32217.246644873889</v>
      </c>
      <c r="M277" s="14">
        <v>36576.704149801255</v>
      </c>
      <c r="N277" s="14">
        <v>56984.66633041024</v>
      </c>
    </row>
    <row r="278" spans="1:14" x14ac:dyDescent="0.3">
      <c r="A278" s="3" t="str">
        <f>INDEX('R1. Scenario specifications'!$C$11:$C$49,MATCH($B278,'R1. Scenario specifications'!$A$11:$A$49,0))</f>
        <v>Current 1.5DS, 2030 start, 'Expect the Unexpected' but with cheap energy efficiency</v>
      </c>
      <c r="B278" s="3" t="s">
        <v>29</v>
      </c>
      <c r="C278" s="3" t="s">
        <v>64</v>
      </c>
      <c r="D278" s="14">
        <v>33040.313548549595</v>
      </c>
      <c r="E278" s="14">
        <v>42259.332050485427</v>
      </c>
      <c r="F278" s="14">
        <v>32172.508335863538</v>
      </c>
      <c r="G278" s="14">
        <v>29995.093630544216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</row>
    <row r="279" spans="1:14" x14ac:dyDescent="0.3">
      <c r="A279" s="3" t="str">
        <f>INDEX('R1. Scenario specifications'!$C$11:$C$49,MATCH($B279,'R1. Scenario specifications'!$A$11:$A$49,0))</f>
        <v>Current 1.5DS, 2030 start, 'Expect the Unexpected' but with cheap energy efficiency</v>
      </c>
      <c r="B279" s="3" t="s">
        <v>29</v>
      </c>
      <c r="C279" s="3" t="s">
        <v>65</v>
      </c>
      <c r="D279" s="14">
        <v>14597.074835304187</v>
      </c>
      <c r="E279" s="14">
        <v>15742.568461825351</v>
      </c>
      <c r="F279" s="14">
        <v>23692.881756781935</v>
      </c>
      <c r="G279" s="14">
        <v>18923.773890589895</v>
      </c>
      <c r="H279" s="14">
        <v>11953.111795508403</v>
      </c>
      <c r="I279" s="14">
        <v>0</v>
      </c>
      <c r="J279" s="14">
        <v>0</v>
      </c>
      <c r="K279" s="14">
        <v>373.80169896000882</v>
      </c>
      <c r="L279" s="14">
        <v>671.26333720648233</v>
      </c>
      <c r="M279" s="14">
        <v>1810.9685863173595</v>
      </c>
      <c r="N279" s="14">
        <v>1452.555810580734</v>
      </c>
    </row>
    <row r="280" spans="1:14" x14ac:dyDescent="0.3">
      <c r="A280" s="3" t="str">
        <f>INDEX('R1. Scenario specifications'!$C$11:$C$49,MATCH($B280,'R1. Scenario specifications'!$A$11:$A$49,0))</f>
        <v>Current 1.5DS, 2030 start, 'Expect the Unexpected' but with cheap energy efficiency</v>
      </c>
      <c r="B280" s="3" t="s">
        <v>29</v>
      </c>
      <c r="C280" s="3" t="s">
        <v>74</v>
      </c>
      <c r="D280" s="14">
        <v>0</v>
      </c>
      <c r="E280" s="14">
        <v>0</v>
      </c>
      <c r="F280" s="14">
        <v>0</v>
      </c>
      <c r="G280" s="14">
        <v>0</v>
      </c>
      <c r="H280" s="14">
        <v>85.181514321600019</v>
      </c>
      <c r="I280" s="14">
        <v>12789.93543490358</v>
      </c>
      <c r="J280" s="14">
        <v>27765.95060112407</v>
      </c>
      <c r="K280" s="14">
        <v>1028.8312794436138</v>
      </c>
      <c r="L280" s="14">
        <v>1104.3160934611542</v>
      </c>
      <c r="M280" s="14">
        <v>154.58411576539092</v>
      </c>
      <c r="N280" s="14">
        <v>263.72584820546314</v>
      </c>
    </row>
    <row r="281" spans="1:14" x14ac:dyDescent="0.3">
      <c r="A281" s="3" t="str">
        <f>INDEX('R1. Scenario specifications'!$C$11:$C$49,MATCH($B281,'R1. Scenario specifications'!$A$11:$A$49,0))</f>
        <v>Current 1.5DS, 2030 start, 'Expect the Unexpected' but with cheap energy efficiency</v>
      </c>
      <c r="B281" s="3" t="s">
        <v>29</v>
      </c>
      <c r="C281" s="3" t="s">
        <v>66</v>
      </c>
      <c r="D281" s="14">
        <v>202.4480216544064</v>
      </c>
      <c r="E281" s="14">
        <v>194.35225063586262</v>
      </c>
      <c r="F281" s="14">
        <v>2690.096097794773</v>
      </c>
      <c r="G281" s="14">
        <v>4149.3454146666118</v>
      </c>
      <c r="H281" s="14">
        <v>8941.5196085322023</v>
      </c>
      <c r="I281" s="14">
        <v>24215.590622319411</v>
      </c>
      <c r="J281" s="14">
        <v>23731.008320423887</v>
      </c>
      <c r="K281" s="14">
        <v>22456.873335678767</v>
      </c>
      <c r="L281" s="14">
        <v>18784.472785550493</v>
      </c>
      <c r="M281" s="14">
        <v>6167.0278572514926</v>
      </c>
      <c r="N281" s="14">
        <v>6360.1009319059767</v>
      </c>
    </row>
    <row r="282" spans="1:14" x14ac:dyDescent="0.3">
      <c r="A282" s="3" t="str">
        <f>INDEX('R1. Scenario specifications'!$C$11:$C$49,MATCH($B282,'R1. Scenario specifications'!$A$11:$A$49,0))</f>
        <v>Current 1.5DS, 2030 start, 'Expect the Unexpected' but with cheap energy efficiency</v>
      </c>
      <c r="B282" s="3" t="s">
        <v>29</v>
      </c>
      <c r="C282" s="3" t="s">
        <v>67</v>
      </c>
      <c r="D282" s="14">
        <v>10255.125599999996</v>
      </c>
      <c r="E282" s="14">
        <v>10349.477981293301</v>
      </c>
      <c r="F282" s="14">
        <v>14634.999767850808</v>
      </c>
      <c r="G282" s="14">
        <v>17168.548108229523</v>
      </c>
      <c r="H282" s="14">
        <v>20268.119805315087</v>
      </c>
      <c r="I282" s="14">
        <v>26679.048030603153</v>
      </c>
      <c r="J282" s="14">
        <v>33399.869431748222</v>
      </c>
      <c r="K282" s="14">
        <v>33298.158373540959</v>
      </c>
      <c r="L282" s="14">
        <v>26066.199579054741</v>
      </c>
      <c r="M282" s="14">
        <v>32603.278661566335</v>
      </c>
      <c r="N282" s="14">
        <v>32498.443455109424</v>
      </c>
    </row>
    <row r="283" spans="1:14" x14ac:dyDescent="0.3">
      <c r="A283" s="3" t="str">
        <f>INDEX('R1. Scenario specifications'!$C$11:$C$49,MATCH($B283,'R1. Scenario specifications'!$A$11:$A$49,0))</f>
        <v>Current 1.5DS, 2030 start, 'Expect the Unexpected' but with cheap energy efficiency</v>
      </c>
      <c r="B283" s="3" t="s">
        <v>29</v>
      </c>
      <c r="C283" s="3" t="s">
        <v>68</v>
      </c>
      <c r="D283" s="14">
        <v>9499.4101148835834</v>
      </c>
      <c r="E283" s="14">
        <v>9854.768593125913</v>
      </c>
      <c r="F283" s="14">
        <v>13753.197500000002</v>
      </c>
      <c r="G283" s="14">
        <v>14514.167854150606</v>
      </c>
      <c r="H283" s="14">
        <v>15191.631806438927</v>
      </c>
      <c r="I283" s="14">
        <v>22578.301768606769</v>
      </c>
      <c r="J283" s="14">
        <v>26148.120517958028</v>
      </c>
      <c r="K283" s="14">
        <v>28385.714929933267</v>
      </c>
      <c r="L283" s="14">
        <v>28952.376973882125</v>
      </c>
      <c r="M283" s="14">
        <v>32487.608526308286</v>
      </c>
      <c r="N283" s="14">
        <v>31850.32176926903</v>
      </c>
    </row>
    <row r="284" spans="1:14" x14ac:dyDescent="0.3">
      <c r="A284" s="3" t="str">
        <f>INDEX('R1. Scenario specifications'!$C$11:$C$49,MATCH($B284,'R1. Scenario specifications'!$A$11:$A$49,0))</f>
        <v>Current 1.5DS, 2030 start, 'Expect the Unexpected' but with cheap energy efficiency</v>
      </c>
      <c r="B284" s="3" t="s">
        <v>29</v>
      </c>
      <c r="C284" s="3" t="s">
        <v>69</v>
      </c>
      <c r="D284" s="14">
        <v>2379.5369238501598</v>
      </c>
      <c r="E284" s="14">
        <v>2356.8190162179026</v>
      </c>
      <c r="F284" s="14">
        <v>2308.8771400062938</v>
      </c>
      <c r="G284" s="14">
        <v>1516.5761695611868</v>
      </c>
      <c r="H284" s="14">
        <v>122.76670039530994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</row>
    <row r="285" spans="1:14" x14ac:dyDescent="0.3">
      <c r="A285" s="3" t="str">
        <f>INDEX('R1. Scenario specifications'!$C$11:$C$49,MATCH($B285,'R1. Scenario specifications'!$A$11:$A$49,0))</f>
        <v>Current 1.5DS, 2030 start, 'Expect the Unexpected' but with cheap energy efficiency</v>
      </c>
      <c r="B285" s="3" t="s">
        <v>29</v>
      </c>
      <c r="C285" s="3" t="s">
        <v>70</v>
      </c>
      <c r="D285" s="14">
        <v>67.937052631788802</v>
      </c>
      <c r="E285" s="14">
        <v>458.66984800047192</v>
      </c>
      <c r="F285" s="14">
        <v>917.48161125092997</v>
      </c>
      <c r="G285" s="14">
        <v>2670.3548260954558</v>
      </c>
      <c r="H285" s="14">
        <v>11450.833555384666</v>
      </c>
      <c r="I285" s="14">
        <v>30238.261373926809</v>
      </c>
      <c r="J285" s="14">
        <v>67148.404269917126</v>
      </c>
      <c r="K285" s="14">
        <v>53037.789873465488</v>
      </c>
      <c r="L285" s="14">
        <v>51638.338471038129</v>
      </c>
      <c r="M285" s="14">
        <v>67134.307167215593</v>
      </c>
      <c r="N285" s="14">
        <v>74159.282850486692</v>
      </c>
    </row>
    <row r="286" spans="1:14" x14ac:dyDescent="0.3">
      <c r="A286" s="3" t="str">
        <f>INDEX('R1. Scenario specifications'!$C$11:$C$49,MATCH($B286,'R1. Scenario specifications'!$A$11:$A$49,0))</f>
        <v>Current 1.5DS, 2030 start, 'Expect the Unexpected' but with cheap energy efficiency</v>
      </c>
      <c r="B286" s="3" t="s">
        <v>29</v>
      </c>
      <c r="C286" s="3" t="s">
        <v>71</v>
      </c>
      <c r="D286" s="14">
        <v>0.68787021919935687</v>
      </c>
      <c r="E286" s="14">
        <v>0.6257617671977489</v>
      </c>
      <c r="F286" s="14">
        <v>0.52638824399517514</v>
      </c>
      <c r="G286" s="14">
        <v>0.35092549599678308</v>
      </c>
      <c r="H286" s="14">
        <v>0.17546274799839173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</row>
    <row r="287" spans="1:14" x14ac:dyDescent="0.3">
      <c r="A287" s="3" t="str">
        <f>INDEX('R1. Scenario specifications'!$C$11:$C$49,MATCH($B287,'R1. Scenario specifications'!$A$11:$A$49,0))</f>
        <v>Current 1.5DS, 2030 start, 'Expect the Unexpected' but with cheap energy efficiency</v>
      </c>
      <c r="B287" s="3" t="s">
        <v>29</v>
      </c>
      <c r="C287" s="3" t="s">
        <v>75</v>
      </c>
      <c r="D287" s="14">
        <v>1.963099940637433</v>
      </c>
      <c r="E287" s="14">
        <v>1.7858497922310126</v>
      </c>
      <c r="F287" s="14">
        <v>1.5022495547807513</v>
      </c>
      <c r="G287" s="14">
        <v>1.0014997031871682</v>
      </c>
      <c r="H287" s="14">
        <v>0.50074985159358409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</row>
    <row r="288" spans="1:14" x14ac:dyDescent="0.3">
      <c r="A288" s="3" t="str">
        <f>INDEX('R1. Scenario specifications'!$C$11:$C$49,MATCH($B288,'R1. Scenario specifications'!$A$11:$A$49,0))</f>
        <v>Current 1.5DS, 2030 start, 'Expect the Unexpected' but with cheap energy efficiency</v>
      </c>
      <c r="B288" s="3" t="s">
        <v>29</v>
      </c>
      <c r="C288" s="3" t="s">
        <v>72</v>
      </c>
      <c r="D288" s="14">
        <v>1517.4635089937533</v>
      </c>
      <c r="E288" s="14">
        <v>1704.9418897085425</v>
      </c>
      <c r="F288" s="14">
        <v>2685.5545190640855</v>
      </c>
      <c r="G288" s="14">
        <v>10882.32058635127</v>
      </c>
      <c r="H288" s="14">
        <v>23243.307887034811</v>
      </c>
      <c r="I288" s="14">
        <v>45132.176504671872</v>
      </c>
      <c r="J288" s="14">
        <v>89336.317746564455</v>
      </c>
      <c r="K288" s="14">
        <v>65447.458289487389</v>
      </c>
      <c r="L288" s="14">
        <v>64923.472506809019</v>
      </c>
      <c r="M288" s="14">
        <v>75219.545156558495</v>
      </c>
      <c r="N288" s="14">
        <v>98197.219099843322</v>
      </c>
    </row>
    <row r="289" spans="1:14" x14ac:dyDescent="0.3">
      <c r="A289" s="3" t="str">
        <f>INDEX('R1. Scenario specifications'!$C$11:$C$49,MATCH($B289,'R1. Scenario specifications'!$A$11:$A$49,0))</f>
        <v>Current 1.5DS, 2020 start, 'Expect the Unexpected' but with most conservative biomass CCS / NET technology cost assumptions</v>
      </c>
      <c r="B289" s="3" t="s">
        <v>30</v>
      </c>
      <c r="C289" s="3" t="s">
        <v>63</v>
      </c>
      <c r="D289" s="14">
        <v>225.44707509197985</v>
      </c>
      <c r="E289" s="14">
        <v>432.13326707926797</v>
      </c>
      <c r="F289" s="14">
        <v>2791.4850951746125</v>
      </c>
      <c r="G289" s="14">
        <v>13653.507081723561</v>
      </c>
      <c r="H289" s="14">
        <v>6210.4829456317948</v>
      </c>
      <c r="I289" s="14">
        <v>890.62903658256425</v>
      </c>
      <c r="J289" s="14">
        <v>194.21147240676086</v>
      </c>
      <c r="K289" s="14">
        <v>0</v>
      </c>
      <c r="L289" s="14">
        <v>73.836288608317091</v>
      </c>
      <c r="M289" s="14">
        <v>73.836288608317091</v>
      </c>
      <c r="N289" s="14">
        <v>73.836288608317091</v>
      </c>
    </row>
    <row r="290" spans="1:14" x14ac:dyDescent="0.3">
      <c r="A290" s="3" t="str">
        <f>INDEX('R1. Scenario specifications'!$C$11:$C$49,MATCH($B290,'R1. Scenario specifications'!$A$11:$A$49,0))</f>
        <v>Current 1.5DS, 2020 start, 'Expect the Unexpected' but with most conservative biomass CCS / NET technology cost assumptions</v>
      </c>
      <c r="B290" s="3" t="s">
        <v>30</v>
      </c>
      <c r="C290" s="3" t="s">
        <v>73</v>
      </c>
      <c r="D290" s="14">
        <v>0</v>
      </c>
      <c r="E290" s="14">
        <v>0</v>
      </c>
      <c r="F290" s="14">
        <v>0</v>
      </c>
      <c r="G290" s="14">
        <v>403.27271997052515</v>
      </c>
      <c r="H290" s="14">
        <v>10873.957292871757</v>
      </c>
      <c r="I290" s="14">
        <v>21739.378731636472</v>
      </c>
      <c r="J290" s="14">
        <v>62102.995244817743</v>
      </c>
      <c r="K290" s="14">
        <v>57149.973544014152</v>
      </c>
      <c r="L290" s="14">
        <v>67512.347704549058</v>
      </c>
      <c r="M290" s="14">
        <v>83339.951571750964</v>
      </c>
      <c r="N290" s="14">
        <v>89176.446410866964</v>
      </c>
    </row>
    <row r="291" spans="1:14" x14ac:dyDescent="0.3">
      <c r="A291" s="3" t="str">
        <f>INDEX('R1. Scenario specifications'!$C$11:$C$49,MATCH($B291,'R1. Scenario specifications'!$A$11:$A$49,0))</f>
        <v>Current 1.5DS, 2020 start, 'Expect the Unexpected' but with most conservative biomass CCS / NET technology cost assumptions</v>
      </c>
      <c r="B291" s="3" t="s">
        <v>30</v>
      </c>
      <c r="C291" s="3" t="s">
        <v>64</v>
      </c>
      <c r="D291" s="14">
        <v>33040.313548549595</v>
      </c>
      <c r="E291" s="14">
        <v>42259.332050485427</v>
      </c>
      <c r="F291" s="14">
        <v>32172.508335863538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</row>
    <row r="292" spans="1:14" x14ac:dyDescent="0.3">
      <c r="A292" s="3" t="str">
        <f>INDEX('R1. Scenario specifications'!$C$11:$C$49,MATCH($B292,'R1. Scenario specifications'!$A$11:$A$49,0))</f>
        <v>Current 1.5DS, 2020 start, 'Expect the Unexpected' but with most conservative biomass CCS / NET technology cost assumptions</v>
      </c>
      <c r="B292" s="3" t="s">
        <v>30</v>
      </c>
      <c r="C292" s="3" t="s">
        <v>65</v>
      </c>
      <c r="D292" s="14">
        <v>14597.074835304187</v>
      </c>
      <c r="E292" s="14">
        <v>15742.568461825351</v>
      </c>
      <c r="F292" s="14">
        <v>23692.881756781935</v>
      </c>
      <c r="G292" s="14">
        <v>26223.05036370211</v>
      </c>
      <c r="H292" s="14">
        <v>424.2434724655098</v>
      </c>
      <c r="I292" s="14">
        <v>0</v>
      </c>
      <c r="J292" s="14">
        <v>0</v>
      </c>
      <c r="K292" s="14">
        <v>0</v>
      </c>
      <c r="L292" s="14">
        <v>17.713603400814101</v>
      </c>
      <c r="M292" s="14">
        <v>0</v>
      </c>
      <c r="N292" s="14">
        <v>0</v>
      </c>
    </row>
    <row r="293" spans="1:14" x14ac:dyDescent="0.3">
      <c r="A293" s="3" t="str">
        <f>INDEX('R1. Scenario specifications'!$C$11:$C$49,MATCH($B293,'R1. Scenario specifications'!$A$11:$A$49,0))</f>
        <v>Current 1.5DS, 2020 start, 'Expect the Unexpected' but with most conservative biomass CCS / NET technology cost assumptions</v>
      </c>
      <c r="B293" s="3" t="s">
        <v>30</v>
      </c>
      <c r="C293" s="3" t="s">
        <v>74</v>
      </c>
      <c r="D293" s="14">
        <v>0</v>
      </c>
      <c r="E293" s="14">
        <v>0</v>
      </c>
      <c r="F293" s="14">
        <v>0</v>
      </c>
      <c r="G293" s="14">
        <v>22.634851637474796</v>
      </c>
      <c r="H293" s="14">
        <v>4092.421019272354</v>
      </c>
      <c r="I293" s="14">
        <v>35461.728071715697</v>
      </c>
      <c r="J293" s="14">
        <v>24499.577966838788</v>
      </c>
      <c r="K293" s="14">
        <v>5126.0159040291719</v>
      </c>
      <c r="L293" s="14">
        <v>7559.6291067425709</v>
      </c>
      <c r="M293" s="14">
        <v>8171.5385744129071</v>
      </c>
      <c r="N293" s="14">
        <v>11321.169873164239</v>
      </c>
    </row>
    <row r="294" spans="1:14" x14ac:dyDescent="0.3">
      <c r="A294" s="3" t="str">
        <f>INDEX('R1. Scenario specifications'!$C$11:$C$49,MATCH($B294,'R1. Scenario specifications'!$A$11:$A$49,0))</f>
        <v>Current 1.5DS, 2020 start, 'Expect the Unexpected' but with most conservative biomass CCS / NET technology cost assumptions</v>
      </c>
      <c r="B294" s="3" t="s">
        <v>30</v>
      </c>
      <c r="C294" s="3" t="s">
        <v>66</v>
      </c>
      <c r="D294" s="14">
        <v>202.4480216544064</v>
      </c>
      <c r="E294" s="14">
        <v>194.35225063586262</v>
      </c>
      <c r="F294" s="14">
        <v>2690.096097794773</v>
      </c>
      <c r="G294" s="14">
        <v>6711.3705008458737</v>
      </c>
      <c r="H294" s="14">
        <v>25907.642080571841</v>
      </c>
      <c r="I294" s="14">
        <v>31243.600231149136</v>
      </c>
      <c r="J294" s="14">
        <v>30539.05605690501</v>
      </c>
      <c r="K294" s="14">
        <v>26857.922854558721</v>
      </c>
      <c r="L294" s="14">
        <v>12808.584846669824</v>
      </c>
      <c r="M294" s="14">
        <v>20462.944538863245</v>
      </c>
      <c r="N294" s="14">
        <v>25219.287478758157</v>
      </c>
    </row>
    <row r="295" spans="1:14" x14ac:dyDescent="0.3">
      <c r="A295" s="3" t="str">
        <f>INDEX('R1. Scenario specifications'!$C$11:$C$49,MATCH($B295,'R1. Scenario specifications'!$A$11:$A$49,0))</f>
        <v>Current 1.5DS, 2020 start, 'Expect the Unexpected' but with most conservative biomass CCS / NET technology cost assumptions</v>
      </c>
      <c r="B295" s="3" t="s">
        <v>30</v>
      </c>
      <c r="C295" s="3" t="s">
        <v>67</v>
      </c>
      <c r="D295" s="14">
        <v>10255.125599999996</v>
      </c>
      <c r="E295" s="14">
        <v>10349.477981293301</v>
      </c>
      <c r="F295" s="14">
        <v>14634.999767850808</v>
      </c>
      <c r="G295" s="14">
        <v>18074.69310419061</v>
      </c>
      <c r="H295" s="14">
        <v>28165.651582296352</v>
      </c>
      <c r="I295" s="14">
        <v>33595.789961011484</v>
      </c>
      <c r="J295" s="14">
        <v>36101.751341675073</v>
      </c>
      <c r="K295" s="14">
        <v>37313.181957679815</v>
      </c>
      <c r="L295" s="14">
        <v>38590.101323780276</v>
      </c>
      <c r="M295" s="14">
        <v>40329.631046014219</v>
      </c>
      <c r="N295" s="14">
        <v>41117.7853298349</v>
      </c>
    </row>
    <row r="296" spans="1:14" x14ac:dyDescent="0.3">
      <c r="A296" s="3" t="str">
        <f>INDEX('R1. Scenario specifications'!$C$11:$C$49,MATCH($B296,'R1. Scenario specifications'!$A$11:$A$49,0))</f>
        <v>Current 1.5DS, 2020 start, 'Expect the Unexpected' but with most conservative biomass CCS / NET technology cost assumptions</v>
      </c>
      <c r="B296" s="3" t="s">
        <v>30</v>
      </c>
      <c r="C296" s="3" t="s">
        <v>68</v>
      </c>
      <c r="D296" s="14">
        <v>9499.4101148835834</v>
      </c>
      <c r="E296" s="14">
        <v>9854.768593125913</v>
      </c>
      <c r="F296" s="14">
        <v>13753.197500000002</v>
      </c>
      <c r="G296" s="14">
        <v>14514.167854150604</v>
      </c>
      <c r="H296" s="14">
        <v>17944.159569507141</v>
      </c>
      <c r="I296" s="14">
        <v>24650.255642953245</v>
      </c>
      <c r="J296" s="14">
        <v>26625.87896257277</v>
      </c>
      <c r="K296" s="14">
        <v>28729.061029420565</v>
      </c>
      <c r="L296" s="14">
        <v>33810.916486129106</v>
      </c>
      <c r="M296" s="14">
        <v>38231.46258722023</v>
      </c>
      <c r="N296" s="14">
        <v>39733.174999999996</v>
      </c>
    </row>
    <row r="297" spans="1:14" x14ac:dyDescent="0.3">
      <c r="A297" s="3" t="str">
        <f>INDEX('R1. Scenario specifications'!$C$11:$C$49,MATCH($B297,'R1. Scenario specifications'!$A$11:$A$49,0))</f>
        <v>Current 1.5DS, 2020 start, 'Expect the Unexpected' but with most conservative biomass CCS / NET technology cost assumptions</v>
      </c>
      <c r="B297" s="3" t="s">
        <v>30</v>
      </c>
      <c r="C297" s="3" t="s">
        <v>69</v>
      </c>
      <c r="D297" s="14">
        <v>2379.5369238501598</v>
      </c>
      <c r="E297" s="14">
        <v>2356.8190162179026</v>
      </c>
      <c r="F297" s="14">
        <v>2308.8771400062938</v>
      </c>
      <c r="G297" s="14">
        <v>1503.8223551611873</v>
      </c>
      <c r="H297" s="14">
        <v>67.922332266666288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</row>
    <row r="298" spans="1:14" x14ac:dyDescent="0.3">
      <c r="A298" s="3" t="str">
        <f>INDEX('R1. Scenario specifications'!$C$11:$C$49,MATCH($B298,'R1. Scenario specifications'!$A$11:$A$49,0))</f>
        <v>Current 1.5DS, 2020 start, 'Expect the Unexpected' but with most conservative biomass CCS / NET technology cost assumptions</v>
      </c>
      <c r="B298" s="3" t="s">
        <v>30</v>
      </c>
      <c r="C298" s="3" t="s">
        <v>70</v>
      </c>
      <c r="D298" s="14">
        <v>67.937052631788802</v>
      </c>
      <c r="E298" s="14">
        <v>458.66984800047192</v>
      </c>
      <c r="F298" s="14">
        <v>917.48161125092997</v>
      </c>
      <c r="G298" s="14">
        <v>4403.8172003886011</v>
      </c>
      <c r="H298" s="14">
        <v>17737.65169630996</v>
      </c>
      <c r="I298" s="14">
        <v>42451.613120304602</v>
      </c>
      <c r="J298" s="14">
        <v>60399.835748577345</v>
      </c>
      <c r="K298" s="14">
        <v>57982.617390888125</v>
      </c>
      <c r="L298" s="14">
        <v>73330.096327394756</v>
      </c>
      <c r="M298" s="14">
        <v>89148.893636663983</v>
      </c>
      <c r="N298" s="14">
        <v>104206.51765377317</v>
      </c>
    </row>
    <row r="299" spans="1:14" x14ac:dyDescent="0.3">
      <c r="A299" s="3" t="str">
        <f>INDEX('R1. Scenario specifications'!$C$11:$C$49,MATCH($B299,'R1. Scenario specifications'!$A$11:$A$49,0))</f>
        <v>Current 1.5DS, 2020 start, 'Expect the Unexpected' but with most conservative biomass CCS / NET technology cost assumptions</v>
      </c>
      <c r="B299" s="3" t="s">
        <v>30</v>
      </c>
      <c r="C299" s="3" t="s">
        <v>71</v>
      </c>
      <c r="D299" s="14">
        <v>0.68787021919935687</v>
      </c>
      <c r="E299" s="14">
        <v>0.6257617671977489</v>
      </c>
      <c r="F299" s="14">
        <v>0.52638824399517514</v>
      </c>
      <c r="G299" s="14">
        <v>0.35092549599678308</v>
      </c>
      <c r="H299" s="14">
        <v>0.17546274799839173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</row>
    <row r="300" spans="1:14" x14ac:dyDescent="0.3">
      <c r="A300" s="3" t="str">
        <f>INDEX('R1. Scenario specifications'!$C$11:$C$49,MATCH($B300,'R1. Scenario specifications'!$A$11:$A$49,0))</f>
        <v>Current 1.5DS, 2020 start, 'Expect the Unexpected' but with most conservative biomass CCS / NET technology cost assumptions</v>
      </c>
      <c r="B300" s="3" t="s">
        <v>30</v>
      </c>
      <c r="C300" s="3" t="s">
        <v>75</v>
      </c>
      <c r="D300" s="14">
        <v>1.963099940637433</v>
      </c>
      <c r="E300" s="14">
        <v>1.7858497922310126</v>
      </c>
      <c r="F300" s="14">
        <v>1.5022495547807513</v>
      </c>
      <c r="G300" s="14">
        <v>1.0014997031871673</v>
      </c>
      <c r="H300" s="14">
        <v>0.50074985159358421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</row>
    <row r="301" spans="1:14" x14ac:dyDescent="0.3">
      <c r="A301" s="3" t="str">
        <f>INDEX('R1. Scenario specifications'!$C$11:$C$49,MATCH($B301,'R1. Scenario specifications'!$A$11:$A$49,0))</f>
        <v>Current 1.5DS, 2020 start, 'Expect the Unexpected' but with most conservative biomass CCS / NET technology cost assumptions</v>
      </c>
      <c r="B301" s="3" t="s">
        <v>30</v>
      </c>
      <c r="C301" s="3" t="s">
        <v>72</v>
      </c>
      <c r="D301" s="14">
        <v>1517.4635089937533</v>
      </c>
      <c r="E301" s="14">
        <v>1704.9418897085425</v>
      </c>
      <c r="F301" s="14">
        <v>2685.5545190640855</v>
      </c>
      <c r="G301" s="14">
        <v>13084.955487531341</v>
      </c>
      <c r="H301" s="14">
        <v>28106.351537580471</v>
      </c>
      <c r="I301" s="14">
        <v>60495.276065775666</v>
      </c>
      <c r="J301" s="14">
        <v>83032.295927431653</v>
      </c>
      <c r="K301" s="14">
        <v>77674.80756524569</v>
      </c>
      <c r="L301" s="14">
        <v>102062.15859314353</v>
      </c>
      <c r="M301" s="14">
        <v>144000.21212384416</v>
      </c>
      <c r="N301" s="14">
        <v>184296.19649903607</v>
      </c>
    </row>
    <row r="302" spans="1:14" x14ac:dyDescent="0.3">
      <c r="A302" s="3" t="str">
        <f>INDEX('R1. Scenario specifications'!$C$11:$C$49,MATCH($B302,'R1. Scenario specifications'!$A$11:$A$49,0))</f>
        <v>Current 1.5DS, 2030 start, 'Expect the Unexpected' but with most conservative biomass CCS / NET technology cost assumptions</v>
      </c>
      <c r="B302" s="3" t="s">
        <v>31</v>
      </c>
      <c r="C302" s="3" t="s">
        <v>63</v>
      </c>
      <c r="D302" s="14">
        <v>225.44707509197985</v>
      </c>
      <c r="E302" s="14">
        <v>432.13326707926797</v>
      </c>
      <c r="F302" s="14">
        <v>2791.4850951746125</v>
      </c>
      <c r="G302" s="14">
        <v>10791.541692619947</v>
      </c>
      <c r="H302" s="14">
        <v>16715.622603286694</v>
      </c>
      <c r="I302" s="14">
        <v>2500.3089044227595</v>
      </c>
      <c r="J302" s="14">
        <v>427.57845337941541</v>
      </c>
      <c r="K302" s="14">
        <v>334.460642759454</v>
      </c>
      <c r="L302" s="14">
        <v>344.34151037586861</v>
      </c>
      <c r="M302" s="14">
        <v>337.54390256874035</v>
      </c>
      <c r="N302" s="14">
        <v>119.11878324691881</v>
      </c>
    </row>
    <row r="303" spans="1:14" x14ac:dyDescent="0.3">
      <c r="A303" s="3" t="str">
        <f>INDEX('R1. Scenario specifications'!$C$11:$C$49,MATCH($B303,'R1. Scenario specifications'!$A$11:$A$49,0))</f>
        <v>Current 1.5DS, 2030 start, 'Expect the Unexpected' but with most conservative biomass CCS / NET technology cost assumptions</v>
      </c>
      <c r="B303" s="3" t="s">
        <v>31</v>
      </c>
      <c r="C303" s="3" t="s">
        <v>73</v>
      </c>
      <c r="D303" s="14">
        <v>0</v>
      </c>
      <c r="E303" s="14">
        <v>0</v>
      </c>
      <c r="F303" s="14">
        <v>0</v>
      </c>
      <c r="G303" s="14">
        <v>0</v>
      </c>
      <c r="H303" s="14">
        <v>369.11989539360002</v>
      </c>
      <c r="I303" s="14">
        <v>18720.423586748071</v>
      </c>
      <c r="J303" s="14">
        <v>80591.241645427945</v>
      </c>
      <c r="K303" s="14">
        <v>35690.911313937744</v>
      </c>
      <c r="L303" s="14">
        <v>42117.669133148695</v>
      </c>
      <c r="M303" s="14">
        <v>49721.809524885517</v>
      </c>
      <c r="N303" s="14">
        <v>58375.215196459394</v>
      </c>
    </row>
    <row r="304" spans="1:14" x14ac:dyDescent="0.3">
      <c r="A304" s="3" t="str">
        <f>INDEX('R1. Scenario specifications'!$C$11:$C$49,MATCH($B304,'R1. Scenario specifications'!$A$11:$A$49,0))</f>
        <v>Current 1.5DS, 2030 start, 'Expect the Unexpected' but with most conservative biomass CCS / NET technology cost assumptions</v>
      </c>
      <c r="B304" s="3" t="s">
        <v>31</v>
      </c>
      <c r="C304" s="3" t="s">
        <v>64</v>
      </c>
      <c r="D304" s="14">
        <v>33040.313548549595</v>
      </c>
      <c r="E304" s="14">
        <v>42259.332050485427</v>
      </c>
      <c r="F304" s="14">
        <v>32172.508335863538</v>
      </c>
      <c r="G304" s="14">
        <v>29995.093630544216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</row>
    <row r="305" spans="1:14" x14ac:dyDescent="0.3">
      <c r="A305" s="3" t="str">
        <f>INDEX('R1. Scenario specifications'!$C$11:$C$49,MATCH($B305,'R1. Scenario specifications'!$A$11:$A$49,0))</f>
        <v>Current 1.5DS, 2030 start, 'Expect the Unexpected' but with most conservative biomass CCS / NET technology cost assumptions</v>
      </c>
      <c r="B305" s="3" t="s">
        <v>31</v>
      </c>
      <c r="C305" s="3" t="s">
        <v>65</v>
      </c>
      <c r="D305" s="14">
        <v>14597.074835304187</v>
      </c>
      <c r="E305" s="14">
        <v>15742.568461825351</v>
      </c>
      <c r="F305" s="14">
        <v>23692.881756781935</v>
      </c>
      <c r="G305" s="14">
        <v>18923.773890589895</v>
      </c>
      <c r="H305" s="14">
        <v>7575.5993302193638</v>
      </c>
      <c r="I305" s="14">
        <v>0</v>
      </c>
      <c r="J305" s="14">
        <v>0</v>
      </c>
      <c r="K305" s="14">
        <v>350.39264801410911</v>
      </c>
      <c r="L305" s="14">
        <v>1311.1969726406433</v>
      </c>
      <c r="M305" s="14">
        <v>2712.6485086072571</v>
      </c>
      <c r="N305" s="14">
        <v>2105.9878501457501</v>
      </c>
    </row>
    <row r="306" spans="1:14" x14ac:dyDescent="0.3">
      <c r="A306" s="3" t="str">
        <f>INDEX('R1. Scenario specifications'!$C$11:$C$49,MATCH($B306,'R1. Scenario specifications'!$A$11:$A$49,0))</f>
        <v>Current 1.5DS, 2030 start, 'Expect the Unexpected' but with most conservative biomass CCS / NET technology cost assumptions</v>
      </c>
      <c r="B306" s="3" t="s">
        <v>31</v>
      </c>
      <c r="C306" s="3" t="s">
        <v>74</v>
      </c>
      <c r="D306" s="14">
        <v>0</v>
      </c>
      <c r="E306" s="14">
        <v>0</v>
      </c>
      <c r="F306" s="14">
        <v>0</v>
      </c>
      <c r="G306" s="14">
        <v>0</v>
      </c>
      <c r="H306" s="14">
        <v>56.787676214400008</v>
      </c>
      <c r="I306" s="14">
        <v>10325.1717863999</v>
      </c>
      <c r="J306" s="14">
        <v>33937.213628840451</v>
      </c>
      <c r="K306" s="14">
        <v>983.69781065494954</v>
      </c>
      <c r="L306" s="14">
        <v>1524.3276422428899</v>
      </c>
      <c r="M306" s="14">
        <v>878.77180285612133</v>
      </c>
      <c r="N306" s="14">
        <v>1066.9395684143117</v>
      </c>
    </row>
    <row r="307" spans="1:14" x14ac:dyDescent="0.3">
      <c r="A307" s="3" t="str">
        <f>INDEX('R1. Scenario specifications'!$C$11:$C$49,MATCH($B307,'R1. Scenario specifications'!$A$11:$A$49,0))</f>
        <v>Current 1.5DS, 2030 start, 'Expect the Unexpected' but with most conservative biomass CCS / NET technology cost assumptions</v>
      </c>
      <c r="B307" s="3" t="s">
        <v>31</v>
      </c>
      <c r="C307" s="3" t="s">
        <v>66</v>
      </c>
      <c r="D307" s="14">
        <v>202.4480216544064</v>
      </c>
      <c r="E307" s="14">
        <v>194.35225063586262</v>
      </c>
      <c r="F307" s="14">
        <v>2690.096097794773</v>
      </c>
      <c r="G307" s="14">
        <v>4149.3454146666118</v>
      </c>
      <c r="H307" s="14">
        <v>16949.643280374534</v>
      </c>
      <c r="I307" s="14">
        <v>37256.779175766118</v>
      </c>
      <c r="J307" s="14">
        <v>35779.661140706899</v>
      </c>
      <c r="K307" s="14">
        <v>34681.118903719755</v>
      </c>
      <c r="L307" s="14">
        <v>21705.573929799342</v>
      </c>
      <c r="M307" s="14">
        <v>6943.7994448799591</v>
      </c>
      <c r="N307" s="14">
        <v>9673.3033516437736</v>
      </c>
    </row>
    <row r="308" spans="1:14" x14ac:dyDescent="0.3">
      <c r="A308" s="3" t="str">
        <f>INDEX('R1. Scenario specifications'!$C$11:$C$49,MATCH($B308,'R1. Scenario specifications'!$A$11:$A$49,0))</f>
        <v>Current 1.5DS, 2030 start, 'Expect the Unexpected' but with most conservative biomass CCS / NET technology cost assumptions</v>
      </c>
      <c r="B308" s="3" t="s">
        <v>31</v>
      </c>
      <c r="C308" s="3" t="s">
        <v>67</v>
      </c>
      <c r="D308" s="14">
        <v>10255.125599999996</v>
      </c>
      <c r="E308" s="14">
        <v>10349.477981293301</v>
      </c>
      <c r="F308" s="14">
        <v>14634.999767850808</v>
      </c>
      <c r="G308" s="14">
        <v>17168.548108229523</v>
      </c>
      <c r="H308" s="14">
        <v>21071.565828810559</v>
      </c>
      <c r="I308" s="14">
        <v>30511.466960396359</v>
      </c>
      <c r="J308" s="14">
        <v>34429.401350196589</v>
      </c>
      <c r="K308" s="14">
        <v>37294.454436777138</v>
      </c>
      <c r="L308" s="14">
        <v>31159.543562614104</v>
      </c>
      <c r="M308" s="14">
        <v>36256.210675185714</v>
      </c>
      <c r="N308" s="14">
        <v>38595.483515572036</v>
      </c>
    </row>
    <row r="309" spans="1:14" x14ac:dyDescent="0.3">
      <c r="A309" s="3" t="str">
        <f>INDEX('R1. Scenario specifications'!$C$11:$C$49,MATCH($B309,'R1. Scenario specifications'!$A$11:$A$49,0))</f>
        <v>Current 1.5DS, 2030 start, 'Expect the Unexpected' but with most conservative biomass CCS / NET technology cost assumptions</v>
      </c>
      <c r="B309" s="3" t="s">
        <v>31</v>
      </c>
      <c r="C309" s="3" t="s">
        <v>68</v>
      </c>
      <c r="D309" s="14">
        <v>9499.4101148835834</v>
      </c>
      <c r="E309" s="14">
        <v>9854.768593125913</v>
      </c>
      <c r="F309" s="14">
        <v>13753.197500000002</v>
      </c>
      <c r="G309" s="14">
        <v>14514.167854150606</v>
      </c>
      <c r="H309" s="14">
        <v>15191.631806438927</v>
      </c>
      <c r="I309" s="14">
        <v>22295.076922334163</v>
      </c>
      <c r="J309" s="14">
        <v>26180.947051496027</v>
      </c>
      <c r="K309" s="14">
        <v>28214.064929933276</v>
      </c>
      <c r="L309" s="14">
        <v>29615.385481592639</v>
      </c>
      <c r="M309" s="14">
        <v>34357.45922752966</v>
      </c>
      <c r="N309" s="14">
        <v>34092.058784753652</v>
      </c>
    </row>
    <row r="310" spans="1:14" x14ac:dyDescent="0.3">
      <c r="A310" s="3" t="str">
        <f>INDEX('R1. Scenario specifications'!$C$11:$C$49,MATCH($B310,'R1. Scenario specifications'!$A$11:$A$49,0))</f>
        <v>Current 1.5DS, 2030 start, 'Expect the Unexpected' but with most conservative biomass CCS / NET technology cost assumptions</v>
      </c>
      <c r="B310" s="3" t="s">
        <v>31</v>
      </c>
      <c r="C310" s="3" t="s">
        <v>69</v>
      </c>
      <c r="D310" s="14">
        <v>2379.5369238501598</v>
      </c>
      <c r="E310" s="14">
        <v>2356.8190162179026</v>
      </c>
      <c r="F310" s="14">
        <v>2308.8771400062938</v>
      </c>
      <c r="G310" s="14">
        <v>1516.5761695611868</v>
      </c>
      <c r="H310" s="14">
        <v>67.922332266666416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</row>
    <row r="311" spans="1:14" x14ac:dyDescent="0.3">
      <c r="A311" s="3" t="str">
        <f>INDEX('R1. Scenario specifications'!$C$11:$C$49,MATCH($B311,'R1. Scenario specifications'!$A$11:$A$49,0))</f>
        <v>Current 1.5DS, 2030 start, 'Expect the Unexpected' but with most conservative biomass CCS / NET technology cost assumptions</v>
      </c>
      <c r="B311" s="3" t="s">
        <v>31</v>
      </c>
      <c r="C311" s="3" t="s">
        <v>70</v>
      </c>
      <c r="D311" s="14">
        <v>67.937052631788802</v>
      </c>
      <c r="E311" s="14">
        <v>458.66984800047192</v>
      </c>
      <c r="F311" s="14">
        <v>917.48161125092997</v>
      </c>
      <c r="G311" s="14">
        <v>2670.3548260954558</v>
      </c>
      <c r="H311" s="14">
        <v>11471.501553833521</v>
      </c>
      <c r="I311" s="14">
        <v>33553.900454676463</v>
      </c>
      <c r="J311" s="14">
        <v>77511.110141594807</v>
      </c>
      <c r="K311" s="14">
        <v>63488.165464277154</v>
      </c>
      <c r="L311" s="14">
        <v>60882.444997668252</v>
      </c>
      <c r="M311" s="14">
        <v>81620.813229961001</v>
      </c>
      <c r="N311" s="14">
        <v>87699.975044683481</v>
      </c>
    </row>
    <row r="312" spans="1:14" x14ac:dyDescent="0.3">
      <c r="A312" s="3" t="str">
        <f>INDEX('R1. Scenario specifications'!$C$11:$C$49,MATCH($B312,'R1. Scenario specifications'!$A$11:$A$49,0))</f>
        <v>Current 1.5DS, 2030 start, 'Expect the Unexpected' but with most conservative biomass CCS / NET technology cost assumptions</v>
      </c>
      <c r="B312" s="3" t="s">
        <v>31</v>
      </c>
      <c r="C312" s="3" t="s">
        <v>71</v>
      </c>
      <c r="D312" s="14">
        <v>0.68787021919935687</v>
      </c>
      <c r="E312" s="14">
        <v>0.6257617671977489</v>
      </c>
      <c r="F312" s="14">
        <v>0.52638824399517514</v>
      </c>
      <c r="G312" s="14">
        <v>0.35092549599678308</v>
      </c>
      <c r="H312" s="14">
        <v>0.17546274799839173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</row>
    <row r="313" spans="1:14" x14ac:dyDescent="0.3">
      <c r="A313" s="3" t="str">
        <f>INDEX('R1. Scenario specifications'!$C$11:$C$49,MATCH($B313,'R1. Scenario specifications'!$A$11:$A$49,0))</f>
        <v>Current 1.5DS, 2030 start, 'Expect the Unexpected' but with most conservative biomass CCS / NET technology cost assumptions</v>
      </c>
      <c r="B313" s="3" t="s">
        <v>31</v>
      </c>
      <c r="C313" s="3" t="s">
        <v>75</v>
      </c>
      <c r="D313" s="14">
        <v>1.963099940637433</v>
      </c>
      <c r="E313" s="14">
        <v>1.7858497922310126</v>
      </c>
      <c r="F313" s="14">
        <v>1.5022495547807513</v>
      </c>
      <c r="G313" s="14">
        <v>1.0014997031871682</v>
      </c>
      <c r="H313" s="14">
        <v>0.50074985159358409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</row>
    <row r="314" spans="1:14" x14ac:dyDescent="0.3">
      <c r="A314" s="3" t="str">
        <f>INDEX('R1. Scenario specifications'!$C$11:$C$49,MATCH($B314,'R1. Scenario specifications'!$A$11:$A$49,0))</f>
        <v>Current 1.5DS, 2030 start, 'Expect the Unexpected' but with most conservative biomass CCS / NET technology cost assumptions</v>
      </c>
      <c r="B314" s="3" t="s">
        <v>31</v>
      </c>
      <c r="C314" s="3" t="s">
        <v>72</v>
      </c>
      <c r="D314" s="14">
        <v>1517.4635089937533</v>
      </c>
      <c r="E314" s="14">
        <v>1704.9418897085425</v>
      </c>
      <c r="F314" s="14">
        <v>2685.5545190640855</v>
      </c>
      <c r="G314" s="14">
        <v>10882.32058635127</v>
      </c>
      <c r="H314" s="14">
        <v>24074.657461156083</v>
      </c>
      <c r="I314" s="14">
        <v>48242.562952275388</v>
      </c>
      <c r="J314" s="14">
        <v>100234.66403911736</v>
      </c>
      <c r="K314" s="14">
        <v>75972.064141193914</v>
      </c>
      <c r="L314" s="14">
        <v>74502.038539766174</v>
      </c>
      <c r="M314" s="14">
        <v>91464.770948859106</v>
      </c>
      <c r="N314" s="14">
        <v>118491.23588447615</v>
      </c>
    </row>
    <row r="315" spans="1:14" x14ac:dyDescent="0.3">
      <c r="A315" s="3" t="str">
        <f>INDEX('R1. Scenario specifications'!$C$11:$C$49,MATCH($B315,'R1. Scenario specifications'!$A$11:$A$49,0))</f>
        <v>Current 1.75DS, 2020 start, 'Expect the Unexpected'</v>
      </c>
      <c r="B315" s="3" t="s">
        <v>32</v>
      </c>
      <c r="C315" s="3" t="s">
        <v>63</v>
      </c>
      <c r="D315" s="14">
        <v>225.44707509197985</v>
      </c>
      <c r="E315" s="14">
        <v>432.13326707926797</v>
      </c>
      <c r="F315" s="14">
        <v>2791.4850951746125</v>
      </c>
      <c r="G315" s="14">
        <v>12635.036182064405</v>
      </c>
      <c r="H315" s="14">
        <v>13786.244838932049</v>
      </c>
      <c r="I315" s="14">
        <v>10322.183073730919</v>
      </c>
      <c r="J315" s="14">
        <v>603.14926593768212</v>
      </c>
      <c r="K315" s="14">
        <v>70.974852068753307</v>
      </c>
      <c r="L315" s="14">
        <v>76.555104588128202</v>
      </c>
      <c r="M315" s="14">
        <v>76.555104588128202</v>
      </c>
      <c r="N315" s="14">
        <v>71.288235692035002</v>
      </c>
    </row>
    <row r="316" spans="1:14" x14ac:dyDescent="0.3">
      <c r="A316" s="3" t="str">
        <f>INDEX('R1. Scenario specifications'!$C$11:$C$49,MATCH($B316,'R1. Scenario specifications'!$A$11:$A$49,0))</f>
        <v>Current 1.75DS, 2020 start, 'Expect the Unexpected'</v>
      </c>
      <c r="B316" s="3" t="s">
        <v>32</v>
      </c>
      <c r="C316" s="3" t="s">
        <v>73</v>
      </c>
      <c r="D316" s="14">
        <v>0</v>
      </c>
      <c r="E316" s="14">
        <v>0</v>
      </c>
      <c r="F316" s="14">
        <v>0</v>
      </c>
      <c r="G316" s="14">
        <v>359.51520107745858</v>
      </c>
      <c r="H316" s="14">
        <v>2453.7763208585197</v>
      </c>
      <c r="I316" s="14">
        <v>12154.191027748144</v>
      </c>
      <c r="J316" s="14">
        <v>38293.787282623925</v>
      </c>
      <c r="K316" s="14">
        <v>62185.73254732776</v>
      </c>
      <c r="L316" s="14">
        <v>78414.515404931546</v>
      </c>
      <c r="M316" s="14">
        <v>91157.590675333355</v>
      </c>
      <c r="N316" s="14">
        <v>97123.839150176631</v>
      </c>
    </row>
    <row r="317" spans="1:14" x14ac:dyDescent="0.3">
      <c r="A317" s="3" t="str">
        <f>INDEX('R1. Scenario specifications'!$C$11:$C$49,MATCH($B317,'R1. Scenario specifications'!$A$11:$A$49,0))</f>
        <v>Current 1.75DS, 2020 start, 'Expect the Unexpected'</v>
      </c>
      <c r="B317" s="3" t="s">
        <v>32</v>
      </c>
      <c r="C317" s="3" t="s">
        <v>64</v>
      </c>
      <c r="D317" s="14">
        <v>33040.313548549595</v>
      </c>
      <c r="E317" s="14">
        <v>42259.332050485427</v>
      </c>
      <c r="F317" s="14">
        <v>32172.508335863538</v>
      </c>
      <c r="G317" s="14">
        <v>15659.62284806537</v>
      </c>
      <c r="H317" s="14">
        <v>925.63163732412727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</row>
    <row r="318" spans="1:14" x14ac:dyDescent="0.3">
      <c r="A318" s="3" t="str">
        <f>INDEX('R1. Scenario specifications'!$C$11:$C$49,MATCH($B318,'R1. Scenario specifications'!$A$11:$A$49,0))</f>
        <v>Current 1.75DS, 2020 start, 'Expect the Unexpected'</v>
      </c>
      <c r="B318" s="3" t="s">
        <v>32</v>
      </c>
      <c r="C318" s="3" t="s">
        <v>65</v>
      </c>
      <c r="D318" s="14">
        <v>14597.074835304187</v>
      </c>
      <c r="E318" s="14">
        <v>15742.568461825351</v>
      </c>
      <c r="F318" s="14">
        <v>23692.881756781935</v>
      </c>
      <c r="G318" s="14">
        <v>19566.491189455017</v>
      </c>
      <c r="H318" s="14">
        <v>14879.412620601992</v>
      </c>
      <c r="I318" s="14">
        <v>9398.7650948800183</v>
      </c>
      <c r="J318" s="14">
        <v>2552.1344399133091</v>
      </c>
      <c r="K318" s="14">
        <v>484.0660261474564</v>
      </c>
      <c r="L318" s="14">
        <v>0</v>
      </c>
      <c r="M318" s="14">
        <v>0</v>
      </c>
      <c r="N318" s="14">
        <v>0</v>
      </c>
    </row>
    <row r="319" spans="1:14" x14ac:dyDescent="0.3">
      <c r="A319" s="3" t="str">
        <f>INDEX('R1. Scenario specifications'!$C$11:$C$49,MATCH($B319,'R1. Scenario specifications'!$A$11:$A$49,0))</f>
        <v>Current 1.75DS, 2020 start, 'Expect the Unexpected'</v>
      </c>
      <c r="B319" s="3" t="s">
        <v>32</v>
      </c>
      <c r="C319" s="3" t="s">
        <v>74</v>
      </c>
      <c r="D319" s="14">
        <v>0</v>
      </c>
      <c r="E319" s="14">
        <v>0</v>
      </c>
      <c r="F319" s="14">
        <v>0</v>
      </c>
      <c r="G319" s="14">
        <v>28.393838107200004</v>
      </c>
      <c r="H319" s="14">
        <v>71.308772808417331</v>
      </c>
      <c r="I319" s="14">
        <v>1973.32270451876</v>
      </c>
      <c r="J319" s="14">
        <v>4268.7763935010698</v>
      </c>
      <c r="K319" s="14">
        <v>6000.1030985777616</v>
      </c>
      <c r="L319" s="14">
        <v>11810.825121870572</v>
      </c>
      <c r="M319" s="14">
        <v>12443.907587040061</v>
      </c>
      <c r="N319" s="14">
        <v>11372.448610653075</v>
      </c>
    </row>
    <row r="320" spans="1:14" x14ac:dyDescent="0.3">
      <c r="A320" s="3" t="str">
        <f>INDEX('R1. Scenario specifications'!$C$11:$C$49,MATCH($B320,'R1. Scenario specifications'!$A$11:$A$49,0))</f>
        <v>Current 1.75DS, 2020 start, 'Expect the Unexpected'</v>
      </c>
      <c r="B320" s="3" t="s">
        <v>32</v>
      </c>
      <c r="C320" s="3" t="s">
        <v>66</v>
      </c>
      <c r="D320" s="14">
        <v>202.4480216544064</v>
      </c>
      <c r="E320" s="14">
        <v>194.35225063586262</v>
      </c>
      <c r="F320" s="14">
        <v>2690.096097794773</v>
      </c>
      <c r="G320" s="14">
        <v>4159.862749522521</v>
      </c>
      <c r="H320" s="14">
        <v>5581.5276217636256</v>
      </c>
      <c r="I320" s="14">
        <v>8042.6975515589183</v>
      </c>
      <c r="J320" s="14">
        <v>13070.833413699023</v>
      </c>
      <c r="K320" s="14">
        <v>14936.837754704877</v>
      </c>
      <c r="L320" s="14">
        <v>20862.111806554491</v>
      </c>
      <c r="M320" s="14">
        <v>24743.14551126607</v>
      </c>
      <c r="N320" s="14">
        <v>26503.182099731112</v>
      </c>
    </row>
    <row r="321" spans="1:14" x14ac:dyDescent="0.3">
      <c r="A321" s="3" t="str">
        <f>INDEX('R1. Scenario specifications'!$C$11:$C$49,MATCH($B321,'R1. Scenario specifications'!$A$11:$A$49,0))</f>
        <v>Current 1.75DS, 2020 start, 'Expect the Unexpected'</v>
      </c>
      <c r="B321" s="3" t="s">
        <v>32</v>
      </c>
      <c r="C321" s="3" t="s">
        <v>67</v>
      </c>
      <c r="D321" s="14">
        <v>10255.125599999996</v>
      </c>
      <c r="E321" s="14">
        <v>10349.477981293301</v>
      </c>
      <c r="F321" s="14">
        <v>14634.999767850808</v>
      </c>
      <c r="G321" s="14">
        <v>17738.971768023683</v>
      </c>
      <c r="H321" s="14">
        <v>21820.733278054784</v>
      </c>
      <c r="I321" s="14">
        <v>25435.87656849375</v>
      </c>
      <c r="J321" s="14">
        <v>26852.371666234787</v>
      </c>
      <c r="K321" s="14">
        <v>29420.800670488868</v>
      </c>
      <c r="L321" s="14">
        <v>33762.851946734518</v>
      </c>
      <c r="M321" s="14">
        <v>36874.548309294034</v>
      </c>
      <c r="N321" s="14">
        <v>38191.597523056538</v>
      </c>
    </row>
    <row r="322" spans="1:14" x14ac:dyDescent="0.3">
      <c r="A322" s="3" t="str">
        <f>INDEX('R1. Scenario specifications'!$C$11:$C$49,MATCH($B322,'R1. Scenario specifications'!$A$11:$A$49,0))</f>
        <v>Current 1.75DS, 2020 start, 'Expect the Unexpected'</v>
      </c>
      <c r="B322" s="3" t="s">
        <v>32</v>
      </c>
      <c r="C322" s="3" t="s">
        <v>68</v>
      </c>
      <c r="D322" s="14">
        <v>9499.4101148835834</v>
      </c>
      <c r="E322" s="14">
        <v>9854.768593125913</v>
      </c>
      <c r="F322" s="14">
        <v>13753.197500000002</v>
      </c>
      <c r="G322" s="14">
        <v>14514.167854150606</v>
      </c>
      <c r="H322" s="14">
        <v>17132.08644893012</v>
      </c>
      <c r="I322" s="14">
        <v>24552.996119163545</v>
      </c>
      <c r="J322" s="14">
        <v>29337.793560134873</v>
      </c>
      <c r="K322" s="14">
        <v>33225.799599336126</v>
      </c>
      <c r="L322" s="14">
        <v>36349.660635270797</v>
      </c>
      <c r="M322" s="14">
        <v>38453.579999999994</v>
      </c>
      <c r="N322" s="14">
        <v>38703.086392954065</v>
      </c>
    </row>
    <row r="323" spans="1:14" x14ac:dyDescent="0.3">
      <c r="A323" s="3" t="str">
        <f>INDEX('R1. Scenario specifications'!$C$11:$C$49,MATCH($B323,'R1. Scenario specifications'!$A$11:$A$49,0))</f>
        <v>Current 1.75DS, 2020 start, 'Expect the Unexpected'</v>
      </c>
      <c r="B323" s="3" t="s">
        <v>32</v>
      </c>
      <c r="C323" s="3" t="s">
        <v>69</v>
      </c>
      <c r="D323" s="14">
        <v>2379.5369238501598</v>
      </c>
      <c r="E323" s="14">
        <v>2356.8190162179026</v>
      </c>
      <c r="F323" s="14">
        <v>2308.8771400062938</v>
      </c>
      <c r="G323" s="14">
        <v>1503.8223551611877</v>
      </c>
      <c r="H323" s="14">
        <v>734.1545938257558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</row>
    <row r="324" spans="1:14" x14ac:dyDescent="0.3">
      <c r="A324" s="3" t="str">
        <f>INDEX('R1. Scenario specifications'!$C$11:$C$49,MATCH($B324,'R1. Scenario specifications'!$A$11:$A$49,0))</f>
        <v>Current 1.75DS, 2020 start, 'Expect the Unexpected'</v>
      </c>
      <c r="B324" s="3" t="s">
        <v>32</v>
      </c>
      <c r="C324" s="3" t="s">
        <v>70</v>
      </c>
      <c r="D324" s="14">
        <v>67.937052631788802</v>
      </c>
      <c r="E324" s="14">
        <v>458.66984800047192</v>
      </c>
      <c r="F324" s="14">
        <v>917.48161125092997</v>
      </c>
      <c r="G324" s="14">
        <v>4272.9290423621815</v>
      </c>
      <c r="H324" s="14">
        <v>15825.196110255392</v>
      </c>
      <c r="I324" s="14">
        <v>25600.1453939479</v>
      </c>
      <c r="J324" s="14">
        <v>34398.423682521425</v>
      </c>
      <c r="K324" s="14">
        <v>53529.83919986472</v>
      </c>
      <c r="L324" s="14">
        <v>89724.994996271256</v>
      </c>
      <c r="M324" s="14">
        <v>112168.05107651687</v>
      </c>
      <c r="N324" s="14">
        <v>122366.75250543011</v>
      </c>
    </row>
    <row r="325" spans="1:14" x14ac:dyDescent="0.3">
      <c r="A325" s="3" t="str">
        <f>INDEX('R1. Scenario specifications'!$C$11:$C$49,MATCH($B325,'R1. Scenario specifications'!$A$11:$A$49,0))</f>
        <v>Current 1.75DS, 2020 start, 'Expect the Unexpected'</v>
      </c>
      <c r="B325" s="3" t="s">
        <v>32</v>
      </c>
      <c r="C325" s="3" t="s">
        <v>71</v>
      </c>
      <c r="D325" s="14">
        <v>0.68787021919935687</v>
      </c>
      <c r="E325" s="14">
        <v>0.6257617671977489</v>
      </c>
      <c r="F325" s="14">
        <v>0.52638824399517514</v>
      </c>
      <c r="G325" s="14">
        <v>0.35092549599678308</v>
      </c>
      <c r="H325" s="14">
        <v>0.17546274799839173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</row>
    <row r="326" spans="1:14" x14ac:dyDescent="0.3">
      <c r="A326" s="3" t="str">
        <f>INDEX('R1. Scenario specifications'!$C$11:$C$49,MATCH($B326,'R1. Scenario specifications'!$A$11:$A$49,0))</f>
        <v>Current 1.75DS, 2020 start, 'Expect the Unexpected'</v>
      </c>
      <c r="B326" s="3" t="s">
        <v>32</v>
      </c>
      <c r="C326" s="3" t="s">
        <v>75</v>
      </c>
      <c r="D326" s="14">
        <v>1.963099940637433</v>
      </c>
      <c r="E326" s="14">
        <v>1.7858497922310126</v>
      </c>
      <c r="F326" s="14">
        <v>1.5022495547807513</v>
      </c>
      <c r="G326" s="14">
        <v>1.0014997031871682</v>
      </c>
      <c r="H326" s="14">
        <v>0.50074985159358421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</row>
    <row r="327" spans="1:14" x14ac:dyDescent="0.3">
      <c r="A327" s="3" t="str">
        <f>INDEX('R1. Scenario specifications'!$C$11:$C$49,MATCH($B327,'R1. Scenario specifications'!$A$11:$A$49,0))</f>
        <v>Current 1.75DS, 2020 start, 'Expect the Unexpected'</v>
      </c>
      <c r="B327" s="3" t="s">
        <v>32</v>
      </c>
      <c r="C327" s="3" t="s">
        <v>72</v>
      </c>
      <c r="D327" s="14">
        <v>1517.4635089937533</v>
      </c>
      <c r="E327" s="14">
        <v>1704.9418897085425</v>
      </c>
      <c r="F327" s="14">
        <v>2685.5545190640855</v>
      </c>
      <c r="G327" s="14">
        <v>12230.817081009372</v>
      </c>
      <c r="H327" s="14">
        <v>27450.538961751263</v>
      </c>
      <c r="I327" s="14">
        <v>35889.905723426833</v>
      </c>
      <c r="J327" s="14">
        <v>51297.188060637847</v>
      </c>
      <c r="K327" s="14">
        <v>77167.3279409838</v>
      </c>
      <c r="L327" s="14">
        <v>125979.65084612844</v>
      </c>
      <c r="M327" s="14">
        <v>171029.47456632816</v>
      </c>
      <c r="N327" s="14">
        <v>204915.61713400381</v>
      </c>
    </row>
    <row r="328" spans="1:14" x14ac:dyDescent="0.3">
      <c r="A328" s="3" t="str">
        <f>INDEX('R1. Scenario specifications'!$C$11:$C$49,MATCH($B328,'R1. Scenario specifications'!$A$11:$A$49,0))</f>
        <v>Current 1.75DS, 2030 start, 'Expect the Unexpected'</v>
      </c>
      <c r="B328" s="3" t="s">
        <v>33</v>
      </c>
      <c r="C328" s="3" t="s">
        <v>63</v>
      </c>
      <c r="D328" s="14">
        <v>225.44707509197985</v>
      </c>
      <c r="E328" s="14">
        <v>432.13326707926797</v>
      </c>
      <c r="F328" s="14">
        <v>2791.4850951746125</v>
      </c>
      <c r="G328" s="14">
        <v>10791.541692619947</v>
      </c>
      <c r="H328" s="14">
        <v>14488.70080880864</v>
      </c>
      <c r="I328" s="14">
        <v>8616.6352895485343</v>
      </c>
      <c r="J328" s="14">
        <v>691.77424892466206</v>
      </c>
      <c r="K328" s="14">
        <v>92.520671073720735</v>
      </c>
      <c r="L328" s="14">
        <v>0</v>
      </c>
      <c r="M328" s="14">
        <v>73.549248677285703</v>
      </c>
      <c r="N328" s="14">
        <v>71.271036458421065</v>
      </c>
    </row>
    <row r="329" spans="1:14" x14ac:dyDescent="0.3">
      <c r="A329" s="3" t="str">
        <f>INDEX('R1. Scenario specifications'!$C$11:$C$49,MATCH($B329,'R1. Scenario specifications'!$A$11:$A$49,0))</f>
        <v>Current 1.75DS, 2030 start, 'Expect the Unexpected'</v>
      </c>
      <c r="B329" s="3" t="s">
        <v>33</v>
      </c>
      <c r="C329" s="3" t="s">
        <v>73</v>
      </c>
      <c r="D329" s="14">
        <v>0</v>
      </c>
      <c r="E329" s="14">
        <v>0</v>
      </c>
      <c r="F329" s="14">
        <v>0</v>
      </c>
      <c r="G329" s="14">
        <v>0</v>
      </c>
      <c r="H329" s="14">
        <v>412.10569001230584</v>
      </c>
      <c r="I329" s="14">
        <v>7731.9134458495946</v>
      </c>
      <c r="J329" s="14">
        <v>46229.392935086915</v>
      </c>
      <c r="K329" s="14">
        <v>60652.577985470467</v>
      </c>
      <c r="L329" s="14">
        <v>76302.192954750208</v>
      </c>
      <c r="M329" s="14">
        <v>87313.707169819434</v>
      </c>
      <c r="N329" s="14">
        <v>94923.030455316373</v>
      </c>
    </row>
    <row r="330" spans="1:14" x14ac:dyDescent="0.3">
      <c r="A330" s="3" t="str">
        <f>INDEX('R1. Scenario specifications'!$C$11:$C$49,MATCH($B330,'R1. Scenario specifications'!$A$11:$A$49,0))</f>
        <v>Current 1.75DS, 2030 start, 'Expect the Unexpected'</v>
      </c>
      <c r="B330" s="3" t="s">
        <v>33</v>
      </c>
      <c r="C330" s="3" t="s">
        <v>64</v>
      </c>
      <c r="D330" s="14">
        <v>33040.313548549595</v>
      </c>
      <c r="E330" s="14">
        <v>42259.332050485427</v>
      </c>
      <c r="F330" s="14">
        <v>32172.508335863538</v>
      </c>
      <c r="G330" s="14">
        <v>29995.093630544216</v>
      </c>
      <c r="H330" s="14">
        <v>2602.3331308261968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</row>
    <row r="331" spans="1:14" x14ac:dyDescent="0.3">
      <c r="A331" s="3" t="str">
        <f>INDEX('R1. Scenario specifications'!$C$11:$C$49,MATCH($B331,'R1. Scenario specifications'!$A$11:$A$49,0))</f>
        <v>Current 1.75DS, 2030 start, 'Expect the Unexpected'</v>
      </c>
      <c r="B331" s="3" t="s">
        <v>33</v>
      </c>
      <c r="C331" s="3" t="s">
        <v>65</v>
      </c>
      <c r="D331" s="14">
        <v>14597.074835304187</v>
      </c>
      <c r="E331" s="14">
        <v>15742.568461825351</v>
      </c>
      <c r="F331" s="14">
        <v>23692.881756781935</v>
      </c>
      <c r="G331" s="14">
        <v>18923.773890589895</v>
      </c>
      <c r="H331" s="14">
        <v>24850.179130414781</v>
      </c>
      <c r="I331" s="14">
        <v>13126.45164675711</v>
      </c>
      <c r="J331" s="14">
        <v>6973.2425085581554</v>
      </c>
      <c r="K331" s="14">
        <v>984.38473528069608</v>
      </c>
      <c r="L331" s="14">
        <v>0</v>
      </c>
      <c r="M331" s="14">
        <v>0</v>
      </c>
      <c r="N331" s="14">
        <v>0</v>
      </c>
    </row>
    <row r="332" spans="1:14" x14ac:dyDescent="0.3">
      <c r="A332" s="3" t="str">
        <f>INDEX('R1. Scenario specifications'!$C$11:$C$49,MATCH($B332,'R1. Scenario specifications'!$A$11:$A$49,0))</f>
        <v>Current 1.75DS, 2030 start, 'Expect the Unexpected'</v>
      </c>
      <c r="B332" s="3" t="s">
        <v>33</v>
      </c>
      <c r="C332" s="3" t="s">
        <v>74</v>
      </c>
      <c r="D332" s="14">
        <v>0</v>
      </c>
      <c r="E332" s="14">
        <v>0</v>
      </c>
      <c r="F332" s="14">
        <v>0</v>
      </c>
      <c r="G332" s="14">
        <v>0</v>
      </c>
      <c r="H332" s="14">
        <v>13.801881595694159</v>
      </c>
      <c r="I332" s="14">
        <v>205.31012508296612</v>
      </c>
      <c r="J332" s="14">
        <v>1996.4908349056832</v>
      </c>
      <c r="K332" s="14">
        <v>5819.9904198073282</v>
      </c>
      <c r="L332" s="14">
        <v>8722.7828952076707</v>
      </c>
      <c r="M332" s="14">
        <v>10908.353031616365</v>
      </c>
      <c r="N332" s="14">
        <v>10406.165360123694</v>
      </c>
    </row>
    <row r="333" spans="1:14" x14ac:dyDescent="0.3">
      <c r="A333" s="3" t="str">
        <f>INDEX('R1. Scenario specifications'!$C$11:$C$49,MATCH($B333,'R1. Scenario specifications'!$A$11:$A$49,0))</f>
        <v>Current 1.75DS, 2030 start, 'Expect the Unexpected'</v>
      </c>
      <c r="B333" s="3" t="s">
        <v>33</v>
      </c>
      <c r="C333" s="3" t="s">
        <v>66</v>
      </c>
      <c r="D333" s="14">
        <v>202.4480216544064</v>
      </c>
      <c r="E333" s="14">
        <v>194.35225063586262</v>
      </c>
      <c r="F333" s="14">
        <v>2690.096097794773</v>
      </c>
      <c r="G333" s="14">
        <v>4149.3454146666118</v>
      </c>
      <c r="H333" s="14">
        <v>6115.5490460109886</v>
      </c>
      <c r="I333" s="14">
        <v>11624.893817097511</v>
      </c>
      <c r="J333" s="14">
        <v>19763.141801918595</v>
      </c>
      <c r="K333" s="14">
        <v>19745.28089778818</v>
      </c>
      <c r="L333" s="14">
        <v>20753.395562599602</v>
      </c>
      <c r="M333" s="14">
        <v>24877.760986532288</v>
      </c>
      <c r="N333" s="14">
        <v>26532.815752499439</v>
      </c>
    </row>
    <row r="334" spans="1:14" x14ac:dyDescent="0.3">
      <c r="A334" s="3" t="str">
        <f>INDEX('R1. Scenario specifications'!$C$11:$C$49,MATCH($B334,'R1. Scenario specifications'!$A$11:$A$49,0))</f>
        <v>Current 1.75DS, 2030 start, 'Expect the Unexpected'</v>
      </c>
      <c r="B334" s="3" t="s">
        <v>33</v>
      </c>
      <c r="C334" s="3" t="s">
        <v>67</v>
      </c>
      <c r="D334" s="14">
        <v>10255.125599999996</v>
      </c>
      <c r="E334" s="14">
        <v>10349.477981293301</v>
      </c>
      <c r="F334" s="14">
        <v>14634.999767850808</v>
      </c>
      <c r="G334" s="14">
        <v>17168.548108229523</v>
      </c>
      <c r="H334" s="14">
        <v>19867.006989372989</v>
      </c>
      <c r="I334" s="14">
        <v>27586.463990941786</v>
      </c>
      <c r="J334" s="14">
        <v>31343.028232991412</v>
      </c>
      <c r="K334" s="14">
        <v>32365.677411330424</v>
      </c>
      <c r="L334" s="14">
        <v>34738.650869063989</v>
      </c>
      <c r="M334" s="14">
        <v>36540.473809789088</v>
      </c>
      <c r="N334" s="14">
        <v>37484.711128039489</v>
      </c>
    </row>
    <row r="335" spans="1:14" x14ac:dyDescent="0.3">
      <c r="A335" s="3" t="str">
        <f>INDEX('R1. Scenario specifications'!$C$11:$C$49,MATCH($B335,'R1. Scenario specifications'!$A$11:$A$49,0))</f>
        <v>Current 1.75DS, 2030 start, 'Expect the Unexpected'</v>
      </c>
      <c r="B335" s="3" t="s">
        <v>33</v>
      </c>
      <c r="C335" s="3" t="s">
        <v>68</v>
      </c>
      <c r="D335" s="14">
        <v>9499.4101148835834</v>
      </c>
      <c r="E335" s="14">
        <v>9854.768593125913</v>
      </c>
      <c r="F335" s="14">
        <v>13753.197500000002</v>
      </c>
      <c r="G335" s="14">
        <v>14514.167854150606</v>
      </c>
      <c r="H335" s="14">
        <v>15191.631806438927</v>
      </c>
      <c r="I335" s="14">
        <v>24925.344846272608</v>
      </c>
      <c r="J335" s="14">
        <v>29553.541555107404</v>
      </c>
      <c r="K335" s="14">
        <v>31659.805255019241</v>
      </c>
      <c r="L335" s="14">
        <v>36424.770204721477</v>
      </c>
      <c r="M335" s="14">
        <v>38453.579999999994</v>
      </c>
      <c r="N335" s="14">
        <v>38730.394682778053</v>
      </c>
    </row>
    <row r="336" spans="1:14" x14ac:dyDescent="0.3">
      <c r="A336" s="3" t="str">
        <f>INDEX('R1. Scenario specifications'!$C$11:$C$49,MATCH($B336,'R1. Scenario specifications'!$A$11:$A$49,0))</f>
        <v>Current 1.75DS, 2030 start, 'Expect the Unexpected'</v>
      </c>
      <c r="B336" s="3" t="s">
        <v>33</v>
      </c>
      <c r="C336" s="3" t="s">
        <v>69</v>
      </c>
      <c r="D336" s="14">
        <v>2379.5369238501598</v>
      </c>
      <c r="E336" s="14">
        <v>2356.8190162179026</v>
      </c>
      <c r="F336" s="14">
        <v>2308.8771400062938</v>
      </c>
      <c r="G336" s="14">
        <v>1516.5761695611868</v>
      </c>
      <c r="H336" s="14">
        <v>786.54814782575613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</row>
    <row r="337" spans="1:14" x14ac:dyDescent="0.3">
      <c r="A337" s="3" t="str">
        <f>INDEX('R1. Scenario specifications'!$C$11:$C$49,MATCH($B337,'R1. Scenario specifications'!$A$11:$A$49,0))</f>
        <v>Current 1.75DS, 2030 start, 'Expect the Unexpected'</v>
      </c>
      <c r="B337" s="3" t="s">
        <v>33</v>
      </c>
      <c r="C337" s="3" t="s">
        <v>70</v>
      </c>
      <c r="D337" s="14">
        <v>67.937052631788802</v>
      </c>
      <c r="E337" s="14">
        <v>458.66984800047192</v>
      </c>
      <c r="F337" s="14">
        <v>917.48161125092997</v>
      </c>
      <c r="G337" s="14">
        <v>2670.3548260954558</v>
      </c>
      <c r="H337" s="14">
        <v>11256.799579487264</v>
      </c>
      <c r="I337" s="14">
        <v>27104.68345653604</v>
      </c>
      <c r="J337" s="14">
        <v>45831.210014330856</v>
      </c>
      <c r="K337" s="14">
        <v>62210.033024836113</v>
      </c>
      <c r="L337" s="14">
        <v>86010.223324917606</v>
      </c>
      <c r="M337" s="14">
        <v>105068.35335536097</v>
      </c>
      <c r="N337" s="14">
        <v>117815.2014251145</v>
      </c>
    </row>
    <row r="338" spans="1:14" x14ac:dyDescent="0.3">
      <c r="A338" s="3" t="str">
        <f>INDEX('R1. Scenario specifications'!$C$11:$C$49,MATCH($B338,'R1. Scenario specifications'!$A$11:$A$49,0))</f>
        <v>Current 1.75DS, 2030 start, 'Expect the Unexpected'</v>
      </c>
      <c r="B338" s="3" t="s">
        <v>33</v>
      </c>
      <c r="C338" s="3" t="s">
        <v>71</v>
      </c>
      <c r="D338" s="14">
        <v>0.68787021919935687</v>
      </c>
      <c r="E338" s="14">
        <v>0.6257617671977489</v>
      </c>
      <c r="F338" s="14">
        <v>0.52638824399517514</v>
      </c>
      <c r="G338" s="14">
        <v>0.35092549599678308</v>
      </c>
      <c r="H338" s="14">
        <v>0.17546274799839201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</row>
    <row r="339" spans="1:14" x14ac:dyDescent="0.3">
      <c r="A339" s="3" t="str">
        <f>INDEX('R1. Scenario specifications'!$C$11:$C$49,MATCH($B339,'R1. Scenario specifications'!$A$11:$A$49,0))</f>
        <v>Current 1.75DS, 2030 start, 'Expect the Unexpected'</v>
      </c>
      <c r="B339" s="3" t="s">
        <v>33</v>
      </c>
      <c r="C339" s="3" t="s">
        <v>75</v>
      </c>
      <c r="D339" s="14">
        <v>1.963099940637433</v>
      </c>
      <c r="E339" s="14">
        <v>1.7858497922310126</v>
      </c>
      <c r="F339" s="14">
        <v>1.5022495547807513</v>
      </c>
      <c r="G339" s="14">
        <v>1.0014997031871682</v>
      </c>
      <c r="H339" s="14">
        <v>0.50074985159358421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</row>
    <row r="340" spans="1:14" x14ac:dyDescent="0.3">
      <c r="A340" s="3" t="str">
        <f>INDEX('R1. Scenario specifications'!$C$11:$C$49,MATCH($B340,'R1. Scenario specifications'!$A$11:$A$49,0))</f>
        <v>Current 1.75DS, 2030 start, 'Expect the Unexpected'</v>
      </c>
      <c r="B340" s="3" t="s">
        <v>33</v>
      </c>
      <c r="C340" s="3" t="s">
        <v>72</v>
      </c>
      <c r="D340" s="14">
        <v>1517.4635089937533</v>
      </c>
      <c r="E340" s="14">
        <v>1704.9418897085425</v>
      </c>
      <c r="F340" s="14">
        <v>2685.5545190640855</v>
      </c>
      <c r="G340" s="14">
        <v>10882.32058635127</v>
      </c>
      <c r="H340" s="14">
        <v>27755.620114407986</v>
      </c>
      <c r="I340" s="14">
        <v>37655.530009808834</v>
      </c>
      <c r="J340" s="14">
        <v>60236.341434375943</v>
      </c>
      <c r="K340" s="14">
        <v>81789.600850981238</v>
      </c>
      <c r="L340" s="14">
        <v>120119.35287572876</v>
      </c>
      <c r="M340" s="14">
        <v>161378.84758500603</v>
      </c>
      <c r="N340" s="14">
        <v>198919.97482661688</v>
      </c>
    </row>
    <row r="341" spans="1:14" x14ac:dyDescent="0.3">
      <c r="A341" s="3" t="str">
        <f>INDEX('R1. Scenario specifications'!$C$11:$C$49,MATCH($B341,'R1. Scenario specifications'!$A$11:$A$49,0))</f>
        <v>Current 1.75DS, 2020 start, 'Expect the Unexpected' but with cheap renewables</v>
      </c>
      <c r="B341" s="3" t="s">
        <v>34</v>
      </c>
      <c r="C341" s="3" t="s">
        <v>63</v>
      </c>
      <c r="D341" s="14">
        <v>225.44707509197985</v>
      </c>
      <c r="E341" s="14">
        <v>432.13326707926797</v>
      </c>
      <c r="F341" s="14">
        <v>2791.4850951746125</v>
      </c>
      <c r="G341" s="14">
        <v>11482.420573308384</v>
      </c>
      <c r="H341" s="14">
        <v>12367.274202951523</v>
      </c>
      <c r="I341" s="14">
        <v>8318.2139197853357</v>
      </c>
      <c r="J341" s="14">
        <v>471.27576661447063</v>
      </c>
      <c r="K341" s="14">
        <v>66.774768092681924</v>
      </c>
      <c r="L341" s="14">
        <v>76.158222640681302</v>
      </c>
      <c r="M341" s="14">
        <v>76.158222640681302</v>
      </c>
      <c r="N341" s="14">
        <v>71.289212874234209</v>
      </c>
    </row>
    <row r="342" spans="1:14" x14ac:dyDescent="0.3">
      <c r="A342" s="3" t="str">
        <f>INDEX('R1. Scenario specifications'!$C$11:$C$49,MATCH($B342,'R1. Scenario specifications'!$A$11:$A$49,0))</f>
        <v>Current 1.75DS, 2020 start, 'Expect the Unexpected' but with cheap renewables</v>
      </c>
      <c r="B342" s="3" t="s">
        <v>34</v>
      </c>
      <c r="C342" s="3" t="s">
        <v>73</v>
      </c>
      <c r="D342" s="14">
        <v>0</v>
      </c>
      <c r="E342" s="14">
        <v>0</v>
      </c>
      <c r="F342" s="14">
        <v>0</v>
      </c>
      <c r="G342" s="14">
        <v>348.57038833900049</v>
      </c>
      <c r="H342" s="14">
        <v>2357.0162229290095</v>
      </c>
      <c r="I342" s="14">
        <v>12113.962809281858</v>
      </c>
      <c r="J342" s="14">
        <v>37987.950514369761</v>
      </c>
      <c r="K342" s="14">
        <v>62934.877340626765</v>
      </c>
      <c r="L342" s="14">
        <v>78538.629698122182</v>
      </c>
      <c r="M342" s="14">
        <v>90626.534613991054</v>
      </c>
      <c r="N342" s="14">
        <v>97071.262996023186</v>
      </c>
    </row>
    <row r="343" spans="1:14" x14ac:dyDescent="0.3">
      <c r="A343" s="3" t="str">
        <f>INDEX('R1. Scenario specifications'!$C$11:$C$49,MATCH($B343,'R1. Scenario specifications'!$A$11:$A$49,0))</f>
        <v>Current 1.75DS, 2020 start, 'Expect the Unexpected' but with cheap renewables</v>
      </c>
      <c r="B343" s="3" t="s">
        <v>34</v>
      </c>
      <c r="C343" s="3" t="s">
        <v>64</v>
      </c>
      <c r="D343" s="14">
        <v>33040.313548549595</v>
      </c>
      <c r="E343" s="14">
        <v>42259.332050485427</v>
      </c>
      <c r="F343" s="14">
        <v>32172.508335863538</v>
      </c>
      <c r="G343" s="14">
        <v>15179.208619915105</v>
      </c>
      <c r="H343" s="14">
        <v>642.71633212824804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</row>
    <row r="344" spans="1:14" x14ac:dyDescent="0.3">
      <c r="A344" s="3" t="str">
        <f>INDEX('R1. Scenario specifications'!$C$11:$C$49,MATCH($B344,'R1. Scenario specifications'!$A$11:$A$49,0))</f>
        <v>Current 1.75DS, 2020 start, 'Expect the Unexpected' but with cheap renewables</v>
      </c>
      <c r="B344" s="3" t="s">
        <v>34</v>
      </c>
      <c r="C344" s="3" t="s">
        <v>65</v>
      </c>
      <c r="D344" s="14">
        <v>14597.074835304187</v>
      </c>
      <c r="E344" s="14">
        <v>15742.568461825351</v>
      </c>
      <c r="F344" s="14">
        <v>23692.881756781935</v>
      </c>
      <c r="G344" s="14">
        <v>18722.30675108264</v>
      </c>
      <c r="H344" s="14">
        <v>16041.076783077988</v>
      </c>
      <c r="I344" s="14">
        <v>9877.3033987040635</v>
      </c>
      <c r="J344" s="14">
        <v>4175.4570825663059</v>
      </c>
      <c r="K344" s="14">
        <v>738.28278577128754</v>
      </c>
      <c r="L344" s="14">
        <v>0</v>
      </c>
      <c r="M344" s="14">
        <v>0</v>
      </c>
      <c r="N344" s="14">
        <v>0</v>
      </c>
    </row>
    <row r="345" spans="1:14" x14ac:dyDescent="0.3">
      <c r="A345" s="3" t="str">
        <f>INDEX('R1. Scenario specifications'!$C$11:$C$49,MATCH($B345,'R1. Scenario specifications'!$A$11:$A$49,0))</f>
        <v>Current 1.75DS, 2020 start, 'Expect the Unexpected' but with cheap renewables</v>
      </c>
      <c r="B345" s="3" t="s">
        <v>34</v>
      </c>
      <c r="C345" s="3" t="s">
        <v>74</v>
      </c>
      <c r="D345" s="14">
        <v>0</v>
      </c>
      <c r="E345" s="14">
        <v>0</v>
      </c>
      <c r="F345" s="14">
        <v>0</v>
      </c>
      <c r="G345" s="14">
        <v>28.393838107200004</v>
      </c>
      <c r="H345" s="14">
        <v>36.322241214041263</v>
      </c>
      <c r="I345" s="14">
        <v>1434.2250502893028</v>
      </c>
      <c r="J345" s="14">
        <v>3072.3829574205283</v>
      </c>
      <c r="K345" s="14">
        <v>5154.6747451488109</v>
      </c>
      <c r="L345" s="14">
        <v>11023.903414592787</v>
      </c>
      <c r="M345" s="14">
        <v>12085.449369017864</v>
      </c>
      <c r="N345" s="14">
        <v>10256.298995893281</v>
      </c>
    </row>
    <row r="346" spans="1:14" x14ac:dyDescent="0.3">
      <c r="A346" s="3" t="str">
        <f>INDEX('R1. Scenario specifications'!$C$11:$C$49,MATCH($B346,'R1. Scenario specifications'!$A$11:$A$49,0))</f>
        <v>Current 1.75DS, 2020 start, 'Expect the Unexpected' but with cheap renewables</v>
      </c>
      <c r="B346" s="3" t="s">
        <v>34</v>
      </c>
      <c r="C346" s="3" t="s">
        <v>66</v>
      </c>
      <c r="D346" s="14">
        <v>202.4480216544064</v>
      </c>
      <c r="E346" s="14">
        <v>194.35225063586262</v>
      </c>
      <c r="F346" s="14">
        <v>2690.096097794773</v>
      </c>
      <c r="G346" s="14">
        <v>4159.862749522521</v>
      </c>
      <c r="H346" s="14">
        <v>5653.0399009586481</v>
      </c>
      <c r="I346" s="14">
        <v>8293.7813412894848</v>
      </c>
      <c r="J346" s="14">
        <v>11989.225157650359</v>
      </c>
      <c r="K346" s="14">
        <v>13858.679455346572</v>
      </c>
      <c r="L346" s="14">
        <v>20392.058837434095</v>
      </c>
      <c r="M346" s="14">
        <v>24031.127719029409</v>
      </c>
      <c r="N346" s="14">
        <v>23788.992907316016</v>
      </c>
    </row>
    <row r="347" spans="1:14" x14ac:dyDescent="0.3">
      <c r="A347" s="3" t="str">
        <f>INDEX('R1. Scenario specifications'!$C$11:$C$49,MATCH($B347,'R1. Scenario specifications'!$A$11:$A$49,0))</f>
        <v>Current 1.75DS, 2020 start, 'Expect the Unexpected' but with cheap renewables</v>
      </c>
      <c r="B347" s="3" t="s">
        <v>34</v>
      </c>
      <c r="C347" s="3" t="s">
        <v>67</v>
      </c>
      <c r="D347" s="14">
        <v>10255.125599999996</v>
      </c>
      <c r="E347" s="14">
        <v>10349.477981293301</v>
      </c>
      <c r="F347" s="14">
        <v>14634.999767850808</v>
      </c>
      <c r="G347" s="14">
        <v>17359.351596772794</v>
      </c>
      <c r="H347" s="14">
        <v>21528.507152578153</v>
      </c>
      <c r="I347" s="14">
        <v>24696.947992723846</v>
      </c>
      <c r="J347" s="14">
        <v>25936.05125482145</v>
      </c>
      <c r="K347" s="14">
        <v>28506.951315681923</v>
      </c>
      <c r="L347" s="14">
        <v>33723.747950890385</v>
      </c>
      <c r="M347" s="14">
        <v>36444.215810346315</v>
      </c>
      <c r="N347" s="14">
        <v>38025.871832436933</v>
      </c>
    </row>
    <row r="348" spans="1:14" x14ac:dyDescent="0.3">
      <c r="A348" s="3" t="str">
        <f>INDEX('R1. Scenario specifications'!$C$11:$C$49,MATCH($B348,'R1. Scenario specifications'!$A$11:$A$49,0))</f>
        <v>Current 1.75DS, 2020 start, 'Expect the Unexpected' but with cheap renewables</v>
      </c>
      <c r="B348" s="3" t="s">
        <v>34</v>
      </c>
      <c r="C348" s="3" t="s">
        <v>68</v>
      </c>
      <c r="D348" s="14">
        <v>9499.4101148835834</v>
      </c>
      <c r="E348" s="14">
        <v>9854.768593125913</v>
      </c>
      <c r="F348" s="14">
        <v>13753.197500000002</v>
      </c>
      <c r="G348" s="14">
        <v>14514.167854150606</v>
      </c>
      <c r="H348" s="14">
        <v>16886.912052662501</v>
      </c>
      <c r="I348" s="14">
        <v>24510.120000000003</v>
      </c>
      <c r="J348" s="14">
        <v>28863.77405239383</v>
      </c>
      <c r="K348" s="14">
        <v>33112.73452009241</v>
      </c>
      <c r="L348" s="14">
        <v>36368.219999999987</v>
      </c>
      <c r="M348" s="14">
        <v>38453.579999999994</v>
      </c>
      <c r="N348" s="14">
        <v>38567.968463010053</v>
      </c>
    </row>
    <row r="349" spans="1:14" x14ac:dyDescent="0.3">
      <c r="A349" s="3" t="str">
        <f>INDEX('R1. Scenario specifications'!$C$11:$C$49,MATCH($B349,'R1. Scenario specifications'!$A$11:$A$49,0))</f>
        <v>Current 1.75DS, 2020 start, 'Expect the Unexpected' but with cheap renewables</v>
      </c>
      <c r="B349" s="3" t="s">
        <v>34</v>
      </c>
      <c r="C349" s="3" t="s">
        <v>69</v>
      </c>
      <c r="D349" s="14">
        <v>2379.5369238501598</v>
      </c>
      <c r="E349" s="14">
        <v>2356.8190162179026</v>
      </c>
      <c r="F349" s="14">
        <v>2308.8771400062938</v>
      </c>
      <c r="G349" s="14">
        <v>1503.8223551611875</v>
      </c>
      <c r="H349" s="14">
        <v>734.15459382575591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</row>
    <row r="350" spans="1:14" x14ac:dyDescent="0.3">
      <c r="A350" s="3" t="str">
        <f>INDEX('R1. Scenario specifications'!$C$11:$C$49,MATCH($B350,'R1. Scenario specifications'!$A$11:$A$49,0))</f>
        <v>Current 1.75DS, 2020 start, 'Expect the Unexpected' but with cheap renewables</v>
      </c>
      <c r="B350" s="3" t="s">
        <v>34</v>
      </c>
      <c r="C350" s="3" t="s">
        <v>70</v>
      </c>
      <c r="D350" s="14">
        <v>67.937052631788802</v>
      </c>
      <c r="E350" s="14">
        <v>458.66984800047192</v>
      </c>
      <c r="F350" s="14">
        <v>917.48161125092997</v>
      </c>
      <c r="G350" s="14">
        <v>5670.9143759803937</v>
      </c>
      <c r="H350" s="14">
        <v>19186.782705162535</v>
      </c>
      <c r="I350" s="14">
        <v>29861.259268250033</v>
      </c>
      <c r="J350" s="14">
        <v>39375.540586923504</v>
      </c>
      <c r="K350" s="14">
        <v>57880.648151006331</v>
      </c>
      <c r="L350" s="14">
        <v>91829.043693041793</v>
      </c>
      <c r="M350" s="14">
        <v>113634.02444291061</v>
      </c>
      <c r="N350" s="14">
        <v>125652.94120385326</v>
      </c>
    </row>
    <row r="351" spans="1:14" x14ac:dyDescent="0.3">
      <c r="A351" s="3" t="str">
        <f>INDEX('R1. Scenario specifications'!$C$11:$C$49,MATCH($B351,'R1. Scenario specifications'!$A$11:$A$49,0))</f>
        <v>Current 1.75DS, 2020 start, 'Expect the Unexpected' but with cheap renewables</v>
      </c>
      <c r="B351" s="3" t="s">
        <v>34</v>
      </c>
      <c r="C351" s="3" t="s">
        <v>71</v>
      </c>
      <c r="D351" s="14">
        <v>0.68787021919935687</v>
      </c>
      <c r="E351" s="14">
        <v>0.6257617671977489</v>
      </c>
      <c r="F351" s="14">
        <v>0.52638824399517514</v>
      </c>
      <c r="G351" s="14">
        <v>0.35092549599678308</v>
      </c>
      <c r="H351" s="14">
        <v>0.17546274799839201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</row>
    <row r="352" spans="1:14" x14ac:dyDescent="0.3">
      <c r="A352" s="3" t="str">
        <f>INDEX('R1. Scenario specifications'!$C$11:$C$49,MATCH($B352,'R1. Scenario specifications'!$A$11:$A$49,0))</f>
        <v>Current 1.75DS, 2020 start, 'Expect the Unexpected' but with cheap renewables</v>
      </c>
      <c r="B352" s="3" t="s">
        <v>34</v>
      </c>
      <c r="C352" s="3" t="s">
        <v>75</v>
      </c>
      <c r="D352" s="14">
        <v>1.963099940637433</v>
      </c>
      <c r="E352" s="14">
        <v>1.7858497922310126</v>
      </c>
      <c r="F352" s="14">
        <v>1.5022495547807513</v>
      </c>
      <c r="G352" s="14">
        <v>1.0014997031871673</v>
      </c>
      <c r="H352" s="14">
        <v>0.50074985159358421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</row>
    <row r="353" spans="1:14" x14ac:dyDescent="0.3">
      <c r="A353" s="3" t="str">
        <f>INDEX('R1. Scenario specifications'!$C$11:$C$49,MATCH($B353,'R1. Scenario specifications'!$A$11:$A$49,0))</f>
        <v>Current 1.75DS, 2020 start, 'Expect the Unexpected' but with cheap renewables</v>
      </c>
      <c r="B353" s="3" t="s">
        <v>34</v>
      </c>
      <c r="C353" s="3" t="s">
        <v>72</v>
      </c>
      <c r="D353" s="14">
        <v>1517.4635089937533</v>
      </c>
      <c r="E353" s="14">
        <v>1704.9418897085425</v>
      </c>
      <c r="F353" s="14">
        <v>2685.5545190640855</v>
      </c>
      <c r="G353" s="14">
        <v>15535.432273227558</v>
      </c>
      <c r="H353" s="14">
        <v>29131.190074896167</v>
      </c>
      <c r="I353" s="14">
        <v>37935.755694526139</v>
      </c>
      <c r="J353" s="14">
        <v>52639.391893701402</v>
      </c>
      <c r="K353" s="14">
        <v>78775.675517924319</v>
      </c>
      <c r="L353" s="14">
        <v>127704.05622812505</v>
      </c>
      <c r="M353" s="14">
        <v>171337.72141024336</v>
      </c>
      <c r="N353" s="14">
        <v>206089.51380056015</v>
      </c>
    </row>
    <row r="354" spans="1:14" x14ac:dyDescent="0.3">
      <c r="A354" s="3" t="str">
        <f>INDEX('R1. Scenario specifications'!$C$11:$C$49,MATCH($B354,'R1. Scenario specifications'!$A$11:$A$49,0))</f>
        <v>Current 1.75DS, 2030 start, 'Expect the Unexpected' but with cheap renewables</v>
      </c>
      <c r="B354" s="3" t="s">
        <v>35</v>
      </c>
      <c r="C354" s="3" t="s">
        <v>63</v>
      </c>
      <c r="D354" s="14">
        <v>225.44707509197985</v>
      </c>
      <c r="E354" s="14">
        <v>432.13326707926797</v>
      </c>
      <c r="F354" s="14">
        <v>2791.4850951746125</v>
      </c>
      <c r="G354" s="14">
        <v>10791.541692619947</v>
      </c>
      <c r="H354" s="14">
        <v>14053.677663764083</v>
      </c>
      <c r="I354" s="14">
        <v>8835.5206570046066</v>
      </c>
      <c r="J354" s="14">
        <v>736.29140516420159</v>
      </c>
      <c r="K354" s="14">
        <v>145.52720228184248</v>
      </c>
      <c r="L354" s="14">
        <v>0</v>
      </c>
      <c r="M354" s="14">
        <v>73.550945438797996</v>
      </c>
      <c r="N354" s="14">
        <v>73.550945438797996</v>
      </c>
    </row>
    <row r="355" spans="1:14" x14ac:dyDescent="0.3">
      <c r="A355" s="3" t="str">
        <f>INDEX('R1. Scenario specifications'!$C$11:$C$49,MATCH($B355,'R1. Scenario specifications'!$A$11:$A$49,0))</f>
        <v>Current 1.75DS, 2030 start, 'Expect the Unexpected' but with cheap renewables</v>
      </c>
      <c r="B355" s="3" t="s">
        <v>35</v>
      </c>
      <c r="C355" s="3" t="s">
        <v>73</v>
      </c>
      <c r="D355" s="14">
        <v>0</v>
      </c>
      <c r="E355" s="14">
        <v>0</v>
      </c>
      <c r="F355" s="14">
        <v>0</v>
      </c>
      <c r="G355" s="14">
        <v>0</v>
      </c>
      <c r="H355" s="14">
        <v>412.10569001230584</v>
      </c>
      <c r="I355" s="14">
        <v>7687.7205849536876</v>
      </c>
      <c r="J355" s="14">
        <v>45991.024739627246</v>
      </c>
      <c r="K355" s="14">
        <v>60754.072400316159</v>
      </c>
      <c r="L355" s="14">
        <v>76380.91773297709</v>
      </c>
      <c r="M355" s="14">
        <v>86835.198006813007</v>
      </c>
      <c r="N355" s="14">
        <v>94573.324441306264</v>
      </c>
    </row>
    <row r="356" spans="1:14" x14ac:dyDescent="0.3">
      <c r="A356" s="3" t="str">
        <f>INDEX('R1. Scenario specifications'!$C$11:$C$49,MATCH($B356,'R1. Scenario specifications'!$A$11:$A$49,0))</f>
        <v>Current 1.75DS, 2030 start, 'Expect the Unexpected' but with cheap renewables</v>
      </c>
      <c r="B356" s="3" t="s">
        <v>35</v>
      </c>
      <c r="C356" s="3" t="s">
        <v>64</v>
      </c>
      <c r="D356" s="14">
        <v>33040.313548549595</v>
      </c>
      <c r="E356" s="14">
        <v>42259.332050485427</v>
      </c>
      <c r="F356" s="14">
        <v>32172.508335863538</v>
      </c>
      <c r="G356" s="14">
        <v>29995.093630544216</v>
      </c>
      <c r="H356" s="14">
        <v>2878.8116686820044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</row>
    <row r="357" spans="1:14" x14ac:dyDescent="0.3">
      <c r="A357" s="3" t="str">
        <f>INDEX('R1. Scenario specifications'!$C$11:$C$49,MATCH($B357,'R1. Scenario specifications'!$A$11:$A$49,0))</f>
        <v>Current 1.75DS, 2030 start, 'Expect the Unexpected' but with cheap renewables</v>
      </c>
      <c r="B357" s="3" t="s">
        <v>35</v>
      </c>
      <c r="C357" s="3" t="s">
        <v>65</v>
      </c>
      <c r="D357" s="14">
        <v>14597.074835304187</v>
      </c>
      <c r="E357" s="14">
        <v>15742.568461825351</v>
      </c>
      <c r="F357" s="14">
        <v>23692.881756781935</v>
      </c>
      <c r="G357" s="14">
        <v>18923.773890589895</v>
      </c>
      <c r="H357" s="14">
        <v>23540.059054360267</v>
      </c>
      <c r="I357" s="14">
        <v>12787.161899632076</v>
      </c>
      <c r="J357" s="14">
        <v>6943.8756788646033</v>
      </c>
      <c r="K357" s="14">
        <v>654.17556716234083</v>
      </c>
      <c r="L357" s="14">
        <v>0</v>
      </c>
      <c r="M357" s="14">
        <v>0</v>
      </c>
      <c r="N357" s="14">
        <v>0</v>
      </c>
    </row>
    <row r="358" spans="1:14" x14ac:dyDescent="0.3">
      <c r="A358" s="3" t="str">
        <f>INDEX('R1. Scenario specifications'!$C$11:$C$49,MATCH($B358,'R1. Scenario specifications'!$A$11:$A$49,0))</f>
        <v>Current 1.75DS, 2030 start, 'Expect the Unexpected' but with cheap renewables</v>
      </c>
      <c r="B358" s="3" t="s">
        <v>35</v>
      </c>
      <c r="C358" s="3" t="s">
        <v>74</v>
      </c>
      <c r="D358" s="14">
        <v>0</v>
      </c>
      <c r="E358" s="14">
        <v>0</v>
      </c>
      <c r="F358" s="14">
        <v>0</v>
      </c>
      <c r="G358" s="14">
        <v>0</v>
      </c>
      <c r="H358" s="14">
        <v>13.801881595694159</v>
      </c>
      <c r="I358" s="14">
        <v>205.84746405511021</v>
      </c>
      <c r="J358" s="14">
        <v>1976.7173723399173</v>
      </c>
      <c r="K358" s="14">
        <v>5465.0959122512368</v>
      </c>
      <c r="L358" s="14">
        <v>9611.5321076452965</v>
      </c>
      <c r="M358" s="14">
        <v>10920.125508772897</v>
      </c>
      <c r="N358" s="14">
        <v>9992.507249678416</v>
      </c>
    </row>
    <row r="359" spans="1:14" x14ac:dyDescent="0.3">
      <c r="A359" s="3" t="str">
        <f>INDEX('R1. Scenario specifications'!$C$11:$C$49,MATCH($B359,'R1. Scenario specifications'!$A$11:$A$49,0))</f>
        <v>Current 1.75DS, 2030 start, 'Expect the Unexpected' but with cheap renewables</v>
      </c>
      <c r="B359" s="3" t="s">
        <v>35</v>
      </c>
      <c r="C359" s="3" t="s">
        <v>66</v>
      </c>
      <c r="D359" s="14">
        <v>202.4480216544064</v>
      </c>
      <c r="E359" s="14">
        <v>194.35225063586262</v>
      </c>
      <c r="F359" s="14">
        <v>2690.096097794773</v>
      </c>
      <c r="G359" s="14">
        <v>4149.3454146666118</v>
      </c>
      <c r="H359" s="14">
        <v>6115.5490460109886</v>
      </c>
      <c r="I359" s="14">
        <v>11537.437380119516</v>
      </c>
      <c r="J359" s="14">
        <v>19234.886135940393</v>
      </c>
      <c r="K359" s="14">
        <v>19180.234833170896</v>
      </c>
      <c r="L359" s="14">
        <v>19994.342900635649</v>
      </c>
      <c r="M359" s="14">
        <v>23061.595354998477</v>
      </c>
      <c r="N359" s="14">
        <v>24075.643228020002</v>
      </c>
    </row>
    <row r="360" spans="1:14" x14ac:dyDescent="0.3">
      <c r="A360" s="3" t="str">
        <f>INDEX('R1. Scenario specifications'!$C$11:$C$49,MATCH($B360,'R1. Scenario specifications'!$A$11:$A$49,0))</f>
        <v>Current 1.75DS, 2030 start, 'Expect the Unexpected' but with cheap renewables</v>
      </c>
      <c r="B360" s="3" t="s">
        <v>35</v>
      </c>
      <c r="C360" s="3" t="s">
        <v>67</v>
      </c>
      <c r="D360" s="14">
        <v>10255.125599999996</v>
      </c>
      <c r="E360" s="14">
        <v>10349.477981293301</v>
      </c>
      <c r="F360" s="14">
        <v>14634.999767850808</v>
      </c>
      <c r="G360" s="14">
        <v>17168.548108229523</v>
      </c>
      <c r="H360" s="14">
        <v>19805.813609639896</v>
      </c>
      <c r="I360" s="14">
        <v>26635.426308652059</v>
      </c>
      <c r="J360" s="14">
        <v>28305.530532084369</v>
      </c>
      <c r="K360" s="14">
        <v>30477.786541430378</v>
      </c>
      <c r="L360" s="14">
        <v>34174.229212738937</v>
      </c>
      <c r="M360" s="14">
        <v>36359.518960125475</v>
      </c>
      <c r="N360" s="14">
        <v>36942.381228066966</v>
      </c>
    </row>
    <row r="361" spans="1:14" x14ac:dyDescent="0.3">
      <c r="A361" s="3" t="str">
        <f>INDEX('R1. Scenario specifications'!$C$11:$C$49,MATCH($B361,'R1. Scenario specifications'!$A$11:$A$49,0))</f>
        <v>Current 1.75DS, 2030 start, 'Expect the Unexpected' but with cheap renewables</v>
      </c>
      <c r="B361" s="3" t="s">
        <v>35</v>
      </c>
      <c r="C361" s="3" t="s">
        <v>68</v>
      </c>
      <c r="D361" s="14">
        <v>9499.4101148835834</v>
      </c>
      <c r="E361" s="14">
        <v>9854.768593125913</v>
      </c>
      <c r="F361" s="14">
        <v>13753.197500000002</v>
      </c>
      <c r="G361" s="14">
        <v>14514.167854150606</v>
      </c>
      <c r="H361" s="14">
        <v>15191.631806438927</v>
      </c>
      <c r="I361" s="14">
        <v>24925.344846272608</v>
      </c>
      <c r="J361" s="14">
        <v>29978.901099070354</v>
      </c>
      <c r="K361" s="14">
        <v>32059.540117161741</v>
      </c>
      <c r="L361" s="14">
        <v>35499.888650224544</v>
      </c>
      <c r="M361" s="14">
        <v>38453.579999999994</v>
      </c>
      <c r="N361" s="14">
        <v>38583.143604023353</v>
      </c>
    </row>
    <row r="362" spans="1:14" x14ac:dyDescent="0.3">
      <c r="A362" s="3" t="str">
        <f>INDEX('R1. Scenario specifications'!$C$11:$C$49,MATCH($B362,'R1. Scenario specifications'!$A$11:$A$49,0))</f>
        <v>Current 1.75DS, 2030 start, 'Expect the Unexpected' but with cheap renewables</v>
      </c>
      <c r="B362" s="3" t="s">
        <v>35</v>
      </c>
      <c r="C362" s="3" t="s">
        <v>69</v>
      </c>
      <c r="D362" s="14">
        <v>2379.5369238501598</v>
      </c>
      <c r="E362" s="14">
        <v>2356.8190162179026</v>
      </c>
      <c r="F362" s="14">
        <v>2308.8771400062938</v>
      </c>
      <c r="G362" s="14">
        <v>1516.5761695611868</v>
      </c>
      <c r="H362" s="14">
        <v>786.5481478257559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</row>
    <row r="363" spans="1:14" x14ac:dyDescent="0.3">
      <c r="A363" s="3" t="str">
        <f>INDEX('R1. Scenario specifications'!$C$11:$C$49,MATCH($B363,'R1. Scenario specifications'!$A$11:$A$49,0))</f>
        <v>Current 1.75DS, 2030 start, 'Expect the Unexpected' but with cheap renewables</v>
      </c>
      <c r="B363" s="3" t="s">
        <v>35</v>
      </c>
      <c r="C363" s="3" t="s">
        <v>70</v>
      </c>
      <c r="D363" s="14">
        <v>67.937052631788802</v>
      </c>
      <c r="E363" s="14">
        <v>458.66984800047192</v>
      </c>
      <c r="F363" s="14">
        <v>917.48161125092997</v>
      </c>
      <c r="G363" s="14">
        <v>2670.3548260954558</v>
      </c>
      <c r="H363" s="14">
        <v>13522.893273489977</v>
      </c>
      <c r="I363" s="14">
        <v>31642.292527667407</v>
      </c>
      <c r="J363" s="14">
        <v>50273.859198123304</v>
      </c>
      <c r="K363" s="14">
        <v>64468.352086755913</v>
      </c>
      <c r="L363" s="14">
        <v>88926.390527393974</v>
      </c>
      <c r="M363" s="14">
        <v>107724.59311037425</v>
      </c>
      <c r="N363" s="14">
        <v>122149.94181254304</v>
      </c>
    </row>
    <row r="364" spans="1:14" x14ac:dyDescent="0.3">
      <c r="A364" s="3" t="str">
        <f>INDEX('R1. Scenario specifications'!$C$11:$C$49,MATCH($B364,'R1. Scenario specifications'!$A$11:$A$49,0))</f>
        <v>Current 1.75DS, 2030 start, 'Expect the Unexpected' but with cheap renewables</v>
      </c>
      <c r="B364" s="3" t="s">
        <v>35</v>
      </c>
      <c r="C364" s="3" t="s">
        <v>71</v>
      </c>
      <c r="D364" s="14">
        <v>0.68787021919935687</v>
      </c>
      <c r="E364" s="14">
        <v>0.6257617671977489</v>
      </c>
      <c r="F364" s="14">
        <v>0.52638824399517514</v>
      </c>
      <c r="G364" s="14">
        <v>0.35092549599678308</v>
      </c>
      <c r="H364" s="14">
        <v>0.17546274799839201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</row>
    <row r="365" spans="1:14" x14ac:dyDescent="0.3">
      <c r="A365" s="3" t="str">
        <f>INDEX('R1. Scenario specifications'!$C$11:$C$49,MATCH($B365,'R1. Scenario specifications'!$A$11:$A$49,0))</f>
        <v>Current 1.75DS, 2030 start, 'Expect the Unexpected' but with cheap renewables</v>
      </c>
      <c r="B365" s="3" t="s">
        <v>35</v>
      </c>
      <c r="C365" s="3" t="s">
        <v>75</v>
      </c>
      <c r="D365" s="14">
        <v>1.963099940637433</v>
      </c>
      <c r="E365" s="14">
        <v>1.7858497922310126</v>
      </c>
      <c r="F365" s="14">
        <v>1.5022495547807513</v>
      </c>
      <c r="G365" s="14">
        <v>1.0014997031871682</v>
      </c>
      <c r="H365" s="14">
        <v>0.50074985159358421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</row>
    <row r="366" spans="1:14" x14ac:dyDescent="0.3">
      <c r="A366" s="3" t="str">
        <f>INDEX('R1. Scenario specifications'!$C$11:$C$49,MATCH($B366,'R1. Scenario specifications'!$A$11:$A$49,0))</f>
        <v>Current 1.75DS, 2030 start, 'Expect the Unexpected' but with cheap renewables</v>
      </c>
      <c r="B366" s="3" t="s">
        <v>35</v>
      </c>
      <c r="C366" s="3" t="s">
        <v>72</v>
      </c>
      <c r="D366" s="14">
        <v>1517.4635089937533</v>
      </c>
      <c r="E366" s="14">
        <v>1704.9418897085425</v>
      </c>
      <c r="F366" s="14">
        <v>2685.5545190640855</v>
      </c>
      <c r="G366" s="14">
        <v>10882.32058635127</v>
      </c>
      <c r="H366" s="14">
        <v>28918.502254344032</v>
      </c>
      <c r="I366" s="14">
        <v>39873.901223790948</v>
      </c>
      <c r="J366" s="14">
        <v>62317.293746342919</v>
      </c>
      <c r="K366" s="14">
        <v>83321.616253926011</v>
      </c>
      <c r="L366" s="14">
        <v>122212.54426314302</v>
      </c>
      <c r="M366" s="14">
        <v>162534.92440186991</v>
      </c>
      <c r="N366" s="14">
        <v>199939.6056521323</v>
      </c>
    </row>
    <row r="367" spans="1:14" x14ac:dyDescent="0.3">
      <c r="A367" s="3" t="str">
        <f>INDEX('R1. Scenario specifications'!$C$11:$C$49,MATCH($B367,'R1. Scenario specifications'!$A$11:$A$49,0))</f>
        <v>Current 1.75DS, 2020 start, 'Expect the Unexpected' but with cheap CCS</v>
      </c>
      <c r="B367" s="3" t="s">
        <v>36</v>
      </c>
      <c r="C367" s="3" t="s">
        <v>63</v>
      </c>
      <c r="D367" s="14">
        <v>225.44707509197985</v>
      </c>
      <c r="E367" s="14">
        <v>432.13326707926797</v>
      </c>
      <c r="F367" s="14">
        <v>2791.4850951746125</v>
      </c>
      <c r="G367" s="14">
        <v>12635.036182160145</v>
      </c>
      <c r="H367" s="14">
        <v>13786.24483903136</v>
      </c>
      <c r="I367" s="14">
        <v>10322.183073720111</v>
      </c>
      <c r="J367" s="14">
        <v>603.14926595388238</v>
      </c>
      <c r="K367" s="14">
        <v>70.974852057086906</v>
      </c>
      <c r="L367" s="14">
        <v>76.555104588128202</v>
      </c>
      <c r="M367" s="14">
        <v>76.555104588128202</v>
      </c>
      <c r="N367" s="14">
        <v>71.288235692026305</v>
      </c>
    </row>
    <row r="368" spans="1:14" x14ac:dyDescent="0.3">
      <c r="A368" s="3" t="str">
        <f>INDEX('R1. Scenario specifications'!$C$11:$C$49,MATCH($B368,'R1. Scenario specifications'!$A$11:$A$49,0))</f>
        <v>Current 1.75DS, 2020 start, 'Expect the Unexpected' but with cheap CCS</v>
      </c>
      <c r="B368" s="3" t="s">
        <v>36</v>
      </c>
      <c r="C368" s="3" t="s">
        <v>73</v>
      </c>
      <c r="D368" s="14">
        <v>0</v>
      </c>
      <c r="E368" s="14">
        <v>0</v>
      </c>
      <c r="F368" s="14">
        <v>0</v>
      </c>
      <c r="G368" s="14">
        <v>359.51520107745853</v>
      </c>
      <c r="H368" s="14">
        <v>2453.7763208585197</v>
      </c>
      <c r="I368" s="14">
        <v>12154.191027753504</v>
      </c>
      <c r="J368" s="14">
        <v>38293.787282873061</v>
      </c>
      <c r="K368" s="14">
        <v>62185.732547340143</v>
      </c>
      <c r="L368" s="14">
        <v>78414.515404930338</v>
      </c>
      <c r="M368" s="14">
        <v>91157.590675337153</v>
      </c>
      <c r="N368" s="14">
        <v>97123.83915017666</v>
      </c>
    </row>
    <row r="369" spans="1:14" x14ac:dyDescent="0.3">
      <c r="A369" s="3" t="str">
        <f>INDEX('R1. Scenario specifications'!$C$11:$C$49,MATCH($B369,'R1. Scenario specifications'!$A$11:$A$49,0))</f>
        <v>Current 1.75DS, 2020 start, 'Expect the Unexpected' but with cheap CCS</v>
      </c>
      <c r="B369" s="3" t="s">
        <v>36</v>
      </c>
      <c r="C369" s="3" t="s">
        <v>64</v>
      </c>
      <c r="D369" s="14">
        <v>33040.313548549595</v>
      </c>
      <c r="E369" s="14">
        <v>42259.332050485427</v>
      </c>
      <c r="F369" s="14">
        <v>32172.508335863538</v>
      </c>
      <c r="G369" s="14">
        <v>15659.62284846375</v>
      </c>
      <c r="H369" s="14">
        <v>925.63163726643756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</row>
    <row r="370" spans="1:14" x14ac:dyDescent="0.3">
      <c r="A370" s="3" t="str">
        <f>INDEX('R1. Scenario specifications'!$C$11:$C$49,MATCH($B370,'R1. Scenario specifications'!$A$11:$A$49,0))</f>
        <v>Current 1.75DS, 2020 start, 'Expect the Unexpected' but with cheap CCS</v>
      </c>
      <c r="B370" s="3" t="s">
        <v>36</v>
      </c>
      <c r="C370" s="3" t="s">
        <v>65</v>
      </c>
      <c r="D370" s="14">
        <v>14597.074835304187</v>
      </c>
      <c r="E370" s="14">
        <v>15742.568461825351</v>
      </c>
      <c r="F370" s="14">
        <v>23692.881756781935</v>
      </c>
      <c r="G370" s="14">
        <v>19566.491189802258</v>
      </c>
      <c r="H370" s="14">
        <v>14879.412620722869</v>
      </c>
      <c r="I370" s="14">
        <v>9398.7650948638584</v>
      </c>
      <c r="J370" s="14">
        <v>2552.134439883037</v>
      </c>
      <c r="K370" s="14">
        <v>484.06602597160298</v>
      </c>
      <c r="L370" s="14">
        <v>0</v>
      </c>
      <c r="M370" s="14">
        <v>0</v>
      </c>
      <c r="N370" s="14">
        <v>0</v>
      </c>
    </row>
    <row r="371" spans="1:14" x14ac:dyDescent="0.3">
      <c r="A371" s="3" t="str">
        <f>INDEX('R1. Scenario specifications'!$C$11:$C$49,MATCH($B371,'R1. Scenario specifications'!$A$11:$A$49,0))</f>
        <v>Current 1.75DS, 2020 start, 'Expect the Unexpected' but with cheap CCS</v>
      </c>
      <c r="B371" s="3" t="s">
        <v>36</v>
      </c>
      <c r="C371" s="3" t="s">
        <v>74</v>
      </c>
      <c r="D371" s="14">
        <v>0</v>
      </c>
      <c r="E371" s="14">
        <v>0</v>
      </c>
      <c r="F371" s="14">
        <v>0</v>
      </c>
      <c r="G371" s="14">
        <v>28.393838107200004</v>
      </c>
      <c r="H371" s="14">
        <v>71.308772808417373</v>
      </c>
      <c r="I371" s="14">
        <v>1973.3227045230956</v>
      </c>
      <c r="J371" s="14">
        <v>4268.7763936969723</v>
      </c>
      <c r="K371" s="14">
        <v>6000.1030987801414</v>
      </c>
      <c r="L371" s="14">
        <v>11810.825121899274</v>
      </c>
      <c r="M371" s="14">
        <v>12443.907587028789</v>
      </c>
      <c r="N371" s="14">
        <v>11372.448610592372</v>
      </c>
    </row>
    <row r="372" spans="1:14" x14ac:dyDescent="0.3">
      <c r="A372" s="3" t="str">
        <f>INDEX('R1. Scenario specifications'!$C$11:$C$49,MATCH($B372,'R1. Scenario specifications'!$A$11:$A$49,0))</f>
        <v>Current 1.75DS, 2020 start, 'Expect the Unexpected' but with cheap CCS</v>
      </c>
      <c r="B372" s="3" t="s">
        <v>36</v>
      </c>
      <c r="C372" s="3" t="s">
        <v>66</v>
      </c>
      <c r="D372" s="14">
        <v>202.4480216544064</v>
      </c>
      <c r="E372" s="14">
        <v>194.35225063586262</v>
      </c>
      <c r="F372" s="14">
        <v>2690.096097794773</v>
      </c>
      <c r="G372" s="14">
        <v>4159.862749522521</v>
      </c>
      <c r="H372" s="14">
        <v>5581.5276217636256</v>
      </c>
      <c r="I372" s="14">
        <v>8042.6975515551212</v>
      </c>
      <c r="J372" s="14">
        <v>13070.83341370197</v>
      </c>
      <c r="K372" s="14">
        <v>14936.837754703292</v>
      </c>
      <c r="L372" s="14">
        <v>20862.11180655604</v>
      </c>
      <c r="M372" s="14">
        <v>24743.14551126607</v>
      </c>
      <c r="N372" s="14">
        <v>26503.182099753823</v>
      </c>
    </row>
    <row r="373" spans="1:14" x14ac:dyDescent="0.3">
      <c r="A373" s="3" t="str">
        <f>INDEX('R1. Scenario specifications'!$C$11:$C$49,MATCH($B373,'R1. Scenario specifications'!$A$11:$A$49,0))</f>
        <v>Current 1.75DS, 2020 start, 'Expect the Unexpected' but with cheap CCS</v>
      </c>
      <c r="B373" s="3" t="s">
        <v>36</v>
      </c>
      <c r="C373" s="3" t="s">
        <v>67</v>
      </c>
      <c r="D373" s="14">
        <v>10255.125599999996</v>
      </c>
      <c r="E373" s="14">
        <v>10349.477981293301</v>
      </c>
      <c r="F373" s="14">
        <v>14634.999767850808</v>
      </c>
      <c r="G373" s="14">
        <v>17738.971767639479</v>
      </c>
      <c r="H373" s="14">
        <v>21820.733277179632</v>
      </c>
      <c r="I373" s="14">
        <v>25435.876567619147</v>
      </c>
      <c r="J373" s="14">
        <v>26852.371665360206</v>
      </c>
      <c r="K373" s="14">
        <v>29420.80066961432</v>
      </c>
      <c r="L373" s="14">
        <v>33762.851945861541</v>
      </c>
      <c r="M373" s="14">
        <v>36874.548308471567</v>
      </c>
      <c r="N373" s="14">
        <v>38191.597522225071</v>
      </c>
    </row>
    <row r="374" spans="1:14" x14ac:dyDescent="0.3">
      <c r="A374" s="3" t="str">
        <f>INDEX('R1. Scenario specifications'!$C$11:$C$49,MATCH($B374,'R1. Scenario specifications'!$A$11:$A$49,0))</f>
        <v>Current 1.75DS, 2020 start, 'Expect the Unexpected' but with cheap CCS</v>
      </c>
      <c r="B374" s="3" t="s">
        <v>36</v>
      </c>
      <c r="C374" s="3" t="s">
        <v>68</v>
      </c>
      <c r="D374" s="14">
        <v>9499.4101148835834</v>
      </c>
      <c r="E374" s="14">
        <v>9854.768593125913</v>
      </c>
      <c r="F374" s="14">
        <v>13753.197500000002</v>
      </c>
      <c r="G374" s="14">
        <v>14514.167854150606</v>
      </c>
      <c r="H374" s="14">
        <v>17132.08644893012</v>
      </c>
      <c r="I374" s="14">
        <v>24552.996119631694</v>
      </c>
      <c r="J374" s="14">
        <v>29337.793560134887</v>
      </c>
      <c r="K374" s="14">
        <v>33225.799599336155</v>
      </c>
      <c r="L374" s="14">
        <v>36349.660635270797</v>
      </c>
      <c r="M374" s="14">
        <v>38453.579999999994</v>
      </c>
      <c r="N374" s="14">
        <v>38703.086393005127</v>
      </c>
    </row>
    <row r="375" spans="1:14" x14ac:dyDescent="0.3">
      <c r="A375" s="3" t="str">
        <f>INDEX('R1. Scenario specifications'!$C$11:$C$49,MATCH($B375,'R1. Scenario specifications'!$A$11:$A$49,0))</f>
        <v>Current 1.75DS, 2020 start, 'Expect the Unexpected' but with cheap CCS</v>
      </c>
      <c r="B375" s="3" t="s">
        <v>36</v>
      </c>
      <c r="C375" s="3" t="s">
        <v>69</v>
      </c>
      <c r="D375" s="14">
        <v>2379.5369238501598</v>
      </c>
      <c r="E375" s="14">
        <v>2356.8190162179026</v>
      </c>
      <c r="F375" s="14">
        <v>2308.8771400062938</v>
      </c>
      <c r="G375" s="14">
        <v>1503.8223551611875</v>
      </c>
      <c r="H375" s="14">
        <v>734.1545938257558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</row>
    <row r="376" spans="1:14" x14ac:dyDescent="0.3">
      <c r="A376" s="3" t="str">
        <f>INDEX('R1. Scenario specifications'!$C$11:$C$49,MATCH($B376,'R1. Scenario specifications'!$A$11:$A$49,0))</f>
        <v>Current 1.75DS, 2020 start, 'Expect the Unexpected' but with cheap CCS</v>
      </c>
      <c r="B376" s="3" t="s">
        <v>36</v>
      </c>
      <c r="C376" s="3" t="s">
        <v>70</v>
      </c>
      <c r="D376" s="14">
        <v>67.937052631788802</v>
      </c>
      <c r="E376" s="14">
        <v>458.66984800047192</v>
      </c>
      <c r="F376" s="14">
        <v>917.48161125092997</v>
      </c>
      <c r="G376" s="14">
        <v>4272.9290423621796</v>
      </c>
      <c r="H376" s="14">
        <v>15825.196110254696</v>
      </c>
      <c r="I376" s="14">
        <v>25600.145393957882</v>
      </c>
      <c r="J376" s="14">
        <v>34398.423682529166</v>
      </c>
      <c r="K376" s="14">
        <v>53529.839199950315</v>
      </c>
      <c r="L376" s="14">
        <v>89724.99499630752</v>
      </c>
      <c r="M376" s="14">
        <v>112168.05107649756</v>
      </c>
      <c r="N376" s="14">
        <v>122366.75250542378</v>
      </c>
    </row>
    <row r="377" spans="1:14" x14ac:dyDescent="0.3">
      <c r="A377" s="3" t="str">
        <f>INDEX('R1. Scenario specifications'!$C$11:$C$49,MATCH($B377,'R1. Scenario specifications'!$A$11:$A$49,0))</f>
        <v>Current 1.75DS, 2020 start, 'Expect the Unexpected' but with cheap CCS</v>
      </c>
      <c r="B377" s="3" t="s">
        <v>36</v>
      </c>
      <c r="C377" s="3" t="s">
        <v>71</v>
      </c>
      <c r="D377" s="14">
        <v>0.68787021919935687</v>
      </c>
      <c r="E377" s="14">
        <v>0.6257617671977489</v>
      </c>
      <c r="F377" s="14">
        <v>0.52638824399517514</v>
      </c>
      <c r="G377" s="14">
        <v>0.35092549599678308</v>
      </c>
      <c r="H377" s="14">
        <v>0.17546274799839173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</row>
    <row r="378" spans="1:14" x14ac:dyDescent="0.3">
      <c r="A378" s="3" t="str">
        <f>INDEX('R1. Scenario specifications'!$C$11:$C$49,MATCH($B378,'R1. Scenario specifications'!$A$11:$A$49,0))</f>
        <v>Current 1.75DS, 2020 start, 'Expect the Unexpected' but with cheap CCS</v>
      </c>
      <c r="B378" s="3" t="s">
        <v>36</v>
      </c>
      <c r="C378" s="3" t="s">
        <v>75</v>
      </c>
      <c r="D378" s="14">
        <v>1.963099940637433</v>
      </c>
      <c r="E378" s="14">
        <v>1.7858497922310126</v>
      </c>
      <c r="F378" s="14">
        <v>1.5022495547807513</v>
      </c>
      <c r="G378" s="14">
        <v>1.0014997031871682</v>
      </c>
      <c r="H378" s="14">
        <v>0.50074985159358421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</row>
    <row r="379" spans="1:14" x14ac:dyDescent="0.3">
      <c r="A379" s="3" t="str">
        <f>INDEX('R1. Scenario specifications'!$C$11:$C$49,MATCH($B379,'R1. Scenario specifications'!$A$11:$A$49,0))</f>
        <v>Current 1.75DS, 2020 start, 'Expect the Unexpected' but with cheap CCS</v>
      </c>
      <c r="B379" s="3" t="s">
        <v>36</v>
      </c>
      <c r="C379" s="3" t="s">
        <v>72</v>
      </c>
      <c r="D379" s="14">
        <v>1517.4635089937533</v>
      </c>
      <c r="E379" s="14">
        <v>1704.9418897085425</v>
      </c>
      <c r="F379" s="14">
        <v>2685.5545190640855</v>
      </c>
      <c r="G379" s="14">
        <v>12230.817080935771</v>
      </c>
      <c r="H379" s="14">
        <v>27450.538961317914</v>
      </c>
      <c r="I379" s="14">
        <v>35889.905723197204</v>
      </c>
      <c r="J379" s="14">
        <v>51297.188060711233</v>
      </c>
      <c r="K379" s="14">
        <v>77167.327941912852</v>
      </c>
      <c r="L379" s="14">
        <v>125979.65084706071</v>
      </c>
      <c r="M379" s="14">
        <v>171029.4745671612</v>
      </c>
      <c r="N379" s="14">
        <v>204915.61713467733</v>
      </c>
    </row>
    <row r="380" spans="1:14" x14ac:dyDescent="0.3">
      <c r="A380" s="3" t="str">
        <f>INDEX('R1. Scenario specifications'!$C$11:$C$49,MATCH($B380,'R1. Scenario specifications'!$A$11:$A$49,0))</f>
        <v>Current 2DS, 2020 start, 'Expect the Unexpected' but with cheap renewables</v>
      </c>
      <c r="B380" s="3" t="s">
        <v>37</v>
      </c>
      <c r="C380" s="3" t="s">
        <v>63</v>
      </c>
      <c r="D380" s="14">
        <v>225.44707509197985</v>
      </c>
      <c r="E380" s="14">
        <v>432.13326707926797</v>
      </c>
      <c r="F380" s="14">
        <v>2791.4850951746125</v>
      </c>
      <c r="G380" s="14">
        <v>9855.2247628007699</v>
      </c>
      <c r="H380" s="14">
        <v>12476.442646179383</v>
      </c>
      <c r="I380" s="14">
        <v>14149.057140797297</v>
      </c>
      <c r="J380" s="14">
        <v>7698.9289788108917</v>
      </c>
      <c r="K380" s="14">
        <v>3274.4783916324436</v>
      </c>
      <c r="L380" s="14">
        <v>235.05459971051766</v>
      </c>
      <c r="M380" s="14">
        <v>72.730685362136697</v>
      </c>
      <c r="N380" s="14">
        <v>72.395667514542097</v>
      </c>
    </row>
    <row r="381" spans="1:14" x14ac:dyDescent="0.3">
      <c r="A381" s="3" t="str">
        <f>INDEX('R1. Scenario specifications'!$C$11:$C$49,MATCH($B381,'R1. Scenario specifications'!$A$11:$A$49,0))</f>
        <v>Current 2DS, 2020 start, 'Expect the Unexpected' but with cheap renewables</v>
      </c>
      <c r="B381" s="3" t="s">
        <v>37</v>
      </c>
      <c r="C381" s="3" t="s">
        <v>73</v>
      </c>
      <c r="D381" s="14">
        <v>0</v>
      </c>
      <c r="E381" s="14">
        <v>0</v>
      </c>
      <c r="F381" s="14">
        <v>0</v>
      </c>
      <c r="G381" s="14">
        <v>85.991844054585229</v>
      </c>
      <c r="H381" s="14">
        <v>606.45998726213566</v>
      </c>
      <c r="I381" s="14">
        <v>3632.027325477547</v>
      </c>
      <c r="J381" s="14">
        <v>16562.333700016126</v>
      </c>
      <c r="K381" s="14">
        <v>37923.420470055971</v>
      </c>
      <c r="L381" s="14">
        <v>61666.419808239436</v>
      </c>
      <c r="M381" s="14">
        <v>79375.053587207207</v>
      </c>
      <c r="N381" s="14">
        <v>86821.605791040463</v>
      </c>
    </row>
    <row r="382" spans="1:14" x14ac:dyDescent="0.3">
      <c r="A382" s="3" t="str">
        <f>INDEX('R1. Scenario specifications'!$C$11:$C$49,MATCH($B382,'R1. Scenario specifications'!$A$11:$A$49,0))</f>
        <v>Current 2DS, 2020 start, 'Expect the Unexpected' but with cheap renewables</v>
      </c>
      <c r="B382" s="3" t="s">
        <v>37</v>
      </c>
      <c r="C382" s="3" t="s">
        <v>64</v>
      </c>
      <c r="D382" s="14">
        <v>33040.313548549595</v>
      </c>
      <c r="E382" s="14">
        <v>42259.332050485427</v>
      </c>
      <c r="F382" s="14">
        <v>32172.508335863538</v>
      </c>
      <c r="G382" s="14">
        <v>21543.192176475011</v>
      </c>
      <c r="H382" s="14">
        <v>5635.0872283887738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</row>
    <row r="383" spans="1:14" x14ac:dyDescent="0.3">
      <c r="A383" s="3" t="str">
        <f>INDEX('R1. Scenario specifications'!$C$11:$C$49,MATCH($B383,'R1. Scenario specifications'!$A$11:$A$49,0))</f>
        <v>Current 2DS, 2020 start, 'Expect the Unexpected' but with cheap renewables</v>
      </c>
      <c r="B383" s="3" t="s">
        <v>37</v>
      </c>
      <c r="C383" s="3" t="s">
        <v>65</v>
      </c>
      <c r="D383" s="14">
        <v>14597.074835304187</v>
      </c>
      <c r="E383" s="14">
        <v>15742.568461825351</v>
      </c>
      <c r="F383" s="14">
        <v>23692.881756781935</v>
      </c>
      <c r="G383" s="14">
        <v>16373.19476170342</v>
      </c>
      <c r="H383" s="14">
        <v>15911.620286897527</v>
      </c>
      <c r="I383" s="14">
        <v>11207.330305106891</v>
      </c>
      <c r="J383" s="14">
        <v>6992.1507061458869</v>
      </c>
      <c r="K383" s="14">
        <v>3660.5006810949785</v>
      </c>
      <c r="L383" s="14">
        <v>665.50091177752324</v>
      </c>
      <c r="M383" s="14">
        <v>15.5025155311028</v>
      </c>
      <c r="N383" s="14">
        <v>0</v>
      </c>
    </row>
    <row r="384" spans="1:14" x14ac:dyDescent="0.3">
      <c r="A384" s="3" t="str">
        <f>INDEX('R1. Scenario specifications'!$C$11:$C$49,MATCH($B384,'R1. Scenario specifications'!$A$11:$A$49,0))</f>
        <v>Current 2DS, 2020 start, 'Expect the Unexpected' but with cheap renewables</v>
      </c>
      <c r="B384" s="3" t="s">
        <v>37</v>
      </c>
      <c r="C384" s="3" t="s">
        <v>74</v>
      </c>
      <c r="D384" s="14">
        <v>0</v>
      </c>
      <c r="E384" s="14">
        <v>0</v>
      </c>
      <c r="F384" s="14">
        <v>0</v>
      </c>
      <c r="G384" s="14">
        <v>0</v>
      </c>
      <c r="H384" s="14">
        <v>0</v>
      </c>
      <c r="I384" s="14">
        <v>29.137795117320515</v>
      </c>
      <c r="J384" s="14">
        <v>20.642933942203829</v>
      </c>
      <c r="K384" s="14">
        <v>384.72431926550342</v>
      </c>
      <c r="L384" s="14">
        <v>3664.450203693164</v>
      </c>
      <c r="M384" s="14">
        <v>8125.8506538259062</v>
      </c>
      <c r="N384" s="14">
        <v>8704.6505469656222</v>
      </c>
    </row>
    <row r="385" spans="1:14" x14ac:dyDescent="0.3">
      <c r="A385" s="3" t="str">
        <f>INDEX('R1. Scenario specifications'!$C$11:$C$49,MATCH($B385,'R1. Scenario specifications'!$A$11:$A$49,0))</f>
        <v>Current 2DS, 2020 start, 'Expect the Unexpected' but with cheap renewables</v>
      </c>
      <c r="B385" s="3" t="s">
        <v>37</v>
      </c>
      <c r="C385" s="3" t="s">
        <v>66</v>
      </c>
      <c r="D385" s="14">
        <v>202.4480216544064</v>
      </c>
      <c r="E385" s="14">
        <v>194.35225063586262</v>
      </c>
      <c r="F385" s="14">
        <v>2690.096097794773</v>
      </c>
      <c r="G385" s="14">
        <v>4164.2939650161279</v>
      </c>
      <c r="H385" s="14">
        <v>5663.1266090847057</v>
      </c>
      <c r="I385" s="14">
        <v>7877.9161590661242</v>
      </c>
      <c r="J385" s="14">
        <v>11569.88577481557</v>
      </c>
      <c r="K385" s="14">
        <v>13515.151563090703</v>
      </c>
      <c r="L385" s="14">
        <v>14732.142787681063</v>
      </c>
      <c r="M385" s="14">
        <v>20461.162133881149</v>
      </c>
      <c r="N385" s="14">
        <v>24017.393208988204</v>
      </c>
    </row>
    <row r="386" spans="1:14" x14ac:dyDescent="0.3">
      <c r="A386" s="3" t="str">
        <f>INDEX('R1. Scenario specifications'!$C$11:$C$49,MATCH($B386,'R1. Scenario specifications'!$A$11:$A$49,0))</f>
        <v>Current 2DS, 2020 start, 'Expect the Unexpected' but with cheap renewables</v>
      </c>
      <c r="B386" s="3" t="s">
        <v>37</v>
      </c>
      <c r="C386" s="3" t="s">
        <v>67</v>
      </c>
      <c r="D386" s="14">
        <v>10255.125599999996</v>
      </c>
      <c r="E386" s="14">
        <v>10349.477981293301</v>
      </c>
      <c r="F386" s="14">
        <v>14634.999767850808</v>
      </c>
      <c r="G386" s="14">
        <v>17345.131061864551</v>
      </c>
      <c r="H386" s="14">
        <v>20056.134715381915</v>
      </c>
      <c r="I386" s="14">
        <v>24148.940166317057</v>
      </c>
      <c r="J386" s="14">
        <v>25507.509903029546</v>
      </c>
      <c r="K386" s="14">
        <v>25719.56294514388</v>
      </c>
      <c r="L386" s="14">
        <v>29967.71719030858</v>
      </c>
      <c r="M386" s="14">
        <v>35717.976949197233</v>
      </c>
      <c r="N386" s="14">
        <v>37884.730298894414</v>
      </c>
    </row>
    <row r="387" spans="1:14" x14ac:dyDescent="0.3">
      <c r="A387" s="3" t="str">
        <f>INDEX('R1. Scenario specifications'!$C$11:$C$49,MATCH($B387,'R1. Scenario specifications'!$A$11:$A$49,0))</f>
        <v>Current 2DS, 2020 start, 'Expect the Unexpected' but with cheap renewables</v>
      </c>
      <c r="B387" s="3" t="s">
        <v>37</v>
      </c>
      <c r="C387" s="3" t="s">
        <v>68</v>
      </c>
      <c r="D387" s="14">
        <v>9499.4101148835834</v>
      </c>
      <c r="E387" s="14">
        <v>9854.768593125913</v>
      </c>
      <c r="F387" s="14">
        <v>13753.197500000002</v>
      </c>
      <c r="G387" s="14">
        <v>14514.167854150604</v>
      </c>
      <c r="H387" s="14">
        <v>16218.313795067785</v>
      </c>
      <c r="I387" s="14">
        <v>23095.66355195201</v>
      </c>
      <c r="J387" s="14">
        <v>27419.988527939131</v>
      </c>
      <c r="K387" s="14">
        <v>32696.745166086257</v>
      </c>
      <c r="L387" s="14">
        <v>35075.991081677726</v>
      </c>
      <c r="M387" s="14">
        <v>38075.798806987703</v>
      </c>
      <c r="N387" s="14">
        <v>39733.174999999996</v>
      </c>
    </row>
    <row r="388" spans="1:14" x14ac:dyDescent="0.3">
      <c r="A388" s="3" t="str">
        <f>INDEX('R1. Scenario specifications'!$C$11:$C$49,MATCH($B388,'R1. Scenario specifications'!$A$11:$A$49,0))</f>
        <v>Current 2DS, 2020 start, 'Expect the Unexpected' but with cheap renewables</v>
      </c>
      <c r="B388" s="3" t="s">
        <v>37</v>
      </c>
      <c r="C388" s="3" t="s">
        <v>69</v>
      </c>
      <c r="D388" s="14">
        <v>2379.5369238501598</v>
      </c>
      <c r="E388" s="14">
        <v>2356.8190162179026</v>
      </c>
      <c r="F388" s="14">
        <v>2308.8771400062938</v>
      </c>
      <c r="G388" s="14">
        <v>1503.8223551611875</v>
      </c>
      <c r="H388" s="14">
        <v>735.79214155908937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</row>
    <row r="389" spans="1:14" x14ac:dyDescent="0.3">
      <c r="A389" s="3" t="str">
        <f>INDEX('R1. Scenario specifications'!$C$11:$C$49,MATCH($B389,'R1. Scenario specifications'!$A$11:$A$49,0))</f>
        <v>Current 2DS, 2020 start, 'Expect the Unexpected' but with cheap renewables</v>
      </c>
      <c r="B389" s="3" t="s">
        <v>37</v>
      </c>
      <c r="C389" s="3" t="s">
        <v>70</v>
      </c>
      <c r="D389" s="14">
        <v>67.937052631788802</v>
      </c>
      <c r="E389" s="14">
        <v>458.66984800047192</v>
      </c>
      <c r="F389" s="14">
        <v>917.48161125092997</v>
      </c>
      <c r="G389" s="14">
        <v>5402.7430998719665</v>
      </c>
      <c r="H389" s="14">
        <v>19115.827457997169</v>
      </c>
      <c r="I389" s="14">
        <v>29187.805932568423</v>
      </c>
      <c r="J389" s="14">
        <v>35691.503294129026</v>
      </c>
      <c r="K389" s="14">
        <v>42469.979635314223</v>
      </c>
      <c r="L389" s="14">
        <v>60040.441989048159</v>
      </c>
      <c r="M389" s="14">
        <v>92903.336306134166</v>
      </c>
      <c r="N389" s="14">
        <v>103979.07936970123</v>
      </c>
    </row>
    <row r="390" spans="1:14" x14ac:dyDescent="0.3">
      <c r="A390" s="3" t="str">
        <f>INDEX('R1. Scenario specifications'!$C$11:$C$49,MATCH($B390,'R1. Scenario specifications'!$A$11:$A$49,0))</f>
        <v>Current 2DS, 2020 start, 'Expect the Unexpected' but with cheap renewables</v>
      </c>
      <c r="B390" s="3" t="s">
        <v>37</v>
      </c>
      <c r="C390" s="3" t="s">
        <v>71</v>
      </c>
      <c r="D390" s="14">
        <v>0.68787021919935687</v>
      </c>
      <c r="E390" s="14">
        <v>0.6257617671977489</v>
      </c>
      <c r="F390" s="14">
        <v>0.52638824399517514</v>
      </c>
      <c r="G390" s="14">
        <v>0.35092549599678308</v>
      </c>
      <c r="H390" s="14">
        <v>0.17546274799839173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</row>
    <row r="391" spans="1:14" x14ac:dyDescent="0.3">
      <c r="A391" s="3" t="str">
        <f>INDEX('R1. Scenario specifications'!$C$11:$C$49,MATCH($B391,'R1. Scenario specifications'!$A$11:$A$49,0))</f>
        <v>Current 2DS, 2020 start, 'Expect the Unexpected' but with cheap renewables</v>
      </c>
      <c r="B391" s="3" t="s">
        <v>37</v>
      </c>
      <c r="C391" s="3" t="s">
        <v>75</v>
      </c>
      <c r="D391" s="14">
        <v>1.963099940637433</v>
      </c>
      <c r="E391" s="14">
        <v>1.7858497922310126</v>
      </c>
      <c r="F391" s="14">
        <v>1.5022495547807513</v>
      </c>
      <c r="G391" s="14">
        <v>1.0014997031871682</v>
      </c>
      <c r="H391" s="14">
        <v>0.50074985159358421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</row>
    <row r="392" spans="1:14" x14ac:dyDescent="0.3">
      <c r="A392" s="3" t="str">
        <f>INDEX('R1. Scenario specifications'!$C$11:$C$49,MATCH($B392,'R1. Scenario specifications'!$A$11:$A$49,0))</f>
        <v>Current 2DS, 2020 start, 'Expect the Unexpected' but with cheap renewables</v>
      </c>
      <c r="B392" s="3" t="s">
        <v>37</v>
      </c>
      <c r="C392" s="3" t="s">
        <v>72</v>
      </c>
      <c r="D392" s="14">
        <v>1517.4635089937533</v>
      </c>
      <c r="E392" s="14">
        <v>1704.9418897085425</v>
      </c>
      <c r="F392" s="14">
        <v>2685.5545190640855</v>
      </c>
      <c r="G392" s="14">
        <v>15995.963524006083</v>
      </c>
      <c r="H392" s="14">
        <v>29245.710641954556</v>
      </c>
      <c r="I392" s="14">
        <v>36710.518160645828</v>
      </c>
      <c r="J392" s="14">
        <v>49050.755611872555</v>
      </c>
      <c r="K392" s="14">
        <v>63899.43016860354</v>
      </c>
      <c r="L392" s="14">
        <v>91648.732215465876</v>
      </c>
      <c r="M392" s="14">
        <v>146730.89393366547</v>
      </c>
      <c r="N392" s="14">
        <v>184498.44499731564</v>
      </c>
    </row>
    <row r="393" spans="1:14" x14ac:dyDescent="0.3">
      <c r="A393" s="3" t="str">
        <f>INDEX('R1. Scenario specifications'!$C$11:$C$49,MATCH($B393,'R1. Scenario specifications'!$A$11:$A$49,0))</f>
        <v>Current 1.75DS, 2030 start, 'Expect the Unexpected' but with cheap CCS</v>
      </c>
      <c r="B393" s="3" t="s">
        <v>38</v>
      </c>
      <c r="C393" s="3" t="s">
        <v>63</v>
      </c>
      <c r="D393" s="14">
        <v>225.44707509197985</v>
      </c>
      <c r="E393" s="14">
        <v>432.13326707926797</v>
      </c>
      <c r="F393" s="14">
        <v>2791.4850951746125</v>
      </c>
      <c r="G393" s="14">
        <v>10791.541692619947</v>
      </c>
      <c r="H393" s="14">
        <v>14488.700808814951</v>
      </c>
      <c r="I393" s="14">
        <v>8616.6352886504628</v>
      </c>
      <c r="J393" s="14">
        <v>691.77424892604131</v>
      </c>
      <c r="K393" s="14">
        <v>92.520671073346023</v>
      </c>
      <c r="L393" s="14">
        <v>0</v>
      </c>
      <c r="M393" s="14">
        <v>73.549248677285803</v>
      </c>
      <c r="N393" s="14">
        <v>71.271036458421037</v>
      </c>
    </row>
    <row r="394" spans="1:14" x14ac:dyDescent="0.3">
      <c r="A394" s="3" t="str">
        <f>INDEX('R1. Scenario specifications'!$C$11:$C$49,MATCH($B394,'R1. Scenario specifications'!$A$11:$A$49,0))</f>
        <v>Current 1.75DS, 2030 start, 'Expect the Unexpected' but with cheap CCS</v>
      </c>
      <c r="B394" s="3" t="s">
        <v>38</v>
      </c>
      <c r="C394" s="3" t="s">
        <v>73</v>
      </c>
      <c r="D394" s="14">
        <v>0</v>
      </c>
      <c r="E394" s="14">
        <v>0</v>
      </c>
      <c r="F394" s="14">
        <v>0</v>
      </c>
      <c r="G394" s="14">
        <v>0</v>
      </c>
      <c r="H394" s="14">
        <v>412.10569001230584</v>
      </c>
      <c r="I394" s="14">
        <v>7731.9134458614253</v>
      </c>
      <c r="J394" s="14">
        <v>46229.392935160155</v>
      </c>
      <c r="K394" s="14">
        <v>60652.577981048715</v>
      </c>
      <c r="L394" s="14">
        <v>76302.19295475031</v>
      </c>
      <c r="M394" s="14">
        <v>87313.707178728742</v>
      </c>
      <c r="N394" s="14">
        <v>94923.030461431103</v>
      </c>
    </row>
    <row r="395" spans="1:14" x14ac:dyDescent="0.3">
      <c r="A395" s="3" t="str">
        <f>INDEX('R1. Scenario specifications'!$C$11:$C$49,MATCH($B395,'R1. Scenario specifications'!$A$11:$A$49,0))</f>
        <v>Current 1.75DS, 2030 start, 'Expect the Unexpected' but with cheap CCS</v>
      </c>
      <c r="B395" s="3" t="s">
        <v>38</v>
      </c>
      <c r="C395" s="3" t="s">
        <v>64</v>
      </c>
      <c r="D395" s="14">
        <v>33040.313548549595</v>
      </c>
      <c r="E395" s="14">
        <v>42259.332050485427</v>
      </c>
      <c r="F395" s="14">
        <v>32172.508335863538</v>
      </c>
      <c r="G395" s="14">
        <v>29995.093630544216</v>
      </c>
      <c r="H395" s="14">
        <v>2602.3331308261991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</row>
    <row r="396" spans="1:14" x14ac:dyDescent="0.3">
      <c r="A396" s="3" t="str">
        <f>INDEX('R1. Scenario specifications'!$C$11:$C$49,MATCH($B396,'R1. Scenario specifications'!$A$11:$A$49,0))</f>
        <v>Current 1.75DS, 2030 start, 'Expect the Unexpected' but with cheap CCS</v>
      </c>
      <c r="B396" s="3" t="s">
        <v>38</v>
      </c>
      <c r="C396" s="3" t="s">
        <v>65</v>
      </c>
      <c r="D396" s="14">
        <v>14597.074835304187</v>
      </c>
      <c r="E396" s="14">
        <v>15742.568461825351</v>
      </c>
      <c r="F396" s="14">
        <v>23692.881756781935</v>
      </c>
      <c r="G396" s="14">
        <v>18923.773890589895</v>
      </c>
      <c r="H396" s="14">
        <v>24850.17913041987</v>
      </c>
      <c r="I396" s="14">
        <v>13126.451647790191</v>
      </c>
      <c r="J396" s="14">
        <v>6973.2425105852353</v>
      </c>
      <c r="K396" s="14">
        <v>984.3847352636476</v>
      </c>
      <c r="L396" s="14">
        <v>0</v>
      </c>
      <c r="M396" s="14">
        <v>0</v>
      </c>
      <c r="N396" s="14">
        <v>0</v>
      </c>
    </row>
    <row r="397" spans="1:14" x14ac:dyDescent="0.3">
      <c r="A397" s="3" t="str">
        <f>INDEX('R1. Scenario specifications'!$C$11:$C$49,MATCH($B397,'R1. Scenario specifications'!$A$11:$A$49,0))</f>
        <v>Current 1.75DS, 2030 start, 'Expect the Unexpected' but with cheap CCS</v>
      </c>
      <c r="B397" s="3" t="s">
        <v>38</v>
      </c>
      <c r="C397" s="3" t="s">
        <v>74</v>
      </c>
      <c r="D397" s="14">
        <v>0</v>
      </c>
      <c r="E397" s="14">
        <v>0</v>
      </c>
      <c r="F397" s="14">
        <v>0</v>
      </c>
      <c r="G397" s="14">
        <v>0</v>
      </c>
      <c r="H397" s="14">
        <v>13.801881595694159</v>
      </c>
      <c r="I397" s="14">
        <v>205.31012508296612</v>
      </c>
      <c r="J397" s="14">
        <v>1996.4908349056632</v>
      </c>
      <c r="K397" s="14">
        <v>5819.9904196823227</v>
      </c>
      <c r="L397" s="14">
        <v>8722.7828950934818</v>
      </c>
      <c r="M397" s="14">
        <v>10908.35302844642</v>
      </c>
      <c r="N397" s="14">
        <v>10406.165356927102</v>
      </c>
    </row>
    <row r="398" spans="1:14" x14ac:dyDescent="0.3">
      <c r="A398" s="3" t="str">
        <f>INDEX('R1. Scenario specifications'!$C$11:$C$49,MATCH($B398,'R1. Scenario specifications'!$A$11:$A$49,0))</f>
        <v>Current 1.75DS, 2030 start, 'Expect the Unexpected' but with cheap CCS</v>
      </c>
      <c r="B398" s="3" t="s">
        <v>38</v>
      </c>
      <c r="C398" s="3" t="s">
        <v>66</v>
      </c>
      <c r="D398" s="14">
        <v>202.4480216544064</v>
      </c>
      <c r="E398" s="14">
        <v>194.35225063586262</v>
      </c>
      <c r="F398" s="14">
        <v>2690.096097794773</v>
      </c>
      <c r="G398" s="14">
        <v>4149.3454146666118</v>
      </c>
      <c r="H398" s="14">
        <v>6115.5490460109886</v>
      </c>
      <c r="I398" s="14">
        <v>11624.893817097398</v>
      </c>
      <c r="J398" s="14">
        <v>19763.141801917907</v>
      </c>
      <c r="K398" s="14">
        <v>19745.280897787597</v>
      </c>
      <c r="L398" s="14">
        <v>20753.395562600366</v>
      </c>
      <c r="M398" s="14">
        <v>24877.760986540583</v>
      </c>
      <c r="N398" s="14">
        <v>26532.815752506052</v>
      </c>
    </row>
    <row r="399" spans="1:14" x14ac:dyDescent="0.3">
      <c r="A399" s="3" t="str">
        <f>INDEX('R1. Scenario specifications'!$C$11:$C$49,MATCH($B399,'R1. Scenario specifications'!$A$11:$A$49,0))</f>
        <v>Current 1.75DS, 2030 start, 'Expect the Unexpected' but with cheap CCS</v>
      </c>
      <c r="B399" s="3" t="s">
        <v>38</v>
      </c>
      <c r="C399" s="3" t="s">
        <v>67</v>
      </c>
      <c r="D399" s="14">
        <v>10255.125599999996</v>
      </c>
      <c r="E399" s="14">
        <v>10349.477981293301</v>
      </c>
      <c r="F399" s="14">
        <v>14634.999767850808</v>
      </c>
      <c r="G399" s="14">
        <v>17168.548108229523</v>
      </c>
      <c r="H399" s="14">
        <v>19867.006989372989</v>
      </c>
      <c r="I399" s="14">
        <v>27586.463990941986</v>
      </c>
      <c r="J399" s="14">
        <v>31343.028231430122</v>
      </c>
      <c r="K399" s="14">
        <v>32365.677411330613</v>
      </c>
      <c r="L399" s="14">
        <v>34738.650869059129</v>
      </c>
      <c r="M399" s="14">
        <v>36540.473809784227</v>
      </c>
      <c r="N399" s="14">
        <v>37484.711128900111</v>
      </c>
    </row>
    <row r="400" spans="1:14" x14ac:dyDescent="0.3">
      <c r="A400" s="3" t="str">
        <f>INDEX('R1. Scenario specifications'!$C$11:$C$49,MATCH($B400,'R1. Scenario specifications'!$A$11:$A$49,0))</f>
        <v>Current 1.75DS, 2030 start, 'Expect the Unexpected' but with cheap CCS</v>
      </c>
      <c r="B400" s="3" t="s">
        <v>38</v>
      </c>
      <c r="C400" s="3" t="s">
        <v>68</v>
      </c>
      <c r="D400" s="14">
        <v>9499.4101148835834</v>
      </c>
      <c r="E400" s="14">
        <v>9854.768593125913</v>
      </c>
      <c r="F400" s="14">
        <v>13753.197500000002</v>
      </c>
      <c r="G400" s="14">
        <v>14514.167854150606</v>
      </c>
      <c r="H400" s="14">
        <v>15191.631806438927</v>
      </c>
      <c r="I400" s="14">
        <v>24925.344846272608</v>
      </c>
      <c r="J400" s="14">
        <v>29553.541555107939</v>
      </c>
      <c r="K400" s="14">
        <v>31659.805255019768</v>
      </c>
      <c r="L400" s="14">
        <v>36424.77020472147</v>
      </c>
      <c r="M400" s="14">
        <v>38453.579999999994</v>
      </c>
      <c r="N400" s="14">
        <v>38730.394682797276</v>
      </c>
    </row>
    <row r="401" spans="1:14" x14ac:dyDescent="0.3">
      <c r="A401" s="3" t="str">
        <f>INDEX('R1. Scenario specifications'!$C$11:$C$49,MATCH($B401,'R1. Scenario specifications'!$A$11:$A$49,0))</f>
        <v>Current 1.75DS, 2030 start, 'Expect the Unexpected' but with cheap CCS</v>
      </c>
      <c r="B401" s="3" t="s">
        <v>38</v>
      </c>
      <c r="C401" s="3" t="s">
        <v>69</v>
      </c>
      <c r="D401" s="14">
        <v>2379.5369238501598</v>
      </c>
      <c r="E401" s="14">
        <v>2356.8190162179026</v>
      </c>
      <c r="F401" s="14">
        <v>2308.8771400062938</v>
      </c>
      <c r="G401" s="14">
        <v>1516.5761695611868</v>
      </c>
      <c r="H401" s="14">
        <v>786.54814782575602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</row>
    <row r="402" spans="1:14" x14ac:dyDescent="0.3">
      <c r="A402" s="3" t="str">
        <f>INDEX('R1. Scenario specifications'!$C$11:$C$49,MATCH($B402,'R1. Scenario specifications'!$A$11:$A$49,0))</f>
        <v>Current 1.75DS, 2030 start, 'Expect the Unexpected' but with cheap CCS</v>
      </c>
      <c r="B402" s="3" t="s">
        <v>38</v>
      </c>
      <c r="C402" s="3" t="s">
        <v>70</v>
      </c>
      <c r="D402" s="14">
        <v>67.937052631788802</v>
      </c>
      <c r="E402" s="14">
        <v>458.66984800047192</v>
      </c>
      <c r="F402" s="14">
        <v>917.48161125092997</v>
      </c>
      <c r="G402" s="14">
        <v>2670.3548260954558</v>
      </c>
      <c r="H402" s="14">
        <v>11256.799579487266</v>
      </c>
      <c r="I402" s="14">
        <v>27104.683456599334</v>
      </c>
      <c r="J402" s="14">
        <v>45831.210015633886</v>
      </c>
      <c r="K402" s="14">
        <v>62210.033026672834</v>
      </c>
      <c r="L402" s="14">
        <v>86010.223324444276</v>
      </c>
      <c r="M402" s="14">
        <v>105068.35336558083</v>
      </c>
      <c r="N402" s="14">
        <v>117815.20143210422</v>
      </c>
    </row>
    <row r="403" spans="1:14" x14ac:dyDescent="0.3">
      <c r="A403" s="3" t="str">
        <f>INDEX('R1. Scenario specifications'!$C$11:$C$49,MATCH($B403,'R1. Scenario specifications'!$A$11:$A$49,0))</f>
        <v>Current 1.75DS, 2030 start, 'Expect the Unexpected' but with cheap CCS</v>
      </c>
      <c r="B403" s="3" t="s">
        <v>38</v>
      </c>
      <c r="C403" s="3" t="s">
        <v>71</v>
      </c>
      <c r="D403" s="14">
        <v>0.68787021919935687</v>
      </c>
      <c r="E403" s="14">
        <v>0.6257617671977489</v>
      </c>
      <c r="F403" s="14">
        <v>0.52638824399517514</v>
      </c>
      <c r="G403" s="14">
        <v>0.35092549599678308</v>
      </c>
      <c r="H403" s="14">
        <v>0.17546274799839201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</row>
    <row r="404" spans="1:14" x14ac:dyDescent="0.3">
      <c r="A404" s="3" t="str">
        <f>INDEX('R1. Scenario specifications'!$C$11:$C$49,MATCH($B404,'R1. Scenario specifications'!$A$11:$A$49,0))</f>
        <v>Current 1.75DS, 2030 start, 'Expect the Unexpected' but with cheap CCS</v>
      </c>
      <c r="B404" s="3" t="s">
        <v>38</v>
      </c>
      <c r="C404" s="3" t="s">
        <v>75</v>
      </c>
      <c r="D404" s="14">
        <v>1.963099940637433</v>
      </c>
      <c r="E404" s="14">
        <v>1.7858497922310126</v>
      </c>
      <c r="F404" s="14">
        <v>1.5022495547807513</v>
      </c>
      <c r="G404" s="14">
        <v>1.0014997031871682</v>
      </c>
      <c r="H404" s="14">
        <v>0.50074985159358421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</row>
    <row r="405" spans="1:14" x14ac:dyDescent="0.3">
      <c r="A405" s="3" t="str">
        <f>INDEX('R1. Scenario specifications'!$C$11:$C$49,MATCH($B405,'R1. Scenario specifications'!$A$11:$A$49,0))</f>
        <v>Current 1.75DS, 2030 start, 'Expect the Unexpected' but with cheap CCS</v>
      </c>
      <c r="B405" s="3" t="s">
        <v>38</v>
      </c>
      <c r="C405" s="3" t="s">
        <v>72</v>
      </c>
      <c r="D405" s="14">
        <v>1517.4635089937533</v>
      </c>
      <c r="E405" s="14">
        <v>1704.9418897085425</v>
      </c>
      <c r="F405" s="14">
        <v>2685.5545190640855</v>
      </c>
      <c r="G405" s="14">
        <v>10882.32058635127</v>
      </c>
      <c r="H405" s="14">
        <v>27755.620114411056</v>
      </c>
      <c r="I405" s="14">
        <v>37655.530009876522</v>
      </c>
      <c r="J405" s="14">
        <v>60236.341436906368</v>
      </c>
      <c r="K405" s="14">
        <v>81789.600853042066</v>
      </c>
      <c r="L405" s="14">
        <v>120119.35287544975</v>
      </c>
      <c r="M405" s="14">
        <v>161378.8475933531</v>
      </c>
      <c r="N405" s="14">
        <v>198919.97483373084</v>
      </c>
    </row>
    <row r="406" spans="1:14" x14ac:dyDescent="0.3">
      <c r="A406" s="3" t="str">
        <f>INDEX('R1. Scenario specifications'!$C$11:$C$49,MATCH($B406,'R1. Scenario specifications'!$A$11:$A$49,0))</f>
        <v>Current 1.75DS, 2020 start, 'Expect the Unexpected' but with cheap EVs</v>
      </c>
      <c r="B406" s="3" t="s">
        <v>39</v>
      </c>
      <c r="C406" s="3" t="s">
        <v>63</v>
      </c>
      <c r="D406" s="14">
        <v>225.44707509197985</v>
      </c>
      <c r="E406" s="14">
        <v>432.13326707926797</v>
      </c>
      <c r="F406" s="14">
        <v>2791.4850951746125</v>
      </c>
      <c r="G406" s="14">
        <v>13830.378917699343</v>
      </c>
      <c r="H406" s="14">
        <v>14804.72177328454</v>
      </c>
      <c r="I406" s="14">
        <v>11425.032721567999</v>
      </c>
      <c r="J406" s="14">
        <v>580.17933550388238</v>
      </c>
      <c r="K406" s="14">
        <v>90.182063183917705</v>
      </c>
      <c r="L406" s="14">
        <v>77.039709048588008</v>
      </c>
      <c r="M406" s="14">
        <v>77.039709048588008</v>
      </c>
      <c r="N406" s="14">
        <v>71.286429274938001</v>
      </c>
    </row>
    <row r="407" spans="1:14" x14ac:dyDescent="0.3">
      <c r="A407" s="3" t="str">
        <f>INDEX('R1. Scenario specifications'!$C$11:$C$49,MATCH($B407,'R1. Scenario specifications'!$A$11:$A$49,0))</f>
        <v>Current 1.75DS, 2020 start, 'Expect the Unexpected' but with cheap EVs</v>
      </c>
      <c r="B407" s="3" t="s">
        <v>39</v>
      </c>
      <c r="C407" s="3" t="s">
        <v>73</v>
      </c>
      <c r="D407" s="14">
        <v>0</v>
      </c>
      <c r="E407" s="14">
        <v>0</v>
      </c>
      <c r="F407" s="14">
        <v>0</v>
      </c>
      <c r="G407" s="14">
        <v>340.13863713776465</v>
      </c>
      <c r="H407" s="14">
        <v>2246.5381244651294</v>
      </c>
      <c r="I407" s="14">
        <v>12152.557773010009</v>
      </c>
      <c r="J407" s="14">
        <v>38836.025036236504</v>
      </c>
      <c r="K407" s="14">
        <v>62615.919812997279</v>
      </c>
      <c r="L407" s="14">
        <v>78903.594146884847</v>
      </c>
      <c r="M407" s="14">
        <v>91269.454515083446</v>
      </c>
      <c r="N407" s="14">
        <v>97378.63304248052</v>
      </c>
    </row>
    <row r="408" spans="1:14" x14ac:dyDescent="0.3">
      <c r="A408" s="3" t="str">
        <f>INDEX('R1. Scenario specifications'!$C$11:$C$49,MATCH($B408,'R1. Scenario specifications'!$A$11:$A$49,0))</f>
        <v>Current 1.75DS, 2020 start, 'Expect the Unexpected' but with cheap EVs</v>
      </c>
      <c r="B408" s="3" t="s">
        <v>39</v>
      </c>
      <c r="C408" s="3" t="s">
        <v>64</v>
      </c>
      <c r="D408" s="14">
        <v>33040.313548549595</v>
      </c>
      <c r="E408" s="14">
        <v>42259.332050485427</v>
      </c>
      <c r="F408" s="14">
        <v>32172.508335863538</v>
      </c>
      <c r="G408" s="14">
        <v>15816.031204528532</v>
      </c>
      <c r="H408" s="14">
        <v>1969.7727478804184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</row>
    <row r="409" spans="1:14" x14ac:dyDescent="0.3">
      <c r="A409" s="3" t="str">
        <f>INDEX('R1. Scenario specifications'!$C$11:$C$49,MATCH($B409,'R1. Scenario specifications'!$A$11:$A$49,0))</f>
        <v>Current 1.75DS, 2020 start, 'Expect the Unexpected' but with cheap EVs</v>
      </c>
      <c r="B409" s="3" t="s">
        <v>39</v>
      </c>
      <c r="C409" s="3" t="s">
        <v>65</v>
      </c>
      <c r="D409" s="14">
        <v>14597.074835304187</v>
      </c>
      <c r="E409" s="14">
        <v>15742.568461825351</v>
      </c>
      <c r="F409" s="14">
        <v>23692.881756781935</v>
      </c>
      <c r="G409" s="14">
        <v>19307.103703854125</v>
      </c>
      <c r="H409" s="14">
        <v>15012.574356979258</v>
      </c>
      <c r="I409" s="14">
        <v>9881.3958010730767</v>
      </c>
      <c r="J409" s="14">
        <v>3336.6610682406299</v>
      </c>
      <c r="K409" s="14">
        <v>516.53612875893361</v>
      </c>
      <c r="L409" s="14">
        <v>0</v>
      </c>
      <c r="M409" s="14">
        <v>0</v>
      </c>
      <c r="N409" s="14">
        <v>0</v>
      </c>
    </row>
    <row r="410" spans="1:14" x14ac:dyDescent="0.3">
      <c r="A410" s="3" t="str">
        <f>INDEX('R1. Scenario specifications'!$C$11:$C$49,MATCH($B410,'R1. Scenario specifications'!$A$11:$A$49,0))</f>
        <v>Current 1.75DS, 2020 start, 'Expect the Unexpected' but with cheap EVs</v>
      </c>
      <c r="B410" s="3" t="s">
        <v>39</v>
      </c>
      <c r="C410" s="3" t="s">
        <v>74</v>
      </c>
      <c r="D410" s="14">
        <v>0</v>
      </c>
      <c r="E410" s="14">
        <v>0</v>
      </c>
      <c r="F410" s="14">
        <v>0</v>
      </c>
      <c r="G410" s="14">
        <v>28.393838107200004</v>
      </c>
      <c r="H410" s="14">
        <v>36.322220346675621</v>
      </c>
      <c r="I410" s="14">
        <v>1687.9550579371858</v>
      </c>
      <c r="J410" s="14">
        <v>3890.8822517860831</v>
      </c>
      <c r="K410" s="14">
        <v>6370.5808551911387</v>
      </c>
      <c r="L410" s="14">
        <v>11857.88090968852</v>
      </c>
      <c r="M410" s="14">
        <v>12856.465419503651</v>
      </c>
      <c r="N410" s="14">
        <v>11525.520362343488</v>
      </c>
    </row>
    <row r="411" spans="1:14" x14ac:dyDescent="0.3">
      <c r="A411" s="3" t="str">
        <f>INDEX('R1. Scenario specifications'!$C$11:$C$49,MATCH($B411,'R1. Scenario specifications'!$A$11:$A$49,0))</f>
        <v>Current 1.75DS, 2020 start, 'Expect the Unexpected' but with cheap EVs</v>
      </c>
      <c r="B411" s="3" t="s">
        <v>39</v>
      </c>
      <c r="C411" s="3" t="s">
        <v>66</v>
      </c>
      <c r="D411" s="14">
        <v>202.4480216544064</v>
      </c>
      <c r="E411" s="14">
        <v>194.35225063586262</v>
      </c>
      <c r="F411" s="14">
        <v>2690.096097794773</v>
      </c>
      <c r="G411" s="14">
        <v>4159.862749522521</v>
      </c>
      <c r="H411" s="14">
        <v>5581.5276217636256</v>
      </c>
      <c r="I411" s="14">
        <v>8071.3242846901512</v>
      </c>
      <c r="J411" s="14">
        <v>13603.571231516335</v>
      </c>
      <c r="K411" s="14">
        <v>15340.453987902682</v>
      </c>
      <c r="L411" s="14">
        <v>21342.521859057717</v>
      </c>
      <c r="M411" s="14">
        <v>25605.582953766956</v>
      </c>
      <c r="N411" s="14">
        <v>27153.000348961192</v>
      </c>
    </row>
    <row r="412" spans="1:14" x14ac:dyDescent="0.3">
      <c r="A412" s="3" t="str">
        <f>INDEX('R1. Scenario specifications'!$C$11:$C$49,MATCH($B412,'R1. Scenario specifications'!$A$11:$A$49,0))</f>
        <v>Current 1.75DS, 2020 start, 'Expect the Unexpected' but with cheap EVs</v>
      </c>
      <c r="B412" s="3" t="s">
        <v>39</v>
      </c>
      <c r="C412" s="3" t="s">
        <v>67</v>
      </c>
      <c r="D412" s="14">
        <v>10255.125599999996</v>
      </c>
      <c r="E412" s="14">
        <v>10349.477981293301</v>
      </c>
      <c r="F412" s="14">
        <v>14634.999767850808</v>
      </c>
      <c r="G412" s="14">
        <v>17478.738255512948</v>
      </c>
      <c r="H412" s="14">
        <v>21751.721063873516</v>
      </c>
      <c r="I412" s="14">
        <v>25326.819469706312</v>
      </c>
      <c r="J412" s="14">
        <v>26824.213085201543</v>
      </c>
      <c r="K412" s="14">
        <v>29314.718250992537</v>
      </c>
      <c r="L412" s="14">
        <v>33744.993975920559</v>
      </c>
      <c r="M412" s="14">
        <v>37161.45545706222</v>
      </c>
      <c r="N412" s="14">
        <v>38552.701515414235</v>
      </c>
    </row>
    <row r="413" spans="1:14" x14ac:dyDescent="0.3">
      <c r="A413" s="3" t="str">
        <f>INDEX('R1. Scenario specifications'!$C$11:$C$49,MATCH($B413,'R1. Scenario specifications'!$A$11:$A$49,0))</f>
        <v>Current 1.75DS, 2020 start, 'Expect the Unexpected' but with cheap EVs</v>
      </c>
      <c r="B413" s="3" t="s">
        <v>39</v>
      </c>
      <c r="C413" s="3" t="s">
        <v>68</v>
      </c>
      <c r="D413" s="14">
        <v>9499.4101148835834</v>
      </c>
      <c r="E413" s="14">
        <v>9854.768593125913</v>
      </c>
      <c r="F413" s="14">
        <v>13753.197500000002</v>
      </c>
      <c r="G413" s="14">
        <v>14514.167854150606</v>
      </c>
      <c r="H413" s="14">
        <v>17132.08644893012</v>
      </c>
      <c r="I413" s="14">
        <v>24387.801920924307</v>
      </c>
      <c r="J413" s="14">
        <v>29339.946829147266</v>
      </c>
      <c r="K413" s="14">
        <v>33212.804071371538</v>
      </c>
      <c r="L413" s="14">
        <v>36349.660635270797</v>
      </c>
      <c r="M413" s="14">
        <v>38453.579999999994</v>
      </c>
      <c r="N413" s="14">
        <v>38835.964308423958</v>
      </c>
    </row>
    <row r="414" spans="1:14" x14ac:dyDescent="0.3">
      <c r="A414" s="3" t="str">
        <f>INDEX('R1. Scenario specifications'!$C$11:$C$49,MATCH($B414,'R1. Scenario specifications'!$A$11:$A$49,0))</f>
        <v>Current 1.75DS, 2020 start, 'Expect the Unexpected' but with cheap EVs</v>
      </c>
      <c r="B414" s="3" t="s">
        <v>39</v>
      </c>
      <c r="C414" s="3" t="s">
        <v>69</v>
      </c>
      <c r="D414" s="14">
        <v>2379.5369238501598</v>
      </c>
      <c r="E414" s="14">
        <v>2356.8190162179026</v>
      </c>
      <c r="F414" s="14">
        <v>2308.8771400062938</v>
      </c>
      <c r="G414" s="14">
        <v>1503.8223551611868</v>
      </c>
      <c r="H414" s="14">
        <v>734.15459382575602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</row>
    <row r="415" spans="1:14" x14ac:dyDescent="0.3">
      <c r="A415" s="3" t="str">
        <f>INDEX('R1. Scenario specifications'!$C$11:$C$49,MATCH($B415,'R1. Scenario specifications'!$A$11:$A$49,0))</f>
        <v>Current 1.75DS, 2020 start, 'Expect the Unexpected' but with cheap EVs</v>
      </c>
      <c r="B415" s="3" t="s">
        <v>39</v>
      </c>
      <c r="C415" s="3" t="s">
        <v>70</v>
      </c>
      <c r="D415" s="14">
        <v>67.937052631788802</v>
      </c>
      <c r="E415" s="14">
        <v>458.66984800047192</v>
      </c>
      <c r="F415" s="14">
        <v>917.48161125092997</v>
      </c>
      <c r="G415" s="14">
        <v>4260.8341842059763</v>
      </c>
      <c r="H415" s="14">
        <v>15465.245121357209</v>
      </c>
      <c r="I415" s="14">
        <v>25494.629689325873</v>
      </c>
      <c r="J415" s="14">
        <v>34472.920250672301</v>
      </c>
      <c r="K415" s="14">
        <v>53552.829804875226</v>
      </c>
      <c r="L415" s="14">
        <v>89361.862801641255</v>
      </c>
      <c r="M415" s="14">
        <v>110582.40842204963</v>
      </c>
      <c r="N415" s="14">
        <v>121163.15954757205</v>
      </c>
    </row>
    <row r="416" spans="1:14" x14ac:dyDescent="0.3">
      <c r="A416" s="3" t="str">
        <f>INDEX('R1. Scenario specifications'!$C$11:$C$49,MATCH($B416,'R1. Scenario specifications'!$A$11:$A$49,0))</f>
        <v>Current 1.75DS, 2020 start, 'Expect the Unexpected' but with cheap EVs</v>
      </c>
      <c r="B416" s="3" t="s">
        <v>39</v>
      </c>
      <c r="C416" s="3" t="s">
        <v>71</v>
      </c>
      <c r="D416" s="14">
        <v>0.68787021919935687</v>
      </c>
      <c r="E416" s="14">
        <v>0.6257617671977489</v>
      </c>
      <c r="F416" s="14">
        <v>0.52638824399517514</v>
      </c>
      <c r="G416" s="14">
        <v>0.35092549599678308</v>
      </c>
      <c r="H416" s="14">
        <v>0.17546274799839173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</row>
    <row r="417" spans="1:14" x14ac:dyDescent="0.3">
      <c r="A417" s="3" t="str">
        <f>INDEX('R1. Scenario specifications'!$C$11:$C$49,MATCH($B417,'R1. Scenario specifications'!$A$11:$A$49,0))</f>
        <v>Current 1.75DS, 2020 start, 'Expect the Unexpected' but with cheap EVs</v>
      </c>
      <c r="B417" s="3" t="s">
        <v>39</v>
      </c>
      <c r="C417" s="3" t="s">
        <v>75</v>
      </c>
      <c r="D417" s="14">
        <v>1.963099940637433</v>
      </c>
      <c r="E417" s="14">
        <v>1.7858497922310126</v>
      </c>
      <c r="F417" s="14">
        <v>1.5022495547807513</v>
      </c>
      <c r="G417" s="14">
        <v>1.0014997031871682</v>
      </c>
      <c r="H417" s="14">
        <v>0.50074985159358409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</row>
    <row r="418" spans="1:14" x14ac:dyDescent="0.3">
      <c r="A418" s="3" t="str">
        <f>INDEX('R1. Scenario specifications'!$C$11:$C$49,MATCH($B418,'R1. Scenario specifications'!$A$11:$A$49,0))</f>
        <v>Current 1.75DS, 2020 start, 'Expect the Unexpected' but with cheap EVs</v>
      </c>
      <c r="B418" s="3" t="s">
        <v>39</v>
      </c>
      <c r="C418" s="3" t="s">
        <v>72</v>
      </c>
      <c r="D418" s="14">
        <v>1517.4635089937533</v>
      </c>
      <c r="E418" s="14">
        <v>1704.9418897085425</v>
      </c>
      <c r="F418" s="14">
        <v>2685.5545190640855</v>
      </c>
      <c r="G418" s="14">
        <v>12163.37910459912</v>
      </c>
      <c r="H418" s="14">
        <v>27792.291756234787</v>
      </c>
      <c r="I418" s="14">
        <v>36113.544756779032</v>
      </c>
      <c r="J418" s="14">
        <v>51848.715436466257</v>
      </c>
      <c r="K418" s="14">
        <v>77950.035359350615</v>
      </c>
      <c r="L418" s="14">
        <v>126401.91400396528</v>
      </c>
      <c r="M418" s="14">
        <v>171082.93061148259</v>
      </c>
      <c r="N418" s="14">
        <v>205505.4488507123</v>
      </c>
    </row>
    <row r="419" spans="1:14" x14ac:dyDescent="0.3">
      <c r="A419" s="3" t="str">
        <f>INDEX('R1. Scenario specifications'!$C$11:$C$49,MATCH($B419,'R1. Scenario specifications'!$A$11:$A$49,0))</f>
        <v>Current 1.75DS, 2030 start, 'Expect the Unexpected' but with cheap EVs</v>
      </c>
      <c r="B419" s="3" t="s">
        <v>40</v>
      </c>
      <c r="C419" s="3" t="s">
        <v>63</v>
      </c>
      <c r="D419" s="14">
        <v>225.44707509197985</v>
      </c>
      <c r="E419" s="14">
        <v>432.13326707926797</v>
      </c>
      <c r="F419" s="14">
        <v>2791.4850951746125</v>
      </c>
      <c r="G419" s="14">
        <v>10791.541692619947</v>
      </c>
      <c r="H419" s="14">
        <v>15166.080683046946</v>
      </c>
      <c r="I419" s="14">
        <v>11245.654375617933</v>
      </c>
      <c r="J419" s="14">
        <v>960.70756265682212</v>
      </c>
      <c r="K419" s="14">
        <v>88.090935318251965</v>
      </c>
      <c r="L419" s="14">
        <v>0</v>
      </c>
      <c r="M419" s="14">
        <v>73.632291588581893</v>
      </c>
      <c r="N419" s="14">
        <v>71.270924104742988</v>
      </c>
    </row>
    <row r="420" spans="1:14" x14ac:dyDescent="0.3">
      <c r="A420" s="3" t="str">
        <f>INDEX('R1. Scenario specifications'!$C$11:$C$49,MATCH($B420,'R1. Scenario specifications'!$A$11:$A$49,0))</f>
        <v>Current 1.75DS, 2030 start, 'Expect the Unexpected' but with cheap EVs</v>
      </c>
      <c r="B420" s="3" t="s">
        <v>40</v>
      </c>
      <c r="C420" s="3" t="s">
        <v>73</v>
      </c>
      <c r="D420" s="14">
        <v>0</v>
      </c>
      <c r="E420" s="14">
        <v>0</v>
      </c>
      <c r="F420" s="14">
        <v>0</v>
      </c>
      <c r="G420" s="14">
        <v>0</v>
      </c>
      <c r="H420" s="14">
        <v>412.10569001230584</v>
      </c>
      <c r="I420" s="14">
        <v>7733.7326036986224</v>
      </c>
      <c r="J420" s="14">
        <v>46457.642856573017</v>
      </c>
      <c r="K420" s="14">
        <v>62125.943383964499</v>
      </c>
      <c r="L420" s="14">
        <v>76836.186198061827</v>
      </c>
      <c r="M420" s="14">
        <v>87108.147233512398</v>
      </c>
      <c r="N420" s="14">
        <v>94735.304900886171</v>
      </c>
    </row>
    <row r="421" spans="1:14" x14ac:dyDescent="0.3">
      <c r="A421" s="3" t="str">
        <f>INDEX('R1. Scenario specifications'!$C$11:$C$49,MATCH($B421,'R1. Scenario specifications'!$A$11:$A$49,0))</f>
        <v>Current 1.75DS, 2030 start, 'Expect the Unexpected' but with cheap EVs</v>
      </c>
      <c r="B421" s="3" t="s">
        <v>40</v>
      </c>
      <c r="C421" s="3" t="s">
        <v>64</v>
      </c>
      <c r="D421" s="14">
        <v>33040.313548549595</v>
      </c>
      <c r="E421" s="14">
        <v>42259.332050485427</v>
      </c>
      <c r="F421" s="14">
        <v>32172.508335863538</v>
      </c>
      <c r="G421" s="14">
        <v>29995.093630544216</v>
      </c>
      <c r="H421" s="14">
        <v>2789.1236134056508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</row>
    <row r="422" spans="1:14" x14ac:dyDescent="0.3">
      <c r="A422" s="3" t="str">
        <f>INDEX('R1. Scenario specifications'!$C$11:$C$49,MATCH($B422,'R1. Scenario specifications'!$A$11:$A$49,0))</f>
        <v>Current 1.75DS, 2030 start, 'Expect the Unexpected' but with cheap EVs</v>
      </c>
      <c r="B422" s="3" t="s">
        <v>40</v>
      </c>
      <c r="C422" s="3" t="s">
        <v>65</v>
      </c>
      <c r="D422" s="14">
        <v>14597.074835304187</v>
      </c>
      <c r="E422" s="14">
        <v>15742.568461825351</v>
      </c>
      <c r="F422" s="14">
        <v>23692.881756781935</v>
      </c>
      <c r="G422" s="14">
        <v>18923.773890589895</v>
      </c>
      <c r="H422" s="14">
        <v>25270.076577344098</v>
      </c>
      <c r="I422" s="14">
        <v>12423.783141087861</v>
      </c>
      <c r="J422" s="14">
        <v>6408.3882222565799</v>
      </c>
      <c r="K422" s="14">
        <v>1083.0288050418699</v>
      </c>
      <c r="L422" s="14">
        <v>0</v>
      </c>
      <c r="M422" s="14">
        <v>0</v>
      </c>
      <c r="N422" s="14">
        <v>0</v>
      </c>
    </row>
    <row r="423" spans="1:14" x14ac:dyDescent="0.3">
      <c r="A423" s="3" t="str">
        <f>INDEX('R1. Scenario specifications'!$C$11:$C$49,MATCH($B423,'R1. Scenario specifications'!$A$11:$A$49,0))</f>
        <v>Current 1.75DS, 2030 start, 'Expect the Unexpected' but with cheap EVs</v>
      </c>
      <c r="B423" s="3" t="s">
        <v>40</v>
      </c>
      <c r="C423" s="3" t="s">
        <v>74</v>
      </c>
      <c r="D423" s="14">
        <v>0</v>
      </c>
      <c r="E423" s="14">
        <v>0</v>
      </c>
      <c r="F423" s="14">
        <v>0</v>
      </c>
      <c r="G423" s="14">
        <v>0</v>
      </c>
      <c r="H423" s="14">
        <v>0</v>
      </c>
      <c r="I423" s="14">
        <v>205.31012508296612</v>
      </c>
      <c r="J423" s="14">
        <v>1915.3186404990829</v>
      </c>
      <c r="K423" s="14">
        <v>5223.7107897763326</v>
      </c>
      <c r="L423" s="14">
        <v>8568.1443861310236</v>
      </c>
      <c r="M423" s="14">
        <v>11055.632053322057</v>
      </c>
      <c r="N423" s="14">
        <v>11016.80947585244</v>
      </c>
    </row>
    <row r="424" spans="1:14" x14ac:dyDescent="0.3">
      <c r="A424" s="3" t="str">
        <f>INDEX('R1. Scenario specifications'!$C$11:$C$49,MATCH($B424,'R1. Scenario specifications'!$A$11:$A$49,0))</f>
        <v>Current 1.75DS, 2030 start, 'Expect the Unexpected' but with cheap EVs</v>
      </c>
      <c r="B424" s="3" t="s">
        <v>40</v>
      </c>
      <c r="C424" s="3" t="s">
        <v>66</v>
      </c>
      <c r="D424" s="14">
        <v>202.4480216544064</v>
      </c>
      <c r="E424" s="14">
        <v>194.35225063586262</v>
      </c>
      <c r="F424" s="14">
        <v>2690.096097794773</v>
      </c>
      <c r="G424" s="14">
        <v>4149.3454146666118</v>
      </c>
      <c r="H424" s="14">
        <v>6115.5490460109886</v>
      </c>
      <c r="I424" s="14">
        <v>11600.486452817504</v>
      </c>
      <c r="J424" s="14">
        <v>19820.608364745633</v>
      </c>
      <c r="K424" s="14">
        <v>19824.597664977035</v>
      </c>
      <c r="L424" s="14">
        <v>20893.497907386987</v>
      </c>
      <c r="M424" s="14">
        <v>25499.034985691978</v>
      </c>
      <c r="N424" s="14">
        <v>26534.136263402666</v>
      </c>
    </row>
    <row r="425" spans="1:14" x14ac:dyDescent="0.3">
      <c r="A425" s="3" t="str">
        <f>INDEX('R1. Scenario specifications'!$C$11:$C$49,MATCH($B425,'R1. Scenario specifications'!$A$11:$A$49,0))</f>
        <v>Current 1.75DS, 2030 start, 'Expect the Unexpected' but with cheap EVs</v>
      </c>
      <c r="B425" s="3" t="s">
        <v>40</v>
      </c>
      <c r="C425" s="3" t="s">
        <v>67</v>
      </c>
      <c r="D425" s="14">
        <v>10255.125599999996</v>
      </c>
      <c r="E425" s="14">
        <v>10349.477981293301</v>
      </c>
      <c r="F425" s="14">
        <v>14634.999767850808</v>
      </c>
      <c r="G425" s="14">
        <v>17168.548108229523</v>
      </c>
      <c r="H425" s="14">
        <v>19840.344717480133</v>
      </c>
      <c r="I425" s="14">
        <v>27388.032053583622</v>
      </c>
      <c r="J425" s="14">
        <v>31348.124736371625</v>
      </c>
      <c r="K425" s="14">
        <v>32533.060538672034</v>
      </c>
      <c r="L425" s="14">
        <v>34856.17001109261</v>
      </c>
      <c r="M425" s="14">
        <v>36875.789414411716</v>
      </c>
      <c r="N425" s="14">
        <v>37965.293454316285</v>
      </c>
    </row>
    <row r="426" spans="1:14" x14ac:dyDescent="0.3">
      <c r="A426" s="3" t="str">
        <f>INDEX('R1. Scenario specifications'!$C$11:$C$49,MATCH($B426,'R1. Scenario specifications'!$A$11:$A$49,0))</f>
        <v>Current 1.75DS, 2030 start, 'Expect the Unexpected' but with cheap EVs</v>
      </c>
      <c r="B426" s="3" t="s">
        <v>40</v>
      </c>
      <c r="C426" s="3" t="s">
        <v>68</v>
      </c>
      <c r="D426" s="14">
        <v>9499.4101148835834</v>
      </c>
      <c r="E426" s="14">
        <v>9854.768593125913</v>
      </c>
      <c r="F426" s="14">
        <v>13753.197500000002</v>
      </c>
      <c r="G426" s="14">
        <v>14514.167854150606</v>
      </c>
      <c r="H426" s="14">
        <v>15191.631806438927</v>
      </c>
      <c r="I426" s="14">
        <v>24925.344846272608</v>
      </c>
      <c r="J426" s="14">
        <v>29922.426361397909</v>
      </c>
      <c r="K426" s="14">
        <v>32028.690061309746</v>
      </c>
      <c r="L426" s="14">
        <v>36380.869945009472</v>
      </c>
      <c r="M426" s="14">
        <v>38453.579999999987</v>
      </c>
      <c r="N426" s="14">
        <v>38867.372181180246</v>
      </c>
    </row>
    <row r="427" spans="1:14" x14ac:dyDescent="0.3">
      <c r="A427" s="3" t="str">
        <f>INDEX('R1. Scenario specifications'!$C$11:$C$49,MATCH($B427,'R1. Scenario specifications'!$A$11:$A$49,0))</f>
        <v>Current 1.75DS, 2030 start, 'Expect the Unexpected' but with cheap EVs</v>
      </c>
      <c r="B427" s="3" t="s">
        <v>40</v>
      </c>
      <c r="C427" s="3" t="s">
        <v>69</v>
      </c>
      <c r="D427" s="14">
        <v>2379.5369238501598</v>
      </c>
      <c r="E427" s="14">
        <v>2356.8190162179026</v>
      </c>
      <c r="F427" s="14">
        <v>2308.8771400062938</v>
      </c>
      <c r="G427" s="14">
        <v>1516.5761695611868</v>
      </c>
      <c r="H427" s="14">
        <v>786.5481478257559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</row>
    <row r="428" spans="1:14" x14ac:dyDescent="0.3">
      <c r="A428" s="3" t="str">
        <f>INDEX('R1. Scenario specifications'!$C$11:$C$49,MATCH($B428,'R1. Scenario specifications'!$A$11:$A$49,0))</f>
        <v>Current 1.75DS, 2030 start, 'Expect the Unexpected' but with cheap EVs</v>
      </c>
      <c r="B428" s="3" t="s">
        <v>40</v>
      </c>
      <c r="C428" s="3" t="s">
        <v>70</v>
      </c>
      <c r="D428" s="14">
        <v>67.937052631788802</v>
      </c>
      <c r="E428" s="14">
        <v>458.66984800047192</v>
      </c>
      <c r="F428" s="14">
        <v>917.48161125092997</v>
      </c>
      <c r="G428" s="14">
        <v>2670.3548260954558</v>
      </c>
      <c r="H428" s="14">
        <v>11304.718523439056</v>
      </c>
      <c r="I428" s="14">
        <v>27271.576910312651</v>
      </c>
      <c r="J428" s="14">
        <v>45446.520843496335</v>
      </c>
      <c r="K428" s="14">
        <v>61202.497157027581</v>
      </c>
      <c r="L428" s="14">
        <v>84903.054966893309</v>
      </c>
      <c r="M428" s="14">
        <v>103321.20083174817</v>
      </c>
      <c r="N428" s="14">
        <v>116811.97262916501</v>
      </c>
    </row>
    <row r="429" spans="1:14" x14ac:dyDescent="0.3">
      <c r="A429" s="3" t="str">
        <f>INDEX('R1. Scenario specifications'!$C$11:$C$49,MATCH($B429,'R1. Scenario specifications'!$A$11:$A$49,0))</f>
        <v>Current 1.75DS, 2030 start, 'Expect the Unexpected' but with cheap EVs</v>
      </c>
      <c r="B429" s="3" t="s">
        <v>40</v>
      </c>
      <c r="C429" s="3" t="s">
        <v>71</v>
      </c>
      <c r="D429" s="14">
        <v>0.68787021919935687</v>
      </c>
      <c r="E429" s="14">
        <v>0.6257617671977489</v>
      </c>
      <c r="F429" s="14">
        <v>0.52638824399517514</v>
      </c>
      <c r="G429" s="14">
        <v>0.35092549599678308</v>
      </c>
      <c r="H429" s="14">
        <v>0.17546274799839173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</row>
    <row r="430" spans="1:14" x14ac:dyDescent="0.3">
      <c r="A430" s="3" t="str">
        <f>INDEX('R1. Scenario specifications'!$C$11:$C$49,MATCH($B430,'R1. Scenario specifications'!$A$11:$A$49,0))</f>
        <v>Current 1.75DS, 2030 start, 'Expect the Unexpected' but with cheap EVs</v>
      </c>
      <c r="B430" s="3" t="s">
        <v>40</v>
      </c>
      <c r="C430" s="3" t="s">
        <v>75</v>
      </c>
      <c r="D430" s="14">
        <v>1.963099940637433</v>
      </c>
      <c r="E430" s="14">
        <v>1.7858497922310126</v>
      </c>
      <c r="F430" s="14">
        <v>1.5022495547807513</v>
      </c>
      <c r="G430" s="14">
        <v>1.0014997031871682</v>
      </c>
      <c r="H430" s="14">
        <v>0.50074985159358421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</row>
    <row r="431" spans="1:14" x14ac:dyDescent="0.3">
      <c r="A431" s="3" t="str">
        <f>INDEX('R1. Scenario specifications'!$C$11:$C$49,MATCH($B431,'R1. Scenario specifications'!$A$11:$A$49,0))</f>
        <v>Current 1.75DS, 2030 start, 'Expect the Unexpected' but with cheap EVs</v>
      </c>
      <c r="B431" s="3" t="s">
        <v>40</v>
      </c>
      <c r="C431" s="3" t="s">
        <v>72</v>
      </c>
      <c r="D431" s="14">
        <v>1517.4635089937533</v>
      </c>
      <c r="E431" s="14">
        <v>1704.9418897085425</v>
      </c>
      <c r="F431" s="14">
        <v>2685.5545190640855</v>
      </c>
      <c r="G431" s="14">
        <v>10882.32058635127</v>
      </c>
      <c r="H431" s="14">
        <v>28058.422706789308</v>
      </c>
      <c r="I431" s="14">
        <v>38258.187134722182</v>
      </c>
      <c r="J431" s="14">
        <v>60639.233343819935</v>
      </c>
      <c r="K431" s="14">
        <v>82053.56498710296</v>
      </c>
      <c r="L431" s="14">
        <v>119708.96229935734</v>
      </c>
      <c r="M431" s="14">
        <v>160857.29811496238</v>
      </c>
      <c r="N431" s="14">
        <v>198450.07253776406</v>
      </c>
    </row>
    <row r="432" spans="1:14" x14ac:dyDescent="0.3">
      <c r="A432" s="3" t="str">
        <f>INDEX('R1. Scenario specifications'!$C$11:$C$49,MATCH($B432,'R1. Scenario specifications'!$A$11:$A$49,0))</f>
        <v>Current 1.75DS, 2020 start, 'Expect the Unexpected' but with cheap energy efficiency</v>
      </c>
      <c r="B432" s="3" t="s">
        <v>41</v>
      </c>
      <c r="C432" s="3" t="s">
        <v>63</v>
      </c>
      <c r="D432" s="14">
        <v>225.44707509197985</v>
      </c>
      <c r="E432" s="14">
        <v>432.13326707926797</v>
      </c>
      <c r="F432" s="14">
        <v>2791.4850951746125</v>
      </c>
      <c r="G432" s="14">
        <v>12323.910322390495</v>
      </c>
      <c r="H432" s="14">
        <v>13531.788278577951</v>
      </c>
      <c r="I432" s="14">
        <v>12354.947153306119</v>
      </c>
      <c r="J432" s="14">
        <v>2623.4543027235422</v>
      </c>
      <c r="K432" s="14">
        <v>104.60668383326075</v>
      </c>
      <c r="L432" s="14">
        <v>51.778825646429304</v>
      </c>
      <c r="M432" s="14">
        <v>59.933378648344153</v>
      </c>
      <c r="N432" s="14">
        <v>89.071061538059098</v>
      </c>
    </row>
    <row r="433" spans="1:14" x14ac:dyDescent="0.3">
      <c r="A433" s="3" t="str">
        <f>INDEX('R1. Scenario specifications'!$C$11:$C$49,MATCH($B433,'R1. Scenario specifications'!$A$11:$A$49,0))</f>
        <v>Current 1.75DS, 2020 start, 'Expect the Unexpected' but with cheap energy efficiency</v>
      </c>
      <c r="B433" s="3" t="s">
        <v>41</v>
      </c>
      <c r="C433" s="3" t="s">
        <v>73</v>
      </c>
      <c r="D433" s="14">
        <v>0</v>
      </c>
      <c r="E433" s="14">
        <v>0</v>
      </c>
      <c r="F433" s="14">
        <v>0</v>
      </c>
      <c r="G433" s="14">
        <v>264.58212287823767</v>
      </c>
      <c r="H433" s="14">
        <v>1823.0792564574874</v>
      </c>
      <c r="I433" s="14">
        <v>8715.9851447675428</v>
      </c>
      <c r="J433" s="14">
        <v>31615.862173332374</v>
      </c>
      <c r="K433" s="14">
        <v>57516.546669816234</v>
      </c>
      <c r="L433" s="14">
        <v>74004.163795446628</v>
      </c>
      <c r="M433" s="14">
        <v>86087.354765670971</v>
      </c>
      <c r="N433" s="14">
        <v>94537.275750377696</v>
      </c>
    </row>
    <row r="434" spans="1:14" x14ac:dyDescent="0.3">
      <c r="A434" s="3" t="str">
        <f>INDEX('R1. Scenario specifications'!$C$11:$C$49,MATCH($B434,'R1. Scenario specifications'!$A$11:$A$49,0))</f>
        <v>Current 1.75DS, 2020 start, 'Expect the Unexpected' but with cheap energy efficiency</v>
      </c>
      <c r="B434" s="3" t="s">
        <v>41</v>
      </c>
      <c r="C434" s="3" t="s">
        <v>64</v>
      </c>
      <c r="D434" s="14">
        <v>33040.313548549595</v>
      </c>
      <c r="E434" s="14">
        <v>42259.332050485427</v>
      </c>
      <c r="F434" s="14">
        <v>32172.508335863538</v>
      </c>
      <c r="G434" s="14">
        <v>17458.419646899929</v>
      </c>
      <c r="H434" s="14">
        <v>2192.8762761421181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</row>
    <row r="435" spans="1:14" x14ac:dyDescent="0.3">
      <c r="A435" s="3" t="str">
        <f>INDEX('R1. Scenario specifications'!$C$11:$C$49,MATCH($B435,'R1. Scenario specifications'!$A$11:$A$49,0))</f>
        <v>Current 1.75DS, 2020 start, 'Expect the Unexpected' but with cheap energy efficiency</v>
      </c>
      <c r="B435" s="3" t="s">
        <v>41</v>
      </c>
      <c r="C435" s="3" t="s">
        <v>65</v>
      </c>
      <c r="D435" s="14">
        <v>14597.074835304187</v>
      </c>
      <c r="E435" s="14">
        <v>15742.568461825351</v>
      </c>
      <c r="F435" s="14">
        <v>23692.881756781935</v>
      </c>
      <c r="G435" s="14">
        <v>17591.696526352986</v>
      </c>
      <c r="H435" s="14">
        <v>15278.206313534438</v>
      </c>
      <c r="I435" s="14">
        <v>7338.9365483169877</v>
      </c>
      <c r="J435" s="14">
        <v>2671.4162989284741</v>
      </c>
      <c r="K435" s="14">
        <v>1488.2284702331228</v>
      </c>
      <c r="L435" s="14">
        <v>8.2538955053873195</v>
      </c>
      <c r="M435" s="14">
        <v>0</v>
      </c>
      <c r="N435" s="14">
        <v>0</v>
      </c>
    </row>
    <row r="436" spans="1:14" x14ac:dyDescent="0.3">
      <c r="A436" s="3" t="str">
        <f>INDEX('R1. Scenario specifications'!$C$11:$C$49,MATCH($B436,'R1. Scenario specifications'!$A$11:$A$49,0))</f>
        <v>Current 1.75DS, 2020 start, 'Expect the Unexpected' but with cheap energy efficiency</v>
      </c>
      <c r="B436" s="3" t="s">
        <v>41</v>
      </c>
      <c r="C436" s="3" t="s">
        <v>74</v>
      </c>
      <c r="D436" s="14">
        <v>0</v>
      </c>
      <c r="E436" s="14">
        <v>0</v>
      </c>
      <c r="F436" s="14">
        <v>0</v>
      </c>
      <c r="G436" s="14">
        <v>0</v>
      </c>
      <c r="H436" s="14">
        <v>0</v>
      </c>
      <c r="I436" s="14">
        <v>127.23130412369633</v>
      </c>
      <c r="J436" s="14">
        <v>777.11185576621256</v>
      </c>
      <c r="K436" s="14">
        <v>1135.9636126982557</v>
      </c>
      <c r="L436" s="14">
        <v>3270.2923752167317</v>
      </c>
      <c r="M436" s="14">
        <v>5220.3799918648483</v>
      </c>
      <c r="N436" s="14">
        <v>4725.0388607712875</v>
      </c>
    </row>
    <row r="437" spans="1:14" x14ac:dyDescent="0.3">
      <c r="A437" s="3" t="str">
        <f>INDEX('R1. Scenario specifications'!$C$11:$C$49,MATCH($B437,'R1. Scenario specifications'!$A$11:$A$49,0))</f>
        <v>Current 1.75DS, 2020 start, 'Expect the Unexpected' but with cheap energy efficiency</v>
      </c>
      <c r="B437" s="3" t="s">
        <v>41</v>
      </c>
      <c r="C437" s="3" t="s">
        <v>66</v>
      </c>
      <c r="D437" s="14">
        <v>202.4480216544064</v>
      </c>
      <c r="E437" s="14">
        <v>194.35225063586262</v>
      </c>
      <c r="F437" s="14">
        <v>2690.096097794773</v>
      </c>
      <c r="G437" s="14">
        <v>4159.862749522521</v>
      </c>
      <c r="H437" s="14">
        <v>5592.0431062644111</v>
      </c>
      <c r="I437" s="14">
        <v>7279.1559072262135</v>
      </c>
      <c r="J437" s="14">
        <v>8348.074463058012</v>
      </c>
      <c r="K437" s="14">
        <v>9628.2808163301579</v>
      </c>
      <c r="L437" s="14">
        <v>16771.336520751865</v>
      </c>
      <c r="M437" s="14">
        <v>18748.200116137989</v>
      </c>
      <c r="N437" s="14">
        <v>19804.404390938533</v>
      </c>
    </row>
    <row r="438" spans="1:14" x14ac:dyDescent="0.3">
      <c r="A438" s="3" t="str">
        <f>INDEX('R1. Scenario specifications'!$C$11:$C$49,MATCH($B438,'R1. Scenario specifications'!$A$11:$A$49,0))</f>
        <v>Current 1.75DS, 2020 start, 'Expect the Unexpected' but with cheap energy efficiency</v>
      </c>
      <c r="B438" s="3" t="s">
        <v>41</v>
      </c>
      <c r="C438" s="3" t="s">
        <v>67</v>
      </c>
      <c r="D438" s="14">
        <v>10255.125599999996</v>
      </c>
      <c r="E438" s="14">
        <v>10349.477981293301</v>
      </c>
      <c r="F438" s="14">
        <v>14634.999767850808</v>
      </c>
      <c r="G438" s="14">
        <v>17356.708874958193</v>
      </c>
      <c r="H438" s="14">
        <v>20536.399593855174</v>
      </c>
      <c r="I438" s="14">
        <v>23298.850234313944</v>
      </c>
      <c r="J438" s="14">
        <v>24562.454065828773</v>
      </c>
      <c r="K438" s="14">
        <v>25990.685613598544</v>
      </c>
      <c r="L438" s="14">
        <v>30597.787261179557</v>
      </c>
      <c r="M438" s="14">
        <v>33463.797477550601</v>
      </c>
      <c r="N438" s="14">
        <v>34596.924604444815</v>
      </c>
    </row>
    <row r="439" spans="1:14" x14ac:dyDescent="0.3">
      <c r="A439" s="3" t="str">
        <f>INDEX('R1. Scenario specifications'!$C$11:$C$49,MATCH($B439,'R1. Scenario specifications'!$A$11:$A$49,0))</f>
        <v>Current 1.75DS, 2020 start, 'Expect the Unexpected' but with cheap energy efficiency</v>
      </c>
      <c r="B439" s="3" t="s">
        <v>41</v>
      </c>
      <c r="C439" s="3" t="s">
        <v>68</v>
      </c>
      <c r="D439" s="14">
        <v>9499.4101148835834</v>
      </c>
      <c r="E439" s="14">
        <v>9854.768593125913</v>
      </c>
      <c r="F439" s="14">
        <v>13753.197500000002</v>
      </c>
      <c r="G439" s="14">
        <v>14514.167854150604</v>
      </c>
      <c r="H439" s="14">
        <v>16970.054065313696</v>
      </c>
      <c r="I439" s="14">
        <v>21808.685864935156</v>
      </c>
      <c r="J439" s="14">
        <v>25298.151988299887</v>
      </c>
      <c r="K439" s="14">
        <v>28409.428874508587</v>
      </c>
      <c r="L439" s="14">
        <v>35773.619999999981</v>
      </c>
      <c r="M439" s="14">
        <v>37908.53</v>
      </c>
      <c r="N439" s="14">
        <v>39172.206247214344</v>
      </c>
    </row>
    <row r="440" spans="1:14" x14ac:dyDescent="0.3">
      <c r="A440" s="3" t="str">
        <f>INDEX('R1. Scenario specifications'!$C$11:$C$49,MATCH($B440,'R1. Scenario specifications'!$A$11:$A$49,0))</f>
        <v>Current 1.75DS, 2020 start, 'Expect the Unexpected' but with cheap energy efficiency</v>
      </c>
      <c r="B440" s="3" t="s">
        <v>41</v>
      </c>
      <c r="C440" s="3" t="s">
        <v>69</v>
      </c>
      <c r="D440" s="14">
        <v>2379.5369238501598</v>
      </c>
      <c r="E440" s="14">
        <v>2356.8190162179026</v>
      </c>
      <c r="F440" s="14">
        <v>2308.8771400062938</v>
      </c>
      <c r="G440" s="14">
        <v>1503.8223551611877</v>
      </c>
      <c r="H440" s="14">
        <v>735.79214155908937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</row>
    <row r="441" spans="1:14" x14ac:dyDescent="0.3">
      <c r="A441" s="3" t="str">
        <f>INDEX('R1. Scenario specifications'!$C$11:$C$49,MATCH($B441,'R1. Scenario specifications'!$A$11:$A$49,0))</f>
        <v>Current 1.75DS, 2020 start, 'Expect the Unexpected' but with cheap energy efficiency</v>
      </c>
      <c r="B441" s="3" t="s">
        <v>41</v>
      </c>
      <c r="C441" s="3" t="s">
        <v>70</v>
      </c>
      <c r="D441" s="14">
        <v>67.937052631788802</v>
      </c>
      <c r="E441" s="14">
        <v>458.66984800047192</v>
      </c>
      <c r="F441" s="14">
        <v>917.48161125092997</v>
      </c>
      <c r="G441" s="14">
        <v>4161.0793988485239</v>
      </c>
      <c r="H441" s="14">
        <v>14481.737824846059</v>
      </c>
      <c r="I441" s="14">
        <v>23342.217553300434</v>
      </c>
      <c r="J441" s="14">
        <v>31291.146342126831</v>
      </c>
      <c r="K441" s="14">
        <v>44670.070567728886</v>
      </c>
      <c r="L441" s="14">
        <v>68510.026757162777</v>
      </c>
      <c r="M441" s="14">
        <v>85277.564141506547</v>
      </c>
      <c r="N441" s="14">
        <v>100879.60205135096</v>
      </c>
    </row>
    <row r="442" spans="1:14" x14ac:dyDescent="0.3">
      <c r="A442" s="3" t="str">
        <f>INDEX('R1. Scenario specifications'!$C$11:$C$49,MATCH($B442,'R1. Scenario specifications'!$A$11:$A$49,0))</f>
        <v>Current 1.75DS, 2020 start, 'Expect the Unexpected' but with cheap energy efficiency</v>
      </c>
      <c r="B442" s="3" t="s">
        <v>41</v>
      </c>
      <c r="C442" s="3" t="s">
        <v>71</v>
      </c>
      <c r="D442" s="14">
        <v>0.68787021919935687</v>
      </c>
      <c r="E442" s="14">
        <v>0.6257617671977489</v>
      </c>
      <c r="F442" s="14">
        <v>0.52638824399517514</v>
      </c>
      <c r="G442" s="14">
        <v>0.35092549599678308</v>
      </c>
      <c r="H442" s="14">
        <v>0.17546274799839173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</row>
    <row r="443" spans="1:14" x14ac:dyDescent="0.3">
      <c r="A443" s="3" t="str">
        <f>INDEX('R1. Scenario specifications'!$C$11:$C$49,MATCH($B443,'R1. Scenario specifications'!$A$11:$A$49,0))</f>
        <v>Current 1.75DS, 2020 start, 'Expect the Unexpected' but with cheap energy efficiency</v>
      </c>
      <c r="B443" s="3" t="s">
        <v>41</v>
      </c>
      <c r="C443" s="3" t="s">
        <v>75</v>
      </c>
      <c r="D443" s="14">
        <v>1.963099940637433</v>
      </c>
      <c r="E443" s="14">
        <v>1.7858497922310126</v>
      </c>
      <c r="F443" s="14">
        <v>1.5022495547807513</v>
      </c>
      <c r="G443" s="14">
        <v>1.0014997031871673</v>
      </c>
      <c r="H443" s="14">
        <v>0.50074985159358421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</row>
    <row r="444" spans="1:14" x14ac:dyDescent="0.3">
      <c r="A444" s="3" t="str">
        <f>INDEX('R1. Scenario specifications'!$C$11:$C$49,MATCH($B444,'R1. Scenario specifications'!$A$11:$A$49,0))</f>
        <v>Current 1.75DS, 2020 start, 'Expect the Unexpected' but with cheap energy efficiency</v>
      </c>
      <c r="B444" s="3" t="s">
        <v>41</v>
      </c>
      <c r="C444" s="3" t="s">
        <v>72</v>
      </c>
      <c r="D444" s="14">
        <v>1517.4635089937533</v>
      </c>
      <c r="E444" s="14">
        <v>1704.9418897085425</v>
      </c>
      <c r="F444" s="14">
        <v>2685.5545190640855</v>
      </c>
      <c r="G444" s="14">
        <v>12185.228620637945</v>
      </c>
      <c r="H444" s="14">
        <v>26703.320924165288</v>
      </c>
      <c r="I444" s="14">
        <v>32376.28792287879</v>
      </c>
      <c r="J444" s="14">
        <v>42733.952260776743</v>
      </c>
      <c r="K444" s="14">
        <v>63341.857717189298</v>
      </c>
      <c r="L444" s="14">
        <v>103097.25381835803</v>
      </c>
      <c r="M444" s="14">
        <v>138927.94270948754</v>
      </c>
      <c r="N444" s="14">
        <v>173366.16241880174</v>
      </c>
    </row>
    <row r="445" spans="1:14" x14ac:dyDescent="0.3">
      <c r="A445" s="3" t="str">
        <f>INDEX('R1. Scenario specifications'!$C$11:$C$49,MATCH($B445,'R1. Scenario specifications'!$A$11:$A$49,0))</f>
        <v>Current 1.75DS, 2030 start, 'Expect the Unexpected' but with cheap energy efficiency</v>
      </c>
      <c r="B445" s="3" t="s">
        <v>42</v>
      </c>
      <c r="C445" s="3" t="s">
        <v>63</v>
      </c>
      <c r="D445" s="14">
        <v>225.44707509197985</v>
      </c>
      <c r="E445" s="14">
        <v>432.13326707926797</v>
      </c>
      <c r="F445" s="14">
        <v>2791.4850951746125</v>
      </c>
      <c r="G445" s="14">
        <v>10791.541692619947</v>
      </c>
      <c r="H445" s="14">
        <v>14361.903959093628</v>
      </c>
      <c r="I445" s="14">
        <v>9622.3653002685423</v>
      </c>
      <c r="J445" s="14">
        <v>832.93295517365959</v>
      </c>
      <c r="K445" s="14">
        <v>13.242878318341299</v>
      </c>
      <c r="L445" s="14">
        <v>0</v>
      </c>
      <c r="M445" s="14">
        <v>91.421076530403809</v>
      </c>
      <c r="N445" s="14">
        <v>91.421076530403809</v>
      </c>
    </row>
    <row r="446" spans="1:14" x14ac:dyDescent="0.3">
      <c r="A446" s="3" t="str">
        <f>INDEX('R1. Scenario specifications'!$C$11:$C$49,MATCH($B446,'R1. Scenario specifications'!$A$11:$A$49,0))</f>
        <v>Current 1.75DS, 2030 start, 'Expect the Unexpected' but with cheap energy efficiency</v>
      </c>
      <c r="B446" s="3" t="s">
        <v>42</v>
      </c>
      <c r="C446" s="3" t="s">
        <v>73</v>
      </c>
      <c r="D446" s="14">
        <v>0</v>
      </c>
      <c r="E446" s="14">
        <v>0</v>
      </c>
      <c r="F446" s="14">
        <v>0</v>
      </c>
      <c r="G446" s="14">
        <v>0</v>
      </c>
      <c r="H446" s="14">
        <v>412.10569001230584</v>
      </c>
      <c r="I446" s="14">
        <v>6316.9879859183293</v>
      </c>
      <c r="J446" s="14">
        <v>37854.230876698981</v>
      </c>
      <c r="K446" s="14">
        <v>55698.613240316161</v>
      </c>
      <c r="L446" s="14">
        <v>69234.019012237113</v>
      </c>
      <c r="M446" s="14">
        <v>83895.74568145696</v>
      </c>
      <c r="N446" s="14">
        <v>92163.151932447567</v>
      </c>
    </row>
    <row r="447" spans="1:14" x14ac:dyDescent="0.3">
      <c r="A447" s="3" t="str">
        <f>INDEX('R1. Scenario specifications'!$C$11:$C$49,MATCH($B447,'R1. Scenario specifications'!$A$11:$A$49,0))</f>
        <v>Current 1.75DS, 2030 start, 'Expect the Unexpected' but with cheap energy efficiency</v>
      </c>
      <c r="B447" s="3" t="s">
        <v>42</v>
      </c>
      <c r="C447" s="3" t="s">
        <v>64</v>
      </c>
      <c r="D447" s="14">
        <v>33040.313548549595</v>
      </c>
      <c r="E447" s="14">
        <v>42259.332050485427</v>
      </c>
      <c r="F447" s="14">
        <v>32172.508335863538</v>
      </c>
      <c r="G447" s="14">
        <v>29995.093630544216</v>
      </c>
      <c r="H447" s="14">
        <v>3496.1159863403795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</row>
    <row r="448" spans="1:14" x14ac:dyDescent="0.3">
      <c r="A448" s="3" t="str">
        <f>INDEX('R1. Scenario specifications'!$C$11:$C$49,MATCH($B448,'R1. Scenario specifications'!$A$11:$A$49,0))</f>
        <v>Current 1.75DS, 2030 start, 'Expect the Unexpected' but with cheap energy efficiency</v>
      </c>
      <c r="B448" s="3" t="s">
        <v>42</v>
      </c>
      <c r="C448" s="3" t="s">
        <v>65</v>
      </c>
      <c r="D448" s="14">
        <v>14597.074835304187</v>
      </c>
      <c r="E448" s="14">
        <v>15742.568461825351</v>
      </c>
      <c r="F448" s="14">
        <v>23692.881756781935</v>
      </c>
      <c r="G448" s="14">
        <v>18923.773890589895</v>
      </c>
      <c r="H448" s="14">
        <v>20172.594241871298</v>
      </c>
      <c r="I448" s="14">
        <v>8573.9555244490111</v>
      </c>
      <c r="J448" s="14">
        <v>3812.5523673589551</v>
      </c>
      <c r="K448" s="14">
        <v>489.17367982379977</v>
      </c>
      <c r="L448" s="14">
        <v>0</v>
      </c>
      <c r="M448" s="14">
        <v>0</v>
      </c>
      <c r="N448" s="14">
        <v>0</v>
      </c>
    </row>
    <row r="449" spans="1:14" x14ac:dyDescent="0.3">
      <c r="A449" s="3" t="str">
        <f>INDEX('R1. Scenario specifications'!$C$11:$C$49,MATCH($B449,'R1. Scenario specifications'!$A$11:$A$49,0))</f>
        <v>Current 1.75DS, 2030 start, 'Expect the Unexpected' but with cheap energy efficiency</v>
      </c>
      <c r="B449" s="3" t="s">
        <v>42</v>
      </c>
      <c r="C449" s="3" t="s">
        <v>74</v>
      </c>
      <c r="D449" s="14">
        <v>0</v>
      </c>
      <c r="E449" s="14">
        <v>0</v>
      </c>
      <c r="F449" s="14">
        <v>0</v>
      </c>
      <c r="G449" s="14">
        <v>0</v>
      </c>
      <c r="H449" s="14">
        <v>0</v>
      </c>
      <c r="I449" s="14">
        <v>183.89871318013161</v>
      </c>
      <c r="J449" s="14">
        <v>1871.4408895630704</v>
      </c>
      <c r="K449" s="14">
        <v>1427.0295086073611</v>
      </c>
      <c r="L449" s="14">
        <v>2492.4463195679186</v>
      </c>
      <c r="M449" s="14">
        <v>4595.9959071771018</v>
      </c>
      <c r="N449" s="14">
        <v>5093.2678865343651</v>
      </c>
    </row>
    <row r="450" spans="1:14" x14ac:dyDescent="0.3">
      <c r="A450" s="3" t="str">
        <f>INDEX('R1. Scenario specifications'!$C$11:$C$49,MATCH($B450,'R1. Scenario specifications'!$A$11:$A$49,0))</f>
        <v>Current 1.75DS, 2030 start, 'Expect the Unexpected' but with cheap energy efficiency</v>
      </c>
      <c r="B450" s="3" t="s">
        <v>42</v>
      </c>
      <c r="C450" s="3" t="s">
        <v>66</v>
      </c>
      <c r="D450" s="14">
        <v>202.4480216544064</v>
      </c>
      <c r="E450" s="14">
        <v>194.35225063586262</v>
      </c>
      <c r="F450" s="14">
        <v>2690.096097794773</v>
      </c>
      <c r="G450" s="14">
        <v>4149.3454146666118</v>
      </c>
      <c r="H450" s="14">
        <v>5633.2350594510463</v>
      </c>
      <c r="I450" s="14">
        <v>8656.4615202601635</v>
      </c>
      <c r="J450" s="14">
        <v>16039.826300724715</v>
      </c>
      <c r="K450" s="14">
        <v>15019.7138364445</v>
      </c>
      <c r="L450" s="14">
        <v>16261.175772135264</v>
      </c>
      <c r="M450" s="14">
        <v>17189.987651201023</v>
      </c>
      <c r="N450" s="14">
        <v>17572.185648977953</v>
      </c>
    </row>
    <row r="451" spans="1:14" x14ac:dyDescent="0.3">
      <c r="A451" s="3" t="str">
        <f>INDEX('R1. Scenario specifications'!$C$11:$C$49,MATCH($B451,'R1. Scenario specifications'!$A$11:$A$49,0))</f>
        <v>Current 1.75DS, 2030 start, 'Expect the Unexpected' but with cheap energy efficiency</v>
      </c>
      <c r="B451" s="3" t="s">
        <v>42</v>
      </c>
      <c r="C451" s="3" t="s">
        <v>67</v>
      </c>
      <c r="D451" s="14">
        <v>10255.125599999996</v>
      </c>
      <c r="E451" s="14">
        <v>10349.477981293301</v>
      </c>
      <c r="F451" s="14">
        <v>14634.999767850808</v>
      </c>
      <c r="G451" s="14">
        <v>17168.548108229523</v>
      </c>
      <c r="H451" s="14">
        <v>19617.739587055581</v>
      </c>
      <c r="I451" s="14">
        <v>25201.445895567958</v>
      </c>
      <c r="J451" s="14">
        <v>27571.862985799675</v>
      </c>
      <c r="K451" s="14">
        <v>28442.580003979678</v>
      </c>
      <c r="L451" s="14">
        <v>30799.805923829474</v>
      </c>
      <c r="M451" s="14">
        <v>34256.82797698932</v>
      </c>
      <c r="N451" s="14">
        <v>35471.115290270536</v>
      </c>
    </row>
    <row r="452" spans="1:14" x14ac:dyDescent="0.3">
      <c r="A452" s="3" t="str">
        <f>INDEX('R1. Scenario specifications'!$C$11:$C$49,MATCH($B452,'R1. Scenario specifications'!$A$11:$A$49,0))</f>
        <v>Current 1.75DS, 2030 start, 'Expect the Unexpected' but with cheap energy efficiency</v>
      </c>
      <c r="B452" s="3" t="s">
        <v>42</v>
      </c>
      <c r="C452" s="3" t="s">
        <v>68</v>
      </c>
      <c r="D452" s="14">
        <v>9499.4101148835834</v>
      </c>
      <c r="E452" s="14">
        <v>9854.768593125913</v>
      </c>
      <c r="F452" s="14">
        <v>13753.197500000002</v>
      </c>
      <c r="G452" s="14">
        <v>14514.167854150606</v>
      </c>
      <c r="H452" s="14">
        <v>15191.631806438927</v>
      </c>
      <c r="I452" s="14">
        <v>23054.589344872682</v>
      </c>
      <c r="J452" s="14">
        <v>29865.387834399095</v>
      </c>
      <c r="K452" s="14">
        <v>31781.392870893189</v>
      </c>
      <c r="L452" s="14">
        <v>34918.789850431662</v>
      </c>
      <c r="M452" s="14">
        <v>37493.72199954425</v>
      </c>
      <c r="N452" s="14">
        <v>39307.898370938514</v>
      </c>
    </row>
    <row r="453" spans="1:14" x14ac:dyDescent="0.3">
      <c r="A453" s="3" t="str">
        <f>INDEX('R1. Scenario specifications'!$C$11:$C$49,MATCH($B453,'R1. Scenario specifications'!$A$11:$A$49,0))</f>
        <v>Current 1.75DS, 2030 start, 'Expect the Unexpected' but with cheap energy efficiency</v>
      </c>
      <c r="B453" s="3" t="s">
        <v>42</v>
      </c>
      <c r="C453" s="3" t="s">
        <v>69</v>
      </c>
      <c r="D453" s="14">
        <v>2379.5369238501598</v>
      </c>
      <c r="E453" s="14">
        <v>2356.8190162179026</v>
      </c>
      <c r="F453" s="14">
        <v>2308.8771400062938</v>
      </c>
      <c r="G453" s="14">
        <v>1516.5761695611868</v>
      </c>
      <c r="H453" s="14">
        <v>735.79214155908937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</row>
    <row r="454" spans="1:14" x14ac:dyDescent="0.3">
      <c r="A454" s="3" t="str">
        <f>INDEX('R1. Scenario specifications'!$C$11:$C$49,MATCH($B454,'R1. Scenario specifications'!$A$11:$A$49,0))</f>
        <v>Current 1.75DS, 2030 start, 'Expect the Unexpected' but with cheap energy efficiency</v>
      </c>
      <c r="B454" s="3" t="s">
        <v>42</v>
      </c>
      <c r="C454" s="3" t="s">
        <v>70</v>
      </c>
      <c r="D454" s="14">
        <v>67.937052631788802</v>
      </c>
      <c r="E454" s="14">
        <v>458.66984800047192</v>
      </c>
      <c r="F454" s="14">
        <v>917.48161125092997</v>
      </c>
      <c r="G454" s="14">
        <v>2670.3548260954558</v>
      </c>
      <c r="H454" s="14">
        <v>10870.605057566898</v>
      </c>
      <c r="I454" s="14">
        <v>24125.369742572464</v>
      </c>
      <c r="J454" s="14">
        <v>37453.306298722469</v>
      </c>
      <c r="K454" s="14">
        <v>46035.128332511762</v>
      </c>
      <c r="L454" s="14">
        <v>63019.614245937744</v>
      </c>
      <c r="M454" s="14">
        <v>81313.668493367149</v>
      </c>
      <c r="N454" s="14">
        <v>95384.931697684544</v>
      </c>
    </row>
    <row r="455" spans="1:14" x14ac:dyDescent="0.3">
      <c r="A455" s="3" t="str">
        <f>INDEX('R1. Scenario specifications'!$C$11:$C$49,MATCH($B455,'R1. Scenario specifications'!$A$11:$A$49,0))</f>
        <v>Current 1.75DS, 2030 start, 'Expect the Unexpected' but with cheap energy efficiency</v>
      </c>
      <c r="B455" s="3" t="s">
        <v>42</v>
      </c>
      <c r="C455" s="3" t="s">
        <v>71</v>
      </c>
      <c r="D455" s="14">
        <v>0.68787021919935687</v>
      </c>
      <c r="E455" s="14">
        <v>0.6257617671977489</v>
      </c>
      <c r="F455" s="14">
        <v>0.52638824399517514</v>
      </c>
      <c r="G455" s="14">
        <v>0.35092549599678308</v>
      </c>
      <c r="H455" s="14">
        <v>0.17546274799839201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</row>
    <row r="456" spans="1:14" x14ac:dyDescent="0.3">
      <c r="A456" s="3" t="str">
        <f>INDEX('R1. Scenario specifications'!$C$11:$C$49,MATCH($B456,'R1. Scenario specifications'!$A$11:$A$49,0))</f>
        <v>Current 1.75DS, 2030 start, 'Expect the Unexpected' but with cheap energy efficiency</v>
      </c>
      <c r="B456" s="3" t="s">
        <v>42</v>
      </c>
      <c r="C456" s="3" t="s">
        <v>75</v>
      </c>
      <c r="D456" s="14">
        <v>1.963099940637433</v>
      </c>
      <c r="E456" s="14">
        <v>1.7858497922310126</v>
      </c>
      <c r="F456" s="14">
        <v>1.5022495547807513</v>
      </c>
      <c r="G456" s="14">
        <v>1.0014997031871682</v>
      </c>
      <c r="H456" s="14">
        <v>0.50074985159358421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</row>
    <row r="457" spans="1:14" x14ac:dyDescent="0.3">
      <c r="A457" s="3" t="str">
        <f>INDEX('R1. Scenario specifications'!$C$11:$C$49,MATCH($B457,'R1. Scenario specifications'!$A$11:$A$49,0))</f>
        <v>Current 1.75DS, 2030 start, 'Expect the Unexpected' but with cheap energy efficiency</v>
      </c>
      <c r="B457" s="3" t="s">
        <v>42</v>
      </c>
      <c r="C457" s="3" t="s">
        <v>72</v>
      </c>
      <c r="D457" s="14">
        <v>1517.4635089937533</v>
      </c>
      <c r="E457" s="14">
        <v>1704.9418897085425</v>
      </c>
      <c r="F457" s="14">
        <v>2685.5545190640855</v>
      </c>
      <c r="G457" s="14">
        <v>10882.32058635127</v>
      </c>
      <c r="H457" s="14">
        <v>26197.34904533016</v>
      </c>
      <c r="I457" s="14">
        <v>32678.24608128213</v>
      </c>
      <c r="J457" s="14">
        <v>50852.069095025246</v>
      </c>
      <c r="K457" s="14">
        <v>63687.278716971952</v>
      </c>
      <c r="L457" s="14">
        <v>94397.838715365113</v>
      </c>
      <c r="M457" s="14">
        <v>132599.12156369686</v>
      </c>
      <c r="N457" s="14">
        <v>166233.91414545765</v>
      </c>
    </row>
    <row r="458" spans="1:14" x14ac:dyDescent="0.3">
      <c r="A458" s="3" t="str">
        <f>INDEX('R1. Scenario specifications'!$C$11:$C$49,MATCH($B458,'R1. Scenario specifications'!$A$11:$A$49,0))</f>
        <v>Current 1.75DS, 2020 start, 'Expect the Unexpected' but with most conservative biomass CCS / NET technology cost assumptions</v>
      </c>
      <c r="B458" s="3" t="s">
        <v>43</v>
      </c>
      <c r="C458" s="3" t="s">
        <v>63</v>
      </c>
      <c r="D458" s="14">
        <v>225.44707509197985</v>
      </c>
      <c r="E458" s="14">
        <v>432.13326707926797</v>
      </c>
      <c r="F458" s="14">
        <v>2791.4850951746125</v>
      </c>
      <c r="G458" s="14">
        <v>11991.080349441361</v>
      </c>
      <c r="H458" s="14">
        <v>12177.869653821681</v>
      </c>
      <c r="I458" s="14">
        <v>7163.2259526880052</v>
      </c>
      <c r="J458" s="14">
        <v>312.05040277782552</v>
      </c>
      <c r="K458" s="14">
        <v>57.794639540725896</v>
      </c>
      <c r="L458" s="14">
        <v>76.554937276459299</v>
      </c>
      <c r="M458" s="14">
        <v>74.060886922236307</v>
      </c>
      <c r="N458" s="14">
        <v>71.288350405200404</v>
      </c>
    </row>
    <row r="459" spans="1:14" x14ac:dyDescent="0.3">
      <c r="A459" s="3" t="str">
        <f>INDEX('R1. Scenario specifications'!$C$11:$C$49,MATCH($B459,'R1. Scenario specifications'!$A$11:$A$49,0))</f>
        <v>Current 1.75DS, 2020 start, 'Expect the Unexpected' but with most conservative biomass CCS / NET technology cost assumptions</v>
      </c>
      <c r="B459" s="3" t="s">
        <v>43</v>
      </c>
      <c r="C459" s="3" t="s">
        <v>73</v>
      </c>
      <c r="D459" s="14">
        <v>0</v>
      </c>
      <c r="E459" s="14">
        <v>0</v>
      </c>
      <c r="F459" s="14">
        <v>0</v>
      </c>
      <c r="G459" s="14">
        <v>360.14101733289516</v>
      </c>
      <c r="H459" s="14">
        <v>2405.7102773614729</v>
      </c>
      <c r="I459" s="14">
        <v>10856.171693527989</v>
      </c>
      <c r="J459" s="14">
        <v>37482.310094550092</v>
      </c>
      <c r="K459" s="14">
        <v>62802.895300353091</v>
      </c>
      <c r="L459" s="14">
        <v>78650.718126404536</v>
      </c>
      <c r="M459" s="14">
        <v>90975.469946241938</v>
      </c>
      <c r="N459" s="14">
        <v>97124.356517358552</v>
      </c>
    </row>
    <row r="460" spans="1:14" x14ac:dyDescent="0.3">
      <c r="A460" s="3" t="str">
        <f>INDEX('R1. Scenario specifications'!$C$11:$C$49,MATCH($B460,'R1. Scenario specifications'!$A$11:$A$49,0))</f>
        <v>Current 1.75DS, 2020 start, 'Expect the Unexpected' but with most conservative biomass CCS / NET technology cost assumptions</v>
      </c>
      <c r="B460" s="3" t="s">
        <v>43</v>
      </c>
      <c r="C460" s="3" t="s">
        <v>64</v>
      </c>
      <c r="D460" s="14">
        <v>33040.313548549595</v>
      </c>
      <c r="E460" s="14">
        <v>42259.332050485427</v>
      </c>
      <c r="F460" s="14">
        <v>32172.508335863538</v>
      </c>
      <c r="G460" s="14">
        <v>15644.630226736397</v>
      </c>
      <c r="H460" s="14">
        <v>956.11085864165534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</row>
    <row r="461" spans="1:14" x14ac:dyDescent="0.3">
      <c r="A461" s="3" t="str">
        <f>INDEX('R1. Scenario specifications'!$C$11:$C$49,MATCH($B461,'R1. Scenario specifications'!$A$11:$A$49,0))</f>
        <v>Current 1.75DS, 2020 start, 'Expect the Unexpected' but with most conservative biomass CCS / NET technology cost assumptions</v>
      </c>
      <c r="B461" s="3" t="s">
        <v>43</v>
      </c>
      <c r="C461" s="3" t="s">
        <v>65</v>
      </c>
      <c r="D461" s="14">
        <v>14597.074835304187</v>
      </c>
      <c r="E461" s="14">
        <v>15742.568461825351</v>
      </c>
      <c r="F461" s="14">
        <v>23692.881756781935</v>
      </c>
      <c r="G461" s="14">
        <v>19525.492077547329</v>
      </c>
      <c r="H461" s="14">
        <v>16133.201866231897</v>
      </c>
      <c r="I461" s="14">
        <v>9266.8201435570572</v>
      </c>
      <c r="J461" s="14">
        <v>2671.7353272788087</v>
      </c>
      <c r="K461" s="14">
        <v>458.3058526522513</v>
      </c>
      <c r="L461" s="14">
        <v>0</v>
      </c>
      <c r="M461" s="14">
        <v>0</v>
      </c>
      <c r="N461" s="14">
        <v>0</v>
      </c>
    </row>
    <row r="462" spans="1:14" x14ac:dyDescent="0.3">
      <c r="A462" s="3" t="str">
        <f>INDEX('R1. Scenario specifications'!$C$11:$C$49,MATCH($B462,'R1. Scenario specifications'!$A$11:$A$49,0))</f>
        <v>Current 1.75DS, 2020 start, 'Expect the Unexpected' but with most conservative biomass CCS / NET technology cost assumptions</v>
      </c>
      <c r="B462" s="3" t="s">
        <v>43</v>
      </c>
      <c r="C462" s="3" t="s">
        <v>74</v>
      </c>
      <c r="D462" s="14">
        <v>0</v>
      </c>
      <c r="E462" s="14">
        <v>0</v>
      </c>
      <c r="F462" s="14">
        <v>0</v>
      </c>
      <c r="G462" s="14">
        <v>28.393838107200004</v>
      </c>
      <c r="H462" s="14">
        <v>71.308725308416356</v>
      </c>
      <c r="I462" s="14">
        <v>2107.4948975894345</v>
      </c>
      <c r="J462" s="14">
        <v>4349.701841090684</v>
      </c>
      <c r="K462" s="14">
        <v>5363.09941234704</v>
      </c>
      <c r="L462" s="14">
        <v>11196.715642547329</v>
      </c>
      <c r="M462" s="14">
        <v>12282.641394507911</v>
      </c>
      <c r="N462" s="14">
        <v>11318.915117534807</v>
      </c>
    </row>
    <row r="463" spans="1:14" x14ac:dyDescent="0.3">
      <c r="A463" s="3" t="str">
        <f>INDEX('R1. Scenario specifications'!$C$11:$C$49,MATCH($B463,'R1. Scenario specifications'!$A$11:$A$49,0))</f>
        <v>Current 1.75DS, 2020 start, 'Expect the Unexpected' but with most conservative biomass CCS / NET technology cost assumptions</v>
      </c>
      <c r="B463" s="3" t="s">
        <v>43</v>
      </c>
      <c r="C463" s="3" t="s">
        <v>66</v>
      </c>
      <c r="D463" s="14">
        <v>202.4480216544064</v>
      </c>
      <c r="E463" s="14">
        <v>194.35225063586262</v>
      </c>
      <c r="F463" s="14">
        <v>2690.096097794773</v>
      </c>
      <c r="G463" s="14">
        <v>4159.862749522521</v>
      </c>
      <c r="H463" s="14">
        <v>6080.1848739637444</v>
      </c>
      <c r="I463" s="14">
        <v>10418.473537249763</v>
      </c>
      <c r="J463" s="14">
        <v>12807.518823148406</v>
      </c>
      <c r="K463" s="14">
        <v>14949.152352543933</v>
      </c>
      <c r="L463" s="14">
        <v>20906.318734693006</v>
      </c>
      <c r="M463" s="14">
        <v>24721.993194276394</v>
      </c>
      <c r="N463" s="14">
        <v>26490.827958220576</v>
      </c>
    </row>
    <row r="464" spans="1:14" x14ac:dyDescent="0.3">
      <c r="A464" s="3" t="str">
        <f>INDEX('R1. Scenario specifications'!$C$11:$C$49,MATCH($B464,'R1. Scenario specifications'!$A$11:$A$49,0))</f>
        <v>Current 1.75DS, 2020 start, 'Expect the Unexpected' but with most conservative biomass CCS / NET technology cost assumptions</v>
      </c>
      <c r="B464" s="3" t="s">
        <v>43</v>
      </c>
      <c r="C464" s="3" t="s">
        <v>67</v>
      </c>
      <c r="D464" s="14">
        <v>10255.125599999996</v>
      </c>
      <c r="E464" s="14">
        <v>10349.477981293301</v>
      </c>
      <c r="F464" s="14">
        <v>14634.999767850808</v>
      </c>
      <c r="G464" s="14">
        <v>17756.703045780196</v>
      </c>
      <c r="H464" s="14">
        <v>21883.078281095157</v>
      </c>
      <c r="I464" s="14">
        <v>25555.273851748836</v>
      </c>
      <c r="J464" s="14">
        <v>27170.199094900712</v>
      </c>
      <c r="K464" s="14">
        <v>29406.599056660336</v>
      </c>
      <c r="L464" s="14">
        <v>33780.784439662413</v>
      </c>
      <c r="M464" s="14">
        <v>37088.576037187828</v>
      </c>
      <c r="N464" s="14">
        <v>38611.561661081112</v>
      </c>
    </row>
    <row r="465" spans="1:14" x14ac:dyDescent="0.3">
      <c r="A465" s="3" t="str">
        <f>INDEX('R1. Scenario specifications'!$C$11:$C$49,MATCH($B465,'R1. Scenario specifications'!$A$11:$A$49,0))</f>
        <v>Current 1.75DS, 2020 start, 'Expect the Unexpected' but with most conservative biomass CCS / NET technology cost assumptions</v>
      </c>
      <c r="B465" s="3" t="s">
        <v>43</v>
      </c>
      <c r="C465" s="3" t="s">
        <v>68</v>
      </c>
      <c r="D465" s="14">
        <v>9499.4101148835834</v>
      </c>
      <c r="E465" s="14">
        <v>9854.768593125913</v>
      </c>
      <c r="F465" s="14">
        <v>13753.197500000002</v>
      </c>
      <c r="G465" s="14">
        <v>14514.167854150604</v>
      </c>
      <c r="H465" s="14">
        <v>17132.08644893012</v>
      </c>
      <c r="I465" s="14">
        <v>24682.787088847261</v>
      </c>
      <c r="J465" s="14">
        <v>29205.954187279647</v>
      </c>
      <c r="K465" s="14">
        <v>33194.0287476546</v>
      </c>
      <c r="L465" s="14">
        <v>36349.660635270797</v>
      </c>
      <c r="M465" s="14">
        <v>38453.579999999994</v>
      </c>
      <c r="N465" s="14">
        <v>38692.006158029617</v>
      </c>
    </row>
    <row r="466" spans="1:14" x14ac:dyDescent="0.3">
      <c r="A466" s="3" t="str">
        <f>INDEX('R1. Scenario specifications'!$C$11:$C$49,MATCH($B466,'R1. Scenario specifications'!$A$11:$A$49,0))</f>
        <v>Current 1.75DS, 2020 start, 'Expect the Unexpected' but with most conservative biomass CCS / NET technology cost assumptions</v>
      </c>
      <c r="B466" s="3" t="s">
        <v>43</v>
      </c>
      <c r="C466" s="3" t="s">
        <v>69</v>
      </c>
      <c r="D466" s="14">
        <v>2379.5369238501598</v>
      </c>
      <c r="E466" s="14">
        <v>2356.8190162179026</v>
      </c>
      <c r="F466" s="14">
        <v>2308.8771400062938</v>
      </c>
      <c r="G466" s="14">
        <v>1503.8223551611868</v>
      </c>
      <c r="H466" s="14">
        <v>734.1545938257558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</row>
    <row r="467" spans="1:14" x14ac:dyDescent="0.3">
      <c r="A467" s="3" t="str">
        <f>INDEX('R1. Scenario specifications'!$C$11:$C$49,MATCH($B467,'R1. Scenario specifications'!$A$11:$A$49,0))</f>
        <v>Current 1.75DS, 2020 start, 'Expect the Unexpected' but with most conservative biomass CCS / NET technology cost assumptions</v>
      </c>
      <c r="B467" s="3" t="s">
        <v>43</v>
      </c>
      <c r="C467" s="3" t="s">
        <v>70</v>
      </c>
      <c r="D467" s="14">
        <v>67.937052631788802</v>
      </c>
      <c r="E467" s="14">
        <v>458.66984800047192</v>
      </c>
      <c r="F467" s="14">
        <v>917.48161125092997</v>
      </c>
      <c r="G467" s="14">
        <v>4266.8464140650967</v>
      </c>
      <c r="H467" s="14">
        <v>15803.587152859158</v>
      </c>
      <c r="I467" s="14">
        <v>25769.292883844075</v>
      </c>
      <c r="J467" s="14">
        <v>34715.972230113359</v>
      </c>
      <c r="K467" s="14">
        <v>54588.018969659621</v>
      </c>
      <c r="L467" s="14">
        <v>89763.143184594868</v>
      </c>
      <c r="M467" s="14">
        <v>111878.69460018368</v>
      </c>
      <c r="N467" s="14">
        <v>121929.8904858535</v>
      </c>
    </row>
    <row r="468" spans="1:14" x14ac:dyDescent="0.3">
      <c r="A468" s="3" t="str">
        <f>INDEX('R1. Scenario specifications'!$C$11:$C$49,MATCH($B468,'R1. Scenario specifications'!$A$11:$A$49,0))</f>
        <v>Current 1.75DS, 2020 start, 'Expect the Unexpected' but with most conservative biomass CCS / NET technology cost assumptions</v>
      </c>
      <c r="B468" s="3" t="s">
        <v>43</v>
      </c>
      <c r="C468" s="3" t="s">
        <v>71</v>
      </c>
      <c r="D468" s="14">
        <v>0.68787021919935687</v>
      </c>
      <c r="E468" s="14">
        <v>0.6257617671977489</v>
      </c>
      <c r="F468" s="14">
        <v>0.52638824399517514</v>
      </c>
      <c r="G468" s="14">
        <v>0.35092549599678308</v>
      </c>
      <c r="H468" s="14">
        <v>0.17546274799839173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</row>
    <row r="469" spans="1:14" x14ac:dyDescent="0.3">
      <c r="A469" s="3" t="str">
        <f>INDEX('R1. Scenario specifications'!$C$11:$C$49,MATCH($B469,'R1. Scenario specifications'!$A$11:$A$49,0))</f>
        <v>Current 1.75DS, 2020 start, 'Expect the Unexpected' but with most conservative biomass CCS / NET technology cost assumptions</v>
      </c>
      <c r="B469" s="3" t="s">
        <v>43</v>
      </c>
      <c r="C469" s="3" t="s">
        <v>75</v>
      </c>
      <c r="D469" s="14">
        <v>1.963099940637433</v>
      </c>
      <c r="E469" s="14">
        <v>1.7858497922310126</v>
      </c>
      <c r="F469" s="14">
        <v>1.5022495547807513</v>
      </c>
      <c r="G469" s="14">
        <v>1.0014997031871682</v>
      </c>
      <c r="H469" s="14">
        <v>0.50074985159358421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</row>
    <row r="470" spans="1:14" x14ac:dyDescent="0.3">
      <c r="A470" s="3" t="str">
        <f>INDEX('R1. Scenario specifications'!$C$11:$C$49,MATCH($B470,'R1. Scenario specifications'!$A$11:$A$49,0))</f>
        <v>Current 1.75DS, 2020 start, 'Expect the Unexpected' but with most conservative biomass CCS / NET technology cost assumptions</v>
      </c>
      <c r="B470" s="3" t="s">
        <v>43</v>
      </c>
      <c r="C470" s="3" t="s">
        <v>72</v>
      </c>
      <c r="D470" s="14">
        <v>1517.4635089937533</v>
      </c>
      <c r="E470" s="14">
        <v>1704.9418897085425</v>
      </c>
      <c r="F470" s="14">
        <v>2685.5545190640855</v>
      </c>
      <c r="G470" s="14">
        <v>12675.962239976645</v>
      </c>
      <c r="H470" s="14">
        <v>27692.15569372625</v>
      </c>
      <c r="I470" s="14">
        <v>36592.55236306577</v>
      </c>
      <c r="J470" s="14">
        <v>51051.241415092067</v>
      </c>
      <c r="K470" s="14">
        <v>77700.759720455157</v>
      </c>
      <c r="L470" s="14">
        <v>125869.93552379917</v>
      </c>
      <c r="M470" s="14">
        <v>170764.5552964161</v>
      </c>
      <c r="N470" s="14">
        <v>204918.80789863714</v>
      </c>
    </row>
    <row r="471" spans="1:14" x14ac:dyDescent="0.3">
      <c r="A471" s="3" t="str">
        <f>INDEX('R1. Scenario specifications'!$C$11:$C$49,MATCH($B471,'R1. Scenario specifications'!$A$11:$A$49,0))</f>
        <v>Current 2DS, 2020 start, 'Expect the unexpceted' but with expensive renewables (cheap CCS)</v>
      </c>
      <c r="B471" s="3" t="s">
        <v>1026</v>
      </c>
      <c r="C471" s="3" t="s">
        <v>63</v>
      </c>
      <c r="D471" s="14">
        <v>225.44707509197985</v>
      </c>
      <c r="E471" s="14">
        <v>432.13326707926797</v>
      </c>
      <c r="F471" s="14">
        <v>2791.4850951746125</v>
      </c>
      <c r="G471" s="14">
        <v>13190.534369301979</v>
      </c>
      <c r="H471" s="14">
        <v>17295.892182142674</v>
      </c>
      <c r="I471" s="14">
        <v>17927.928136277074</v>
      </c>
      <c r="J471" s="14">
        <v>8094.3537055327242</v>
      </c>
      <c r="K471" s="14">
        <v>1814.1618792546592</v>
      </c>
      <c r="L471" s="14">
        <v>300.94057949221713</v>
      </c>
      <c r="M471" s="14">
        <v>364.20692064618345</v>
      </c>
      <c r="N471" s="14">
        <v>187.36353548865424</v>
      </c>
    </row>
    <row r="472" spans="1:14" x14ac:dyDescent="0.3">
      <c r="A472" s="3" t="str">
        <f>INDEX('R1. Scenario specifications'!$C$11:$C$49,MATCH($B472,'R1. Scenario specifications'!$A$11:$A$49,0))</f>
        <v>Current 2DS, 2020 start, 'Expect the unexpceted' but with expensive renewables (cheap CCS)</v>
      </c>
      <c r="B472" s="3" t="s">
        <v>1026</v>
      </c>
      <c r="C472" s="3" t="s">
        <v>73</v>
      </c>
      <c r="D472" s="14">
        <v>0</v>
      </c>
      <c r="E472" s="14">
        <v>0</v>
      </c>
      <c r="F472" s="14">
        <v>0</v>
      </c>
      <c r="G472" s="14">
        <v>171.18983492352436</v>
      </c>
      <c r="H472" s="14">
        <v>1391.8203316130805</v>
      </c>
      <c r="I472" s="14">
        <v>7207.6749135138871</v>
      </c>
      <c r="J472" s="14">
        <v>28335.543249814844</v>
      </c>
      <c r="K472" s="14">
        <v>52395.705881614143</v>
      </c>
      <c r="L472" s="14">
        <v>62508.806832432732</v>
      </c>
      <c r="M472" s="14">
        <v>75190.324364486456</v>
      </c>
      <c r="N472" s="14">
        <v>87724.23172947143</v>
      </c>
    </row>
    <row r="473" spans="1:14" x14ac:dyDescent="0.3">
      <c r="A473" s="3" t="str">
        <f>INDEX('R1. Scenario specifications'!$C$11:$C$49,MATCH($B473,'R1. Scenario specifications'!$A$11:$A$49,0))</f>
        <v>Current 2DS, 2020 start, 'Expect the unexpceted' but with expensive renewables (cheap CCS)</v>
      </c>
      <c r="B473" s="3" t="s">
        <v>1026</v>
      </c>
      <c r="C473" s="3" t="s">
        <v>64</v>
      </c>
      <c r="D473" s="14">
        <v>33040.313548549595</v>
      </c>
      <c r="E473" s="14">
        <v>42259.332050485427</v>
      </c>
      <c r="F473" s="14">
        <v>32172.508335863538</v>
      </c>
      <c r="G473" s="14">
        <v>19799.038818902387</v>
      </c>
      <c r="H473" s="14">
        <v>5288.8585963169144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</row>
    <row r="474" spans="1:14" x14ac:dyDescent="0.3">
      <c r="A474" s="3" t="str">
        <f>INDEX('R1. Scenario specifications'!$C$11:$C$49,MATCH($B474,'R1. Scenario specifications'!$A$11:$A$49,0))</f>
        <v>Current 2DS, 2020 start, 'Expect the unexpceted' but with expensive renewables (cheap CCS)</v>
      </c>
      <c r="B474" s="3" t="s">
        <v>1026</v>
      </c>
      <c r="C474" s="3" t="s">
        <v>65</v>
      </c>
      <c r="D474" s="14">
        <v>14597.074835304187</v>
      </c>
      <c r="E474" s="14">
        <v>15742.568461825351</v>
      </c>
      <c r="F474" s="14">
        <v>23692.881756781935</v>
      </c>
      <c r="G474" s="14">
        <v>21539.304253819657</v>
      </c>
      <c r="H474" s="14">
        <v>23185.530281869091</v>
      </c>
      <c r="I474" s="14">
        <v>21941.850592608476</v>
      </c>
      <c r="J474" s="14">
        <v>16003.048221433612</v>
      </c>
      <c r="K474" s="14">
        <v>3544.8585526015181</v>
      </c>
      <c r="L474" s="14">
        <v>67.032637035848396</v>
      </c>
      <c r="M474" s="14">
        <v>0</v>
      </c>
      <c r="N474" s="14">
        <v>0</v>
      </c>
    </row>
    <row r="475" spans="1:14" x14ac:dyDescent="0.3">
      <c r="A475" s="3" t="str">
        <f>INDEX('R1. Scenario specifications'!$C$11:$C$49,MATCH($B475,'R1. Scenario specifications'!$A$11:$A$49,0))</f>
        <v>Current 2DS, 2020 start, 'Expect the unexpceted' but with expensive renewables (cheap CCS)</v>
      </c>
      <c r="B475" s="3" t="s">
        <v>1026</v>
      </c>
      <c r="C475" s="3" t="s">
        <v>74</v>
      </c>
      <c r="D475" s="14">
        <v>0</v>
      </c>
      <c r="E475" s="14">
        <v>0</v>
      </c>
      <c r="F475" s="14">
        <v>0</v>
      </c>
      <c r="G475" s="14">
        <v>212.03999999999991</v>
      </c>
      <c r="H475" s="14">
        <v>429.66000000000065</v>
      </c>
      <c r="I475" s="14">
        <v>993.23999999999933</v>
      </c>
      <c r="J475" s="14">
        <v>1624.1866629603564</v>
      </c>
      <c r="K475" s="14">
        <v>6771.7910009415682</v>
      </c>
      <c r="L475" s="14">
        <v>9678.6876003683683</v>
      </c>
      <c r="M475" s="14">
        <v>10502.036584765348</v>
      </c>
      <c r="N475" s="14">
        <v>24661.593047726925</v>
      </c>
    </row>
    <row r="476" spans="1:14" x14ac:dyDescent="0.3">
      <c r="A476" s="3" t="str">
        <f>INDEX('R1. Scenario specifications'!$C$11:$C$49,MATCH($B476,'R1. Scenario specifications'!$A$11:$A$49,0))</f>
        <v>Current 2DS, 2020 start, 'Expect the unexpceted' but with expensive renewables (cheap CCS)</v>
      </c>
      <c r="B476" s="3" t="s">
        <v>1026</v>
      </c>
      <c r="C476" s="3" t="s">
        <v>66</v>
      </c>
      <c r="D476" s="14">
        <v>202.4480216544064</v>
      </c>
      <c r="E476" s="14">
        <v>194.35225063586262</v>
      </c>
      <c r="F476" s="14">
        <v>2690.096097794773</v>
      </c>
      <c r="G476" s="14">
        <v>4159.862749522521</v>
      </c>
      <c r="H476" s="14">
        <v>5654.267878807741</v>
      </c>
      <c r="I476" s="14">
        <v>8959.8090632159146</v>
      </c>
      <c r="J476" s="14">
        <v>18022.053169960069</v>
      </c>
      <c r="K476" s="14">
        <v>18736.847715358745</v>
      </c>
      <c r="L476" s="14">
        <v>20469.294767081934</v>
      </c>
      <c r="M476" s="14">
        <v>29496.684297020416</v>
      </c>
      <c r="N476" s="14">
        <v>30140.309018049513</v>
      </c>
    </row>
    <row r="477" spans="1:14" x14ac:dyDescent="0.3">
      <c r="A477" s="3" t="str">
        <f>INDEX('R1. Scenario specifications'!$C$11:$C$49,MATCH($B477,'R1. Scenario specifications'!$A$11:$A$49,0))</f>
        <v>Current 2DS, 2020 start, 'Expect the unexpceted' but with expensive renewables (cheap CCS)</v>
      </c>
      <c r="B477" s="3" t="s">
        <v>1026</v>
      </c>
      <c r="C477" s="3" t="s">
        <v>67</v>
      </c>
      <c r="D477" s="14">
        <v>10255.125599999996</v>
      </c>
      <c r="E477" s="14">
        <v>10349.477981293301</v>
      </c>
      <c r="F477" s="14">
        <v>14634.999767850808</v>
      </c>
      <c r="G477" s="14">
        <v>17614.010712870448</v>
      </c>
      <c r="H477" s="14">
        <v>21643.423197472261</v>
      </c>
      <c r="I477" s="14">
        <v>25846.336496137708</v>
      </c>
      <c r="J477" s="14">
        <v>28359.045854255695</v>
      </c>
      <c r="K477" s="14">
        <v>32980.264947615258</v>
      </c>
      <c r="L477" s="14">
        <v>39148.134489908472</v>
      </c>
      <c r="M477" s="14">
        <v>50297.049692253211</v>
      </c>
      <c r="N477" s="14">
        <v>57929.693386992294</v>
      </c>
    </row>
    <row r="478" spans="1:14" x14ac:dyDescent="0.3">
      <c r="A478" s="3" t="str">
        <f>INDEX('R1. Scenario specifications'!$C$11:$C$49,MATCH($B478,'R1. Scenario specifications'!$A$11:$A$49,0))</f>
        <v>Current 2DS, 2020 start, 'Expect the unexpceted' but with expensive renewables (cheap CCS)</v>
      </c>
      <c r="B478" s="3" t="s">
        <v>1026</v>
      </c>
      <c r="C478" s="3" t="s">
        <v>68</v>
      </c>
      <c r="D478" s="14">
        <v>9499.4101148835834</v>
      </c>
      <c r="E478" s="14">
        <v>9854.768593125913</v>
      </c>
      <c r="F478" s="14">
        <v>13753.197500000002</v>
      </c>
      <c r="G478" s="14">
        <v>14514.167854150604</v>
      </c>
      <c r="H478" s="14">
        <v>17702.865000000005</v>
      </c>
      <c r="I478" s="14">
        <v>24925.344846272608</v>
      </c>
      <c r="J478" s="14">
        <v>29320.904494184932</v>
      </c>
      <c r="K478" s="14">
        <v>32953.284962084675</v>
      </c>
      <c r="L478" s="14">
        <v>35027.419124188658</v>
      </c>
      <c r="M478" s="14">
        <v>38453.579999999994</v>
      </c>
      <c r="N478" s="14">
        <v>39733.174999999996</v>
      </c>
    </row>
    <row r="479" spans="1:14" x14ac:dyDescent="0.3">
      <c r="A479" s="3" t="str">
        <f>INDEX('R1. Scenario specifications'!$C$11:$C$49,MATCH($B479,'R1. Scenario specifications'!$A$11:$A$49,0))</f>
        <v>Current 2DS, 2020 start, 'Expect the unexpceted' but with expensive renewables (cheap CCS)</v>
      </c>
      <c r="B479" s="3" t="s">
        <v>1026</v>
      </c>
      <c r="C479" s="3" t="s">
        <v>69</v>
      </c>
      <c r="D479" s="14">
        <v>2379.5369238501598</v>
      </c>
      <c r="E479" s="14">
        <v>2356.8190162179026</v>
      </c>
      <c r="F479" s="14">
        <v>2308.8771400062938</v>
      </c>
      <c r="G479" s="14">
        <v>1503.8223551611873</v>
      </c>
      <c r="H479" s="14">
        <v>735.79214155908949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</row>
    <row r="480" spans="1:14" x14ac:dyDescent="0.3">
      <c r="A480" s="3" t="str">
        <f>INDEX('R1. Scenario specifications'!$C$11:$C$49,MATCH($B480,'R1. Scenario specifications'!$A$11:$A$49,0))</f>
        <v>Current 2DS, 2020 start, 'Expect the unexpceted' but with expensive renewables (cheap CCS)</v>
      </c>
      <c r="B480" s="3" t="s">
        <v>1026</v>
      </c>
      <c r="C480" s="3" t="s">
        <v>70</v>
      </c>
      <c r="D480" s="14">
        <v>67.937052631788802</v>
      </c>
      <c r="E480" s="14">
        <v>458.66984800047192</v>
      </c>
      <c r="F480" s="14">
        <v>917.48161125092997</v>
      </c>
      <c r="G480" s="14">
        <v>1022.6418870500961</v>
      </c>
      <c r="H480" s="14">
        <v>1022.097682671111</v>
      </c>
      <c r="I480" s="14">
        <v>1021.890915549679</v>
      </c>
      <c r="J480" s="14">
        <v>1036.0482048381359</v>
      </c>
      <c r="K480" s="14">
        <v>1488.7403633780714</v>
      </c>
      <c r="L480" s="14">
        <v>2256.5822192136106</v>
      </c>
      <c r="M480" s="14">
        <v>8709.2493387717059</v>
      </c>
      <c r="N480" s="14">
        <v>15887.163450371327</v>
      </c>
    </row>
    <row r="481" spans="1:14" x14ac:dyDescent="0.3">
      <c r="A481" s="3" t="str">
        <f>INDEX('R1. Scenario specifications'!$C$11:$C$49,MATCH($B481,'R1. Scenario specifications'!$A$11:$A$49,0))</f>
        <v>Current 2DS, 2020 start, 'Expect the unexpceted' but with expensive renewables (cheap CCS)</v>
      </c>
      <c r="B481" s="3" t="s">
        <v>1026</v>
      </c>
      <c r="C481" s="3" t="s">
        <v>71</v>
      </c>
      <c r="D481" s="14">
        <v>0.68787021919935687</v>
      </c>
      <c r="E481" s="14">
        <v>0.6257617671977489</v>
      </c>
      <c r="F481" s="14">
        <v>0.52638824399517514</v>
      </c>
      <c r="G481" s="14">
        <v>0.35092549599678308</v>
      </c>
      <c r="H481" s="14">
        <v>0.17546274799839209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</row>
    <row r="482" spans="1:14" x14ac:dyDescent="0.3">
      <c r="A482" s="3" t="str">
        <f>INDEX('R1. Scenario specifications'!$C$11:$C$49,MATCH($B482,'R1. Scenario specifications'!$A$11:$A$49,0))</f>
        <v>Current 2DS, 2020 start, 'Expect the unexpceted' but with expensive renewables (cheap CCS)</v>
      </c>
      <c r="B482" s="3" t="s">
        <v>1026</v>
      </c>
      <c r="C482" s="3" t="s">
        <v>75</v>
      </c>
      <c r="D482" s="14">
        <v>1.963099940637433</v>
      </c>
      <c r="E482" s="14">
        <v>1.7858497922310126</v>
      </c>
      <c r="F482" s="14">
        <v>1.5022495547807513</v>
      </c>
      <c r="G482" s="14">
        <v>1.0014997031871682</v>
      </c>
      <c r="H482" s="14">
        <v>0.50074985159358421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</row>
    <row r="483" spans="1:14" x14ac:dyDescent="0.3">
      <c r="A483" s="3" t="str">
        <f>INDEX('R1. Scenario specifications'!$C$11:$C$49,MATCH($B483,'R1. Scenario specifications'!$A$11:$A$49,0))</f>
        <v>Current 2DS, 2020 start, 'Expect the unexpceted' but with expensive renewables (cheap CCS)</v>
      </c>
      <c r="B483" s="3" t="s">
        <v>1026</v>
      </c>
      <c r="C483" s="3" t="s">
        <v>72</v>
      </c>
      <c r="D483" s="14">
        <v>1517.4635089937533</v>
      </c>
      <c r="E483" s="14">
        <v>1704.9418897085425</v>
      </c>
      <c r="F483" s="14">
        <v>2685.5545190640855</v>
      </c>
      <c r="G483" s="14">
        <v>10264.392361480594</v>
      </c>
      <c r="H483" s="14">
        <v>22938.430575891591</v>
      </c>
      <c r="I483" s="14">
        <v>30151.474089172232</v>
      </c>
      <c r="J483" s="14">
        <v>40597.429837710886</v>
      </c>
      <c r="K483" s="14">
        <v>53718.639252400433</v>
      </c>
      <c r="L483" s="14">
        <v>74617.045431760285</v>
      </c>
      <c r="M483" s="14">
        <v>118891.34781117739</v>
      </c>
      <c r="N483" s="14">
        <v>170229.27933619978</v>
      </c>
    </row>
    <row r="484" spans="1:14" x14ac:dyDescent="0.3">
      <c r="A484" s="3" t="str">
        <f>INDEX('R1. Scenario specifications'!$C$11:$C$49,MATCH($B484,'R1. Scenario specifications'!$A$11:$A$49,0))</f>
        <v>Current 2DS, 2030 start, 'Expect the Unexpected' but with cheap renewables</v>
      </c>
      <c r="B484" s="3" t="s">
        <v>44</v>
      </c>
      <c r="C484" s="3" t="s">
        <v>63</v>
      </c>
      <c r="D484" s="14">
        <v>225.44707509197985</v>
      </c>
      <c r="E484" s="14">
        <v>432.13326707926797</v>
      </c>
      <c r="F484" s="14">
        <v>2791.4850951746125</v>
      </c>
      <c r="G484" s="14">
        <v>10791.541692619947</v>
      </c>
      <c r="H484" s="14">
        <v>14468.138762190894</v>
      </c>
      <c r="I484" s="14">
        <v>14570.914926888401</v>
      </c>
      <c r="J484" s="14">
        <v>7177.1569874242768</v>
      </c>
      <c r="K484" s="14">
        <v>2344.4983618367419</v>
      </c>
      <c r="L484" s="14">
        <v>179.58277728266341</v>
      </c>
      <c r="M484" s="14">
        <v>72.013831928445796</v>
      </c>
      <c r="N484" s="14">
        <v>72.013831928445796</v>
      </c>
    </row>
    <row r="485" spans="1:14" x14ac:dyDescent="0.3">
      <c r="A485" s="3" t="str">
        <f>INDEX('R1. Scenario specifications'!$C$11:$C$49,MATCH($B485,'R1. Scenario specifications'!$A$11:$A$49,0))</f>
        <v>Current 2DS, 2030 start, 'Expect the Unexpected' but with cheap renewables</v>
      </c>
      <c r="B485" s="3" t="s">
        <v>44</v>
      </c>
      <c r="C485" s="3" t="s">
        <v>73</v>
      </c>
      <c r="D485" s="14">
        <v>0</v>
      </c>
      <c r="E485" s="14">
        <v>0</v>
      </c>
      <c r="F485" s="14">
        <v>0</v>
      </c>
      <c r="G485" s="14">
        <v>0</v>
      </c>
      <c r="H485" s="14">
        <v>259.73790891199087</v>
      </c>
      <c r="I485" s="14">
        <v>2126.9917697419251</v>
      </c>
      <c r="J485" s="14">
        <v>13016.219279852679</v>
      </c>
      <c r="K485" s="14">
        <v>36839.467764804103</v>
      </c>
      <c r="L485" s="14">
        <v>63660.077431555903</v>
      </c>
      <c r="M485" s="14">
        <v>80648.816328416302</v>
      </c>
      <c r="N485" s="14">
        <v>87127.747581254211</v>
      </c>
    </row>
    <row r="486" spans="1:14" x14ac:dyDescent="0.3">
      <c r="A486" s="3" t="str">
        <f>INDEX('R1. Scenario specifications'!$C$11:$C$49,MATCH($B486,'R1. Scenario specifications'!$A$11:$A$49,0))</f>
        <v>Current 2DS, 2030 start, 'Expect the Unexpected' but with cheap renewables</v>
      </c>
      <c r="B486" s="3" t="s">
        <v>44</v>
      </c>
      <c r="C486" s="3" t="s">
        <v>64</v>
      </c>
      <c r="D486" s="14">
        <v>33040.313548549595</v>
      </c>
      <c r="E486" s="14">
        <v>42259.332050485427</v>
      </c>
      <c r="F486" s="14">
        <v>32172.508335863538</v>
      </c>
      <c r="G486" s="14">
        <v>29995.093630544216</v>
      </c>
      <c r="H486" s="14">
        <v>8456.4788486609341</v>
      </c>
      <c r="I486" s="14">
        <v>465.380187912461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</row>
    <row r="487" spans="1:14" x14ac:dyDescent="0.3">
      <c r="A487" s="3" t="str">
        <f>INDEX('R1. Scenario specifications'!$C$11:$C$49,MATCH($B487,'R1. Scenario specifications'!$A$11:$A$49,0))</f>
        <v>Current 2DS, 2030 start, 'Expect the Unexpected' but with cheap renewables</v>
      </c>
      <c r="B487" s="3" t="s">
        <v>44</v>
      </c>
      <c r="C487" s="3" t="s">
        <v>65</v>
      </c>
      <c r="D487" s="14">
        <v>14597.074835304187</v>
      </c>
      <c r="E487" s="14">
        <v>15742.568461825351</v>
      </c>
      <c r="F487" s="14">
        <v>23692.881756781935</v>
      </c>
      <c r="G487" s="14">
        <v>18923.773890589895</v>
      </c>
      <c r="H487" s="14">
        <v>18539.044148077537</v>
      </c>
      <c r="I487" s="14">
        <v>11374.311752329295</v>
      </c>
      <c r="J487" s="14">
        <v>7170.7190976670945</v>
      </c>
      <c r="K487" s="14">
        <v>2957.0148637622269</v>
      </c>
      <c r="L487" s="14">
        <v>535.82783685296522</v>
      </c>
      <c r="M487" s="14">
        <v>19.7843690484655</v>
      </c>
      <c r="N487" s="14">
        <v>0</v>
      </c>
    </row>
    <row r="488" spans="1:14" x14ac:dyDescent="0.3">
      <c r="A488" s="3" t="str">
        <f>INDEX('R1. Scenario specifications'!$C$11:$C$49,MATCH($B488,'R1. Scenario specifications'!$A$11:$A$49,0))</f>
        <v>Current 2DS, 2030 start, 'Expect the Unexpected' but with cheap renewables</v>
      </c>
      <c r="B488" s="3" t="s">
        <v>44</v>
      </c>
      <c r="C488" s="3" t="s">
        <v>74</v>
      </c>
      <c r="D488" s="14">
        <v>0</v>
      </c>
      <c r="E488" s="14">
        <v>0</v>
      </c>
      <c r="F488" s="14">
        <v>0</v>
      </c>
      <c r="G488" s="14">
        <v>0</v>
      </c>
      <c r="H488" s="14">
        <v>2.8711664801649581</v>
      </c>
      <c r="I488" s="14">
        <v>70.611683266079083</v>
      </c>
      <c r="J488" s="14">
        <v>981.05185375253836</v>
      </c>
      <c r="K488" s="14">
        <v>1112.175887925936</v>
      </c>
      <c r="L488" s="14">
        <v>3741.8042040444734</v>
      </c>
      <c r="M488" s="14">
        <v>7826.6966709982735</v>
      </c>
      <c r="N488" s="14">
        <v>8416.2748000361098</v>
      </c>
    </row>
    <row r="489" spans="1:14" x14ac:dyDescent="0.3">
      <c r="A489" s="3" t="str">
        <f>INDEX('R1. Scenario specifications'!$C$11:$C$49,MATCH($B489,'R1. Scenario specifications'!$A$11:$A$49,0))</f>
        <v>Current 2DS, 2030 start, 'Expect the Unexpected' but with cheap renewables</v>
      </c>
      <c r="B489" s="3" t="s">
        <v>44</v>
      </c>
      <c r="C489" s="3" t="s">
        <v>66</v>
      </c>
      <c r="D489" s="14">
        <v>202.4480216544064</v>
      </c>
      <c r="E489" s="14">
        <v>194.35225063586262</v>
      </c>
      <c r="F489" s="14">
        <v>2690.096097794773</v>
      </c>
      <c r="G489" s="14">
        <v>4149.3454146666118</v>
      </c>
      <c r="H489" s="14">
        <v>5663.1284594398303</v>
      </c>
      <c r="I489" s="14">
        <v>8180.1052674501343</v>
      </c>
      <c r="J489" s="14">
        <v>13184.180534649273</v>
      </c>
      <c r="K489" s="14">
        <v>13760.335045395574</v>
      </c>
      <c r="L489" s="14">
        <v>15016.784645466794</v>
      </c>
      <c r="M489" s="14">
        <v>20493.074225133219</v>
      </c>
      <c r="N489" s="14">
        <v>25277.047914907384</v>
      </c>
    </row>
    <row r="490" spans="1:14" x14ac:dyDescent="0.3">
      <c r="A490" s="3" t="str">
        <f>INDEX('R1. Scenario specifications'!$C$11:$C$49,MATCH($B490,'R1. Scenario specifications'!$A$11:$A$49,0))</f>
        <v>Current 2DS, 2030 start, 'Expect the Unexpected' but with cheap renewables</v>
      </c>
      <c r="B490" s="3" t="s">
        <v>44</v>
      </c>
      <c r="C490" s="3" t="s">
        <v>67</v>
      </c>
      <c r="D490" s="14">
        <v>10255.125599999996</v>
      </c>
      <c r="E490" s="14">
        <v>10349.477981293301</v>
      </c>
      <c r="F490" s="14">
        <v>14634.999767850808</v>
      </c>
      <c r="G490" s="14">
        <v>17168.548108229523</v>
      </c>
      <c r="H490" s="14">
        <v>19644.239865638818</v>
      </c>
      <c r="I490" s="14">
        <v>24829.560255527889</v>
      </c>
      <c r="J490" s="14">
        <v>26103.689031081318</v>
      </c>
      <c r="K490" s="14">
        <v>27234.355792832197</v>
      </c>
      <c r="L490" s="14">
        <v>30167.886258039165</v>
      </c>
      <c r="M490" s="14">
        <v>36040.00115706143</v>
      </c>
      <c r="N490" s="14">
        <v>37910.772554835785</v>
      </c>
    </row>
    <row r="491" spans="1:14" x14ac:dyDescent="0.3">
      <c r="A491" s="3" t="str">
        <f>INDEX('R1. Scenario specifications'!$C$11:$C$49,MATCH($B491,'R1. Scenario specifications'!$A$11:$A$49,0))</f>
        <v>Current 2DS, 2030 start, 'Expect the Unexpected' but with cheap renewables</v>
      </c>
      <c r="B491" s="3" t="s">
        <v>44</v>
      </c>
      <c r="C491" s="3" t="s">
        <v>68</v>
      </c>
      <c r="D491" s="14">
        <v>9499.4101148835834</v>
      </c>
      <c r="E491" s="14">
        <v>9854.768593125913</v>
      </c>
      <c r="F491" s="14">
        <v>13753.197500000002</v>
      </c>
      <c r="G491" s="14">
        <v>14514.167854150606</v>
      </c>
      <c r="H491" s="14">
        <v>15191.631806438927</v>
      </c>
      <c r="I491" s="14">
        <v>22675.600900991369</v>
      </c>
      <c r="J491" s="14">
        <v>28858.154494184928</v>
      </c>
      <c r="K491" s="14">
        <v>32667.217990592355</v>
      </c>
      <c r="L491" s="14">
        <v>35681.059500705203</v>
      </c>
      <c r="M491" s="14">
        <v>38402.080568928213</v>
      </c>
      <c r="N491" s="14">
        <v>39733.174999999996</v>
      </c>
    </row>
    <row r="492" spans="1:14" x14ac:dyDescent="0.3">
      <c r="A492" s="3" t="str">
        <f>INDEX('R1. Scenario specifications'!$C$11:$C$49,MATCH($B492,'R1. Scenario specifications'!$A$11:$A$49,0))</f>
        <v>Current 2DS, 2030 start, 'Expect the Unexpected' but with cheap renewables</v>
      </c>
      <c r="B492" s="3" t="s">
        <v>44</v>
      </c>
      <c r="C492" s="3" t="s">
        <v>69</v>
      </c>
      <c r="D492" s="14">
        <v>2379.5369238501598</v>
      </c>
      <c r="E492" s="14">
        <v>2356.8190162179026</v>
      </c>
      <c r="F492" s="14">
        <v>2308.8771400062938</v>
      </c>
      <c r="G492" s="14">
        <v>1516.5761695611868</v>
      </c>
      <c r="H492" s="14">
        <v>735.79214155908926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</row>
    <row r="493" spans="1:14" x14ac:dyDescent="0.3">
      <c r="A493" s="3" t="str">
        <f>INDEX('R1. Scenario specifications'!$C$11:$C$49,MATCH($B493,'R1. Scenario specifications'!$A$11:$A$49,0))</f>
        <v>Current 2DS, 2030 start, 'Expect the Unexpected' but with cheap renewables</v>
      </c>
      <c r="B493" s="3" t="s">
        <v>44</v>
      </c>
      <c r="C493" s="3" t="s">
        <v>70</v>
      </c>
      <c r="D493" s="14">
        <v>67.937052631788802</v>
      </c>
      <c r="E493" s="14">
        <v>458.66984800047192</v>
      </c>
      <c r="F493" s="14">
        <v>917.48161125092997</v>
      </c>
      <c r="G493" s="14">
        <v>2670.3548260954558</v>
      </c>
      <c r="H493" s="14">
        <v>13421.374280855547</v>
      </c>
      <c r="I493" s="14">
        <v>28369.611776056474</v>
      </c>
      <c r="J493" s="14">
        <v>36888.588186160574</v>
      </c>
      <c r="K493" s="14">
        <v>44367.870336857151</v>
      </c>
      <c r="L493" s="14">
        <v>62396.458606608896</v>
      </c>
      <c r="M493" s="14">
        <v>96082.569483509171</v>
      </c>
      <c r="N493" s="14">
        <v>106355.97491341502</v>
      </c>
    </row>
    <row r="494" spans="1:14" x14ac:dyDescent="0.3">
      <c r="A494" s="3" t="str">
        <f>INDEX('R1. Scenario specifications'!$C$11:$C$49,MATCH($B494,'R1. Scenario specifications'!$A$11:$A$49,0))</f>
        <v>Current 2DS, 2030 start, 'Expect the Unexpected' but with cheap renewables</v>
      </c>
      <c r="B494" s="3" t="s">
        <v>44</v>
      </c>
      <c r="C494" s="3" t="s">
        <v>71</v>
      </c>
      <c r="D494" s="14">
        <v>0.68787021919935687</v>
      </c>
      <c r="E494" s="14">
        <v>0.6257617671977489</v>
      </c>
      <c r="F494" s="14">
        <v>0.52638824399517514</v>
      </c>
      <c r="G494" s="14">
        <v>0.35092549599678308</v>
      </c>
      <c r="H494" s="14">
        <v>0.17546274799839173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</row>
    <row r="495" spans="1:14" x14ac:dyDescent="0.3">
      <c r="A495" s="3" t="str">
        <f>INDEX('R1. Scenario specifications'!$C$11:$C$49,MATCH($B495,'R1. Scenario specifications'!$A$11:$A$49,0))</f>
        <v>Current 2DS, 2030 start, 'Expect the Unexpected' but with cheap renewables</v>
      </c>
      <c r="B495" s="3" t="s">
        <v>44</v>
      </c>
      <c r="C495" s="3" t="s">
        <v>75</v>
      </c>
      <c r="D495" s="14">
        <v>1.963099940637433</v>
      </c>
      <c r="E495" s="14">
        <v>1.7858497922310126</v>
      </c>
      <c r="F495" s="14">
        <v>1.5022495547807513</v>
      </c>
      <c r="G495" s="14">
        <v>1.0014997031871682</v>
      </c>
      <c r="H495" s="14">
        <v>0.50074985159358421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</row>
    <row r="496" spans="1:14" x14ac:dyDescent="0.3">
      <c r="A496" s="3" t="str">
        <f>INDEX('R1. Scenario specifications'!$C$11:$C$49,MATCH($B496,'R1. Scenario specifications'!$A$11:$A$49,0))</f>
        <v>Current 2DS, 2030 start, 'Expect the Unexpected' but with cheap renewables</v>
      </c>
      <c r="B496" s="3" t="s">
        <v>44</v>
      </c>
      <c r="C496" s="3" t="s">
        <v>72</v>
      </c>
      <c r="D496" s="14">
        <v>1517.4635089937533</v>
      </c>
      <c r="E496" s="14">
        <v>1704.9418897085425</v>
      </c>
      <c r="F496" s="14">
        <v>2685.5545190640855</v>
      </c>
      <c r="G496" s="14">
        <v>10882.32058635127</v>
      </c>
      <c r="H496" s="14">
        <v>28253.684667514695</v>
      </c>
      <c r="I496" s="14">
        <v>35984.046478389493</v>
      </c>
      <c r="J496" s="14">
        <v>49212.446583342527</v>
      </c>
      <c r="K496" s="14">
        <v>64529.549035284144</v>
      </c>
      <c r="L496" s="14">
        <v>93648.751343177137</v>
      </c>
      <c r="M496" s="14">
        <v>148492.71055247745</v>
      </c>
      <c r="N496" s="14">
        <v>185708.58605028084</v>
      </c>
    </row>
    <row r="497" spans="1:14" x14ac:dyDescent="0.3">
      <c r="A497" s="3" t="str">
        <f>INDEX('R1. Scenario specifications'!$C$11:$C$49,MATCH($B497,'R1. Scenario specifications'!$A$11:$A$49,0))</f>
        <v>Current 2DS, 2020 start, 'Expect the Unexpected' but with cheap CCS</v>
      </c>
      <c r="B497" s="3" t="s">
        <v>45</v>
      </c>
      <c r="C497" s="3" t="s">
        <v>63</v>
      </c>
      <c r="D497" s="14">
        <v>225.44707509197985</v>
      </c>
      <c r="E497" s="14">
        <v>432.13326707926797</v>
      </c>
      <c r="F497" s="14">
        <v>2791.4850951746125</v>
      </c>
      <c r="G497" s="14">
        <v>12130.109095726144</v>
      </c>
      <c r="H497" s="14">
        <v>14205.410520800824</v>
      </c>
      <c r="I497" s="14">
        <v>15646.326220352588</v>
      </c>
      <c r="J497" s="14">
        <v>7109.6497787746375</v>
      </c>
      <c r="K497" s="14">
        <v>3797.5533749070255</v>
      </c>
      <c r="L497" s="14">
        <v>153.58470838203516</v>
      </c>
      <c r="M497" s="14">
        <v>72.902472988020804</v>
      </c>
      <c r="N497" s="14">
        <v>70.795401292520609</v>
      </c>
    </row>
    <row r="498" spans="1:14" x14ac:dyDescent="0.3">
      <c r="A498" s="3" t="str">
        <f>INDEX('R1. Scenario specifications'!$C$11:$C$49,MATCH($B498,'R1. Scenario specifications'!$A$11:$A$49,0))</f>
        <v>Current 2DS, 2020 start, 'Expect the Unexpected' but with cheap CCS</v>
      </c>
      <c r="B498" s="3" t="s">
        <v>45</v>
      </c>
      <c r="C498" s="3" t="s">
        <v>73</v>
      </c>
      <c r="D498" s="14">
        <v>0</v>
      </c>
      <c r="E498" s="14">
        <v>0</v>
      </c>
      <c r="F498" s="14">
        <v>0</v>
      </c>
      <c r="G498" s="14">
        <v>142.21852197792595</v>
      </c>
      <c r="H498" s="14">
        <v>933.53172925323543</v>
      </c>
      <c r="I498" s="14">
        <v>4541.1477065183881</v>
      </c>
      <c r="J498" s="14">
        <v>18748.013219860582</v>
      </c>
      <c r="K498" s="14">
        <v>38512.994770015917</v>
      </c>
      <c r="L498" s="14">
        <v>60392.26008029814</v>
      </c>
      <c r="M498" s="14">
        <v>79299.494650729175</v>
      </c>
      <c r="N498" s="14">
        <v>86625.816307358778</v>
      </c>
    </row>
    <row r="499" spans="1:14" x14ac:dyDescent="0.3">
      <c r="A499" s="3" t="str">
        <f>INDEX('R1. Scenario specifications'!$C$11:$C$49,MATCH($B499,'R1. Scenario specifications'!$A$11:$A$49,0))</f>
        <v>Current 2DS, 2020 start, 'Expect the Unexpected' but with cheap CCS</v>
      </c>
      <c r="B499" s="3" t="s">
        <v>45</v>
      </c>
      <c r="C499" s="3" t="s">
        <v>64</v>
      </c>
      <c r="D499" s="14">
        <v>33040.313548549595</v>
      </c>
      <c r="E499" s="14">
        <v>42259.332050485427</v>
      </c>
      <c r="F499" s="14">
        <v>32172.508335863538</v>
      </c>
      <c r="G499" s="14">
        <v>20761.452990625148</v>
      </c>
      <c r="H499" s="14">
        <v>5780.1113297036873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</row>
    <row r="500" spans="1:14" x14ac:dyDescent="0.3">
      <c r="A500" s="3" t="str">
        <f>INDEX('R1. Scenario specifications'!$C$11:$C$49,MATCH($B500,'R1. Scenario specifications'!$A$11:$A$49,0))</f>
        <v>Current 2DS, 2020 start, 'Expect the Unexpected' but with cheap CCS</v>
      </c>
      <c r="B500" s="3" t="s">
        <v>45</v>
      </c>
      <c r="C500" s="3" t="s">
        <v>65</v>
      </c>
      <c r="D500" s="14">
        <v>14597.074835304187</v>
      </c>
      <c r="E500" s="14">
        <v>15742.568461825351</v>
      </c>
      <c r="F500" s="14">
        <v>23692.881756781935</v>
      </c>
      <c r="G500" s="14">
        <v>19195.221007029675</v>
      </c>
      <c r="H500" s="14">
        <v>17309.419734116305</v>
      </c>
      <c r="I500" s="14">
        <v>9277.1578297245342</v>
      </c>
      <c r="J500" s="14">
        <v>5724.1996677048437</v>
      </c>
      <c r="K500" s="14">
        <v>3074.1496418067991</v>
      </c>
      <c r="L500" s="14">
        <v>897.02721446735541</v>
      </c>
      <c r="M500" s="14">
        <v>0</v>
      </c>
      <c r="N500" s="14">
        <v>0</v>
      </c>
    </row>
    <row r="501" spans="1:14" x14ac:dyDescent="0.3">
      <c r="A501" s="3" t="str">
        <f>INDEX('R1. Scenario specifications'!$C$11:$C$49,MATCH($B501,'R1. Scenario specifications'!$A$11:$A$49,0))</f>
        <v>Current 2DS, 2020 start, 'Expect the Unexpected' but with cheap CCS</v>
      </c>
      <c r="B501" s="3" t="s">
        <v>45</v>
      </c>
      <c r="C501" s="3" t="s">
        <v>74</v>
      </c>
      <c r="D501" s="14">
        <v>0</v>
      </c>
      <c r="E501" s="14">
        <v>0</v>
      </c>
      <c r="F501" s="14">
        <v>0</v>
      </c>
      <c r="G501" s="14">
        <v>212.03999999999994</v>
      </c>
      <c r="H501" s="14">
        <v>429.65999999999997</v>
      </c>
      <c r="I501" s="14">
        <v>993.23999999999876</v>
      </c>
      <c r="J501" s="14">
        <v>1534.4999999999982</v>
      </c>
      <c r="K501" s="14">
        <v>1223.2462668710496</v>
      </c>
      <c r="L501" s="14">
        <v>3795.8248593811863</v>
      </c>
      <c r="M501" s="14">
        <v>7687.8959470636273</v>
      </c>
      <c r="N501" s="14">
        <v>9780.184652347165</v>
      </c>
    </row>
    <row r="502" spans="1:14" x14ac:dyDescent="0.3">
      <c r="A502" s="3" t="str">
        <f>INDEX('R1. Scenario specifications'!$C$11:$C$49,MATCH($B502,'R1. Scenario specifications'!$A$11:$A$49,0))</f>
        <v>Current 2DS, 2020 start, 'Expect the Unexpected' but with cheap CCS</v>
      </c>
      <c r="B502" s="3" t="s">
        <v>45</v>
      </c>
      <c r="C502" s="3" t="s">
        <v>66</v>
      </c>
      <c r="D502" s="14">
        <v>202.4480216544064</v>
      </c>
      <c r="E502" s="14">
        <v>194.35225063586262</v>
      </c>
      <c r="F502" s="14">
        <v>2690.096097794773</v>
      </c>
      <c r="G502" s="14">
        <v>4159.862749522521</v>
      </c>
      <c r="H502" s="14">
        <v>5663.1266090847057</v>
      </c>
      <c r="I502" s="14">
        <v>7873.5342940185392</v>
      </c>
      <c r="J502" s="14">
        <v>11631.918605126966</v>
      </c>
      <c r="K502" s="14">
        <v>13754.516881560916</v>
      </c>
      <c r="L502" s="14">
        <v>15096.515664220746</v>
      </c>
      <c r="M502" s="14">
        <v>22357.823069245689</v>
      </c>
      <c r="N502" s="14">
        <v>24909.928193947944</v>
      </c>
    </row>
    <row r="503" spans="1:14" x14ac:dyDescent="0.3">
      <c r="A503" s="3" t="str">
        <f>INDEX('R1. Scenario specifications'!$C$11:$C$49,MATCH($B503,'R1. Scenario specifications'!$A$11:$A$49,0))</f>
        <v>Current 2DS, 2020 start, 'Expect the Unexpected' but with cheap CCS</v>
      </c>
      <c r="B503" s="3" t="s">
        <v>45</v>
      </c>
      <c r="C503" s="3" t="s">
        <v>67</v>
      </c>
      <c r="D503" s="14">
        <v>10255.125599999996</v>
      </c>
      <c r="E503" s="14">
        <v>10349.477981293301</v>
      </c>
      <c r="F503" s="14">
        <v>14634.999767850808</v>
      </c>
      <c r="G503" s="14">
        <v>17355.174076544867</v>
      </c>
      <c r="H503" s="14">
        <v>20261.603604247211</v>
      </c>
      <c r="I503" s="14">
        <v>23662.552231316113</v>
      </c>
      <c r="J503" s="14">
        <v>25649.831959700819</v>
      </c>
      <c r="K503" s="14">
        <v>26863.042391351053</v>
      </c>
      <c r="L503" s="14">
        <v>29773.509221753771</v>
      </c>
      <c r="M503" s="14">
        <v>36489.821121995476</v>
      </c>
      <c r="N503" s="14">
        <v>38935.408681503795</v>
      </c>
    </row>
    <row r="504" spans="1:14" x14ac:dyDescent="0.3">
      <c r="A504" s="3" t="str">
        <f>INDEX('R1. Scenario specifications'!$C$11:$C$49,MATCH($B504,'R1. Scenario specifications'!$A$11:$A$49,0))</f>
        <v>Current 2DS, 2020 start, 'Expect the Unexpected' but with cheap CCS</v>
      </c>
      <c r="B504" s="3" t="s">
        <v>45</v>
      </c>
      <c r="C504" s="3" t="s">
        <v>68</v>
      </c>
      <c r="D504" s="14">
        <v>9499.4101148835834</v>
      </c>
      <c r="E504" s="14">
        <v>9854.768593125913</v>
      </c>
      <c r="F504" s="14">
        <v>13753.197500000002</v>
      </c>
      <c r="G504" s="14">
        <v>14514.167854150603</v>
      </c>
      <c r="H504" s="14">
        <v>16581.749972730344</v>
      </c>
      <c r="I504" s="14">
        <v>23228.536597370003</v>
      </c>
      <c r="J504" s="14">
        <v>29260.814123376756</v>
      </c>
      <c r="K504" s="14">
        <v>32599.848668703977</v>
      </c>
      <c r="L504" s="14">
        <v>34718.474584281561</v>
      </c>
      <c r="M504" s="14">
        <v>38375.136994453111</v>
      </c>
      <c r="N504" s="14">
        <v>39733.174999999996</v>
      </c>
    </row>
    <row r="505" spans="1:14" x14ac:dyDescent="0.3">
      <c r="A505" s="3" t="str">
        <f>INDEX('R1. Scenario specifications'!$C$11:$C$49,MATCH($B505,'R1. Scenario specifications'!$A$11:$A$49,0))</f>
        <v>Current 2DS, 2020 start, 'Expect the Unexpected' but with cheap CCS</v>
      </c>
      <c r="B505" s="3" t="s">
        <v>45</v>
      </c>
      <c r="C505" s="3" t="s">
        <v>69</v>
      </c>
      <c r="D505" s="14">
        <v>2379.5369238501598</v>
      </c>
      <c r="E505" s="14">
        <v>2356.8190162179026</v>
      </c>
      <c r="F505" s="14">
        <v>2308.8771400062938</v>
      </c>
      <c r="G505" s="14">
        <v>1503.8223551611868</v>
      </c>
      <c r="H505" s="14">
        <v>735.7921415590896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</row>
    <row r="506" spans="1:14" x14ac:dyDescent="0.3">
      <c r="A506" s="3" t="str">
        <f>INDEX('R1. Scenario specifications'!$C$11:$C$49,MATCH($B506,'R1. Scenario specifications'!$A$11:$A$49,0))</f>
        <v>Current 2DS, 2020 start, 'Expect the Unexpected' but with cheap CCS</v>
      </c>
      <c r="B506" s="3" t="s">
        <v>45</v>
      </c>
      <c r="C506" s="3" t="s">
        <v>70</v>
      </c>
      <c r="D506" s="14">
        <v>67.937052631788802</v>
      </c>
      <c r="E506" s="14">
        <v>458.66984800047192</v>
      </c>
      <c r="F506" s="14">
        <v>917.48161125092997</v>
      </c>
      <c r="G506" s="14">
        <v>4301.3818404184049</v>
      </c>
      <c r="H506" s="14">
        <v>14439.657143068307</v>
      </c>
      <c r="I506" s="14">
        <v>25317.573827181488</v>
      </c>
      <c r="J506" s="14">
        <v>32663.612976647135</v>
      </c>
      <c r="K506" s="14">
        <v>40596.323298066149</v>
      </c>
      <c r="L506" s="14">
        <v>56845.4605358931</v>
      </c>
      <c r="M506" s="14">
        <v>86807.574491919804</v>
      </c>
      <c r="N506" s="14">
        <v>98651.528727935016</v>
      </c>
    </row>
    <row r="507" spans="1:14" x14ac:dyDescent="0.3">
      <c r="A507" s="3" t="str">
        <f>INDEX('R1. Scenario specifications'!$C$11:$C$49,MATCH($B507,'R1. Scenario specifications'!$A$11:$A$49,0))</f>
        <v>Current 2DS, 2020 start, 'Expect the Unexpected' but with cheap CCS</v>
      </c>
      <c r="B507" s="3" t="s">
        <v>45</v>
      </c>
      <c r="C507" s="3" t="s">
        <v>71</v>
      </c>
      <c r="D507" s="14">
        <v>0.68787021919935687</v>
      </c>
      <c r="E507" s="14">
        <v>0.6257617671977489</v>
      </c>
      <c r="F507" s="14">
        <v>0.52638824399517514</v>
      </c>
      <c r="G507" s="14">
        <v>0.35092549599678308</v>
      </c>
      <c r="H507" s="14">
        <v>0.17546274799839173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</row>
    <row r="508" spans="1:14" x14ac:dyDescent="0.3">
      <c r="A508" s="3" t="str">
        <f>INDEX('R1. Scenario specifications'!$C$11:$C$49,MATCH($B508,'R1. Scenario specifications'!$A$11:$A$49,0))</f>
        <v>Current 2DS, 2020 start, 'Expect the Unexpected' but with cheap CCS</v>
      </c>
      <c r="B508" s="3" t="s">
        <v>45</v>
      </c>
      <c r="C508" s="3" t="s">
        <v>75</v>
      </c>
      <c r="D508" s="14">
        <v>1.963099940637433</v>
      </c>
      <c r="E508" s="14">
        <v>1.7858497922310126</v>
      </c>
      <c r="F508" s="14">
        <v>1.5022495547807513</v>
      </c>
      <c r="G508" s="14">
        <v>1.0014997031871682</v>
      </c>
      <c r="H508" s="14">
        <v>0.50074985159358421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</row>
    <row r="509" spans="1:14" x14ac:dyDescent="0.3">
      <c r="A509" s="3" t="str">
        <f>INDEX('R1. Scenario specifications'!$C$11:$C$49,MATCH($B509,'R1. Scenario specifications'!$A$11:$A$49,0))</f>
        <v>Current 2DS, 2020 start, 'Expect the Unexpected' but with cheap CCS</v>
      </c>
      <c r="B509" s="3" t="s">
        <v>45</v>
      </c>
      <c r="C509" s="3" t="s">
        <v>72</v>
      </c>
      <c r="D509" s="14">
        <v>1517.4635089937533</v>
      </c>
      <c r="E509" s="14">
        <v>1704.9418897085425</v>
      </c>
      <c r="F509" s="14">
        <v>2685.5545190640855</v>
      </c>
      <c r="G509" s="14">
        <v>11673.733100108226</v>
      </c>
      <c r="H509" s="14">
        <v>27250.334887228302</v>
      </c>
      <c r="I509" s="14">
        <v>35068.755417055567</v>
      </c>
      <c r="J509" s="14">
        <v>47657.139346276119</v>
      </c>
      <c r="K509" s="14">
        <v>61751.405190980477</v>
      </c>
      <c r="L509" s="14">
        <v>89001.789699969377</v>
      </c>
      <c r="M509" s="14">
        <v>142795.29327681146</v>
      </c>
      <c r="N509" s="14">
        <v>180801.61520352348</v>
      </c>
    </row>
    <row r="510" spans="1:14" x14ac:dyDescent="0.3">
      <c r="A510" s="3" t="str">
        <f>INDEX('R1. Scenario specifications'!$C$11:$C$49,MATCH($B510,'R1. Scenario specifications'!$A$11:$A$49,0))</f>
        <v>Current 2DS, 2030 start, 'Expect the Unexpected' but with cheap CCS</v>
      </c>
      <c r="B510" s="3" t="s">
        <v>46</v>
      </c>
      <c r="C510" s="3" t="s">
        <v>63</v>
      </c>
      <c r="D510" s="14">
        <v>225.44707509197985</v>
      </c>
      <c r="E510" s="14">
        <v>432.13326707926797</v>
      </c>
      <c r="F510" s="14">
        <v>2791.4850951746125</v>
      </c>
      <c r="G510" s="14">
        <v>10791.541692619947</v>
      </c>
      <c r="H510" s="14">
        <v>15440.704901799274</v>
      </c>
      <c r="I510" s="14">
        <v>15284.367334050527</v>
      </c>
      <c r="J510" s="14">
        <v>8515.6868213396428</v>
      </c>
      <c r="K510" s="14">
        <v>2805.2790913433905</v>
      </c>
      <c r="L510" s="14">
        <v>241.22289209513846</v>
      </c>
      <c r="M510" s="14">
        <v>72.924045677437292</v>
      </c>
      <c r="N510" s="14">
        <v>72.924045677437292</v>
      </c>
    </row>
    <row r="511" spans="1:14" x14ac:dyDescent="0.3">
      <c r="A511" s="3" t="str">
        <f>INDEX('R1. Scenario specifications'!$C$11:$C$49,MATCH($B511,'R1. Scenario specifications'!$A$11:$A$49,0))</f>
        <v>Current 2DS, 2030 start, 'Expect the Unexpected' but with cheap CCS</v>
      </c>
      <c r="B511" s="3" t="s">
        <v>46</v>
      </c>
      <c r="C511" s="3" t="s">
        <v>73</v>
      </c>
      <c r="D511" s="14">
        <v>0</v>
      </c>
      <c r="E511" s="14">
        <v>0</v>
      </c>
      <c r="F511" s="14">
        <v>0</v>
      </c>
      <c r="G511" s="14">
        <v>0</v>
      </c>
      <c r="H511" s="14">
        <v>270.00985899650891</v>
      </c>
      <c r="I511" s="14">
        <v>2169.8379271196918</v>
      </c>
      <c r="J511" s="14">
        <v>12938.404540208714</v>
      </c>
      <c r="K511" s="14">
        <v>36935.123364006045</v>
      </c>
      <c r="L511" s="14">
        <v>63976.353637091306</v>
      </c>
      <c r="M511" s="14">
        <v>81083.247529655026</v>
      </c>
      <c r="N511" s="14">
        <v>87776.521074433025</v>
      </c>
    </row>
    <row r="512" spans="1:14" x14ac:dyDescent="0.3">
      <c r="A512" s="3" t="str">
        <f>INDEX('R1. Scenario specifications'!$C$11:$C$49,MATCH($B512,'R1. Scenario specifications'!$A$11:$A$49,0))</f>
        <v>Current 2DS, 2030 start, 'Expect the Unexpected' but with cheap CCS</v>
      </c>
      <c r="B512" s="3" t="s">
        <v>46</v>
      </c>
      <c r="C512" s="3" t="s">
        <v>64</v>
      </c>
      <c r="D512" s="14">
        <v>33040.313548549595</v>
      </c>
      <c r="E512" s="14">
        <v>42259.332050485427</v>
      </c>
      <c r="F512" s="14">
        <v>32172.508335863538</v>
      </c>
      <c r="G512" s="14">
        <v>29995.093630544216</v>
      </c>
      <c r="H512" s="14">
        <v>8390.8155515803192</v>
      </c>
      <c r="I512" s="14">
        <v>465.380187912461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</row>
    <row r="513" spans="1:14" x14ac:dyDescent="0.3">
      <c r="A513" s="3" t="str">
        <f>INDEX('R1. Scenario specifications'!$C$11:$C$49,MATCH($B513,'R1. Scenario specifications'!$A$11:$A$49,0))</f>
        <v>Current 2DS, 2030 start, 'Expect the Unexpected' but with cheap CCS</v>
      </c>
      <c r="B513" s="3" t="s">
        <v>46</v>
      </c>
      <c r="C513" s="3" t="s">
        <v>65</v>
      </c>
      <c r="D513" s="14">
        <v>14597.074835304187</v>
      </c>
      <c r="E513" s="14">
        <v>15742.568461825351</v>
      </c>
      <c r="F513" s="14">
        <v>23692.881756781935</v>
      </c>
      <c r="G513" s="14">
        <v>18923.773890589895</v>
      </c>
      <c r="H513" s="14">
        <v>18754.712740264735</v>
      </c>
      <c r="I513" s="14">
        <v>10129.993726844166</v>
      </c>
      <c r="J513" s="14">
        <v>6743.7785245162531</v>
      </c>
      <c r="K513" s="14">
        <v>3290.9310037547948</v>
      </c>
      <c r="L513" s="14">
        <v>916.08785555584768</v>
      </c>
      <c r="M513" s="14">
        <v>0</v>
      </c>
      <c r="N513" s="14">
        <v>0</v>
      </c>
    </row>
    <row r="514" spans="1:14" x14ac:dyDescent="0.3">
      <c r="A514" s="3" t="str">
        <f>INDEX('R1. Scenario specifications'!$C$11:$C$49,MATCH($B514,'R1. Scenario specifications'!$A$11:$A$49,0))</f>
        <v>Current 2DS, 2030 start, 'Expect the Unexpected' but with cheap CCS</v>
      </c>
      <c r="B514" s="3" t="s">
        <v>46</v>
      </c>
      <c r="C514" s="3" t="s">
        <v>74</v>
      </c>
      <c r="D514" s="14">
        <v>0</v>
      </c>
      <c r="E514" s="14">
        <v>0</v>
      </c>
      <c r="F514" s="14">
        <v>0</v>
      </c>
      <c r="G514" s="14">
        <v>0</v>
      </c>
      <c r="H514" s="14">
        <v>2.9697125574700181</v>
      </c>
      <c r="I514" s="14">
        <v>70.819287994436195</v>
      </c>
      <c r="J514" s="14">
        <v>1218.9636603456843</v>
      </c>
      <c r="K514" s="14">
        <v>1435.6261089012173</v>
      </c>
      <c r="L514" s="14">
        <v>4173.2897604876644</v>
      </c>
      <c r="M514" s="14">
        <v>8106.9454842364066</v>
      </c>
      <c r="N514" s="14">
        <v>9366.8064378491763</v>
      </c>
    </row>
    <row r="515" spans="1:14" x14ac:dyDescent="0.3">
      <c r="A515" s="3" t="str">
        <f>INDEX('R1. Scenario specifications'!$C$11:$C$49,MATCH($B515,'R1. Scenario specifications'!$A$11:$A$49,0))</f>
        <v>Current 2DS, 2030 start, 'Expect the Unexpected' but with cheap CCS</v>
      </c>
      <c r="B515" s="3" t="s">
        <v>46</v>
      </c>
      <c r="C515" s="3" t="s">
        <v>66</v>
      </c>
      <c r="D515" s="14">
        <v>202.4480216544064</v>
      </c>
      <c r="E515" s="14">
        <v>194.35225063586262</v>
      </c>
      <c r="F515" s="14">
        <v>2690.096097794773</v>
      </c>
      <c r="G515" s="14">
        <v>4149.3454146666118</v>
      </c>
      <c r="H515" s="14">
        <v>5663.1303097949549</v>
      </c>
      <c r="I515" s="14">
        <v>8258.9392853772588</v>
      </c>
      <c r="J515" s="14">
        <v>13678.159618385294</v>
      </c>
      <c r="K515" s="14">
        <v>14041.946464542099</v>
      </c>
      <c r="L515" s="14">
        <v>15179.616442999915</v>
      </c>
      <c r="M515" s="14">
        <v>21947.11995052905</v>
      </c>
      <c r="N515" s="14">
        <v>27097.597125850858</v>
      </c>
    </row>
    <row r="516" spans="1:14" x14ac:dyDescent="0.3">
      <c r="A516" s="3" t="str">
        <f>INDEX('R1. Scenario specifications'!$C$11:$C$49,MATCH($B516,'R1. Scenario specifications'!$A$11:$A$49,0))</f>
        <v>Current 2DS, 2030 start, 'Expect the Unexpected' but with cheap CCS</v>
      </c>
      <c r="B516" s="3" t="s">
        <v>46</v>
      </c>
      <c r="C516" s="3" t="s">
        <v>67</v>
      </c>
      <c r="D516" s="14">
        <v>10255.125599999996</v>
      </c>
      <c r="E516" s="14">
        <v>10349.477981293301</v>
      </c>
      <c r="F516" s="14">
        <v>14634.999767850808</v>
      </c>
      <c r="G516" s="14">
        <v>17168.548108229523</v>
      </c>
      <c r="H516" s="14">
        <v>19644.239865638818</v>
      </c>
      <c r="I516" s="14">
        <v>24529.344910639833</v>
      </c>
      <c r="J516" s="14">
        <v>26240.228346292883</v>
      </c>
      <c r="K516" s="14">
        <v>27203.153573213222</v>
      </c>
      <c r="L516" s="14">
        <v>30050.462436225072</v>
      </c>
      <c r="M516" s="14">
        <v>36654.414028439438</v>
      </c>
      <c r="N516" s="14">
        <v>38787.139304737066</v>
      </c>
    </row>
    <row r="517" spans="1:14" x14ac:dyDescent="0.3">
      <c r="A517" s="3" t="str">
        <f>INDEX('R1. Scenario specifications'!$C$11:$C$49,MATCH($B517,'R1. Scenario specifications'!$A$11:$A$49,0))</f>
        <v>Current 2DS, 2030 start, 'Expect the Unexpected' but with cheap CCS</v>
      </c>
      <c r="B517" s="3" t="s">
        <v>46</v>
      </c>
      <c r="C517" s="3" t="s">
        <v>68</v>
      </c>
      <c r="D517" s="14">
        <v>9499.4101148835834</v>
      </c>
      <c r="E517" s="14">
        <v>9854.768593125913</v>
      </c>
      <c r="F517" s="14">
        <v>13753.197500000002</v>
      </c>
      <c r="G517" s="14">
        <v>14514.167854150606</v>
      </c>
      <c r="H517" s="14">
        <v>15191.631806438927</v>
      </c>
      <c r="I517" s="14">
        <v>23771.416194228066</v>
      </c>
      <c r="J517" s="14">
        <v>29226.529402170152</v>
      </c>
      <c r="K517" s="14">
        <v>32695.732240106932</v>
      </c>
      <c r="L517" s="14">
        <v>35726.45228345396</v>
      </c>
      <c r="M517" s="14">
        <v>38404.324322916611</v>
      </c>
      <c r="N517" s="14">
        <v>39733.174999999996</v>
      </c>
    </row>
    <row r="518" spans="1:14" x14ac:dyDescent="0.3">
      <c r="A518" s="3" t="str">
        <f>INDEX('R1. Scenario specifications'!$C$11:$C$49,MATCH($B518,'R1. Scenario specifications'!$A$11:$A$49,0))</f>
        <v>Current 2DS, 2030 start, 'Expect the Unexpected' but with cheap CCS</v>
      </c>
      <c r="B518" s="3" t="s">
        <v>46</v>
      </c>
      <c r="C518" s="3" t="s">
        <v>69</v>
      </c>
      <c r="D518" s="14">
        <v>2379.5369238501598</v>
      </c>
      <c r="E518" s="14">
        <v>2356.8190162179026</v>
      </c>
      <c r="F518" s="14">
        <v>2308.8771400062938</v>
      </c>
      <c r="G518" s="14">
        <v>1516.5761695611868</v>
      </c>
      <c r="H518" s="14">
        <v>735.79214155908926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</row>
    <row r="519" spans="1:14" x14ac:dyDescent="0.3">
      <c r="A519" s="3" t="str">
        <f>INDEX('R1. Scenario specifications'!$C$11:$C$49,MATCH($B519,'R1. Scenario specifications'!$A$11:$A$49,0))</f>
        <v>Current 2DS, 2030 start, 'Expect the Unexpected' but with cheap CCS</v>
      </c>
      <c r="B519" s="3" t="s">
        <v>46</v>
      </c>
      <c r="C519" s="3" t="s">
        <v>70</v>
      </c>
      <c r="D519" s="14">
        <v>67.937052631788802</v>
      </c>
      <c r="E519" s="14">
        <v>458.66984800047192</v>
      </c>
      <c r="F519" s="14">
        <v>917.48161125092997</v>
      </c>
      <c r="G519" s="14">
        <v>2670.3548260954558</v>
      </c>
      <c r="H519" s="14">
        <v>11031.398228758801</v>
      </c>
      <c r="I519" s="14">
        <v>25238.428055703873</v>
      </c>
      <c r="J519" s="14">
        <v>34159.125342254447</v>
      </c>
      <c r="K519" s="14">
        <v>42746.915527597608</v>
      </c>
      <c r="L519" s="14">
        <v>60475.977436494897</v>
      </c>
      <c r="M519" s="14">
        <v>91671.841544969691</v>
      </c>
      <c r="N519" s="14">
        <v>101863.67433916879</v>
      </c>
    </row>
    <row r="520" spans="1:14" x14ac:dyDescent="0.3">
      <c r="A520" s="3" t="str">
        <f>INDEX('R1. Scenario specifications'!$C$11:$C$49,MATCH($B520,'R1. Scenario specifications'!$A$11:$A$49,0))</f>
        <v>Current 2DS, 2030 start, 'Expect the Unexpected' but with cheap CCS</v>
      </c>
      <c r="B520" s="3" t="s">
        <v>46</v>
      </c>
      <c r="C520" s="3" t="s">
        <v>71</v>
      </c>
      <c r="D520" s="14">
        <v>0.68787021919935687</v>
      </c>
      <c r="E520" s="14">
        <v>0.6257617671977489</v>
      </c>
      <c r="F520" s="14">
        <v>0.52638824399517514</v>
      </c>
      <c r="G520" s="14">
        <v>0.35092549599678308</v>
      </c>
      <c r="H520" s="14">
        <v>0.17546274799839173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</row>
    <row r="521" spans="1:14" x14ac:dyDescent="0.3">
      <c r="A521" s="3" t="str">
        <f>INDEX('R1. Scenario specifications'!$C$11:$C$49,MATCH($B521,'R1. Scenario specifications'!$A$11:$A$49,0))</f>
        <v>Current 2DS, 2030 start, 'Expect the Unexpected' but with cheap CCS</v>
      </c>
      <c r="B521" s="3" t="s">
        <v>46</v>
      </c>
      <c r="C521" s="3" t="s">
        <v>75</v>
      </c>
      <c r="D521" s="14">
        <v>1.963099940637433</v>
      </c>
      <c r="E521" s="14">
        <v>1.7858497922310126</v>
      </c>
      <c r="F521" s="14">
        <v>1.5022495547807513</v>
      </c>
      <c r="G521" s="14">
        <v>1.0014997031871682</v>
      </c>
      <c r="H521" s="14">
        <v>0.50074985159358421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</row>
    <row r="522" spans="1:14" x14ac:dyDescent="0.3">
      <c r="A522" s="3" t="str">
        <f>INDEX('R1. Scenario specifications'!$C$11:$C$49,MATCH($B522,'R1. Scenario specifications'!$A$11:$A$49,0))</f>
        <v>Current 2DS, 2030 start, 'Expect the Unexpected' but with cheap CCS</v>
      </c>
      <c r="B522" s="3" t="s">
        <v>46</v>
      </c>
      <c r="C522" s="3" t="s">
        <v>72</v>
      </c>
      <c r="D522" s="14">
        <v>1517.4635089937533</v>
      </c>
      <c r="E522" s="14">
        <v>1704.9418897085425</v>
      </c>
      <c r="F522" s="14">
        <v>2685.5545190640855</v>
      </c>
      <c r="G522" s="14">
        <v>10882.32058635127</v>
      </c>
      <c r="H522" s="14">
        <v>27461.490665317244</v>
      </c>
      <c r="I522" s="14">
        <v>34981.449026780385</v>
      </c>
      <c r="J522" s="14">
        <v>48538.665888055446</v>
      </c>
      <c r="K522" s="14">
        <v>63032.933128963989</v>
      </c>
      <c r="L522" s="14">
        <v>92354.38809262593</v>
      </c>
      <c r="M522" s="14">
        <v>146572.014028901</v>
      </c>
      <c r="N522" s="14">
        <v>184315.10915030606</v>
      </c>
    </row>
    <row r="523" spans="1:14" x14ac:dyDescent="0.3">
      <c r="A523" s="3" t="str">
        <f>INDEX('R1. Scenario specifications'!$C$11:$C$49,MATCH($B523,'R1. Scenario specifications'!$A$11:$A$49,0))</f>
        <v>Current 2DS, 2020 start, 'Expect the Unexpected' but with cheap EVs</v>
      </c>
      <c r="B523" s="3" t="s">
        <v>47</v>
      </c>
      <c r="C523" s="3" t="s">
        <v>63</v>
      </c>
      <c r="D523" s="14">
        <v>225.44707509197985</v>
      </c>
      <c r="E523" s="14">
        <v>432.13326707926797</v>
      </c>
      <c r="F523" s="14">
        <v>2791.4850951746125</v>
      </c>
      <c r="G523" s="14">
        <v>12120.273839922602</v>
      </c>
      <c r="H523" s="14">
        <v>14063.542130964799</v>
      </c>
      <c r="I523" s="14">
        <v>16371.30685516757</v>
      </c>
      <c r="J523" s="14">
        <v>7979.7490467068747</v>
      </c>
      <c r="K523" s="14">
        <v>4408.8026339123362</v>
      </c>
      <c r="L523" s="14">
        <v>313.3688166469193</v>
      </c>
      <c r="M523" s="14">
        <v>72.739009978622079</v>
      </c>
      <c r="N523" s="14">
        <v>70.795401292520594</v>
      </c>
    </row>
    <row r="524" spans="1:14" x14ac:dyDescent="0.3">
      <c r="A524" s="3" t="str">
        <f>INDEX('R1. Scenario specifications'!$C$11:$C$49,MATCH($B524,'R1. Scenario specifications'!$A$11:$A$49,0))</f>
        <v>Current 2DS, 2020 start, 'Expect the Unexpected' but with cheap EVs</v>
      </c>
      <c r="B524" s="3" t="s">
        <v>47</v>
      </c>
      <c r="C524" s="3" t="s">
        <v>73</v>
      </c>
      <c r="D524" s="14">
        <v>0</v>
      </c>
      <c r="E524" s="14">
        <v>0</v>
      </c>
      <c r="F524" s="14">
        <v>0</v>
      </c>
      <c r="G524" s="14">
        <v>89.823149452514158</v>
      </c>
      <c r="H524" s="14">
        <v>667.91105749066026</v>
      </c>
      <c r="I524" s="14">
        <v>4299.8885681264246</v>
      </c>
      <c r="J524" s="14">
        <v>18485.133868595116</v>
      </c>
      <c r="K524" s="14">
        <v>39169.624604492878</v>
      </c>
      <c r="L524" s="14">
        <v>60732.783061458496</v>
      </c>
      <c r="M524" s="14">
        <v>78501.585074644725</v>
      </c>
      <c r="N524" s="14">
        <v>86239.789218890801</v>
      </c>
    </row>
    <row r="525" spans="1:14" x14ac:dyDescent="0.3">
      <c r="A525" s="3" t="str">
        <f>INDEX('R1. Scenario specifications'!$C$11:$C$49,MATCH($B525,'R1. Scenario specifications'!$A$11:$A$49,0))</f>
        <v>Current 2DS, 2020 start, 'Expect the Unexpected' but with cheap EVs</v>
      </c>
      <c r="B525" s="3" t="s">
        <v>47</v>
      </c>
      <c r="C525" s="3" t="s">
        <v>64</v>
      </c>
      <c r="D525" s="14">
        <v>33040.313548549595</v>
      </c>
      <c r="E525" s="14">
        <v>42259.332050485427</v>
      </c>
      <c r="F525" s="14">
        <v>32172.508335863538</v>
      </c>
      <c r="G525" s="14">
        <v>22642.381454136059</v>
      </c>
      <c r="H525" s="14">
        <v>8632.3472808219412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</row>
    <row r="526" spans="1:14" x14ac:dyDescent="0.3">
      <c r="A526" s="3" t="str">
        <f>INDEX('R1. Scenario specifications'!$C$11:$C$49,MATCH($B526,'R1. Scenario specifications'!$A$11:$A$49,0))</f>
        <v>Current 2DS, 2020 start, 'Expect the Unexpected' but with cheap EVs</v>
      </c>
      <c r="B526" s="3" t="s">
        <v>47</v>
      </c>
      <c r="C526" s="3" t="s">
        <v>65</v>
      </c>
      <c r="D526" s="14">
        <v>14597.074835304187</v>
      </c>
      <c r="E526" s="14">
        <v>15742.568461825351</v>
      </c>
      <c r="F526" s="14">
        <v>23692.881756781935</v>
      </c>
      <c r="G526" s="14">
        <v>20170.010862574971</v>
      </c>
      <c r="H526" s="14">
        <v>17890.345575460313</v>
      </c>
      <c r="I526" s="14">
        <v>11135.810998890307</v>
      </c>
      <c r="J526" s="14">
        <v>7449.7153521470882</v>
      </c>
      <c r="K526" s="14">
        <v>5051.5987529779577</v>
      </c>
      <c r="L526" s="14">
        <v>1078.3332856893392</v>
      </c>
      <c r="M526" s="14">
        <v>5.1443131498916799</v>
      </c>
      <c r="N526" s="14">
        <v>0</v>
      </c>
    </row>
    <row r="527" spans="1:14" x14ac:dyDescent="0.3">
      <c r="A527" s="3" t="str">
        <f>INDEX('R1. Scenario specifications'!$C$11:$C$49,MATCH($B527,'R1. Scenario specifications'!$A$11:$A$49,0))</f>
        <v>Current 2DS, 2020 start, 'Expect the Unexpected' but with cheap EVs</v>
      </c>
      <c r="B527" s="3" t="s">
        <v>47</v>
      </c>
      <c r="C527" s="3" t="s">
        <v>74</v>
      </c>
      <c r="D527" s="14">
        <v>0</v>
      </c>
      <c r="E527" s="14">
        <v>0</v>
      </c>
      <c r="F527" s="14">
        <v>0</v>
      </c>
      <c r="G527" s="14">
        <v>0</v>
      </c>
      <c r="H527" s="14">
        <v>0</v>
      </c>
      <c r="I527" s="14">
        <v>16.72088613390903</v>
      </c>
      <c r="J527" s="14">
        <v>80.932140591600657</v>
      </c>
      <c r="K527" s="14">
        <v>571.77012623408666</v>
      </c>
      <c r="L527" s="14">
        <v>3926.5870531747551</v>
      </c>
      <c r="M527" s="14">
        <v>8671.4698126760632</v>
      </c>
      <c r="N527" s="14">
        <v>10482.846673170321</v>
      </c>
    </row>
    <row r="528" spans="1:14" x14ac:dyDescent="0.3">
      <c r="A528" s="3" t="str">
        <f>INDEX('R1. Scenario specifications'!$C$11:$C$49,MATCH($B528,'R1. Scenario specifications'!$A$11:$A$49,0))</f>
        <v>Current 2DS, 2020 start, 'Expect the Unexpected' but with cheap EVs</v>
      </c>
      <c r="B528" s="3" t="s">
        <v>47</v>
      </c>
      <c r="C528" s="3" t="s">
        <v>66</v>
      </c>
      <c r="D528" s="14">
        <v>202.4480216544064</v>
      </c>
      <c r="E528" s="14">
        <v>194.35225063586262</v>
      </c>
      <c r="F528" s="14">
        <v>2690.096097794773</v>
      </c>
      <c r="G528" s="14">
        <v>4159.862749522521</v>
      </c>
      <c r="H528" s="14">
        <v>5652.6092742287965</v>
      </c>
      <c r="I528" s="14">
        <v>7929.745225122967</v>
      </c>
      <c r="J528" s="14">
        <v>12270.993980791671</v>
      </c>
      <c r="K528" s="14">
        <v>13982.054906365516</v>
      </c>
      <c r="L528" s="14">
        <v>15690.619493199087</v>
      </c>
      <c r="M528" s="14">
        <v>23086.280550841006</v>
      </c>
      <c r="N528" s="14">
        <v>25411.578975062828</v>
      </c>
    </row>
    <row r="529" spans="1:14" x14ac:dyDescent="0.3">
      <c r="A529" s="3" t="str">
        <f>INDEX('R1. Scenario specifications'!$C$11:$C$49,MATCH($B529,'R1. Scenario specifications'!$A$11:$A$49,0))</f>
        <v>Current 2DS, 2020 start, 'Expect the Unexpected' but with cheap EVs</v>
      </c>
      <c r="B529" s="3" t="s">
        <v>47</v>
      </c>
      <c r="C529" s="3" t="s">
        <v>67</v>
      </c>
      <c r="D529" s="14">
        <v>10255.125599999996</v>
      </c>
      <c r="E529" s="14">
        <v>10349.477981293301</v>
      </c>
      <c r="F529" s="14">
        <v>14634.999767850808</v>
      </c>
      <c r="G529" s="14">
        <v>17355.17407654487</v>
      </c>
      <c r="H529" s="14">
        <v>20046.684364696448</v>
      </c>
      <c r="I529" s="14">
        <v>24103.25959882202</v>
      </c>
      <c r="J529" s="14">
        <v>25847.759061109988</v>
      </c>
      <c r="K529" s="14">
        <v>26912.115036787465</v>
      </c>
      <c r="L529" s="14">
        <v>29608.550597804446</v>
      </c>
      <c r="M529" s="14">
        <v>35315.754297067768</v>
      </c>
      <c r="N529" s="14">
        <v>38780.674966424194</v>
      </c>
    </row>
    <row r="530" spans="1:14" x14ac:dyDescent="0.3">
      <c r="A530" s="3" t="str">
        <f>INDEX('R1. Scenario specifications'!$C$11:$C$49,MATCH($B530,'R1. Scenario specifications'!$A$11:$A$49,0))</f>
        <v>Current 2DS, 2020 start, 'Expect the Unexpected' but with cheap EVs</v>
      </c>
      <c r="B530" s="3" t="s">
        <v>47</v>
      </c>
      <c r="C530" s="3" t="s">
        <v>68</v>
      </c>
      <c r="D530" s="14">
        <v>9499.4101148835834</v>
      </c>
      <c r="E530" s="14">
        <v>9854.768593125913</v>
      </c>
      <c r="F530" s="14">
        <v>13753.197500000002</v>
      </c>
      <c r="G530" s="14">
        <v>14514.167854150604</v>
      </c>
      <c r="H530" s="14">
        <v>16455.882818093436</v>
      </c>
      <c r="I530" s="14">
        <v>22976.192980843462</v>
      </c>
      <c r="J530" s="14">
        <v>28732.6686599479</v>
      </c>
      <c r="K530" s="14">
        <v>32599.848668703977</v>
      </c>
      <c r="L530" s="14">
        <v>34738.665533826294</v>
      </c>
      <c r="M530" s="14">
        <v>38370.450942908428</v>
      </c>
      <c r="N530" s="14">
        <v>39733.174999999996</v>
      </c>
    </row>
    <row r="531" spans="1:14" x14ac:dyDescent="0.3">
      <c r="A531" s="3" t="str">
        <f>INDEX('R1. Scenario specifications'!$C$11:$C$49,MATCH($B531,'R1. Scenario specifications'!$A$11:$A$49,0))</f>
        <v>Current 2DS, 2020 start, 'Expect the Unexpected' but with cheap EVs</v>
      </c>
      <c r="B531" s="3" t="s">
        <v>47</v>
      </c>
      <c r="C531" s="3" t="s">
        <v>69</v>
      </c>
      <c r="D531" s="14">
        <v>2379.5369238501598</v>
      </c>
      <c r="E531" s="14">
        <v>2356.8190162179026</v>
      </c>
      <c r="F531" s="14">
        <v>2308.8771400062938</v>
      </c>
      <c r="G531" s="14">
        <v>1503.8223551611879</v>
      </c>
      <c r="H531" s="14">
        <v>735.79214155908926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</row>
    <row r="532" spans="1:14" x14ac:dyDescent="0.3">
      <c r="A532" s="3" t="str">
        <f>INDEX('R1. Scenario specifications'!$C$11:$C$49,MATCH($B532,'R1. Scenario specifications'!$A$11:$A$49,0))</f>
        <v>Current 2DS, 2020 start, 'Expect the Unexpected' but with cheap EVs</v>
      </c>
      <c r="B532" s="3" t="s">
        <v>47</v>
      </c>
      <c r="C532" s="3" t="s">
        <v>70</v>
      </c>
      <c r="D532" s="14">
        <v>67.937052631788802</v>
      </c>
      <c r="E532" s="14">
        <v>458.66984800047192</v>
      </c>
      <c r="F532" s="14">
        <v>917.48161125092997</v>
      </c>
      <c r="G532" s="14">
        <v>3275.0402080180756</v>
      </c>
      <c r="H532" s="14">
        <v>12768.228042351144</v>
      </c>
      <c r="I532" s="14">
        <v>25458.528815163925</v>
      </c>
      <c r="J532" s="14">
        <v>32721.373940909154</v>
      </c>
      <c r="K532" s="14">
        <v>42507.981184610515</v>
      </c>
      <c r="L532" s="14">
        <v>54475.534341547092</v>
      </c>
      <c r="M532" s="14">
        <v>85199.057115189455</v>
      </c>
      <c r="N532" s="14">
        <v>97693.778287566747</v>
      </c>
    </row>
    <row r="533" spans="1:14" x14ac:dyDescent="0.3">
      <c r="A533" s="3" t="str">
        <f>INDEX('R1. Scenario specifications'!$C$11:$C$49,MATCH($B533,'R1. Scenario specifications'!$A$11:$A$49,0))</f>
        <v>Current 2DS, 2020 start, 'Expect the Unexpected' but with cheap EVs</v>
      </c>
      <c r="B533" s="3" t="s">
        <v>47</v>
      </c>
      <c r="C533" s="3" t="s">
        <v>71</v>
      </c>
      <c r="D533" s="14">
        <v>0.68787021919935687</v>
      </c>
      <c r="E533" s="14">
        <v>0.6257617671977489</v>
      </c>
      <c r="F533" s="14">
        <v>0.52638824399517514</v>
      </c>
      <c r="G533" s="14">
        <v>0.35092549599678308</v>
      </c>
      <c r="H533" s="14">
        <v>0.17546274799839173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</row>
    <row r="534" spans="1:14" x14ac:dyDescent="0.3">
      <c r="A534" s="3" t="str">
        <f>INDEX('R1. Scenario specifications'!$C$11:$C$49,MATCH($B534,'R1. Scenario specifications'!$A$11:$A$49,0))</f>
        <v>Current 2DS, 2020 start, 'Expect the Unexpected' but with cheap EVs</v>
      </c>
      <c r="B534" s="3" t="s">
        <v>47</v>
      </c>
      <c r="C534" s="3" t="s">
        <v>75</v>
      </c>
      <c r="D534" s="14">
        <v>1.963099940637433</v>
      </c>
      <c r="E534" s="14">
        <v>1.7858497922310126</v>
      </c>
      <c r="F534" s="14">
        <v>1.5022495547807513</v>
      </c>
      <c r="G534" s="14">
        <v>1.0014997031871682</v>
      </c>
      <c r="H534" s="14">
        <v>0.50074985159358421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</row>
    <row r="535" spans="1:14" x14ac:dyDescent="0.3">
      <c r="A535" s="3" t="str">
        <f>INDEX('R1. Scenario specifications'!$C$11:$C$49,MATCH($B535,'R1. Scenario specifications'!$A$11:$A$49,0))</f>
        <v>Current 2DS, 2020 start, 'Expect the Unexpected' but with cheap EVs</v>
      </c>
      <c r="B535" s="3" t="s">
        <v>47</v>
      </c>
      <c r="C535" s="3" t="s">
        <v>72</v>
      </c>
      <c r="D535" s="14">
        <v>1517.4635089937533</v>
      </c>
      <c r="E535" s="14">
        <v>1704.9418897085425</v>
      </c>
      <c r="F535" s="14">
        <v>2685.5545190640855</v>
      </c>
      <c r="G535" s="14">
        <v>10767.047639583727</v>
      </c>
      <c r="H535" s="14">
        <v>27455.005721666996</v>
      </c>
      <c r="I535" s="14">
        <v>35697.258444534156</v>
      </c>
      <c r="J535" s="14">
        <v>48436.209470350965</v>
      </c>
      <c r="K535" s="14">
        <v>63908.250111877351</v>
      </c>
      <c r="L535" s="14">
        <v>88144.641878633644</v>
      </c>
      <c r="M535" s="14">
        <v>141553.92642551358</v>
      </c>
      <c r="N535" s="14">
        <v>180776.93792855405</v>
      </c>
    </row>
    <row r="536" spans="1:14" x14ac:dyDescent="0.3">
      <c r="A536" s="3" t="str">
        <f>INDEX('R1. Scenario specifications'!$C$11:$C$49,MATCH($B536,'R1. Scenario specifications'!$A$11:$A$49,0))</f>
        <v>Current 2DS, 2030 start, 'Expect the Unexpected' but with cheap EVs</v>
      </c>
      <c r="B536" s="3" t="s">
        <v>48</v>
      </c>
      <c r="C536" s="3" t="s">
        <v>63</v>
      </c>
      <c r="D536" s="14">
        <v>225.44707509197985</v>
      </c>
      <c r="E536" s="14">
        <v>432.13326707926797</v>
      </c>
      <c r="F536" s="14">
        <v>2791.4850951746125</v>
      </c>
      <c r="G536" s="14">
        <v>10791.541692619947</v>
      </c>
      <c r="H536" s="14">
        <v>16414.246382110818</v>
      </c>
      <c r="I536" s="14">
        <v>16273.799488895611</v>
      </c>
      <c r="J536" s="14">
        <v>9016.9546753622908</v>
      </c>
      <c r="K536" s="14">
        <v>2781.8361334455763</v>
      </c>
      <c r="L536" s="14">
        <v>222.502773805061</v>
      </c>
      <c r="M536" s="14">
        <v>72.924045677439295</v>
      </c>
      <c r="N536" s="14">
        <v>72.924045677439295</v>
      </c>
    </row>
    <row r="537" spans="1:14" x14ac:dyDescent="0.3">
      <c r="A537" s="3" t="str">
        <f>INDEX('R1. Scenario specifications'!$C$11:$C$49,MATCH($B537,'R1. Scenario specifications'!$A$11:$A$49,0))</f>
        <v>Current 2DS, 2030 start, 'Expect the Unexpected' but with cheap EVs</v>
      </c>
      <c r="B537" s="3" t="s">
        <v>48</v>
      </c>
      <c r="C537" s="3" t="s">
        <v>73</v>
      </c>
      <c r="D537" s="14">
        <v>0</v>
      </c>
      <c r="E537" s="14">
        <v>0</v>
      </c>
      <c r="F537" s="14">
        <v>0</v>
      </c>
      <c r="G537" s="14">
        <v>0</v>
      </c>
      <c r="H537" s="14">
        <v>255.93410494920676</v>
      </c>
      <c r="I537" s="14">
        <v>2103.9864474207134</v>
      </c>
      <c r="J537" s="14">
        <v>12715.589780630684</v>
      </c>
      <c r="K537" s="14">
        <v>37316.362203250632</v>
      </c>
      <c r="L537" s="14">
        <v>64512.799031255017</v>
      </c>
      <c r="M537" s="14">
        <v>81580.825090233833</v>
      </c>
      <c r="N537" s="14">
        <v>87993.597133503994</v>
      </c>
    </row>
    <row r="538" spans="1:14" x14ac:dyDescent="0.3">
      <c r="A538" s="3" t="str">
        <f>INDEX('R1. Scenario specifications'!$C$11:$C$49,MATCH($B538,'R1. Scenario specifications'!$A$11:$A$49,0))</f>
        <v>Current 2DS, 2030 start, 'Expect the Unexpected' but with cheap EVs</v>
      </c>
      <c r="B538" s="3" t="s">
        <v>48</v>
      </c>
      <c r="C538" s="3" t="s">
        <v>64</v>
      </c>
      <c r="D538" s="14">
        <v>33040.313548549595</v>
      </c>
      <c r="E538" s="14">
        <v>42259.332050485427</v>
      </c>
      <c r="F538" s="14">
        <v>32172.508335863538</v>
      </c>
      <c r="G538" s="14">
        <v>29995.093630544216</v>
      </c>
      <c r="H538" s="14">
        <v>9071.063465357196</v>
      </c>
      <c r="I538" s="14">
        <v>465.380187912461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</row>
    <row r="539" spans="1:14" x14ac:dyDescent="0.3">
      <c r="A539" s="3" t="str">
        <f>INDEX('R1. Scenario specifications'!$C$11:$C$49,MATCH($B539,'R1. Scenario specifications'!$A$11:$A$49,0))</f>
        <v>Current 2DS, 2030 start, 'Expect the Unexpected' but with cheap EVs</v>
      </c>
      <c r="B539" s="3" t="s">
        <v>48</v>
      </c>
      <c r="C539" s="3" t="s">
        <v>65</v>
      </c>
      <c r="D539" s="14">
        <v>14597.074835304187</v>
      </c>
      <c r="E539" s="14">
        <v>15742.568461825351</v>
      </c>
      <c r="F539" s="14">
        <v>23692.881756781935</v>
      </c>
      <c r="G539" s="14">
        <v>18923.773890589895</v>
      </c>
      <c r="H539" s="14">
        <v>18977.8779082121</v>
      </c>
      <c r="I539" s="14">
        <v>10684.346264796226</v>
      </c>
      <c r="J539" s="14">
        <v>7066.3887153552823</v>
      </c>
      <c r="K539" s="14">
        <v>3390.1443929849838</v>
      </c>
      <c r="L539" s="14">
        <v>932.13476742347507</v>
      </c>
      <c r="M539" s="14">
        <v>0</v>
      </c>
      <c r="N539" s="14">
        <v>0</v>
      </c>
    </row>
    <row r="540" spans="1:14" x14ac:dyDescent="0.3">
      <c r="A540" s="3" t="str">
        <f>INDEX('R1. Scenario specifications'!$C$11:$C$49,MATCH($B540,'R1. Scenario specifications'!$A$11:$A$49,0))</f>
        <v>Current 2DS, 2030 start, 'Expect the Unexpected' but with cheap EVs</v>
      </c>
      <c r="B540" s="3" t="s">
        <v>48</v>
      </c>
      <c r="C540" s="3" t="s">
        <v>74</v>
      </c>
      <c r="D540" s="14">
        <v>0</v>
      </c>
      <c r="E540" s="14">
        <v>0</v>
      </c>
      <c r="F540" s="14">
        <v>0</v>
      </c>
      <c r="G540" s="14">
        <v>0</v>
      </c>
      <c r="H540" s="14">
        <v>4.4742860498999608</v>
      </c>
      <c r="I540" s="14">
        <v>85.155964037739324</v>
      </c>
      <c r="J540" s="14">
        <v>1198.6217492875326</v>
      </c>
      <c r="K540" s="14">
        <v>1655.5301951435763</v>
      </c>
      <c r="L540" s="14">
        <v>4510.2099496719593</v>
      </c>
      <c r="M540" s="14">
        <v>8525.4281384960923</v>
      </c>
      <c r="N540" s="14">
        <v>10041.185270163574</v>
      </c>
    </row>
    <row r="541" spans="1:14" x14ac:dyDescent="0.3">
      <c r="A541" s="3" t="str">
        <f>INDEX('R1. Scenario specifications'!$C$11:$C$49,MATCH($B541,'R1. Scenario specifications'!$A$11:$A$49,0))</f>
        <v>Current 2DS, 2030 start, 'Expect the Unexpected' but with cheap EVs</v>
      </c>
      <c r="B541" s="3" t="s">
        <v>48</v>
      </c>
      <c r="C541" s="3" t="s">
        <v>66</v>
      </c>
      <c r="D541" s="14">
        <v>202.4480216544064</v>
      </c>
      <c r="E541" s="14">
        <v>194.35225063586262</v>
      </c>
      <c r="F541" s="14">
        <v>2690.096097794773</v>
      </c>
      <c r="G541" s="14">
        <v>4149.3454146666118</v>
      </c>
      <c r="H541" s="14">
        <v>5642.0919393728864</v>
      </c>
      <c r="I541" s="14">
        <v>8224.0007533399857</v>
      </c>
      <c r="J541" s="14">
        <v>13920.227997276501</v>
      </c>
      <c r="K541" s="14">
        <v>14390.97795362597</v>
      </c>
      <c r="L541" s="14">
        <v>15557.815003376088</v>
      </c>
      <c r="M541" s="14">
        <v>22461.92329428079</v>
      </c>
      <c r="N541" s="14">
        <v>27538.327215564499</v>
      </c>
    </row>
    <row r="542" spans="1:14" x14ac:dyDescent="0.3">
      <c r="A542" s="3" t="str">
        <f>INDEX('R1. Scenario specifications'!$C$11:$C$49,MATCH($B542,'R1. Scenario specifications'!$A$11:$A$49,0))</f>
        <v>Current 2DS, 2030 start, 'Expect the Unexpected' but with cheap EVs</v>
      </c>
      <c r="B542" s="3" t="s">
        <v>48</v>
      </c>
      <c r="C542" s="3" t="s">
        <v>67</v>
      </c>
      <c r="D542" s="14">
        <v>10255.125599999996</v>
      </c>
      <c r="E542" s="14">
        <v>10349.477981293301</v>
      </c>
      <c r="F542" s="14">
        <v>14634.999767850808</v>
      </c>
      <c r="G542" s="14">
        <v>17168.548108229523</v>
      </c>
      <c r="H542" s="14">
        <v>19644.239865638818</v>
      </c>
      <c r="I542" s="14">
        <v>24697.800016135308</v>
      </c>
      <c r="J542" s="14">
        <v>26257.530729220933</v>
      </c>
      <c r="K542" s="14">
        <v>27212.872081411158</v>
      </c>
      <c r="L542" s="14">
        <v>29950.172454544259</v>
      </c>
      <c r="M542" s="14">
        <v>36583.495912527229</v>
      </c>
      <c r="N542" s="14">
        <v>38673.691853229931</v>
      </c>
    </row>
    <row r="543" spans="1:14" x14ac:dyDescent="0.3">
      <c r="A543" s="3" t="str">
        <f>INDEX('R1. Scenario specifications'!$C$11:$C$49,MATCH($B543,'R1. Scenario specifications'!$A$11:$A$49,0))</f>
        <v>Current 2DS, 2030 start, 'Expect the Unexpected' but with cheap EVs</v>
      </c>
      <c r="B543" s="3" t="s">
        <v>48</v>
      </c>
      <c r="C543" s="3" t="s">
        <v>68</v>
      </c>
      <c r="D543" s="14">
        <v>9499.4101148835834</v>
      </c>
      <c r="E543" s="14">
        <v>9854.768593125913</v>
      </c>
      <c r="F543" s="14">
        <v>13753.197500000002</v>
      </c>
      <c r="G543" s="14">
        <v>14514.167854150606</v>
      </c>
      <c r="H543" s="14">
        <v>15191.631806438927</v>
      </c>
      <c r="I543" s="14">
        <v>23709.876572790574</v>
      </c>
      <c r="J543" s="14">
        <v>29322.752136321778</v>
      </c>
      <c r="K543" s="14">
        <v>32764.356268945841</v>
      </c>
      <c r="L543" s="14">
        <v>35335.78607805611</v>
      </c>
      <c r="M543" s="14">
        <v>38366.966663385632</v>
      </c>
      <c r="N543" s="14">
        <v>39733.174999999996</v>
      </c>
    </row>
    <row r="544" spans="1:14" x14ac:dyDescent="0.3">
      <c r="A544" s="3" t="str">
        <f>INDEX('R1. Scenario specifications'!$C$11:$C$49,MATCH($B544,'R1. Scenario specifications'!$A$11:$A$49,0))</f>
        <v>Current 2DS, 2030 start, 'Expect the Unexpected' but with cheap EVs</v>
      </c>
      <c r="B544" s="3" t="s">
        <v>48</v>
      </c>
      <c r="C544" s="3" t="s">
        <v>69</v>
      </c>
      <c r="D544" s="14">
        <v>2379.5369238501598</v>
      </c>
      <c r="E544" s="14">
        <v>2356.8190162179026</v>
      </c>
      <c r="F544" s="14">
        <v>2308.8771400062938</v>
      </c>
      <c r="G544" s="14">
        <v>1516.5761695611868</v>
      </c>
      <c r="H544" s="14">
        <v>735.79214155908949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</row>
    <row r="545" spans="1:14" x14ac:dyDescent="0.3">
      <c r="A545" s="3" t="str">
        <f>INDEX('R1. Scenario specifications'!$C$11:$C$49,MATCH($B545,'R1. Scenario specifications'!$A$11:$A$49,0))</f>
        <v>Current 2DS, 2030 start, 'Expect the Unexpected' but with cheap EVs</v>
      </c>
      <c r="B545" s="3" t="s">
        <v>48</v>
      </c>
      <c r="C545" s="3" t="s">
        <v>70</v>
      </c>
      <c r="D545" s="14">
        <v>67.937052631788802</v>
      </c>
      <c r="E545" s="14">
        <v>458.66984800047192</v>
      </c>
      <c r="F545" s="14">
        <v>917.48161125092997</v>
      </c>
      <c r="G545" s="14">
        <v>2670.3548260954558</v>
      </c>
      <c r="H545" s="14">
        <v>10969.403957658309</v>
      </c>
      <c r="I545" s="14">
        <v>25245.018436406484</v>
      </c>
      <c r="J545" s="14">
        <v>33877.883215555943</v>
      </c>
      <c r="K545" s="14">
        <v>42643.505500215761</v>
      </c>
      <c r="L545" s="14">
        <v>58723.376874850408</v>
      </c>
      <c r="M545" s="14">
        <v>89817.322820023532</v>
      </c>
      <c r="N545" s="14">
        <v>101269.12348257893</v>
      </c>
    </row>
    <row r="546" spans="1:14" x14ac:dyDescent="0.3">
      <c r="A546" s="3" t="str">
        <f>INDEX('R1. Scenario specifications'!$C$11:$C$49,MATCH($B546,'R1. Scenario specifications'!$A$11:$A$49,0))</f>
        <v>Current 2DS, 2030 start, 'Expect the Unexpected' but with cheap EVs</v>
      </c>
      <c r="B546" s="3" t="s">
        <v>48</v>
      </c>
      <c r="C546" s="3" t="s">
        <v>71</v>
      </c>
      <c r="D546" s="14">
        <v>0.68787021919935687</v>
      </c>
      <c r="E546" s="14">
        <v>0.6257617671977489</v>
      </c>
      <c r="F546" s="14">
        <v>0.52638824399517514</v>
      </c>
      <c r="G546" s="14">
        <v>0.35092549599678308</v>
      </c>
      <c r="H546" s="14">
        <v>0.17546274799839173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</row>
    <row r="547" spans="1:14" x14ac:dyDescent="0.3">
      <c r="A547" s="3" t="str">
        <f>INDEX('R1. Scenario specifications'!$C$11:$C$49,MATCH($B547,'R1. Scenario specifications'!$A$11:$A$49,0))</f>
        <v>Current 2DS, 2030 start, 'Expect the Unexpected' but with cheap EVs</v>
      </c>
      <c r="B547" s="3" t="s">
        <v>48</v>
      </c>
      <c r="C547" s="3" t="s">
        <v>75</v>
      </c>
      <c r="D547" s="14">
        <v>1.963099940637433</v>
      </c>
      <c r="E547" s="14">
        <v>1.7858497922310126</v>
      </c>
      <c r="F547" s="14">
        <v>1.5022495547807513</v>
      </c>
      <c r="G547" s="14">
        <v>1.0014997031871682</v>
      </c>
      <c r="H547" s="14">
        <v>0.50074985159358421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</row>
    <row r="548" spans="1:14" x14ac:dyDescent="0.3">
      <c r="A548" s="3" t="str">
        <f>INDEX('R1. Scenario specifications'!$C$11:$C$49,MATCH($B548,'R1. Scenario specifications'!$A$11:$A$49,0))</f>
        <v>Current 2DS, 2030 start, 'Expect the Unexpected' but with cheap EVs</v>
      </c>
      <c r="B548" s="3" t="s">
        <v>48</v>
      </c>
      <c r="C548" s="3" t="s">
        <v>72</v>
      </c>
      <c r="D548" s="14">
        <v>1517.4635089937533</v>
      </c>
      <c r="E548" s="14">
        <v>1704.9418897085425</v>
      </c>
      <c r="F548" s="14">
        <v>2685.5545190640855</v>
      </c>
      <c r="G548" s="14">
        <v>10882.32058635127</v>
      </c>
      <c r="H548" s="14">
        <v>27471.685530627048</v>
      </c>
      <c r="I548" s="14">
        <v>35492.307283689159</v>
      </c>
      <c r="J548" s="14">
        <v>48761.642767282996</v>
      </c>
      <c r="K548" s="14">
        <v>63511.196668134726</v>
      </c>
      <c r="L548" s="14">
        <v>92149.057491191459</v>
      </c>
      <c r="M548" s="14">
        <v>146245.63710855352</v>
      </c>
      <c r="N548" s="14">
        <v>184919.2520240201</v>
      </c>
    </row>
    <row r="549" spans="1:14" x14ac:dyDescent="0.3">
      <c r="A549" s="3" t="str">
        <f>INDEX('R1. Scenario specifications'!$C$11:$C$49,MATCH($B549,'R1. Scenario specifications'!$A$11:$A$49,0))</f>
        <v>Current 2DS, 2020 start, 'Expect the Unexpected' but with cheap energy efficiency</v>
      </c>
      <c r="B549" s="3" t="s">
        <v>49</v>
      </c>
      <c r="C549" s="3" t="s">
        <v>63</v>
      </c>
      <c r="D549" s="14">
        <v>225.44707509197985</v>
      </c>
      <c r="E549" s="14">
        <v>432.13326707926797</v>
      </c>
      <c r="F549" s="14">
        <v>2791.4850951746125</v>
      </c>
      <c r="G549" s="14">
        <v>11536.563738882451</v>
      </c>
      <c r="H549" s="14">
        <v>13246.205297337812</v>
      </c>
      <c r="I549" s="14">
        <v>16208.323566727075</v>
      </c>
      <c r="J549" s="14">
        <v>8943.8826667020458</v>
      </c>
      <c r="K549" s="14">
        <v>6331.1468812770909</v>
      </c>
      <c r="L549" s="14">
        <v>379.10199993943451</v>
      </c>
      <c r="M549" s="14">
        <v>78.261323579884447</v>
      </c>
      <c r="N549" s="14">
        <v>88.303380988643994</v>
      </c>
    </row>
    <row r="550" spans="1:14" x14ac:dyDescent="0.3">
      <c r="A550" s="3" t="str">
        <f>INDEX('R1. Scenario specifications'!$C$11:$C$49,MATCH($B550,'R1. Scenario specifications'!$A$11:$A$49,0))</f>
        <v>Current 2DS, 2020 start, 'Expect the Unexpected' but with cheap energy efficiency</v>
      </c>
      <c r="B550" s="3" t="s">
        <v>49</v>
      </c>
      <c r="C550" s="3" t="s">
        <v>73</v>
      </c>
      <c r="D550" s="14">
        <v>0</v>
      </c>
      <c r="E550" s="14">
        <v>0</v>
      </c>
      <c r="F550" s="14">
        <v>0</v>
      </c>
      <c r="G550" s="14">
        <v>37.06945146410132</v>
      </c>
      <c r="H550" s="14">
        <v>350.20419644073468</v>
      </c>
      <c r="I550" s="14">
        <v>2333.9660028380708</v>
      </c>
      <c r="J550" s="14">
        <v>10067.083351020527</v>
      </c>
      <c r="K550" s="14">
        <v>25825.697562594225</v>
      </c>
      <c r="L550" s="14">
        <v>48936.497143442815</v>
      </c>
      <c r="M550" s="14">
        <v>68219.086746385045</v>
      </c>
      <c r="N550" s="14">
        <v>84682.102043002596</v>
      </c>
    </row>
    <row r="551" spans="1:14" x14ac:dyDescent="0.3">
      <c r="A551" s="3" t="str">
        <f>INDEX('R1. Scenario specifications'!$C$11:$C$49,MATCH($B551,'R1. Scenario specifications'!$A$11:$A$49,0))</f>
        <v>Current 2DS, 2020 start, 'Expect the Unexpected' but with cheap energy efficiency</v>
      </c>
      <c r="B551" s="3" t="s">
        <v>49</v>
      </c>
      <c r="C551" s="3" t="s">
        <v>64</v>
      </c>
      <c r="D551" s="14">
        <v>33040.313548549595</v>
      </c>
      <c r="E551" s="14">
        <v>42259.332050485427</v>
      </c>
      <c r="F551" s="14">
        <v>32172.508335863538</v>
      </c>
      <c r="G551" s="14">
        <v>22161.495268787719</v>
      </c>
      <c r="H551" s="14">
        <v>7380.9361119633686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</row>
    <row r="552" spans="1:14" x14ac:dyDescent="0.3">
      <c r="A552" s="3" t="str">
        <f>INDEX('R1. Scenario specifications'!$C$11:$C$49,MATCH($B552,'R1. Scenario specifications'!$A$11:$A$49,0))</f>
        <v>Current 2DS, 2020 start, 'Expect the Unexpected' but with cheap energy efficiency</v>
      </c>
      <c r="B552" s="3" t="s">
        <v>49</v>
      </c>
      <c r="C552" s="3" t="s">
        <v>65</v>
      </c>
      <c r="D552" s="14">
        <v>14597.074835304187</v>
      </c>
      <c r="E552" s="14">
        <v>15742.568461825351</v>
      </c>
      <c r="F552" s="14">
        <v>23692.881756781935</v>
      </c>
      <c r="G552" s="14">
        <v>19097.645487222406</v>
      </c>
      <c r="H552" s="14">
        <v>18002.03689031578</v>
      </c>
      <c r="I552" s="14">
        <v>7053.6909684762304</v>
      </c>
      <c r="J552" s="14">
        <v>3632.0072650295638</v>
      </c>
      <c r="K552" s="14">
        <v>2322.9347630934317</v>
      </c>
      <c r="L552" s="14">
        <v>832.28352482239529</v>
      </c>
      <c r="M552" s="14">
        <v>192.23594231938762</v>
      </c>
      <c r="N552" s="14">
        <v>0</v>
      </c>
    </row>
    <row r="553" spans="1:14" x14ac:dyDescent="0.3">
      <c r="A553" s="3" t="str">
        <f>INDEX('R1. Scenario specifications'!$C$11:$C$49,MATCH($B553,'R1. Scenario specifications'!$A$11:$A$49,0))</f>
        <v>Current 2DS, 2020 start, 'Expect the Unexpected' but with cheap energy efficiency</v>
      </c>
      <c r="B553" s="3" t="s">
        <v>49</v>
      </c>
      <c r="C553" s="3" t="s">
        <v>74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1.854899053241323</v>
      </c>
      <c r="J553" s="14">
        <v>19.672892506318512</v>
      </c>
      <c r="K553" s="14">
        <v>246.11119992668915</v>
      </c>
      <c r="L553" s="14">
        <v>1145.3073652931005</v>
      </c>
      <c r="M553" s="14">
        <v>1994.8950375561849</v>
      </c>
      <c r="N553" s="14">
        <v>4850.1353611620079</v>
      </c>
    </row>
    <row r="554" spans="1:14" x14ac:dyDescent="0.3">
      <c r="A554" s="3" t="str">
        <f>INDEX('R1. Scenario specifications'!$C$11:$C$49,MATCH($B554,'R1. Scenario specifications'!$A$11:$A$49,0))</f>
        <v>Current 2DS, 2020 start, 'Expect the Unexpected' but with cheap energy efficiency</v>
      </c>
      <c r="B554" s="3" t="s">
        <v>49</v>
      </c>
      <c r="C554" s="3" t="s">
        <v>66</v>
      </c>
      <c r="D554" s="14">
        <v>202.4480216544064</v>
      </c>
      <c r="E554" s="14">
        <v>194.35225063586262</v>
      </c>
      <c r="F554" s="14">
        <v>2690.096097794773</v>
      </c>
      <c r="G554" s="14">
        <v>4159.862749522521</v>
      </c>
      <c r="H554" s="14">
        <v>5629.6294012502694</v>
      </c>
      <c r="I554" s="14">
        <v>7054.2356300133379</v>
      </c>
      <c r="J554" s="14">
        <v>6965.7323179122595</v>
      </c>
      <c r="K554" s="14">
        <v>6886.8551526412411</v>
      </c>
      <c r="L554" s="14">
        <v>7524.4813126573663</v>
      </c>
      <c r="M554" s="14">
        <v>11375.155967223971</v>
      </c>
      <c r="N554" s="14">
        <v>18545.393454643843</v>
      </c>
    </row>
    <row r="555" spans="1:14" x14ac:dyDescent="0.3">
      <c r="A555" s="3" t="str">
        <f>INDEX('R1. Scenario specifications'!$C$11:$C$49,MATCH($B555,'R1. Scenario specifications'!$A$11:$A$49,0))</f>
        <v>Current 2DS, 2020 start, 'Expect the Unexpected' but with cheap energy efficiency</v>
      </c>
      <c r="B555" s="3" t="s">
        <v>49</v>
      </c>
      <c r="C555" s="3" t="s">
        <v>67</v>
      </c>
      <c r="D555" s="14">
        <v>10255.125599999996</v>
      </c>
      <c r="E555" s="14">
        <v>10349.477981293301</v>
      </c>
      <c r="F555" s="14">
        <v>14634.999767850808</v>
      </c>
      <c r="G555" s="14">
        <v>17276.92070691524</v>
      </c>
      <c r="H555" s="14">
        <v>19671.539599042953</v>
      </c>
      <c r="I555" s="14">
        <v>22439.01648356708</v>
      </c>
      <c r="J555" s="14">
        <v>24003.879262199902</v>
      </c>
      <c r="K555" s="14">
        <v>24417.771206761932</v>
      </c>
      <c r="L555" s="14">
        <v>25539.655416457685</v>
      </c>
      <c r="M555" s="14">
        <v>30113.398513037479</v>
      </c>
      <c r="N555" s="14">
        <v>34901.295547243993</v>
      </c>
    </row>
    <row r="556" spans="1:14" x14ac:dyDescent="0.3">
      <c r="A556" s="3" t="str">
        <f>INDEX('R1. Scenario specifications'!$C$11:$C$49,MATCH($B556,'R1. Scenario specifications'!$A$11:$A$49,0))</f>
        <v>Current 2DS, 2020 start, 'Expect the Unexpected' but with cheap energy efficiency</v>
      </c>
      <c r="B556" s="3" t="s">
        <v>49</v>
      </c>
      <c r="C556" s="3" t="s">
        <v>68</v>
      </c>
      <c r="D556" s="14">
        <v>9499.4101148835834</v>
      </c>
      <c r="E556" s="14">
        <v>9854.768593125913</v>
      </c>
      <c r="F556" s="14">
        <v>13753.197500000002</v>
      </c>
      <c r="G556" s="14">
        <v>14514.167854150604</v>
      </c>
      <c r="H556" s="14">
        <v>16446.599972730342</v>
      </c>
      <c r="I556" s="14">
        <v>21155.728529743094</v>
      </c>
      <c r="J556" s="14">
        <v>26463.937607664178</v>
      </c>
      <c r="K556" s="14">
        <v>29693.016039071172</v>
      </c>
      <c r="L556" s="14">
        <v>33763.967828274421</v>
      </c>
      <c r="M556" s="14">
        <v>37908.53</v>
      </c>
      <c r="N556" s="14">
        <v>38475.508195027636</v>
      </c>
    </row>
    <row r="557" spans="1:14" x14ac:dyDescent="0.3">
      <c r="A557" s="3" t="str">
        <f>INDEX('R1. Scenario specifications'!$C$11:$C$49,MATCH($B557,'R1. Scenario specifications'!$A$11:$A$49,0))</f>
        <v>Current 2DS, 2020 start, 'Expect the Unexpected' but with cheap energy efficiency</v>
      </c>
      <c r="B557" s="3" t="s">
        <v>49</v>
      </c>
      <c r="C557" s="3" t="s">
        <v>69</v>
      </c>
      <c r="D557" s="14">
        <v>2379.5369238501598</v>
      </c>
      <c r="E557" s="14">
        <v>2356.8190162179026</v>
      </c>
      <c r="F557" s="14">
        <v>2308.8771400062938</v>
      </c>
      <c r="G557" s="14">
        <v>1503.8223551611879</v>
      </c>
      <c r="H557" s="14">
        <v>735.79214155908926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</row>
    <row r="558" spans="1:14" x14ac:dyDescent="0.3">
      <c r="A558" s="3" t="str">
        <f>INDEX('R1. Scenario specifications'!$C$11:$C$49,MATCH($B558,'R1. Scenario specifications'!$A$11:$A$49,0))</f>
        <v>Current 2DS, 2020 start, 'Expect the Unexpected' but with cheap energy efficiency</v>
      </c>
      <c r="B558" s="3" t="s">
        <v>49</v>
      </c>
      <c r="C558" s="3" t="s">
        <v>70</v>
      </c>
      <c r="D558" s="14">
        <v>67.937052631788802</v>
      </c>
      <c r="E558" s="14">
        <v>458.66984800047192</v>
      </c>
      <c r="F558" s="14">
        <v>917.48161125092997</v>
      </c>
      <c r="G558" s="14">
        <v>3094.8630186226524</v>
      </c>
      <c r="H558" s="14">
        <v>10961.885069439539</v>
      </c>
      <c r="I558" s="14">
        <v>23404.626779486738</v>
      </c>
      <c r="J558" s="14">
        <v>30391.556831709222</v>
      </c>
      <c r="K558" s="14">
        <v>36269.688871575549</v>
      </c>
      <c r="L558" s="14">
        <v>45759.733369541187</v>
      </c>
      <c r="M558" s="14">
        <v>62135.513522723289</v>
      </c>
      <c r="N558" s="14">
        <v>81680.934707247405</v>
      </c>
    </row>
    <row r="559" spans="1:14" x14ac:dyDescent="0.3">
      <c r="A559" s="3" t="str">
        <f>INDEX('R1. Scenario specifications'!$C$11:$C$49,MATCH($B559,'R1. Scenario specifications'!$A$11:$A$49,0))</f>
        <v>Current 2DS, 2020 start, 'Expect the Unexpected' but with cheap energy efficiency</v>
      </c>
      <c r="B559" s="3" t="s">
        <v>49</v>
      </c>
      <c r="C559" s="3" t="s">
        <v>71</v>
      </c>
      <c r="D559" s="14">
        <v>0.68787021919935687</v>
      </c>
      <c r="E559" s="14">
        <v>0.6257617671977489</v>
      </c>
      <c r="F559" s="14">
        <v>0.52638824399517514</v>
      </c>
      <c r="G559" s="14">
        <v>0.35092549599678308</v>
      </c>
      <c r="H559" s="14">
        <v>0.17546274799839173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</row>
    <row r="560" spans="1:14" x14ac:dyDescent="0.3">
      <c r="A560" s="3" t="str">
        <f>INDEX('R1. Scenario specifications'!$C$11:$C$49,MATCH($B560,'R1. Scenario specifications'!$A$11:$A$49,0))</f>
        <v>Current 2DS, 2020 start, 'Expect the Unexpected' but with cheap energy efficiency</v>
      </c>
      <c r="B560" s="3" t="s">
        <v>49</v>
      </c>
      <c r="C560" s="3" t="s">
        <v>75</v>
      </c>
      <c r="D560" s="14">
        <v>1.963099940637433</v>
      </c>
      <c r="E560" s="14">
        <v>1.7858497922310126</v>
      </c>
      <c r="F560" s="14">
        <v>1.5022495547807513</v>
      </c>
      <c r="G560" s="14">
        <v>1.0014997031871682</v>
      </c>
      <c r="H560" s="14">
        <v>0.50074985159358409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</row>
    <row r="561" spans="1:14" x14ac:dyDescent="0.3">
      <c r="A561" s="3" t="str">
        <f>INDEX('R1. Scenario specifications'!$C$11:$C$49,MATCH($B561,'R1. Scenario specifications'!$A$11:$A$49,0))</f>
        <v>Current 2DS, 2020 start, 'Expect the Unexpected' but with cheap energy efficiency</v>
      </c>
      <c r="B561" s="3" t="s">
        <v>49</v>
      </c>
      <c r="C561" s="3" t="s">
        <v>72</v>
      </c>
      <c r="D561" s="14">
        <v>1517.4635089937533</v>
      </c>
      <c r="E561" s="14">
        <v>1704.9418897085425</v>
      </c>
      <c r="F561" s="14">
        <v>2685.5545190640855</v>
      </c>
      <c r="G561" s="14">
        <v>10879.182730469352</v>
      </c>
      <c r="H561" s="14">
        <v>26191.515174759763</v>
      </c>
      <c r="I561" s="14">
        <v>31398.676779278612</v>
      </c>
      <c r="J561" s="14">
        <v>41358.618626744363</v>
      </c>
      <c r="K561" s="14">
        <v>51344.154967100229</v>
      </c>
      <c r="L561" s="14">
        <v>69082.964245032083</v>
      </c>
      <c r="M561" s="14">
        <v>105882.83625751553</v>
      </c>
      <c r="N561" s="14">
        <v>153458.95241942906</v>
      </c>
    </row>
  </sheetData>
  <mergeCells count="2">
    <mergeCell ref="C37:N37"/>
    <mergeCell ref="O37:Z37"/>
  </mergeCells>
  <conditionalFormatting sqref="A6020:XFD1048576 A1:XFD12 N19:XFD19 AA36:XFD37 A94:A6019 D552:XFD6019 A20:XFD35 A38:XFD551 A14:XFD18 A13:E13 J13:XFD13">
    <cfRule type="expression" dxfId="123" priority="4">
      <formula>_xlfn.ISFORMULA(A1)</formula>
    </cfRule>
  </conditionalFormatting>
  <conditionalFormatting sqref="A19:M19">
    <cfRule type="expression" dxfId="122" priority="3">
      <formula>_xlfn.ISFORMULA(A19)</formula>
    </cfRule>
  </conditionalFormatting>
  <conditionalFormatting sqref="A36:Z36 A37:C37 O37">
    <cfRule type="expression" dxfId="121" priority="2">
      <formula>_xlfn.ISFORMULA(A36)</formula>
    </cfRule>
  </conditionalFormatting>
  <conditionalFormatting sqref="F13:I13">
    <cfRule type="expression" dxfId="120" priority="1">
      <formula>_xlfn.ISFORMULA(F13)</formula>
    </cfRule>
  </conditionalFormatting>
  <dataValidations count="1">
    <dataValidation type="list" allowBlank="1" showInputMessage="1" showErrorMessage="1" sqref="B22" xr:uid="{B90A2AA4-3A99-4280-AF56-267CAD289BC9}">
      <formula1>$C$81:$C$93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F40A32E-93BE-4672-9488-DAEBC18A2F80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7230-5C28-4BD5-ADD3-AFA5AF5BC78D}">
  <sheetPr>
    <tabColor theme="5" tint="0.39997558519241921"/>
  </sheetPr>
  <dimension ref="A1:Z556"/>
  <sheetViews>
    <sheetView zoomScale="70" zoomScaleNormal="70" workbookViewId="0">
      <selection activeCell="E4" sqref="E4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229</v>
      </c>
    </row>
    <row r="2" spans="1:9" s="5" customFormat="1" x14ac:dyDescent="0.3">
      <c r="A2" s="5" t="s">
        <v>5</v>
      </c>
      <c r="B2" s="5" t="s">
        <v>225</v>
      </c>
    </row>
    <row r="3" spans="1:9" s="5" customFormat="1" x14ac:dyDescent="0.3">
      <c r="A3" s="5" t="s">
        <v>6</v>
      </c>
      <c r="B3" s="5" t="s">
        <v>228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284</v>
      </c>
    </row>
    <row r="7" spans="1:9" s="5" customFormat="1" x14ac:dyDescent="0.3">
      <c r="B7" s="5" t="s">
        <v>188</v>
      </c>
      <c r="C7" s="5" t="s">
        <v>9</v>
      </c>
      <c r="D7" s="5" t="s">
        <v>285</v>
      </c>
    </row>
    <row r="8" spans="1:9" s="5" customFormat="1" x14ac:dyDescent="0.3">
      <c r="B8" s="5" t="s">
        <v>190</v>
      </c>
      <c r="C8" s="5" t="s">
        <v>10</v>
      </c>
      <c r="D8" s="5" t="s">
        <v>286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$E$8:$P7000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CONCATENATE($B$22, " Generation capacity (GW)")</f>
        <v>POWGEN - BIO CCS Generation capacity (GW)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59</v>
      </c>
      <c r="B22" s="17" t="s">
        <v>73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INDEX($E$50:$O$556,MATCH(B$24&amp;$B$22,$B$50:$B$556&amp;$C$50:$C$556,0),MATCH($A25,$E$49:$O$49,0))</f>
        <v>0</v>
      </c>
      <c r="C25" s="14">
        <f t="array" ref="C25">INDEX($E$50:$O$556,MATCH(C$24&amp;$B$22,$B$50:$B$556&amp;$C$50:$C$556,0),MATCH($A25,$E$49:$O$49,0))</f>
        <v>0</v>
      </c>
      <c r="D25" s="14">
        <f t="array" ref="D25">INDEX($E$50:$O$556,MATCH(D$24&amp;$B$22,$B$50:$B$556&amp;$C$50:$C$556,0),MATCH($A25,$E$49:$O$49,0))</f>
        <v>0</v>
      </c>
      <c r="E25" s="14">
        <f t="array" ref="E25">INDEX($E$50:$O$556,MATCH(E$24&amp;$B$22,$B$50:$B$556&amp;$C$50:$C$556,0),MATCH($A25,$E$49:$O$49,0))</f>
        <v>0</v>
      </c>
      <c r="F25" s="14">
        <f t="array" ref="F25">INDEX($E$50:$O$556,MATCH(F$24&amp;$B$22,$B$50:$B$556&amp;$C$50:$C$556,0),MATCH($A25,$E$49:$O$49,0))</f>
        <v>0</v>
      </c>
      <c r="G25" s="14">
        <f t="array" ref="G25">INDEX($E$50:$O$556,MATCH(G$24&amp;$B$22,$B$50:$B$556&amp;$C$50:$C$556,0),MATCH($A25,$E$49:$O$49,0))</f>
        <v>0</v>
      </c>
      <c r="H25" s="14">
        <f t="array" ref="H25">INDEX($E$50:$O$556,MATCH(H$24&amp;$B$22,$B$50:$B$556&amp;$C$50:$C$556,0),MATCH($A25,$E$49:$O$49,0))</f>
        <v>0</v>
      </c>
      <c r="I25" s="14">
        <f t="array" ref="I25">INDEX($E$50:$O$556,MATCH(I$24&amp;$B$22,$B$50:$B$556&amp;$C$50:$C$556,0),MATCH($A25,$E$49:$O$49,0))</f>
        <v>0</v>
      </c>
      <c r="J25" s="14">
        <f t="array" ref="J25">INDEX($E$50:$O$556,MATCH(J$24&amp;$B$22,$B$50:$B$556&amp;$C$50:$C$556,0),MATCH($A25,$E$49:$O$49,0))</f>
        <v>0</v>
      </c>
      <c r="K25" s="14" t="e">
        <f t="array" ref="K25">INDEX($E$50:$O$556,MATCH(K$24&amp;$B$22,$B$50:$B$556&amp;$C$50:$C$556,0),MATCH($A25,$E$49:$O$49,0))</f>
        <v>#N/A</v>
      </c>
      <c r="L25" s="14" t="e">
        <f t="array" ref="L25">INDEX($E$50:$O$556,MATCH(L$24&amp;$B$22,$B$50:$B$556&amp;$C$50:$C$556,0),MATCH($A25,$E$49:$O$49,0))</f>
        <v>#N/A</v>
      </c>
      <c r="M25" s="14" t="e">
        <f t="array" ref="M25">INDEX($E$50:$O$556,MATCH(M$24&amp;$B$22,$B$50:$B$556&amp;$C$50:$C$556,0),MATCH($A25,$E$49:$O$49,0))</f>
        <v>#N/A</v>
      </c>
    </row>
    <row r="26" spans="1:13" x14ac:dyDescent="0.3">
      <c r="A26" s="3">
        <v>2020</v>
      </c>
      <c r="B26" s="14">
        <f t="array" ref="B26">INDEX($E$50:$O$556,MATCH(B$24&amp;$B$22,$B$50:$B$556&amp;$C$50:$C$556,0),MATCH($A26,$E$49:$O$49,0))</f>
        <v>0</v>
      </c>
      <c r="C26" s="14">
        <f t="array" ref="C26">INDEX($E$50:$O$556,MATCH(C$24&amp;$B$22,$B$50:$B$556&amp;$C$50:$C$556,0),MATCH($A26,$E$49:$O$49,0))</f>
        <v>0</v>
      </c>
      <c r="D26" s="14">
        <f t="array" ref="D26">INDEX($E$50:$O$556,MATCH(D$24&amp;$B$22,$B$50:$B$556&amp;$C$50:$C$556,0),MATCH($A26,$E$49:$O$49,0))</f>
        <v>0</v>
      </c>
      <c r="E26" s="14">
        <f t="array" ref="E26">INDEX($E$50:$O$556,MATCH(E$24&amp;$B$22,$B$50:$B$556&amp;$C$50:$C$556,0),MATCH($A26,$E$49:$O$49,0))</f>
        <v>0</v>
      </c>
      <c r="F26" s="14">
        <f t="array" ref="F26">INDEX($E$50:$O$556,MATCH(F$24&amp;$B$22,$B$50:$B$556&amp;$C$50:$C$556,0),MATCH($A26,$E$49:$O$49,0))</f>
        <v>0</v>
      </c>
      <c r="G26" s="14">
        <f t="array" ref="G26">INDEX($E$50:$O$556,MATCH(G$24&amp;$B$22,$B$50:$B$556&amp;$C$50:$C$556,0),MATCH($A26,$E$49:$O$49,0))</f>
        <v>0</v>
      </c>
      <c r="H26" s="14">
        <f t="array" ref="H26">INDEX($E$50:$O$556,MATCH(H$24&amp;$B$22,$B$50:$B$556&amp;$C$50:$C$556,0),MATCH($A26,$E$49:$O$49,0))</f>
        <v>0</v>
      </c>
      <c r="I26" s="14">
        <f t="array" ref="I26">INDEX($E$50:$O$556,MATCH(I$24&amp;$B$22,$B$50:$B$556&amp;$C$50:$C$556,0),MATCH($A26,$E$49:$O$49,0))</f>
        <v>0</v>
      </c>
      <c r="J26" s="14">
        <f t="array" ref="J26">INDEX($E$50:$O$556,MATCH(J$24&amp;$B$22,$B$50:$B$556&amp;$C$50:$C$556,0),MATCH($A26,$E$49:$O$49,0))</f>
        <v>0</v>
      </c>
      <c r="K26" s="14" t="e">
        <f t="array" ref="K26">INDEX($E$50:$O$556,MATCH(K$24&amp;$B$22,$B$50:$B$556&amp;$C$50:$C$556,0),MATCH($A26,$E$49:$O$49,0))</f>
        <v>#N/A</v>
      </c>
      <c r="L26" s="14" t="e">
        <f t="array" ref="L26">INDEX($E$50:$O$556,MATCH(L$24&amp;$B$22,$B$50:$B$556&amp;$C$50:$C$556,0),MATCH($A26,$E$49:$O$49,0))</f>
        <v>#N/A</v>
      </c>
      <c r="M26" s="14" t="e">
        <f t="array" ref="M26">INDEX($E$50:$O$556,MATCH(M$24&amp;$B$22,$B$50:$B$556&amp;$C$50:$C$556,0),MATCH($A26,$E$49:$O$49,0))</f>
        <v>#N/A</v>
      </c>
    </row>
    <row r="27" spans="1:13" x14ac:dyDescent="0.3">
      <c r="A27" s="3">
        <v>2030</v>
      </c>
      <c r="B27" s="14">
        <f t="array" ref="B27">INDEX($E$50:$O$556,MATCH(B$24&amp;$B$22,$B$50:$B$556&amp;$C$50:$C$556,0),MATCH($A27,$E$49:$O$49,0))</f>
        <v>0</v>
      </c>
      <c r="C27" s="14">
        <f t="array" ref="C27">INDEX($E$50:$O$556,MATCH(C$24&amp;$B$22,$B$50:$B$556&amp;$C$50:$C$556,0),MATCH($A27,$E$49:$O$49,0))</f>
        <v>0</v>
      </c>
      <c r="D27" s="14">
        <f t="array" ref="D27">INDEX($E$50:$O$556,MATCH(D$24&amp;$B$22,$B$50:$B$556&amp;$C$50:$C$556,0),MATCH($A27,$E$49:$O$49,0))</f>
        <v>0</v>
      </c>
      <c r="E27" s="14">
        <f t="array" ref="E27">INDEX($E$50:$O$556,MATCH(E$24&amp;$B$22,$B$50:$B$556&amp;$C$50:$C$556,0),MATCH($A27,$E$49:$O$49,0))</f>
        <v>5.1296640182067135</v>
      </c>
      <c r="F27" s="14">
        <f t="array" ref="F27">INDEX($E$50:$O$556,MATCH(F$24&amp;$B$22,$B$50:$B$556&amp;$C$50:$C$556,0),MATCH($A27,$E$49:$O$49,0))</f>
        <v>0</v>
      </c>
      <c r="G27" s="14">
        <f t="array" ref="G27">INDEX($E$50:$O$556,MATCH(G$24&amp;$B$22,$B$50:$B$556&amp;$C$50:$C$556,0),MATCH($A27,$E$49:$O$49,0))</f>
        <v>14.208548958880337</v>
      </c>
      <c r="H27" s="14">
        <f t="array" ref="H27">INDEX($E$50:$O$556,MATCH(H$24&amp;$B$22,$B$50:$B$556&amp;$C$50:$C$556,0),MATCH($A27,$E$49:$O$49,0))</f>
        <v>0</v>
      </c>
      <c r="I27" s="14">
        <f t="array" ref="I27">INDEX($E$50:$O$556,MATCH(I$24&amp;$B$22,$B$50:$B$556&amp;$C$50:$C$556,0),MATCH($A27,$E$49:$O$49,0))</f>
        <v>12.666835823519458</v>
      </c>
      <c r="J27" s="14">
        <f t="array" ref="J27">INDEX($E$50:$O$556,MATCH(J$24&amp;$B$22,$B$50:$B$556&amp;$C$50:$C$556,0),MATCH($A27,$E$49:$O$49,0))</f>
        <v>0</v>
      </c>
      <c r="K27" s="14" t="e">
        <f t="array" ref="K27">INDEX($E$50:$O$556,MATCH(K$24&amp;$B$22,$B$50:$B$556&amp;$C$50:$C$556,0),MATCH($A27,$E$49:$O$49,0))</f>
        <v>#N/A</v>
      </c>
      <c r="L27" s="14" t="e">
        <f t="array" ref="L27">INDEX($E$50:$O$556,MATCH(L$24&amp;$B$22,$B$50:$B$556&amp;$C$50:$C$556,0),MATCH($A27,$E$49:$O$49,0))</f>
        <v>#N/A</v>
      </c>
      <c r="M27" s="14" t="e">
        <f t="array" ref="M27">INDEX($E$50:$O$556,MATCH(M$24&amp;$B$22,$B$50:$B$556&amp;$C$50:$C$556,0),MATCH($A27,$E$49:$O$49,0))</f>
        <v>#N/A</v>
      </c>
    </row>
    <row r="28" spans="1:13" x14ac:dyDescent="0.3">
      <c r="A28" s="3">
        <v>2040</v>
      </c>
      <c r="B28" s="14">
        <f t="array" ref="B28">INDEX($E$50:$O$556,MATCH(B$24&amp;$B$22,$B$50:$B$556&amp;$C$50:$C$556,0),MATCH($A28,$E$49:$O$49,0))</f>
        <v>0</v>
      </c>
      <c r="C28" s="14">
        <f t="array" ref="C28">INDEX($E$50:$O$556,MATCH(C$24&amp;$B$22,$B$50:$B$556&amp;$C$50:$C$556,0),MATCH($A28,$E$49:$O$49,0))</f>
        <v>0</v>
      </c>
      <c r="D28" s="14">
        <f t="array" ref="D28">INDEX($E$50:$O$556,MATCH(D$24&amp;$B$22,$B$50:$B$556&amp;$C$50:$C$556,0),MATCH($A28,$E$49:$O$49,0))</f>
        <v>0</v>
      </c>
      <c r="E28" s="14">
        <f t="array" ref="E28">INDEX($E$50:$O$556,MATCH(E$24&amp;$B$22,$B$50:$B$556&amp;$C$50:$C$556,0),MATCH($A28,$E$49:$O$49,0))</f>
        <v>33.977956785956167</v>
      </c>
      <c r="F28" s="14">
        <f t="array" ref="F28">INDEX($E$50:$O$556,MATCH(F$24&amp;$B$22,$B$50:$B$556&amp;$C$50:$C$556,0),MATCH($A28,$E$49:$O$49,0))</f>
        <v>9.5132849581609964</v>
      </c>
      <c r="G28" s="14">
        <f t="array" ref="G28">INDEX($E$50:$O$556,MATCH(G$24&amp;$B$22,$B$50:$B$556&amp;$C$50:$C$556,0),MATCH($A28,$E$49:$O$49,0))</f>
        <v>382.99513098868306</v>
      </c>
      <c r="H28" s="14">
        <f t="array" ref="H28">INDEX($E$50:$O$556,MATCH(H$24&amp;$B$22,$B$50:$B$556&amp;$C$50:$C$556,0),MATCH($A28,$E$49:$O$49,0))</f>
        <v>12.007065105026241</v>
      </c>
      <c r="I28" s="14">
        <f t="array" ref="I28">INDEX($E$50:$O$556,MATCH(I$24&amp;$B$22,$B$50:$B$556&amp;$C$50:$C$556,0),MATCH($A28,$E$49:$O$49,0))</f>
        <v>86.454151899012075</v>
      </c>
      <c r="J28" s="14">
        <f t="array" ref="J28">INDEX($E$50:$O$556,MATCH(J$24&amp;$B$22,$B$50:$B$556&amp;$C$50:$C$556,0),MATCH($A28,$E$49:$O$49,0))</f>
        <v>14.51976189512888</v>
      </c>
      <c r="K28" s="14" t="e">
        <f t="array" ref="K28">INDEX($E$50:$O$556,MATCH(K$24&amp;$B$22,$B$50:$B$556&amp;$C$50:$C$556,0),MATCH($A28,$E$49:$O$49,0))</f>
        <v>#N/A</v>
      </c>
      <c r="L28" s="14" t="e">
        <f t="array" ref="L28">INDEX($E$50:$O$556,MATCH(L$24&amp;$B$22,$B$50:$B$556&amp;$C$50:$C$556,0),MATCH($A28,$E$49:$O$49,0))</f>
        <v>#N/A</v>
      </c>
      <c r="M28" s="14" t="e">
        <f t="array" ref="M28">INDEX($E$50:$O$556,MATCH(M$24&amp;$B$22,$B$50:$B$556&amp;$C$50:$C$556,0),MATCH($A28,$E$49:$O$49,0))</f>
        <v>#N/A</v>
      </c>
    </row>
    <row r="29" spans="1:13" x14ac:dyDescent="0.3">
      <c r="A29" s="3">
        <v>2050</v>
      </c>
      <c r="B29" s="14">
        <f t="array" ref="B29">INDEX($E$50:$O$556,MATCH(B$24&amp;$B$22,$B$50:$B$556&amp;$C$50:$C$556,0),MATCH($A29,$E$49:$O$49,0))</f>
        <v>0</v>
      </c>
      <c r="C29" s="14">
        <f t="array" ref="C29">INDEX($E$50:$O$556,MATCH(C$24&amp;$B$22,$B$50:$B$556&amp;$C$50:$C$556,0),MATCH($A29,$E$49:$O$49,0))</f>
        <v>0</v>
      </c>
      <c r="D29" s="14">
        <f t="array" ref="D29">INDEX($E$50:$O$556,MATCH(D$24&amp;$B$22,$B$50:$B$556&amp;$C$50:$C$556,0),MATCH($A29,$E$49:$O$49,0))</f>
        <v>0</v>
      </c>
      <c r="E29" s="14">
        <f t="array" ref="E29">INDEX($E$50:$O$556,MATCH(E$24&amp;$B$22,$B$50:$B$556&amp;$C$50:$C$556,0),MATCH($A29,$E$49:$O$49,0))</f>
        <v>160.04441575962673</v>
      </c>
      <c r="F29" s="14">
        <f t="array" ref="F29">INDEX($E$50:$O$556,MATCH(F$24&amp;$B$22,$B$50:$B$556&amp;$C$50:$C$556,0),MATCH($A29,$E$49:$O$49,0))</f>
        <v>77.390648548820266</v>
      </c>
      <c r="G29" s="14">
        <f t="array" ref="G29">INDEX($E$50:$O$556,MATCH(G$24&amp;$B$22,$B$50:$B$556&amp;$C$50:$C$556,0),MATCH($A29,$E$49:$O$49,0))</f>
        <v>1416.676388516601</v>
      </c>
      <c r="H29" s="14">
        <f t="array" ref="H29">INDEX($E$50:$O$556,MATCH(H$24&amp;$B$22,$B$50:$B$556&amp;$C$50:$C$556,0),MATCH($A29,$E$49:$O$49,0))</f>
        <v>898.63812981620231</v>
      </c>
      <c r="I29" s="14">
        <f t="array" ref="I29">INDEX($E$50:$O$556,MATCH(I$24&amp;$B$22,$B$50:$B$556&amp;$C$50:$C$556,0),MATCH($A29,$E$49:$O$49,0))</f>
        <v>428.68937050727726</v>
      </c>
      <c r="J29" s="14">
        <f t="array" ref="J29">INDEX($E$50:$O$556,MATCH(J$24&amp;$B$22,$B$50:$B$556&amp;$C$50:$C$556,0),MATCH($A29,$E$49:$O$49,0))</f>
        <v>272.41929667151464</v>
      </c>
      <c r="K29" s="14" t="e">
        <f t="array" ref="K29">INDEX($E$50:$O$556,MATCH(K$24&amp;$B$22,$B$50:$B$556&amp;$C$50:$C$556,0),MATCH($A29,$E$49:$O$49,0))</f>
        <v>#N/A</v>
      </c>
      <c r="L29" s="14" t="e">
        <f t="array" ref="L29">INDEX($E$50:$O$556,MATCH(L$24&amp;$B$22,$B$50:$B$556&amp;$C$50:$C$556,0),MATCH($A29,$E$49:$O$49,0))</f>
        <v>#N/A</v>
      </c>
      <c r="M29" s="14" t="e">
        <f t="array" ref="M29">INDEX($E$50:$O$556,MATCH(M$24&amp;$B$22,$B$50:$B$556&amp;$C$50:$C$556,0),MATCH($A29,$E$49:$O$49,0))</f>
        <v>#N/A</v>
      </c>
    </row>
    <row r="30" spans="1:13" x14ac:dyDescent="0.3">
      <c r="A30" s="3">
        <v>2060</v>
      </c>
      <c r="B30" s="14">
        <f t="array" ref="B30">INDEX($E$50:$O$556,MATCH(B$24&amp;$B$22,$B$50:$B$556&amp;$C$50:$C$556,0),MATCH($A30,$E$49:$O$49,0))</f>
        <v>0</v>
      </c>
      <c r="C30" s="14">
        <f t="array" ref="C30">INDEX($E$50:$O$556,MATCH(C$24&amp;$B$22,$B$50:$B$556&amp;$C$50:$C$556,0),MATCH($A30,$E$49:$O$49,0))</f>
        <v>0</v>
      </c>
      <c r="D30" s="14">
        <f t="array" ref="D30">INDEX($E$50:$O$556,MATCH(D$24&amp;$B$22,$B$50:$B$556&amp;$C$50:$C$556,0),MATCH($A30,$E$49:$O$49,0))</f>
        <v>0</v>
      </c>
      <c r="E30" s="14">
        <f t="array" ref="E30">INDEX($E$50:$O$556,MATCH(E$24&amp;$B$22,$B$50:$B$556&amp;$C$50:$C$556,0),MATCH($A30,$E$49:$O$49,0))</f>
        <v>668.21246944066934</v>
      </c>
      <c r="F30" s="14">
        <f t="array" ref="F30">INDEX($E$50:$O$556,MATCH(F$24&amp;$B$22,$B$50:$B$556&amp;$C$50:$C$556,0),MATCH($A30,$E$49:$O$49,0))</f>
        <v>455.8601295256662</v>
      </c>
      <c r="G30" s="14">
        <f t="array" ref="G30">INDEX($E$50:$O$556,MATCH(G$24&amp;$B$22,$B$50:$B$556&amp;$C$50:$C$556,0),MATCH($A30,$E$49:$O$49,0))</f>
        <v>2575.9188899689702</v>
      </c>
      <c r="H30" s="14">
        <f t="array" ref="H30">INDEX($E$50:$O$556,MATCH(H$24&amp;$B$22,$B$50:$B$556&amp;$C$50:$C$556,0),MATCH($A30,$E$49:$O$49,0))</f>
        <v>2981.2550274929345</v>
      </c>
      <c r="I30" s="14">
        <f t="array" ref="I30">INDEX($E$50:$O$556,MATCH(I$24&amp;$B$22,$B$50:$B$556&amp;$C$50:$C$556,0),MATCH($A30,$E$49:$O$49,0))</f>
        <v>1349.8506167908215</v>
      </c>
      <c r="J30" s="14">
        <f t="array" ref="J30">INDEX($E$50:$O$556,MATCH(J$24&amp;$B$22,$B$50:$B$556&amp;$C$50:$C$556,0),MATCH($A30,$E$49:$O$49,0))</f>
        <v>1630.3534910220069</v>
      </c>
      <c r="K30" s="14" t="e">
        <f t="array" ref="K30">INDEX($E$50:$O$556,MATCH(K$24&amp;$B$22,$B$50:$B$556&amp;$C$50:$C$556,0),MATCH($A30,$E$49:$O$49,0))</f>
        <v>#N/A</v>
      </c>
      <c r="L30" s="14" t="e">
        <f t="array" ref="L30">INDEX($E$50:$O$556,MATCH(L$24&amp;$B$22,$B$50:$B$556&amp;$C$50:$C$556,0),MATCH($A30,$E$49:$O$49,0))</f>
        <v>#N/A</v>
      </c>
      <c r="M30" s="14" t="e">
        <f t="array" ref="M30">INDEX($E$50:$O$556,MATCH(M$24&amp;$B$22,$B$50:$B$556&amp;$C$50:$C$556,0),MATCH($A30,$E$49:$O$49,0))</f>
        <v>#N/A</v>
      </c>
    </row>
    <row r="31" spans="1:13" x14ac:dyDescent="0.3">
      <c r="A31" s="3">
        <v>2070</v>
      </c>
      <c r="B31" s="14">
        <f t="array" ref="B31">INDEX($E$50:$O$556,MATCH(B$24&amp;$B$22,$B$50:$B$556&amp;$C$50:$C$556,0),MATCH($A31,$E$49:$O$49,0))</f>
        <v>0</v>
      </c>
      <c r="C31" s="14">
        <f t="array" ref="C31">INDEX($E$50:$O$556,MATCH(C$24&amp;$B$22,$B$50:$B$556&amp;$C$50:$C$556,0),MATCH($A31,$E$49:$O$49,0))</f>
        <v>0</v>
      </c>
      <c r="D31" s="14">
        <f t="array" ref="D31">INDEX($E$50:$O$556,MATCH(D$24&amp;$B$22,$B$50:$B$556&amp;$C$50:$C$556,0),MATCH($A31,$E$49:$O$49,0))</f>
        <v>0</v>
      </c>
      <c r="E31" s="14">
        <f t="array" ref="E31">INDEX($E$50:$O$556,MATCH(E$24&amp;$B$22,$B$50:$B$556&amp;$C$50:$C$556,0),MATCH($A31,$E$49:$O$49,0))</f>
        <v>1398.9909821233755</v>
      </c>
      <c r="F31" s="14">
        <f t="array" ref="F31">INDEX($E$50:$O$556,MATCH(F$24&amp;$B$22,$B$50:$B$556&amp;$C$50:$C$556,0),MATCH($A31,$E$49:$O$49,0))</f>
        <v>1303.3456053022935</v>
      </c>
      <c r="G31" s="14">
        <f t="array" ref="G31">INDEX($E$50:$O$556,MATCH(G$24&amp;$B$22,$B$50:$B$556&amp;$C$50:$C$556,0),MATCH($A31,$E$49:$O$49,0))</f>
        <v>2773.721019808941</v>
      </c>
      <c r="H31" s="14">
        <f t="array" ref="H31">INDEX($E$50:$O$556,MATCH(H$24&amp;$B$22,$B$50:$B$556&amp;$C$50:$C$556,0),MATCH($A31,$E$49:$O$49,0))</f>
        <v>4207.9867591258189</v>
      </c>
      <c r="I31" s="14">
        <f t="array" ref="I31">INDEX($E$50:$O$556,MATCH(I$24&amp;$B$22,$B$50:$B$556&amp;$C$50:$C$556,0),MATCH($A31,$E$49:$O$49,0))</f>
        <v>2315.8778556611051</v>
      </c>
      <c r="J31" s="14">
        <f t="array" ref="J31">INDEX($E$50:$O$556,MATCH(J$24&amp;$B$22,$B$50:$B$556&amp;$C$50:$C$556,0),MATCH($A31,$E$49:$O$49,0))</f>
        <v>3038.0298849988335</v>
      </c>
      <c r="K31" s="14" t="e">
        <f t="array" ref="K31">INDEX($E$50:$O$556,MATCH(K$24&amp;$B$22,$B$50:$B$556&amp;$C$50:$C$556,0),MATCH($A31,$E$49:$O$49,0))</f>
        <v>#N/A</v>
      </c>
      <c r="L31" s="14" t="e">
        <f t="array" ref="L31">INDEX($E$50:$O$556,MATCH(L$24&amp;$B$22,$B$50:$B$556&amp;$C$50:$C$556,0),MATCH($A31,$E$49:$O$49,0))</f>
        <v>#N/A</v>
      </c>
      <c r="M31" s="14" t="e">
        <f t="array" ref="M31">INDEX($E$50:$O$556,MATCH(M$24&amp;$B$22,$B$50:$B$556&amp;$C$50:$C$556,0),MATCH($A31,$E$49:$O$49,0))</f>
        <v>#N/A</v>
      </c>
    </row>
    <row r="32" spans="1:13" x14ac:dyDescent="0.3">
      <c r="A32" s="3">
        <v>2080</v>
      </c>
      <c r="B32" s="14">
        <f t="array" ref="B32">INDEX($E$50:$O$556,MATCH(B$24&amp;$B$22,$B$50:$B$556&amp;$C$50:$C$556,0),MATCH($A32,$E$49:$O$49,0))</f>
        <v>0</v>
      </c>
      <c r="C32" s="14">
        <f t="array" ref="C32">INDEX($E$50:$O$556,MATCH(C$24&amp;$B$22,$B$50:$B$556&amp;$C$50:$C$556,0),MATCH($A32,$E$49:$O$49,0))</f>
        <v>0</v>
      </c>
      <c r="D32" s="14">
        <f t="array" ref="D32">INDEX($E$50:$O$556,MATCH(D$24&amp;$B$22,$B$50:$B$556&amp;$C$50:$C$556,0),MATCH($A32,$E$49:$O$49,0))</f>
        <v>0</v>
      </c>
      <c r="E32" s="14">
        <f t="array" ref="E32">INDEX($E$50:$O$556,MATCH(E$24&amp;$B$22,$B$50:$B$556&amp;$C$50:$C$556,0),MATCH($A32,$E$49:$O$49,0))</f>
        <v>2152.9183383210911</v>
      </c>
      <c r="F32" s="14">
        <f t="array" ref="F32">INDEX($E$50:$O$556,MATCH(F$24&amp;$B$22,$B$50:$B$556&amp;$C$50:$C$556,0),MATCH($A32,$E$49:$O$49,0))</f>
        <v>2325.1998745703163</v>
      </c>
      <c r="G32" s="14">
        <f t="array" ref="G32">INDEX($E$50:$O$556,MATCH(G$24&amp;$B$22,$B$50:$B$556&amp;$C$50:$C$556,0),MATCH($A32,$E$49:$O$49,0))</f>
        <v>2634.7111537007645</v>
      </c>
      <c r="H32" s="14">
        <f t="array" ref="H32">INDEX($E$50:$O$556,MATCH(H$24&amp;$B$22,$B$50:$B$556&amp;$C$50:$C$556,0),MATCH($A32,$E$49:$O$49,0))</f>
        <v>3377.9346925229106</v>
      </c>
      <c r="I32" s="14">
        <f t="array" ref="I32">INDEX($E$50:$O$556,MATCH(I$24&amp;$B$22,$B$50:$B$556&amp;$C$50:$C$556,0),MATCH($A32,$E$49:$O$49,0))</f>
        <v>2843.2054347122416</v>
      </c>
      <c r="J32" s="14">
        <f t="array" ref="J32">INDEX($E$50:$O$556,MATCH(J$24&amp;$B$22,$B$50:$B$556&amp;$C$50:$C$556,0),MATCH($A32,$E$49:$O$49,0))</f>
        <v>3272.3157323944233</v>
      </c>
      <c r="K32" s="14" t="e">
        <f t="array" ref="K32">INDEX($E$50:$O$556,MATCH(K$24&amp;$B$22,$B$50:$B$556&amp;$C$50:$C$556,0),MATCH($A32,$E$49:$O$49,0))</f>
        <v>#N/A</v>
      </c>
      <c r="L32" s="14" t="e">
        <f t="array" ref="L32">INDEX($E$50:$O$556,MATCH(L$24&amp;$B$22,$B$50:$B$556&amp;$C$50:$C$556,0),MATCH($A32,$E$49:$O$49,0))</f>
        <v>#N/A</v>
      </c>
      <c r="M32" s="14" t="e">
        <f t="array" ref="M32">INDEX($E$50:$O$556,MATCH(M$24&amp;$B$22,$B$50:$B$556&amp;$C$50:$C$556,0),MATCH($A32,$E$49:$O$49,0))</f>
        <v>#N/A</v>
      </c>
    </row>
    <row r="33" spans="1:26" x14ac:dyDescent="0.3">
      <c r="A33" s="3">
        <v>2090</v>
      </c>
      <c r="B33" s="14">
        <f t="array" ref="B33">INDEX($E$50:$O$556,MATCH(B$24&amp;$B$22,$B$50:$B$556&amp;$C$50:$C$556,0),MATCH($A33,$E$49:$O$49,0))</f>
        <v>0</v>
      </c>
      <c r="C33" s="14">
        <f t="array" ref="C33">INDEX($E$50:$O$556,MATCH(C$24&amp;$B$22,$B$50:$B$556&amp;$C$50:$C$556,0),MATCH($A33,$E$49:$O$49,0))</f>
        <v>0</v>
      </c>
      <c r="D33" s="14">
        <f t="array" ref="D33">INDEX($E$50:$O$556,MATCH(D$24&amp;$B$22,$B$50:$B$556&amp;$C$50:$C$556,0),MATCH($A33,$E$49:$O$49,0))</f>
        <v>0</v>
      </c>
      <c r="E33" s="14">
        <f t="array" ref="E33">INDEX($E$50:$O$556,MATCH(E$24&amp;$B$22,$B$50:$B$556&amp;$C$50:$C$556,0),MATCH($A33,$E$49:$O$49,0))</f>
        <v>2820.02202527905</v>
      </c>
      <c r="F33" s="14">
        <f t="array" ref="F33">INDEX($E$50:$O$556,MATCH(F$24&amp;$B$22,$B$50:$B$556&amp;$C$50:$C$556,0),MATCH($A33,$E$49:$O$49,0))</f>
        <v>2880.7930112070185</v>
      </c>
      <c r="G33" s="14">
        <f t="array" ref="G33">INDEX($E$50:$O$556,MATCH(G$24&amp;$B$22,$B$50:$B$556&amp;$C$50:$C$556,0),MATCH($A33,$E$49:$O$49,0))</f>
        <v>3028.1661776664473</v>
      </c>
      <c r="H33" s="14">
        <f t="array" ref="H33">INDEX($E$50:$O$556,MATCH(H$24&amp;$B$22,$B$50:$B$556&amp;$C$50:$C$556,0),MATCH($A33,$E$49:$O$49,0))</f>
        <v>1969.1188908100657</v>
      </c>
      <c r="I33" s="14">
        <f t="array" ref="I33">INDEX($E$50:$O$556,MATCH(I$24&amp;$B$22,$B$50:$B$556&amp;$C$50:$C$556,0),MATCH($A33,$E$49:$O$49,0))</f>
        <v>3284.4293973725353</v>
      </c>
      <c r="J33" s="14">
        <f t="array" ref="J33">INDEX($E$50:$O$556,MATCH(J$24&amp;$B$22,$B$50:$B$556&amp;$C$50:$C$556,0),MATCH($A33,$E$49:$O$49,0))</f>
        <v>3144.725807759598</v>
      </c>
      <c r="K33" s="14" t="e">
        <f t="array" ref="K33">INDEX($E$50:$O$556,MATCH(K$24&amp;$B$22,$B$50:$B$556&amp;$C$50:$C$556,0),MATCH($A33,$E$49:$O$49,0))</f>
        <v>#N/A</v>
      </c>
      <c r="L33" s="14" t="e">
        <f t="array" ref="L33">INDEX($E$50:$O$556,MATCH(L$24&amp;$B$22,$B$50:$B$556&amp;$C$50:$C$556,0),MATCH($A33,$E$49:$O$49,0))</f>
        <v>#N/A</v>
      </c>
      <c r="M33" s="14" t="e">
        <f t="array" ref="M33">INDEX($E$50:$O$556,MATCH(M$24&amp;$B$22,$B$50:$B$556&amp;$C$50:$C$556,0),MATCH($A33,$E$49:$O$49,0))</f>
        <v>#N/A</v>
      </c>
    </row>
    <row r="34" spans="1:26" x14ac:dyDescent="0.3">
      <c r="A34" s="3">
        <v>2100</v>
      </c>
      <c r="B34" s="14">
        <f t="array" ref="B34">INDEX($E$50:$O$556,MATCH(B$24&amp;$B$22,$B$50:$B$556&amp;$C$50:$C$556,0),MATCH($A34,$E$49:$O$49,0))</f>
        <v>0</v>
      </c>
      <c r="C34" s="14">
        <f t="array" ref="C34">INDEX($E$50:$O$556,MATCH(C$24&amp;$B$22,$B$50:$B$556&amp;$C$50:$C$556,0),MATCH($A34,$E$49:$O$49,0))</f>
        <v>0</v>
      </c>
      <c r="D34" s="14">
        <f t="array" ref="D34">INDEX($E$50:$O$556,MATCH(D$24&amp;$B$22,$B$50:$B$556&amp;$C$50:$C$556,0),MATCH($A34,$E$49:$O$49,0))</f>
        <v>0</v>
      </c>
      <c r="E34" s="14">
        <f t="array" ref="E34">INDEX($E$50:$O$556,MATCH(E$24&amp;$B$22,$B$50:$B$556&amp;$C$50:$C$556,0),MATCH($A34,$E$49:$O$49,0))</f>
        <v>3086.3119981426994</v>
      </c>
      <c r="F34" s="14">
        <f t="array" ref="F34">INDEX($E$50:$O$556,MATCH(F$24&amp;$B$22,$B$50:$B$556&amp;$C$50:$C$556,0),MATCH($A34,$E$49:$O$49,0))</f>
        <v>3139.5734124634268</v>
      </c>
      <c r="G34" s="14">
        <f t="array" ref="G34">INDEX($E$50:$O$556,MATCH(G$24&amp;$B$22,$B$50:$B$556&amp;$C$50:$C$556,0),MATCH($A34,$E$49:$O$49,0))</f>
        <v>3361.4502236901976</v>
      </c>
      <c r="H34" s="14">
        <f t="array" ref="H34">INDEX($E$50:$O$556,MATCH(H$24&amp;$B$22,$B$50:$B$556&amp;$C$50:$C$556,0),MATCH($A34,$E$49:$O$49,0))</f>
        <v>2350.9763055648164</v>
      </c>
      <c r="I34" s="14">
        <f t="array" ref="I34">INDEX($E$50:$O$556,MATCH(I$24&amp;$B$22,$B$50:$B$556&amp;$C$50:$C$556,0),MATCH($A34,$E$49:$O$49,0))</f>
        <v>3482.4839773597832</v>
      </c>
      <c r="J34" s="14">
        <f t="array" ref="J34">INDEX($E$50:$O$556,MATCH(J$24&amp;$B$22,$B$50:$B$556&amp;$C$50:$C$556,0),MATCH($A34,$E$49:$O$49,0))</f>
        <v>3387.7561857543956</v>
      </c>
      <c r="K34" s="14" t="e">
        <f t="array" ref="K34">INDEX($E$50:$O$556,MATCH(K$24&amp;$B$22,$B$50:$B$556&amp;$C$50:$C$556,0),MATCH($A34,$E$49:$O$49,0))</f>
        <v>#N/A</v>
      </c>
      <c r="L34" s="14" t="e">
        <f t="array" ref="L34">INDEX($E$50:$O$556,MATCH(L$24&amp;$B$22,$B$50:$B$556&amp;$C$50:$C$556,0),MATCH($A34,$E$49:$O$49,0))</f>
        <v>#N/A</v>
      </c>
      <c r="M34" s="14" t="e">
        <f t="array" ref="M34">INDEX($E$50:$O$556,MATCH(M$24&amp;$B$22,$B$50:$B$556&amp;$C$50:$C$556,0),MATCH($A34,$E$49:$O$49,0))</f>
        <v>#N/A</v>
      </c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252</v>
      </c>
      <c r="B38" s="3" t="str">
        <f t="shared" ref="B38" si="2">IF(ISBLANK(B20),"",B20)</f>
        <v>Vivid_0A</v>
      </c>
      <c r="C38" s="3" t="str">
        <f t="shared" ref="C38:N38" si="3">IF(ISBLANK(B20),"",B20)</f>
        <v>Vivid_0A</v>
      </c>
      <c r="D38" s="3" t="str">
        <f t="shared" si="3"/>
        <v>Vivid_0A_BAU</v>
      </c>
      <c r="E38" s="3" t="str">
        <f t="shared" si="3"/>
        <v>Vivid_0B</v>
      </c>
      <c r="F38" s="3" t="str">
        <f t="shared" si="3"/>
        <v>Vivid_1</v>
      </c>
      <c r="G38" s="3" t="str">
        <f t="shared" si="3"/>
        <v>Vivid_2</v>
      </c>
      <c r="H38" s="3" t="str">
        <f t="shared" si="3"/>
        <v>Vivid_13</v>
      </c>
      <c r="I38" s="3" t="str">
        <f t="shared" si="3"/>
        <v>Vivid_14</v>
      </c>
      <c r="J38" s="3" t="str">
        <f t="shared" si="3"/>
        <v>Vivid_25</v>
      </c>
      <c r="K38" s="3" t="str">
        <f t="shared" si="3"/>
        <v>Vivid_26</v>
      </c>
      <c r="L38" s="3" t="str">
        <f t="shared" si="3"/>
        <v/>
      </c>
      <c r="M38" s="3" t="str">
        <f t="shared" si="3"/>
        <v/>
      </c>
      <c r="N38" s="3" t="str">
        <f t="shared" si="3"/>
        <v/>
      </c>
      <c r="O38" s="3" t="str">
        <f t="shared" ref="O38:Z38" si="4">IF(ISBLANK(B20),"",B20)</f>
        <v>Vivid_0A</v>
      </c>
      <c r="P38" s="3" t="str">
        <f t="shared" si="4"/>
        <v>Vivid_0A_BAU</v>
      </c>
      <c r="Q38" s="3" t="str">
        <f t="shared" si="4"/>
        <v>Vivid_0B</v>
      </c>
      <c r="R38" s="3" t="str">
        <f t="shared" si="4"/>
        <v>Vivid_1</v>
      </c>
      <c r="S38" s="3" t="str">
        <f t="shared" si="4"/>
        <v>Vivid_2</v>
      </c>
      <c r="T38" s="3" t="str">
        <f t="shared" si="4"/>
        <v>Vivid_13</v>
      </c>
      <c r="U38" s="3" t="str">
        <f t="shared" si="4"/>
        <v>Vivid_14</v>
      </c>
      <c r="V38" s="3" t="str">
        <f t="shared" si="4"/>
        <v>Vivid_25</v>
      </c>
      <c r="W38" s="3" t="str">
        <f t="shared" si="4"/>
        <v>Vivid_26</v>
      </c>
      <c r="X38" s="3" t="str">
        <f t="shared" si="4"/>
        <v/>
      </c>
      <c r="Y38" s="3" t="str">
        <f t="shared" si="4"/>
        <v/>
      </c>
      <c r="Z38" s="3" t="str">
        <f t="shared" si="4"/>
        <v/>
      </c>
    </row>
    <row r="39" spans="1:26" x14ac:dyDescent="0.3">
      <c r="A39" s="3" t="s">
        <v>253</v>
      </c>
      <c r="B39" s="14">
        <f t="array" ref="B39">IF(B$38="",NA(),SUM(IF(($B$50:$B$556=B$38)*($D$50:$D$556=$A39)*($E$49:$O$49=B$36),$E$50:$O$556)))</f>
        <v>26.141237482570887</v>
      </c>
      <c r="C39" s="14">
        <f t="array" ref="C39">IF(C$38="",NA(),SUM(IF(($B$50:$B$556=C$38)*($D$50:$D$556=$A39)*($E$49:$O$49=C$36),$E$50:$O$556)))</f>
        <v>245.7343968880482</v>
      </c>
      <c r="D39" s="14">
        <f t="array" ref="D39">IF(D$38="",NA(),SUM(IF(($B$50:$B$556=D$38)*($D$50:$D$556=$A39)*($E$49:$O$49=D$36),$E$50:$O$556)))</f>
        <v>294.5115641089385</v>
      </c>
      <c r="E39" s="14">
        <f t="array" ref="E39">IF(E$38="",NA(),SUM(IF(($B$50:$B$556=E$38)*($D$50:$D$556=$A39)*($E$49:$O$49=E$36),$E$50:$O$556)))</f>
        <v>412.30855682261659</v>
      </c>
      <c r="F39" s="14">
        <f t="array" ref="F39">IF(F$38="",NA(),SUM(IF(($B$50:$B$556=F$38)*($D$50:$D$556=$A39)*($E$49:$O$49=F$36),$E$50:$O$556)))</f>
        <v>473.37342434575862</v>
      </c>
      <c r="G39" s="14">
        <f t="array" ref="G39">IF(G$38="",NA(),SUM(IF(($B$50:$B$556=G$38)*($D$50:$D$556=$A39)*($E$49:$O$49=G$36),$E$50:$O$556)))</f>
        <v>412.30855682261659</v>
      </c>
      <c r="H39" s="14">
        <f t="array" ref="H39">IF(H$38="",NA(),SUM(IF(($B$50:$B$556=H$38)*($D$50:$D$556=$A39)*($E$49:$O$49=H$36),$E$50:$O$556)))</f>
        <v>618.46339467701557</v>
      </c>
      <c r="I39" s="14">
        <f t="array" ref="I39">IF(I$38="",NA(),SUM(IF(($B$50:$B$556=I$38)*($D$50:$D$556=$A39)*($E$49:$O$49=I$36),$E$50:$O$556)))</f>
        <v>412.30855682261659</v>
      </c>
      <c r="J39" s="14">
        <f t="array" ref="J39">IF(J$38="",NA(),SUM(IF(($B$50:$B$556=J$38)*($D$50:$D$556=$A39)*($E$49:$O$49=J$36),$E$50:$O$556)))</f>
        <v>495.71226832027736</v>
      </c>
      <c r="K39" s="14">
        <f t="array" ref="K39">IF(K$38="",NA(),SUM(IF(($B$50:$B$556=K$38)*($D$50:$D$556=$A39)*($E$49:$O$49=K$36),$E$50:$O$556)))</f>
        <v>412.30855682261659</v>
      </c>
      <c r="L39" s="14" t="e">
        <f t="array" ref="L39">IF(L$38="",NA(),SUM(IF(($B$50:$B$556=L$38)*($D$50:$D$556=$A39)*($E$49:$O$49=L$36),$E$50:$O$556)))</f>
        <v>#N/A</v>
      </c>
      <c r="M39" s="14" t="e">
        <f t="array" ref="M39">IF(M$38="",NA(),SUM(IF(($B$50:$B$556=M$38)*($D$50:$D$556=$A39)*($E$49:$O$49=M$36),$E$50:$O$556)))</f>
        <v>#N/A</v>
      </c>
      <c r="N39" s="14" t="e">
        <f t="array" ref="N39">IF(N$38="",NA(),SUM(IF(($B$50:$B$556=N$38)*($D$50:$D$556=$A39)*($E$49:$O$49=N$36),$E$50:$O$556)))</f>
        <v>#N/A</v>
      </c>
      <c r="O39" s="14">
        <f t="array" ref="O39">IF(O$38="",NA(),SUM(IF(($B$50:$B$556=O$38)*($D$50:$D$556=$A39)*($E$49:$O$49=O$36),$E$50:$O$556)))</f>
        <v>375.11797763136144</v>
      </c>
      <c r="P39" s="14">
        <f t="array" ref="P39">IF(P$38="",NA(),SUM(IF(($B$50:$B$556=P$38)*($D$50:$D$556=$A39)*($E$49:$O$49=P$36),$E$50:$O$556)))</f>
        <v>385.85129271646855</v>
      </c>
      <c r="Q39" s="14">
        <f t="array" ref="Q39">IF(Q$38="",NA(),SUM(IF(($B$50:$B$556=Q$38)*($D$50:$D$556=$A39)*($E$49:$O$49=Q$36),$E$50:$O$556)))</f>
        <v>583.48774646321999</v>
      </c>
      <c r="R39" s="14">
        <f t="array" ref="R39">IF(R$38="",NA(),SUM(IF(($B$50:$B$556=R$38)*($D$50:$D$556=$A39)*($E$49:$O$49=R$36),$E$50:$O$556)))</f>
        <v>770.79788049222964</v>
      </c>
      <c r="S39" s="14">
        <f t="array" ref="S39">IF(S$38="",NA(),SUM(IF(($B$50:$B$556=S$38)*($D$50:$D$556=$A39)*($E$49:$O$49=S$36),$E$50:$O$556)))</f>
        <v>675.97323631072368</v>
      </c>
      <c r="T39" s="14">
        <f t="array" ref="T39">IF(T$38="",NA(),SUM(IF(($B$50:$B$556=T$38)*($D$50:$D$556=$A39)*($E$49:$O$49=T$36),$E$50:$O$556)))</f>
        <v>2055.4618914398689</v>
      </c>
      <c r="U39" s="14">
        <f t="array" ref="U39">IF(U$38="",NA(),SUM(IF(($B$50:$B$556=U$38)*($D$50:$D$556=$A39)*($E$49:$O$49=U$36),$E$50:$O$556)))</f>
        <v>1918.276603640883</v>
      </c>
      <c r="V39" s="14">
        <f t="array" ref="V39">IF(V$38="",NA(),SUM(IF(($B$50:$B$556=V$38)*($D$50:$D$556=$A39)*($E$49:$O$49=V$36),$E$50:$O$556)))</f>
        <v>874.85907761567</v>
      </c>
      <c r="W39" s="14">
        <f t="array" ref="W39">IF(W$38="",NA(),SUM(IF(($B$50:$B$556=W$38)*($D$50:$D$556=$A39)*($E$49:$O$49=W$36),$E$50:$O$556)))</f>
        <v>777.5903335276173</v>
      </c>
      <c r="X39" s="14" t="e">
        <f t="array" ref="X39">IF(X$38="",NA(),SUM(IF(($B$50:$B$556=X$38)*($D$50:$D$556=$A39)*($E$49:$O$49=X$36),$E$50:$O$556)))</f>
        <v>#N/A</v>
      </c>
      <c r="Y39" s="14" t="e">
        <f t="array" ref="Y39">IF(Y$38="",NA(),SUM(IF(($B$50:$B$556=Y$38)*($D$50:$D$556=$A39)*($E$49:$O$49=Y$36),$E$50:$O$556)))</f>
        <v>#N/A</v>
      </c>
      <c r="Z39" s="14" t="e">
        <f t="array" ref="Z39">IF(Z$38="",NA(),SUM(IF(($B$50:$B$556=Z$38)*($D$50:$D$556=$A39)*($E$49:$O$49=Z$36),$E$50:$O$556)))</f>
        <v>#N/A</v>
      </c>
    </row>
    <row r="40" spans="1:26" x14ac:dyDescent="0.3">
      <c r="A40" s="3" t="s">
        <v>254</v>
      </c>
      <c r="B40" s="14">
        <f t="array" ref="B40">IF(B$38="",NA(),SUM(IF(($B$50:$B$556=B$38)*($D$50:$D$556=$A40)*($E$49:$O$49=B$36),$E$50:$O$556)))</f>
        <v>1804.9999999999993</v>
      </c>
      <c r="C40" s="14">
        <f t="array" ref="C40">IF(C$38="",NA(),SUM(IF(($B$50:$B$556=C$38)*($D$50:$D$556=$A40)*($E$49:$O$49=C$36),$E$50:$O$556)))</f>
        <v>1911.790970585437</v>
      </c>
      <c r="D40" s="14">
        <f t="array" ref="D40">IF(D$38="",NA(),SUM(IF(($B$50:$B$556=D$38)*($D$50:$D$556=$A40)*($E$49:$O$49=D$36),$E$50:$O$556)))</f>
        <v>1740.8212507993535</v>
      </c>
      <c r="E40" s="14">
        <f t="array" ref="E40">IF(E$38="",NA(),SUM(IF(($B$50:$B$556=E$38)*($D$50:$D$556=$A40)*($E$49:$O$49=E$36),$E$50:$O$556)))</f>
        <v>1458.8285858367421</v>
      </c>
      <c r="F40" s="14">
        <f t="array" ref="F40">IF(F$38="",NA(),SUM(IF(($B$50:$B$556=F$38)*($D$50:$D$556=$A40)*($E$49:$O$49=F$36),$E$50:$O$556)))</f>
        <v>1442.4317981122206</v>
      </c>
      <c r="G40" s="14">
        <f t="array" ref="G40">IF(G$38="",NA(),SUM(IF(($B$50:$B$556=G$38)*($D$50:$D$556=$A40)*($E$49:$O$49=G$36),$E$50:$O$556)))</f>
        <v>1458.8285858367421</v>
      </c>
      <c r="H40" s="14">
        <f t="array" ref="H40">IF(H$38="",NA(),SUM(IF(($B$50:$B$556=H$38)*($D$50:$D$556=$A40)*($E$49:$O$49=H$36),$E$50:$O$556)))</f>
        <v>1442.4317981122206</v>
      </c>
      <c r="I40" s="14">
        <f t="array" ref="I40">IF(I$38="",NA(),SUM(IF(($B$50:$B$556=I$38)*($D$50:$D$556=$A40)*($E$49:$O$49=I$36),$E$50:$O$556)))</f>
        <v>1458.8285858367421</v>
      </c>
      <c r="J40" s="14">
        <f t="array" ref="J40">IF(J$38="",NA(),SUM(IF(($B$50:$B$556=J$38)*($D$50:$D$556=$A40)*($E$49:$O$49=J$36),$E$50:$O$556)))</f>
        <v>1442.4317981122206</v>
      </c>
      <c r="K40" s="14">
        <f t="array" ref="K40">IF(K$38="",NA(),SUM(IF(($B$50:$B$556=K$38)*($D$50:$D$556=$A40)*($E$49:$O$49=K$36),$E$50:$O$556)))</f>
        <v>1458.8285858367421</v>
      </c>
      <c r="L40" s="14" t="e">
        <f t="array" ref="L40">IF(L$38="",NA(),SUM(IF(($B$50:$B$556=L$38)*($D$50:$D$556=$A40)*($E$49:$O$49=L$36),$E$50:$O$556)))</f>
        <v>#N/A</v>
      </c>
      <c r="M40" s="14" t="e">
        <f t="array" ref="M40">IF(M$38="",NA(),SUM(IF(($B$50:$B$556=M$38)*($D$50:$D$556=$A40)*($E$49:$O$49=M$36),$E$50:$O$556)))</f>
        <v>#N/A</v>
      </c>
      <c r="N40" s="14" t="e">
        <f t="array" ref="N40">IF(N$38="",NA(),SUM(IF(($B$50:$B$556=N$38)*($D$50:$D$556=$A40)*($E$49:$O$49=N$36),$E$50:$O$556)))</f>
        <v>#N/A</v>
      </c>
      <c r="O40" s="14">
        <f t="array" ref="O40">IF(O$38="",NA(),SUM(IF(($B$50:$B$556=O$38)*($D$50:$D$556=$A40)*($E$49:$O$49=O$36),$E$50:$O$556)))</f>
        <v>1817.9871879952452</v>
      </c>
      <c r="P40" s="14">
        <f t="array" ref="P40">IF(P$38="",NA(),SUM(IF(($B$50:$B$556=P$38)*($D$50:$D$556=$A40)*($E$49:$O$49=P$36),$E$50:$O$556)))</f>
        <v>1819.8780511749101</v>
      </c>
      <c r="Q40" s="14">
        <f t="array" ref="Q40">IF(Q$38="",NA(),SUM(IF(($B$50:$B$556=Q$38)*($D$50:$D$556=$A40)*($E$49:$O$49=Q$36),$E$50:$O$556)))</f>
        <v>1090.8632766975395</v>
      </c>
      <c r="R40" s="14">
        <f t="array" ref="R40">IF(R$38="",NA(),SUM(IF(($B$50:$B$556=R$38)*($D$50:$D$556=$A40)*($E$49:$O$49=R$36),$E$50:$O$556)))</f>
        <v>0</v>
      </c>
      <c r="S40" s="14">
        <f t="array" ref="S40">IF(S$38="",NA(),SUM(IF(($B$50:$B$556=S$38)*($D$50:$D$556=$A40)*($E$49:$O$49=S$36),$E$50:$O$556)))</f>
        <v>16.396787724521602</v>
      </c>
      <c r="T40" s="14">
        <f t="array" ref="T40">IF(T$38="",NA(),SUM(IF(($B$50:$B$556=T$38)*($D$50:$D$556=$A40)*($E$49:$O$49=T$36),$E$50:$O$556)))</f>
        <v>0</v>
      </c>
      <c r="U40" s="14">
        <f t="array" ref="U40">IF(U$38="",NA(),SUM(IF(($B$50:$B$556=U$38)*($D$50:$D$556=$A40)*($E$49:$O$49=U$36),$E$50:$O$556)))</f>
        <v>16.396787724521602</v>
      </c>
      <c r="V40" s="14">
        <f t="array" ref="V40">IF(V$38="",NA(),SUM(IF(($B$50:$B$556=V$38)*($D$50:$D$556=$A40)*($E$49:$O$49=V$36),$E$50:$O$556)))</f>
        <v>0</v>
      </c>
      <c r="W40" s="14">
        <f t="array" ref="W40">IF(W$38="",NA(),SUM(IF(($B$50:$B$556=W$38)*($D$50:$D$556=$A40)*($E$49:$O$49=W$36),$E$50:$O$556)))</f>
        <v>16.396787724521602</v>
      </c>
      <c r="X40" s="14" t="e">
        <f t="array" ref="X40">IF(X$38="",NA(),SUM(IF(($B$50:$B$556=X$38)*($D$50:$D$556=$A40)*($E$49:$O$49=X$36),$E$50:$O$556)))</f>
        <v>#N/A</v>
      </c>
      <c r="Y40" s="14" t="e">
        <f t="array" ref="Y40">IF(Y$38="",NA(),SUM(IF(($B$50:$B$556=Y$38)*($D$50:$D$556=$A40)*($E$49:$O$49=Y$36),$E$50:$O$556)))</f>
        <v>#N/A</v>
      </c>
      <c r="Z40" s="14" t="e">
        <f t="array" ref="Z40">IF(Z$38="",NA(),SUM(IF(($B$50:$B$556=Z$38)*($D$50:$D$556=$A40)*($E$49:$O$49=Z$36),$E$50:$O$556)))</f>
        <v>#N/A</v>
      </c>
    </row>
    <row r="41" spans="1:26" x14ac:dyDescent="0.3">
      <c r="A41" s="3" t="s">
        <v>255</v>
      </c>
      <c r="B41" s="14">
        <f t="array" ref="B41">IF(B$38="",NA(),SUM(IF(($B$50:$B$556=B$38)*($D$50:$D$556=$A41)*($E$49:$O$49=B$36),$E$50:$O$556)))</f>
        <v>1634.5557819505236</v>
      </c>
      <c r="C41" s="14">
        <f t="array" ref="C41">IF(C$38="",NA(),SUM(IF(($B$50:$B$556=C$38)*($D$50:$D$556=$A41)*($E$49:$O$49=C$36),$E$50:$O$556)))</f>
        <v>1723.7621507171382</v>
      </c>
      <c r="D41" s="14">
        <f t="array" ref="D41">IF(D$38="",NA(),SUM(IF(($B$50:$B$556=D$38)*($D$50:$D$556=$A41)*($E$49:$O$49=D$36),$E$50:$O$556)))</f>
        <v>1789.9146647792879</v>
      </c>
      <c r="E41" s="14">
        <f t="array" ref="E41">IF(E$38="",NA(),SUM(IF(($B$50:$B$556=E$38)*($D$50:$D$556=$A41)*($E$49:$O$49=E$36),$E$50:$O$556)))</f>
        <v>1960.1606269560627</v>
      </c>
      <c r="F41" s="14">
        <f t="array" ref="F41">IF(F$38="",NA(),SUM(IF(($B$50:$B$556=F$38)*($D$50:$D$556=$A41)*($E$49:$O$49=F$36),$E$50:$O$556)))</f>
        <v>2002.1660525758043</v>
      </c>
      <c r="G41" s="14">
        <f t="array" ref="G41">IF(G$38="",NA(),SUM(IF(($B$50:$B$556=G$38)*($D$50:$D$556=$A41)*($E$49:$O$49=G$36),$E$50:$O$556)))</f>
        <v>1960.1606269560627</v>
      </c>
      <c r="H41" s="14">
        <f t="array" ref="H41">IF(H$38="",NA(),SUM(IF(($B$50:$B$556=H$38)*($D$50:$D$556=$A41)*($E$49:$O$49=H$36),$E$50:$O$556)))</f>
        <v>2319.4907751302785</v>
      </c>
      <c r="I41" s="14">
        <f t="array" ref="I41">IF(I$38="",NA(),SUM(IF(($B$50:$B$556=I$38)*($D$50:$D$556=$A41)*($E$49:$O$49=I$36),$E$50:$O$556)))</f>
        <v>1960.1606269560627</v>
      </c>
      <c r="J41" s="14">
        <f t="array" ref="J41">IF(J$38="",NA(),SUM(IF(($B$50:$B$556=J$38)*($D$50:$D$556=$A41)*($E$49:$O$49=J$36),$E$50:$O$556)))</f>
        <v>1995.6466042378381</v>
      </c>
      <c r="K41" s="14">
        <f t="array" ref="K41">IF(K$38="",NA(),SUM(IF(($B$50:$B$556=K$38)*($D$50:$D$556=$A41)*($E$49:$O$49=K$36),$E$50:$O$556)))</f>
        <v>1960.1606269560627</v>
      </c>
      <c r="L41" s="14" t="e">
        <f t="array" ref="L41">IF(L$38="",NA(),SUM(IF(($B$50:$B$556=L$38)*($D$50:$D$556=$A41)*($E$49:$O$49=L$36),$E$50:$O$556)))</f>
        <v>#N/A</v>
      </c>
      <c r="M41" s="14" t="e">
        <f t="array" ref="M41">IF(M$38="",NA(),SUM(IF(($B$50:$B$556=M$38)*($D$50:$D$556=$A41)*($E$49:$O$49=M$36),$E$50:$O$556)))</f>
        <v>#N/A</v>
      </c>
      <c r="N41" s="14" t="e">
        <f t="array" ref="N41">IF(N$38="",NA(),SUM(IF(($B$50:$B$556=N$38)*($D$50:$D$556=$A41)*($E$49:$O$49=N$36),$E$50:$O$556)))</f>
        <v>#N/A</v>
      </c>
      <c r="O41" s="14">
        <f t="array" ref="O41">IF(O$38="",NA(),SUM(IF(($B$50:$B$556=O$38)*($D$50:$D$556=$A41)*($E$49:$O$49=O$36),$E$50:$O$556)))</f>
        <v>312.69717089818511</v>
      </c>
      <c r="P41" s="14">
        <f t="array" ref="P41">IF(P$38="",NA(),SUM(IF(($B$50:$B$556=P$38)*($D$50:$D$556=$A41)*($E$49:$O$49=P$36),$E$50:$O$556)))</f>
        <v>284.30689586647532</v>
      </c>
      <c r="Q41" s="14">
        <f t="array" ref="Q41">IF(Q$38="",NA(),SUM(IF(($B$50:$B$556=Q$38)*($D$50:$D$556=$A41)*($E$49:$O$49=Q$36),$E$50:$O$556)))</f>
        <v>316.02297625320142</v>
      </c>
      <c r="R41" s="14">
        <f t="array" ref="R41">IF(R$38="",NA(),SUM(IF(($B$50:$B$556=R$38)*($D$50:$D$556=$A41)*($E$49:$O$49=R$36),$E$50:$O$556)))</f>
        <v>672.18673027403065</v>
      </c>
      <c r="S41" s="14">
        <f t="array" ref="S41">IF(S$38="",NA(),SUM(IF(($B$50:$B$556=S$38)*($D$50:$D$556=$A41)*($E$49:$O$49=S$36),$E$50:$O$556)))</f>
        <v>678.87038741927654</v>
      </c>
      <c r="T41" s="14">
        <f t="array" ref="T41">IF(T$38="",NA(),SUM(IF(($B$50:$B$556=T$38)*($D$50:$D$556=$A41)*($E$49:$O$49=T$36),$E$50:$O$556)))</f>
        <v>1697.2779859316188</v>
      </c>
      <c r="U41" s="14">
        <f t="array" ref="U41">IF(U$38="",NA(),SUM(IF(($B$50:$B$556=U$38)*($D$50:$D$556=$A41)*($E$49:$O$49=U$36),$E$50:$O$556)))</f>
        <v>798.99597377216378</v>
      </c>
      <c r="V41" s="14">
        <f t="array" ref="V41">IF(V$38="",NA(),SUM(IF(($B$50:$B$556=V$38)*($D$50:$D$556=$A41)*($E$49:$O$49=V$36),$E$50:$O$556)))</f>
        <v>823.36576397920533</v>
      </c>
      <c r="W41" s="14">
        <f t="array" ref="W41">IF(W$38="",NA(),SUM(IF(($B$50:$B$556=W$38)*($D$50:$D$556=$A41)*($E$49:$O$49=W$36),$E$50:$O$556)))</f>
        <v>776.25120381628994</v>
      </c>
      <c r="X41" s="14" t="e">
        <f t="array" ref="X41">IF(X$38="",NA(),SUM(IF(($B$50:$B$556=X$38)*($D$50:$D$556=$A41)*($E$49:$O$49=X$36),$E$50:$O$556)))</f>
        <v>#N/A</v>
      </c>
      <c r="Y41" s="14" t="e">
        <f t="array" ref="Y41">IF(Y$38="",NA(),SUM(IF(($B$50:$B$556=Y$38)*($D$50:$D$556=$A41)*($E$49:$O$49=Y$36),$E$50:$O$556)))</f>
        <v>#N/A</v>
      </c>
      <c r="Z41" s="14" t="e">
        <f t="array" ref="Z41">IF(Z$38="",NA(),SUM(IF(($B$50:$B$556=Z$38)*($D$50:$D$556=$A41)*($E$49:$O$49=Z$36),$E$50:$O$556)))</f>
        <v>#N/A</v>
      </c>
    </row>
    <row r="42" spans="1:26" x14ac:dyDescent="0.3">
      <c r="A42" s="3" t="s">
        <v>258</v>
      </c>
      <c r="B42" s="14">
        <f t="array" ref="B42">IF(B$38="",NA(),SUM(IF(($B$50:$B$556=B$38)*($D$50:$D$556=$A42)*($E$49:$O$49=B$36),$E$50:$O$556)))</f>
        <v>481.39045973200535</v>
      </c>
      <c r="C42" s="14">
        <f t="array" ref="C42">IF(C$38="",NA(),SUM(IF(($B$50:$B$556=C$38)*($D$50:$D$556=$A42)*($E$49:$O$49=C$36),$E$50:$O$556)))</f>
        <v>383.5411225161389</v>
      </c>
      <c r="D42" s="14">
        <f t="array" ref="D42">IF(D$38="",NA(),SUM(IF(($B$50:$B$556=D$38)*($D$50:$D$556=$A42)*($E$49:$O$49=D$36),$E$50:$O$556)))</f>
        <v>404.44862101360314</v>
      </c>
      <c r="E42" s="14">
        <f t="array" ref="E42">IF(E$38="",NA(),SUM(IF(($B$50:$B$556=E$38)*($D$50:$D$556=$A42)*($E$49:$O$49=E$36),$E$50:$O$556)))</f>
        <v>415.43003776815772</v>
      </c>
      <c r="F42" s="14">
        <f t="array" ref="F42">IF(F$38="",NA(),SUM(IF(($B$50:$B$556=F$38)*($D$50:$D$556=$A42)*($E$49:$O$49=F$36),$E$50:$O$556)))</f>
        <v>413.62563076669028</v>
      </c>
      <c r="G42" s="14">
        <f t="array" ref="G42">IF(G$38="",NA(),SUM(IF(($B$50:$B$556=G$38)*($D$50:$D$556=$A42)*($E$49:$O$49=G$36),$E$50:$O$556)))</f>
        <v>415.43003776815772</v>
      </c>
      <c r="H42" s="14">
        <f t="array" ref="H42">IF(H$38="",NA(),SUM(IF(($B$50:$B$556=H$38)*($D$50:$D$556=$A42)*($E$49:$O$49=H$36),$E$50:$O$556)))</f>
        <v>485.30016491030176</v>
      </c>
      <c r="I42" s="14">
        <f t="array" ref="I42">IF(I$38="",NA(),SUM(IF(($B$50:$B$556=I$38)*($D$50:$D$556=$A42)*($E$49:$O$49=I$36),$E$50:$O$556)))</f>
        <v>415.43003776815772</v>
      </c>
      <c r="J42" s="14">
        <f t="array" ref="J42">IF(J$38="",NA(),SUM(IF(($B$50:$B$556=J$38)*($D$50:$D$556=$A42)*($E$49:$O$49=J$36),$E$50:$O$556)))</f>
        <v>415.17624316716331</v>
      </c>
      <c r="K42" s="14">
        <f t="array" ref="K42">IF(K$38="",NA(),SUM(IF(($B$50:$B$556=K$38)*($D$50:$D$556=$A42)*($E$49:$O$49=K$36),$E$50:$O$556)))</f>
        <v>415.43003776815772</v>
      </c>
      <c r="L42" s="14" t="e">
        <f t="array" ref="L42">IF(L$38="",NA(),SUM(IF(($B$50:$B$556=L$38)*($D$50:$D$556=$A42)*($E$49:$O$49=L$36),$E$50:$O$556)))</f>
        <v>#N/A</v>
      </c>
      <c r="M42" s="14" t="e">
        <f t="array" ref="M42">IF(M$38="",NA(),SUM(IF(($B$50:$B$556=M$38)*($D$50:$D$556=$A42)*($E$49:$O$49=M$36),$E$50:$O$556)))</f>
        <v>#N/A</v>
      </c>
      <c r="N42" s="14" t="e">
        <f t="array" ref="N42">IF(N$38="",NA(),SUM(IF(($B$50:$B$556=N$38)*($D$50:$D$556=$A42)*($E$49:$O$49=N$36),$E$50:$O$556)))</f>
        <v>#N/A</v>
      </c>
      <c r="O42" s="14">
        <f t="array" ref="O42">IF(O$38="",NA(),SUM(IF(($B$50:$B$556=O$38)*($D$50:$D$556=$A42)*($E$49:$O$49=O$36),$E$50:$O$556)))</f>
        <v>267.53887081109986</v>
      </c>
      <c r="P42" s="14">
        <f t="array" ref="P42">IF(P$38="",NA(),SUM(IF(($B$50:$B$556=P$38)*($D$50:$D$556=$A42)*($E$49:$O$49=P$36),$E$50:$O$556)))</f>
        <v>252.35539543204916</v>
      </c>
      <c r="Q42" s="14">
        <f t="array" ref="Q42">IF(Q$38="",NA(),SUM(IF(($B$50:$B$556=Q$38)*($D$50:$D$556=$A42)*($E$49:$O$49=Q$36),$E$50:$O$556)))</f>
        <v>257.2800009990433</v>
      </c>
      <c r="R42" s="14">
        <f t="array" ref="R42">IF(R$38="",NA(),SUM(IF(($B$50:$B$556=R$38)*($D$50:$D$556=$A42)*($E$49:$O$49=R$36),$E$50:$O$556)))</f>
        <v>297.90477916283481</v>
      </c>
      <c r="S42" s="14">
        <f t="array" ref="S42">IF(S$38="",NA(),SUM(IF(($B$50:$B$556=S$38)*($D$50:$D$556=$A42)*($E$49:$O$49=S$36),$E$50:$O$556)))</f>
        <v>309.81175301485308</v>
      </c>
      <c r="T42" s="14">
        <f t="array" ref="T42">IF(T$38="",NA(),SUM(IF(($B$50:$B$556=T$38)*($D$50:$D$556=$A42)*($E$49:$O$49=T$36),$E$50:$O$556)))</f>
        <v>984.23092407344848</v>
      </c>
      <c r="U42" s="14">
        <f t="array" ref="U42">IF(U$38="",NA(),SUM(IF(($B$50:$B$556=U$38)*($D$50:$D$556=$A42)*($E$49:$O$49=U$36),$E$50:$O$556)))</f>
        <v>1240.4846481260972</v>
      </c>
      <c r="V42" s="14">
        <f t="array" ref="V42">IF(V$38="",NA(),SUM(IF(($B$50:$B$556=V$38)*($D$50:$D$556=$A42)*($E$49:$O$49=V$36),$E$50:$O$556)))</f>
        <v>301.02049905143627</v>
      </c>
      <c r="W42" s="14">
        <f t="array" ref="W42">IF(W$38="",NA(),SUM(IF(($B$50:$B$556=W$38)*($D$50:$D$556=$A42)*($E$49:$O$49=W$36),$E$50:$O$556)))</f>
        <v>423.61198746804695</v>
      </c>
      <c r="X42" s="14" t="e">
        <f t="array" ref="X42">IF(X$38="",NA(),SUM(IF(($B$50:$B$556=X$38)*($D$50:$D$556=$A42)*($E$49:$O$49=X$36),$E$50:$O$556)))</f>
        <v>#N/A</v>
      </c>
      <c r="Y42" s="14" t="e">
        <f t="array" ref="Y42">IF(Y$38="",NA(),SUM(IF(($B$50:$B$556=Y$38)*($D$50:$D$556=$A42)*($E$49:$O$49=Y$36),$E$50:$O$556)))</f>
        <v>#N/A</v>
      </c>
      <c r="Z42" s="14" t="e">
        <f t="array" ref="Z42">IF(Z$38="",NA(),SUM(IF(($B$50:$B$556=Z$38)*($D$50:$D$556=$A42)*($E$49:$O$49=Z$36),$E$50:$O$556)))</f>
        <v>#N/A</v>
      </c>
    </row>
    <row r="43" spans="1:26" x14ac:dyDescent="0.3">
      <c r="A43" s="3" t="s">
        <v>256</v>
      </c>
      <c r="B43" s="14">
        <f t="array" ref="B43">IF(B$38="",NA(),SUM(IF(($B$50:$B$556=B$38)*($D$50:$D$556=$A43)*($E$49:$O$49=B$36),$E$50:$O$556)))</f>
        <v>744.22477031191352</v>
      </c>
      <c r="C43" s="14">
        <f t="array" ref="C43">IF(C$38="",NA(),SUM(IF(($B$50:$B$556=C$38)*($D$50:$D$556=$A43)*($E$49:$O$49=C$36),$E$50:$O$556)))</f>
        <v>1084.4749702290485</v>
      </c>
      <c r="D43" s="14">
        <f t="array" ref="D43">IF(D$38="",NA(),SUM(IF(($B$50:$B$556=D$38)*($D$50:$D$556=$A43)*($E$49:$O$49=D$36),$E$50:$O$556)))</f>
        <v>1095.0609142242067</v>
      </c>
      <c r="E43" s="14">
        <f t="array" ref="E43">IF(E$38="",NA(),SUM(IF(($B$50:$B$556=E$38)*($D$50:$D$556=$A43)*($E$49:$O$49=E$36),$E$50:$O$556)))</f>
        <v>1153.8656291758321</v>
      </c>
      <c r="F43" s="14">
        <f t="array" ref="F43">IF(F$38="",NA(),SUM(IF(($B$50:$B$556=F$38)*($D$50:$D$556=$A43)*($E$49:$O$49=F$36),$E$50:$O$556)))</f>
        <v>1165.7013704439287</v>
      </c>
      <c r="G43" s="14">
        <f t="array" ref="G43">IF(G$38="",NA(),SUM(IF(($B$50:$B$556=G$38)*($D$50:$D$556=$A43)*($E$49:$O$49=G$36),$E$50:$O$556)))</f>
        <v>1153.8656291758321</v>
      </c>
      <c r="H43" s="14">
        <f t="array" ref="H43">IF(H$38="",NA(),SUM(IF(($B$50:$B$556=H$38)*($D$50:$D$556=$A43)*($E$49:$O$49=H$36),$E$50:$O$556)))</f>
        <v>1214.3665733356884</v>
      </c>
      <c r="I43" s="14">
        <f t="array" ref="I43">IF(I$38="",NA(),SUM(IF(($B$50:$B$556=I$38)*($D$50:$D$556=$A43)*($E$49:$O$49=I$36),$E$50:$O$556)))</f>
        <v>1153.8656291758321</v>
      </c>
      <c r="J43" s="14">
        <f t="array" ref="J43">IF(J$38="",NA(),SUM(IF(($B$50:$B$556=J$38)*($D$50:$D$556=$A43)*($E$49:$O$49=J$36),$E$50:$O$556)))</f>
        <v>1190.0416603652129</v>
      </c>
      <c r="K43" s="14">
        <f t="array" ref="K43">IF(K$38="",NA(),SUM(IF(($B$50:$B$556=K$38)*($D$50:$D$556=$A43)*($E$49:$O$49=K$36),$E$50:$O$556)))</f>
        <v>1153.8656291758321</v>
      </c>
      <c r="L43" s="14" t="e">
        <f t="array" ref="L43">IF(L$38="",NA(),SUM(IF(($B$50:$B$556=L$38)*($D$50:$D$556=$A43)*($E$49:$O$49=L$36),$E$50:$O$556)))</f>
        <v>#N/A</v>
      </c>
      <c r="M43" s="14" t="e">
        <f t="array" ref="M43">IF(M$38="",NA(),SUM(IF(($B$50:$B$556=M$38)*($D$50:$D$556=$A43)*($E$49:$O$49=M$36),$E$50:$O$556)))</f>
        <v>#N/A</v>
      </c>
      <c r="N43" s="14" t="e">
        <f t="array" ref="N43">IF(N$38="",NA(),SUM(IF(($B$50:$B$556=N$38)*($D$50:$D$556=$A43)*($E$49:$O$49=N$36),$E$50:$O$556)))</f>
        <v>#N/A</v>
      </c>
      <c r="O43" s="14">
        <f t="array" ref="O43">IF(O$38="",NA(),SUM(IF(($B$50:$B$556=O$38)*($D$50:$D$556=$A43)*($E$49:$O$49=O$36),$E$50:$O$556)))</f>
        <v>1264.2083065838947</v>
      </c>
      <c r="P43" s="14">
        <f t="array" ref="P43">IF(P$38="",NA(),SUM(IF(($B$50:$B$556=P$38)*($D$50:$D$556=$A43)*($E$49:$O$49=P$36),$E$50:$O$556)))</f>
        <v>1265.2292974928375</v>
      </c>
      <c r="Q43" s="14">
        <f t="array" ref="Q43">IF(Q$38="",NA(),SUM(IF(($B$50:$B$556=Q$38)*($D$50:$D$556=$A43)*($E$49:$O$49=Q$36),$E$50:$O$556)))</f>
        <v>1381.7386265907953</v>
      </c>
      <c r="R43" s="14">
        <f t="array" ref="R43">IF(R$38="",NA(),SUM(IF(($B$50:$B$556=R$38)*($D$50:$D$556=$A43)*($E$49:$O$49=R$36),$E$50:$O$556)))</f>
        <v>1593.6197976383171</v>
      </c>
      <c r="S43" s="14">
        <f t="array" ref="S43">IF(S$38="",NA(),SUM(IF(($B$50:$B$556=S$38)*($D$50:$D$556=$A43)*($E$49:$O$49=S$36),$E$50:$O$556)))</f>
        <v>1644.8187823973142</v>
      </c>
      <c r="T43" s="14">
        <f t="array" ref="T43">IF(T$38="",NA(),SUM(IF(($B$50:$B$556=T$38)*($D$50:$D$556=$A43)*($E$49:$O$49=T$36),$E$50:$O$556)))</f>
        <v>2291.1686563626517</v>
      </c>
      <c r="U43" s="14">
        <f t="array" ref="U43">IF(U$38="",NA(),SUM(IF(($B$50:$B$556=U$38)*($D$50:$D$556=$A43)*($E$49:$O$49=U$36),$E$50:$O$556)))</f>
        <v>2144.602778070092</v>
      </c>
      <c r="V43" s="14">
        <f t="array" ref="V43">IF(V$38="",NA(),SUM(IF(($B$50:$B$556=V$38)*($D$50:$D$556=$A43)*($E$49:$O$49=V$36),$E$50:$O$556)))</f>
        <v>1712.9361490937299</v>
      </c>
      <c r="W43" s="14">
        <f t="array" ref="W43">IF(W$38="",NA(),SUM(IF(($B$50:$B$556=W$38)*($D$50:$D$556=$A43)*($E$49:$O$49=W$36),$E$50:$O$556)))</f>
        <v>1947.3399881582659</v>
      </c>
      <c r="X43" s="14" t="e">
        <f t="array" ref="X43">IF(X$38="",NA(),SUM(IF(($B$50:$B$556=X$38)*($D$50:$D$556=$A43)*($E$49:$O$49=X$36),$E$50:$O$556)))</f>
        <v>#N/A</v>
      </c>
      <c r="Y43" s="14" t="e">
        <f t="array" ref="Y43">IF(Y$38="",NA(),SUM(IF(($B$50:$B$556=Y$38)*($D$50:$D$556=$A43)*($E$49:$O$49=Y$36),$E$50:$O$556)))</f>
        <v>#N/A</v>
      </c>
      <c r="Z43" s="14" t="e">
        <f t="array" ref="Z43">IF(Z$38="",NA(),SUM(IF(($B$50:$B$556=Z$38)*($D$50:$D$556=$A43)*($E$49:$O$49=Z$36),$E$50:$O$556)))</f>
        <v>#N/A</v>
      </c>
    </row>
    <row r="44" spans="1:26" x14ac:dyDescent="0.3">
      <c r="A44" s="3" t="s">
        <v>257</v>
      </c>
      <c r="B44" s="14">
        <f t="array" ref="B44">IF(B$38="",NA(),SUM(IF(($B$50:$B$556=B$38)*($D$50:$D$556=$A44)*($E$49:$O$49=B$36),$E$50:$O$556)))</f>
        <v>393.99999999999972</v>
      </c>
      <c r="C44" s="14">
        <f t="array" ref="C44">IF(C$38="",NA(),SUM(IF(($B$50:$B$556=C$38)*($D$50:$D$556=$A44)*($E$49:$O$49=C$36),$E$50:$O$556)))</f>
        <v>599.60750408611364</v>
      </c>
      <c r="D44" s="14">
        <f t="array" ref="D44">IF(D$38="",NA(),SUM(IF(($B$50:$B$556=D$38)*($D$50:$D$556=$A44)*($E$49:$O$49=D$36),$E$50:$O$556)))</f>
        <v>599.60750408611352</v>
      </c>
      <c r="E44" s="14">
        <f t="array" ref="E44">IF(E$38="",NA(),SUM(IF(($B$50:$B$556=E$38)*($D$50:$D$556=$A44)*($E$49:$O$49=E$36),$E$50:$O$556)))</f>
        <v>599.60750408611364</v>
      </c>
      <c r="F44" s="14">
        <f t="array" ref="F44">IF(F$38="",NA(),SUM(IF(($B$50:$B$556=F$38)*($D$50:$D$556=$A44)*($E$49:$O$49=F$36),$E$50:$O$556)))</f>
        <v>599.60750408611364</v>
      </c>
      <c r="G44" s="14">
        <f t="array" ref="G44">IF(G$38="",NA(),SUM(IF(($B$50:$B$556=G$38)*($D$50:$D$556=$A44)*($E$49:$O$49=G$36),$E$50:$O$556)))</f>
        <v>599.60750408611364</v>
      </c>
      <c r="H44" s="14">
        <f t="array" ref="H44">IF(H$38="",NA(),SUM(IF(($B$50:$B$556=H$38)*($D$50:$D$556=$A44)*($E$49:$O$49=H$36),$E$50:$O$556)))</f>
        <v>599.60750408611364</v>
      </c>
      <c r="I44" s="14">
        <f t="array" ref="I44">IF(I$38="",NA(),SUM(IF(($B$50:$B$556=I$38)*($D$50:$D$556=$A44)*($E$49:$O$49=I$36),$E$50:$O$556)))</f>
        <v>599.60750408611364</v>
      </c>
      <c r="J44" s="14">
        <f t="array" ref="J44">IF(J$38="",NA(),SUM(IF(($B$50:$B$556=J$38)*($D$50:$D$556=$A44)*($E$49:$O$49=J$36),$E$50:$O$556)))</f>
        <v>599.60750408611364</v>
      </c>
      <c r="K44" s="14">
        <f t="array" ref="K44">IF(K$38="",NA(),SUM(IF(($B$50:$B$556=K$38)*($D$50:$D$556=$A44)*($E$49:$O$49=K$36),$E$50:$O$556)))</f>
        <v>599.60750408611364</v>
      </c>
      <c r="L44" s="14" t="e">
        <f t="array" ref="L44">IF(L$38="",NA(),SUM(IF(($B$50:$B$556=L$38)*($D$50:$D$556=$A44)*($E$49:$O$49=L$36),$E$50:$O$556)))</f>
        <v>#N/A</v>
      </c>
      <c r="M44" s="14" t="e">
        <f t="array" ref="M44">IF(M$38="",NA(),SUM(IF(($B$50:$B$556=M$38)*($D$50:$D$556=$A44)*($E$49:$O$49=M$36),$E$50:$O$556)))</f>
        <v>#N/A</v>
      </c>
      <c r="N44" s="14" t="e">
        <f t="array" ref="N44">IF(N$38="",NA(),SUM(IF(($B$50:$B$556=N$38)*($D$50:$D$556=$A44)*($E$49:$O$49=N$36),$E$50:$O$556)))</f>
        <v>#N/A</v>
      </c>
      <c r="O44" s="14">
        <f t="array" ref="O44">IF(O$38="",NA(),SUM(IF(($B$50:$B$556=O$38)*($D$50:$D$556=$A44)*($E$49:$O$49=O$36),$E$50:$O$556)))</f>
        <v>599.67439071681792</v>
      </c>
      <c r="P44" s="14">
        <f t="array" ref="P44">IF(P$38="",NA(),SUM(IF(($B$50:$B$556=P$38)*($D$50:$D$556=$A44)*($E$49:$O$49=P$36),$E$50:$O$556)))</f>
        <v>598.87351478182234</v>
      </c>
      <c r="Q44" s="14">
        <f t="array" ref="Q44">IF(Q$38="",NA(),SUM(IF(($B$50:$B$556=Q$38)*($D$50:$D$556=$A44)*($E$49:$O$49=Q$36),$E$50:$O$556)))</f>
        <v>675.62768069653043</v>
      </c>
      <c r="R44" s="14">
        <f t="array" ref="R44">IF(R$38="",NA(),SUM(IF(($B$50:$B$556=R$38)*($D$50:$D$556=$A44)*($E$49:$O$49=R$36),$E$50:$O$556)))</f>
        <v>864.65940910950314</v>
      </c>
      <c r="S44" s="14">
        <f t="array" ref="S44">IF(S$38="",NA(),SUM(IF(($B$50:$B$556=S$38)*($D$50:$D$556=$A44)*($E$49:$O$49=S$36),$E$50:$O$556)))</f>
        <v>889.70484956154769</v>
      </c>
      <c r="T44" s="14">
        <f t="array" ref="T44">IF(T$38="",NA(),SUM(IF(($B$50:$B$556=T$38)*($D$50:$D$556=$A44)*($E$49:$O$49=T$36),$E$50:$O$556)))</f>
        <v>990.60243055737442</v>
      </c>
      <c r="U44" s="14">
        <f t="array" ref="U44">IF(U$38="",NA(),SUM(IF(($B$50:$B$556=U$38)*($D$50:$D$556=$A44)*($E$49:$O$49=U$36),$E$50:$O$556)))</f>
        <v>865.42213252872932</v>
      </c>
      <c r="V44" s="14">
        <f t="array" ref="V44">IF(V$38="",NA(),SUM(IF(($B$50:$B$556=V$38)*($D$50:$D$556=$A44)*($E$49:$O$49=V$36),$E$50:$O$556)))</f>
        <v>921.6386533637168</v>
      </c>
      <c r="W44" s="14">
        <f t="array" ref="W44">IF(W$38="",NA(),SUM(IF(($B$50:$B$556=W$38)*($D$50:$D$556=$A44)*($E$49:$O$49=W$36),$E$50:$O$556)))</f>
        <v>932.75289370291682</v>
      </c>
      <c r="X44" s="14" t="e">
        <f t="array" ref="X44">IF(X$38="",NA(),SUM(IF(($B$50:$B$556=X$38)*($D$50:$D$556=$A44)*($E$49:$O$49=X$36),$E$50:$O$556)))</f>
        <v>#N/A</v>
      </c>
      <c r="Y44" s="14" t="e">
        <f t="array" ref="Y44">IF(Y$38="",NA(),SUM(IF(($B$50:$B$556=Y$38)*($D$50:$D$556=$A44)*($E$49:$O$49=Y$36),$E$50:$O$556)))</f>
        <v>#N/A</v>
      </c>
      <c r="Z44" s="14" t="e">
        <f t="array" ref="Z44">IF(Z$38="",NA(),SUM(IF(($B$50:$B$556=Z$38)*($D$50:$D$556=$A44)*($E$49:$O$49=Z$36),$E$50:$O$556)))</f>
        <v>#N/A</v>
      </c>
    </row>
    <row r="45" spans="1:26" x14ac:dyDescent="0.3">
      <c r="A45" s="3" t="s">
        <v>259</v>
      </c>
      <c r="B45" s="14">
        <f t="array" ref="B45">IF(B$38="",NA(),SUM(IF(($B$50:$B$556=B$38)*($D$50:$D$556=$A45)*($E$49:$O$49=B$36),$E$50:$O$556)))</f>
        <v>108.81041965779016</v>
      </c>
      <c r="C45" s="14">
        <f t="array" ref="C45">IF(C$38="",NA(),SUM(IF(($B$50:$B$556=C$38)*($D$50:$D$556=$A45)*($E$49:$O$49=C$36),$E$50:$O$556)))</f>
        <v>422.51783830675265</v>
      </c>
      <c r="D45" s="14">
        <f t="array" ref="D45">IF(D$38="",NA(),SUM(IF(($B$50:$B$556=D$38)*($D$50:$D$556=$A45)*($E$49:$O$49=D$36),$E$50:$O$556)))</f>
        <v>489.46815270242922</v>
      </c>
      <c r="E45" s="14">
        <f t="array" ref="E45">IF(E$38="",NA(),SUM(IF(($B$50:$B$556=E$38)*($D$50:$D$556=$A45)*($E$49:$O$49=E$36),$E$50:$O$556)))</f>
        <v>577.35112450857912</v>
      </c>
      <c r="F45" s="14">
        <f t="array" ref="F45">IF(F$38="",NA(),SUM(IF(($B$50:$B$556=F$38)*($D$50:$D$556=$A45)*($E$49:$O$49=F$36),$E$50:$O$556)))</f>
        <v>917.9228779959941</v>
      </c>
      <c r="G45" s="14">
        <f t="array" ref="G45">IF(G$38="",NA(),SUM(IF(($B$50:$B$556=G$38)*($D$50:$D$556=$A45)*($E$49:$O$49=G$36),$E$50:$O$556)))</f>
        <v>577.35112450857912</v>
      </c>
      <c r="H45" s="14">
        <f t="array" ref="H45">IF(H$38="",NA(),SUM(IF(($B$50:$B$556=H$38)*($D$50:$D$556=$A45)*($E$49:$O$49=H$36),$E$50:$O$556)))</f>
        <v>949.00525020844009</v>
      </c>
      <c r="I45" s="14">
        <f t="array" ref="I45">IF(I$38="",NA(),SUM(IF(($B$50:$B$556=I$38)*($D$50:$D$556=$A45)*($E$49:$O$49=I$36),$E$50:$O$556)))</f>
        <v>577.35112450857912</v>
      </c>
      <c r="J45" s="14">
        <f t="array" ref="J45">IF(J$38="",NA(),SUM(IF(($B$50:$B$556=J$38)*($D$50:$D$556=$A45)*($E$49:$O$49=J$36),$E$50:$O$556)))</f>
        <v>916.13269141406147</v>
      </c>
      <c r="K45" s="14">
        <f t="array" ref="K45">IF(K$38="",NA(),SUM(IF(($B$50:$B$556=K$38)*($D$50:$D$556=$A45)*($E$49:$O$49=K$36),$E$50:$O$556)))</f>
        <v>577.35112450857912</v>
      </c>
      <c r="L45" s="14" t="e">
        <f t="array" ref="L45">IF(L$38="",NA(),SUM(IF(($B$50:$B$556=L$38)*($D$50:$D$556=$A45)*($E$49:$O$49=L$36),$E$50:$O$556)))</f>
        <v>#N/A</v>
      </c>
      <c r="M45" s="14" t="e">
        <f t="array" ref="M45">IF(M$38="",NA(),SUM(IF(($B$50:$B$556=M$38)*($D$50:$D$556=$A45)*($E$49:$O$49=M$36),$E$50:$O$556)))</f>
        <v>#N/A</v>
      </c>
      <c r="N45" s="14" t="e">
        <f t="array" ref="N45">IF(N$38="",NA(),SUM(IF(($B$50:$B$556=N$38)*($D$50:$D$556=$A45)*($E$49:$O$49=N$36),$E$50:$O$556)))</f>
        <v>#N/A</v>
      </c>
      <c r="O45" s="14">
        <f t="array" ref="O45">IF(O$38="",NA(),SUM(IF(($B$50:$B$556=O$38)*($D$50:$D$556=$A45)*($E$49:$O$49=O$36),$E$50:$O$556)))</f>
        <v>2392.7762939278741</v>
      </c>
      <c r="P45" s="14">
        <f t="array" ref="P45">IF(P$38="",NA(),SUM(IF(($B$50:$B$556=P$38)*($D$50:$D$556=$A45)*($E$49:$O$49=P$36),$E$50:$O$556)))</f>
        <v>2395.8484704729995</v>
      </c>
      <c r="Q45" s="14">
        <f t="array" ref="Q45">IF(Q$38="",NA(),SUM(IF(($B$50:$B$556=Q$38)*($D$50:$D$556=$A45)*($E$49:$O$49=Q$36),$E$50:$O$556)))</f>
        <v>3923.0513466423226</v>
      </c>
      <c r="R45" s="14">
        <f t="array" ref="R45">IF(R$38="",NA(),SUM(IF(($B$50:$B$556=R$38)*($D$50:$D$556=$A45)*($E$49:$O$49=R$36),$E$50:$O$556)))</f>
        <v>5375.4678822587312</v>
      </c>
      <c r="S45" s="14">
        <f t="array" ref="S45">IF(S$38="",NA(),SUM(IF(($B$50:$B$556=S$38)*($D$50:$D$556=$A45)*($E$49:$O$49=S$36),$E$50:$O$556)))</f>
        <v>5348.427339071296</v>
      </c>
      <c r="T45" s="14">
        <f t="array" ref="T45">IF(T$38="",NA(),SUM(IF(($B$50:$B$556=T$38)*($D$50:$D$556=$A45)*($E$49:$O$49=T$36),$E$50:$O$556)))</f>
        <v>9206.7989115032324</v>
      </c>
      <c r="U45" s="14">
        <f t="array" ref="U45">IF(U$38="",NA(),SUM(IF(($B$50:$B$556=U$38)*($D$50:$D$556=$A45)*($E$49:$O$49=U$36),$E$50:$O$556)))</f>
        <v>7165.8097590782854</v>
      </c>
      <c r="V45" s="14">
        <f t="array" ref="V45">IF(V$38="",NA(),SUM(IF(($B$50:$B$556=V$38)*($D$50:$D$556=$A45)*($E$49:$O$49=V$36),$E$50:$O$556)))</f>
        <v>5426.0658011568739</v>
      </c>
      <c r="W45" s="14">
        <f t="array" ref="W45">IF(W$38="",NA(),SUM(IF(($B$50:$B$556=W$38)*($D$50:$D$556=$A45)*($E$49:$O$49=W$36),$E$50:$O$556)))</f>
        <v>5744.053822598461</v>
      </c>
      <c r="X45" s="14" t="e">
        <f t="array" ref="X45">IF(X$38="",NA(),SUM(IF(($B$50:$B$556=X$38)*($D$50:$D$556=$A45)*($E$49:$O$49=X$36),$E$50:$O$556)))</f>
        <v>#N/A</v>
      </c>
      <c r="Y45" s="14" t="e">
        <f t="array" ref="Y45">IF(Y$38="",NA(),SUM(IF(($B$50:$B$556=Y$38)*($D$50:$D$556=$A45)*($E$49:$O$49=Y$36),$E$50:$O$556)))</f>
        <v>#N/A</v>
      </c>
      <c r="Z45" s="14" t="e">
        <f t="array" ref="Z45">IF(Z$38="",NA(),SUM(IF(($B$50:$B$556=Z$38)*($D$50:$D$556=$A45)*($E$49:$O$49=Z$36),$E$50:$O$556)))</f>
        <v>#N/A</v>
      </c>
    </row>
    <row r="46" spans="1:26" x14ac:dyDescent="0.3">
      <c r="A46" s="3" t="s">
        <v>260</v>
      </c>
      <c r="B46" s="14">
        <f t="array" ref="B46">IF(B$38="",NA(),SUM(IF(($B$50:$B$556=B$38)*($D$50:$D$556=$A46)*($E$49:$O$49=B$36),$E$50:$O$556)))</f>
        <v>242.99857406704328</v>
      </c>
      <c r="C46" s="14">
        <f t="array" ref="C46">IF(C$38="",NA(),SUM(IF(($B$50:$B$556=C$38)*($D$50:$D$556=$A46)*($E$49:$O$49=C$36),$E$50:$O$556)))</f>
        <v>1325.235532561333</v>
      </c>
      <c r="D46" s="14">
        <f t="array" ref="D46">IF(D$38="",NA(),SUM(IF(($B$50:$B$556=D$38)*($D$50:$D$556=$A46)*($E$49:$O$49=D$36),$E$50:$O$556)))</f>
        <v>1346.1447311328993</v>
      </c>
      <c r="E46" s="14">
        <f t="array" ref="E46">IF(E$38="",NA(),SUM(IF(($B$50:$B$556=E$38)*($D$50:$D$556=$A46)*($E$49:$O$49=E$36),$E$50:$O$556)))</f>
        <v>1381.7602614741115</v>
      </c>
      <c r="F46" s="14">
        <f t="array" ref="F46">IF(F$38="",NA(),SUM(IF(($B$50:$B$556=F$38)*($D$50:$D$556=$A46)*($E$49:$O$49=F$36),$E$50:$O$556)))</f>
        <v>1516.2397537476211</v>
      </c>
      <c r="G46" s="14">
        <f t="array" ref="G46">IF(G$38="",NA(),SUM(IF(($B$50:$B$556=G$38)*($D$50:$D$556=$A46)*($E$49:$O$49=G$36),$E$50:$O$556)))</f>
        <v>1381.7602614741115</v>
      </c>
      <c r="H46" s="14">
        <f t="array" ref="H46">IF(H$38="",NA(),SUM(IF(($B$50:$B$556=H$38)*($D$50:$D$556=$A46)*($E$49:$O$49=H$36),$E$50:$O$556)))</f>
        <v>1756.2662000926357</v>
      </c>
      <c r="I46" s="14">
        <f t="array" ref="I46">IF(I$38="",NA(),SUM(IF(($B$50:$B$556=I$38)*($D$50:$D$556=$A46)*($E$49:$O$49=I$36),$E$50:$O$556)))</f>
        <v>1381.7602614741115</v>
      </c>
      <c r="J46" s="14">
        <f t="array" ref="J46">IF(J$38="",NA(),SUM(IF(($B$50:$B$556=J$38)*($D$50:$D$556=$A46)*($E$49:$O$49=J$36),$E$50:$O$556)))</f>
        <v>1608.939481169471</v>
      </c>
      <c r="K46" s="14">
        <f t="array" ref="K46">IF(K$38="",NA(),SUM(IF(($B$50:$B$556=K$38)*($D$50:$D$556=$A46)*($E$49:$O$49=K$36),$E$50:$O$556)))</f>
        <v>1381.7602614741115</v>
      </c>
      <c r="L46" s="14" t="e">
        <f t="array" ref="L46">IF(L$38="",NA(),SUM(IF(($B$50:$B$556=L$38)*($D$50:$D$556=$A46)*($E$49:$O$49=L$36),$E$50:$O$556)))</f>
        <v>#N/A</v>
      </c>
      <c r="M46" s="14" t="e">
        <f t="array" ref="M46">IF(M$38="",NA(),SUM(IF(($B$50:$B$556=M$38)*($D$50:$D$556=$A46)*($E$49:$O$49=M$36),$E$50:$O$556)))</f>
        <v>#N/A</v>
      </c>
      <c r="N46" s="14" t="e">
        <f t="array" ref="N46">IF(N$38="",NA(),SUM(IF(($B$50:$B$556=N$38)*($D$50:$D$556=$A46)*($E$49:$O$49=N$36),$E$50:$O$556)))</f>
        <v>#N/A</v>
      </c>
      <c r="O46" s="14">
        <f t="array" ref="O46">IF(O$38="",NA(),SUM(IF(($B$50:$B$556=O$38)*($D$50:$D$556=$A46)*($E$49:$O$49=O$36),$E$50:$O$556)))</f>
        <v>4541.888932918755</v>
      </c>
      <c r="P46" s="14">
        <f t="array" ref="P46">IF(P$38="",NA(),SUM(IF(($B$50:$B$556=P$38)*($D$50:$D$556=$A46)*($E$49:$O$49=P$36),$E$50:$O$556)))</f>
        <v>4584.7281838121235</v>
      </c>
      <c r="Q46" s="14">
        <f t="array" ref="Q46">IF(Q$38="",NA(),SUM(IF(($B$50:$B$556=Q$38)*($D$50:$D$556=$A46)*($E$49:$O$49=Q$36),$E$50:$O$556)))</f>
        <v>4671.6732285660128</v>
      </c>
      <c r="R46" s="14">
        <f t="array" ref="R46">IF(R$38="",NA(),SUM(IF(($B$50:$B$556=R$38)*($D$50:$D$556=$A46)*($E$49:$O$49=R$36),$E$50:$O$556)))</f>
        <v>4641.3558628552391</v>
      </c>
      <c r="S46" s="14">
        <f t="array" ref="S46">IF(S$38="",NA(),SUM(IF(($B$50:$B$556=S$38)*($D$50:$D$556=$A46)*($E$49:$O$49=S$36),$E$50:$O$556)))</f>
        <v>4632.821594564115</v>
      </c>
      <c r="T46" s="14">
        <f t="array" ref="T46">IF(T$38="",NA(),SUM(IF(($B$50:$B$556=T$38)*($D$50:$D$556=$A46)*($E$49:$O$49=T$36),$E$50:$O$556)))</f>
        <v>8485.8544581431051</v>
      </c>
      <c r="U46" s="14">
        <f t="array" ref="U46">IF(U$38="",NA(),SUM(IF(($B$50:$B$556=U$38)*($D$50:$D$556=$A46)*($E$49:$O$49=U$36),$E$50:$O$556)))</f>
        <v>6646.6061428523481</v>
      </c>
      <c r="V46" s="14">
        <f t="array" ref="V46">IF(V$38="",NA(),SUM(IF(($B$50:$B$556=V$38)*($D$50:$D$556=$A46)*($E$49:$O$49=V$36),$E$50:$O$556)))</f>
        <v>4771.1912976620752</v>
      </c>
      <c r="W46" s="14">
        <f t="array" ref="W46">IF(W$38="",NA(),SUM(IF(($B$50:$B$556=W$38)*($D$50:$D$556=$A46)*($E$49:$O$49=W$36),$E$50:$O$556)))</f>
        <v>5138.8160455374255</v>
      </c>
      <c r="X46" s="14" t="e">
        <f t="array" ref="X46">IF(X$38="",NA(),SUM(IF(($B$50:$B$556=X$38)*($D$50:$D$556=$A46)*($E$49:$O$49=X$36),$E$50:$O$556)))</f>
        <v>#N/A</v>
      </c>
      <c r="Y46" s="14" t="e">
        <f t="array" ref="Y46">IF(Y$38="",NA(),SUM(IF(($B$50:$B$556=Y$38)*($D$50:$D$556=$A46)*($E$49:$O$49=Y$36),$E$50:$O$556)))</f>
        <v>#N/A</v>
      </c>
      <c r="Z46" s="14" t="e">
        <f t="array" ref="Z46">IF(Z$38="",NA(),SUM(IF(($B$50:$B$556=Z$38)*($D$50:$D$556=$A46)*($E$49:$O$49=Z$36),$E$50:$O$556)))</f>
        <v>#N/A</v>
      </c>
    </row>
    <row r="47" spans="1:26" ht="15" thickBot="1" x14ac:dyDescent="0.35"/>
    <row r="48" spans="1:26" s="15" customFormat="1" ht="15" thickBot="1" x14ac:dyDescent="0.35">
      <c r="A48" s="15" t="s">
        <v>198</v>
      </c>
      <c r="S48" s="16"/>
    </row>
    <row r="49" spans="1:15" x14ac:dyDescent="0.3">
      <c r="A49" s="3" t="s">
        <v>86</v>
      </c>
      <c r="B49" s="3" t="s">
        <v>8</v>
      </c>
      <c r="C49" s="3" t="s">
        <v>59</v>
      </c>
      <c r="D49" s="3" t="s">
        <v>252</v>
      </c>
      <c r="E49" s="3">
        <v>2007</v>
      </c>
      <c r="F49" s="3">
        <v>2012</v>
      </c>
      <c r="G49" s="3">
        <v>2020</v>
      </c>
      <c r="H49" s="3">
        <v>2030</v>
      </c>
      <c r="I49" s="3">
        <v>2040</v>
      </c>
      <c r="J49" s="3">
        <v>2050</v>
      </c>
      <c r="K49" s="3">
        <v>2060</v>
      </c>
      <c r="L49" s="3">
        <v>2070</v>
      </c>
      <c r="M49" s="3">
        <v>2080</v>
      </c>
      <c r="N49" s="3">
        <v>2090</v>
      </c>
      <c r="O49" s="3">
        <v>2100</v>
      </c>
    </row>
    <row r="50" spans="1:15" x14ac:dyDescent="0.3">
      <c r="A50" s="3" t="str">
        <f>INDEX('R1. Scenario specifications'!$C$11:$C$49,MATCH($B50,'R1. Scenario specifications'!$A$11:$A$49,0))</f>
        <v>TIAM BAU - No Policy Action</v>
      </c>
      <c r="B50" s="3" t="s">
        <v>11</v>
      </c>
      <c r="C50" s="3" t="s">
        <v>63</v>
      </c>
      <c r="D50" s="3" t="s">
        <v>253</v>
      </c>
      <c r="E50" s="14">
        <v>19.526838931037336</v>
      </c>
      <c r="F50" s="14">
        <v>26.141237482570887</v>
      </c>
      <c r="G50" s="14">
        <v>79.567862789827558</v>
      </c>
      <c r="H50" s="14">
        <v>245.7343968880482</v>
      </c>
      <c r="I50" s="14">
        <v>344.90641197062394</v>
      </c>
      <c r="J50" s="14">
        <v>375.11797763136144</v>
      </c>
      <c r="K50" s="14">
        <v>425.29204760348665</v>
      </c>
      <c r="L50" s="14">
        <v>519.2662214787731</v>
      </c>
      <c r="M50" s="14">
        <v>618.3090206669865</v>
      </c>
      <c r="N50" s="14">
        <v>666.93550817320988</v>
      </c>
      <c r="O50" s="14">
        <v>623.28527851539138</v>
      </c>
    </row>
    <row r="51" spans="1:15" x14ac:dyDescent="0.3">
      <c r="A51" s="3" t="str">
        <f>INDEX('R1. Scenario specifications'!$C$11:$C$49,MATCH($B51,'R1. Scenario specifications'!$A$11:$A$49,0))</f>
        <v>TIAM BAU - No Policy Action</v>
      </c>
      <c r="B51" s="3" t="s">
        <v>11</v>
      </c>
      <c r="C51" s="3" t="s">
        <v>64</v>
      </c>
      <c r="D51" s="3" t="s">
        <v>254</v>
      </c>
      <c r="E51" s="14">
        <v>1633.0249332809897</v>
      </c>
      <c r="F51" s="14">
        <v>1804.9999999999993</v>
      </c>
      <c r="G51" s="14">
        <v>1940.7951113772772</v>
      </c>
      <c r="H51" s="14">
        <v>1911.790970585437</v>
      </c>
      <c r="I51" s="14">
        <v>1634.9587605968709</v>
      </c>
      <c r="J51" s="14">
        <v>1817.9871879952452</v>
      </c>
      <c r="K51" s="14">
        <v>2134.5973120680846</v>
      </c>
      <c r="L51" s="14">
        <v>2207.6463880827114</v>
      </c>
      <c r="M51" s="14">
        <v>2206.6305855145451</v>
      </c>
      <c r="N51" s="14">
        <v>2253.5955117317976</v>
      </c>
      <c r="O51" s="14">
        <v>2418.010036900509</v>
      </c>
    </row>
    <row r="52" spans="1:15" x14ac:dyDescent="0.3">
      <c r="A52" s="3" t="str">
        <f>INDEX('R1. Scenario specifications'!$C$11:$C$49,MATCH($B52,'R1. Scenario specifications'!$A$11:$A$49,0))</f>
        <v>TIAM BAU - No Policy Action</v>
      </c>
      <c r="B52" s="3" t="s">
        <v>11</v>
      </c>
      <c r="C52" s="3" t="s">
        <v>65</v>
      </c>
      <c r="D52" s="3" t="s">
        <v>255</v>
      </c>
      <c r="E52" s="14">
        <v>1008.6224302831477</v>
      </c>
      <c r="F52" s="14">
        <v>1634.5557819505236</v>
      </c>
      <c r="G52" s="14">
        <v>1863.7675567155125</v>
      </c>
      <c r="H52" s="14">
        <v>1723.7621507171382</v>
      </c>
      <c r="I52" s="14">
        <v>756.10414945827006</v>
      </c>
      <c r="J52" s="14">
        <v>312.69717089818511</v>
      </c>
      <c r="K52" s="14">
        <v>838.11248342764668</v>
      </c>
      <c r="L52" s="14">
        <v>938.31482790000041</v>
      </c>
      <c r="M52" s="14">
        <v>959.81186542612795</v>
      </c>
      <c r="N52" s="14">
        <v>988.87954234333108</v>
      </c>
      <c r="O52" s="14">
        <v>1111.3117190722496</v>
      </c>
    </row>
    <row r="53" spans="1:15" x14ac:dyDescent="0.3">
      <c r="A53" s="3" t="str">
        <f>INDEX('R1. Scenario specifications'!$C$11:$C$49,MATCH($B53,'R1. Scenario specifications'!$A$11:$A$49,0))</f>
        <v>TIAM BAU - No Policy Action</v>
      </c>
      <c r="B53" s="3" t="s">
        <v>11</v>
      </c>
      <c r="C53" s="3" t="s">
        <v>66</v>
      </c>
      <c r="D53" s="3" t="s">
        <v>258</v>
      </c>
      <c r="E53" s="14">
        <v>31.122062759818384</v>
      </c>
      <c r="F53" s="14">
        <v>28.670816918420648</v>
      </c>
      <c r="G53" s="14">
        <v>24.940787734406484</v>
      </c>
      <c r="H53" s="14">
        <v>124.01860494336024</v>
      </c>
      <c r="I53" s="14">
        <v>196.92988821569878</v>
      </c>
      <c r="J53" s="14">
        <v>241.34811431893422</v>
      </c>
      <c r="K53" s="14">
        <v>244.74499999999998</v>
      </c>
      <c r="L53" s="14">
        <v>244.74499999999998</v>
      </c>
      <c r="M53" s="14">
        <v>243.93630933923353</v>
      </c>
      <c r="N53" s="14">
        <v>242.42380799304138</v>
      </c>
      <c r="O53" s="14">
        <v>244.74499999999998</v>
      </c>
    </row>
    <row r="54" spans="1:15" x14ac:dyDescent="0.3">
      <c r="A54" s="3" t="str">
        <f>INDEX('R1. Scenario specifications'!$C$11:$C$49,MATCH($B54,'R1. Scenario specifications'!$A$11:$A$49,0))</f>
        <v>TIAM BAU - No Policy Action</v>
      </c>
      <c r="B54" s="3" t="s">
        <v>11</v>
      </c>
      <c r="C54" s="3" t="s">
        <v>67</v>
      </c>
      <c r="D54" s="3" t="s">
        <v>256</v>
      </c>
      <c r="E54" s="14">
        <v>738.24098154394619</v>
      </c>
      <c r="F54" s="14">
        <v>744.22477031191352</v>
      </c>
      <c r="G54" s="14">
        <v>999.82541624503051</v>
      </c>
      <c r="H54" s="14">
        <v>1084.4749702290485</v>
      </c>
      <c r="I54" s="14">
        <v>1140.7956062838534</v>
      </c>
      <c r="J54" s="14">
        <v>1264.2083065838947</v>
      </c>
      <c r="K54" s="14">
        <v>1337.2856360184196</v>
      </c>
      <c r="L54" s="14">
        <v>1371.4898503503912</v>
      </c>
      <c r="M54" s="14">
        <v>1384.5279934939947</v>
      </c>
      <c r="N54" s="14">
        <v>1395.4872349684899</v>
      </c>
      <c r="O54" s="14">
        <v>1401.5890541404947</v>
      </c>
    </row>
    <row r="55" spans="1:15" x14ac:dyDescent="0.3">
      <c r="A55" s="3" t="str">
        <f>INDEX('R1. Scenario specifications'!$C$11:$C$49,MATCH($B55,'R1. Scenario specifications'!$A$11:$A$49,0))</f>
        <v>TIAM BAU - No Policy Action</v>
      </c>
      <c r="B55" s="3" t="s">
        <v>11</v>
      </c>
      <c r="C55" s="3" t="s">
        <v>68</v>
      </c>
      <c r="D55" s="3" t="s">
        <v>257</v>
      </c>
      <c r="E55" s="14">
        <v>381.69394199846289</v>
      </c>
      <c r="F55" s="14">
        <v>393.99999999999972</v>
      </c>
      <c r="G55" s="14">
        <v>647.54384646462074</v>
      </c>
      <c r="H55" s="14">
        <v>599.60750408611364</v>
      </c>
      <c r="I55" s="14">
        <v>572.72658297395515</v>
      </c>
      <c r="J55" s="14">
        <v>599.67439071681792</v>
      </c>
      <c r="K55" s="14">
        <v>640.97548447342911</v>
      </c>
      <c r="L55" s="14">
        <v>717.93054189819168</v>
      </c>
      <c r="M55" s="14">
        <v>802.77807328361973</v>
      </c>
      <c r="N55" s="14">
        <v>854.93755377027912</v>
      </c>
      <c r="O55" s="14">
        <v>883.61761155592637</v>
      </c>
    </row>
    <row r="56" spans="1:15" x14ac:dyDescent="0.3">
      <c r="A56" s="3" t="str">
        <f>INDEX('R1. Scenario specifications'!$C$11:$C$49,MATCH($B56,'R1. Scenario specifications'!$A$11:$A$49,0))</f>
        <v>TIAM BAU - No Policy Action</v>
      </c>
      <c r="B56" s="3" t="s">
        <v>11</v>
      </c>
      <c r="C56" s="3" t="s">
        <v>69</v>
      </c>
      <c r="D56" s="3" t="s">
        <v>258</v>
      </c>
      <c r="E56" s="14">
        <v>430.81063106061174</v>
      </c>
      <c r="F56" s="14">
        <v>452.4364981864552</v>
      </c>
      <c r="G56" s="14">
        <v>452.97073969162227</v>
      </c>
      <c r="H56" s="14">
        <v>259.36373083647931</v>
      </c>
      <c r="I56" s="14">
        <v>153.33447042900264</v>
      </c>
      <c r="J56" s="14">
        <v>26.190756492165644</v>
      </c>
      <c r="K56" s="14">
        <v>6.463594290482706</v>
      </c>
      <c r="L56" s="14">
        <v>11.444330115065192</v>
      </c>
      <c r="M56" s="14">
        <v>17.697740452956236</v>
      </c>
      <c r="N56" s="14">
        <v>46.084623283633817</v>
      </c>
      <c r="O56" s="14">
        <v>103.24973777197799</v>
      </c>
    </row>
    <row r="57" spans="1:15" x14ac:dyDescent="0.3">
      <c r="A57" s="3" t="str">
        <f>INDEX('R1. Scenario specifications'!$C$11:$C$49,MATCH($B57,'R1. Scenario specifications'!$A$11:$A$49,0))</f>
        <v>TIAM BAU - No Policy Action</v>
      </c>
      <c r="B57" s="3" t="s">
        <v>11</v>
      </c>
      <c r="C57" s="3" t="s">
        <v>70</v>
      </c>
      <c r="D57" s="3" t="s">
        <v>259</v>
      </c>
      <c r="E57" s="14">
        <v>13.930776255707762</v>
      </c>
      <c r="F57" s="14">
        <v>96.560908546679059</v>
      </c>
      <c r="G57" s="14">
        <v>242.92526289526057</v>
      </c>
      <c r="H57" s="14">
        <v>409.45472719564157</v>
      </c>
      <c r="I57" s="14">
        <v>1234.5252750134396</v>
      </c>
      <c r="J57" s="14">
        <v>2379.713182816763</v>
      </c>
      <c r="K57" s="14">
        <v>2815.1570374779476</v>
      </c>
      <c r="L57" s="14">
        <v>3051.9465324356033</v>
      </c>
      <c r="M57" s="14">
        <v>3284.0978359834544</v>
      </c>
      <c r="N57" s="14">
        <v>3505.1618250650122</v>
      </c>
      <c r="O57" s="14">
        <v>3737.7350204412965</v>
      </c>
    </row>
    <row r="58" spans="1:15" x14ac:dyDescent="0.3">
      <c r="A58" s="3" t="str">
        <f>INDEX('R1. Scenario specifications'!$C$11:$C$49,MATCH($B58,'R1. Scenario specifications'!$A$11:$A$49,0))</f>
        <v>TIAM BAU - No Policy Action</v>
      </c>
      <c r="B58" s="3" t="s">
        <v>11</v>
      </c>
      <c r="C58" s="3" t="s">
        <v>71</v>
      </c>
      <c r="D58" s="3" t="s">
        <v>259</v>
      </c>
      <c r="E58" s="14">
        <v>11.2241111111111</v>
      </c>
      <c r="F58" s="14">
        <v>12.249511111111101</v>
      </c>
      <c r="G58" s="14">
        <v>13.0631111111111</v>
      </c>
      <c r="H58" s="14">
        <v>13.063111111111096</v>
      </c>
      <c r="I58" s="14">
        <v>13.063111111111104</v>
      </c>
      <c r="J58" s="14">
        <v>13.0631111111111</v>
      </c>
      <c r="K58" s="14">
        <v>13.0631111111111</v>
      </c>
      <c r="L58" s="14">
        <v>13.0631111111111</v>
      </c>
      <c r="M58" s="14">
        <v>13.0631111111111</v>
      </c>
      <c r="N58" s="14">
        <v>13.0631111111111</v>
      </c>
      <c r="O58" s="14">
        <v>13.0631111111111</v>
      </c>
    </row>
    <row r="59" spans="1:15" x14ac:dyDescent="0.3">
      <c r="A59" s="3" t="str">
        <f>INDEX('R1. Scenario specifications'!$C$11:$C$49,MATCH($B59,'R1. Scenario specifications'!$A$11:$A$49,0))</f>
        <v>TIAM BAU - No Policy Action</v>
      </c>
      <c r="B59" s="3" t="s">
        <v>11</v>
      </c>
      <c r="C59" s="3" t="s">
        <v>75</v>
      </c>
      <c r="D59" s="3" t="s">
        <v>258</v>
      </c>
      <c r="E59" s="14">
        <v>0.31124745380476826</v>
      </c>
      <c r="F59" s="14">
        <v>0.28314462712947408</v>
      </c>
      <c r="G59" s="14">
        <v>0.23818010444900301</v>
      </c>
      <c r="H59" s="14">
        <v>0.15878673629933501</v>
      </c>
      <c r="I59" s="14">
        <v>7.9393368149667701E-2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</row>
    <row r="60" spans="1:15" x14ac:dyDescent="0.3">
      <c r="A60" s="3" t="str">
        <f>INDEX('R1. Scenario specifications'!$C$11:$C$49,MATCH($B60,'R1. Scenario specifications'!$A$11:$A$49,0))</f>
        <v>TIAM BAU - No Policy Action</v>
      </c>
      <c r="B60" s="3" t="s">
        <v>11</v>
      </c>
      <c r="C60" s="3" t="s">
        <v>72</v>
      </c>
      <c r="D60" s="3" t="s">
        <v>260</v>
      </c>
      <c r="E60" s="14">
        <v>217.76839471634247</v>
      </c>
      <c r="F60" s="14">
        <v>242.99857406704328</v>
      </c>
      <c r="G60" s="14">
        <v>365.36686102816475</v>
      </c>
      <c r="H60" s="14">
        <v>1325.235532561333</v>
      </c>
      <c r="I60" s="14">
        <v>3453.3726556234005</v>
      </c>
      <c r="J60" s="14">
        <v>4541.888932918755</v>
      </c>
      <c r="K60" s="14">
        <v>6107.0998285216019</v>
      </c>
      <c r="L60" s="14">
        <v>7352.2484893183555</v>
      </c>
      <c r="M60" s="14">
        <v>8706.6980319657596</v>
      </c>
      <c r="N60" s="14">
        <v>10119.524413971752</v>
      </c>
      <c r="O60" s="14">
        <v>11692.337089323839</v>
      </c>
    </row>
    <row r="61" spans="1:15" x14ac:dyDescent="0.3">
      <c r="A61" s="3" t="str">
        <f>INDEX('R1. Scenario specifications'!$C$11:$C$49,MATCH($B61,'R1. Scenario specifications'!$A$11:$A$49,0))</f>
        <v>TIAM BAU - No Policy Action</v>
      </c>
      <c r="B61" s="3" t="s">
        <v>11</v>
      </c>
      <c r="C61" s="3" t="s">
        <v>73</v>
      </c>
      <c r="D61" s="3" t="s">
        <v>253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</row>
    <row r="62" spans="1:15" x14ac:dyDescent="0.3">
      <c r="A62" s="3" t="str">
        <f>INDEX('R1. Scenario specifications'!$C$11:$C$49,MATCH($B62,'R1. Scenario specifications'!$A$11:$A$49,0))</f>
        <v>TIAM BAU - No Policy Action</v>
      </c>
      <c r="B62" s="3" t="s">
        <v>11</v>
      </c>
      <c r="C62" s="3" t="s">
        <v>74</v>
      </c>
      <c r="D62" s="3" t="s">
        <v>255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</row>
    <row r="63" spans="1:15" x14ac:dyDescent="0.3">
      <c r="A63" s="3" t="str">
        <f>INDEX('R1. Scenario specifications'!$C$11:$C$49,MATCH($B63,'R1. Scenario specifications'!$A$11:$A$49,0))</f>
        <v>Vivid BAU - WEO Current Policies Scenario emissions pathway run through TIAM</v>
      </c>
      <c r="B63" s="3" t="s">
        <v>13</v>
      </c>
      <c r="C63" s="3" t="s">
        <v>63</v>
      </c>
      <c r="D63" s="3" t="s">
        <v>253</v>
      </c>
      <c r="E63" s="14">
        <v>19.526838931037336</v>
      </c>
      <c r="F63" s="14">
        <v>26.828241411429644</v>
      </c>
      <c r="G63" s="14">
        <v>115.19693408392222</v>
      </c>
      <c r="H63" s="14">
        <v>294.5115641089385</v>
      </c>
      <c r="I63" s="14">
        <v>363.22061327463859</v>
      </c>
      <c r="J63" s="14">
        <v>385.85129271646855</v>
      </c>
      <c r="K63" s="14">
        <v>418.91814699398105</v>
      </c>
      <c r="L63" s="14">
        <v>517.58361530846514</v>
      </c>
      <c r="M63" s="14">
        <v>620.92102801373142</v>
      </c>
      <c r="N63" s="14">
        <v>663.806176901497</v>
      </c>
      <c r="O63" s="14">
        <v>608.88966473335563</v>
      </c>
    </row>
    <row r="64" spans="1:15" x14ac:dyDescent="0.3">
      <c r="A64" s="3" t="str">
        <f>INDEX('R1. Scenario specifications'!$C$11:$C$49,MATCH($B64,'R1. Scenario specifications'!$A$11:$A$49,0))</f>
        <v>Vivid BAU - WEO Current Policies Scenario emissions pathway run through TIAM</v>
      </c>
      <c r="B64" s="3" t="s">
        <v>13</v>
      </c>
      <c r="C64" s="3" t="s">
        <v>64</v>
      </c>
      <c r="D64" s="3" t="s">
        <v>254</v>
      </c>
      <c r="E64" s="14">
        <v>1581.5184269929553</v>
      </c>
      <c r="F64" s="14">
        <v>1805.0000000002444</v>
      </c>
      <c r="G64" s="14">
        <v>1805.0000000002444</v>
      </c>
      <c r="H64" s="14">
        <v>1740.8212507993535</v>
      </c>
      <c r="I64" s="14">
        <v>1584.5388954064945</v>
      </c>
      <c r="J64" s="14">
        <v>1819.8780511749101</v>
      </c>
      <c r="K64" s="14">
        <v>2144.2997796057521</v>
      </c>
      <c r="L64" s="14">
        <v>2216.6226721150197</v>
      </c>
      <c r="M64" s="14">
        <v>2205.2981353137748</v>
      </c>
      <c r="N64" s="14">
        <v>2263.074236180692</v>
      </c>
      <c r="O64" s="14">
        <v>2432.8809282660254</v>
      </c>
    </row>
    <row r="65" spans="1:15" x14ac:dyDescent="0.3">
      <c r="A65" s="3" t="str">
        <f>INDEX('R1. Scenario specifications'!$C$11:$C$49,MATCH($B65,'R1. Scenario specifications'!$A$11:$A$49,0))</f>
        <v>Vivid BAU - WEO Current Policies Scenario emissions pathway run through TIAM</v>
      </c>
      <c r="B65" s="3" t="s">
        <v>13</v>
      </c>
      <c r="C65" s="3" t="s">
        <v>65</v>
      </c>
      <c r="D65" s="3" t="s">
        <v>255</v>
      </c>
      <c r="E65" s="14">
        <v>975.85076713754677</v>
      </c>
      <c r="F65" s="14">
        <v>1616.682246579727</v>
      </c>
      <c r="G65" s="14">
        <v>1947.6897991672449</v>
      </c>
      <c r="H65" s="14">
        <v>1789.9146647792879</v>
      </c>
      <c r="I65" s="14">
        <v>871.74207327912848</v>
      </c>
      <c r="J65" s="14">
        <v>284.30689586647532</v>
      </c>
      <c r="K65" s="14">
        <v>831.00869184328883</v>
      </c>
      <c r="L65" s="14">
        <v>933.32866203688081</v>
      </c>
      <c r="M65" s="14">
        <v>962.75582239036225</v>
      </c>
      <c r="N65" s="14">
        <v>986.17965730120159</v>
      </c>
      <c r="O65" s="14">
        <v>1116.1741574956714</v>
      </c>
    </row>
    <row r="66" spans="1:15" x14ac:dyDescent="0.3">
      <c r="A66" s="3" t="str">
        <f>INDEX('R1. Scenario specifications'!$C$11:$C$49,MATCH($B66,'R1. Scenario specifications'!$A$11:$A$49,0))</f>
        <v>Vivid BAU - WEO Current Policies Scenario emissions pathway run through TIAM</v>
      </c>
      <c r="B66" s="3" t="s">
        <v>13</v>
      </c>
      <c r="C66" s="3" t="s">
        <v>66</v>
      </c>
      <c r="D66" s="3" t="s">
        <v>258</v>
      </c>
      <c r="E66" s="14">
        <v>31.193940359818384</v>
      </c>
      <c r="F66" s="14">
        <v>29.235121696198426</v>
      </c>
      <c r="G66" s="14">
        <v>107.99446428996205</v>
      </c>
      <c r="H66" s="14">
        <v>149.78966655058667</v>
      </c>
      <c r="I66" s="14">
        <v>197.90967920776538</v>
      </c>
      <c r="J66" s="14">
        <v>243.93843088755179</v>
      </c>
      <c r="K66" s="14">
        <v>244.74499999999998</v>
      </c>
      <c r="L66" s="14">
        <v>244.74499999999998</v>
      </c>
      <c r="M66" s="14">
        <v>244.14559755160136</v>
      </c>
      <c r="N66" s="14">
        <v>241.95329755160137</v>
      </c>
      <c r="O66" s="14">
        <v>244.74499999999998</v>
      </c>
    </row>
    <row r="67" spans="1:15" x14ac:dyDescent="0.3">
      <c r="A67" s="3" t="str">
        <f>INDEX('R1. Scenario specifications'!$C$11:$C$49,MATCH($B67,'R1. Scenario specifications'!$A$11:$A$49,0))</f>
        <v>Vivid BAU - WEO Current Policies Scenario emissions pathway run through TIAM</v>
      </c>
      <c r="B67" s="3" t="s">
        <v>13</v>
      </c>
      <c r="C67" s="3" t="s">
        <v>67</v>
      </c>
      <c r="D67" s="3" t="s">
        <v>256</v>
      </c>
      <c r="E67" s="14">
        <v>738.24098154394619</v>
      </c>
      <c r="F67" s="14">
        <v>743.27061405844665</v>
      </c>
      <c r="G67" s="14">
        <v>1023.0113329813749</v>
      </c>
      <c r="H67" s="14">
        <v>1095.0609142242067</v>
      </c>
      <c r="I67" s="14">
        <v>1153.4557656145673</v>
      </c>
      <c r="J67" s="14">
        <v>1265.2292974928375</v>
      </c>
      <c r="K67" s="14">
        <v>1328.2760241785816</v>
      </c>
      <c r="L67" s="14">
        <v>1363.7088522603233</v>
      </c>
      <c r="M67" s="14">
        <v>1376.4490575493207</v>
      </c>
      <c r="N67" s="14">
        <v>1387.344336193501</v>
      </c>
      <c r="O67" s="14">
        <v>1394.0371074345187</v>
      </c>
    </row>
    <row r="68" spans="1:15" x14ac:dyDescent="0.3">
      <c r="A68" s="3" t="str">
        <f>INDEX('R1. Scenario specifications'!$C$11:$C$49,MATCH($B68,'R1. Scenario specifications'!$A$11:$A$49,0))</f>
        <v>Vivid BAU - WEO Current Policies Scenario emissions pathway run through TIAM</v>
      </c>
      <c r="B68" s="3" t="s">
        <v>13</v>
      </c>
      <c r="C68" s="3" t="s">
        <v>68</v>
      </c>
      <c r="D68" s="3" t="s">
        <v>257</v>
      </c>
      <c r="E68" s="14">
        <v>381.69394199846289</v>
      </c>
      <c r="F68" s="14">
        <v>393.99999999999972</v>
      </c>
      <c r="G68" s="14">
        <v>647.54384646462063</v>
      </c>
      <c r="H68" s="14">
        <v>599.60750408611352</v>
      </c>
      <c r="I68" s="14">
        <v>571.85653418001982</v>
      </c>
      <c r="J68" s="14">
        <v>598.87351478182234</v>
      </c>
      <c r="K68" s="14">
        <v>640.97548447342911</v>
      </c>
      <c r="L68" s="14">
        <v>717.93054189819168</v>
      </c>
      <c r="M68" s="14">
        <v>802.77807328361973</v>
      </c>
      <c r="N68" s="14">
        <v>854.93755377027912</v>
      </c>
      <c r="O68" s="14">
        <v>883.61761155592637</v>
      </c>
    </row>
    <row r="69" spans="1:15" x14ac:dyDescent="0.3">
      <c r="A69" s="3" t="str">
        <f>INDEX('R1. Scenario specifications'!$C$11:$C$49,MATCH($B69,'R1. Scenario specifications'!$A$11:$A$49,0))</f>
        <v>Vivid BAU - WEO Current Policies Scenario emissions pathway run through TIAM</v>
      </c>
      <c r="B69" s="3" t="s">
        <v>13</v>
      </c>
      <c r="C69" s="3" t="s">
        <v>69</v>
      </c>
      <c r="D69" s="3" t="s">
        <v>258</v>
      </c>
      <c r="E69" s="14">
        <v>430.28973342078166</v>
      </c>
      <c r="F69" s="14">
        <v>452.4364981864552</v>
      </c>
      <c r="G69" s="14">
        <v>452.96497886657949</v>
      </c>
      <c r="H69" s="14">
        <v>254.50016772671711</v>
      </c>
      <c r="I69" s="14">
        <v>131.06472099208938</v>
      </c>
      <c r="J69" s="14">
        <v>8.4169645444973646</v>
      </c>
      <c r="K69" s="14">
        <v>1.512740140362147</v>
      </c>
      <c r="L69" s="14">
        <v>6.5685892113685629</v>
      </c>
      <c r="M69" s="14">
        <v>17.248186162915172</v>
      </c>
      <c r="N69" s="14">
        <v>46.705379856566829</v>
      </c>
      <c r="O69" s="14">
        <v>103.69986558162269</v>
      </c>
    </row>
    <row r="70" spans="1:15" x14ac:dyDescent="0.3">
      <c r="A70" s="3" t="str">
        <f>INDEX('R1. Scenario specifications'!$C$11:$C$49,MATCH($B70,'R1. Scenario specifications'!$A$11:$A$49,0))</f>
        <v>Vivid BAU - WEO Current Policies Scenario emissions pathway run through TIAM</v>
      </c>
      <c r="B70" s="3" t="s">
        <v>13</v>
      </c>
      <c r="C70" s="3" t="s">
        <v>70</v>
      </c>
      <c r="D70" s="3" t="s">
        <v>259</v>
      </c>
      <c r="E70" s="14">
        <v>13.930776255707762</v>
      </c>
      <c r="F70" s="14">
        <v>96.560908546679059</v>
      </c>
      <c r="G70" s="14">
        <v>237.99421539928102</v>
      </c>
      <c r="H70" s="14">
        <v>476.40504159131814</v>
      </c>
      <c r="I70" s="14">
        <v>1232.0551358607788</v>
      </c>
      <c r="J70" s="14">
        <v>2382.7853593618884</v>
      </c>
      <c r="K70" s="14">
        <v>2821.9482256291303</v>
      </c>
      <c r="L70" s="14">
        <v>3061.0639335340511</v>
      </c>
      <c r="M70" s="14">
        <v>3277.4313686538553</v>
      </c>
      <c r="N70" s="14">
        <v>3491.8527029629581</v>
      </c>
      <c r="O70" s="14">
        <v>3726.795414693876</v>
      </c>
    </row>
    <row r="71" spans="1:15" x14ac:dyDescent="0.3">
      <c r="A71" s="3" t="str">
        <f>INDEX('R1. Scenario specifications'!$C$11:$C$49,MATCH($B71,'R1. Scenario specifications'!$A$11:$A$49,0))</f>
        <v>Vivid BAU - WEO Current Policies Scenario emissions pathway run through TIAM</v>
      </c>
      <c r="B71" s="3" t="s">
        <v>13</v>
      </c>
      <c r="C71" s="3" t="s">
        <v>71</v>
      </c>
      <c r="D71" s="3" t="s">
        <v>259</v>
      </c>
      <c r="E71" s="14">
        <v>11.2241111111111</v>
      </c>
      <c r="F71" s="14">
        <v>12.249511111111101</v>
      </c>
      <c r="G71" s="14">
        <v>13.0631111111111</v>
      </c>
      <c r="H71" s="14">
        <v>13.063111111111096</v>
      </c>
      <c r="I71" s="14">
        <v>13.063111111111104</v>
      </c>
      <c r="J71" s="14">
        <v>13.0631111111111</v>
      </c>
      <c r="K71" s="14">
        <v>13.0631111111111</v>
      </c>
      <c r="L71" s="14">
        <v>13.0631111111111</v>
      </c>
      <c r="M71" s="14">
        <v>13.0631111111111</v>
      </c>
      <c r="N71" s="14">
        <v>13.0631111111111</v>
      </c>
      <c r="O71" s="14">
        <v>13.0631111111111</v>
      </c>
    </row>
    <row r="72" spans="1:15" x14ac:dyDescent="0.3">
      <c r="A72" s="3" t="str">
        <f>INDEX('R1. Scenario specifications'!$C$11:$C$49,MATCH($B72,'R1. Scenario specifications'!$A$11:$A$49,0))</f>
        <v>Vivid BAU - WEO Current Policies Scenario emissions pathway run through TIAM</v>
      </c>
      <c r="B72" s="3" t="s">
        <v>13</v>
      </c>
      <c r="C72" s="3" t="s">
        <v>75</v>
      </c>
      <c r="D72" s="3" t="s">
        <v>258</v>
      </c>
      <c r="E72" s="14">
        <v>0.31124745380476826</v>
      </c>
      <c r="F72" s="14">
        <v>0.28314462712947408</v>
      </c>
      <c r="G72" s="14">
        <v>0.23818010444900301</v>
      </c>
      <c r="H72" s="14">
        <v>0.15878673629933501</v>
      </c>
      <c r="I72" s="14">
        <v>7.9393368149667701E-2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</row>
    <row r="73" spans="1:15" x14ac:dyDescent="0.3">
      <c r="A73" s="3" t="str">
        <f>INDEX('R1. Scenario specifications'!$C$11:$C$49,MATCH($B73,'R1. Scenario specifications'!$A$11:$A$49,0))</f>
        <v>Vivid BAU - WEO Current Policies Scenario emissions pathway run through TIAM</v>
      </c>
      <c r="B73" s="3" t="s">
        <v>13</v>
      </c>
      <c r="C73" s="3" t="s">
        <v>72</v>
      </c>
      <c r="D73" s="3" t="s">
        <v>260</v>
      </c>
      <c r="E73" s="14">
        <v>217.76839471634241</v>
      </c>
      <c r="F73" s="14">
        <v>242.99857406704328</v>
      </c>
      <c r="G73" s="14">
        <v>365.3668610281872</v>
      </c>
      <c r="H73" s="14">
        <v>1346.1447311328993</v>
      </c>
      <c r="I73" s="14">
        <v>3538.0008425170945</v>
      </c>
      <c r="J73" s="14">
        <v>4584.7281838121235</v>
      </c>
      <c r="K73" s="14">
        <v>6117.2886384998819</v>
      </c>
      <c r="L73" s="14">
        <v>7372.0892241077363</v>
      </c>
      <c r="M73" s="14">
        <v>8699.3061231494503</v>
      </c>
      <c r="N73" s="14">
        <v>10127.234802862717</v>
      </c>
      <c r="O73" s="14">
        <v>11697.722687638598</v>
      </c>
    </row>
    <row r="74" spans="1:15" x14ac:dyDescent="0.3">
      <c r="A74" s="3" t="str">
        <f>INDEX('R1. Scenario specifications'!$C$11:$C$49,MATCH($B74,'R1. Scenario specifications'!$A$11:$A$49,0))</f>
        <v>Vivid BAU - WEO Current Policies Scenario emissions pathway run through TIAM</v>
      </c>
      <c r="B74" s="3" t="s">
        <v>13</v>
      </c>
      <c r="C74" s="3" t="s">
        <v>73</v>
      </c>
      <c r="D74" s="3" t="s">
        <v>253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</row>
    <row r="75" spans="1:15" x14ac:dyDescent="0.3">
      <c r="A75" s="3" t="str">
        <f>INDEX('R1. Scenario specifications'!$C$11:$C$49,MATCH($B75,'R1. Scenario specifications'!$A$11:$A$49,0))</f>
        <v>Vivid BAU - WEO Current Policies Scenario emissions pathway run through TIAM</v>
      </c>
      <c r="B75" s="3" t="s">
        <v>13</v>
      </c>
      <c r="C75" s="3" t="s">
        <v>74</v>
      </c>
      <c r="D75" s="3" t="s">
        <v>255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</row>
    <row r="76" spans="1:15" x14ac:dyDescent="0.3">
      <c r="A76" s="3" t="str">
        <f>INDEX('R1. Scenario specifications'!$C$11:$C$49,MATCH($B76,'R1. Scenario specifications'!$A$11:$A$49,0))</f>
        <v>Vivid Paris NDCs - WEO New Policies Scenario emissions pathway run through TIAM</v>
      </c>
      <c r="B76" s="3" t="s">
        <v>14</v>
      </c>
      <c r="C76" s="3" t="s">
        <v>63</v>
      </c>
      <c r="D76" s="3" t="s">
        <v>253</v>
      </c>
      <c r="E76" s="14">
        <v>19.526838931037336</v>
      </c>
      <c r="F76" s="14">
        <v>26.141237482570887</v>
      </c>
      <c r="G76" s="14">
        <v>117.10981417316707</v>
      </c>
      <c r="H76" s="14">
        <v>412.30855682261659</v>
      </c>
      <c r="I76" s="14">
        <v>526.48807429958981</v>
      </c>
      <c r="J76" s="14">
        <v>583.48774646321999</v>
      </c>
      <c r="K76" s="14">
        <v>665.06806730286053</v>
      </c>
      <c r="L76" s="14">
        <v>646.85123079436335</v>
      </c>
      <c r="M76" s="14">
        <v>655.55337234206831</v>
      </c>
      <c r="N76" s="14">
        <v>647.98758035763831</v>
      </c>
      <c r="O76" s="14">
        <v>614.38085525016334</v>
      </c>
    </row>
    <row r="77" spans="1:15" x14ac:dyDescent="0.3">
      <c r="A77" s="3" t="str">
        <f>INDEX('R1. Scenario specifications'!$C$11:$C$49,MATCH($B77,'R1. Scenario specifications'!$A$11:$A$49,0))</f>
        <v>Vivid Paris NDCs - WEO New Policies Scenario emissions pathway run through TIAM</v>
      </c>
      <c r="B77" s="3" t="s">
        <v>14</v>
      </c>
      <c r="C77" s="3" t="s">
        <v>73</v>
      </c>
      <c r="D77" s="3" t="s">
        <v>253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</row>
    <row r="78" spans="1:15" x14ac:dyDescent="0.3">
      <c r="A78" s="3" t="str">
        <f>INDEX('R1. Scenario specifications'!$C$11:$C$49,MATCH($B78,'R1. Scenario specifications'!$A$11:$A$49,0))</f>
        <v>Vivid Paris NDCs - WEO New Policies Scenario emissions pathway run through TIAM</v>
      </c>
      <c r="B78" s="3" t="s">
        <v>14</v>
      </c>
      <c r="C78" s="3" t="s">
        <v>64</v>
      </c>
      <c r="D78" s="3" t="s">
        <v>254</v>
      </c>
      <c r="E78" s="14">
        <v>1633.0249332809897</v>
      </c>
      <c r="F78" s="14">
        <v>1804.9999999999993</v>
      </c>
      <c r="G78" s="14">
        <v>1804.9999999999993</v>
      </c>
      <c r="H78" s="14">
        <v>1458.8285858367421</v>
      </c>
      <c r="I78" s="14">
        <v>1095.9757465736116</v>
      </c>
      <c r="J78" s="14">
        <v>1090.8632766975395</v>
      </c>
      <c r="K78" s="14">
        <v>1278.0386110736936</v>
      </c>
      <c r="L78" s="14">
        <v>1697.4446581413067</v>
      </c>
      <c r="M78" s="14">
        <v>1837.0829792980494</v>
      </c>
      <c r="N78" s="14">
        <v>1956.8548513704818</v>
      </c>
      <c r="O78" s="14">
        <v>2118.2085786662014</v>
      </c>
    </row>
    <row r="79" spans="1:15" x14ac:dyDescent="0.3">
      <c r="A79" s="3" t="str">
        <f>INDEX('R1. Scenario specifications'!$C$11:$C$49,MATCH($B79,'R1. Scenario specifications'!$A$11:$A$49,0))</f>
        <v>Vivid Paris NDCs - WEO New Policies Scenario emissions pathway run through TIAM</v>
      </c>
      <c r="B79" s="3" t="s">
        <v>14</v>
      </c>
      <c r="C79" s="3" t="s">
        <v>65</v>
      </c>
      <c r="D79" s="3" t="s">
        <v>255</v>
      </c>
      <c r="E79" s="14">
        <v>1008.6224302831477</v>
      </c>
      <c r="F79" s="14">
        <v>1634.5557819505236</v>
      </c>
      <c r="G79" s="14">
        <v>2111.6960266729702</v>
      </c>
      <c r="H79" s="14">
        <v>1960.1606269560627</v>
      </c>
      <c r="I79" s="14">
        <v>996.43868294397259</v>
      </c>
      <c r="J79" s="14">
        <v>316.02297625320142</v>
      </c>
      <c r="K79" s="14">
        <v>653.7658779667247</v>
      </c>
      <c r="L79" s="14">
        <v>770.9361799189885</v>
      </c>
      <c r="M79" s="14">
        <v>831.79215800466659</v>
      </c>
      <c r="N79" s="14">
        <v>860.50903174822065</v>
      </c>
      <c r="O79" s="14">
        <v>986.60905078287499</v>
      </c>
    </row>
    <row r="80" spans="1:15" x14ac:dyDescent="0.3">
      <c r="A80" s="3" t="str">
        <f>INDEX('R1. Scenario specifications'!$C$11:$C$49,MATCH($B80,'R1. Scenario specifications'!$A$11:$A$49,0))</f>
        <v>Vivid Paris NDCs - WEO New Policies Scenario emissions pathway run through TIAM</v>
      </c>
      <c r="B80" s="3" t="s">
        <v>14</v>
      </c>
      <c r="C80" s="3" t="s">
        <v>74</v>
      </c>
      <c r="D80" s="3" t="s">
        <v>255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</row>
    <row r="81" spans="1:15" x14ac:dyDescent="0.3">
      <c r="A81" s="3" t="str">
        <f>INDEX('R1. Scenario specifications'!$C$11:$C$49,MATCH($B81,'R1. Scenario specifications'!$A$11:$A$49,0))</f>
        <v>Vivid Paris NDCs - WEO New Policies Scenario emissions pathway run through TIAM</v>
      </c>
      <c r="B81" s="3" t="s">
        <v>14</v>
      </c>
      <c r="C81" s="3" t="s">
        <v>66</v>
      </c>
      <c r="D81" s="3" t="s">
        <v>258</v>
      </c>
      <c r="E81" s="14">
        <v>31.122062759818384</v>
      </c>
      <c r="F81" s="14">
        <v>28.670816918420648</v>
      </c>
      <c r="G81" s="14">
        <v>113.13800421894352</v>
      </c>
      <c r="H81" s="14">
        <v>158.43269338625092</v>
      </c>
      <c r="I81" s="14">
        <v>203.7273825535583</v>
      </c>
      <c r="J81" s="14">
        <v>248.82556679678515</v>
      </c>
      <c r="K81" s="14">
        <v>244.756534235</v>
      </c>
      <c r="L81" s="14">
        <v>244.756534235</v>
      </c>
      <c r="M81" s="14">
        <v>244.756534235</v>
      </c>
      <c r="N81" s="14">
        <v>242.94893717022654</v>
      </c>
      <c r="O81" s="14">
        <v>243.98161354732093</v>
      </c>
    </row>
    <row r="82" spans="1:15" x14ac:dyDescent="0.3">
      <c r="A82" s="3" t="str">
        <f>INDEX('R1. Scenario specifications'!$C$11:$C$49,MATCH($B82,'R1. Scenario specifications'!$A$11:$A$49,0))</f>
        <v>Vivid Paris NDCs - WEO New Policies Scenario emissions pathway run through TIAM</v>
      </c>
      <c r="B82" s="3" t="s">
        <v>14</v>
      </c>
      <c r="C82" s="3" t="s">
        <v>67</v>
      </c>
      <c r="D82" s="3" t="s">
        <v>256</v>
      </c>
      <c r="E82" s="14">
        <v>738.24098154394619</v>
      </c>
      <c r="F82" s="14">
        <v>744.22477031191352</v>
      </c>
      <c r="G82" s="14">
        <v>999.8328246673068</v>
      </c>
      <c r="H82" s="14">
        <v>1153.8656291758321</v>
      </c>
      <c r="I82" s="14">
        <v>1279.0737582870281</v>
      </c>
      <c r="J82" s="14">
        <v>1381.7386265907953</v>
      </c>
      <c r="K82" s="14">
        <v>1464.7116746676531</v>
      </c>
      <c r="L82" s="14">
        <v>1489.3972831992389</v>
      </c>
      <c r="M82" s="14">
        <v>1504.0230158844254</v>
      </c>
      <c r="N82" s="14">
        <v>1512.9582656921659</v>
      </c>
      <c r="O82" s="14">
        <v>1520.2940892949548</v>
      </c>
    </row>
    <row r="83" spans="1:15" x14ac:dyDescent="0.3">
      <c r="A83" s="3" t="str">
        <f>INDEX('R1. Scenario specifications'!$C$11:$C$49,MATCH($B83,'R1. Scenario specifications'!$A$11:$A$49,0))</f>
        <v>Vivid Paris NDCs - WEO New Policies Scenario emissions pathway run through TIAM</v>
      </c>
      <c r="B83" s="3" t="s">
        <v>14</v>
      </c>
      <c r="C83" s="3" t="s">
        <v>68</v>
      </c>
      <c r="D83" s="3" t="s">
        <v>257</v>
      </c>
      <c r="E83" s="14">
        <v>381.69394199846289</v>
      </c>
      <c r="F83" s="14">
        <v>393.99999999999972</v>
      </c>
      <c r="G83" s="14">
        <v>647.54384646462074</v>
      </c>
      <c r="H83" s="14">
        <v>599.60750408611364</v>
      </c>
      <c r="I83" s="14">
        <v>574.22438013504609</v>
      </c>
      <c r="J83" s="14">
        <v>675.62768069653043</v>
      </c>
      <c r="K83" s="14">
        <v>715.84108590837388</v>
      </c>
      <c r="L83" s="14">
        <v>742.53184379950369</v>
      </c>
      <c r="M83" s="14">
        <v>801.28027612252868</v>
      </c>
      <c r="N83" s="14">
        <v>853.43975660918841</v>
      </c>
      <c r="O83" s="14">
        <v>883.61761155592637</v>
      </c>
    </row>
    <row r="84" spans="1:15" x14ac:dyDescent="0.3">
      <c r="A84" s="3" t="str">
        <f>INDEX('R1. Scenario specifications'!$C$11:$C$49,MATCH($B84,'R1. Scenario specifications'!$A$11:$A$49,0))</f>
        <v>Vivid Paris NDCs - WEO New Policies Scenario emissions pathway run through TIAM</v>
      </c>
      <c r="B84" s="3" t="s">
        <v>14</v>
      </c>
      <c r="C84" s="3" t="s">
        <v>69</v>
      </c>
      <c r="D84" s="3" t="s">
        <v>258</v>
      </c>
      <c r="E84" s="14">
        <v>430.81063106061174</v>
      </c>
      <c r="F84" s="14">
        <v>452.4364981864552</v>
      </c>
      <c r="G84" s="14">
        <v>452.8330666776244</v>
      </c>
      <c r="H84" s="14">
        <v>256.83855764560741</v>
      </c>
      <c r="I84" s="14">
        <v>133.69557843441194</v>
      </c>
      <c r="J84" s="14">
        <v>8.4544342022581613</v>
      </c>
      <c r="K84" s="14">
        <v>6.7106481607378727</v>
      </c>
      <c r="L84" s="14">
        <v>11.847444136296359</v>
      </c>
      <c r="M84" s="14">
        <v>17.501221755912372</v>
      </c>
      <c r="N84" s="14">
        <v>37.53029664368006</v>
      </c>
      <c r="O84" s="14">
        <v>86.780340387957565</v>
      </c>
    </row>
    <row r="85" spans="1:15" x14ac:dyDescent="0.3">
      <c r="A85" s="3" t="str">
        <f>INDEX('R1. Scenario specifications'!$C$11:$C$49,MATCH($B85,'R1. Scenario specifications'!$A$11:$A$49,0))</f>
        <v>Vivid Paris NDCs - WEO New Policies Scenario emissions pathway run through TIAM</v>
      </c>
      <c r="B85" s="3" t="s">
        <v>14</v>
      </c>
      <c r="C85" s="3" t="s">
        <v>70</v>
      </c>
      <c r="D85" s="3" t="s">
        <v>259</v>
      </c>
      <c r="E85" s="14">
        <v>13.930776255707762</v>
      </c>
      <c r="F85" s="14">
        <v>96.560908546679059</v>
      </c>
      <c r="G85" s="14">
        <v>193.62720812488871</v>
      </c>
      <c r="H85" s="14">
        <v>564.29121895346805</v>
      </c>
      <c r="I85" s="14">
        <v>1618.0066862436897</v>
      </c>
      <c r="J85" s="14">
        <v>3909.9954410872115</v>
      </c>
      <c r="K85" s="14">
        <v>4679.0452438602215</v>
      </c>
      <c r="L85" s="14">
        <v>4861.5011463472756</v>
      </c>
      <c r="M85" s="14">
        <v>4973.4165719659632</v>
      </c>
      <c r="N85" s="14">
        <v>5083.6794001577546</v>
      </c>
      <c r="O85" s="14">
        <v>5309.7007069363781</v>
      </c>
    </row>
    <row r="86" spans="1:15" x14ac:dyDescent="0.3">
      <c r="A86" s="3" t="str">
        <f>INDEX('R1. Scenario specifications'!$C$11:$C$49,MATCH($B86,'R1. Scenario specifications'!$A$11:$A$49,0))</f>
        <v>Vivid Paris NDCs - WEO New Policies Scenario emissions pathway run through TIAM</v>
      </c>
      <c r="B86" s="3" t="s">
        <v>14</v>
      </c>
      <c r="C86" s="3" t="s">
        <v>71</v>
      </c>
      <c r="D86" s="3" t="s">
        <v>259</v>
      </c>
      <c r="E86" s="14">
        <v>11.2241111111111</v>
      </c>
      <c r="F86" s="14">
        <v>12.249511111111101</v>
      </c>
      <c r="G86" s="14">
        <v>13.0611055551111</v>
      </c>
      <c r="H86" s="14">
        <v>13.059905555111095</v>
      </c>
      <c r="I86" s="14">
        <v>13.057905555111102</v>
      </c>
      <c r="J86" s="14">
        <v>13.055905555111099</v>
      </c>
      <c r="K86" s="14">
        <v>13.054172488046625</v>
      </c>
      <c r="L86" s="14">
        <v>13.052184276334902</v>
      </c>
      <c r="M86" s="14">
        <v>13.050305561111099</v>
      </c>
      <c r="N86" s="14">
        <v>13.048705561111101</v>
      </c>
      <c r="O86" s="14">
        <v>13.047105561111097</v>
      </c>
    </row>
    <row r="87" spans="1:15" x14ac:dyDescent="0.3">
      <c r="A87" s="3" t="str">
        <f>INDEX('R1. Scenario specifications'!$C$11:$C$49,MATCH($B87,'R1. Scenario specifications'!$A$11:$A$49,0))</f>
        <v>Vivid Paris NDCs - WEO New Policies Scenario emissions pathway run through TIAM</v>
      </c>
      <c r="B87" s="3" t="s">
        <v>14</v>
      </c>
      <c r="C87" s="3" t="s">
        <v>75</v>
      </c>
      <c r="D87" s="3" t="s">
        <v>258</v>
      </c>
      <c r="E87" s="14">
        <v>0.31124745380476826</v>
      </c>
      <c r="F87" s="14">
        <v>0.28314462712947408</v>
      </c>
      <c r="G87" s="14">
        <v>0.23818010444900301</v>
      </c>
      <c r="H87" s="14">
        <v>0.15878673629933501</v>
      </c>
      <c r="I87" s="14">
        <v>7.9393368149667701E-2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</row>
    <row r="88" spans="1:15" x14ac:dyDescent="0.3">
      <c r="A88" s="3" t="str">
        <f>INDEX('R1. Scenario specifications'!$C$11:$C$49,MATCH($B88,'R1. Scenario specifications'!$A$11:$A$49,0))</f>
        <v>Vivid Paris NDCs - WEO New Policies Scenario emissions pathway run through TIAM</v>
      </c>
      <c r="B88" s="3" t="s">
        <v>14</v>
      </c>
      <c r="C88" s="3" t="s">
        <v>72</v>
      </c>
      <c r="D88" s="3" t="s">
        <v>260</v>
      </c>
      <c r="E88" s="14">
        <v>217.76839471634247</v>
      </c>
      <c r="F88" s="14">
        <v>242.99857406704328</v>
      </c>
      <c r="G88" s="14">
        <v>365.36686102816424</v>
      </c>
      <c r="H88" s="14">
        <v>1381.7602614741115</v>
      </c>
      <c r="I88" s="14">
        <v>3508.8426758874766</v>
      </c>
      <c r="J88" s="14">
        <v>4671.6732285660128</v>
      </c>
      <c r="K88" s="14">
        <v>5988.4705722021927</v>
      </c>
      <c r="L88" s="14">
        <v>7233.9507787912989</v>
      </c>
      <c r="M88" s="14">
        <v>8731.490033966169</v>
      </c>
      <c r="N88" s="14">
        <v>10166.175411955406</v>
      </c>
      <c r="O88" s="14">
        <v>11760.776267428122</v>
      </c>
    </row>
    <row r="89" spans="1:15" x14ac:dyDescent="0.3">
      <c r="A89" s="3" t="str">
        <f>INDEX('R1. Scenario specifications'!$C$11:$C$49,MATCH($B89,'R1. Scenario specifications'!$A$11:$A$49,0))</f>
        <v>Current 2DS, 2020 start, 'Expect the Unexpected'</v>
      </c>
      <c r="B89" s="3" t="s">
        <v>15</v>
      </c>
      <c r="C89" s="3" t="s">
        <v>63</v>
      </c>
      <c r="D89" s="3" t="s">
        <v>253</v>
      </c>
      <c r="E89" s="14">
        <v>19.526838931037336</v>
      </c>
      <c r="F89" s="14">
        <v>26.141237482570887</v>
      </c>
      <c r="G89" s="14">
        <v>117.10981417316707</v>
      </c>
      <c r="H89" s="14">
        <v>468.24376032755191</v>
      </c>
      <c r="I89" s="14">
        <v>557.9020634504127</v>
      </c>
      <c r="J89" s="14">
        <v>610.75346473260288</v>
      </c>
      <c r="K89" s="14">
        <v>283.38895601919194</v>
      </c>
      <c r="L89" s="14">
        <v>184.21931515868854</v>
      </c>
      <c r="M89" s="14">
        <v>34.889583824690796</v>
      </c>
      <c r="N89" s="14">
        <v>6.1392172448600997</v>
      </c>
      <c r="O89" s="14">
        <v>6.1392172448600997</v>
      </c>
    </row>
    <row r="90" spans="1:15" x14ac:dyDescent="0.3">
      <c r="A90" s="3" t="str">
        <f>INDEX('R1. Scenario specifications'!$C$11:$C$49,MATCH($B90,'R1. Scenario specifications'!$A$11:$A$49,0))</f>
        <v>Current 2DS, 2020 start, 'Expect the Unexpected'</v>
      </c>
      <c r="B90" s="3" t="s">
        <v>15</v>
      </c>
      <c r="C90" s="3" t="s">
        <v>73</v>
      </c>
      <c r="D90" s="3" t="s">
        <v>253</v>
      </c>
      <c r="E90" s="14">
        <v>0</v>
      </c>
      <c r="F90" s="14">
        <v>0</v>
      </c>
      <c r="G90" s="14">
        <v>0</v>
      </c>
      <c r="H90" s="14">
        <v>5.1296640182067135</v>
      </c>
      <c r="I90" s="14">
        <v>33.977956785956167</v>
      </c>
      <c r="J90" s="14">
        <v>160.04441575962673</v>
      </c>
      <c r="K90" s="14">
        <v>668.21246944066934</v>
      </c>
      <c r="L90" s="14">
        <v>1398.9909821233755</v>
      </c>
      <c r="M90" s="14">
        <v>2152.9183383210911</v>
      </c>
      <c r="N90" s="14">
        <v>2820.02202527905</v>
      </c>
      <c r="O90" s="14">
        <v>3086.3119981426994</v>
      </c>
    </row>
    <row r="91" spans="1:15" x14ac:dyDescent="0.3">
      <c r="A91" s="3" t="str">
        <f>INDEX('R1. Scenario specifications'!$C$11:$C$49,MATCH($B91,'R1. Scenario specifications'!$A$11:$A$49,0))</f>
        <v>Current 2DS, 2020 start, 'Expect the Unexpected'</v>
      </c>
      <c r="B91" s="3" t="s">
        <v>15</v>
      </c>
      <c r="C91" s="3" t="s">
        <v>64</v>
      </c>
      <c r="D91" s="3" t="s">
        <v>254</v>
      </c>
      <c r="E91" s="14">
        <v>1633.0249332809897</v>
      </c>
      <c r="F91" s="14">
        <v>1804.9999999999993</v>
      </c>
      <c r="G91" s="14">
        <v>1804.9999999999993</v>
      </c>
      <c r="H91" s="14">
        <v>1442.4317981122206</v>
      </c>
      <c r="I91" s="14">
        <v>441.54204398431278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</row>
    <row r="92" spans="1:15" x14ac:dyDescent="0.3">
      <c r="A92" s="3" t="str">
        <f>INDEX('R1. Scenario specifications'!$C$11:$C$49,MATCH($B92,'R1. Scenario specifications'!$A$11:$A$49,0))</f>
        <v>Current 2DS, 2020 start, 'Expect the Unexpected'</v>
      </c>
      <c r="B92" s="3" t="s">
        <v>15</v>
      </c>
      <c r="C92" s="3" t="s">
        <v>65</v>
      </c>
      <c r="D92" s="3" t="s">
        <v>255</v>
      </c>
      <c r="E92" s="14">
        <v>1008.6224302831477</v>
      </c>
      <c r="F92" s="14">
        <v>1634.5557819505236</v>
      </c>
      <c r="G92" s="14">
        <v>2111.6960266729702</v>
      </c>
      <c r="H92" s="14">
        <v>2002.1660525758043</v>
      </c>
      <c r="I92" s="14">
        <v>1058.242165440814</v>
      </c>
      <c r="J92" s="14">
        <v>668.77031925613198</v>
      </c>
      <c r="K92" s="14">
        <v>1027.3259882110247</v>
      </c>
      <c r="L92" s="14">
        <v>1024.6350957962818</v>
      </c>
      <c r="M92" s="14">
        <v>577.00347578071739</v>
      </c>
      <c r="N92" s="14">
        <v>264.49093938512488</v>
      </c>
      <c r="O92" s="14">
        <v>288.6671342405221</v>
      </c>
    </row>
    <row r="93" spans="1:15" x14ac:dyDescent="0.3">
      <c r="A93" s="3" t="str">
        <f>INDEX('R1. Scenario specifications'!$C$11:$C$49,MATCH($B93,'R1. Scenario specifications'!$A$11:$A$49,0))</f>
        <v>Current 2DS, 2020 start, 'Expect the Unexpected'</v>
      </c>
      <c r="B93" s="3" t="s">
        <v>15</v>
      </c>
      <c r="C93" s="3" t="s">
        <v>74</v>
      </c>
      <c r="D93" s="3" t="s">
        <v>255</v>
      </c>
      <c r="E93" s="14">
        <v>0</v>
      </c>
      <c r="F93" s="14">
        <v>0</v>
      </c>
      <c r="G93" s="14">
        <v>0</v>
      </c>
      <c r="H93" s="14">
        <v>0</v>
      </c>
      <c r="I93" s="14">
        <v>0.8980982363232024</v>
      </c>
      <c r="J93" s="14">
        <v>3.4164110178986977</v>
      </c>
      <c r="K93" s="14">
        <v>6.3186746675020888</v>
      </c>
      <c r="L93" s="14">
        <v>84.531220226633977</v>
      </c>
      <c r="M93" s="14">
        <v>529.70872541848053</v>
      </c>
      <c r="N93" s="14">
        <v>1135.4850329164624</v>
      </c>
      <c r="O93" s="14">
        <v>1355.7171146677842</v>
      </c>
    </row>
    <row r="94" spans="1:15" x14ac:dyDescent="0.3">
      <c r="A94" s="3" t="str">
        <f>INDEX('R1. Scenario specifications'!$C$11:$C$49,MATCH($B94,'R1. Scenario specifications'!$A$11:$A$49,0))</f>
        <v>Current 2DS, 2020 start, 'Expect the Unexpected'</v>
      </c>
      <c r="B94" s="3" t="s">
        <v>15</v>
      </c>
      <c r="C94" s="3" t="s">
        <v>66</v>
      </c>
      <c r="D94" s="3" t="s">
        <v>258</v>
      </c>
      <c r="E94" s="14">
        <v>31.122062759818384</v>
      </c>
      <c r="F94" s="14">
        <v>28.670816918420648</v>
      </c>
      <c r="G94" s="14">
        <v>113.13800421894352</v>
      </c>
      <c r="H94" s="14">
        <v>158.8032517201448</v>
      </c>
      <c r="I94" s="14">
        <v>205.64870976853155</v>
      </c>
      <c r="J94" s="14">
        <v>278.13066724140185</v>
      </c>
      <c r="K94" s="14">
        <v>414.91424815996629</v>
      </c>
      <c r="L94" s="14">
        <v>490.06401619221492</v>
      </c>
      <c r="M94" s="14">
        <v>534.40934536812233</v>
      </c>
      <c r="N94" s="14">
        <v>788.1025994149602</v>
      </c>
      <c r="O94" s="14">
        <v>888.67972956073902</v>
      </c>
    </row>
    <row r="95" spans="1:15" x14ac:dyDescent="0.3">
      <c r="A95" s="3" t="str">
        <f>INDEX('R1. Scenario specifications'!$C$11:$C$49,MATCH($B95,'R1. Scenario specifications'!$A$11:$A$49,0))</f>
        <v>Current 2DS, 2020 start, 'Expect the Unexpected'</v>
      </c>
      <c r="B95" s="3" t="s">
        <v>15</v>
      </c>
      <c r="C95" s="3" t="s">
        <v>67</v>
      </c>
      <c r="D95" s="3" t="s">
        <v>256</v>
      </c>
      <c r="E95" s="14">
        <v>738.24098154394619</v>
      </c>
      <c r="F95" s="14">
        <v>744.22477031191352</v>
      </c>
      <c r="G95" s="14">
        <v>999.8328246673068</v>
      </c>
      <c r="H95" s="14">
        <v>1165.7013704439287</v>
      </c>
      <c r="I95" s="14">
        <v>1356.365197119472</v>
      </c>
      <c r="J95" s="14">
        <v>1593.6197976383171</v>
      </c>
      <c r="K95" s="14">
        <v>1776.646146137778</v>
      </c>
      <c r="L95" s="14">
        <v>1918.5010138749244</v>
      </c>
      <c r="M95" s="14">
        <v>2272.255011977009</v>
      </c>
      <c r="N95" s="14">
        <v>2986.2234732763536</v>
      </c>
      <c r="O95" s="14">
        <v>3222.3053773610263</v>
      </c>
    </row>
    <row r="96" spans="1:15" x14ac:dyDescent="0.3">
      <c r="A96" s="3" t="str">
        <f>INDEX('R1. Scenario specifications'!$C$11:$C$49,MATCH($B96,'R1. Scenario specifications'!$A$11:$A$49,0))</f>
        <v>Current 2DS, 2020 start, 'Expect the Unexpected'</v>
      </c>
      <c r="B96" s="3" t="s">
        <v>15</v>
      </c>
      <c r="C96" s="3" t="s">
        <v>68</v>
      </c>
      <c r="D96" s="3" t="s">
        <v>257</v>
      </c>
      <c r="E96" s="14">
        <v>381.69394199846289</v>
      </c>
      <c r="F96" s="14">
        <v>393.99999999999972</v>
      </c>
      <c r="G96" s="14">
        <v>647.54384646462074</v>
      </c>
      <c r="H96" s="14">
        <v>599.60750408611364</v>
      </c>
      <c r="I96" s="14">
        <v>626.08362470675559</v>
      </c>
      <c r="J96" s="14">
        <v>864.65940910950314</v>
      </c>
      <c r="K96" s="14">
        <v>1093.98044426103</v>
      </c>
      <c r="L96" s="14">
        <v>1225.575175590903</v>
      </c>
      <c r="M96" s="14">
        <v>1296.450810993842</v>
      </c>
      <c r="N96" s="14">
        <v>1432.7259442222862</v>
      </c>
      <c r="O96" s="14">
        <v>1482.4943388069485</v>
      </c>
    </row>
    <row r="97" spans="1:15" x14ac:dyDescent="0.3">
      <c r="A97" s="3" t="str">
        <f>INDEX('R1. Scenario specifications'!$C$11:$C$49,MATCH($B97,'R1. Scenario specifications'!$A$11:$A$49,0))</f>
        <v>Current 2DS, 2020 start, 'Expect the Unexpected'</v>
      </c>
      <c r="B97" s="3" t="s">
        <v>15</v>
      </c>
      <c r="C97" s="3" t="s">
        <v>69</v>
      </c>
      <c r="D97" s="3" t="s">
        <v>258</v>
      </c>
      <c r="E97" s="14">
        <v>430.81063106061174</v>
      </c>
      <c r="F97" s="14">
        <v>452.4364981864552</v>
      </c>
      <c r="G97" s="14">
        <v>452.8330666776244</v>
      </c>
      <c r="H97" s="14">
        <v>254.66359231024609</v>
      </c>
      <c r="I97" s="14">
        <v>142.86514160582971</v>
      </c>
      <c r="J97" s="14">
        <v>19.774111921432983</v>
      </c>
      <c r="K97" s="14">
        <v>12.083349198046013</v>
      </c>
      <c r="L97" s="14">
        <v>11.849685859508408</v>
      </c>
      <c r="M97" s="14">
        <v>86.078398497287822</v>
      </c>
      <c r="N97" s="14">
        <v>124.69947858846591</v>
      </c>
      <c r="O97" s="14">
        <v>161.23184903433241</v>
      </c>
    </row>
    <row r="98" spans="1:15" x14ac:dyDescent="0.3">
      <c r="A98" s="3" t="str">
        <f>INDEX('R1. Scenario specifications'!$C$11:$C$49,MATCH($B98,'R1. Scenario specifications'!$A$11:$A$49,0))</f>
        <v>Current 2DS, 2020 start, 'Expect the Unexpected'</v>
      </c>
      <c r="B98" s="3" t="s">
        <v>15</v>
      </c>
      <c r="C98" s="3" t="s">
        <v>70</v>
      </c>
      <c r="D98" s="3" t="s">
        <v>259</v>
      </c>
      <c r="E98" s="14">
        <v>13.930776255707762</v>
      </c>
      <c r="F98" s="14">
        <v>96.560908546679059</v>
      </c>
      <c r="G98" s="14">
        <v>193.62720812488871</v>
      </c>
      <c r="H98" s="14">
        <v>904.86337244448305</v>
      </c>
      <c r="I98" s="14">
        <v>3046.8495749939302</v>
      </c>
      <c r="J98" s="14">
        <v>5362.3900467651774</v>
      </c>
      <c r="K98" s="14">
        <v>6880.0238644810715</v>
      </c>
      <c r="L98" s="14">
        <v>8624.0612519134556</v>
      </c>
      <c r="M98" s="14">
        <v>11994.206557048981</v>
      </c>
      <c r="N98" s="14">
        <v>18371.486225056753</v>
      </c>
      <c r="O98" s="14">
        <v>20905.305123015027</v>
      </c>
    </row>
    <row r="99" spans="1:15" x14ac:dyDescent="0.3">
      <c r="A99" s="3" t="str">
        <f>INDEX('R1. Scenario specifications'!$C$11:$C$49,MATCH($B99,'R1. Scenario specifications'!$A$11:$A$49,0))</f>
        <v>Current 2DS, 2020 start, 'Expect the Unexpected'</v>
      </c>
      <c r="B99" s="3" t="s">
        <v>15</v>
      </c>
      <c r="C99" s="3" t="s">
        <v>71</v>
      </c>
      <c r="D99" s="3" t="s">
        <v>259</v>
      </c>
      <c r="E99" s="14">
        <v>11.2241111111111</v>
      </c>
      <c r="F99" s="14">
        <v>12.249511111111101</v>
      </c>
      <c r="G99" s="14">
        <v>13.0611055551111</v>
      </c>
      <c r="H99" s="14">
        <v>13.059505551511098</v>
      </c>
      <c r="I99" s="14">
        <v>13.061351014222497</v>
      </c>
      <c r="J99" s="14">
        <v>13.077835493553415</v>
      </c>
      <c r="K99" s="14">
        <v>13.164954146497212</v>
      </c>
      <c r="L99" s="14">
        <v>13.590060904954488</v>
      </c>
      <c r="M99" s="14">
        <v>14.614268303486682</v>
      </c>
      <c r="N99" s="14">
        <v>19.546410896254532</v>
      </c>
      <c r="O99" s="14">
        <v>19.54401089625453</v>
      </c>
    </row>
    <row r="100" spans="1:15" x14ac:dyDescent="0.3">
      <c r="A100" s="3" t="str">
        <f>INDEX('R1. Scenario specifications'!$C$11:$C$49,MATCH($B100,'R1. Scenario specifications'!$A$11:$A$49,0))</f>
        <v>Current 2DS, 2020 start, 'Expect the Unexpected'</v>
      </c>
      <c r="B100" s="3" t="s">
        <v>15</v>
      </c>
      <c r="C100" s="3" t="s">
        <v>75</v>
      </c>
      <c r="D100" s="3" t="s">
        <v>258</v>
      </c>
      <c r="E100" s="14">
        <v>0.31124745380476826</v>
      </c>
      <c r="F100" s="14">
        <v>0.28314462712947408</v>
      </c>
      <c r="G100" s="14">
        <v>0.23818010444900301</v>
      </c>
      <c r="H100" s="14">
        <v>0.15878673629933501</v>
      </c>
      <c r="I100" s="14">
        <v>7.9393368149667701E-2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</row>
    <row r="101" spans="1:15" x14ac:dyDescent="0.3">
      <c r="A101" s="3" t="str">
        <f>INDEX('R1. Scenario specifications'!$C$11:$C$49,MATCH($B101,'R1. Scenario specifications'!$A$11:$A$49,0))</f>
        <v>Current 2DS, 2020 start, 'Expect the Unexpected'</v>
      </c>
      <c r="B101" s="3" t="s">
        <v>15</v>
      </c>
      <c r="C101" s="3" t="s">
        <v>72</v>
      </c>
      <c r="D101" s="3" t="s">
        <v>260</v>
      </c>
      <c r="E101" s="14">
        <v>217.76839471634247</v>
      </c>
      <c r="F101" s="14">
        <v>242.99857406704328</v>
      </c>
      <c r="G101" s="14">
        <v>365.36686102816424</v>
      </c>
      <c r="H101" s="14">
        <v>1516.2397537476211</v>
      </c>
      <c r="I101" s="14">
        <v>3450.614229224615</v>
      </c>
      <c r="J101" s="14">
        <v>4641.3558628552391</v>
      </c>
      <c r="K101" s="14">
        <v>6358.3047786521802</v>
      </c>
      <c r="L101" s="14">
        <v>8124.6049999939733</v>
      </c>
      <c r="M101" s="14">
        <v>11571.946705111233</v>
      </c>
      <c r="N101" s="14">
        <v>18508.491129401806</v>
      </c>
      <c r="O101" s="14">
        <v>23303.23189833618</v>
      </c>
    </row>
    <row r="102" spans="1:15" x14ac:dyDescent="0.3">
      <c r="A102" s="3" t="str">
        <f>INDEX('R1. Scenario specifications'!$C$11:$C$49,MATCH($B102,'R1. Scenario specifications'!$A$11:$A$49,0))</f>
        <v>Current 2DS, 2030 start, 'Expect the Unexpected' but with cheap energy efficiency</v>
      </c>
      <c r="B102" s="3" t="s">
        <v>16</v>
      </c>
      <c r="C102" s="3" t="s">
        <v>63</v>
      </c>
      <c r="D102" s="3" t="s">
        <v>253</v>
      </c>
      <c r="E102" s="14">
        <v>19.526838931037336</v>
      </c>
      <c r="F102" s="14">
        <v>26.141237482570887</v>
      </c>
      <c r="G102" s="14">
        <v>117.10981417316707</v>
      </c>
      <c r="H102" s="14">
        <v>412.30855682261659</v>
      </c>
      <c r="I102" s="14">
        <v>514.05111407398056</v>
      </c>
      <c r="J102" s="14">
        <v>584.6983309654288</v>
      </c>
      <c r="K102" s="14">
        <v>332.30219767206711</v>
      </c>
      <c r="L102" s="14">
        <v>221.04830268306057</v>
      </c>
      <c r="M102" s="14">
        <v>53.760487493398024</v>
      </c>
      <c r="N102" s="14">
        <v>5.9769489984535298</v>
      </c>
      <c r="O102" s="14">
        <v>5.9769489984535298</v>
      </c>
    </row>
    <row r="103" spans="1:15" x14ac:dyDescent="0.3">
      <c r="A103" s="3" t="str">
        <f>INDEX('R1. Scenario specifications'!$C$11:$C$49,MATCH($B103,'R1. Scenario specifications'!$A$11:$A$49,0))</f>
        <v>Current 2DS, 2030 start, 'Expect the Unexpected' but with cheap energy efficiency</v>
      </c>
      <c r="B103" s="3" t="s">
        <v>16</v>
      </c>
      <c r="C103" s="3" t="s">
        <v>73</v>
      </c>
      <c r="D103" s="3" t="s">
        <v>253</v>
      </c>
      <c r="E103" s="14">
        <v>0</v>
      </c>
      <c r="F103" s="14">
        <v>0</v>
      </c>
      <c r="G103" s="14">
        <v>0</v>
      </c>
      <c r="H103" s="14">
        <v>0</v>
      </c>
      <c r="I103" s="14">
        <v>5.9688217275209414</v>
      </c>
      <c r="J103" s="14">
        <v>46.425672939844219</v>
      </c>
      <c r="K103" s="14">
        <v>291.62899671648324</v>
      </c>
      <c r="L103" s="14">
        <v>1016.8163073356575</v>
      </c>
      <c r="M103" s="14">
        <v>1898.0090826800006</v>
      </c>
      <c r="N103" s="14">
        <v>2528.5467674264078</v>
      </c>
      <c r="O103" s="14">
        <v>3016.5443015558126</v>
      </c>
    </row>
    <row r="104" spans="1:15" x14ac:dyDescent="0.3">
      <c r="A104" s="3" t="str">
        <f>INDEX('R1. Scenario specifications'!$C$11:$C$49,MATCH($B104,'R1. Scenario specifications'!$A$11:$A$49,0))</f>
        <v>Current 2DS, 2030 start, 'Expect the Unexpected' but with cheap energy efficiency</v>
      </c>
      <c r="B104" s="3" t="s">
        <v>16</v>
      </c>
      <c r="C104" s="3" t="s">
        <v>64</v>
      </c>
      <c r="D104" s="3" t="s">
        <v>254</v>
      </c>
      <c r="E104" s="14">
        <v>1633.0249332809897</v>
      </c>
      <c r="F104" s="14">
        <v>1804.9999999999993</v>
      </c>
      <c r="G104" s="14">
        <v>1804.9999999999993</v>
      </c>
      <c r="H104" s="14">
        <v>1458.8285858367421</v>
      </c>
      <c r="I104" s="14">
        <v>457.93883170883436</v>
      </c>
      <c r="J104" s="14">
        <v>16.396787724521602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</row>
    <row r="105" spans="1:15" x14ac:dyDescent="0.3">
      <c r="A105" s="3" t="str">
        <f>INDEX('R1. Scenario specifications'!$C$11:$C$49,MATCH($B105,'R1. Scenario specifications'!$A$11:$A$49,0))</f>
        <v>Current 2DS, 2030 start, 'Expect the Unexpected' but with cheap energy efficiency</v>
      </c>
      <c r="B105" s="3" t="s">
        <v>16</v>
      </c>
      <c r="C105" s="3" t="s">
        <v>65</v>
      </c>
      <c r="D105" s="3" t="s">
        <v>255</v>
      </c>
      <c r="E105" s="14">
        <v>1008.6224302831477</v>
      </c>
      <c r="F105" s="14">
        <v>1634.5557819505236</v>
      </c>
      <c r="G105" s="14">
        <v>2111.6960266729702</v>
      </c>
      <c r="H105" s="14">
        <v>1960.1606269560627</v>
      </c>
      <c r="I105" s="14">
        <v>1044.4931714962333</v>
      </c>
      <c r="J105" s="14">
        <v>428.62502111230737</v>
      </c>
      <c r="K105" s="14">
        <v>611.9121864532766</v>
      </c>
      <c r="L105" s="14">
        <v>624.37877566792554</v>
      </c>
      <c r="M105" s="14">
        <v>426.7200073010377</v>
      </c>
      <c r="N105" s="14">
        <v>287.21721226134264</v>
      </c>
      <c r="O105" s="14">
        <v>273.52803550939313</v>
      </c>
    </row>
    <row r="106" spans="1:15" x14ac:dyDescent="0.3">
      <c r="A106" s="3" t="str">
        <f>INDEX('R1. Scenario specifications'!$C$11:$C$49,MATCH($B106,'R1. Scenario specifications'!$A$11:$A$49,0))</f>
        <v>Current 2DS, 2030 start, 'Expect the Unexpected' but with cheap energy efficiency</v>
      </c>
      <c r="B106" s="3" t="s">
        <v>16</v>
      </c>
      <c r="C106" s="3" t="s">
        <v>74</v>
      </c>
      <c r="D106" s="3" t="s">
        <v>255</v>
      </c>
      <c r="E106" s="14">
        <v>0</v>
      </c>
      <c r="F106" s="14">
        <v>0</v>
      </c>
      <c r="G106" s="14">
        <v>0</v>
      </c>
      <c r="H106" s="14">
        <v>0</v>
      </c>
      <c r="I106" s="14">
        <v>0.200890930102093</v>
      </c>
      <c r="J106" s="14">
        <v>1.235498246236753</v>
      </c>
      <c r="K106" s="14">
        <v>2.2287183328115203</v>
      </c>
      <c r="L106" s="14">
        <v>34.707991773914827</v>
      </c>
      <c r="M106" s="14">
        <v>165.61265554337064</v>
      </c>
      <c r="N106" s="14">
        <v>320.13790621885465</v>
      </c>
      <c r="O106" s="14">
        <v>575.86420664799243</v>
      </c>
    </row>
    <row r="107" spans="1:15" x14ac:dyDescent="0.3">
      <c r="A107" s="3" t="str">
        <f>INDEX('R1. Scenario specifications'!$C$11:$C$49,MATCH($B107,'R1. Scenario specifications'!$A$11:$A$49,0))</f>
        <v>Current 2DS, 2030 start, 'Expect the Unexpected' but with cheap energy efficiency</v>
      </c>
      <c r="B107" s="3" t="s">
        <v>16</v>
      </c>
      <c r="C107" s="3" t="s">
        <v>66</v>
      </c>
      <c r="D107" s="3" t="s">
        <v>258</v>
      </c>
      <c r="E107" s="14">
        <v>31.122062759818384</v>
      </c>
      <c r="F107" s="14">
        <v>28.670816918420648</v>
      </c>
      <c r="G107" s="14">
        <v>113.13800421894352</v>
      </c>
      <c r="H107" s="14">
        <v>158.43269338625092</v>
      </c>
      <c r="I107" s="14">
        <v>204.46849922134606</v>
      </c>
      <c r="J107" s="14">
        <v>262.49308604229105</v>
      </c>
      <c r="K107" s="14">
        <v>330.69578042819523</v>
      </c>
      <c r="L107" s="14">
        <v>328.04008912781188</v>
      </c>
      <c r="M107" s="14">
        <v>347.68907594177028</v>
      </c>
      <c r="N107" s="14">
        <v>491.65503445254433</v>
      </c>
      <c r="O107" s="14">
        <v>625.01508912024167</v>
      </c>
    </row>
    <row r="108" spans="1:15" x14ac:dyDescent="0.3">
      <c r="A108" s="3" t="str">
        <f>INDEX('R1. Scenario specifications'!$C$11:$C$49,MATCH($B108,'R1. Scenario specifications'!$A$11:$A$49,0))</f>
        <v>Current 2DS, 2030 start, 'Expect the Unexpected' but with cheap energy efficiency</v>
      </c>
      <c r="B108" s="3" t="s">
        <v>16</v>
      </c>
      <c r="C108" s="3" t="s">
        <v>67</v>
      </c>
      <c r="D108" s="3" t="s">
        <v>256</v>
      </c>
      <c r="E108" s="14">
        <v>738.24098154394619</v>
      </c>
      <c r="F108" s="14">
        <v>744.22477031191352</v>
      </c>
      <c r="G108" s="14">
        <v>999.8328246673068</v>
      </c>
      <c r="H108" s="14">
        <v>1153.8656291758321</v>
      </c>
      <c r="I108" s="14">
        <v>1305.2607854720422</v>
      </c>
      <c r="J108" s="14">
        <v>1523.679998658055</v>
      </c>
      <c r="K108" s="14">
        <v>1665.7825267286889</v>
      </c>
      <c r="L108" s="14">
        <v>1718.2768047836983</v>
      </c>
      <c r="M108" s="14">
        <v>1856.6067263387806</v>
      </c>
      <c r="N108" s="14">
        <v>2421.9248889370037</v>
      </c>
      <c r="O108" s="14">
        <v>2714.9497199550951</v>
      </c>
    </row>
    <row r="109" spans="1:15" x14ac:dyDescent="0.3">
      <c r="A109" s="3" t="str">
        <f>INDEX('R1. Scenario specifications'!$C$11:$C$49,MATCH($B109,'R1. Scenario specifications'!$A$11:$A$49,0))</f>
        <v>Current 2DS, 2030 start, 'Expect the Unexpected' but with cheap energy efficiency</v>
      </c>
      <c r="B109" s="3" t="s">
        <v>16</v>
      </c>
      <c r="C109" s="3" t="s">
        <v>68</v>
      </c>
      <c r="D109" s="3" t="s">
        <v>257</v>
      </c>
      <c r="E109" s="14">
        <v>381.69394199846289</v>
      </c>
      <c r="F109" s="14">
        <v>393.99999999999972</v>
      </c>
      <c r="G109" s="14">
        <v>647.54384646462074</v>
      </c>
      <c r="H109" s="14">
        <v>599.60750408611364</v>
      </c>
      <c r="I109" s="14">
        <v>574.22438013504609</v>
      </c>
      <c r="J109" s="14">
        <v>803.33833156549906</v>
      </c>
      <c r="K109" s="14">
        <v>1027.2351173664902</v>
      </c>
      <c r="L109" s="14">
        <v>1144.4106332674153</v>
      </c>
      <c r="M109" s="14">
        <v>1212.7053545686258</v>
      </c>
      <c r="N109" s="14">
        <v>1419.2524160612918</v>
      </c>
      <c r="O109" s="14">
        <v>1464.0093953622943</v>
      </c>
    </row>
    <row r="110" spans="1:15" x14ac:dyDescent="0.3">
      <c r="A110" s="3" t="str">
        <f>INDEX('R1. Scenario specifications'!$C$11:$C$49,MATCH($B110,'R1. Scenario specifications'!$A$11:$A$49,0))</f>
        <v>Current 2DS, 2030 start, 'Expect the Unexpected' but with cheap energy efficiency</v>
      </c>
      <c r="B110" s="3" t="s">
        <v>16</v>
      </c>
      <c r="C110" s="3" t="s">
        <v>69</v>
      </c>
      <c r="D110" s="3" t="s">
        <v>258</v>
      </c>
      <c r="E110" s="14">
        <v>430.81063106061174</v>
      </c>
      <c r="F110" s="14">
        <v>452.4364981864552</v>
      </c>
      <c r="G110" s="14">
        <v>452.8330666776244</v>
      </c>
      <c r="H110" s="14">
        <v>256.83855764560741</v>
      </c>
      <c r="I110" s="14">
        <v>135.33040741607047</v>
      </c>
      <c r="J110" s="14">
        <v>10.064412396312424</v>
      </c>
      <c r="K110" s="14">
        <v>10.99598637619663</v>
      </c>
      <c r="L110" s="14">
        <v>11.757190911378039</v>
      </c>
      <c r="M110" s="14">
        <v>46.69856965145614</v>
      </c>
      <c r="N110" s="14">
        <v>75.247148340452526</v>
      </c>
      <c r="O110" s="14">
        <v>105.97683693861541</v>
      </c>
    </row>
    <row r="111" spans="1:15" x14ac:dyDescent="0.3">
      <c r="A111" s="3" t="str">
        <f>INDEX('R1. Scenario specifications'!$C$11:$C$49,MATCH($B111,'R1. Scenario specifications'!$A$11:$A$49,0))</f>
        <v>Current 2DS, 2030 start, 'Expect the Unexpected' but with cheap energy efficiency</v>
      </c>
      <c r="B111" s="3" t="s">
        <v>16</v>
      </c>
      <c r="C111" s="3" t="s">
        <v>70</v>
      </c>
      <c r="D111" s="3" t="s">
        <v>259</v>
      </c>
      <c r="E111" s="14">
        <v>13.930776255707762</v>
      </c>
      <c r="F111" s="14">
        <v>96.560908546679059</v>
      </c>
      <c r="G111" s="14">
        <v>193.62720812488871</v>
      </c>
      <c r="H111" s="14">
        <v>564.29121895346805</v>
      </c>
      <c r="I111" s="14">
        <v>2297.4857629404455</v>
      </c>
      <c r="J111" s="14">
        <v>4875.0748431043858</v>
      </c>
      <c r="K111" s="14">
        <v>6354.7868250426163</v>
      </c>
      <c r="L111" s="14">
        <v>7776.7840585527983</v>
      </c>
      <c r="M111" s="14">
        <v>9770.1228743531192</v>
      </c>
      <c r="N111" s="14">
        <v>14087.042678796975</v>
      </c>
      <c r="O111" s="14">
        <v>17521.876455622198</v>
      </c>
    </row>
    <row r="112" spans="1:15" x14ac:dyDescent="0.3">
      <c r="A112" s="3" t="str">
        <f>INDEX('R1. Scenario specifications'!$C$11:$C$49,MATCH($B112,'R1. Scenario specifications'!$A$11:$A$49,0))</f>
        <v>Current 2DS, 2030 start, 'Expect the Unexpected' but with cheap energy efficiency</v>
      </c>
      <c r="B112" s="3" t="s">
        <v>16</v>
      </c>
      <c r="C112" s="3" t="s">
        <v>71</v>
      </c>
      <c r="D112" s="3" t="s">
        <v>259</v>
      </c>
      <c r="E112" s="14">
        <v>11.2241111111111</v>
      </c>
      <c r="F112" s="14">
        <v>12.249511111111101</v>
      </c>
      <c r="G112" s="14">
        <v>13.0611055551111</v>
      </c>
      <c r="H112" s="14">
        <v>13.059905555111095</v>
      </c>
      <c r="I112" s="14">
        <v>13.056002652205361</v>
      </c>
      <c r="J112" s="14">
        <v>13.054002652205359</v>
      </c>
      <c r="K112" s="14">
        <v>13.052503085332031</v>
      </c>
      <c r="L112" s="14">
        <v>13.051467036339414</v>
      </c>
      <c r="M112" s="14">
        <v>13.053348855234452</v>
      </c>
      <c r="N112" s="14">
        <v>13.051348855234451</v>
      </c>
      <c r="O112" s="14">
        <v>13.049348855234452</v>
      </c>
    </row>
    <row r="113" spans="1:15" x14ac:dyDescent="0.3">
      <c r="A113" s="3" t="str">
        <f>INDEX('R1. Scenario specifications'!$C$11:$C$49,MATCH($B113,'R1. Scenario specifications'!$A$11:$A$49,0))</f>
        <v>Current 2DS, 2030 start, 'Expect the Unexpected' but with cheap energy efficiency</v>
      </c>
      <c r="B113" s="3" t="s">
        <v>16</v>
      </c>
      <c r="C113" s="3" t="s">
        <v>75</v>
      </c>
      <c r="D113" s="3" t="s">
        <v>258</v>
      </c>
      <c r="E113" s="14">
        <v>0.31124745380476826</v>
      </c>
      <c r="F113" s="14">
        <v>0.28314462712947408</v>
      </c>
      <c r="G113" s="14">
        <v>0.23818010444900301</v>
      </c>
      <c r="H113" s="14">
        <v>0.15878673629933501</v>
      </c>
      <c r="I113" s="14">
        <v>7.9393368149667701E-2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</row>
    <row r="114" spans="1:15" x14ac:dyDescent="0.3">
      <c r="A114" s="3" t="str">
        <f>INDEX('R1. Scenario specifications'!$C$11:$C$49,MATCH($B114,'R1. Scenario specifications'!$A$11:$A$49,0))</f>
        <v>Current 2DS, 2030 start, 'Expect the Unexpected' but with cheap energy efficiency</v>
      </c>
      <c r="B114" s="3" t="s">
        <v>16</v>
      </c>
      <c r="C114" s="3" t="s">
        <v>72</v>
      </c>
      <c r="D114" s="3" t="s">
        <v>260</v>
      </c>
      <c r="E114" s="14">
        <v>217.76839471634247</v>
      </c>
      <c r="F114" s="14">
        <v>242.99857406704328</v>
      </c>
      <c r="G114" s="14">
        <v>365.36686102816424</v>
      </c>
      <c r="H114" s="14">
        <v>1381.7602614741115</v>
      </c>
      <c r="I114" s="14">
        <v>3315.5660941652945</v>
      </c>
      <c r="J114" s="14">
        <v>4083.8547016530356</v>
      </c>
      <c r="K114" s="14">
        <v>5368.1312720073729</v>
      </c>
      <c r="L114" s="14">
        <v>6630.7661349981281</v>
      </c>
      <c r="M114" s="14">
        <v>9067.8842538044901</v>
      </c>
      <c r="N114" s="14">
        <v>14249.128991705116</v>
      </c>
      <c r="O114" s="14">
        <v>19276.537530823607</v>
      </c>
    </row>
    <row r="115" spans="1:15" x14ac:dyDescent="0.3">
      <c r="A115" s="3" t="str">
        <f>INDEX('R1. Scenario specifications'!$C$11:$C$49,MATCH($B115,'R1. Scenario specifications'!$A$11:$A$49,0))</f>
        <v>Current 2DS, 2020 start, 'Expect the Unexpected' but with most conservative biomass CCS / NET technology cost assumptions</v>
      </c>
      <c r="B115" s="3" t="s">
        <v>17</v>
      </c>
      <c r="C115" s="3" t="s">
        <v>63</v>
      </c>
      <c r="D115" s="3" t="s">
        <v>253</v>
      </c>
      <c r="E115" s="14">
        <v>19.526838931037336</v>
      </c>
      <c r="F115" s="14">
        <v>26.141237482570887</v>
      </c>
      <c r="G115" s="14">
        <v>117.10981417316707</v>
      </c>
      <c r="H115" s="14">
        <v>461.02071585152845</v>
      </c>
      <c r="I115" s="14">
        <v>549.84638534203066</v>
      </c>
      <c r="J115" s="14">
        <v>599.95991488381992</v>
      </c>
      <c r="K115" s="14">
        <v>286.71150357776838</v>
      </c>
      <c r="L115" s="14">
        <v>188.37449634962258</v>
      </c>
      <c r="M115" s="14">
        <v>41.771489559637246</v>
      </c>
      <c r="N115" s="14">
        <v>6.1280700484714004</v>
      </c>
      <c r="O115" s="14">
        <v>6.1280700484714004</v>
      </c>
    </row>
    <row r="116" spans="1:15" x14ac:dyDescent="0.3">
      <c r="A116" s="3" t="str">
        <f>INDEX('R1. Scenario specifications'!$C$11:$C$49,MATCH($B116,'R1. Scenario specifications'!$A$11:$A$49,0))</f>
        <v>Current 2DS, 2020 start, 'Expect the Unexpected' but with most conservative biomass CCS / NET technology cost assumptions</v>
      </c>
      <c r="B116" s="3" t="s">
        <v>17</v>
      </c>
      <c r="C116" s="3" t="s">
        <v>73</v>
      </c>
      <c r="D116" s="3" t="s">
        <v>253</v>
      </c>
      <c r="E116" s="14">
        <v>0</v>
      </c>
      <c r="F116" s="14">
        <v>0</v>
      </c>
      <c r="G116" s="14">
        <v>0</v>
      </c>
      <c r="H116" s="14">
        <v>4.4828919145312041</v>
      </c>
      <c r="I116" s="14">
        <v>29.619726385009361</v>
      </c>
      <c r="J116" s="14">
        <v>148.41014530477469</v>
      </c>
      <c r="K116" s="14">
        <v>665.13109577493481</v>
      </c>
      <c r="L116" s="14">
        <v>1409.0182785541167</v>
      </c>
      <c r="M116" s="14">
        <v>2149.5062912085295</v>
      </c>
      <c r="N116" s="14">
        <v>2827.1408208162961</v>
      </c>
      <c r="O116" s="14">
        <v>3092.7334436182309</v>
      </c>
    </row>
    <row r="117" spans="1:15" x14ac:dyDescent="0.3">
      <c r="A117" s="3" t="str">
        <f>INDEX('R1. Scenario specifications'!$C$11:$C$49,MATCH($B117,'R1. Scenario specifications'!$A$11:$A$49,0))</f>
        <v>Current 2DS, 2020 start, 'Expect the Unexpected' but with most conservative biomass CCS / NET technology cost assumptions</v>
      </c>
      <c r="B117" s="3" t="s">
        <v>17</v>
      </c>
      <c r="C117" s="3" t="s">
        <v>64</v>
      </c>
      <c r="D117" s="3" t="s">
        <v>254</v>
      </c>
      <c r="E117" s="14">
        <v>1633.0249332809897</v>
      </c>
      <c r="F117" s="14">
        <v>1804.9999999999993</v>
      </c>
      <c r="G117" s="14">
        <v>1804.9999999999993</v>
      </c>
      <c r="H117" s="14">
        <v>1442.4317981122206</v>
      </c>
      <c r="I117" s="14">
        <v>441.54204398431278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</row>
    <row r="118" spans="1:15" x14ac:dyDescent="0.3">
      <c r="A118" s="3" t="str">
        <f>INDEX('R1. Scenario specifications'!$C$11:$C$49,MATCH($B118,'R1. Scenario specifications'!$A$11:$A$49,0))</f>
        <v>Current 2DS, 2020 start, 'Expect the Unexpected' but with most conservative biomass CCS / NET technology cost assumptions</v>
      </c>
      <c r="B118" s="3" t="s">
        <v>17</v>
      </c>
      <c r="C118" s="3" t="s">
        <v>65</v>
      </c>
      <c r="D118" s="3" t="s">
        <v>255</v>
      </c>
      <c r="E118" s="14">
        <v>1008.6224302831477</v>
      </c>
      <c r="F118" s="14">
        <v>1634.5557819505236</v>
      </c>
      <c r="G118" s="14">
        <v>2111.6960266729702</v>
      </c>
      <c r="H118" s="14">
        <v>2004.4093899500158</v>
      </c>
      <c r="I118" s="14">
        <v>1062.7529607804904</v>
      </c>
      <c r="J118" s="14">
        <v>675.53050608726471</v>
      </c>
      <c r="K118" s="14">
        <v>1032.9074575086561</v>
      </c>
      <c r="L118" s="14">
        <v>1025.618421844071</v>
      </c>
      <c r="M118" s="14">
        <v>574.98338190974414</v>
      </c>
      <c r="N118" s="14">
        <v>265.80763189822289</v>
      </c>
      <c r="O118" s="14">
        <v>288.76029142135752</v>
      </c>
    </row>
    <row r="119" spans="1:15" x14ac:dyDescent="0.3">
      <c r="A119" s="3" t="str">
        <f>INDEX('R1. Scenario specifications'!$C$11:$C$49,MATCH($B119,'R1. Scenario specifications'!$A$11:$A$49,0))</f>
        <v>Current 2DS, 2020 start, 'Expect the Unexpected' but with most conservative biomass CCS / NET technology cost assumptions</v>
      </c>
      <c r="B119" s="3" t="s">
        <v>17</v>
      </c>
      <c r="C119" s="3" t="s">
        <v>74</v>
      </c>
      <c r="D119" s="3" t="s">
        <v>255</v>
      </c>
      <c r="E119" s="14">
        <v>0</v>
      </c>
      <c r="F119" s="14">
        <v>0</v>
      </c>
      <c r="G119" s="14">
        <v>0</v>
      </c>
      <c r="H119" s="14">
        <v>0</v>
      </c>
      <c r="I119" s="14">
        <v>0.7929269157354415</v>
      </c>
      <c r="J119" s="14">
        <v>2.5608522343638347</v>
      </c>
      <c r="K119" s="14">
        <v>4.2147361092153659</v>
      </c>
      <c r="L119" s="14">
        <v>62.879868502303268</v>
      </c>
      <c r="M119" s="14">
        <v>519.46006831167915</v>
      </c>
      <c r="N119" s="14">
        <v>1156.7444549023662</v>
      </c>
      <c r="O119" s="14">
        <v>1368.615820186154</v>
      </c>
    </row>
    <row r="120" spans="1:15" x14ac:dyDescent="0.3">
      <c r="A120" s="3" t="str">
        <f>INDEX('R1. Scenario specifications'!$C$11:$C$49,MATCH($B120,'R1. Scenario specifications'!$A$11:$A$49,0))</f>
        <v>Current 2DS, 2020 start, 'Expect the Unexpected' but with most conservative biomass CCS / NET technology cost assumptions</v>
      </c>
      <c r="B120" s="3" t="s">
        <v>17</v>
      </c>
      <c r="C120" s="3" t="s">
        <v>66</v>
      </c>
      <c r="D120" s="3" t="s">
        <v>258</v>
      </c>
      <c r="E120" s="14">
        <v>31.122062759818384</v>
      </c>
      <c r="F120" s="14">
        <v>28.670816918420648</v>
      </c>
      <c r="G120" s="14">
        <v>113.13800421894352</v>
      </c>
      <c r="H120" s="14">
        <v>158.8032517201448</v>
      </c>
      <c r="I120" s="14">
        <v>205.64870976853155</v>
      </c>
      <c r="J120" s="14">
        <v>278.1321651733353</v>
      </c>
      <c r="K120" s="14">
        <v>411.93655853214017</v>
      </c>
      <c r="L120" s="14">
        <v>474.7277046263647</v>
      </c>
      <c r="M120" s="14">
        <v>534.38276163490173</v>
      </c>
      <c r="N120" s="14">
        <v>788.09488069591725</v>
      </c>
      <c r="O120" s="14">
        <v>888.86919631844466</v>
      </c>
    </row>
    <row r="121" spans="1:15" x14ac:dyDescent="0.3">
      <c r="A121" s="3" t="str">
        <f>INDEX('R1. Scenario specifications'!$C$11:$C$49,MATCH($B121,'R1. Scenario specifications'!$A$11:$A$49,0))</f>
        <v>Current 2DS, 2020 start, 'Expect the Unexpected' but with most conservative biomass CCS / NET technology cost assumptions</v>
      </c>
      <c r="B121" s="3" t="s">
        <v>17</v>
      </c>
      <c r="C121" s="3" t="s">
        <v>67</v>
      </c>
      <c r="D121" s="3" t="s">
        <v>256</v>
      </c>
      <c r="E121" s="14">
        <v>738.24098154394619</v>
      </c>
      <c r="F121" s="14">
        <v>744.22477031191352</v>
      </c>
      <c r="G121" s="14">
        <v>999.8328246673068</v>
      </c>
      <c r="H121" s="14">
        <v>1165.7013704439287</v>
      </c>
      <c r="I121" s="14">
        <v>1361.2088762417638</v>
      </c>
      <c r="J121" s="14">
        <v>1592.2142675708049</v>
      </c>
      <c r="K121" s="14">
        <v>1774.5008332262687</v>
      </c>
      <c r="L121" s="14">
        <v>1955.8336671323457</v>
      </c>
      <c r="M121" s="14">
        <v>2297.9883566987041</v>
      </c>
      <c r="N121" s="14">
        <v>2969.6087840345845</v>
      </c>
      <c r="O121" s="14">
        <v>3195.1281332503786</v>
      </c>
    </row>
    <row r="122" spans="1:15" x14ac:dyDescent="0.3">
      <c r="A122" s="3" t="str">
        <f>INDEX('R1. Scenario specifications'!$C$11:$C$49,MATCH($B122,'R1. Scenario specifications'!$A$11:$A$49,0))</f>
        <v>Current 2DS, 2020 start, 'Expect the Unexpected' but with most conservative biomass CCS / NET technology cost assumptions</v>
      </c>
      <c r="B122" s="3" t="s">
        <v>17</v>
      </c>
      <c r="C122" s="3" t="s">
        <v>68</v>
      </c>
      <c r="D122" s="3" t="s">
        <v>257</v>
      </c>
      <c r="E122" s="14">
        <v>381.69394199846289</v>
      </c>
      <c r="F122" s="14">
        <v>393.99999999999972</v>
      </c>
      <c r="G122" s="14">
        <v>647.54384646462074</v>
      </c>
      <c r="H122" s="14">
        <v>599.60750408611364</v>
      </c>
      <c r="I122" s="14">
        <v>630.04734870472623</v>
      </c>
      <c r="J122" s="14">
        <v>870.68097761910803</v>
      </c>
      <c r="K122" s="14">
        <v>1093.3367709507027</v>
      </c>
      <c r="L122" s="14">
        <v>1225.7702539856639</v>
      </c>
      <c r="M122" s="14">
        <v>1296.3948674080648</v>
      </c>
      <c r="N122" s="14">
        <v>1433.3884534789038</v>
      </c>
      <c r="O122" s="14">
        <v>1482.4943388069485</v>
      </c>
    </row>
    <row r="123" spans="1:15" x14ac:dyDescent="0.3">
      <c r="A123" s="3" t="str">
        <f>INDEX('R1. Scenario specifications'!$C$11:$C$49,MATCH($B123,'R1. Scenario specifications'!$A$11:$A$49,0))</f>
        <v>Current 2DS, 2020 start, 'Expect the Unexpected' but with most conservative biomass CCS / NET technology cost assumptions</v>
      </c>
      <c r="B123" s="3" t="s">
        <v>17</v>
      </c>
      <c r="C123" s="3" t="s">
        <v>69</v>
      </c>
      <c r="D123" s="3" t="s">
        <v>258</v>
      </c>
      <c r="E123" s="14">
        <v>430.81063106061174</v>
      </c>
      <c r="F123" s="14">
        <v>452.4364981864552</v>
      </c>
      <c r="G123" s="14">
        <v>452.8330666776244</v>
      </c>
      <c r="H123" s="14">
        <v>254.66359231024609</v>
      </c>
      <c r="I123" s="14">
        <v>142.94365887829045</v>
      </c>
      <c r="J123" s="14">
        <v>19.852629193893698</v>
      </c>
      <c r="K123" s="14">
        <v>12.118027028084207</v>
      </c>
      <c r="L123" s="14">
        <v>12.0688993867437</v>
      </c>
      <c r="M123" s="14">
        <v>82.02722129359509</v>
      </c>
      <c r="N123" s="14">
        <v>120.64822174085739</v>
      </c>
      <c r="O123" s="14">
        <v>160.42570920907326</v>
      </c>
    </row>
    <row r="124" spans="1:15" x14ac:dyDescent="0.3">
      <c r="A124" s="3" t="str">
        <f>INDEX('R1. Scenario specifications'!$C$11:$C$49,MATCH($B124,'R1. Scenario specifications'!$A$11:$A$49,0))</f>
        <v>Current 2DS, 2020 start, 'Expect the Unexpected' but with most conservative biomass CCS / NET technology cost assumptions</v>
      </c>
      <c r="B124" s="3" t="s">
        <v>17</v>
      </c>
      <c r="C124" s="3" t="s">
        <v>70</v>
      </c>
      <c r="D124" s="3" t="s">
        <v>259</v>
      </c>
      <c r="E124" s="14">
        <v>13.930776255707762</v>
      </c>
      <c r="F124" s="14">
        <v>96.560908546679059</v>
      </c>
      <c r="G124" s="14">
        <v>193.62720812488871</v>
      </c>
      <c r="H124" s="14">
        <v>909.08806791401105</v>
      </c>
      <c r="I124" s="14">
        <v>3055.2996815435763</v>
      </c>
      <c r="J124" s="14">
        <v>5389.109800684977</v>
      </c>
      <c r="K124" s="14">
        <v>6911.7454076043614</v>
      </c>
      <c r="L124" s="14">
        <v>8737.7004586760686</v>
      </c>
      <c r="M124" s="14">
        <v>11967.806548013266</v>
      </c>
      <c r="N124" s="14">
        <v>18293.22324116547</v>
      </c>
      <c r="O124" s="14">
        <v>20778.162680457928</v>
      </c>
    </row>
    <row r="125" spans="1:15" x14ac:dyDescent="0.3">
      <c r="A125" s="3" t="str">
        <f>INDEX('R1. Scenario specifications'!$C$11:$C$49,MATCH($B125,'R1. Scenario specifications'!$A$11:$A$49,0))</f>
        <v>Current 2DS, 2020 start, 'Expect the Unexpected' but with most conservative biomass CCS / NET technology cost assumptions</v>
      </c>
      <c r="B125" s="3" t="s">
        <v>17</v>
      </c>
      <c r="C125" s="3" t="s">
        <v>71</v>
      </c>
      <c r="D125" s="3" t="s">
        <v>259</v>
      </c>
      <c r="E125" s="14">
        <v>11.2241111111111</v>
      </c>
      <c r="F125" s="14">
        <v>12.249511111111101</v>
      </c>
      <c r="G125" s="14">
        <v>13.0611055551111</v>
      </c>
      <c r="H125" s="14">
        <v>13.059105551511097</v>
      </c>
      <c r="I125" s="14">
        <v>13.0590282828668</v>
      </c>
      <c r="J125" s="14">
        <v>13.066270522532257</v>
      </c>
      <c r="K125" s="14">
        <v>13.108963315471918</v>
      </c>
      <c r="L125" s="14">
        <v>79.932999838103896</v>
      </c>
      <c r="M125" s="14">
        <v>95.709176338052998</v>
      </c>
      <c r="N125" s="14">
        <v>99.492233875053401</v>
      </c>
      <c r="O125" s="14">
        <v>99.489833875053392</v>
      </c>
    </row>
    <row r="126" spans="1:15" x14ac:dyDescent="0.3">
      <c r="A126" s="3" t="str">
        <f>INDEX('R1. Scenario specifications'!$C$11:$C$49,MATCH($B126,'R1. Scenario specifications'!$A$11:$A$49,0))</f>
        <v>Current 2DS, 2020 start, 'Expect the Unexpected' but with most conservative biomass CCS / NET technology cost assumptions</v>
      </c>
      <c r="B126" s="3" t="s">
        <v>17</v>
      </c>
      <c r="C126" s="3" t="s">
        <v>75</v>
      </c>
      <c r="D126" s="3" t="s">
        <v>258</v>
      </c>
      <c r="E126" s="14">
        <v>0.31124745380476826</v>
      </c>
      <c r="F126" s="14">
        <v>0.28314462712947408</v>
      </c>
      <c r="G126" s="14">
        <v>0.23818010444900301</v>
      </c>
      <c r="H126" s="14">
        <v>0.15878673629933501</v>
      </c>
      <c r="I126" s="14">
        <v>7.9393368149667701E-2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</row>
    <row r="127" spans="1:15" x14ac:dyDescent="0.3">
      <c r="A127" s="3" t="str">
        <f>INDEX('R1. Scenario specifications'!$C$11:$C$49,MATCH($B127,'R1. Scenario specifications'!$A$11:$A$49,0))</f>
        <v>Current 2DS, 2020 start, 'Expect the Unexpected' but with most conservative biomass CCS / NET technology cost assumptions</v>
      </c>
      <c r="B127" s="3" t="s">
        <v>17</v>
      </c>
      <c r="C127" s="3" t="s">
        <v>72</v>
      </c>
      <c r="D127" s="3" t="s">
        <v>260</v>
      </c>
      <c r="E127" s="14">
        <v>217.76839471634247</v>
      </c>
      <c r="F127" s="14">
        <v>242.99857406704328</v>
      </c>
      <c r="G127" s="14">
        <v>365.36686102816424</v>
      </c>
      <c r="H127" s="14">
        <v>1536.0359989751871</v>
      </c>
      <c r="I127" s="14">
        <v>3480.0488836792938</v>
      </c>
      <c r="J127" s="14">
        <v>4658.4888740933811</v>
      </c>
      <c r="K127" s="14">
        <v>6363.2351661352059</v>
      </c>
      <c r="L127" s="14">
        <v>8153.0887234593256</v>
      </c>
      <c r="M127" s="14">
        <v>11620.978649399827</v>
      </c>
      <c r="N127" s="14">
        <v>18571.329921730394</v>
      </c>
      <c r="O127" s="14">
        <v>23329.026282210278</v>
      </c>
    </row>
    <row r="128" spans="1:15" x14ac:dyDescent="0.3">
      <c r="A128" s="3" t="str">
        <f>INDEX('R1. Scenario specifications'!$C$11:$C$49,MATCH($B128,'R1. Scenario specifications'!$A$11:$A$49,0))</f>
        <v>Current 2DS, 2030 start, 'Expect the Unexpected' but with most conservative biomass CCS / NET technology cost assumptions</v>
      </c>
      <c r="B128" s="3" t="s">
        <v>18</v>
      </c>
      <c r="C128" s="3" t="s">
        <v>63</v>
      </c>
      <c r="D128" s="3" t="s">
        <v>253</v>
      </c>
      <c r="E128" s="14">
        <v>19.526838931037336</v>
      </c>
      <c r="F128" s="14">
        <v>26.141237482570887</v>
      </c>
      <c r="G128" s="14">
        <v>117.10981417316707</v>
      </c>
      <c r="H128" s="14">
        <v>412.30855682261659</v>
      </c>
      <c r="I128" s="14">
        <v>585.65154798648496</v>
      </c>
      <c r="J128" s="14">
        <v>570.66165292263543</v>
      </c>
      <c r="K128" s="14">
        <v>332.48453160996706</v>
      </c>
      <c r="L128" s="14">
        <v>149.63020270845533</v>
      </c>
      <c r="M128" s="14">
        <v>68.143584386262788</v>
      </c>
      <c r="N128" s="14">
        <v>6.1410339106256302</v>
      </c>
      <c r="O128" s="14">
        <v>6.1410339106256302</v>
      </c>
    </row>
    <row r="129" spans="1:15" x14ac:dyDescent="0.3">
      <c r="A129" s="3" t="str">
        <f>INDEX('R1. Scenario specifications'!$C$11:$C$49,MATCH($B129,'R1. Scenario specifications'!$A$11:$A$49,0))</f>
        <v>Current 2DS, 2030 start, 'Expect the Unexpected' but with most conservative biomass CCS / NET technology cost assumptions</v>
      </c>
      <c r="B129" s="3" t="s">
        <v>18</v>
      </c>
      <c r="C129" s="3" t="s">
        <v>73</v>
      </c>
      <c r="D129" s="3" t="s">
        <v>253</v>
      </c>
      <c r="E129" s="14">
        <v>0</v>
      </c>
      <c r="F129" s="14">
        <v>0</v>
      </c>
      <c r="G129" s="14">
        <v>0</v>
      </c>
      <c r="H129" s="14">
        <v>0</v>
      </c>
      <c r="I129" s="14">
        <v>9.3294992559231211</v>
      </c>
      <c r="J129" s="14">
        <v>74.922994321630227</v>
      </c>
      <c r="K129" s="14">
        <v>448.11956087226912</v>
      </c>
      <c r="L129" s="14">
        <v>1286.2824922319041</v>
      </c>
      <c r="M129" s="14">
        <v>2306.8359923193821</v>
      </c>
      <c r="N129" s="14">
        <v>2875.3126474316477</v>
      </c>
      <c r="O129" s="14">
        <v>3142.8898722871531</v>
      </c>
    </row>
    <row r="130" spans="1:15" x14ac:dyDescent="0.3">
      <c r="A130" s="3" t="str">
        <f>INDEX('R1. Scenario specifications'!$C$11:$C$49,MATCH($B130,'R1. Scenario specifications'!$A$11:$A$49,0))</f>
        <v>Current 2DS, 2030 start, 'Expect the Unexpected' but with most conservative biomass CCS / NET technology cost assumptions</v>
      </c>
      <c r="B130" s="3" t="s">
        <v>18</v>
      </c>
      <c r="C130" s="3" t="s">
        <v>64</v>
      </c>
      <c r="D130" s="3" t="s">
        <v>254</v>
      </c>
      <c r="E130" s="14">
        <v>1633.0249332809897</v>
      </c>
      <c r="F130" s="14">
        <v>1804.9999999999993</v>
      </c>
      <c r="G130" s="14">
        <v>1804.9999999999993</v>
      </c>
      <c r="H130" s="14">
        <v>1458.8285858367421</v>
      </c>
      <c r="I130" s="14">
        <v>457.93883170883436</v>
      </c>
      <c r="J130" s="14">
        <v>16.396787724521602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</row>
    <row r="131" spans="1:15" x14ac:dyDescent="0.3">
      <c r="A131" s="3" t="str">
        <f>INDEX('R1. Scenario specifications'!$C$11:$C$49,MATCH($B131,'R1. Scenario specifications'!$A$11:$A$49,0))</f>
        <v>Current 2DS, 2030 start, 'Expect the Unexpected' but with most conservative biomass CCS / NET technology cost assumptions</v>
      </c>
      <c r="B131" s="3" t="s">
        <v>18</v>
      </c>
      <c r="C131" s="3" t="s">
        <v>65</v>
      </c>
      <c r="D131" s="3" t="s">
        <v>255</v>
      </c>
      <c r="E131" s="14">
        <v>1008.6224302831477</v>
      </c>
      <c r="F131" s="14">
        <v>1634.5557819505236</v>
      </c>
      <c r="G131" s="14">
        <v>2111.6960266729702</v>
      </c>
      <c r="H131" s="14">
        <v>1960.1606269560627</v>
      </c>
      <c r="I131" s="14">
        <v>1075.5568128266</v>
      </c>
      <c r="J131" s="14">
        <v>696.84189818843504</v>
      </c>
      <c r="K131" s="14">
        <v>1023.702251303037</v>
      </c>
      <c r="L131" s="14">
        <v>947.57161261263639</v>
      </c>
      <c r="M131" s="14">
        <v>515.82525040554924</v>
      </c>
      <c r="N131" s="14">
        <v>244.18257410089228</v>
      </c>
      <c r="O131" s="14">
        <v>315.7555915796172</v>
      </c>
    </row>
    <row r="132" spans="1:15" x14ac:dyDescent="0.3">
      <c r="A132" s="3" t="str">
        <f>INDEX('R1. Scenario specifications'!$C$11:$C$49,MATCH($B132,'R1. Scenario specifications'!$A$11:$A$49,0))</f>
        <v>Current 2DS, 2030 start, 'Expect the Unexpected' but with most conservative biomass CCS / NET technology cost assumptions</v>
      </c>
      <c r="B132" s="3" t="s">
        <v>18</v>
      </c>
      <c r="C132" s="3" t="s">
        <v>74</v>
      </c>
      <c r="D132" s="3" t="s">
        <v>255</v>
      </c>
      <c r="E132" s="14">
        <v>0</v>
      </c>
      <c r="F132" s="14">
        <v>0</v>
      </c>
      <c r="G132" s="14">
        <v>0</v>
      </c>
      <c r="H132" s="14">
        <v>0</v>
      </c>
      <c r="I132" s="14">
        <v>1.7348216019717548</v>
      </c>
      <c r="J132" s="14">
        <v>6.1186927430265232</v>
      </c>
      <c r="K132" s="14">
        <v>36.535988789617591</v>
      </c>
      <c r="L132" s="14">
        <v>106.96349300880951</v>
      </c>
      <c r="M132" s="14">
        <v>517.57442552534894</v>
      </c>
      <c r="N132" s="14">
        <v>1122.2639742211086</v>
      </c>
      <c r="O132" s="14">
        <v>1327.0837655880739</v>
      </c>
    </row>
    <row r="133" spans="1:15" x14ac:dyDescent="0.3">
      <c r="A133" s="3" t="str">
        <f>INDEX('R1. Scenario specifications'!$C$11:$C$49,MATCH($B133,'R1. Scenario specifications'!$A$11:$A$49,0))</f>
        <v>Current 2DS, 2030 start, 'Expect the Unexpected' but with most conservative biomass CCS / NET technology cost assumptions</v>
      </c>
      <c r="B133" s="3" t="s">
        <v>18</v>
      </c>
      <c r="C133" s="3" t="s">
        <v>66</v>
      </c>
      <c r="D133" s="3" t="s">
        <v>258</v>
      </c>
      <c r="E133" s="14">
        <v>31.122062759818384</v>
      </c>
      <c r="F133" s="14">
        <v>28.670816918420648</v>
      </c>
      <c r="G133" s="14">
        <v>113.13800421894352</v>
      </c>
      <c r="H133" s="14">
        <v>158.43269338625092</v>
      </c>
      <c r="I133" s="14">
        <v>205.64877496228274</v>
      </c>
      <c r="J133" s="14">
        <v>291.21565761573146</v>
      </c>
      <c r="K133" s="14">
        <v>482.41529685833092</v>
      </c>
      <c r="L133" s="14">
        <v>497.70765267012712</v>
      </c>
      <c r="M133" s="14">
        <v>534.72324194114503</v>
      </c>
      <c r="N133" s="14">
        <v>773.4817653403536</v>
      </c>
      <c r="O133" s="14">
        <v>964.6947505342099</v>
      </c>
    </row>
    <row r="134" spans="1:15" x14ac:dyDescent="0.3">
      <c r="A134" s="3" t="str">
        <f>INDEX('R1. Scenario specifications'!$C$11:$C$49,MATCH($B134,'R1. Scenario specifications'!$A$11:$A$49,0))</f>
        <v>Current 2DS, 2030 start, 'Expect the Unexpected' but with most conservative biomass CCS / NET technology cost assumptions</v>
      </c>
      <c r="B134" s="3" t="s">
        <v>18</v>
      </c>
      <c r="C134" s="3" t="s">
        <v>67</v>
      </c>
      <c r="D134" s="3" t="s">
        <v>256</v>
      </c>
      <c r="E134" s="14">
        <v>738.24098154394619</v>
      </c>
      <c r="F134" s="14">
        <v>744.22477031191352</v>
      </c>
      <c r="G134" s="14">
        <v>999.8328246673068</v>
      </c>
      <c r="H134" s="14">
        <v>1153.8656291758321</v>
      </c>
      <c r="I134" s="14">
        <v>1316.819613660105</v>
      </c>
      <c r="J134" s="14">
        <v>1655.8736528088002</v>
      </c>
      <c r="K134" s="14">
        <v>1854.4177049667555</v>
      </c>
      <c r="L134" s="14">
        <v>1991.4428075459482</v>
      </c>
      <c r="M134" s="14">
        <v>2313.6169743829028</v>
      </c>
      <c r="N134" s="14">
        <v>3019.0413811891617</v>
      </c>
      <c r="O134" s="14">
        <v>3221.2072594372785</v>
      </c>
    </row>
    <row r="135" spans="1:15" x14ac:dyDescent="0.3">
      <c r="A135" s="3" t="str">
        <f>INDEX('R1. Scenario specifications'!$C$11:$C$49,MATCH($B135,'R1. Scenario specifications'!$A$11:$A$49,0))</f>
        <v>Current 2DS, 2030 start, 'Expect the Unexpected' but with most conservative biomass CCS / NET technology cost assumptions</v>
      </c>
      <c r="B135" s="3" t="s">
        <v>18</v>
      </c>
      <c r="C135" s="3" t="s">
        <v>68</v>
      </c>
      <c r="D135" s="3" t="s">
        <v>257</v>
      </c>
      <c r="E135" s="14">
        <v>381.69394199846289</v>
      </c>
      <c r="F135" s="14">
        <v>393.99999999999972</v>
      </c>
      <c r="G135" s="14">
        <v>647.54384646462074</v>
      </c>
      <c r="H135" s="14">
        <v>599.60750408611364</v>
      </c>
      <c r="I135" s="14">
        <v>574.22438013504609</v>
      </c>
      <c r="J135" s="14">
        <v>890.43348301121864</v>
      </c>
      <c r="K135" s="14">
        <v>1093.8047932146392</v>
      </c>
      <c r="L135" s="14">
        <v>1223.1827398389862</v>
      </c>
      <c r="M135" s="14">
        <v>1334.0892405196696</v>
      </c>
      <c r="N135" s="14">
        <v>1432.861006631909</v>
      </c>
      <c r="O135" s="14">
        <v>1482.4943388069476</v>
      </c>
    </row>
    <row r="136" spans="1:15" x14ac:dyDescent="0.3">
      <c r="A136" s="3" t="str">
        <f>INDEX('R1. Scenario specifications'!$C$11:$C$49,MATCH($B136,'R1. Scenario specifications'!$A$11:$A$49,0))</f>
        <v>Current 2DS, 2030 start, 'Expect the Unexpected' but with most conservative biomass CCS / NET technology cost assumptions</v>
      </c>
      <c r="B136" s="3" t="s">
        <v>18</v>
      </c>
      <c r="C136" s="3" t="s">
        <v>69</v>
      </c>
      <c r="D136" s="3" t="s">
        <v>258</v>
      </c>
      <c r="E136" s="14">
        <v>430.81063106061174</v>
      </c>
      <c r="F136" s="14">
        <v>452.4364981864552</v>
      </c>
      <c r="G136" s="14">
        <v>452.8330666776244</v>
      </c>
      <c r="H136" s="14">
        <v>256.83855764560741</v>
      </c>
      <c r="I136" s="14">
        <v>144.24819571949624</v>
      </c>
      <c r="J136" s="14">
        <v>18.982200699738176</v>
      </c>
      <c r="K136" s="14">
        <v>13.82361313664323</v>
      </c>
      <c r="L136" s="14">
        <v>20.67571419218039</v>
      </c>
      <c r="M136" s="14">
        <v>73.23570441149981</v>
      </c>
      <c r="N136" s="14">
        <v>117.78598824774014</v>
      </c>
      <c r="O136" s="14">
        <v>151.22838646255826</v>
      </c>
    </row>
    <row r="137" spans="1:15" x14ac:dyDescent="0.3">
      <c r="A137" s="3" t="str">
        <f>INDEX('R1. Scenario specifications'!$C$11:$C$49,MATCH($B137,'R1. Scenario specifications'!$A$11:$A$49,0))</f>
        <v>Current 2DS, 2030 start, 'Expect the Unexpected' but with most conservative biomass CCS / NET technology cost assumptions</v>
      </c>
      <c r="B137" s="3" t="s">
        <v>18</v>
      </c>
      <c r="C137" s="3" t="s">
        <v>70</v>
      </c>
      <c r="D137" s="3" t="s">
        <v>259</v>
      </c>
      <c r="E137" s="14">
        <v>13.930776255707762</v>
      </c>
      <c r="F137" s="14">
        <v>96.560908546679059</v>
      </c>
      <c r="G137" s="14">
        <v>193.62720812488871</v>
      </c>
      <c r="H137" s="14">
        <v>564.29121895346805</v>
      </c>
      <c r="I137" s="14">
        <v>2331.0711274367154</v>
      </c>
      <c r="J137" s="14">
        <v>5343.1607468226484</v>
      </c>
      <c r="K137" s="14">
        <v>7147.6413215236807</v>
      </c>
      <c r="L137" s="14">
        <v>8956.4358553650818</v>
      </c>
      <c r="M137" s="14">
        <v>12661.78617183654</v>
      </c>
      <c r="N137" s="14">
        <v>19251.435329993019</v>
      </c>
      <c r="O137" s="14">
        <v>21396.848670466636</v>
      </c>
    </row>
    <row r="138" spans="1:15" x14ac:dyDescent="0.3">
      <c r="A138" s="3" t="str">
        <f>INDEX('R1. Scenario specifications'!$C$11:$C$49,MATCH($B138,'R1. Scenario specifications'!$A$11:$A$49,0))</f>
        <v>Current 2DS, 2030 start, 'Expect the Unexpected' but with most conservative biomass CCS / NET technology cost assumptions</v>
      </c>
      <c r="B138" s="3" t="s">
        <v>18</v>
      </c>
      <c r="C138" s="3" t="s">
        <v>71</v>
      </c>
      <c r="D138" s="3" t="s">
        <v>259</v>
      </c>
      <c r="E138" s="14">
        <v>11.2241111111111</v>
      </c>
      <c r="F138" s="14">
        <v>12.249511111111101</v>
      </c>
      <c r="G138" s="14">
        <v>13.0611055551111</v>
      </c>
      <c r="H138" s="14">
        <v>13.059905555111095</v>
      </c>
      <c r="I138" s="14">
        <v>13.056402652205362</v>
      </c>
      <c r="J138" s="14">
        <v>13.056325383561056</v>
      </c>
      <c r="K138" s="14">
        <v>13.064367623226518</v>
      </c>
      <c r="L138" s="14">
        <v>59.716460840479698</v>
      </c>
      <c r="M138" s="14">
        <v>73.8669752934087</v>
      </c>
      <c r="N138" s="14">
        <v>73.864575293408706</v>
      </c>
      <c r="O138" s="14">
        <v>73.862175293408697</v>
      </c>
    </row>
    <row r="139" spans="1:15" x14ac:dyDescent="0.3">
      <c r="A139" s="3" t="str">
        <f>INDEX('R1. Scenario specifications'!$C$11:$C$49,MATCH($B139,'R1. Scenario specifications'!$A$11:$A$49,0))</f>
        <v>Current 2DS, 2030 start, 'Expect the Unexpected' but with most conservative biomass CCS / NET technology cost assumptions</v>
      </c>
      <c r="B139" s="3" t="s">
        <v>18</v>
      </c>
      <c r="C139" s="3" t="s">
        <v>75</v>
      </c>
      <c r="D139" s="3" t="s">
        <v>258</v>
      </c>
      <c r="E139" s="14">
        <v>0.31124745380476826</v>
      </c>
      <c r="F139" s="14">
        <v>0.28314462712947408</v>
      </c>
      <c r="G139" s="14">
        <v>0.23818010444900301</v>
      </c>
      <c r="H139" s="14">
        <v>0.15878673629933501</v>
      </c>
      <c r="I139" s="14">
        <v>7.9393368149667701E-2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</row>
    <row r="140" spans="1:15" x14ac:dyDescent="0.3">
      <c r="A140" s="3" t="str">
        <f>INDEX('R1. Scenario specifications'!$C$11:$C$49,MATCH($B140,'R1. Scenario specifications'!$A$11:$A$49,0))</f>
        <v>Current 2DS, 2030 start, 'Expect the Unexpected' but with most conservative biomass CCS / NET technology cost assumptions</v>
      </c>
      <c r="B140" s="3" t="s">
        <v>18</v>
      </c>
      <c r="C140" s="3" t="s">
        <v>72</v>
      </c>
      <c r="D140" s="3" t="s">
        <v>260</v>
      </c>
      <c r="E140" s="14">
        <v>217.76839471634247</v>
      </c>
      <c r="F140" s="14">
        <v>242.99857406704328</v>
      </c>
      <c r="G140" s="14">
        <v>365.36686102816424</v>
      </c>
      <c r="H140" s="14">
        <v>1381.7602614741115</v>
      </c>
      <c r="I140" s="14">
        <v>3501.2110695132969</v>
      </c>
      <c r="J140" s="14">
        <v>4634.1958693563238</v>
      </c>
      <c r="K140" s="14">
        <v>6449.1152104410685</v>
      </c>
      <c r="L140" s="14">
        <v>8541.2314371330267</v>
      </c>
      <c r="M140" s="14">
        <v>11952.753578950354</v>
      </c>
      <c r="N140" s="14">
        <v>19385.291532377611</v>
      </c>
      <c r="O140" s="14">
        <v>23768.715793332325</v>
      </c>
    </row>
    <row r="141" spans="1:15" x14ac:dyDescent="0.3">
      <c r="A141" s="3" t="str">
        <f>INDEX('R1. Scenario specifications'!$C$11:$C$49,MATCH($B141,'R1. Scenario specifications'!$A$11:$A$49,0))</f>
        <v>Current 1.5DS, 2020 start, 'Expect the Unexpected'</v>
      </c>
      <c r="B141" s="3" t="s">
        <v>19</v>
      </c>
      <c r="C141" s="3" t="s">
        <v>63</v>
      </c>
      <c r="D141" s="3" t="s">
        <v>253</v>
      </c>
      <c r="E141" s="14">
        <v>19.526838931037336</v>
      </c>
      <c r="F141" s="14">
        <v>26.141237482570887</v>
      </c>
      <c r="G141" s="14">
        <v>117.10981417316707</v>
      </c>
      <c r="H141" s="14">
        <v>604.25484571813524</v>
      </c>
      <c r="I141" s="14">
        <v>735.74921782922422</v>
      </c>
      <c r="J141" s="14">
        <v>638.7855029232677</v>
      </c>
      <c r="K141" s="14">
        <v>146.98575494869584</v>
      </c>
      <c r="L141" s="14">
        <v>5.9800450999640198</v>
      </c>
      <c r="M141" s="14">
        <v>5.5137907003319855</v>
      </c>
      <c r="N141" s="14">
        <v>5.1875779910786397</v>
      </c>
      <c r="O141" s="14">
        <v>6.0007154974587502</v>
      </c>
    </row>
    <row r="142" spans="1:15" x14ac:dyDescent="0.3">
      <c r="A142" s="3" t="str">
        <f>INDEX('R1. Scenario specifications'!$C$11:$C$49,MATCH($B142,'R1. Scenario specifications'!$A$11:$A$49,0))</f>
        <v>Current 1.5DS, 2020 start, 'Expect the Unexpected'</v>
      </c>
      <c r="B142" s="3" t="s">
        <v>19</v>
      </c>
      <c r="C142" s="3" t="s">
        <v>73</v>
      </c>
      <c r="D142" s="3" t="s">
        <v>253</v>
      </c>
      <c r="E142" s="14">
        <v>0</v>
      </c>
      <c r="F142" s="14">
        <v>0</v>
      </c>
      <c r="G142" s="14">
        <v>0</v>
      </c>
      <c r="H142" s="14">
        <v>14.208548958880337</v>
      </c>
      <c r="I142" s="14">
        <v>382.99513098868306</v>
      </c>
      <c r="J142" s="14">
        <v>1416.676388516601</v>
      </c>
      <c r="K142" s="14">
        <v>2575.9188899689702</v>
      </c>
      <c r="L142" s="14">
        <v>2773.721019808941</v>
      </c>
      <c r="M142" s="14">
        <v>2634.7111537007645</v>
      </c>
      <c r="N142" s="14">
        <v>3028.1661776664473</v>
      </c>
      <c r="O142" s="14">
        <v>3361.4502236901976</v>
      </c>
    </row>
    <row r="143" spans="1:15" x14ac:dyDescent="0.3">
      <c r="A143" s="3" t="str">
        <f>INDEX('R1. Scenario specifications'!$C$11:$C$49,MATCH($B143,'R1. Scenario specifications'!$A$11:$A$49,0))</f>
        <v>Current 1.5DS, 2020 start, 'Expect the Unexpected'</v>
      </c>
      <c r="B143" s="3" t="s">
        <v>19</v>
      </c>
      <c r="C143" s="3" t="s">
        <v>64</v>
      </c>
      <c r="D143" s="3" t="s">
        <v>254</v>
      </c>
      <c r="E143" s="14">
        <v>1633.0249332809897</v>
      </c>
      <c r="F143" s="14">
        <v>1804.9999999999993</v>
      </c>
      <c r="G143" s="14">
        <v>1804.9999999999993</v>
      </c>
      <c r="H143" s="14">
        <v>1442.4317981122206</v>
      </c>
      <c r="I143" s="14">
        <v>441.54204398431278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</row>
    <row r="144" spans="1:15" x14ac:dyDescent="0.3">
      <c r="A144" s="3" t="str">
        <f>INDEX('R1. Scenario specifications'!$C$11:$C$49,MATCH($B144,'R1. Scenario specifications'!$A$11:$A$49,0))</f>
        <v>Current 1.5DS, 2020 start, 'Expect the Unexpected'</v>
      </c>
      <c r="B144" s="3" t="s">
        <v>19</v>
      </c>
      <c r="C144" s="3" t="s">
        <v>65</v>
      </c>
      <c r="D144" s="3" t="s">
        <v>255</v>
      </c>
      <c r="E144" s="14">
        <v>1008.6224302831477</v>
      </c>
      <c r="F144" s="14">
        <v>1634.5557819505236</v>
      </c>
      <c r="G144" s="14">
        <v>2111.6960266729702</v>
      </c>
      <c r="H144" s="14">
        <v>2318.6932790891588</v>
      </c>
      <c r="I144" s="14">
        <v>1351.1000942863375</v>
      </c>
      <c r="J144" s="14">
        <v>463.85254945403443</v>
      </c>
      <c r="K144" s="14">
        <v>151.3536324494882</v>
      </c>
      <c r="L144" s="14">
        <v>128.2072752894085</v>
      </c>
      <c r="M144" s="14">
        <v>216.10133260867212</v>
      </c>
      <c r="N144" s="14">
        <v>206.4109206252806</v>
      </c>
      <c r="O144" s="14">
        <v>229.07875961427914</v>
      </c>
    </row>
    <row r="145" spans="1:15" x14ac:dyDescent="0.3">
      <c r="A145" s="3" t="str">
        <f>INDEX('R1. Scenario specifications'!$C$11:$C$49,MATCH($B145,'R1. Scenario specifications'!$A$11:$A$49,0))</f>
        <v>Current 1.5DS, 2020 start, 'Expect the Unexpected'</v>
      </c>
      <c r="B145" s="3" t="s">
        <v>19</v>
      </c>
      <c r="C145" s="3" t="s">
        <v>74</v>
      </c>
      <c r="D145" s="3" t="s">
        <v>255</v>
      </c>
      <c r="E145" s="14">
        <v>0</v>
      </c>
      <c r="F145" s="14">
        <v>0</v>
      </c>
      <c r="G145" s="14">
        <v>0</v>
      </c>
      <c r="H145" s="14">
        <v>0.79749604111966599</v>
      </c>
      <c r="I145" s="14">
        <v>144.11586381604124</v>
      </c>
      <c r="J145" s="14">
        <v>1233.4254364775843</v>
      </c>
      <c r="K145" s="14">
        <v>2715.3055881946098</v>
      </c>
      <c r="L145" s="14">
        <v>2994.576014464028</v>
      </c>
      <c r="M145" s="14">
        <v>2260.3806484927536</v>
      </c>
      <c r="N145" s="14">
        <v>1401.0556450589479</v>
      </c>
      <c r="O145" s="14">
        <v>1426.5643207263629</v>
      </c>
    </row>
    <row r="146" spans="1:15" x14ac:dyDescent="0.3">
      <c r="A146" s="3" t="str">
        <f>INDEX('R1. Scenario specifications'!$C$11:$C$49,MATCH($B146,'R1. Scenario specifications'!$A$11:$A$49,0))</f>
        <v>Current 1.5DS, 2020 start, 'Expect the Unexpected'</v>
      </c>
      <c r="B146" s="3" t="s">
        <v>19</v>
      </c>
      <c r="C146" s="3" t="s">
        <v>66</v>
      </c>
      <c r="D146" s="3" t="s">
        <v>258</v>
      </c>
      <c r="E146" s="14">
        <v>31.122062759818384</v>
      </c>
      <c r="F146" s="14">
        <v>28.670816918420648</v>
      </c>
      <c r="G146" s="14">
        <v>113.13800421894352</v>
      </c>
      <c r="H146" s="14">
        <v>229.67395776527772</v>
      </c>
      <c r="I146" s="14">
        <v>845.77399136060444</v>
      </c>
      <c r="J146" s="14">
        <v>980.05379399044898</v>
      </c>
      <c r="K146" s="14">
        <v>975.39074895687008</v>
      </c>
      <c r="L146" s="14">
        <v>860.17696357645491</v>
      </c>
      <c r="M146" s="14">
        <v>392.72293625142407</v>
      </c>
      <c r="N146" s="14">
        <v>591.67751122351001</v>
      </c>
      <c r="O146" s="14">
        <v>803.27953279879807</v>
      </c>
    </row>
    <row r="147" spans="1:15" x14ac:dyDescent="0.3">
      <c r="A147" s="3" t="str">
        <f>INDEX('R1. Scenario specifications'!$C$11:$C$49,MATCH($B147,'R1. Scenario specifications'!$A$11:$A$49,0))</f>
        <v>Current 1.5DS, 2020 start, 'Expect the Unexpected'</v>
      </c>
      <c r="B147" s="3" t="s">
        <v>19</v>
      </c>
      <c r="C147" s="3" t="s">
        <v>67</v>
      </c>
      <c r="D147" s="3" t="s">
        <v>256</v>
      </c>
      <c r="E147" s="14">
        <v>738.24098154394619</v>
      </c>
      <c r="F147" s="14">
        <v>744.22477031191352</v>
      </c>
      <c r="G147" s="14">
        <v>999.8328246673068</v>
      </c>
      <c r="H147" s="14">
        <v>1214.3665733356884</v>
      </c>
      <c r="I147" s="14">
        <v>1919.5144015202934</v>
      </c>
      <c r="J147" s="14">
        <v>2291.1686563626517</v>
      </c>
      <c r="K147" s="14">
        <v>2703.0849575996372</v>
      </c>
      <c r="L147" s="14">
        <v>2760.0049352415795</v>
      </c>
      <c r="M147" s="14">
        <v>3009.4547639136472</v>
      </c>
      <c r="N147" s="14">
        <v>3272.4544494700558</v>
      </c>
      <c r="O147" s="14">
        <v>3446.5567533485291</v>
      </c>
    </row>
    <row r="148" spans="1:15" x14ac:dyDescent="0.3">
      <c r="A148" s="3" t="str">
        <f>INDEX('R1. Scenario specifications'!$C$11:$C$49,MATCH($B148,'R1. Scenario specifications'!$A$11:$A$49,0))</f>
        <v>Current 1.5DS, 2020 start, 'Expect the Unexpected'</v>
      </c>
      <c r="B148" s="3" t="s">
        <v>19</v>
      </c>
      <c r="C148" s="3" t="s">
        <v>68</v>
      </c>
      <c r="D148" s="3" t="s">
        <v>257</v>
      </c>
      <c r="E148" s="14">
        <v>381.69394199846289</v>
      </c>
      <c r="F148" s="14">
        <v>393.99999999999972</v>
      </c>
      <c r="G148" s="14">
        <v>647.54384646462074</v>
      </c>
      <c r="H148" s="14">
        <v>599.60750408611364</v>
      </c>
      <c r="I148" s="14">
        <v>691.67806406384625</v>
      </c>
      <c r="J148" s="14">
        <v>990.60243055737442</v>
      </c>
      <c r="K148" s="14">
        <v>1100.814303294537</v>
      </c>
      <c r="L148" s="14">
        <v>1169.4452982526345</v>
      </c>
      <c r="M148" s="14">
        <v>1338.6111093862146</v>
      </c>
      <c r="N148" s="14">
        <v>1419.9960160243793</v>
      </c>
      <c r="O148" s="14">
        <v>1482.4943388069476</v>
      </c>
    </row>
    <row r="149" spans="1:15" x14ac:dyDescent="0.3">
      <c r="A149" s="3" t="str">
        <f>INDEX('R1. Scenario specifications'!$C$11:$C$49,MATCH($B149,'R1. Scenario specifications'!$A$11:$A$49,0))</f>
        <v>Current 1.5DS, 2020 start, 'Expect the Unexpected'</v>
      </c>
      <c r="B149" s="3" t="s">
        <v>19</v>
      </c>
      <c r="C149" s="3" t="s">
        <v>69</v>
      </c>
      <c r="D149" s="3" t="s">
        <v>258</v>
      </c>
      <c r="E149" s="14">
        <v>430.81063106061174</v>
      </c>
      <c r="F149" s="14">
        <v>452.4364981864552</v>
      </c>
      <c r="G149" s="14">
        <v>452.8330666776244</v>
      </c>
      <c r="H149" s="14">
        <v>255.46742040872471</v>
      </c>
      <c r="I149" s="14">
        <v>123.89485778287539</v>
      </c>
      <c r="J149" s="14">
        <v>4.1771300829995504</v>
      </c>
      <c r="K149" s="14">
        <v>50.931184389337943</v>
      </c>
      <c r="L149" s="14">
        <v>74.110054268137702</v>
      </c>
      <c r="M149" s="14">
        <v>84.085874688890797</v>
      </c>
      <c r="N149" s="14">
        <v>89.63122417942779</v>
      </c>
      <c r="O149" s="14">
        <v>190.94610690849359</v>
      </c>
    </row>
    <row r="150" spans="1:15" x14ac:dyDescent="0.3">
      <c r="A150" s="3" t="str">
        <f>INDEX('R1. Scenario specifications'!$C$11:$C$49,MATCH($B150,'R1. Scenario specifications'!$A$11:$A$49,0))</f>
        <v>Current 1.5DS, 2020 start, 'Expect the Unexpected'</v>
      </c>
      <c r="B150" s="3" t="s">
        <v>19</v>
      </c>
      <c r="C150" s="3" t="s">
        <v>70</v>
      </c>
      <c r="D150" s="3" t="s">
        <v>259</v>
      </c>
      <c r="E150" s="14">
        <v>13.930776255707762</v>
      </c>
      <c r="F150" s="14">
        <v>96.560908546679059</v>
      </c>
      <c r="G150" s="14">
        <v>193.62720812488871</v>
      </c>
      <c r="H150" s="14">
        <v>930.74276095692392</v>
      </c>
      <c r="I150" s="14">
        <v>3761.1484963536404</v>
      </c>
      <c r="J150" s="14">
        <v>8968.3657339885394</v>
      </c>
      <c r="K150" s="14">
        <v>14506.89519179259</v>
      </c>
      <c r="L150" s="14">
        <v>15019.535938367097</v>
      </c>
      <c r="M150" s="14">
        <v>17663.826318592844</v>
      </c>
      <c r="N150" s="14">
        <v>20462.757543572854</v>
      </c>
      <c r="O150" s="14">
        <v>23642.96839122054</v>
      </c>
    </row>
    <row r="151" spans="1:15" x14ac:dyDescent="0.3">
      <c r="A151" s="3" t="str">
        <f>INDEX('R1. Scenario specifications'!$C$11:$C$49,MATCH($B151,'R1. Scenario specifications'!$A$11:$A$49,0))</f>
        <v>Current 1.5DS, 2020 start, 'Expect the Unexpected'</v>
      </c>
      <c r="B151" s="3" t="s">
        <v>19</v>
      </c>
      <c r="C151" s="3" t="s">
        <v>71</v>
      </c>
      <c r="D151" s="3" t="s">
        <v>259</v>
      </c>
      <c r="E151" s="14">
        <v>11.2241111111111</v>
      </c>
      <c r="F151" s="14">
        <v>12.249511111111101</v>
      </c>
      <c r="G151" s="14">
        <v>13.0611055551111</v>
      </c>
      <c r="H151" s="14">
        <v>18.262489251516165</v>
      </c>
      <c r="I151" s="14">
        <v>110.958105514314</v>
      </c>
      <c r="J151" s="14">
        <v>238.43317751469331</v>
      </c>
      <c r="K151" s="14">
        <v>360.36614226047152</v>
      </c>
      <c r="L151" s="14">
        <v>360.3624768504078</v>
      </c>
      <c r="M151" s="14">
        <v>360.35900572747272</v>
      </c>
      <c r="N151" s="14">
        <v>360.35580572747278</v>
      </c>
      <c r="O151" s="14">
        <v>360.35262555332162</v>
      </c>
    </row>
    <row r="152" spans="1:15" x14ac:dyDescent="0.3">
      <c r="A152" s="3" t="str">
        <f>INDEX('R1. Scenario specifications'!$C$11:$C$49,MATCH($B152,'R1. Scenario specifications'!$A$11:$A$49,0))</f>
        <v>Current 1.5DS, 2020 start, 'Expect the Unexpected'</v>
      </c>
      <c r="B152" s="3" t="s">
        <v>19</v>
      </c>
      <c r="C152" s="3" t="s">
        <v>75</v>
      </c>
      <c r="D152" s="3" t="s">
        <v>258</v>
      </c>
      <c r="E152" s="14">
        <v>0.31124745380476826</v>
      </c>
      <c r="F152" s="14">
        <v>0.28314462712947408</v>
      </c>
      <c r="G152" s="14">
        <v>0.23818010444900301</v>
      </c>
      <c r="H152" s="14">
        <v>0.15878673629933501</v>
      </c>
      <c r="I152" s="14">
        <v>7.9393368149667701E-2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</row>
    <row r="153" spans="1:15" x14ac:dyDescent="0.3">
      <c r="A153" s="3" t="str">
        <f>INDEX('R1. Scenario specifications'!$C$11:$C$49,MATCH($B153,'R1. Scenario specifications'!$A$11:$A$49,0))</f>
        <v>Current 1.5DS, 2020 start, 'Expect the Unexpected'</v>
      </c>
      <c r="B153" s="3" t="s">
        <v>19</v>
      </c>
      <c r="C153" s="3" t="s">
        <v>72</v>
      </c>
      <c r="D153" s="3" t="s">
        <v>260</v>
      </c>
      <c r="E153" s="14">
        <v>217.76839471634247</v>
      </c>
      <c r="F153" s="14">
        <v>242.99857406704328</v>
      </c>
      <c r="G153" s="14">
        <v>365.36686102816424</v>
      </c>
      <c r="H153" s="14">
        <v>1756.2662000926357</v>
      </c>
      <c r="I153" s="14">
        <v>3923.3769027875042</v>
      </c>
      <c r="J153" s="14">
        <v>8485.8544581431051</v>
      </c>
      <c r="K153" s="14">
        <v>12182.348798492818</v>
      </c>
      <c r="L153" s="14">
        <v>10523.847314654171</v>
      </c>
      <c r="M153" s="14">
        <v>14576.416539366483</v>
      </c>
      <c r="N153" s="14">
        <v>19509.235755916077</v>
      </c>
      <c r="O153" s="14">
        <v>24829.047513303907</v>
      </c>
    </row>
    <row r="154" spans="1:15" x14ac:dyDescent="0.3">
      <c r="A154" s="3" t="str">
        <f>INDEX('R1. Scenario specifications'!$C$11:$C$49,MATCH($B154,'R1. Scenario specifications'!$A$11:$A$49,0))</f>
        <v>Current 1.5DS, 2030 start, 'Expect the Unexpected'</v>
      </c>
      <c r="B154" s="3" t="s">
        <v>20</v>
      </c>
      <c r="C154" s="3" t="s">
        <v>63</v>
      </c>
      <c r="D154" s="3" t="s">
        <v>253</v>
      </c>
      <c r="E154" s="14">
        <v>19.526838931037336</v>
      </c>
      <c r="F154" s="14">
        <v>26.141237482570887</v>
      </c>
      <c r="G154" s="14">
        <v>117.10981417316707</v>
      </c>
      <c r="H154" s="14">
        <v>412.30855682261659</v>
      </c>
      <c r="I154" s="14">
        <v>1112.4444890133204</v>
      </c>
      <c r="J154" s="14">
        <v>1019.6384738246805</v>
      </c>
      <c r="K154" s="14">
        <v>735.5273548797677</v>
      </c>
      <c r="L154" s="14">
        <v>25.88008495142061</v>
      </c>
      <c r="M154" s="14">
        <v>27.257875300464498</v>
      </c>
      <c r="N154" s="14">
        <v>16.31650607676108</v>
      </c>
      <c r="O154" s="14">
        <v>16.31650607676108</v>
      </c>
    </row>
    <row r="155" spans="1:15" x14ac:dyDescent="0.3">
      <c r="A155" s="3" t="str">
        <f>INDEX('R1. Scenario specifications'!$C$11:$C$49,MATCH($B155,'R1. Scenario specifications'!$A$11:$A$49,0))</f>
        <v>Current 1.5DS, 2030 start, 'Expect the Unexpected'</v>
      </c>
      <c r="B155" s="3" t="s">
        <v>20</v>
      </c>
      <c r="C155" s="3" t="s">
        <v>73</v>
      </c>
      <c r="D155" s="3" t="s">
        <v>253</v>
      </c>
      <c r="E155" s="14">
        <v>0</v>
      </c>
      <c r="F155" s="14">
        <v>0</v>
      </c>
      <c r="G155" s="14">
        <v>0</v>
      </c>
      <c r="H155" s="14">
        <v>0</v>
      </c>
      <c r="I155" s="14">
        <v>12.007065105026241</v>
      </c>
      <c r="J155" s="14">
        <v>898.63812981620231</v>
      </c>
      <c r="K155" s="14">
        <v>2981.2550274929345</v>
      </c>
      <c r="L155" s="14">
        <v>4207.9867591258189</v>
      </c>
      <c r="M155" s="14">
        <v>3377.9346925229106</v>
      </c>
      <c r="N155" s="14">
        <v>1969.1188908100657</v>
      </c>
      <c r="O155" s="14">
        <v>2350.9763055648164</v>
      </c>
    </row>
    <row r="156" spans="1:15" x14ac:dyDescent="0.3">
      <c r="A156" s="3" t="str">
        <f>INDEX('R1. Scenario specifications'!$C$11:$C$49,MATCH($B156,'R1. Scenario specifications'!$A$11:$A$49,0))</f>
        <v>Current 1.5DS, 2030 start, 'Expect the Unexpected'</v>
      </c>
      <c r="B156" s="3" t="s">
        <v>20</v>
      </c>
      <c r="C156" s="3" t="s">
        <v>64</v>
      </c>
      <c r="D156" s="3" t="s">
        <v>254</v>
      </c>
      <c r="E156" s="14">
        <v>1633.0249332809897</v>
      </c>
      <c r="F156" s="14">
        <v>1804.9999999999993</v>
      </c>
      <c r="G156" s="14">
        <v>1804.9999999999993</v>
      </c>
      <c r="H156" s="14">
        <v>1458.8285858367421</v>
      </c>
      <c r="I156" s="14">
        <v>457.93883170883436</v>
      </c>
      <c r="J156" s="14">
        <v>16.396787724521602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</row>
    <row r="157" spans="1:15" x14ac:dyDescent="0.3">
      <c r="A157" s="3" t="str">
        <f>INDEX('R1. Scenario specifications'!$C$11:$C$49,MATCH($B157,'R1. Scenario specifications'!$A$11:$A$49,0))</f>
        <v>Current 1.5DS, 2030 start, 'Expect the Unexpected'</v>
      </c>
      <c r="B157" s="3" t="s">
        <v>20</v>
      </c>
      <c r="C157" s="3" t="s">
        <v>65</v>
      </c>
      <c r="D157" s="3" t="s">
        <v>255</v>
      </c>
      <c r="E157" s="14">
        <v>1008.6224302831477</v>
      </c>
      <c r="F157" s="14">
        <v>1634.5557819505236</v>
      </c>
      <c r="G157" s="14">
        <v>2111.6960266729702</v>
      </c>
      <c r="H157" s="14">
        <v>1960.1606269560627</v>
      </c>
      <c r="I157" s="14">
        <v>1250.1189183181866</v>
      </c>
      <c r="J157" s="14">
        <v>416.24446678331361</v>
      </c>
      <c r="K157" s="14">
        <v>433.32220831929885</v>
      </c>
      <c r="L157" s="14">
        <v>256.76917327249379</v>
      </c>
      <c r="M157" s="14">
        <v>630.90917085982198</v>
      </c>
      <c r="N157" s="14">
        <v>780.28990505840125</v>
      </c>
      <c r="O157" s="14">
        <v>651.77301867704227</v>
      </c>
    </row>
    <row r="158" spans="1:15" x14ac:dyDescent="0.3">
      <c r="A158" s="3" t="str">
        <f>INDEX('R1. Scenario specifications'!$C$11:$C$49,MATCH($B158,'R1. Scenario specifications'!$A$11:$A$49,0))</f>
        <v>Current 1.5DS, 2030 start, 'Expect the Unexpected'</v>
      </c>
      <c r="B158" s="3" t="s">
        <v>20</v>
      </c>
      <c r="C158" s="3" t="s">
        <v>74</v>
      </c>
      <c r="D158" s="3" t="s">
        <v>255</v>
      </c>
      <c r="E158" s="14">
        <v>0</v>
      </c>
      <c r="F158" s="14">
        <v>0</v>
      </c>
      <c r="G158" s="14">
        <v>0</v>
      </c>
      <c r="H158" s="14">
        <v>0</v>
      </c>
      <c r="I158" s="14">
        <v>2.9989798949737621</v>
      </c>
      <c r="J158" s="14">
        <v>382.75150698885011</v>
      </c>
      <c r="K158" s="14">
        <v>1285.8520620906143</v>
      </c>
      <c r="L158" s="14">
        <v>1823.1214825640438</v>
      </c>
      <c r="M158" s="14">
        <v>1443.3689554701677</v>
      </c>
      <c r="N158" s="14">
        <v>594.69955591633072</v>
      </c>
      <c r="O158" s="14">
        <v>161.16606012559251</v>
      </c>
    </row>
    <row r="159" spans="1:15" x14ac:dyDescent="0.3">
      <c r="A159" s="3" t="str">
        <f>INDEX('R1. Scenario specifications'!$C$11:$C$49,MATCH($B159,'R1. Scenario specifications'!$A$11:$A$49,0))</f>
        <v>Current 1.5DS, 2030 start, 'Expect the Unexpected'</v>
      </c>
      <c r="B159" s="3" t="s">
        <v>20</v>
      </c>
      <c r="C159" s="3" t="s">
        <v>66</v>
      </c>
      <c r="D159" s="3" t="s">
        <v>258</v>
      </c>
      <c r="E159" s="14">
        <v>31.122062759818384</v>
      </c>
      <c r="F159" s="14">
        <v>28.670816918420648</v>
      </c>
      <c r="G159" s="14">
        <v>113.13800421894352</v>
      </c>
      <c r="H159" s="14">
        <v>158.43269338625092</v>
      </c>
      <c r="I159" s="14">
        <v>544.31709912579265</v>
      </c>
      <c r="J159" s="14">
        <v>1230.2818927144322</v>
      </c>
      <c r="K159" s="14">
        <v>1219.7752903579953</v>
      </c>
      <c r="L159" s="14">
        <v>1168.638711893165</v>
      </c>
      <c r="M159" s="14">
        <v>798.1058011851735</v>
      </c>
      <c r="N159" s="14">
        <v>251.02659558029274</v>
      </c>
      <c r="O159" s="14">
        <v>360.64325591036697</v>
      </c>
    </row>
    <row r="160" spans="1:15" x14ac:dyDescent="0.3">
      <c r="A160" s="3" t="str">
        <f>INDEX('R1. Scenario specifications'!$C$11:$C$49,MATCH($B160,'R1. Scenario specifications'!$A$11:$A$49,0))</f>
        <v>Current 1.5DS, 2030 start, 'Expect the Unexpected'</v>
      </c>
      <c r="B160" s="3" t="s">
        <v>20</v>
      </c>
      <c r="C160" s="3" t="s">
        <v>67</v>
      </c>
      <c r="D160" s="3" t="s">
        <v>256</v>
      </c>
      <c r="E160" s="14">
        <v>738.24098154394619</v>
      </c>
      <c r="F160" s="14">
        <v>744.22477031191352</v>
      </c>
      <c r="G160" s="14">
        <v>999.8328246673068</v>
      </c>
      <c r="H160" s="14">
        <v>1153.8656291758321</v>
      </c>
      <c r="I160" s="14">
        <v>1386.4312689050046</v>
      </c>
      <c r="J160" s="14">
        <v>2144.602778070092</v>
      </c>
      <c r="K160" s="14">
        <v>2936.4303906375808</v>
      </c>
      <c r="L160" s="14">
        <v>2945.2393039073186</v>
      </c>
      <c r="M160" s="14">
        <v>2959.873723372214</v>
      </c>
      <c r="N160" s="14">
        <v>3089.1740713684212</v>
      </c>
      <c r="O160" s="14">
        <v>3271.507227424092</v>
      </c>
    </row>
    <row r="161" spans="1:15" x14ac:dyDescent="0.3">
      <c r="A161" s="3" t="str">
        <f>INDEX('R1. Scenario specifications'!$C$11:$C$49,MATCH($B161,'R1. Scenario specifications'!$A$11:$A$49,0))</f>
        <v>Current 1.5DS, 2030 start, 'Expect the Unexpected'</v>
      </c>
      <c r="B161" s="3" t="s">
        <v>20</v>
      </c>
      <c r="C161" s="3" t="s">
        <v>68</v>
      </c>
      <c r="D161" s="3" t="s">
        <v>257</v>
      </c>
      <c r="E161" s="14">
        <v>381.69394199846289</v>
      </c>
      <c r="F161" s="14">
        <v>393.99999999999972</v>
      </c>
      <c r="G161" s="14">
        <v>647.54384646462074</v>
      </c>
      <c r="H161" s="14">
        <v>599.60750408611364</v>
      </c>
      <c r="I161" s="14">
        <v>574.22438013504609</v>
      </c>
      <c r="J161" s="14">
        <v>865.42213252872932</v>
      </c>
      <c r="K161" s="14">
        <v>987.90066871605632</v>
      </c>
      <c r="L161" s="14">
        <v>1069.1791489920295</v>
      </c>
      <c r="M161" s="14">
        <v>1126.053216288823</v>
      </c>
      <c r="N161" s="14">
        <v>1282.1664660702579</v>
      </c>
      <c r="O161" s="14">
        <v>1231.2387743932868</v>
      </c>
    </row>
    <row r="162" spans="1:15" x14ac:dyDescent="0.3">
      <c r="A162" s="3" t="str">
        <f>INDEX('R1. Scenario specifications'!$C$11:$C$49,MATCH($B162,'R1. Scenario specifications'!$A$11:$A$49,0))</f>
        <v>Current 1.5DS, 2030 start, 'Expect the Unexpected'</v>
      </c>
      <c r="B162" s="3" t="s">
        <v>20</v>
      </c>
      <c r="C162" s="3" t="s">
        <v>69</v>
      </c>
      <c r="D162" s="3" t="s">
        <v>258</v>
      </c>
      <c r="E162" s="14">
        <v>430.81063106061174</v>
      </c>
      <c r="F162" s="14">
        <v>452.4364981864552</v>
      </c>
      <c r="G162" s="14">
        <v>452.8330666776244</v>
      </c>
      <c r="H162" s="14">
        <v>256.83855764560741</v>
      </c>
      <c r="I162" s="14">
        <v>128.0121706098561</v>
      </c>
      <c r="J162" s="14">
        <v>10.202755411665141</v>
      </c>
      <c r="K162" s="14">
        <v>46.311013586733161</v>
      </c>
      <c r="L162" s="14">
        <v>49.624019637617167</v>
      </c>
      <c r="M162" s="14">
        <v>42.520282770959199</v>
      </c>
      <c r="N162" s="14">
        <v>49.145122224118801</v>
      </c>
      <c r="O162" s="14">
        <v>165.11602868780909</v>
      </c>
    </row>
    <row r="163" spans="1:15" x14ac:dyDescent="0.3">
      <c r="A163" s="3" t="str">
        <f>INDEX('R1. Scenario specifications'!$C$11:$C$49,MATCH($B163,'R1. Scenario specifications'!$A$11:$A$49,0))</f>
        <v>Current 1.5DS, 2030 start, 'Expect the Unexpected'</v>
      </c>
      <c r="B163" s="3" t="s">
        <v>20</v>
      </c>
      <c r="C163" s="3" t="s">
        <v>70</v>
      </c>
      <c r="D163" s="3" t="s">
        <v>259</v>
      </c>
      <c r="E163" s="14">
        <v>13.930776255707762</v>
      </c>
      <c r="F163" s="14">
        <v>96.560908546679059</v>
      </c>
      <c r="G163" s="14">
        <v>193.62720812488871</v>
      </c>
      <c r="H163" s="14">
        <v>564.29121895346805</v>
      </c>
      <c r="I163" s="14">
        <v>2458.1249247745086</v>
      </c>
      <c r="J163" s="14">
        <v>7085.7050018319178</v>
      </c>
      <c r="K163" s="14">
        <v>16723.973348706462</v>
      </c>
      <c r="L163" s="14">
        <v>17044.635339427485</v>
      </c>
      <c r="M163" s="14">
        <v>17105.769610801755</v>
      </c>
      <c r="N163" s="14">
        <v>18055.247993597382</v>
      </c>
      <c r="O163" s="14">
        <v>18967.1762718262</v>
      </c>
    </row>
    <row r="164" spans="1:15" x14ac:dyDescent="0.3">
      <c r="A164" s="3" t="str">
        <f>INDEX('R1. Scenario specifications'!$C$11:$C$49,MATCH($B164,'R1. Scenario specifications'!$A$11:$A$49,0))</f>
        <v>Current 1.5DS, 2030 start, 'Expect the Unexpected'</v>
      </c>
      <c r="B164" s="3" t="s">
        <v>20</v>
      </c>
      <c r="C164" s="3" t="s">
        <v>71</v>
      </c>
      <c r="D164" s="3" t="s">
        <v>259</v>
      </c>
      <c r="E164" s="14">
        <v>11.2241111111111</v>
      </c>
      <c r="F164" s="14">
        <v>12.249511111111101</v>
      </c>
      <c r="G164" s="14">
        <v>13.0611055551111</v>
      </c>
      <c r="H164" s="14">
        <v>13.059905555111095</v>
      </c>
      <c r="I164" s="14">
        <v>55.923505900220221</v>
      </c>
      <c r="J164" s="14">
        <v>80.104757246367939</v>
      </c>
      <c r="K164" s="14">
        <v>84.502930482797268</v>
      </c>
      <c r="L164" s="14">
        <v>84.544065137687156</v>
      </c>
      <c r="M164" s="14">
        <v>84.540909224111388</v>
      </c>
      <c r="N164" s="14">
        <v>84.538010697277954</v>
      </c>
      <c r="O164" s="14">
        <v>84.535210697277947</v>
      </c>
    </row>
    <row r="165" spans="1:15" x14ac:dyDescent="0.3">
      <c r="A165" s="3" t="str">
        <f>INDEX('R1. Scenario specifications'!$C$11:$C$49,MATCH($B165,'R1. Scenario specifications'!$A$11:$A$49,0))</f>
        <v>Current 1.5DS, 2030 start, 'Expect the Unexpected'</v>
      </c>
      <c r="B165" s="3" t="s">
        <v>20</v>
      </c>
      <c r="C165" s="3" t="s">
        <v>75</v>
      </c>
      <c r="D165" s="3" t="s">
        <v>258</v>
      </c>
      <c r="E165" s="14">
        <v>0.31124745380476826</v>
      </c>
      <c r="F165" s="14">
        <v>0.28314462712947408</v>
      </c>
      <c r="G165" s="14">
        <v>0.23818010444900301</v>
      </c>
      <c r="H165" s="14">
        <v>0.15878673629933501</v>
      </c>
      <c r="I165" s="14">
        <v>7.9393368149667701E-2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</row>
    <row r="166" spans="1:15" x14ac:dyDescent="0.3">
      <c r="A166" s="3" t="str">
        <f>INDEX('R1. Scenario specifications'!$C$11:$C$49,MATCH($B166,'R1. Scenario specifications'!$A$11:$A$49,0))</f>
        <v>Current 1.5DS, 2030 start, 'Expect the Unexpected'</v>
      </c>
      <c r="B166" s="3" t="s">
        <v>20</v>
      </c>
      <c r="C166" s="3" t="s">
        <v>72</v>
      </c>
      <c r="D166" s="3" t="s">
        <v>260</v>
      </c>
      <c r="E166" s="14">
        <v>217.76839471634247</v>
      </c>
      <c r="F166" s="14">
        <v>242.99857406704328</v>
      </c>
      <c r="G166" s="14">
        <v>365.36686102816424</v>
      </c>
      <c r="H166" s="14">
        <v>1381.7602614741115</v>
      </c>
      <c r="I166" s="14">
        <v>3106.2767483514835</v>
      </c>
      <c r="J166" s="14">
        <v>6646.6061428523481</v>
      </c>
      <c r="K166" s="14">
        <v>14149.908270662498</v>
      </c>
      <c r="L166" s="14">
        <v>11403.385522061219</v>
      </c>
      <c r="M166" s="14">
        <v>9584.654171149743</v>
      </c>
      <c r="N166" s="14">
        <v>12753.940430538991</v>
      </c>
      <c r="O166" s="14">
        <v>15944.866312960339</v>
      </c>
    </row>
    <row r="167" spans="1:15" x14ac:dyDescent="0.3">
      <c r="A167" s="3" t="str">
        <f>INDEX('R1. Scenario specifications'!$C$11:$C$49,MATCH($B167,'R1. Scenario specifications'!$A$11:$A$49,0))</f>
        <v>Current 1.5DS, 2020 start, 'Expect the Unexpected' but with cheap renewables</v>
      </c>
      <c r="B167" s="3" t="s">
        <v>21</v>
      </c>
      <c r="C167" s="3" t="s">
        <v>63</v>
      </c>
      <c r="D167" s="3" t="s">
        <v>253</v>
      </c>
      <c r="E167" s="14">
        <v>19.526838931037336</v>
      </c>
      <c r="F167" s="14">
        <v>26.141237482570887</v>
      </c>
      <c r="G167" s="14">
        <v>117.10981417316707</v>
      </c>
      <c r="H167" s="14">
        <v>532.66526070077168</v>
      </c>
      <c r="I167" s="14">
        <v>555.71472819469068</v>
      </c>
      <c r="J167" s="14">
        <v>459.0772259979874</v>
      </c>
      <c r="K167" s="14">
        <v>38.54085033152613</v>
      </c>
      <c r="L167" s="14">
        <v>5.9800450999640198</v>
      </c>
      <c r="M167" s="14">
        <v>6.23678826814748</v>
      </c>
      <c r="N167" s="14">
        <v>6.23678826814748</v>
      </c>
      <c r="O167" s="14">
        <v>6.23678826814748</v>
      </c>
    </row>
    <row r="168" spans="1:15" x14ac:dyDescent="0.3">
      <c r="A168" s="3" t="str">
        <f>INDEX('R1. Scenario specifications'!$C$11:$C$49,MATCH($B168,'R1. Scenario specifications'!$A$11:$A$49,0))</f>
        <v>Current 1.5DS, 2020 start, 'Expect the Unexpected' but with cheap renewables</v>
      </c>
      <c r="B168" s="3" t="s">
        <v>21</v>
      </c>
      <c r="C168" s="3" t="s">
        <v>73</v>
      </c>
      <c r="D168" s="3" t="s">
        <v>253</v>
      </c>
      <c r="E168" s="14">
        <v>0</v>
      </c>
      <c r="F168" s="14">
        <v>0</v>
      </c>
      <c r="G168" s="14">
        <v>0</v>
      </c>
      <c r="H168" s="14">
        <v>14.511077334403916</v>
      </c>
      <c r="I168" s="14">
        <v>394.14841294989606</v>
      </c>
      <c r="J168" s="14">
        <v>1441.3248590448809</v>
      </c>
      <c r="K168" s="14">
        <v>2680.2205250012216</v>
      </c>
      <c r="L168" s="14">
        <v>2968.8614820467806</v>
      </c>
      <c r="M168" s="14">
        <v>2680.4047726048739</v>
      </c>
      <c r="N168" s="14">
        <v>2981.9599078835345</v>
      </c>
      <c r="O168" s="14">
        <v>3331.1971720636038</v>
      </c>
    </row>
    <row r="169" spans="1:15" x14ac:dyDescent="0.3">
      <c r="A169" s="3" t="str">
        <f>INDEX('R1. Scenario specifications'!$C$11:$C$49,MATCH($B169,'R1. Scenario specifications'!$A$11:$A$49,0))</f>
        <v>Current 1.5DS, 2020 start, 'Expect the Unexpected' but with cheap renewables</v>
      </c>
      <c r="B169" s="3" t="s">
        <v>21</v>
      </c>
      <c r="C169" s="3" t="s">
        <v>64</v>
      </c>
      <c r="D169" s="3" t="s">
        <v>254</v>
      </c>
      <c r="E169" s="14">
        <v>1633.0249332809897</v>
      </c>
      <c r="F169" s="14">
        <v>1804.9999999999993</v>
      </c>
      <c r="G169" s="14">
        <v>1804.9999999999993</v>
      </c>
      <c r="H169" s="14">
        <v>1442.4317981122206</v>
      </c>
      <c r="I169" s="14">
        <v>441.54204398431278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</row>
    <row r="170" spans="1:15" x14ac:dyDescent="0.3">
      <c r="A170" s="3" t="str">
        <f>INDEX('R1. Scenario specifications'!$C$11:$C$49,MATCH($B170,'R1. Scenario specifications'!$A$11:$A$49,0))</f>
        <v>Current 1.5DS, 2020 start, 'Expect the Unexpected' but with cheap renewables</v>
      </c>
      <c r="B170" s="3" t="s">
        <v>21</v>
      </c>
      <c r="C170" s="3" t="s">
        <v>65</v>
      </c>
      <c r="D170" s="3" t="s">
        <v>255</v>
      </c>
      <c r="E170" s="14">
        <v>1008.6224302831477</v>
      </c>
      <c r="F170" s="14">
        <v>1634.5557819505236</v>
      </c>
      <c r="G170" s="14">
        <v>2111.6960266729702</v>
      </c>
      <c r="H170" s="14">
        <v>2257.4200793498035</v>
      </c>
      <c r="I170" s="14">
        <v>1284.0686169341482</v>
      </c>
      <c r="J170" s="14">
        <v>389.64066177714034</v>
      </c>
      <c r="K170" s="14">
        <v>247.6319063562641</v>
      </c>
      <c r="L170" s="14">
        <v>184.60926290858279</v>
      </c>
      <c r="M170" s="14">
        <v>244.70284895562048</v>
      </c>
      <c r="N170" s="14">
        <v>213.83240398149542</v>
      </c>
      <c r="O170" s="14">
        <v>221.3833688278711</v>
      </c>
    </row>
    <row r="171" spans="1:15" x14ac:dyDescent="0.3">
      <c r="A171" s="3" t="str">
        <f>INDEX('R1. Scenario specifications'!$C$11:$C$49,MATCH($B171,'R1. Scenario specifications'!$A$11:$A$49,0))</f>
        <v>Current 1.5DS, 2020 start, 'Expect the Unexpected' but with cheap renewables</v>
      </c>
      <c r="B171" s="3" t="s">
        <v>21</v>
      </c>
      <c r="C171" s="3" t="s">
        <v>74</v>
      </c>
      <c r="D171" s="3" t="s">
        <v>255</v>
      </c>
      <c r="E171" s="14">
        <v>0</v>
      </c>
      <c r="F171" s="14">
        <v>0</v>
      </c>
      <c r="G171" s="14">
        <v>0</v>
      </c>
      <c r="H171" s="14">
        <v>0.49496766559608701</v>
      </c>
      <c r="I171" s="14">
        <v>115.20071152121255</v>
      </c>
      <c r="J171" s="14">
        <v>1047.6351365956225</v>
      </c>
      <c r="K171" s="14">
        <v>2351.1422997395116</v>
      </c>
      <c r="L171" s="14">
        <v>2620.3225321402469</v>
      </c>
      <c r="M171" s="14">
        <v>1954.7478998673382</v>
      </c>
      <c r="N171" s="14">
        <v>1261.8516746740506</v>
      </c>
      <c r="O171" s="14">
        <v>1396.5603958057611</v>
      </c>
    </row>
    <row r="172" spans="1:15" x14ac:dyDescent="0.3">
      <c r="A172" s="3" t="str">
        <f>INDEX('R1. Scenario specifications'!$C$11:$C$49,MATCH($B172,'R1. Scenario specifications'!$A$11:$A$49,0))</f>
        <v>Current 1.5DS, 2020 start, 'Expect the Unexpected' but with cheap renewables</v>
      </c>
      <c r="B172" s="3" t="s">
        <v>21</v>
      </c>
      <c r="C172" s="3" t="s">
        <v>66</v>
      </c>
      <c r="D172" s="3" t="s">
        <v>258</v>
      </c>
      <c r="E172" s="14">
        <v>31.122062759818384</v>
      </c>
      <c r="F172" s="14">
        <v>28.670816918420648</v>
      </c>
      <c r="G172" s="14">
        <v>113.13800421894352</v>
      </c>
      <c r="H172" s="14">
        <v>221.8934861480449</v>
      </c>
      <c r="I172" s="14">
        <v>820.4786985948158</v>
      </c>
      <c r="J172" s="14">
        <v>1022.9427315542418</v>
      </c>
      <c r="K172" s="14">
        <v>1012.436129197805</v>
      </c>
      <c r="L172" s="14">
        <v>899.87097634381701</v>
      </c>
      <c r="M172" s="14">
        <v>452.19410926179057</v>
      </c>
      <c r="N172" s="14">
        <v>598.25853479709394</v>
      </c>
      <c r="O172" s="14">
        <v>765.53218976231381</v>
      </c>
    </row>
    <row r="173" spans="1:15" x14ac:dyDescent="0.3">
      <c r="A173" s="3" t="str">
        <f>INDEX('R1. Scenario specifications'!$C$11:$C$49,MATCH($B173,'R1. Scenario specifications'!$A$11:$A$49,0))</f>
        <v>Current 1.5DS, 2020 start, 'Expect the Unexpected' but with cheap renewables</v>
      </c>
      <c r="B173" s="3" t="s">
        <v>21</v>
      </c>
      <c r="C173" s="3" t="s">
        <v>67</v>
      </c>
      <c r="D173" s="3" t="s">
        <v>256</v>
      </c>
      <c r="E173" s="14">
        <v>738.24098154394619</v>
      </c>
      <c r="F173" s="14">
        <v>744.22477031191352</v>
      </c>
      <c r="G173" s="14">
        <v>999.8328246673068</v>
      </c>
      <c r="H173" s="14">
        <v>1208.0465440547825</v>
      </c>
      <c r="I173" s="14">
        <v>1956.0054936370125</v>
      </c>
      <c r="J173" s="14">
        <v>2454.7004826744314</v>
      </c>
      <c r="K173" s="14">
        <v>2776.518805618598</v>
      </c>
      <c r="L173" s="14">
        <v>2832.0766467761914</v>
      </c>
      <c r="M173" s="14">
        <v>3020.738129989209</v>
      </c>
      <c r="N173" s="14">
        <v>3360.236397157159</v>
      </c>
      <c r="O173" s="14">
        <v>3455.5454879784434</v>
      </c>
    </row>
    <row r="174" spans="1:15" x14ac:dyDescent="0.3">
      <c r="A174" s="3" t="str">
        <f>INDEX('R1. Scenario specifications'!$C$11:$C$49,MATCH($B174,'R1. Scenario specifications'!$A$11:$A$49,0))</f>
        <v>Current 1.5DS, 2020 start, 'Expect the Unexpected' but with cheap renewables</v>
      </c>
      <c r="B174" s="3" t="s">
        <v>21</v>
      </c>
      <c r="C174" s="3" t="s">
        <v>68</v>
      </c>
      <c r="D174" s="3" t="s">
        <v>257</v>
      </c>
      <c r="E174" s="14">
        <v>381.69394199846289</v>
      </c>
      <c r="F174" s="14">
        <v>393.99999999999972</v>
      </c>
      <c r="G174" s="14">
        <v>647.54384646462074</v>
      </c>
      <c r="H174" s="14">
        <v>599.60750408611364</v>
      </c>
      <c r="I174" s="14">
        <v>693.29347120334432</v>
      </c>
      <c r="J174" s="14">
        <v>1012.303964168083</v>
      </c>
      <c r="K174" s="14">
        <v>1102.4775177965387</v>
      </c>
      <c r="L174" s="14">
        <v>1171.4584117175759</v>
      </c>
      <c r="M174" s="14">
        <v>1309.0241171414762</v>
      </c>
      <c r="N174" s="14">
        <v>1414.9596137707385</v>
      </c>
      <c r="O174" s="14">
        <v>1471.5647039666014</v>
      </c>
    </row>
    <row r="175" spans="1:15" x14ac:dyDescent="0.3">
      <c r="A175" s="3" t="str">
        <f>INDEX('R1. Scenario specifications'!$C$11:$C$49,MATCH($B175,'R1. Scenario specifications'!$A$11:$A$49,0))</f>
        <v>Current 1.5DS, 2020 start, 'Expect the Unexpected' but with cheap renewables</v>
      </c>
      <c r="B175" s="3" t="s">
        <v>21</v>
      </c>
      <c r="C175" s="3" t="s">
        <v>69</v>
      </c>
      <c r="D175" s="3" t="s">
        <v>258</v>
      </c>
      <c r="E175" s="14">
        <v>430.81063106061174</v>
      </c>
      <c r="F175" s="14">
        <v>452.4364981864552</v>
      </c>
      <c r="G175" s="14">
        <v>452.8330666776244</v>
      </c>
      <c r="H175" s="14">
        <v>267.91150505078895</v>
      </c>
      <c r="I175" s="14">
        <v>138.70441542585831</v>
      </c>
      <c r="J175" s="14">
        <v>2.36547300091864</v>
      </c>
      <c r="K175" s="14">
        <v>50.505152412354704</v>
      </c>
      <c r="L175" s="14">
        <v>73.175676269001698</v>
      </c>
      <c r="M175" s="14">
        <v>57.480251559151448</v>
      </c>
      <c r="N175" s="14">
        <v>68.83917523199635</v>
      </c>
      <c r="O175" s="14">
        <v>119.910001144226</v>
      </c>
    </row>
    <row r="176" spans="1:15" x14ac:dyDescent="0.3">
      <c r="A176" s="3" t="str">
        <f>INDEX('R1. Scenario specifications'!$C$11:$C$49,MATCH($B176,'R1. Scenario specifications'!$A$11:$A$49,0))</f>
        <v>Current 1.5DS, 2020 start, 'Expect the Unexpected' but with cheap renewables</v>
      </c>
      <c r="B176" s="3" t="s">
        <v>21</v>
      </c>
      <c r="C176" s="3" t="s">
        <v>70</v>
      </c>
      <c r="D176" s="3" t="s">
        <v>259</v>
      </c>
      <c r="E176" s="14">
        <v>13.930776255707762</v>
      </c>
      <c r="F176" s="14">
        <v>96.560908546679059</v>
      </c>
      <c r="G176" s="14">
        <v>193.62720812488871</v>
      </c>
      <c r="H176" s="14">
        <v>1198.8986369264994</v>
      </c>
      <c r="I176" s="14">
        <v>4469.8767410767614</v>
      </c>
      <c r="J176" s="14">
        <v>10924.511505596114</v>
      </c>
      <c r="K176" s="14">
        <v>15588.597288903578</v>
      </c>
      <c r="L176" s="14">
        <v>15660.46761740012</v>
      </c>
      <c r="M176" s="14">
        <v>17835.510257406237</v>
      </c>
      <c r="N176" s="14">
        <v>20360.788726573057</v>
      </c>
      <c r="O176" s="14">
        <v>23476.315060594996</v>
      </c>
    </row>
    <row r="177" spans="1:15" x14ac:dyDescent="0.3">
      <c r="A177" s="3" t="str">
        <f>INDEX('R1. Scenario specifications'!$C$11:$C$49,MATCH($B177,'R1. Scenario specifications'!$A$11:$A$49,0))</f>
        <v>Current 1.5DS, 2020 start, 'Expect the Unexpected' but with cheap renewables</v>
      </c>
      <c r="B177" s="3" t="s">
        <v>21</v>
      </c>
      <c r="C177" s="3" t="s">
        <v>71</v>
      </c>
      <c r="D177" s="3" t="s">
        <v>259</v>
      </c>
      <c r="E177" s="14">
        <v>11.2241111111111</v>
      </c>
      <c r="F177" s="14">
        <v>12.249511111111101</v>
      </c>
      <c r="G177" s="14">
        <v>13.0611055551111</v>
      </c>
      <c r="H177" s="14">
        <v>13.836511848172716</v>
      </c>
      <c r="I177" s="14">
        <v>81.065203880469781</v>
      </c>
      <c r="J177" s="14">
        <v>434.89731373888554</v>
      </c>
      <c r="K177" s="14">
        <v>434.98915547215552</v>
      </c>
      <c r="L177" s="14">
        <v>434.98534298562919</v>
      </c>
      <c r="M177" s="14">
        <v>434.98186347690978</v>
      </c>
      <c r="N177" s="14">
        <v>434.97866347690984</v>
      </c>
      <c r="O177" s="14">
        <v>434.97546347690974</v>
      </c>
    </row>
    <row r="178" spans="1:15" x14ac:dyDescent="0.3">
      <c r="A178" s="3" t="str">
        <f>INDEX('R1. Scenario specifications'!$C$11:$C$49,MATCH($B178,'R1. Scenario specifications'!$A$11:$A$49,0))</f>
        <v>Current 1.5DS, 2020 start, 'Expect the Unexpected' but with cheap renewables</v>
      </c>
      <c r="B178" s="3" t="s">
        <v>21</v>
      </c>
      <c r="C178" s="3" t="s">
        <v>75</v>
      </c>
      <c r="D178" s="3" t="s">
        <v>258</v>
      </c>
      <c r="E178" s="14">
        <v>0.31124745380476826</v>
      </c>
      <c r="F178" s="14">
        <v>0.28314462712947408</v>
      </c>
      <c r="G178" s="14">
        <v>0.23818010444900301</v>
      </c>
      <c r="H178" s="14">
        <v>0.15878673629933501</v>
      </c>
      <c r="I178" s="14">
        <v>7.9393368149667701E-2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</row>
    <row r="179" spans="1:15" x14ac:dyDescent="0.3">
      <c r="A179" s="3" t="str">
        <f>INDEX('R1. Scenario specifications'!$C$11:$C$49,MATCH($B179,'R1. Scenario specifications'!$A$11:$A$49,0))</f>
        <v>Current 1.5DS, 2020 start, 'Expect the Unexpected' but with cheap renewables</v>
      </c>
      <c r="B179" s="3" t="s">
        <v>21</v>
      </c>
      <c r="C179" s="3" t="s">
        <v>72</v>
      </c>
      <c r="D179" s="3" t="s">
        <v>260</v>
      </c>
      <c r="E179" s="14">
        <v>217.76839471634247</v>
      </c>
      <c r="F179" s="14">
        <v>242.99857406704328</v>
      </c>
      <c r="G179" s="14">
        <v>365.36686102816424</v>
      </c>
      <c r="H179" s="14">
        <v>2262.2657009792456</v>
      </c>
      <c r="I179" s="14">
        <v>4665.4467307190489</v>
      </c>
      <c r="J179" s="14">
        <v>10120.225244488187</v>
      </c>
      <c r="K179" s="14">
        <v>12613.125557447758</v>
      </c>
      <c r="L179" s="14">
        <v>11203.590184444347</v>
      </c>
      <c r="M179" s="14">
        <v>14860.705848442525</v>
      </c>
      <c r="N179" s="14">
        <v>19986.806091394821</v>
      </c>
      <c r="O179" s="14">
        <v>24724.832830092739</v>
      </c>
    </row>
    <row r="180" spans="1:15" x14ac:dyDescent="0.3">
      <c r="A180" s="3" t="str">
        <f>INDEX('R1. Scenario specifications'!$C$11:$C$49,MATCH($B180,'R1. Scenario specifications'!$A$11:$A$49,0))</f>
        <v>Current 1.5DS, 2030 start, 'Expect the Unexpected' but with cheap renewables</v>
      </c>
      <c r="B180" s="3" t="s">
        <v>22</v>
      </c>
      <c r="C180" s="3" t="s">
        <v>63</v>
      </c>
      <c r="D180" s="3" t="s">
        <v>253</v>
      </c>
      <c r="E180" s="14">
        <v>19.526838931037336</v>
      </c>
      <c r="F180" s="14">
        <v>26.141237482570887</v>
      </c>
      <c r="G180" s="14">
        <v>117.10981417316707</v>
      </c>
      <c r="H180" s="14">
        <v>412.30855682261659</v>
      </c>
      <c r="I180" s="14">
        <v>1020.7600360028413</v>
      </c>
      <c r="J180" s="14">
        <v>924.70202742115271</v>
      </c>
      <c r="K180" s="14">
        <v>630.49644449726839</v>
      </c>
      <c r="L180" s="14">
        <v>12.533627579400491</v>
      </c>
      <c r="M180" s="14">
        <v>18.5889598296808</v>
      </c>
      <c r="N180" s="14">
        <v>18.866733726978001</v>
      </c>
      <c r="O180" s="14">
        <v>18.866733726978001</v>
      </c>
    </row>
    <row r="181" spans="1:15" x14ac:dyDescent="0.3">
      <c r="A181" s="3" t="str">
        <f>INDEX('R1. Scenario specifications'!$C$11:$C$49,MATCH($B181,'R1. Scenario specifications'!$A$11:$A$49,0))</f>
        <v>Current 1.5DS, 2030 start, 'Expect the Unexpected' but with cheap renewables</v>
      </c>
      <c r="B181" s="3" t="s">
        <v>22</v>
      </c>
      <c r="C181" s="3" t="s">
        <v>73</v>
      </c>
      <c r="D181" s="3" t="s">
        <v>253</v>
      </c>
      <c r="E181" s="14">
        <v>0</v>
      </c>
      <c r="F181" s="14">
        <v>0</v>
      </c>
      <c r="G181" s="14">
        <v>0</v>
      </c>
      <c r="H181" s="14">
        <v>0</v>
      </c>
      <c r="I181" s="14">
        <v>13.005239000000003</v>
      </c>
      <c r="J181" s="14">
        <v>887.99166252097132</v>
      </c>
      <c r="K181" s="14">
        <v>3121.945707404308</v>
      </c>
      <c r="L181" s="14">
        <v>4561.8711015661274</v>
      </c>
      <c r="M181" s="14">
        <v>3708.1657949482847</v>
      </c>
      <c r="N181" s="14">
        <v>1959.2868991172318</v>
      </c>
      <c r="O181" s="14">
        <v>2289.5682008256999</v>
      </c>
    </row>
    <row r="182" spans="1:15" x14ac:dyDescent="0.3">
      <c r="A182" s="3" t="str">
        <f>INDEX('R1. Scenario specifications'!$C$11:$C$49,MATCH($B182,'R1. Scenario specifications'!$A$11:$A$49,0))</f>
        <v>Current 1.5DS, 2030 start, 'Expect the Unexpected' but with cheap renewables</v>
      </c>
      <c r="B182" s="3" t="s">
        <v>22</v>
      </c>
      <c r="C182" s="3" t="s">
        <v>64</v>
      </c>
      <c r="D182" s="3" t="s">
        <v>254</v>
      </c>
      <c r="E182" s="14">
        <v>1633.0249332809897</v>
      </c>
      <c r="F182" s="14">
        <v>1804.9999999999993</v>
      </c>
      <c r="G182" s="14">
        <v>1804.9999999999993</v>
      </c>
      <c r="H182" s="14">
        <v>1458.8285858367421</v>
      </c>
      <c r="I182" s="14">
        <v>457.93883170883436</v>
      </c>
      <c r="J182" s="14">
        <v>16.396787724521602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</row>
    <row r="183" spans="1:15" x14ac:dyDescent="0.3">
      <c r="A183" s="3" t="str">
        <f>INDEX('R1. Scenario specifications'!$C$11:$C$49,MATCH($B183,'R1. Scenario specifications'!$A$11:$A$49,0))</f>
        <v>Current 1.5DS, 2030 start, 'Expect the Unexpected' but with cheap renewables</v>
      </c>
      <c r="B183" s="3" t="s">
        <v>22</v>
      </c>
      <c r="C183" s="3" t="s">
        <v>65</v>
      </c>
      <c r="D183" s="3" t="s">
        <v>255</v>
      </c>
      <c r="E183" s="14">
        <v>1008.6224302831477</v>
      </c>
      <c r="F183" s="14">
        <v>1634.5557819505236</v>
      </c>
      <c r="G183" s="14">
        <v>2111.6960266729702</v>
      </c>
      <c r="H183" s="14">
        <v>1960.1606269560627</v>
      </c>
      <c r="I183" s="14">
        <v>1238.8694637860374</v>
      </c>
      <c r="J183" s="14">
        <v>409.93604352979042</v>
      </c>
      <c r="K183" s="14">
        <v>422.25738661931388</v>
      </c>
      <c r="L183" s="14">
        <v>174.44388688142254</v>
      </c>
      <c r="M183" s="14">
        <v>540.02440884334055</v>
      </c>
      <c r="N183" s="14">
        <v>880.80092630703894</v>
      </c>
      <c r="O183" s="14">
        <v>824.42997213536307</v>
      </c>
    </row>
    <row r="184" spans="1:15" x14ac:dyDescent="0.3">
      <c r="A184" s="3" t="str">
        <f>INDEX('R1. Scenario specifications'!$C$11:$C$49,MATCH($B184,'R1. Scenario specifications'!$A$11:$A$49,0))</f>
        <v>Current 1.5DS, 2030 start, 'Expect the Unexpected' but with cheap renewables</v>
      </c>
      <c r="B184" s="3" t="s">
        <v>22</v>
      </c>
      <c r="C184" s="3" t="s">
        <v>74</v>
      </c>
      <c r="D184" s="3" t="s">
        <v>255</v>
      </c>
      <c r="E184" s="14">
        <v>0</v>
      </c>
      <c r="F184" s="14">
        <v>0</v>
      </c>
      <c r="G184" s="14">
        <v>0</v>
      </c>
      <c r="H184" s="14">
        <v>0</v>
      </c>
      <c r="I184" s="14">
        <v>2.0008059999999999</v>
      </c>
      <c r="J184" s="14">
        <v>386.25986167590105</v>
      </c>
      <c r="K184" s="14">
        <v>1192.4366604026479</v>
      </c>
      <c r="L184" s="14">
        <v>1597.5864592551134</v>
      </c>
      <c r="M184" s="14">
        <v>1213.327403579211</v>
      </c>
      <c r="N184" s="14">
        <v>407.15060485246448</v>
      </c>
      <c r="O184" s="14">
        <v>95.898768815289898</v>
      </c>
    </row>
    <row r="185" spans="1:15" x14ac:dyDescent="0.3">
      <c r="A185" s="3" t="str">
        <f>INDEX('R1. Scenario specifications'!$C$11:$C$49,MATCH($B185,'R1. Scenario specifications'!$A$11:$A$49,0))</f>
        <v>Current 1.5DS, 2030 start, 'Expect the Unexpected' but with cheap renewables</v>
      </c>
      <c r="B185" s="3" t="s">
        <v>22</v>
      </c>
      <c r="C185" s="3" t="s">
        <v>66</v>
      </c>
      <c r="D185" s="3" t="s">
        <v>258</v>
      </c>
      <c r="E185" s="14">
        <v>31.122062759818384</v>
      </c>
      <c r="F185" s="14">
        <v>28.670816918420648</v>
      </c>
      <c r="G185" s="14">
        <v>113.13800421894352</v>
      </c>
      <c r="H185" s="14">
        <v>158.43269338625092</v>
      </c>
      <c r="I185" s="14">
        <v>504.26808079684292</v>
      </c>
      <c r="J185" s="14">
        <v>1260.2468344500644</v>
      </c>
      <c r="K185" s="14">
        <v>1247.7835069827756</v>
      </c>
      <c r="L185" s="14">
        <v>1196.3729832516676</v>
      </c>
      <c r="M185" s="14">
        <v>867.05105211437717</v>
      </c>
      <c r="N185" s="14">
        <v>243.22053795452587</v>
      </c>
      <c r="O185" s="14">
        <v>346.16913270560929</v>
      </c>
    </row>
    <row r="186" spans="1:15" x14ac:dyDescent="0.3">
      <c r="A186" s="3" t="str">
        <f>INDEX('R1. Scenario specifications'!$C$11:$C$49,MATCH($B186,'R1. Scenario specifications'!$A$11:$A$49,0))</f>
        <v>Current 1.5DS, 2030 start, 'Expect the Unexpected' but with cheap renewables</v>
      </c>
      <c r="B186" s="3" t="s">
        <v>22</v>
      </c>
      <c r="C186" s="3" t="s">
        <v>67</v>
      </c>
      <c r="D186" s="3" t="s">
        <v>256</v>
      </c>
      <c r="E186" s="14">
        <v>738.24098154394619</v>
      </c>
      <c r="F186" s="14">
        <v>744.22477031191352</v>
      </c>
      <c r="G186" s="14">
        <v>999.8328246673068</v>
      </c>
      <c r="H186" s="14">
        <v>1153.8656291758321</v>
      </c>
      <c r="I186" s="14">
        <v>1392.5440088458563</v>
      </c>
      <c r="J186" s="14">
        <v>2236.5890155203774</v>
      </c>
      <c r="K186" s="14">
        <v>2960.9563806613905</v>
      </c>
      <c r="L186" s="14">
        <v>2967.3572032388656</v>
      </c>
      <c r="M186" s="14">
        <v>2970.6554265637778</v>
      </c>
      <c r="N186" s="14">
        <v>3090.2124542005677</v>
      </c>
      <c r="O186" s="14">
        <v>3303.7882699955862</v>
      </c>
    </row>
    <row r="187" spans="1:15" x14ac:dyDescent="0.3">
      <c r="A187" s="3" t="str">
        <f>INDEX('R1. Scenario specifications'!$C$11:$C$49,MATCH($B187,'R1. Scenario specifications'!$A$11:$A$49,0))</f>
        <v>Current 1.5DS, 2030 start, 'Expect the Unexpected' but with cheap renewables</v>
      </c>
      <c r="B187" s="3" t="s">
        <v>22</v>
      </c>
      <c r="C187" s="3" t="s">
        <v>68</v>
      </c>
      <c r="D187" s="3" t="s">
        <v>257</v>
      </c>
      <c r="E187" s="14">
        <v>381.69394199846289</v>
      </c>
      <c r="F187" s="14">
        <v>393.99999999999972</v>
      </c>
      <c r="G187" s="14">
        <v>647.54384646462074</v>
      </c>
      <c r="H187" s="14">
        <v>599.60750408611364</v>
      </c>
      <c r="I187" s="14">
        <v>574.22438013504609</v>
      </c>
      <c r="J187" s="14">
        <v>883.61998191170665</v>
      </c>
      <c r="K187" s="14">
        <v>978.11139051760688</v>
      </c>
      <c r="L187" s="14">
        <v>1064.3640905174634</v>
      </c>
      <c r="M187" s="14">
        <v>1084.7979118117125</v>
      </c>
      <c r="N187" s="14">
        <v>1307.7748424120873</v>
      </c>
      <c r="O187" s="14">
        <v>1246.9448905711536</v>
      </c>
    </row>
    <row r="188" spans="1:15" x14ac:dyDescent="0.3">
      <c r="A188" s="3" t="str">
        <f>INDEX('R1. Scenario specifications'!$C$11:$C$49,MATCH($B188,'R1. Scenario specifications'!$A$11:$A$49,0))</f>
        <v>Current 1.5DS, 2030 start, 'Expect the Unexpected' but with cheap renewables</v>
      </c>
      <c r="B188" s="3" t="s">
        <v>22</v>
      </c>
      <c r="C188" s="3" t="s">
        <v>69</v>
      </c>
      <c r="D188" s="3" t="s">
        <v>258</v>
      </c>
      <c r="E188" s="14">
        <v>430.81063106061174</v>
      </c>
      <c r="F188" s="14">
        <v>452.4364981864552</v>
      </c>
      <c r="G188" s="14">
        <v>452.8330666776244</v>
      </c>
      <c r="H188" s="14">
        <v>256.83855764560741</v>
      </c>
      <c r="I188" s="14">
        <v>126.6265433277169</v>
      </c>
      <c r="J188" s="14">
        <v>1.3605483079588454</v>
      </c>
      <c r="K188" s="14">
        <v>46.390317351262823</v>
      </c>
      <c r="L188" s="14">
        <v>55.825217541835251</v>
      </c>
      <c r="M188" s="14">
        <v>41.571727715559028</v>
      </c>
      <c r="N188" s="14">
        <v>49.156124959374601</v>
      </c>
      <c r="O188" s="14">
        <v>146.97736967393541</v>
      </c>
    </row>
    <row r="189" spans="1:15" x14ac:dyDescent="0.3">
      <c r="A189" s="3" t="str">
        <f>INDEX('R1. Scenario specifications'!$C$11:$C$49,MATCH($B189,'R1. Scenario specifications'!$A$11:$A$49,0))</f>
        <v>Current 1.5DS, 2030 start, 'Expect the Unexpected' but with cheap renewables</v>
      </c>
      <c r="B189" s="3" t="s">
        <v>22</v>
      </c>
      <c r="C189" s="3" t="s">
        <v>70</v>
      </c>
      <c r="D189" s="3" t="s">
        <v>259</v>
      </c>
      <c r="E189" s="14">
        <v>13.930776255707762</v>
      </c>
      <c r="F189" s="14">
        <v>96.560908546679059</v>
      </c>
      <c r="G189" s="14">
        <v>193.62720812488871</v>
      </c>
      <c r="H189" s="14">
        <v>564.29121895346805</v>
      </c>
      <c r="I189" s="14">
        <v>3048.0259065769078</v>
      </c>
      <c r="J189" s="14">
        <v>8333.2666593910344</v>
      </c>
      <c r="K189" s="14">
        <v>17795.920688038364</v>
      </c>
      <c r="L189" s="14">
        <v>17824.47889511456</v>
      </c>
      <c r="M189" s="14">
        <v>17848.394717137402</v>
      </c>
      <c r="N189" s="14">
        <v>19059.235193759643</v>
      </c>
      <c r="O189" s="14">
        <v>19405.18376369484</v>
      </c>
    </row>
    <row r="190" spans="1:15" x14ac:dyDescent="0.3">
      <c r="A190" s="3" t="str">
        <f>INDEX('R1. Scenario specifications'!$C$11:$C$49,MATCH($B190,'R1. Scenario specifications'!$A$11:$A$49,0))</f>
        <v>Current 1.5DS, 2030 start, 'Expect the Unexpected' but with cheap renewables</v>
      </c>
      <c r="B190" s="3" t="s">
        <v>22</v>
      </c>
      <c r="C190" s="3" t="s">
        <v>71</v>
      </c>
      <c r="D190" s="3" t="s">
        <v>259</v>
      </c>
      <c r="E190" s="14">
        <v>11.2241111111111</v>
      </c>
      <c r="F190" s="14">
        <v>12.249511111111101</v>
      </c>
      <c r="G190" s="14">
        <v>13.0611055551111</v>
      </c>
      <c r="H190" s="14">
        <v>13.059905555111095</v>
      </c>
      <c r="I190" s="14">
        <v>71.516339116449004</v>
      </c>
      <c r="J190" s="14">
        <v>76.310822256522997</v>
      </c>
      <c r="K190" s="14">
        <v>86.242901318438967</v>
      </c>
      <c r="L190" s="14">
        <v>86.239210113324717</v>
      </c>
      <c r="M190" s="14">
        <v>86.236054199748963</v>
      </c>
      <c r="N190" s="14">
        <v>86.233155672915515</v>
      </c>
      <c r="O190" s="14">
        <v>86.230355672915493</v>
      </c>
    </row>
    <row r="191" spans="1:15" x14ac:dyDescent="0.3">
      <c r="A191" s="3" t="str">
        <f>INDEX('R1. Scenario specifications'!$C$11:$C$49,MATCH($B191,'R1. Scenario specifications'!$A$11:$A$49,0))</f>
        <v>Current 1.5DS, 2030 start, 'Expect the Unexpected' but with cheap renewables</v>
      </c>
      <c r="B191" s="3" t="s">
        <v>22</v>
      </c>
      <c r="C191" s="3" t="s">
        <v>75</v>
      </c>
      <c r="D191" s="3" t="s">
        <v>258</v>
      </c>
      <c r="E191" s="14">
        <v>0.31124745380476826</v>
      </c>
      <c r="F191" s="14">
        <v>0.28314462712947408</v>
      </c>
      <c r="G191" s="14">
        <v>0.23818010444900301</v>
      </c>
      <c r="H191" s="14">
        <v>0.15878673629933501</v>
      </c>
      <c r="I191" s="14">
        <v>7.9393368149667701E-2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</row>
    <row r="192" spans="1:15" x14ac:dyDescent="0.3">
      <c r="A192" s="3" t="str">
        <f>INDEX('R1. Scenario specifications'!$C$11:$C$49,MATCH($B192,'R1. Scenario specifications'!$A$11:$A$49,0))</f>
        <v>Current 1.5DS, 2030 start, 'Expect the Unexpected' but with cheap renewables</v>
      </c>
      <c r="B192" s="3" t="s">
        <v>22</v>
      </c>
      <c r="C192" s="3" t="s">
        <v>72</v>
      </c>
      <c r="D192" s="3" t="s">
        <v>260</v>
      </c>
      <c r="E192" s="14">
        <v>217.76839471634247</v>
      </c>
      <c r="F192" s="14">
        <v>242.99857406704328</v>
      </c>
      <c r="G192" s="14">
        <v>365.36686102816424</v>
      </c>
      <c r="H192" s="14">
        <v>1381.7602614741115</v>
      </c>
      <c r="I192" s="14">
        <v>3433.2407718817253</v>
      </c>
      <c r="J192" s="14">
        <v>7382.0982269194328</v>
      </c>
      <c r="K192" s="14">
        <v>14739.111396936947</v>
      </c>
      <c r="L192" s="14">
        <v>11701.730338502546</v>
      </c>
      <c r="M192" s="14">
        <v>9941.1109846795352</v>
      </c>
      <c r="N192" s="14">
        <v>12866.807206103242</v>
      </c>
      <c r="O192" s="14">
        <v>16123.125644515392</v>
      </c>
    </row>
    <row r="193" spans="1:15" x14ac:dyDescent="0.3">
      <c r="A193" s="3" t="str">
        <f>INDEX('R1. Scenario specifications'!$C$11:$C$49,MATCH($B193,'R1. Scenario specifications'!$A$11:$A$49,0))</f>
        <v>Current 1.5DS, 2020 start, 'Expect the Unexpected' but with cheap CCS</v>
      </c>
      <c r="B193" s="3" t="s">
        <v>23</v>
      </c>
      <c r="C193" s="3" t="s">
        <v>63</v>
      </c>
      <c r="D193" s="3" t="s">
        <v>253</v>
      </c>
      <c r="E193" s="14">
        <v>19.526838931037336</v>
      </c>
      <c r="F193" s="14">
        <v>26.141237482570887</v>
      </c>
      <c r="G193" s="14">
        <v>117.10981417316707</v>
      </c>
      <c r="H193" s="14">
        <v>604.25484571448635</v>
      </c>
      <c r="I193" s="14">
        <v>735.74923121278994</v>
      </c>
      <c r="J193" s="14">
        <v>638.78551630711661</v>
      </c>
      <c r="K193" s="14">
        <v>146.98576833591005</v>
      </c>
      <c r="L193" s="14">
        <v>5.9800450999640002</v>
      </c>
      <c r="M193" s="14">
        <v>5.5137907000485571</v>
      </c>
      <c r="N193" s="14">
        <v>5.1875779910786397</v>
      </c>
      <c r="O193" s="14">
        <v>6.0007154974587502</v>
      </c>
    </row>
    <row r="194" spans="1:15" x14ac:dyDescent="0.3">
      <c r="A194" s="3" t="str">
        <f>INDEX('R1. Scenario specifications'!$C$11:$C$49,MATCH($B194,'R1. Scenario specifications'!$A$11:$A$49,0))</f>
        <v>Current 1.5DS, 2020 start, 'Expect the Unexpected' but with cheap CCS</v>
      </c>
      <c r="B194" s="3" t="s">
        <v>23</v>
      </c>
      <c r="C194" s="3" t="s">
        <v>73</v>
      </c>
      <c r="D194" s="3" t="s">
        <v>253</v>
      </c>
      <c r="E194" s="14">
        <v>0</v>
      </c>
      <c r="F194" s="14">
        <v>0</v>
      </c>
      <c r="G194" s="14">
        <v>0</v>
      </c>
      <c r="H194" s="14">
        <v>14.208548958880337</v>
      </c>
      <c r="I194" s="14">
        <v>382.99512987826029</v>
      </c>
      <c r="J194" s="14">
        <v>1416.6764144194035</v>
      </c>
      <c r="K194" s="14">
        <v>2575.9188900051768</v>
      </c>
      <c r="L194" s="14">
        <v>2773.7209416327764</v>
      </c>
      <c r="M194" s="14">
        <v>2634.7110612645115</v>
      </c>
      <c r="N194" s="14">
        <v>3028.1661015495702</v>
      </c>
      <c r="O194" s="14">
        <v>3361.4502236589819</v>
      </c>
    </row>
    <row r="195" spans="1:15" x14ac:dyDescent="0.3">
      <c r="A195" s="3" t="str">
        <f>INDEX('R1. Scenario specifications'!$C$11:$C$49,MATCH($B195,'R1. Scenario specifications'!$A$11:$A$49,0))</f>
        <v>Current 1.5DS, 2020 start, 'Expect the Unexpected' but with cheap CCS</v>
      </c>
      <c r="B195" s="3" t="s">
        <v>23</v>
      </c>
      <c r="C195" s="3" t="s">
        <v>64</v>
      </c>
      <c r="D195" s="3" t="s">
        <v>254</v>
      </c>
      <c r="E195" s="14">
        <v>1633.0249332809897</v>
      </c>
      <c r="F195" s="14">
        <v>1804.9999999999993</v>
      </c>
      <c r="G195" s="14">
        <v>1804.9999999999993</v>
      </c>
      <c r="H195" s="14">
        <v>1442.4317981122206</v>
      </c>
      <c r="I195" s="14">
        <v>441.54204398431278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</row>
    <row r="196" spans="1:15" x14ac:dyDescent="0.3">
      <c r="A196" s="3" t="str">
        <f>INDEX('R1. Scenario specifications'!$C$11:$C$49,MATCH($B196,'R1. Scenario specifications'!$A$11:$A$49,0))</f>
        <v>Current 1.5DS, 2020 start, 'Expect the Unexpected' but with cheap CCS</v>
      </c>
      <c r="B196" s="3" t="s">
        <v>23</v>
      </c>
      <c r="C196" s="3" t="s">
        <v>65</v>
      </c>
      <c r="D196" s="3" t="s">
        <v>255</v>
      </c>
      <c r="E196" s="14">
        <v>1008.6224302831477</v>
      </c>
      <c r="F196" s="14">
        <v>1634.5557819505236</v>
      </c>
      <c r="G196" s="14">
        <v>2111.6960266729702</v>
      </c>
      <c r="H196" s="14">
        <v>2318.6932790905398</v>
      </c>
      <c r="I196" s="14">
        <v>1351.1000935612285</v>
      </c>
      <c r="J196" s="14">
        <v>463.85254872892529</v>
      </c>
      <c r="K196" s="14">
        <v>151.35361909042749</v>
      </c>
      <c r="L196" s="14">
        <v>128.2073101707164</v>
      </c>
      <c r="M196" s="14">
        <v>216.10133269452777</v>
      </c>
      <c r="N196" s="14">
        <v>206.41092061940668</v>
      </c>
      <c r="O196" s="14">
        <v>229.07875957480633</v>
      </c>
    </row>
    <row r="197" spans="1:15" x14ac:dyDescent="0.3">
      <c r="A197" s="3" t="str">
        <f>INDEX('R1. Scenario specifications'!$C$11:$C$49,MATCH($B197,'R1. Scenario specifications'!$A$11:$A$49,0))</f>
        <v>Current 1.5DS, 2020 start, 'Expect the Unexpected' but with cheap CCS</v>
      </c>
      <c r="B197" s="3" t="s">
        <v>23</v>
      </c>
      <c r="C197" s="3" t="s">
        <v>74</v>
      </c>
      <c r="D197" s="3" t="s">
        <v>255</v>
      </c>
      <c r="E197" s="14">
        <v>0</v>
      </c>
      <c r="F197" s="14">
        <v>0</v>
      </c>
      <c r="G197" s="14">
        <v>0</v>
      </c>
      <c r="H197" s="14">
        <v>0.79749604111966599</v>
      </c>
      <c r="I197" s="14">
        <v>144.11586381604135</v>
      </c>
      <c r="J197" s="14">
        <v>1233.4254804005784</v>
      </c>
      <c r="K197" s="14">
        <v>2715.3055192049324</v>
      </c>
      <c r="L197" s="14">
        <v>2994.5757298200706</v>
      </c>
      <c r="M197" s="14">
        <v>2260.3802528106789</v>
      </c>
      <c r="N197" s="14">
        <v>1401.0552497683395</v>
      </c>
      <c r="O197" s="14">
        <v>1426.5640664314469</v>
      </c>
    </row>
    <row r="198" spans="1:15" x14ac:dyDescent="0.3">
      <c r="A198" s="3" t="str">
        <f>INDEX('R1. Scenario specifications'!$C$11:$C$49,MATCH($B198,'R1. Scenario specifications'!$A$11:$A$49,0))</f>
        <v>Current 1.5DS, 2020 start, 'Expect the Unexpected' but with cheap CCS</v>
      </c>
      <c r="B198" s="3" t="s">
        <v>23</v>
      </c>
      <c r="C198" s="3" t="s">
        <v>66</v>
      </c>
      <c r="D198" s="3" t="s">
        <v>258</v>
      </c>
      <c r="E198" s="14">
        <v>31.122062759818384</v>
      </c>
      <c r="F198" s="14">
        <v>28.670816918420648</v>
      </c>
      <c r="G198" s="14">
        <v>113.13800421894352</v>
      </c>
      <c r="H198" s="14">
        <v>229.6739577572466</v>
      </c>
      <c r="I198" s="14">
        <v>845.77398879698376</v>
      </c>
      <c r="J198" s="14">
        <v>980.05379162184431</v>
      </c>
      <c r="K198" s="14">
        <v>975.39074639275873</v>
      </c>
      <c r="L198" s="14">
        <v>860.17696102037428</v>
      </c>
      <c r="M198" s="14">
        <v>392.7229362593821</v>
      </c>
      <c r="N198" s="14">
        <v>591.677511079846</v>
      </c>
      <c r="O198" s="14">
        <v>803.27953283069769</v>
      </c>
    </row>
    <row r="199" spans="1:15" x14ac:dyDescent="0.3">
      <c r="A199" s="3" t="str">
        <f>INDEX('R1. Scenario specifications'!$C$11:$C$49,MATCH($B199,'R1. Scenario specifications'!$A$11:$A$49,0))</f>
        <v>Current 1.5DS, 2020 start, 'Expect the Unexpected' but with cheap CCS</v>
      </c>
      <c r="B199" s="3" t="s">
        <v>23</v>
      </c>
      <c r="C199" s="3" t="s">
        <v>67</v>
      </c>
      <c r="D199" s="3" t="s">
        <v>256</v>
      </c>
      <c r="E199" s="14">
        <v>738.24098154394619</v>
      </c>
      <c r="F199" s="14">
        <v>744.22477031191352</v>
      </c>
      <c r="G199" s="14">
        <v>999.8328246673068</v>
      </c>
      <c r="H199" s="14">
        <v>1214.3665733356884</v>
      </c>
      <c r="I199" s="14">
        <v>1919.5144013141155</v>
      </c>
      <c r="J199" s="14">
        <v>2291.1686571805753</v>
      </c>
      <c r="K199" s="14">
        <v>2703.08495844036</v>
      </c>
      <c r="L199" s="14">
        <v>2760.0049360823023</v>
      </c>
      <c r="M199" s="14">
        <v>3009.4547646997435</v>
      </c>
      <c r="N199" s="14">
        <v>3272.454458926024</v>
      </c>
      <c r="O199" s="14">
        <v>3446.5567628392723</v>
      </c>
    </row>
    <row r="200" spans="1:15" x14ac:dyDescent="0.3">
      <c r="A200" s="3" t="str">
        <f>INDEX('R1. Scenario specifications'!$C$11:$C$49,MATCH($B200,'R1. Scenario specifications'!$A$11:$A$49,0))</f>
        <v>Current 1.5DS, 2020 start, 'Expect the Unexpected' but with cheap CCS</v>
      </c>
      <c r="B200" s="3" t="s">
        <v>23</v>
      </c>
      <c r="C200" s="3" t="s">
        <v>68</v>
      </c>
      <c r="D200" s="3" t="s">
        <v>257</v>
      </c>
      <c r="E200" s="14">
        <v>381.69394199846289</v>
      </c>
      <c r="F200" s="14">
        <v>393.99999999999972</v>
      </c>
      <c r="G200" s="14">
        <v>647.54384646462074</v>
      </c>
      <c r="H200" s="14">
        <v>599.60750408611364</v>
      </c>
      <c r="I200" s="14">
        <v>691.67806406395823</v>
      </c>
      <c r="J200" s="14">
        <v>990.60243055813237</v>
      </c>
      <c r="K200" s="14">
        <v>1100.814303294537</v>
      </c>
      <c r="L200" s="14">
        <v>1169.4452584887404</v>
      </c>
      <c r="M200" s="14">
        <v>1338.6111093862128</v>
      </c>
      <c r="N200" s="14">
        <v>1419.9960160243752</v>
      </c>
      <c r="O200" s="14">
        <v>1482.4943388069476</v>
      </c>
    </row>
    <row r="201" spans="1:15" x14ac:dyDescent="0.3">
      <c r="A201" s="3" t="str">
        <f>INDEX('R1. Scenario specifications'!$C$11:$C$49,MATCH($B201,'R1. Scenario specifications'!$A$11:$A$49,0))</f>
        <v>Current 1.5DS, 2020 start, 'Expect the Unexpected' but with cheap CCS</v>
      </c>
      <c r="B201" s="3" t="s">
        <v>23</v>
      </c>
      <c r="C201" s="3" t="s">
        <v>69</v>
      </c>
      <c r="D201" s="3" t="s">
        <v>258</v>
      </c>
      <c r="E201" s="14">
        <v>430.81063106061174</v>
      </c>
      <c r="F201" s="14">
        <v>452.4364981864552</v>
      </c>
      <c r="G201" s="14">
        <v>452.8330666776244</v>
      </c>
      <c r="H201" s="14">
        <v>255.46742040872471</v>
      </c>
      <c r="I201" s="14">
        <v>123.89485778287536</v>
      </c>
      <c r="J201" s="14">
        <v>4.1771300829998896</v>
      </c>
      <c r="K201" s="14">
        <v>50.93118439067802</v>
      </c>
      <c r="L201" s="14">
        <v>74.109898267736511</v>
      </c>
      <c r="M201" s="14">
        <v>84.085718665223368</v>
      </c>
      <c r="N201" s="14">
        <v>89.631224129316394</v>
      </c>
      <c r="O201" s="14">
        <v>190.94610700876629</v>
      </c>
    </row>
    <row r="202" spans="1:15" x14ac:dyDescent="0.3">
      <c r="A202" s="3" t="str">
        <f>INDEX('R1. Scenario specifications'!$C$11:$C$49,MATCH($B202,'R1. Scenario specifications'!$A$11:$A$49,0))</f>
        <v>Current 1.5DS, 2020 start, 'Expect the Unexpected' but with cheap CCS</v>
      </c>
      <c r="B202" s="3" t="s">
        <v>23</v>
      </c>
      <c r="C202" s="3" t="s">
        <v>70</v>
      </c>
      <c r="D202" s="3" t="s">
        <v>259</v>
      </c>
      <c r="E202" s="14">
        <v>13.930776255707762</v>
      </c>
      <c r="F202" s="14">
        <v>96.560908546679059</v>
      </c>
      <c r="G202" s="14">
        <v>193.62720812488871</v>
      </c>
      <c r="H202" s="14">
        <v>930.74276095692392</v>
      </c>
      <c r="I202" s="14">
        <v>3761.1484965202962</v>
      </c>
      <c r="J202" s="14">
        <v>8968.3657339881793</v>
      </c>
      <c r="K202" s="14">
        <v>14506.894486037731</v>
      </c>
      <c r="L202" s="14">
        <v>15019.535243380584</v>
      </c>
      <c r="M202" s="14">
        <v>17663.82561167841</v>
      </c>
      <c r="N202" s="14">
        <v>20462.756838330002</v>
      </c>
      <c r="O202" s="14">
        <v>23642.965829253128</v>
      </c>
    </row>
    <row r="203" spans="1:15" x14ac:dyDescent="0.3">
      <c r="A203" s="3" t="str">
        <f>INDEX('R1. Scenario specifications'!$C$11:$C$49,MATCH($B203,'R1. Scenario specifications'!$A$11:$A$49,0))</f>
        <v>Current 1.5DS, 2020 start, 'Expect the Unexpected' but with cheap CCS</v>
      </c>
      <c r="B203" s="3" t="s">
        <v>23</v>
      </c>
      <c r="C203" s="3" t="s">
        <v>71</v>
      </c>
      <c r="D203" s="3" t="s">
        <v>259</v>
      </c>
      <c r="E203" s="14">
        <v>11.2241111111111</v>
      </c>
      <c r="F203" s="14">
        <v>12.249511111111101</v>
      </c>
      <c r="G203" s="14">
        <v>13.0611055551111</v>
      </c>
      <c r="H203" s="14">
        <v>18.262489251523263</v>
      </c>
      <c r="I203" s="14">
        <v>110.95808616326281</v>
      </c>
      <c r="J203" s="14">
        <v>238.43308449738217</v>
      </c>
      <c r="K203" s="14">
        <v>360.36692989377019</v>
      </c>
      <c r="L203" s="14">
        <v>360.36326448370551</v>
      </c>
      <c r="M203" s="14">
        <v>360.35979336077139</v>
      </c>
      <c r="N203" s="14">
        <v>360.35659336077049</v>
      </c>
      <c r="O203" s="14">
        <v>360.35341318662034</v>
      </c>
    </row>
    <row r="204" spans="1:15" x14ac:dyDescent="0.3">
      <c r="A204" s="3" t="str">
        <f>INDEX('R1. Scenario specifications'!$C$11:$C$49,MATCH($B204,'R1. Scenario specifications'!$A$11:$A$49,0))</f>
        <v>Current 1.5DS, 2020 start, 'Expect the Unexpected' but with cheap CCS</v>
      </c>
      <c r="B204" s="3" t="s">
        <v>23</v>
      </c>
      <c r="C204" s="3" t="s">
        <v>75</v>
      </c>
      <c r="D204" s="3" t="s">
        <v>258</v>
      </c>
      <c r="E204" s="14">
        <v>0.31124745380476826</v>
      </c>
      <c r="F204" s="14">
        <v>0.28314462712947408</v>
      </c>
      <c r="G204" s="14">
        <v>0.23818010444900301</v>
      </c>
      <c r="H204" s="14">
        <v>0.15878673629933501</v>
      </c>
      <c r="I204" s="14">
        <v>7.9393368149667701E-2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</row>
    <row r="205" spans="1:15" x14ac:dyDescent="0.3">
      <c r="A205" s="3" t="str">
        <f>INDEX('R1. Scenario specifications'!$C$11:$C$49,MATCH($B205,'R1. Scenario specifications'!$A$11:$A$49,0))</f>
        <v>Current 1.5DS, 2020 start, 'Expect the Unexpected' but with cheap CCS</v>
      </c>
      <c r="B205" s="3" t="s">
        <v>23</v>
      </c>
      <c r="C205" s="3" t="s">
        <v>72</v>
      </c>
      <c r="D205" s="3" t="s">
        <v>260</v>
      </c>
      <c r="E205" s="14">
        <v>217.76839471634247</v>
      </c>
      <c r="F205" s="14">
        <v>242.99857406704328</v>
      </c>
      <c r="G205" s="14">
        <v>365.36686102816424</v>
      </c>
      <c r="H205" s="14">
        <v>1756.2662000926357</v>
      </c>
      <c r="I205" s="14">
        <v>3923.3768767234678</v>
      </c>
      <c r="J205" s="14">
        <v>8485.8543304948907</v>
      </c>
      <c r="K205" s="14">
        <v>12182.348690021012</v>
      </c>
      <c r="L205" s="14">
        <v>10523.847659785713</v>
      </c>
      <c r="M205" s="14">
        <v>14576.416334515015</v>
      </c>
      <c r="N205" s="14">
        <v>19509.236626330618</v>
      </c>
      <c r="O205" s="14">
        <v>24829.046895703465</v>
      </c>
    </row>
    <row r="206" spans="1:15" x14ac:dyDescent="0.3">
      <c r="A206" s="3" t="str">
        <f>INDEX('R1. Scenario specifications'!$C$11:$C$49,MATCH($B206,'R1. Scenario specifications'!$A$11:$A$49,0))</f>
        <v>Current 1.5DS, 2030 start, 'Expect the Unexpected' but with cheap CCS</v>
      </c>
      <c r="B206" s="3" t="s">
        <v>24</v>
      </c>
      <c r="C206" s="3" t="s">
        <v>63</v>
      </c>
      <c r="D206" s="3" t="s">
        <v>253</v>
      </c>
      <c r="E206" s="14">
        <v>19.526838931037336</v>
      </c>
      <c r="F206" s="14">
        <v>26.141237482570887</v>
      </c>
      <c r="G206" s="14">
        <v>117.10981417316707</v>
      </c>
      <c r="H206" s="14">
        <v>412.30855682261659</v>
      </c>
      <c r="I206" s="14">
        <v>1112.4444893179273</v>
      </c>
      <c r="J206" s="14">
        <v>1019.6384731540882</v>
      </c>
      <c r="K206" s="14">
        <v>735.52735420917543</v>
      </c>
      <c r="L206" s="14">
        <v>25.880083976221258</v>
      </c>
      <c r="M206" s="14">
        <v>27.257875300302398</v>
      </c>
      <c r="N206" s="14">
        <v>16.316506077202661</v>
      </c>
      <c r="O206" s="14">
        <v>16.316506077202661</v>
      </c>
    </row>
    <row r="207" spans="1:15" x14ac:dyDescent="0.3">
      <c r="A207" s="3" t="str">
        <f>INDEX('R1. Scenario specifications'!$C$11:$C$49,MATCH($B207,'R1. Scenario specifications'!$A$11:$A$49,0))</f>
        <v>Current 1.5DS, 2030 start, 'Expect the Unexpected' but with cheap CCS</v>
      </c>
      <c r="B207" s="3" t="s">
        <v>24</v>
      </c>
      <c r="C207" s="3" t="s">
        <v>73</v>
      </c>
      <c r="D207" s="3" t="s">
        <v>253</v>
      </c>
      <c r="E207" s="14">
        <v>0</v>
      </c>
      <c r="F207" s="14">
        <v>0</v>
      </c>
      <c r="G207" s="14">
        <v>0</v>
      </c>
      <c r="H207" s="14">
        <v>0</v>
      </c>
      <c r="I207" s="14">
        <v>12.00706510502612</v>
      </c>
      <c r="J207" s="14">
        <v>898.63812981620254</v>
      </c>
      <c r="K207" s="14">
        <v>2981.2550267888441</v>
      </c>
      <c r="L207" s="14">
        <v>4207.9867575231083</v>
      </c>
      <c r="M207" s="14">
        <v>3377.9346909138485</v>
      </c>
      <c r="N207" s="14">
        <v>1969.1188913890883</v>
      </c>
      <c r="O207" s="14">
        <v>2350.9763056583065</v>
      </c>
    </row>
    <row r="208" spans="1:15" x14ac:dyDescent="0.3">
      <c r="A208" s="3" t="str">
        <f>INDEX('R1. Scenario specifications'!$C$11:$C$49,MATCH($B208,'R1. Scenario specifications'!$A$11:$A$49,0))</f>
        <v>Current 1.5DS, 2030 start, 'Expect the Unexpected' but with cheap CCS</v>
      </c>
      <c r="B208" s="3" t="s">
        <v>24</v>
      </c>
      <c r="C208" s="3" t="s">
        <v>64</v>
      </c>
      <c r="D208" s="3" t="s">
        <v>254</v>
      </c>
      <c r="E208" s="14">
        <v>1633.0249332809897</v>
      </c>
      <c r="F208" s="14">
        <v>1804.9999999999993</v>
      </c>
      <c r="G208" s="14">
        <v>1804.9999999999993</v>
      </c>
      <c r="H208" s="14">
        <v>1458.8285858367421</v>
      </c>
      <c r="I208" s="14">
        <v>457.93883170883436</v>
      </c>
      <c r="J208" s="14">
        <v>16.396787724521602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</row>
    <row r="209" spans="1:15" x14ac:dyDescent="0.3">
      <c r="A209" s="3" t="str">
        <f>INDEX('R1. Scenario specifications'!$C$11:$C$49,MATCH($B209,'R1. Scenario specifications'!$A$11:$A$49,0))</f>
        <v>Current 1.5DS, 2030 start, 'Expect the Unexpected' but with cheap CCS</v>
      </c>
      <c r="B209" s="3" t="s">
        <v>24</v>
      </c>
      <c r="C209" s="3" t="s">
        <v>65</v>
      </c>
      <c r="D209" s="3" t="s">
        <v>255</v>
      </c>
      <c r="E209" s="14">
        <v>1008.6224302831477</v>
      </c>
      <c r="F209" s="14">
        <v>1634.5557819505236</v>
      </c>
      <c r="G209" s="14">
        <v>2111.6960266729702</v>
      </c>
      <c r="H209" s="14">
        <v>1960.1606269560627</v>
      </c>
      <c r="I209" s="14">
        <v>1250.1189168561687</v>
      </c>
      <c r="J209" s="14">
        <v>416.24446537328424</v>
      </c>
      <c r="K209" s="14">
        <v>433.32220685727896</v>
      </c>
      <c r="L209" s="14">
        <v>256.76917323684177</v>
      </c>
      <c r="M209" s="14">
        <v>630.90917075246762</v>
      </c>
      <c r="N209" s="14">
        <v>780.2899022284314</v>
      </c>
      <c r="O209" s="14">
        <v>651.77301588276168</v>
      </c>
    </row>
    <row r="210" spans="1:15" x14ac:dyDescent="0.3">
      <c r="A210" s="3" t="str">
        <f>INDEX('R1. Scenario specifications'!$C$11:$C$49,MATCH($B210,'R1. Scenario specifications'!$A$11:$A$49,0))</f>
        <v>Current 1.5DS, 2030 start, 'Expect the Unexpected' but with cheap CCS</v>
      </c>
      <c r="B210" s="3" t="s">
        <v>24</v>
      </c>
      <c r="C210" s="3" t="s">
        <v>74</v>
      </c>
      <c r="D210" s="3" t="s">
        <v>255</v>
      </c>
      <c r="E210" s="14">
        <v>0</v>
      </c>
      <c r="F210" s="14">
        <v>0</v>
      </c>
      <c r="G210" s="14">
        <v>0</v>
      </c>
      <c r="H210" s="14">
        <v>0</v>
      </c>
      <c r="I210" s="14">
        <v>2.998979894973882</v>
      </c>
      <c r="J210" s="14">
        <v>382.75150698919759</v>
      </c>
      <c r="K210" s="14">
        <v>1285.8520692861623</v>
      </c>
      <c r="L210" s="14">
        <v>1823.1214989421348</v>
      </c>
      <c r="M210" s="14">
        <v>1443.3689718479106</v>
      </c>
      <c r="N210" s="14">
        <v>594.69956405931464</v>
      </c>
      <c r="O210" s="14">
        <v>161.16606012556682</v>
      </c>
    </row>
    <row r="211" spans="1:15" x14ac:dyDescent="0.3">
      <c r="A211" s="3" t="str">
        <f>INDEX('R1. Scenario specifications'!$C$11:$C$49,MATCH($B211,'R1. Scenario specifications'!$A$11:$A$49,0))</f>
        <v>Current 1.5DS, 2030 start, 'Expect the Unexpected' but with cheap CCS</v>
      </c>
      <c r="B211" s="3" t="s">
        <v>24</v>
      </c>
      <c r="C211" s="3" t="s">
        <v>66</v>
      </c>
      <c r="D211" s="3" t="s">
        <v>258</v>
      </c>
      <c r="E211" s="14">
        <v>31.122062759818384</v>
      </c>
      <c r="F211" s="14">
        <v>28.670816918420648</v>
      </c>
      <c r="G211" s="14">
        <v>113.13800421894352</v>
      </c>
      <c r="H211" s="14">
        <v>158.43269338625092</v>
      </c>
      <c r="I211" s="14">
        <v>544.31710057863029</v>
      </c>
      <c r="J211" s="14">
        <v>1230.2818941672695</v>
      </c>
      <c r="K211" s="14">
        <v>1219.7752918108326</v>
      </c>
      <c r="L211" s="14">
        <v>1168.6387133460025</v>
      </c>
      <c r="M211" s="14">
        <v>798.10580118517305</v>
      </c>
      <c r="N211" s="14">
        <v>251.02659615716033</v>
      </c>
      <c r="O211" s="14">
        <v>360.64325944977207</v>
      </c>
    </row>
    <row r="212" spans="1:15" x14ac:dyDescent="0.3">
      <c r="A212" s="3" t="str">
        <f>INDEX('R1. Scenario specifications'!$C$11:$C$49,MATCH($B212,'R1. Scenario specifications'!$A$11:$A$49,0))</f>
        <v>Current 1.5DS, 2030 start, 'Expect the Unexpected' but with cheap CCS</v>
      </c>
      <c r="B212" s="3" t="s">
        <v>24</v>
      </c>
      <c r="C212" s="3" t="s">
        <v>67</v>
      </c>
      <c r="D212" s="3" t="s">
        <v>256</v>
      </c>
      <c r="E212" s="14">
        <v>738.24098154394619</v>
      </c>
      <c r="F212" s="14">
        <v>744.22477031191352</v>
      </c>
      <c r="G212" s="14">
        <v>999.8328246673068</v>
      </c>
      <c r="H212" s="14">
        <v>1153.8656291758321</v>
      </c>
      <c r="I212" s="14">
        <v>1386.4312683871401</v>
      </c>
      <c r="J212" s="14">
        <v>2144.6027768912863</v>
      </c>
      <c r="K212" s="14">
        <v>2936.4303894587738</v>
      </c>
      <c r="L212" s="14">
        <v>2945.2393027285125</v>
      </c>
      <c r="M212" s="14">
        <v>2959.873722193408</v>
      </c>
      <c r="N212" s="14">
        <v>3089.1740673243635</v>
      </c>
      <c r="O212" s="14">
        <v>3271.507223368154</v>
      </c>
    </row>
    <row r="213" spans="1:15" x14ac:dyDescent="0.3">
      <c r="A213" s="3" t="str">
        <f>INDEX('R1. Scenario specifications'!$C$11:$C$49,MATCH($B213,'R1. Scenario specifications'!$A$11:$A$49,0))</f>
        <v>Current 1.5DS, 2030 start, 'Expect the Unexpected' but with cheap CCS</v>
      </c>
      <c r="B213" s="3" t="s">
        <v>24</v>
      </c>
      <c r="C213" s="3" t="s">
        <v>68</v>
      </c>
      <c r="D213" s="3" t="s">
        <v>257</v>
      </c>
      <c r="E213" s="14">
        <v>381.69394199846289</v>
      </c>
      <c r="F213" s="14">
        <v>393.99999999999972</v>
      </c>
      <c r="G213" s="14">
        <v>647.54384646462074</v>
      </c>
      <c r="H213" s="14">
        <v>599.60750408611364</v>
      </c>
      <c r="I213" s="14">
        <v>574.22438013504609</v>
      </c>
      <c r="J213" s="14">
        <v>865.42213252872727</v>
      </c>
      <c r="K213" s="14">
        <v>987.90066871604631</v>
      </c>
      <c r="L213" s="14">
        <v>1069.1791489920195</v>
      </c>
      <c r="M213" s="14">
        <v>1126.053216288813</v>
      </c>
      <c r="N213" s="14">
        <v>1282.1664660702579</v>
      </c>
      <c r="O213" s="14">
        <v>1231.2387743933079</v>
      </c>
    </row>
    <row r="214" spans="1:15" x14ac:dyDescent="0.3">
      <c r="A214" s="3" t="str">
        <f>INDEX('R1. Scenario specifications'!$C$11:$C$49,MATCH($B214,'R1. Scenario specifications'!$A$11:$A$49,0))</f>
        <v>Current 1.5DS, 2030 start, 'Expect the Unexpected' but with cheap CCS</v>
      </c>
      <c r="B214" s="3" t="s">
        <v>24</v>
      </c>
      <c r="C214" s="3" t="s">
        <v>69</v>
      </c>
      <c r="D214" s="3" t="s">
        <v>258</v>
      </c>
      <c r="E214" s="14">
        <v>430.81063106061174</v>
      </c>
      <c r="F214" s="14">
        <v>452.4364981864552</v>
      </c>
      <c r="G214" s="14">
        <v>452.8330666776244</v>
      </c>
      <c r="H214" s="14">
        <v>256.83855764560741</v>
      </c>
      <c r="I214" s="14">
        <v>128.0121706098561</v>
      </c>
      <c r="J214" s="14">
        <v>10.202755411665191</v>
      </c>
      <c r="K214" s="14">
        <v>46.31101358673304</v>
      </c>
      <c r="L214" s="14">
        <v>49.624019637652438</v>
      </c>
      <c r="M214" s="14">
        <v>42.520282770992999</v>
      </c>
      <c r="N214" s="14">
        <v>49.145122224117799</v>
      </c>
      <c r="O214" s="14">
        <v>165.11602868780921</v>
      </c>
    </row>
    <row r="215" spans="1:15" x14ac:dyDescent="0.3">
      <c r="A215" s="3" t="str">
        <f>INDEX('R1. Scenario specifications'!$C$11:$C$49,MATCH($B215,'R1. Scenario specifications'!$A$11:$A$49,0))</f>
        <v>Current 1.5DS, 2030 start, 'Expect the Unexpected' but with cheap CCS</v>
      </c>
      <c r="B215" s="3" t="s">
        <v>24</v>
      </c>
      <c r="C215" s="3" t="s">
        <v>70</v>
      </c>
      <c r="D215" s="3" t="s">
        <v>259</v>
      </c>
      <c r="E215" s="14">
        <v>13.930776255707762</v>
      </c>
      <c r="F215" s="14">
        <v>96.560908546679059</v>
      </c>
      <c r="G215" s="14">
        <v>193.62720812488871</v>
      </c>
      <c r="H215" s="14">
        <v>564.29121895346805</v>
      </c>
      <c r="I215" s="14">
        <v>2458.1249247744299</v>
      </c>
      <c r="J215" s="14">
        <v>7085.7050057202114</v>
      </c>
      <c r="K215" s="14">
        <v>16723.973351953911</v>
      </c>
      <c r="L215" s="14">
        <v>17044.635342675057</v>
      </c>
      <c r="M215" s="14">
        <v>17105.769614049339</v>
      </c>
      <c r="N215" s="14">
        <v>18055.247975608221</v>
      </c>
      <c r="O215" s="14">
        <v>18967.17625384187</v>
      </c>
    </row>
    <row r="216" spans="1:15" x14ac:dyDescent="0.3">
      <c r="A216" s="3" t="str">
        <f>INDEX('R1. Scenario specifications'!$C$11:$C$49,MATCH($B216,'R1. Scenario specifications'!$A$11:$A$49,0))</f>
        <v>Current 1.5DS, 2030 start, 'Expect the Unexpected' but with cheap CCS</v>
      </c>
      <c r="B216" s="3" t="s">
        <v>24</v>
      </c>
      <c r="C216" s="3" t="s">
        <v>71</v>
      </c>
      <c r="D216" s="3" t="s">
        <v>259</v>
      </c>
      <c r="E216" s="14">
        <v>11.2241111111111</v>
      </c>
      <c r="F216" s="14">
        <v>12.249511111111101</v>
      </c>
      <c r="G216" s="14">
        <v>13.0611055551111</v>
      </c>
      <c r="H216" s="14">
        <v>13.059905555111095</v>
      </c>
      <c r="I216" s="14">
        <v>55.923505900220221</v>
      </c>
      <c r="J216" s="14">
        <v>80.104757246348044</v>
      </c>
      <c r="K216" s="14">
        <v>84.502930482777344</v>
      </c>
      <c r="L216" s="14">
        <v>84.544065137667246</v>
      </c>
      <c r="M216" s="14">
        <v>84.540909224091479</v>
      </c>
      <c r="N216" s="14">
        <v>84.538010697258045</v>
      </c>
      <c r="O216" s="14">
        <v>84.535210697258037</v>
      </c>
    </row>
    <row r="217" spans="1:15" x14ac:dyDescent="0.3">
      <c r="A217" s="3" t="str">
        <f>INDEX('R1. Scenario specifications'!$C$11:$C$49,MATCH($B217,'R1. Scenario specifications'!$A$11:$A$49,0))</f>
        <v>Current 1.5DS, 2030 start, 'Expect the Unexpected' but with cheap CCS</v>
      </c>
      <c r="B217" s="3" t="s">
        <v>24</v>
      </c>
      <c r="C217" s="3" t="s">
        <v>75</v>
      </c>
      <c r="D217" s="3" t="s">
        <v>258</v>
      </c>
      <c r="E217" s="14">
        <v>0.31124745380476826</v>
      </c>
      <c r="F217" s="14">
        <v>0.28314462712947408</v>
      </c>
      <c r="G217" s="14">
        <v>0.23818010444900301</v>
      </c>
      <c r="H217" s="14">
        <v>0.15878673629933501</v>
      </c>
      <c r="I217" s="14">
        <v>7.9393368149667701E-2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</row>
    <row r="218" spans="1:15" x14ac:dyDescent="0.3">
      <c r="A218" s="3" t="str">
        <f>INDEX('R1. Scenario specifications'!$C$11:$C$49,MATCH($B218,'R1. Scenario specifications'!$A$11:$A$49,0))</f>
        <v>Current 1.5DS, 2030 start, 'Expect the Unexpected' but with cheap CCS</v>
      </c>
      <c r="B218" s="3" t="s">
        <v>24</v>
      </c>
      <c r="C218" s="3" t="s">
        <v>72</v>
      </c>
      <c r="D218" s="3" t="s">
        <v>260</v>
      </c>
      <c r="E218" s="14">
        <v>217.76839471634247</v>
      </c>
      <c r="F218" s="14">
        <v>242.99857406704328</v>
      </c>
      <c r="G218" s="14">
        <v>365.36686102816424</v>
      </c>
      <c r="H218" s="14">
        <v>1381.7602614741115</v>
      </c>
      <c r="I218" s="14">
        <v>3106.2767483420625</v>
      </c>
      <c r="J218" s="14">
        <v>6646.6061434959965</v>
      </c>
      <c r="K218" s="14">
        <v>14149.908245014405</v>
      </c>
      <c r="L218" s="14">
        <v>11403.385496130617</v>
      </c>
      <c r="M218" s="14">
        <v>9584.6541668969094</v>
      </c>
      <c r="N218" s="14">
        <v>12753.940419936393</v>
      </c>
      <c r="O218" s="14">
        <v>15944.86631219594</v>
      </c>
    </row>
    <row r="219" spans="1:15" x14ac:dyDescent="0.3">
      <c r="A219" s="3" t="str">
        <f>INDEX('R1. Scenario specifications'!$C$11:$C$49,MATCH($B219,'R1. Scenario specifications'!$A$11:$A$49,0))</f>
        <v>Current 1.5DS, 2020 start, 'Expect the Unexpected' but with cheap EVs</v>
      </c>
      <c r="B219" s="3" t="s">
        <v>25</v>
      </c>
      <c r="C219" s="3" t="s">
        <v>63</v>
      </c>
      <c r="D219" s="3" t="s">
        <v>253</v>
      </c>
      <c r="E219" s="14">
        <v>19.526838931037336</v>
      </c>
      <c r="F219" s="14">
        <v>26.141237482570887</v>
      </c>
      <c r="G219" s="14">
        <v>117.10981417316707</v>
      </c>
      <c r="H219" s="14">
        <v>577.92232187058767</v>
      </c>
      <c r="I219" s="14">
        <v>723.92907176402014</v>
      </c>
      <c r="J219" s="14">
        <v>626.63557272901971</v>
      </c>
      <c r="K219" s="14">
        <v>161.5004714404586</v>
      </c>
      <c r="L219" s="14">
        <v>5.9823838093830197</v>
      </c>
      <c r="M219" s="14">
        <v>5.8435748293756768</v>
      </c>
      <c r="N219" s="14">
        <v>5.1852392816596398</v>
      </c>
      <c r="O219" s="14">
        <v>6.0007154974587502</v>
      </c>
    </row>
    <row r="220" spans="1:15" x14ac:dyDescent="0.3">
      <c r="A220" s="3" t="str">
        <f>INDEX('R1. Scenario specifications'!$C$11:$C$49,MATCH($B220,'R1. Scenario specifications'!$A$11:$A$49,0))</f>
        <v>Current 1.5DS, 2020 start, 'Expect the Unexpected' but with cheap EVs</v>
      </c>
      <c r="B220" s="3" t="s">
        <v>25</v>
      </c>
      <c r="C220" s="3" t="s">
        <v>73</v>
      </c>
      <c r="D220" s="3" t="s">
        <v>253</v>
      </c>
      <c r="E220" s="14">
        <v>0</v>
      </c>
      <c r="F220" s="14">
        <v>0</v>
      </c>
      <c r="G220" s="14">
        <v>0</v>
      </c>
      <c r="H220" s="14">
        <v>14.208832596366372</v>
      </c>
      <c r="I220" s="14">
        <v>396.49780042909089</v>
      </c>
      <c r="J220" s="14">
        <v>1465.296862930109</v>
      </c>
      <c r="K220" s="14">
        <v>2587.8316336440412</v>
      </c>
      <c r="L220" s="14">
        <v>2692.5568082790628</v>
      </c>
      <c r="M220" s="14">
        <v>2584.644532070371</v>
      </c>
      <c r="N220" s="14">
        <v>3051.1435029093627</v>
      </c>
      <c r="O220" s="14">
        <v>3411.2466326848926</v>
      </c>
    </row>
    <row r="221" spans="1:15" x14ac:dyDescent="0.3">
      <c r="A221" s="3" t="str">
        <f>INDEX('R1. Scenario specifications'!$C$11:$C$49,MATCH($B221,'R1. Scenario specifications'!$A$11:$A$49,0))</f>
        <v>Current 1.5DS, 2020 start, 'Expect the Unexpected' but with cheap EVs</v>
      </c>
      <c r="B221" s="3" t="s">
        <v>25</v>
      </c>
      <c r="C221" s="3" t="s">
        <v>64</v>
      </c>
      <c r="D221" s="3" t="s">
        <v>254</v>
      </c>
      <c r="E221" s="14">
        <v>1633.0249332809897</v>
      </c>
      <c r="F221" s="14">
        <v>1804.9999999999993</v>
      </c>
      <c r="G221" s="14">
        <v>1804.9999999999993</v>
      </c>
      <c r="H221" s="14">
        <v>1442.4317981122206</v>
      </c>
      <c r="I221" s="14">
        <v>441.54204398431278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</row>
    <row r="222" spans="1:15" x14ac:dyDescent="0.3">
      <c r="A222" s="3" t="str">
        <f>INDEX('R1. Scenario specifications'!$C$11:$C$49,MATCH($B222,'R1. Scenario specifications'!$A$11:$A$49,0))</f>
        <v>Current 1.5DS, 2020 start, 'Expect the Unexpected' but with cheap EVs</v>
      </c>
      <c r="B222" s="3" t="s">
        <v>25</v>
      </c>
      <c r="C222" s="3" t="s">
        <v>65</v>
      </c>
      <c r="D222" s="3" t="s">
        <v>255</v>
      </c>
      <c r="E222" s="14">
        <v>1008.6224302831477</v>
      </c>
      <c r="F222" s="14">
        <v>1634.5557819505236</v>
      </c>
      <c r="G222" s="14">
        <v>2111.6960266729702</v>
      </c>
      <c r="H222" s="14">
        <v>2382.9205344378888</v>
      </c>
      <c r="I222" s="14">
        <v>1415.1929020945888</v>
      </c>
      <c r="J222" s="14">
        <v>527.37383975598789</v>
      </c>
      <c r="K222" s="14">
        <v>138.8359408221967</v>
      </c>
      <c r="L222" s="14">
        <v>156.85725759289468</v>
      </c>
      <c r="M222" s="14">
        <v>216.83453005644262</v>
      </c>
      <c r="N222" s="14">
        <v>208.06122032613359</v>
      </c>
      <c r="O222" s="14">
        <v>230.02771481845323</v>
      </c>
    </row>
    <row r="223" spans="1:15" x14ac:dyDescent="0.3">
      <c r="A223" s="3" t="str">
        <f>INDEX('R1. Scenario specifications'!$C$11:$C$49,MATCH($B223,'R1. Scenario specifications'!$A$11:$A$49,0))</f>
        <v>Current 1.5DS, 2020 start, 'Expect the Unexpected' but with cheap EVs</v>
      </c>
      <c r="B223" s="3" t="s">
        <v>25</v>
      </c>
      <c r="C223" s="3" t="s">
        <v>74</v>
      </c>
      <c r="D223" s="3" t="s">
        <v>255</v>
      </c>
      <c r="E223" s="14">
        <v>0</v>
      </c>
      <c r="F223" s="14">
        <v>0</v>
      </c>
      <c r="G223" s="14">
        <v>0</v>
      </c>
      <c r="H223" s="14">
        <v>0.79721240363363099</v>
      </c>
      <c r="I223" s="14">
        <v>135.67466319338482</v>
      </c>
      <c r="J223" s="14">
        <v>1241.73924249223</v>
      </c>
      <c r="K223" s="14">
        <v>2805.4773182467866</v>
      </c>
      <c r="L223" s="14">
        <v>3153.0796471422641</v>
      </c>
      <c r="M223" s="14">
        <v>2394.119306467966</v>
      </c>
      <c r="N223" s="14">
        <v>1463.6110112350791</v>
      </c>
      <c r="O223" s="14">
        <v>1499.937318362139</v>
      </c>
    </row>
    <row r="224" spans="1:15" x14ac:dyDescent="0.3">
      <c r="A224" s="3" t="str">
        <f>INDEX('R1. Scenario specifications'!$C$11:$C$49,MATCH($B224,'R1. Scenario specifications'!$A$11:$A$49,0))</f>
        <v>Current 1.5DS, 2020 start, 'Expect the Unexpected' but with cheap EVs</v>
      </c>
      <c r="B224" s="3" t="s">
        <v>25</v>
      </c>
      <c r="C224" s="3" t="s">
        <v>66</v>
      </c>
      <c r="D224" s="3" t="s">
        <v>258</v>
      </c>
      <c r="E224" s="14">
        <v>31.122062759818384</v>
      </c>
      <c r="F224" s="14">
        <v>28.670816918420648</v>
      </c>
      <c r="G224" s="14">
        <v>113.13800421894352</v>
      </c>
      <c r="H224" s="14">
        <v>228.14206071794101</v>
      </c>
      <c r="I224" s="14">
        <v>828.79862282011391</v>
      </c>
      <c r="J224" s="14">
        <v>975.12333260370781</v>
      </c>
      <c r="K224" s="14">
        <v>978.68706041594794</v>
      </c>
      <c r="L224" s="14">
        <v>865.0871714229196</v>
      </c>
      <c r="M224" s="14">
        <v>415.47994478049043</v>
      </c>
      <c r="N224" s="14">
        <v>608.49155559748829</v>
      </c>
      <c r="O224" s="14">
        <v>830.70558657333822</v>
      </c>
    </row>
    <row r="225" spans="1:15" x14ac:dyDescent="0.3">
      <c r="A225" s="3" t="str">
        <f>INDEX('R1. Scenario specifications'!$C$11:$C$49,MATCH($B225,'R1. Scenario specifications'!$A$11:$A$49,0))</f>
        <v>Current 1.5DS, 2020 start, 'Expect the Unexpected' but with cheap EVs</v>
      </c>
      <c r="B225" s="3" t="s">
        <v>25</v>
      </c>
      <c r="C225" s="3" t="s">
        <v>67</v>
      </c>
      <c r="D225" s="3" t="s">
        <v>256</v>
      </c>
      <c r="E225" s="14">
        <v>738.24098154394619</v>
      </c>
      <c r="F225" s="14">
        <v>744.22477031191352</v>
      </c>
      <c r="G225" s="14">
        <v>999.8328246673068</v>
      </c>
      <c r="H225" s="14">
        <v>1214.399415542706</v>
      </c>
      <c r="I225" s="14">
        <v>1919.52154646136</v>
      </c>
      <c r="J225" s="14">
        <v>2267.1056997441801</v>
      </c>
      <c r="K225" s="14">
        <v>2704.0625786238365</v>
      </c>
      <c r="L225" s="14">
        <v>2759.6584307560574</v>
      </c>
      <c r="M225" s="14">
        <v>3015.7028038174353</v>
      </c>
      <c r="N225" s="14">
        <v>3286.2746181340567</v>
      </c>
      <c r="O225" s="14">
        <v>3456.7199443184149</v>
      </c>
    </row>
    <row r="226" spans="1:15" x14ac:dyDescent="0.3">
      <c r="A226" s="3" t="str">
        <f>INDEX('R1. Scenario specifications'!$C$11:$C$49,MATCH($B226,'R1. Scenario specifications'!$A$11:$A$49,0))</f>
        <v>Current 1.5DS, 2020 start, 'Expect the Unexpected' but with cheap EVs</v>
      </c>
      <c r="B226" s="3" t="s">
        <v>25</v>
      </c>
      <c r="C226" s="3" t="s">
        <v>68</v>
      </c>
      <c r="D226" s="3" t="s">
        <v>257</v>
      </c>
      <c r="E226" s="14">
        <v>381.69394199846289</v>
      </c>
      <c r="F226" s="14">
        <v>393.99999999999972</v>
      </c>
      <c r="G226" s="14">
        <v>647.54384646462074</v>
      </c>
      <c r="H226" s="14">
        <v>599.60750408611364</v>
      </c>
      <c r="I226" s="14">
        <v>688.3710925569502</v>
      </c>
      <c r="J226" s="14">
        <v>990.54195650135546</v>
      </c>
      <c r="K226" s="14">
        <v>1101.3587063022715</v>
      </c>
      <c r="L226" s="14">
        <v>1169.6124106078998</v>
      </c>
      <c r="M226" s="14">
        <v>1338.9374962559405</v>
      </c>
      <c r="N226" s="14">
        <v>1422.1332685126818</v>
      </c>
      <c r="O226" s="14">
        <v>1478.9266187830606</v>
      </c>
    </row>
    <row r="227" spans="1:15" x14ac:dyDescent="0.3">
      <c r="A227" s="3" t="str">
        <f>INDEX('R1. Scenario specifications'!$C$11:$C$49,MATCH($B227,'R1. Scenario specifications'!$A$11:$A$49,0))</f>
        <v>Current 1.5DS, 2020 start, 'Expect the Unexpected' but with cheap EVs</v>
      </c>
      <c r="B227" s="3" t="s">
        <v>25</v>
      </c>
      <c r="C227" s="3" t="s">
        <v>69</v>
      </c>
      <c r="D227" s="3" t="s">
        <v>258</v>
      </c>
      <c r="E227" s="14">
        <v>430.81063106061174</v>
      </c>
      <c r="F227" s="14">
        <v>452.4364981864552</v>
      </c>
      <c r="G227" s="14">
        <v>452.8330666776244</v>
      </c>
      <c r="H227" s="14">
        <v>254.16405367252372</v>
      </c>
      <c r="I227" s="14">
        <v>122.59149104667441</v>
      </c>
      <c r="J227" s="14">
        <v>1.3189946800760901</v>
      </c>
      <c r="K227" s="14">
        <v>51.261577106988007</v>
      </c>
      <c r="L227" s="14">
        <v>93.337648565513589</v>
      </c>
      <c r="M227" s="14">
        <v>103.12483787765321</v>
      </c>
      <c r="N227" s="14">
        <v>82.630646274960498</v>
      </c>
      <c r="O227" s="14">
        <v>193.43299596960091</v>
      </c>
    </row>
    <row r="228" spans="1:15" x14ac:dyDescent="0.3">
      <c r="A228" s="3" t="str">
        <f>INDEX('R1. Scenario specifications'!$C$11:$C$49,MATCH($B228,'R1. Scenario specifications'!$A$11:$A$49,0))</f>
        <v>Current 1.5DS, 2020 start, 'Expect the Unexpected' but with cheap EVs</v>
      </c>
      <c r="B228" s="3" t="s">
        <v>25</v>
      </c>
      <c r="C228" s="3" t="s">
        <v>70</v>
      </c>
      <c r="D228" s="3" t="s">
        <v>259</v>
      </c>
      <c r="E228" s="14">
        <v>13.930776255707762</v>
      </c>
      <c r="F228" s="14">
        <v>96.560908546679059</v>
      </c>
      <c r="G228" s="14">
        <v>193.62720812488871</v>
      </c>
      <c r="H228" s="14">
        <v>930.74276095692392</v>
      </c>
      <c r="I228" s="14">
        <v>3754.8042078994313</v>
      </c>
      <c r="J228" s="14">
        <v>8972.5117214657112</v>
      </c>
      <c r="K228" s="14">
        <v>14472.990784383383</v>
      </c>
      <c r="L228" s="14">
        <v>15023.05608829136</v>
      </c>
      <c r="M228" s="14">
        <v>17625.263021861796</v>
      </c>
      <c r="N228" s="14">
        <v>20497.727832932764</v>
      </c>
      <c r="O228" s="14">
        <v>23739.619809971937</v>
      </c>
    </row>
    <row r="229" spans="1:15" x14ac:dyDescent="0.3">
      <c r="A229" s="3" t="str">
        <f>INDEX('R1. Scenario specifications'!$C$11:$C$49,MATCH($B229,'R1. Scenario specifications'!$A$11:$A$49,0))</f>
        <v>Current 1.5DS, 2020 start, 'Expect the Unexpected' but with cheap EVs</v>
      </c>
      <c r="B229" s="3" t="s">
        <v>25</v>
      </c>
      <c r="C229" s="3" t="s">
        <v>71</v>
      </c>
      <c r="D229" s="3" t="s">
        <v>259</v>
      </c>
      <c r="E229" s="14">
        <v>11.2241111111111</v>
      </c>
      <c r="F229" s="14">
        <v>12.249511111111101</v>
      </c>
      <c r="G229" s="14">
        <v>13.0611055551111</v>
      </c>
      <c r="H229" s="14">
        <v>17.876463044174763</v>
      </c>
      <c r="I229" s="14">
        <v>99.494686393720087</v>
      </c>
      <c r="J229" s="14">
        <v>190.38697462075552</v>
      </c>
      <c r="K229" s="14">
        <v>331.91924510751687</v>
      </c>
      <c r="L229" s="14">
        <v>331.91543262099049</v>
      </c>
      <c r="M229" s="14">
        <v>331.91206002488883</v>
      </c>
      <c r="N229" s="14">
        <v>331.90886002488992</v>
      </c>
      <c r="O229" s="14">
        <v>331.90567985073778</v>
      </c>
    </row>
    <row r="230" spans="1:15" x14ac:dyDescent="0.3">
      <c r="A230" s="3" t="str">
        <f>INDEX('R1. Scenario specifications'!$C$11:$C$49,MATCH($B230,'R1. Scenario specifications'!$A$11:$A$49,0))</f>
        <v>Current 1.5DS, 2020 start, 'Expect the Unexpected' but with cheap EVs</v>
      </c>
      <c r="B230" s="3" t="s">
        <v>25</v>
      </c>
      <c r="C230" s="3" t="s">
        <v>75</v>
      </c>
      <c r="D230" s="3" t="s">
        <v>258</v>
      </c>
      <c r="E230" s="14">
        <v>0.31124745380476826</v>
      </c>
      <c r="F230" s="14">
        <v>0.28314462712947408</v>
      </c>
      <c r="G230" s="14">
        <v>0.23818010444900301</v>
      </c>
      <c r="H230" s="14">
        <v>0.15878673629933501</v>
      </c>
      <c r="I230" s="14">
        <v>7.9393368149667701E-2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</row>
    <row r="231" spans="1:15" x14ac:dyDescent="0.3">
      <c r="A231" s="3" t="str">
        <f>INDEX('R1. Scenario specifications'!$C$11:$C$49,MATCH($B231,'R1. Scenario specifications'!$A$11:$A$49,0))</f>
        <v>Current 1.5DS, 2020 start, 'Expect the Unexpected' but with cheap EVs</v>
      </c>
      <c r="B231" s="3" t="s">
        <v>25</v>
      </c>
      <c r="C231" s="3" t="s">
        <v>72</v>
      </c>
      <c r="D231" s="3" t="s">
        <v>260</v>
      </c>
      <c r="E231" s="14">
        <v>217.76839471634247</v>
      </c>
      <c r="F231" s="14">
        <v>242.99857406704328</v>
      </c>
      <c r="G231" s="14">
        <v>365.36686102816424</v>
      </c>
      <c r="H231" s="14">
        <v>1756.2662000926357</v>
      </c>
      <c r="I231" s="14">
        <v>3917.2482591470057</v>
      </c>
      <c r="J231" s="14">
        <v>8463.0821751378153</v>
      </c>
      <c r="K231" s="14">
        <v>12197.143346427916</v>
      </c>
      <c r="L231" s="14">
        <v>10604.168791554728</v>
      </c>
      <c r="M231" s="14">
        <v>14631.870682426832</v>
      </c>
      <c r="N231" s="14">
        <v>19809.125731493794</v>
      </c>
      <c r="O231" s="14">
        <v>24964.583013626652</v>
      </c>
    </row>
    <row r="232" spans="1:15" x14ac:dyDescent="0.3">
      <c r="A232" s="3" t="str">
        <f>INDEX('R1. Scenario specifications'!$C$11:$C$49,MATCH($B232,'R1. Scenario specifications'!$A$11:$A$49,0))</f>
        <v>Current 2DS, 2030 start, 'Expect the Unexpected'</v>
      </c>
      <c r="B232" s="3" t="s">
        <v>26</v>
      </c>
      <c r="C232" s="3" t="s">
        <v>63</v>
      </c>
      <c r="D232" s="3" t="s">
        <v>253</v>
      </c>
      <c r="E232" s="14">
        <v>19.526838931037336</v>
      </c>
      <c r="F232" s="14">
        <v>26.141237482570887</v>
      </c>
      <c r="G232" s="14">
        <v>117.10981417316707</v>
      </c>
      <c r="H232" s="14">
        <v>412.30855682261659</v>
      </c>
      <c r="I232" s="14">
        <v>602.72432369780233</v>
      </c>
      <c r="J232" s="14">
        <v>598.58258776190337</v>
      </c>
      <c r="K232" s="14">
        <v>354.96594099758909</v>
      </c>
      <c r="L232" s="14">
        <v>155.03883638476026</v>
      </c>
      <c r="M232" s="14">
        <v>62.704058934617294</v>
      </c>
      <c r="N232" s="14">
        <v>6.14103391062564</v>
      </c>
      <c r="O232" s="14">
        <v>6.14103391062564</v>
      </c>
    </row>
    <row r="233" spans="1:15" x14ac:dyDescent="0.3">
      <c r="A233" s="3" t="str">
        <f>INDEX('R1. Scenario specifications'!$C$11:$C$49,MATCH($B233,'R1. Scenario specifications'!$A$11:$A$49,0))</f>
        <v>Current 2DS, 2030 start, 'Expect the Unexpected'</v>
      </c>
      <c r="B233" s="3" t="s">
        <v>26</v>
      </c>
      <c r="C233" s="3" t="s">
        <v>73</v>
      </c>
      <c r="D233" s="3" t="s">
        <v>253</v>
      </c>
      <c r="E233" s="14">
        <v>0</v>
      </c>
      <c r="F233" s="14">
        <v>0</v>
      </c>
      <c r="G233" s="14">
        <v>0</v>
      </c>
      <c r="H233" s="14">
        <v>0</v>
      </c>
      <c r="I233" s="14">
        <v>9.5132849581609964</v>
      </c>
      <c r="J233" s="14">
        <v>77.390648548820266</v>
      </c>
      <c r="K233" s="14">
        <v>455.8601295256662</v>
      </c>
      <c r="L233" s="14">
        <v>1303.3456053022935</v>
      </c>
      <c r="M233" s="14">
        <v>2325.1998745703163</v>
      </c>
      <c r="N233" s="14">
        <v>2880.7930112070185</v>
      </c>
      <c r="O233" s="14">
        <v>3139.5734124634268</v>
      </c>
    </row>
    <row r="234" spans="1:15" x14ac:dyDescent="0.3">
      <c r="A234" s="3" t="str">
        <f>INDEX('R1. Scenario specifications'!$C$11:$C$49,MATCH($B234,'R1. Scenario specifications'!$A$11:$A$49,0))</f>
        <v>Current 2DS, 2030 start, 'Expect the Unexpected'</v>
      </c>
      <c r="B234" s="3" t="s">
        <v>26</v>
      </c>
      <c r="C234" s="3" t="s">
        <v>64</v>
      </c>
      <c r="D234" s="3" t="s">
        <v>254</v>
      </c>
      <c r="E234" s="14">
        <v>1633.0249332809897</v>
      </c>
      <c r="F234" s="14">
        <v>1804.9999999999993</v>
      </c>
      <c r="G234" s="14">
        <v>1804.9999999999993</v>
      </c>
      <c r="H234" s="14">
        <v>1458.8285858367421</v>
      </c>
      <c r="I234" s="14">
        <v>457.93883170883436</v>
      </c>
      <c r="J234" s="14">
        <v>16.396787724521602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</row>
    <row r="235" spans="1:15" x14ac:dyDescent="0.3">
      <c r="A235" s="3" t="str">
        <f>INDEX('R1. Scenario specifications'!$C$11:$C$49,MATCH($B235,'R1. Scenario specifications'!$A$11:$A$49,0))</f>
        <v>Current 2DS, 2030 start, 'Expect the Unexpected'</v>
      </c>
      <c r="B235" s="3" t="s">
        <v>26</v>
      </c>
      <c r="C235" s="3" t="s">
        <v>65</v>
      </c>
      <c r="D235" s="3" t="s">
        <v>255</v>
      </c>
      <c r="E235" s="14">
        <v>1008.6224302831477</v>
      </c>
      <c r="F235" s="14">
        <v>1634.5557819505236</v>
      </c>
      <c r="G235" s="14">
        <v>2111.6960266729702</v>
      </c>
      <c r="H235" s="14">
        <v>1960.1606269560627</v>
      </c>
      <c r="I235" s="14">
        <v>1058.3579543674473</v>
      </c>
      <c r="J235" s="14">
        <v>671.80423969475453</v>
      </c>
      <c r="K235" s="14">
        <v>1023.2466793825735</v>
      </c>
      <c r="L235" s="14">
        <v>967.10356752615428</v>
      </c>
      <c r="M235" s="14">
        <v>542.75836728930915</v>
      </c>
      <c r="N235" s="14">
        <v>246.3077219247084</v>
      </c>
      <c r="O235" s="14">
        <v>315.85550063469134</v>
      </c>
    </row>
    <row r="236" spans="1:15" x14ac:dyDescent="0.3">
      <c r="A236" s="3" t="str">
        <f>INDEX('R1. Scenario specifications'!$C$11:$C$49,MATCH($B236,'R1. Scenario specifications'!$A$11:$A$49,0))</f>
        <v>Current 2DS, 2030 start, 'Expect the Unexpected'</v>
      </c>
      <c r="B236" s="3" t="s">
        <v>26</v>
      </c>
      <c r="C236" s="3" t="s">
        <v>74</v>
      </c>
      <c r="D236" s="3" t="s">
        <v>255</v>
      </c>
      <c r="E236" s="14">
        <v>0</v>
      </c>
      <c r="F236" s="14">
        <v>0</v>
      </c>
      <c r="G236" s="14">
        <v>0</v>
      </c>
      <c r="H236" s="14">
        <v>0</v>
      </c>
      <c r="I236" s="14">
        <v>1.9096630089152191</v>
      </c>
      <c r="J236" s="14">
        <v>7.0661477245220263</v>
      </c>
      <c r="K236" s="14">
        <v>44.842001224644314</v>
      </c>
      <c r="L236" s="14">
        <v>133.22311211180258</v>
      </c>
      <c r="M236" s="14">
        <v>547.68424947613426</v>
      </c>
      <c r="N236" s="14">
        <v>1142.9293623095964</v>
      </c>
      <c r="O236" s="14">
        <v>1317.8632044220644</v>
      </c>
    </row>
    <row r="237" spans="1:15" x14ac:dyDescent="0.3">
      <c r="A237" s="3" t="str">
        <f>INDEX('R1. Scenario specifications'!$C$11:$C$49,MATCH($B237,'R1. Scenario specifications'!$A$11:$A$49,0))</f>
        <v>Current 2DS, 2030 start, 'Expect the Unexpected'</v>
      </c>
      <c r="B237" s="3" t="s">
        <v>26</v>
      </c>
      <c r="C237" s="3" t="s">
        <v>66</v>
      </c>
      <c r="D237" s="3" t="s">
        <v>258</v>
      </c>
      <c r="E237" s="14">
        <v>31.122062759818384</v>
      </c>
      <c r="F237" s="14">
        <v>28.670816918420648</v>
      </c>
      <c r="G237" s="14">
        <v>113.13800421894352</v>
      </c>
      <c r="H237" s="14">
        <v>158.43269338625092</v>
      </c>
      <c r="I237" s="14">
        <v>205.64884015603394</v>
      </c>
      <c r="J237" s="14">
        <v>291.37269828849674</v>
      </c>
      <c r="K237" s="14">
        <v>483.3644139202882</v>
      </c>
      <c r="L237" s="14">
        <v>498.59329028605845</v>
      </c>
      <c r="M237" s="14">
        <v>535.56843525176305</v>
      </c>
      <c r="N237" s="14">
        <v>773.89896267072868</v>
      </c>
      <c r="O237" s="14">
        <v>965.29436316305794</v>
      </c>
    </row>
    <row r="238" spans="1:15" x14ac:dyDescent="0.3">
      <c r="A238" s="3" t="str">
        <f>INDEX('R1. Scenario specifications'!$C$11:$C$49,MATCH($B238,'R1. Scenario specifications'!$A$11:$A$49,0))</f>
        <v>Current 2DS, 2030 start, 'Expect the Unexpected'</v>
      </c>
      <c r="B238" s="3" t="s">
        <v>26</v>
      </c>
      <c r="C238" s="3" t="s">
        <v>67</v>
      </c>
      <c r="D238" s="3" t="s">
        <v>256</v>
      </c>
      <c r="E238" s="14">
        <v>738.24098154394619</v>
      </c>
      <c r="F238" s="14">
        <v>744.22477031191352</v>
      </c>
      <c r="G238" s="14">
        <v>999.8328246673068</v>
      </c>
      <c r="H238" s="14">
        <v>1153.8656291758321</v>
      </c>
      <c r="I238" s="14">
        <v>1316.819613660105</v>
      </c>
      <c r="J238" s="14">
        <v>1644.8187823973142</v>
      </c>
      <c r="K238" s="14">
        <v>1830.2158591044231</v>
      </c>
      <c r="L238" s="14">
        <v>1935.4769518771145</v>
      </c>
      <c r="M238" s="14">
        <v>2275.9502980941329</v>
      </c>
      <c r="N238" s="14">
        <v>3029.2197173139352</v>
      </c>
      <c r="O238" s="14">
        <v>3238.4184704804256</v>
      </c>
    </row>
    <row r="239" spans="1:15" x14ac:dyDescent="0.3">
      <c r="A239" s="3" t="str">
        <f>INDEX('R1. Scenario specifications'!$C$11:$C$49,MATCH($B239,'R1. Scenario specifications'!$A$11:$A$49,0))</f>
        <v>Current 2DS, 2030 start, 'Expect the Unexpected'</v>
      </c>
      <c r="B239" s="3" t="s">
        <v>26</v>
      </c>
      <c r="C239" s="3" t="s">
        <v>68</v>
      </c>
      <c r="D239" s="3" t="s">
        <v>257</v>
      </c>
      <c r="E239" s="14">
        <v>381.69394199846289</v>
      </c>
      <c r="F239" s="14">
        <v>393.99999999999972</v>
      </c>
      <c r="G239" s="14">
        <v>647.54384646462074</v>
      </c>
      <c r="H239" s="14">
        <v>599.60750408611364</v>
      </c>
      <c r="I239" s="14">
        <v>574.22438013504609</v>
      </c>
      <c r="J239" s="14">
        <v>889.70484956154769</v>
      </c>
      <c r="K239" s="14">
        <v>1092.6765059822899</v>
      </c>
      <c r="L239" s="14">
        <v>1222.0544526066371</v>
      </c>
      <c r="M239" s="14">
        <v>1334.1292270954891</v>
      </c>
      <c r="N239" s="14">
        <v>1433.4555371194481</v>
      </c>
      <c r="O239" s="14">
        <v>1482.4943388069476</v>
      </c>
    </row>
    <row r="240" spans="1:15" x14ac:dyDescent="0.3">
      <c r="A240" s="3" t="str">
        <f>INDEX('R1. Scenario specifications'!$C$11:$C$49,MATCH($B240,'R1. Scenario specifications'!$A$11:$A$49,0))</f>
        <v>Current 2DS, 2030 start, 'Expect the Unexpected'</v>
      </c>
      <c r="B240" s="3" t="s">
        <v>26</v>
      </c>
      <c r="C240" s="3" t="s">
        <v>69</v>
      </c>
      <c r="D240" s="3" t="s">
        <v>258</v>
      </c>
      <c r="E240" s="14">
        <v>430.81063106061174</v>
      </c>
      <c r="F240" s="14">
        <v>452.4364981864552</v>
      </c>
      <c r="G240" s="14">
        <v>452.8330666776244</v>
      </c>
      <c r="H240" s="14">
        <v>256.83855764560741</v>
      </c>
      <c r="I240" s="14">
        <v>143.70504974611441</v>
      </c>
      <c r="J240" s="14">
        <v>18.43905472635635</v>
      </c>
      <c r="K240" s="14">
        <v>13.8182633959323</v>
      </c>
      <c r="L240" s="14">
        <v>21.37460091168515</v>
      </c>
      <c r="M240" s="14">
        <v>85.281274899831772</v>
      </c>
      <c r="N240" s="14">
        <v>129.94282529539564</v>
      </c>
      <c r="O240" s="14">
        <v>151.17551944401231</v>
      </c>
    </row>
    <row r="241" spans="1:15" x14ac:dyDescent="0.3">
      <c r="A241" s="3" t="str">
        <f>INDEX('R1. Scenario specifications'!$C$11:$C$49,MATCH($B241,'R1. Scenario specifications'!$A$11:$A$49,0))</f>
        <v>Current 2DS, 2030 start, 'Expect the Unexpected'</v>
      </c>
      <c r="B241" s="3" t="s">
        <v>26</v>
      </c>
      <c r="C241" s="3" t="s">
        <v>70</v>
      </c>
      <c r="D241" s="3" t="s">
        <v>259</v>
      </c>
      <c r="E241" s="14">
        <v>13.930776255707762</v>
      </c>
      <c r="F241" s="14">
        <v>96.560908546679059</v>
      </c>
      <c r="G241" s="14">
        <v>193.62720812488871</v>
      </c>
      <c r="H241" s="14">
        <v>564.29121895346805</v>
      </c>
      <c r="I241" s="14">
        <v>2331.9132434416242</v>
      </c>
      <c r="J241" s="14">
        <v>5335.3686909563794</v>
      </c>
      <c r="K241" s="14">
        <v>7221.216999835282</v>
      </c>
      <c r="L241" s="14">
        <v>9054.3542093495107</v>
      </c>
      <c r="M241" s="14">
        <v>12784.537763490245</v>
      </c>
      <c r="N241" s="14">
        <v>19379.300174402088</v>
      </c>
      <c r="O241" s="14">
        <v>21533.841990579916</v>
      </c>
    </row>
    <row r="242" spans="1:15" x14ac:dyDescent="0.3">
      <c r="A242" s="3" t="str">
        <f>INDEX('R1. Scenario specifications'!$C$11:$C$49,MATCH($B242,'R1. Scenario specifications'!$A$11:$A$49,0))</f>
        <v>Current 2DS, 2030 start, 'Expect the Unexpected'</v>
      </c>
      <c r="B242" s="3" t="s">
        <v>26</v>
      </c>
      <c r="C242" s="3" t="s">
        <v>71</v>
      </c>
      <c r="D242" s="3" t="s">
        <v>259</v>
      </c>
      <c r="E242" s="14">
        <v>11.2241111111111</v>
      </c>
      <c r="F242" s="14">
        <v>12.249511111111101</v>
      </c>
      <c r="G242" s="14">
        <v>13.0611055551111</v>
      </c>
      <c r="H242" s="14">
        <v>13.059905555111095</v>
      </c>
      <c r="I242" s="14">
        <v>13.056802652205363</v>
      </c>
      <c r="J242" s="14">
        <v>13.058648114916753</v>
      </c>
      <c r="K242" s="14">
        <v>13.075532594247676</v>
      </c>
      <c r="L242" s="14">
        <v>13.162565933585491</v>
      </c>
      <c r="M242" s="14">
        <v>13.373834703446189</v>
      </c>
      <c r="N242" s="14">
        <v>14.398320817202183</v>
      </c>
      <c r="O242" s="14">
        <v>14.395920817202184</v>
      </c>
    </row>
    <row r="243" spans="1:15" x14ac:dyDescent="0.3">
      <c r="A243" s="3" t="str">
        <f>INDEX('R1. Scenario specifications'!$C$11:$C$49,MATCH($B243,'R1. Scenario specifications'!$A$11:$A$49,0))</f>
        <v>Current 2DS, 2030 start, 'Expect the Unexpected'</v>
      </c>
      <c r="B243" s="3" t="s">
        <v>26</v>
      </c>
      <c r="C243" s="3" t="s">
        <v>75</v>
      </c>
      <c r="D243" s="3" t="s">
        <v>258</v>
      </c>
      <c r="E243" s="14">
        <v>0.31124745380476826</v>
      </c>
      <c r="F243" s="14">
        <v>0.28314462712947408</v>
      </c>
      <c r="G243" s="14">
        <v>0.23818010444900301</v>
      </c>
      <c r="H243" s="14">
        <v>0.15878673629933501</v>
      </c>
      <c r="I243" s="14">
        <v>7.9393368149667701E-2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</row>
    <row r="244" spans="1:15" x14ac:dyDescent="0.3">
      <c r="A244" s="3" t="str">
        <f>INDEX('R1. Scenario specifications'!$C$11:$C$49,MATCH($B244,'R1. Scenario specifications'!$A$11:$A$49,0))</f>
        <v>Current 2DS, 2030 start, 'Expect the Unexpected'</v>
      </c>
      <c r="B244" s="3" t="s">
        <v>26</v>
      </c>
      <c r="C244" s="3" t="s">
        <v>72</v>
      </c>
      <c r="D244" s="3" t="s">
        <v>260</v>
      </c>
      <c r="E244" s="14">
        <v>217.76839471634247</v>
      </c>
      <c r="F244" s="14">
        <v>242.99857406704328</v>
      </c>
      <c r="G244" s="14">
        <v>365.36686102816424</v>
      </c>
      <c r="H244" s="14">
        <v>1381.7602614741115</v>
      </c>
      <c r="I244" s="14">
        <v>3506.4442368443501</v>
      </c>
      <c r="J244" s="14">
        <v>4632.821594564115</v>
      </c>
      <c r="K244" s="14">
        <v>6459.7427946771231</v>
      </c>
      <c r="L244" s="14">
        <v>8380.2684973596934</v>
      </c>
      <c r="M244" s="14">
        <v>11877.635755998443</v>
      </c>
      <c r="N244" s="14">
        <v>19316.357285098136</v>
      </c>
      <c r="O244" s="14">
        <v>23735.678280562322</v>
      </c>
    </row>
    <row r="245" spans="1:15" x14ac:dyDescent="0.3">
      <c r="A245" s="3" t="str">
        <f>INDEX('R1. Scenario specifications'!$C$11:$C$49,MATCH($B245,'R1. Scenario specifications'!$A$11:$A$49,0))</f>
        <v>Current 1.5DS, 2030 start, 'Expect the Unexpected' but with cheap EVs</v>
      </c>
      <c r="B245" s="3" t="s">
        <v>27</v>
      </c>
      <c r="C245" s="3" t="s">
        <v>63</v>
      </c>
      <c r="D245" s="3" t="s">
        <v>253</v>
      </c>
      <c r="E245" s="14">
        <v>19.526838931037336</v>
      </c>
      <c r="F245" s="14">
        <v>26.141237482570887</v>
      </c>
      <c r="G245" s="14">
        <v>117.10981417316707</v>
      </c>
      <c r="H245" s="14">
        <v>412.30855682261659</v>
      </c>
      <c r="I245" s="14">
        <v>1111.5728816599531</v>
      </c>
      <c r="J245" s="14">
        <v>1016.4539214828478</v>
      </c>
      <c r="K245" s="14">
        <v>733.16917074685648</v>
      </c>
      <c r="L245" s="14">
        <v>24.393508171876718</v>
      </c>
      <c r="M245" s="14">
        <v>29.850108828863398</v>
      </c>
      <c r="N245" s="14">
        <v>27.180013461275017</v>
      </c>
      <c r="O245" s="14">
        <v>27.180013461275017</v>
      </c>
    </row>
    <row r="246" spans="1:15" x14ac:dyDescent="0.3">
      <c r="A246" s="3" t="str">
        <f>INDEX('R1. Scenario specifications'!$C$11:$C$49,MATCH($B246,'R1. Scenario specifications'!$A$11:$A$49,0))</f>
        <v>Current 1.5DS, 2030 start, 'Expect the Unexpected' but with cheap EVs</v>
      </c>
      <c r="B246" s="3" t="s">
        <v>27</v>
      </c>
      <c r="C246" s="3" t="s">
        <v>73</v>
      </c>
      <c r="D246" s="3" t="s">
        <v>253</v>
      </c>
      <c r="E246" s="14">
        <v>0</v>
      </c>
      <c r="F246" s="14">
        <v>0</v>
      </c>
      <c r="G246" s="14">
        <v>0</v>
      </c>
      <c r="H246" s="14">
        <v>0</v>
      </c>
      <c r="I246" s="14">
        <v>12.004836000000003</v>
      </c>
      <c r="J246" s="14">
        <v>908.79946086169457</v>
      </c>
      <c r="K246" s="14">
        <v>2997.9164806863037</v>
      </c>
      <c r="L246" s="14">
        <v>4216.3864247643342</v>
      </c>
      <c r="M246" s="14">
        <v>3373.7182112198016</v>
      </c>
      <c r="N246" s="14">
        <v>1956.5374265551093</v>
      </c>
      <c r="O246" s="14">
        <v>2374.1176121981239</v>
      </c>
    </row>
    <row r="247" spans="1:15" x14ac:dyDescent="0.3">
      <c r="A247" s="3" t="str">
        <f>INDEX('R1. Scenario specifications'!$C$11:$C$49,MATCH($B247,'R1. Scenario specifications'!$A$11:$A$49,0))</f>
        <v>Current 1.5DS, 2030 start, 'Expect the Unexpected' but with cheap EVs</v>
      </c>
      <c r="B247" s="3" t="s">
        <v>27</v>
      </c>
      <c r="C247" s="3" t="s">
        <v>64</v>
      </c>
      <c r="D247" s="3" t="s">
        <v>254</v>
      </c>
      <c r="E247" s="14">
        <v>1633.0249332809897</v>
      </c>
      <c r="F247" s="14">
        <v>1804.9999999999993</v>
      </c>
      <c r="G247" s="14">
        <v>1804.9999999999993</v>
      </c>
      <c r="H247" s="14">
        <v>1458.8285858367421</v>
      </c>
      <c r="I247" s="14">
        <v>457.93883170883436</v>
      </c>
      <c r="J247" s="14">
        <v>16.396787724521602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</row>
    <row r="248" spans="1:15" x14ac:dyDescent="0.3">
      <c r="A248" s="3" t="str">
        <f>INDEX('R1. Scenario specifications'!$C$11:$C$49,MATCH($B248,'R1. Scenario specifications'!$A$11:$A$49,0))</f>
        <v>Current 1.5DS, 2030 start, 'Expect the Unexpected' but with cheap EVs</v>
      </c>
      <c r="B248" s="3" t="s">
        <v>27</v>
      </c>
      <c r="C248" s="3" t="s">
        <v>65</v>
      </c>
      <c r="D248" s="3" t="s">
        <v>255</v>
      </c>
      <c r="E248" s="14">
        <v>1008.6224302831477</v>
      </c>
      <c r="F248" s="14">
        <v>1634.5557819505236</v>
      </c>
      <c r="G248" s="14">
        <v>2111.6960266729702</v>
      </c>
      <c r="H248" s="14">
        <v>1960.1606269560627</v>
      </c>
      <c r="I248" s="14">
        <v>1232.4505373108543</v>
      </c>
      <c r="J248" s="14">
        <v>397.92238395951267</v>
      </c>
      <c r="K248" s="14">
        <v>412.8219166381341</v>
      </c>
      <c r="L248" s="14">
        <v>272.36098092156391</v>
      </c>
      <c r="M248" s="14">
        <v>653.72951435576783</v>
      </c>
      <c r="N248" s="14">
        <v>867.39698275868886</v>
      </c>
      <c r="O248" s="14">
        <v>714.07828386833489</v>
      </c>
    </row>
    <row r="249" spans="1:15" x14ac:dyDescent="0.3">
      <c r="A249" s="3" t="str">
        <f>INDEX('R1. Scenario specifications'!$C$11:$C$49,MATCH($B249,'R1. Scenario specifications'!$A$11:$A$49,0))</f>
        <v>Current 1.5DS, 2030 start, 'Expect the Unexpected' but with cheap EVs</v>
      </c>
      <c r="B249" s="3" t="s">
        <v>27</v>
      </c>
      <c r="C249" s="3" t="s">
        <v>74</v>
      </c>
      <c r="D249" s="3" t="s">
        <v>255</v>
      </c>
      <c r="E249" s="14">
        <v>0</v>
      </c>
      <c r="F249" s="14">
        <v>0</v>
      </c>
      <c r="G249" s="14">
        <v>0</v>
      </c>
      <c r="H249" s="14">
        <v>0</v>
      </c>
      <c r="I249" s="14">
        <v>3.0012089999999998</v>
      </c>
      <c r="J249" s="14">
        <v>371.86724968276388</v>
      </c>
      <c r="K249" s="14">
        <v>1277.9688759962896</v>
      </c>
      <c r="L249" s="14">
        <v>1836.8038526582397</v>
      </c>
      <c r="M249" s="14">
        <v>1467.9378119754765</v>
      </c>
      <c r="N249" s="14">
        <v>562.59101525186088</v>
      </c>
      <c r="O249" s="14">
        <v>116.10217837670646</v>
      </c>
    </row>
    <row r="250" spans="1:15" x14ac:dyDescent="0.3">
      <c r="A250" s="3" t="str">
        <f>INDEX('R1. Scenario specifications'!$C$11:$C$49,MATCH($B250,'R1. Scenario specifications'!$A$11:$A$49,0))</f>
        <v>Current 1.5DS, 2030 start, 'Expect the Unexpected' but with cheap EVs</v>
      </c>
      <c r="B250" s="3" t="s">
        <v>27</v>
      </c>
      <c r="C250" s="3" t="s">
        <v>66</v>
      </c>
      <c r="D250" s="3" t="s">
        <v>258</v>
      </c>
      <c r="E250" s="14">
        <v>31.122062759818384</v>
      </c>
      <c r="F250" s="14">
        <v>28.670816918420648</v>
      </c>
      <c r="G250" s="14">
        <v>113.13800421894352</v>
      </c>
      <c r="H250" s="14">
        <v>158.43269338625092</v>
      </c>
      <c r="I250" s="14">
        <v>565.62342469406701</v>
      </c>
      <c r="J250" s="14">
        <v>1258.3234574336784</v>
      </c>
      <c r="K250" s="14">
        <v>1247.8168550772416</v>
      </c>
      <c r="L250" s="14">
        <v>1196.6802766124113</v>
      </c>
      <c r="M250" s="14">
        <v>804.03909000275644</v>
      </c>
      <c r="N250" s="14">
        <v>258.02316960216922</v>
      </c>
      <c r="O250" s="14">
        <v>374.19971920738647</v>
      </c>
    </row>
    <row r="251" spans="1:15" x14ac:dyDescent="0.3">
      <c r="A251" s="3" t="str">
        <f>INDEX('R1. Scenario specifications'!$C$11:$C$49,MATCH($B251,'R1. Scenario specifications'!$A$11:$A$49,0))</f>
        <v>Current 1.5DS, 2030 start, 'Expect the Unexpected' but with cheap EVs</v>
      </c>
      <c r="B251" s="3" t="s">
        <v>27</v>
      </c>
      <c r="C251" s="3" t="s">
        <v>67</v>
      </c>
      <c r="D251" s="3" t="s">
        <v>256</v>
      </c>
      <c r="E251" s="14">
        <v>738.24098154394619</v>
      </c>
      <c r="F251" s="14">
        <v>744.22477031191352</v>
      </c>
      <c r="G251" s="14">
        <v>999.8328246673068</v>
      </c>
      <c r="H251" s="14">
        <v>1153.8656291758321</v>
      </c>
      <c r="I251" s="14">
        <v>1386.7858339639997</v>
      </c>
      <c r="J251" s="14">
        <v>2145.4098679773879</v>
      </c>
      <c r="K251" s="14">
        <v>2931.9785695892369</v>
      </c>
      <c r="L251" s="14">
        <v>2940.7874828589756</v>
      </c>
      <c r="M251" s="14">
        <v>2950.6443610806373</v>
      </c>
      <c r="N251" s="14">
        <v>3092.0133479886413</v>
      </c>
      <c r="O251" s="14">
        <v>3301.6424126412417</v>
      </c>
    </row>
    <row r="252" spans="1:15" x14ac:dyDescent="0.3">
      <c r="A252" s="3" t="str">
        <f>INDEX('R1. Scenario specifications'!$C$11:$C$49,MATCH($B252,'R1. Scenario specifications'!$A$11:$A$49,0))</f>
        <v>Current 1.5DS, 2030 start, 'Expect the Unexpected' but with cheap EVs</v>
      </c>
      <c r="B252" s="3" t="s">
        <v>27</v>
      </c>
      <c r="C252" s="3" t="s">
        <v>68</v>
      </c>
      <c r="D252" s="3" t="s">
        <v>257</v>
      </c>
      <c r="E252" s="14">
        <v>381.69394199846289</v>
      </c>
      <c r="F252" s="14">
        <v>393.99999999999972</v>
      </c>
      <c r="G252" s="14">
        <v>647.54384646462074</v>
      </c>
      <c r="H252" s="14">
        <v>599.60750408611364</v>
      </c>
      <c r="I252" s="14">
        <v>574.22438013504609</v>
      </c>
      <c r="J252" s="14">
        <v>865.23704110303333</v>
      </c>
      <c r="K252" s="14">
        <v>994.28048426658029</v>
      </c>
      <c r="L252" s="14">
        <v>1075.5589645425534</v>
      </c>
      <c r="M252" s="14">
        <v>1132.433031839347</v>
      </c>
      <c r="N252" s="14">
        <v>1275.6244308666649</v>
      </c>
      <c r="O252" s="14">
        <v>1229.9806442700608</v>
      </c>
    </row>
    <row r="253" spans="1:15" x14ac:dyDescent="0.3">
      <c r="A253" s="3" t="str">
        <f>INDEX('R1. Scenario specifications'!$C$11:$C$49,MATCH($B253,'R1. Scenario specifications'!$A$11:$A$49,0))</f>
        <v>Current 1.5DS, 2030 start, 'Expect the Unexpected' but with cheap EVs</v>
      </c>
      <c r="B253" s="3" t="s">
        <v>27</v>
      </c>
      <c r="C253" s="3" t="s">
        <v>69</v>
      </c>
      <c r="D253" s="3" t="s">
        <v>258</v>
      </c>
      <c r="E253" s="14">
        <v>430.81063106061174</v>
      </c>
      <c r="F253" s="14">
        <v>452.4364981864552</v>
      </c>
      <c r="G253" s="14">
        <v>452.8330666776244</v>
      </c>
      <c r="H253" s="14">
        <v>256.83855764560741</v>
      </c>
      <c r="I253" s="14">
        <v>126.58618740299804</v>
      </c>
      <c r="J253" s="14">
        <v>8.8019403714486</v>
      </c>
      <c r="K253" s="14">
        <v>46.395613096739311</v>
      </c>
      <c r="L253" s="14">
        <v>49.374348609343109</v>
      </c>
      <c r="M253" s="14">
        <v>42.432010685384697</v>
      </c>
      <c r="N253" s="14">
        <v>49.442355338528102</v>
      </c>
      <c r="O253" s="14">
        <v>163.06604698614996</v>
      </c>
    </row>
    <row r="254" spans="1:15" x14ac:dyDescent="0.3">
      <c r="A254" s="3" t="str">
        <f>INDEX('R1. Scenario specifications'!$C$11:$C$49,MATCH($B254,'R1. Scenario specifications'!$A$11:$A$49,0))</f>
        <v>Current 1.5DS, 2030 start, 'Expect the Unexpected' but with cheap EVs</v>
      </c>
      <c r="B254" s="3" t="s">
        <v>27</v>
      </c>
      <c r="C254" s="3" t="s">
        <v>70</v>
      </c>
      <c r="D254" s="3" t="s">
        <v>259</v>
      </c>
      <c r="E254" s="14">
        <v>13.930776255707762</v>
      </c>
      <c r="F254" s="14">
        <v>96.560908546679059</v>
      </c>
      <c r="G254" s="14">
        <v>193.62720812488871</v>
      </c>
      <c r="H254" s="14">
        <v>564.29121895346805</v>
      </c>
      <c r="I254" s="14">
        <v>2454.2988184008732</v>
      </c>
      <c r="J254" s="14">
        <v>7059.1870227812087</v>
      </c>
      <c r="K254" s="14">
        <v>16693.810929100691</v>
      </c>
      <c r="L254" s="14">
        <v>17023.355181220755</v>
      </c>
      <c r="M254" s="14">
        <v>17082.337552047789</v>
      </c>
      <c r="N254" s="14">
        <v>18094.183038500989</v>
      </c>
      <c r="O254" s="14">
        <v>18954.431800857335</v>
      </c>
    </row>
    <row r="255" spans="1:15" x14ac:dyDescent="0.3">
      <c r="A255" s="3" t="str">
        <f>INDEX('R1. Scenario specifications'!$C$11:$C$49,MATCH($B255,'R1. Scenario specifications'!$A$11:$A$49,0))</f>
        <v>Current 1.5DS, 2030 start, 'Expect the Unexpected' but with cheap EVs</v>
      </c>
      <c r="B255" s="3" t="s">
        <v>27</v>
      </c>
      <c r="C255" s="3" t="s">
        <v>71</v>
      </c>
      <c r="D255" s="3" t="s">
        <v>259</v>
      </c>
      <c r="E255" s="14">
        <v>11.2241111111111</v>
      </c>
      <c r="F255" s="14">
        <v>12.249511111111101</v>
      </c>
      <c r="G255" s="14">
        <v>13.0611055551111</v>
      </c>
      <c r="H255" s="14">
        <v>13.059905555111095</v>
      </c>
      <c r="I255" s="14">
        <v>55.923505900220221</v>
      </c>
      <c r="J255" s="14">
        <v>58.654773903414529</v>
      </c>
      <c r="K255" s="14">
        <v>63.052947139843852</v>
      </c>
      <c r="L255" s="14">
        <v>63.094081794733754</v>
      </c>
      <c r="M255" s="14">
        <v>63.090925881157986</v>
      </c>
      <c r="N255" s="14">
        <v>63.088027354324538</v>
      </c>
      <c r="O255" s="14">
        <v>63.08522735432453</v>
      </c>
    </row>
    <row r="256" spans="1:15" x14ac:dyDescent="0.3">
      <c r="A256" s="3" t="str">
        <f>INDEX('R1. Scenario specifications'!$C$11:$C$49,MATCH($B256,'R1. Scenario specifications'!$A$11:$A$49,0))</f>
        <v>Current 1.5DS, 2030 start, 'Expect the Unexpected' but with cheap EVs</v>
      </c>
      <c r="B256" s="3" t="s">
        <v>27</v>
      </c>
      <c r="C256" s="3" t="s">
        <v>75</v>
      </c>
      <c r="D256" s="3" t="s">
        <v>258</v>
      </c>
      <c r="E256" s="14">
        <v>0.31124745380476826</v>
      </c>
      <c r="F256" s="14">
        <v>0.28314462712947408</v>
      </c>
      <c r="G256" s="14">
        <v>0.23818010444900301</v>
      </c>
      <c r="H256" s="14">
        <v>0.15878673629933501</v>
      </c>
      <c r="I256" s="14">
        <v>7.9393368149667701E-2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</row>
    <row r="257" spans="1:15" x14ac:dyDescent="0.3">
      <c r="A257" s="3" t="str">
        <f>INDEX('R1. Scenario specifications'!$C$11:$C$49,MATCH($B257,'R1. Scenario specifications'!$A$11:$A$49,0))</f>
        <v>Current 1.5DS, 2030 start, 'Expect the Unexpected' but with cheap EVs</v>
      </c>
      <c r="B257" s="3" t="s">
        <v>27</v>
      </c>
      <c r="C257" s="3" t="s">
        <v>72</v>
      </c>
      <c r="D257" s="3" t="s">
        <v>260</v>
      </c>
      <c r="E257" s="14">
        <v>217.76839471634247</v>
      </c>
      <c r="F257" s="14">
        <v>242.99857406704328</v>
      </c>
      <c r="G257" s="14">
        <v>365.36686102816424</v>
      </c>
      <c r="H257" s="14">
        <v>1381.7602614741115</v>
      </c>
      <c r="I257" s="14">
        <v>3110.5981610377039</v>
      </c>
      <c r="J257" s="14">
        <v>6663.1508385911402</v>
      </c>
      <c r="K257" s="14">
        <v>14154.780482367878</v>
      </c>
      <c r="L257" s="14">
        <v>11396.322527595574</v>
      </c>
      <c r="M257" s="14">
        <v>9669.954228531109</v>
      </c>
      <c r="N257" s="14">
        <v>12510.74754014618</v>
      </c>
      <c r="O257" s="14">
        <v>16231.227091015575</v>
      </c>
    </row>
    <row r="258" spans="1:15" x14ac:dyDescent="0.3">
      <c r="A258" s="3" t="str">
        <f>INDEX('R1. Scenario specifications'!$C$11:$C$49,MATCH($B258,'R1. Scenario specifications'!$A$11:$A$49,0))</f>
        <v>Current 1.5DS, 2020 start, 'Expect the Unexpected' but with cheap energy efficiency</v>
      </c>
      <c r="B258" s="3" t="s">
        <v>28</v>
      </c>
      <c r="C258" s="3" t="s">
        <v>63</v>
      </c>
      <c r="D258" s="3" t="s">
        <v>253</v>
      </c>
      <c r="E258" s="14">
        <v>19.526838931037336</v>
      </c>
      <c r="F258" s="14">
        <v>26.141237482570887</v>
      </c>
      <c r="G258" s="14">
        <v>117.10981417316707</v>
      </c>
      <c r="H258" s="14">
        <v>561.48305638474642</v>
      </c>
      <c r="I258" s="14">
        <v>654.80920690676885</v>
      </c>
      <c r="J258" s="14">
        <v>552.1916596101014</v>
      </c>
      <c r="K258" s="14">
        <v>108.98206580510818</v>
      </c>
      <c r="L258" s="14">
        <v>6.1445775454426101</v>
      </c>
      <c r="M258" s="14">
        <v>9.1982872531499105</v>
      </c>
      <c r="N258" s="14">
        <v>3.0537097077072999</v>
      </c>
      <c r="O258" s="14">
        <v>3.0537097077072999</v>
      </c>
    </row>
    <row r="259" spans="1:15" x14ac:dyDescent="0.3">
      <c r="A259" s="3" t="str">
        <f>INDEX('R1. Scenario specifications'!$C$11:$C$49,MATCH($B259,'R1. Scenario specifications'!$A$11:$A$49,0))</f>
        <v>Current 1.5DS, 2020 start, 'Expect the Unexpected' but with cheap energy efficiency</v>
      </c>
      <c r="B259" s="3" t="s">
        <v>28</v>
      </c>
      <c r="C259" s="3" t="s">
        <v>73</v>
      </c>
      <c r="D259" s="3" t="s">
        <v>253</v>
      </c>
      <c r="E259" s="14">
        <v>0</v>
      </c>
      <c r="F259" s="14">
        <v>0</v>
      </c>
      <c r="G259" s="14">
        <v>0</v>
      </c>
      <c r="H259" s="14">
        <v>14.511077334403916</v>
      </c>
      <c r="I259" s="14">
        <v>381.85766222928328</v>
      </c>
      <c r="J259" s="14">
        <v>1329.1164630074397</v>
      </c>
      <c r="K259" s="14">
        <v>2388.4356282309736</v>
      </c>
      <c r="L259" s="14">
        <v>2592.0881552144115</v>
      </c>
      <c r="M259" s="14">
        <v>2433.325347570511</v>
      </c>
      <c r="N259" s="14">
        <v>2935.937206229426</v>
      </c>
      <c r="O259" s="14">
        <v>3202.7142626000114</v>
      </c>
    </row>
    <row r="260" spans="1:15" x14ac:dyDescent="0.3">
      <c r="A260" s="3" t="str">
        <f>INDEX('R1. Scenario specifications'!$C$11:$C$49,MATCH($B260,'R1. Scenario specifications'!$A$11:$A$49,0))</f>
        <v>Current 1.5DS, 2020 start, 'Expect the Unexpected' but with cheap energy efficiency</v>
      </c>
      <c r="B260" s="3" t="s">
        <v>28</v>
      </c>
      <c r="C260" s="3" t="s">
        <v>64</v>
      </c>
      <c r="D260" s="3" t="s">
        <v>254</v>
      </c>
      <c r="E260" s="14">
        <v>1633.0249332809897</v>
      </c>
      <c r="F260" s="14">
        <v>1804.9999999999993</v>
      </c>
      <c r="G260" s="14">
        <v>1804.9999999999993</v>
      </c>
      <c r="H260" s="14">
        <v>1442.4317981122206</v>
      </c>
      <c r="I260" s="14">
        <v>441.54204398431278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</row>
    <row r="261" spans="1:15" x14ac:dyDescent="0.3">
      <c r="A261" s="3" t="str">
        <f>INDEX('R1. Scenario specifications'!$C$11:$C$49,MATCH($B261,'R1. Scenario specifications'!$A$11:$A$49,0))</f>
        <v>Current 1.5DS, 2020 start, 'Expect the Unexpected' but with cheap energy efficiency</v>
      </c>
      <c r="B261" s="3" t="s">
        <v>28</v>
      </c>
      <c r="C261" s="3" t="s">
        <v>65</v>
      </c>
      <c r="D261" s="3" t="s">
        <v>255</v>
      </c>
      <c r="E261" s="14">
        <v>1008.6224302831477</v>
      </c>
      <c r="F261" s="14">
        <v>1634.5557819505236</v>
      </c>
      <c r="G261" s="14">
        <v>2111.6960266729702</v>
      </c>
      <c r="H261" s="14">
        <v>2331.117077464015</v>
      </c>
      <c r="I261" s="14">
        <v>1403.0701494338077</v>
      </c>
      <c r="J261" s="14">
        <v>517.64201037655346</v>
      </c>
      <c r="K261" s="14">
        <v>205.94427112645371</v>
      </c>
      <c r="L261" s="14">
        <v>110.93639286072249</v>
      </c>
      <c r="M261" s="14">
        <v>206.09366334879431</v>
      </c>
      <c r="N261" s="14">
        <v>198.11752305102837</v>
      </c>
      <c r="O261" s="14">
        <v>193.47487993238508</v>
      </c>
    </row>
    <row r="262" spans="1:15" x14ac:dyDescent="0.3">
      <c r="A262" s="3" t="str">
        <f>INDEX('R1. Scenario specifications'!$C$11:$C$49,MATCH($B262,'R1. Scenario specifications'!$A$11:$A$49,0))</f>
        <v>Current 1.5DS, 2020 start, 'Expect the Unexpected' but with cheap energy efficiency</v>
      </c>
      <c r="B262" s="3" t="s">
        <v>28</v>
      </c>
      <c r="C262" s="3" t="s">
        <v>74</v>
      </c>
      <c r="D262" s="3" t="s">
        <v>255</v>
      </c>
      <c r="E262" s="14">
        <v>0</v>
      </c>
      <c r="F262" s="14">
        <v>0</v>
      </c>
      <c r="G262" s="14">
        <v>0</v>
      </c>
      <c r="H262" s="14">
        <v>0.49496766559608701</v>
      </c>
      <c r="I262" s="14">
        <v>111.7129863125337</v>
      </c>
      <c r="J262" s="14">
        <v>1062.8019151067222</v>
      </c>
      <c r="K262" s="14">
        <v>2163.408303929958</v>
      </c>
      <c r="L262" s="14">
        <v>2142.670516879567</v>
      </c>
      <c r="M262" s="14">
        <v>1223.2896790530699</v>
      </c>
      <c r="N262" s="14">
        <v>378.14027290023296</v>
      </c>
      <c r="O262" s="14">
        <v>623.65573980399483</v>
      </c>
    </row>
    <row r="263" spans="1:15" x14ac:dyDescent="0.3">
      <c r="A263" s="3" t="str">
        <f>INDEX('R1. Scenario specifications'!$C$11:$C$49,MATCH($B263,'R1. Scenario specifications'!$A$11:$A$49,0))</f>
        <v>Current 1.5DS, 2020 start, 'Expect the Unexpected' but with cheap energy efficiency</v>
      </c>
      <c r="B263" s="3" t="s">
        <v>28</v>
      </c>
      <c r="C263" s="3" t="s">
        <v>66</v>
      </c>
      <c r="D263" s="3" t="s">
        <v>258</v>
      </c>
      <c r="E263" s="14">
        <v>31.122062759818384</v>
      </c>
      <c r="F263" s="14">
        <v>28.670816918420648</v>
      </c>
      <c r="G263" s="14">
        <v>113.13800421894352</v>
      </c>
      <c r="H263" s="14">
        <v>209.0590176022007</v>
      </c>
      <c r="I263" s="14">
        <v>536.48212458421119</v>
      </c>
      <c r="J263" s="14">
        <v>692.48716029593311</v>
      </c>
      <c r="K263" s="14">
        <v>681.98055793949641</v>
      </c>
      <c r="L263" s="14">
        <v>585.1485446929272</v>
      </c>
      <c r="M263" s="14">
        <v>385.55001880689019</v>
      </c>
      <c r="N263" s="14">
        <v>465.58537132652037</v>
      </c>
      <c r="O263" s="14">
        <v>525.99238056482727</v>
      </c>
    </row>
    <row r="264" spans="1:15" x14ac:dyDescent="0.3">
      <c r="A264" s="3" t="str">
        <f>INDEX('R1. Scenario specifications'!$C$11:$C$49,MATCH($B264,'R1. Scenario specifications'!$A$11:$A$49,0))</f>
        <v>Current 1.5DS, 2020 start, 'Expect the Unexpected' but with cheap energy efficiency</v>
      </c>
      <c r="B264" s="3" t="s">
        <v>28</v>
      </c>
      <c r="C264" s="3" t="s">
        <v>67</v>
      </c>
      <c r="D264" s="3" t="s">
        <v>256</v>
      </c>
      <c r="E264" s="14">
        <v>738.24098154394619</v>
      </c>
      <c r="F264" s="14">
        <v>744.22477031191352</v>
      </c>
      <c r="G264" s="14">
        <v>999.8328246673068</v>
      </c>
      <c r="H264" s="14">
        <v>1203.6566488472406</v>
      </c>
      <c r="I264" s="14">
        <v>1763.0611726475465</v>
      </c>
      <c r="J264" s="14">
        <v>2072.2764107075272</v>
      </c>
      <c r="K264" s="14">
        <v>2405.6094118087813</v>
      </c>
      <c r="L264" s="14">
        <v>2468.3682315624201</v>
      </c>
      <c r="M264" s="14">
        <v>2610.7885823898282</v>
      </c>
      <c r="N264" s="14">
        <v>2870.9646044107449</v>
      </c>
      <c r="O264" s="14">
        <v>3005.0753489634362</v>
      </c>
    </row>
    <row r="265" spans="1:15" x14ac:dyDescent="0.3">
      <c r="A265" s="3" t="str">
        <f>INDEX('R1. Scenario specifications'!$C$11:$C$49,MATCH($B265,'R1. Scenario specifications'!$A$11:$A$49,0))</f>
        <v>Current 1.5DS, 2020 start, 'Expect the Unexpected' but with cheap energy efficiency</v>
      </c>
      <c r="B265" s="3" t="s">
        <v>28</v>
      </c>
      <c r="C265" s="3" t="s">
        <v>68</v>
      </c>
      <c r="D265" s="3" t="s">
        <v>257</v>
      </c>
      <c r="E265" s="14">
        <v>381.69394199846289</v>
      </c>
      <c r="F265" s="14">
        <v>393.99999999999972</v>
      </c>
      <c r="G265" s="14">
        <v>647.54384646462074</v>
      </c>
      <c r="H265" s="14">
        <v>599.60750408611364</v>
      </c>
      <c r="I265" s="14">
        <v>673.5518786264463</v>
      </c>
      <c r="J265" s="14">
        <v>911.90830079580189</v>
      </c>
      <c r="K265" s="14">
        <v>968.91602584080476</v>
      </c>
      <c r="L265" s="14">
        <v>1056.3285582139777</v>
      </c>
      <c r="M265" s="14">
        <v>1088.9755939497295</v>
      </c>
      <c r="N265" s="14">
        <v>1419.0437686348948</v>
      </c>
      <c r="O265" s="14">
        <v>1464.009395362295</v>
      </c>
    </row>
    <row r="266" spans="1:15" x14ac:dyDescent="0.3">
      <c r="A266" s="3" t="str">
        <f>INDEX('R1. Scenario specifications'!$C$11:$C$49,MATCH($B266,'R1. Scenario specifications'!$A$11:$A$49,0))</f>
        <v>Current 1.5DS, 2020 start, 'Expect the Unexpected' but with cheap energy efficiency</v>
      </c>
      <c r="B266" s="3" t="s">
        <v>28</v>
      </c>
      <c r="C266" s="3" t="s">
        <v>69</v>
      </c>
      <c r="D266" s="3" t="s">
        <v>258</v>
      </c>
      <c r="E266" s="14">
        <v>430.81063106061174</v>
      </c>
      <c r="F266" s="14">
        <v>452.4364981864552</v>
      </c>
      <c r="G266" s="14">
        <v>452.8330666776244</v>
      </c>
      <c r="H266" s="14">
        <v>255.36784173325435</v>
      </c>
      <c r="I266" s="14">
        <v>127.19470670696012</v>
      </c>
      <c r="J266" s="14">
        <v>7.0444314359346905</v>
      </c>
      <c r="K266" s="14">
        <v>40.328454414730174</v>
      </c>
      <c r="L266" s="14">
        <v>58.422552035221997</v>
      </c>
      <c r="M266" s="14">
        <v>65.532459673030004</v>
      </c>
      <c r="N266" s="14">
        <v>59.9007309276789</v>
      </c>
      <c r="O266" s="14">
        <v>133.13325359290579</v>
      </c>
    </row>
    <row r="267" spans="1:15" x14ac:dyDescent="0.3">
      <c r="A267" s="3" t="str">
        <f>INDEX('R1. Scenario specifications'!$C$11:$C$49,MATCH($B267,'R1. Scenario specifications'!$A$11:$A$49,0))</f>
        <v>Current 1.5DS, 2020 start, 'Expect the Unexpected' but with cheap energy efficiency</v>
      </c>
      <c r="B267" s="3" t="s">
        <v>28</v>
      </c>
      <c r="C267" s="3" t="s">
        <v>70</v>
      </c>
      <c r="D267" s="3" t="s">
        <v>259</v>
      </c>
      <c r="E267" s="14">
        <v>13.930776255707762</v>
      </c>
      <c r="F267" s="14">
        <v>96.560908546679059</v>
      </c>
      <c r="G267" s="14">
        <v>193.62720812488871</v>
      </c>
      <c r="H267" s="14">
        <v>930.74276095692392</v>
      </c>
      <c r="I267" s="14">
        <v>3641.9046225233224</v>
      </c>
      <c r="J267" s="14">
        <v>7298.4292922104432</v>
      </c>
      <c r="K267" s="14">
        <v>11358.67515905365</v>
      </c>
      <c r="L267" s="14">
        <v>11521.023117140721</v>
      </c>
      <c r="M267" s="14">
        <v>13639.776905617255</v>
      </c>
      <c r="N267" s="14">
        <v>16783.046964075937</v>
      </c>
      <c r="O267" s="14">
        <v>19078.025301497702</v>
      </c>
    </row>
    <row r="268" spans="1:15" x14ac:dyDescent="0.3">
      <c r="A268" s="3" t="str">
        <f>INDEX('R1. Scenario specifications'!$C$11:$C$49,MATCH($B268,'R1. Scenario specifications'!$A$11:$A$49,0))</f>
        <v>Current 1.5DS, 2020 start, 'Expect the Unexpected' but with cheap energy efficiency</v>
      </c>
      <c r="B268" s="3" t="s">
        <v>28</v>
      </c>
      <c r="C268" s="3" t="s">
        <v>71</v>
      </c>
      <c r="D268" s="3" t="s">
        <v>259</v>
      </c>
      <c r="E268" s="14">
        <v>11.2241111111111</v>
      </c>
      <c r="F268" s="14">
        <v>12.249511111111101</v>
      </c>
      <c r="G268" s="14">
        <v>13.0611055551111</v>
      </c>
      <c r="H268" s="14">
        <v>13.629883777362163</v>
      </c>
      <c r="I268" s="14">
        <v>16.370794020221936</v>
      </c>
      <c r="J268" s="14">
        <v>20.768742981836656</v>
      </c>
      <c r="K268" s="14">
        <v>20.854885909595051</v>
      </c>
      <c r="L268" s="14">
        <v>21.06502090815323</v>
      </c>
      <c r="M268" s="14">
        <v>21.061648312051567</v>
      </c>
      <c r="N268" s="14">
        <v>21.058448312051567</v>
      </c>
      <c r="O268" s="14">
        <v>21.055268137900466</v>
      </c>
    </row>
    <row r="269" spans="1:15" x14ac:dyDescent="0.3">
      <c r="A269" s="3" t="str">
        <f>INDEX('R1. Scenario specifications'!$C$11:$C$49,MATCH($B269,'R1. Scenario specifications'!$A$11:$A$49,0))</f>
        <v>Current 1.5DS, 2020 start, 'Expect the Unexpected' but with cheap energy efficiency</v>
      </c>
      <c r="B269" s="3" t="s">
        <v>28</v>
      </c>
      <c r="C269" s="3" t="s">
        <v>75</v>
      </c>
      <c r="D269" s="3" t="s">
        <v>258</v>
      </c>
      <c r="E269" s="14">
        <v>0.31124745380476826</v>
      </c>
      <c r="F269" s="14">
        <v>0.28314462712947408</v>
      </c>
      <c r="G269" s="14">
        <v>0.23818010444900301</v>
      </c>
      <c r="H269" s="14">
        <v>0.15878673629933501</v>
      </c>
      <c r="I269" s="14">
        <v>7.9393368149667701E-2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</row>
    <row r="270" spans="1:15" x14ac:dyDescent="0.3">
      <c r="A270" s="3" t="str">
        <f>INDEX('R1. Scenario specifications'!$C$11:$C$49,MATCH($B270,'R1. Scenario specifications'!$A$11:$A$49,0))</f>
        <v>Current 1.5DS, 2020 start, 'Expect the Unexpected' but with cheap energy efficiency</v>
      </c>
      <c r="B270" s="3" t="s">
        <v>28</v>
      </c>
      <c r="C270" s="3" t="s">
        <v>72</v>
      </c>
      <c r="D270" s="3" t="s">
        <v>260</v>
      </c>
      <c r="E270" s="14">
        <v>217.76839471634247</v>
      </c>
      <c r="F270" s="14">
        <v>242.99857406704328</v>
      </c>
      <c r="G270" s="14">
        <v>365.36686102816424</v>
      </c>
      <c r="H270" s="14">
        <v>1756.2662000926357</v>
      </c>
      <c r="I270" s="14">
        <v>3720.069321182873</v>
      </c>
      <c r="J270" s="14">
        <v>6735.1074305151915</v>
      </c>
      <c r="K270" s="14">
        <v>9683.7757563592095</v>
      </c>
      <c r="L270" s="14">
        <v>8505.6050207075132</v>
      </c>
      <c r="M270" s="14">
        <v>11562.343671518234</v>
      </c>
      <c r="N270" s="14">
        <v>16348.669601799014</v>
      </c>
      <c r="O270" s="14">
        <v>19942.197542100406</v>
      </c>
    </row>
    <row r="271" spans="1:15" x14ac:dyDescent="0.3">
      <c r="A271" s="3" t="str">
        <f>INDEX('R1. Scenario specifications'!$C$11:$C$49,MATCH($B271,'R1. Scenario specifications'!$A$11:$A$49,0))</f>
        <v>Current 1.5DS, 2030 start, 'Expect the Unexpected' but with cheap energy efficiency</v>
      </c>
      <c r="B271" s="3" t="s">
        <v>29</v>
      </c>
      <c r="C271" s="3" t="s">
        <v>63</v>
      </c>
      <c r="D271" s="3" t="s">
        <v>253</v>
      </c>
      <c r="E271" s="14">
        <v>19.526838931037336</v>
      </c>
      <c r="F271" s="14">
        <v>26.141237482570887</v>
      </c>
      <c r="G271" s="14">
        <v>117.10981417316707</v>
      </c>
      <c r="H271" s="14">
        <v>412.30855682261659</v>
      </c>
      <c r="I271" s="14">
        <v>1056.9015742702429</v>
      </c>
      <c r="J271" s="14">
        <v>977.48490374914138</v>
      </c>
      <c r="K271" s="14">
        <v>677.3052319608355</v>
      </c>
      <c r="L271" s="14">
        <v>23.200876775565753</v>
      </c>
      <c r="M271" s="14">
        <v>10.189966075384101</v>
      </c>
      <c r="N271" s="14">
        <v>17.088522463836501</v>
      </c>
      <c r="O271" s="14">
        <v>17.088522463836501</v>
      </c>
    </row>
    <row r="272" spans="1:15" x14ac:dyDescent="0.3">
      <c r="A272" s="3" t="str">
        <f>INDEX('R1. Scenario specifications'!$C$11:$C$49,MATCH($B272,'R1. Scenario specifications'!$A$11:$A$49,0))</f>
        <v>Current 1.5DS, 2030 start, 'Expect the Unexpected' but with cheap energy efficiency</v>
      </c>
      <c r="B272" s="3" t="s">
        <v>29</v>
      </c>
      <c r="C272" s="3" t="s">
        <v>73</v>
      </c>
      <c r="D272" s="3" t="s">
        <v>253</v>
      </c>
      <c r="E272" s="14">
        <v>0</v>
      </c>
      <c r="F272" s="14">
        <v>0</v>
      </c>
      <c r="G272" s="14">
        <v>0</v>
      </c>
      <c r="H272" s="14">
        <v>0</v>
      </c>
      <c r="I272" s="14">
        <v>12.004836000000003</v>
      </c>
      <c r="J272" s="14">
        <v>905.45851986207572</v>
      </c>
      <c r="K272" s="14">
        <v>2867.4946118997937</v>
      </c>
      <c r="L272" s="14">
        <v>3929.2155514734768</v>
      </c>
      <c r="M272" s="14">
        <v>3059.408383575862</v>
      </c>
      <c r="N272" s="14">
        <v>1660.4582753382088</v>
      </c>
      <c r="O272" s="14">
        <v>2043.3831245059334</v>
      </c>
    </row>
    <row r="273" spans="1:15" x14ac:dyDescent="0.3">
      <c r="A273" s="3" t="str">
        <f>INDEX('R1. Scenario specifications'!$C$11:$C$49,MATCH($B273,'R1. Scenario specifications'!$A$11:$A$49,0))</f>
        <v>Current 1.5DS, 2030 start, 'Expect the Unexpected' but with cheap energy efficiency</v>
      </c>
      <c r="B273" s="3" t="s">
        <v>29</v>
      </c>
      <c r="C273" s="3" t="s">
        <v>64</v>
      </c>
      <c r="D273" s="3" t="s">
        <v>254</v>
      </c>
      <c r="E273" s="14">
        <v>1633.0249332809897</v>
      </c>
      <c r="F273" s="14">
        <v>1804.9999999999993</v>
      </c>
      <c r="G273" s="14">
        <v>1804.9999999999993</v>
      </c>
      <c r="H273" s="14">
        <v>1458.8285858367421</v>
      </c>
      <c r="I273" s="14">
        <v>457.93883170883436</v>
      </c>
      <c r="J273" s="14">
        <v>16.396787724521602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</row>
    <row r="274" spans="1:15" x14ac:dyDescent="0.3">
      <c r="A274" s="3" t="str">
        <f>INDEX('R1. Scenario specifications'!$C$11:$C$49,MATCH($B274,'R1. Scenario specifications'!$A$11:$A$49,0))</f>
        <v>Current 1.5DS, 2030 start, 'Expect the Unexpected' but with cheap energy efficiency</v>
      </c>
      <c r="B274" s="3" t="s">
        <v>29</v>
      </c>
      <c r="C274" s="3" t="s">
        <v>65</v>
      </c>
      <c r="D274" s="3" t="s">
        <v>255</v>
      </c>
      <c r="E274" s="14">
        <v>1008.6224302831477</v>
      </c>
      <c r="F274" s="14">
        <v>1634.5557819505236</v>
      </c>
      <c r="G274" s="14">
        <v>2111.6960266729702</v>
      </c>
      <c r="H274" s="14">
        <v>1960.1606269560627</v>
      </c>
      <c r="I274" s="14">
        <v>1334.2301689554458</v>
      </c>
      <c r="J274" s="14">
        <v>475.3987532083234</v>
      </c>
      <c r="K274" s="14">
        <v>495.12688547985465</v>
      </c>
      <c r="L274" s="14">
        <v>88.652230573904433</v>
      </c>
      <c r="M274" s="14">
        <v>234.97807148025424</v>
      </c>
      <c r="N274" s="14">
        <v>443.29976907024417</v>
      </c>
      <c r="O274" s="14">
        <v>511.44901788647951</v>
      </c>
    </row>
    <row r="275" spans="1:15" x14ac:dyDescent="0.3">
      <c r="A275" s="3" t="str">
        <f>INDEX('R1. Scenario specifications'!$C$11:$C$49,MATCH($B275,'R1. Scenario specifications'!$A$11:$A$49,0))</f>
        <v>Current 1.5DS, 2030 start, 'Expect the Unexpected' but with cheap energy efficiency</v>
      </c>
      <c r="B275" s="3" t="s">
        <v>29</v>
      </c>
      <c r="C275" s="3" t="s">
        <v>74</v>
      </c>
      <c r="D275" s="3" t="s">
        <v>255</v>
      </c>
      <c r="E275" s="14">
        <v>0</v>
      </c>
      <c r="F275" s="14">
        <v>0</v>
      </c>
      <c r="G275" s="14">
        <v>0</v>
      </c>
      <c r="H275" s="14">
        <v>0</v>
      </c>
      <c r="I275" s="14">
        <v>3.0012089999999998</v>
      </c>
      <c r="J275" s="14">
        <v>450.62910236285785</v>
      </c>
      <c r="K275" s="14">
        <v>1148.9842199771726</v>
      </c>
      <c r="L275" s="14">
        <v>1314.3813983655709</v>
      </c>
      <c r="M275" s="14">
        <v>866.75350500271315</v>
      </c>
      <c r="N275" s="14">
        <v>169.07907634495521</v>
      </c>
      <c r="O275" s="14">
        <v>24.668248299152001</v>
      </c>
    </row>
    <row r="276" spans="1:15" x14ac:dyDescent="0.3">
      <c r="A276" s="3" t="str">
        <f>INDEX('R1. Scenario specifications'!$C$11:$C$49,MATCH($B276,'R1. Scenario specifications'!$A$11:$A$49,0))</f>
        <v>Current 1.5DS, 2030 start, 'Expect the Unexpected' but with cheap energy efficiency</v>
      </c>
      <c r="B276" s="3" t="s">
        <v>29</v>
      </c>
      <c r="C276" s="3" t="s">
        <v>66</v>
      </c>
      <c r="D276" s="3" t="s">
        <v>258</v>
      </c>
      <c r="E276" s="14">
        <v>31.122062759818384</v>
      </c>
      <c r="F276" s="14">
        <v>28.670816918420648</v>
      </c>
      <c r="G276" s="14">
        <v>113.13800421894352</v>
      </c>
      <c r="H276" s="14">
        <v>158.43269338625092</v>
      </c>
      <c r="I276" s="14">
        <v>321.15666538354282</v>
      </c>
      <c r="J276" s="14">
        <v>871.17611588015382</v>
      </c>
      <c r="K276" s="14">
        <v>860.66951352371711</v>
      </c>
      <c r="L276" s="14">
        <v>809.51558500683666</v>
      </c>
      <c r="M276" s="14">
        <v>662.1604580931446</v>
      </c>
      <c r="N276" s="14">
        <v>230.86142294650244</v>
      </c>
      <c r="O276" s="14">
        <v>227.8700384529688</v>
      </c>
    </row>
    <row r="277" spans="1:15" x14ac:dyDescent="0.3">
      <c r="A277" s="3" t="str">
        <f>INDEX('R1. Scenario specifications'!$C$11:$C$49,MATCH($B277,'R1. Scenario specifications'!$A$11:$A$49,0))</f>
        <v>Current 1.5DS, 2030 start, 'Expect the Unexpected' but with cheap energy efficiency</v>
      </c>
      <c r="B277" s="3" t="s">
        <v>29</v>
      </c>
      <c r="C277" s="3" t="s">
        <v>67</v>
      </c>
      <c r="D277" s="3" t="s">
        <v>256</v>
      </c>
      <c r="E277" s="14">
        <v>738.24098154394619</v>
      </c>
      <c r="F277" s="14">
        <v>744.22477031191352</v>
      </c>
      <c r="G277" s="14">
        <v>999.8328246673068</v>
      </c>
      <c r="H277" s="14">
        <v>1153.8656291758321</v>
      </c>
      <c r="I277" s="14">
        <v>1356.3858198800613</v>
      </c>
      <c r="J277" s="14">
        <v>1913.8404628731605</v>
      </c>
      <c r="K277" s="14">
        <v>2495.1787826992959</v>
      </c>
      <c r="L277" s="14">
        <v>2504.4270323163473</v>
      </c>
      <c r="M277" s="14">
        <v>2516.7191306291088</v>
      </c>
      <c r="N277" s="14">
        <v>2613.6916927283582</v>
      </c>
      <c r="O277" s="14">
        <v>2698.3577725671676</v>
      </c>
    </row>
    <row r="278" spans="1:15" x14ac:dyDescent="0.3">
      <c r="A278" s="3" t="str">
        <f>INDEX('R1. Scenario specifications'!$C$11:$C$49,MATCH($B278,'R1. Scenario specifications'!$A$11:$A$49,0))</f>
        <v>Current 1.5DS, 2030 start, 'Expect the Unexpected' but with cheap energy efficiency</v>
      </c>
      <c r="B278" s="3" t="s">
        <v>29</v>
      </c>
      <c r="C278" s="3" t="s">
        <v>68</v>
      </c>
      <c r="D278" s="3" t="s">
        <v>257</v>
      </c>
      <c r="E278" s="14">
        <v>381.69394199846289</v>
      </c>
      <c r="F278" s="14">
        <v>393.99999999999972</v>
      </c>
      <c r="G278" s="14">
        <v>647.54384646462074</v>
      </c>
      <c r="H278" s="14">
        <v>599.60750408611364</v>
      </c>
      <c r="I278" s="14">
        <v>574.22438013504609</v>
      </c>
      <c r="J278" s="14">
        <v>845.19495515030746</v>
      </c>
      <c r="K278" s="14">
        <v>977.83449967764182</v>
      </c>
      <c r="L278" s="14">
        <v>1060.9842070378504</v>
      </c>
      <c r="M278" s="14">
        <v>1081.4180283320995</v>
      </c>
      <c r="N278" s="14">
        <v>1212.7286816635767</v>
      </c>
      <c r="O278" s="14">
        <v>1188.4194727069184</v>
      </c>
    </row>
    <row r="279" spans="1:15" x14ac:dyDescent="0.3">
      <c r="A279" s="3" t="str">
        <f>INDEX('R1. Scenario specifications'!$C$11:$C$49,MATCH($B279,'R1. Scenario specifications'!$A$11:$A$49,0))</f>
        <v>Current 1.5DS, 2030 start, 'Expect the Unexpected' but with cheap energy efficiency</v>
      </c>
      <c r="B279" s="3" t="s">
        <v>29</v>
      </c>
      <c r="C279" s="3" t="s">
        <v>69</v>
      </c>
      <c r="D279" s="3" t="s">
        <v>258</v>
      </c>
      <c r="E279" s="14">
        <v>430.81063106061174</v>
      </c>
      <c r="F279" s="14">
        <v>452.4364981864552</v>
      </c>
      <c r="G279" s="14">
        <v>452.8330666776244</v>
      </c>
      <c r="H279" s="14">
        <v>256.83855764560741</v>
      </c>
      <c r="I279" s="14">
        <v>129.19256613597437</v>
      </c>
      <c r="J279" s="14">
        <v>6.2335304823901208</v>
      </c>
      <c r="K279" s="14">
        <v>51.842562285524586</v>
      </c>
      <c r="L279" s="14">
        <v>95.110657825803031</v>
      </c>
      <c r="M279" s="14">
        <v>84.242753540393736</v>
      </c>
      <c r="N279" s="14">
        <v>56.812519125319604</v>
      </c>
      <c r="O279" s="14">
        <v>135.95441203093677</v>
      </c>
    </row>
    <row r="280" spans="1:15" x14ac:dyDescent="0.3">
      <c r="A280" s="3" t="str">
        <f>INDEX('R1. Scenario specifications'!$C$11:$C$49,MATCH($B280,'R1. Scenario specifications'!$A$11:$A$49,0))</f>
        <v>Current 1.5DS, 2030 start, 'Expect the Unexpected' but with cheap energy efficiency</v>
      </c>
      <c r="B280" s="3" t="s">
        <v>29</v>
      </c>
      <c r="C280" s="3" t="s">
        <v>70</v>
      </c>
      <c r="D280" s="3" t="s">
        <v>259</v>
      </c>
      <c r="E280" s="14">
        <v>13.930776255707762</v>
      </c>
      <c r="F280" s="14">
        <v>96.560908546679059</v>
      </c>
      <c r="G280" s="14">
        <v>193.62720812488871</v>
      </c>
      <c r="H280" s="14">
        <v>564.29121895346805</v>
      </c>
      <c r="I280" s="14">
        <v>2499.9932649890934</v>
      </c>
      <c r="J280" s="14">
        <v>6392.3265207861541</v>
      </c>
      <c r="K280" s="14">
        <v>14195.079542938678</v>
      </c>
      <c r="L280" s="14">
        <v>14274.324708214763</v>
      </c>
      <c r="M280" s="14">
        <v>14322.160429523314</v>
      </c>
      <c r="N280" s="14">
        <v>15176.338140651756</v>
      </c>
      <c r="O280" s="14">
        <v>15967.266923489957</v>
      </c>
    </row>
    <row r="281" spans="1:15" x14ac:dyDescent="0.3">
      <c r="A281" s="3" t="str">
        <f>INDEX('R1. Scenario specifications'!$C$11:$C$49,MATCH($B281,'R1. Scenario specifications'!$A$11:$A$49,0))</f>
        <v>Current 1.5DS, 2030 start, 'Expect the Unexpected' but with cheap energy efficiency</v>
      </c>
      <c r="B281" s="3" t="s">
        <v>29</v>
      </c>
      <c r="C281" s="3" t="s">
        <v>71</v>
      </c>
      <c r="D281" s="3" t="s">
        <v>259</v>
      </c>
      <c r="E281" s="14">
        <v>11.2241111111111</v>
      </c>
      <c r="F281" s="14">
        <v>12.249511111111101</v>
      </c>
      <c r="G281" s="14">
        <v>13.0611055551111</v>
      </c>
      <c r="H281" s="14">
        <v>13.059905555111095</v>
      </c>
      <c r="I281" s="14">
        <v>19.429412230845621</v>
      </c>
      <c r="J281" s="14">
        <v>22.160680234039926</v>
      </c>
      <c r="K281" s="14">
        <v>26.558853470469256</v>
      </c>
      <c r="L281" s="14">
        <v>26.555162265355015</v>
      </c>
      <c r="M281" s="14">
        <v>26.552006351779241</v>
      </c>
      <c r="N281" s="14">
        <v>26.549107824945803</v>
      </c>
      <c r="O281" s="14">
        <v>26.546307824945806</v>
      </c>
    </row>
    <row r="282" spans="1:15" x14ac:dyDescent="0.3">
      <c r="A282" s="3" t="str">
        <f>INDEX('R1. Scenario specifications'!$C$11:$C$49,MATCH($B282,'R1. Scenario specifications'!$A$11:$A$49,0))</f>
        <v>Current 1.5DS, 2030 start, 'Expect the Unexpected' but with cheap energy efficiency</v>
      </c>
      <c r="B282" s="3" t="s">
        <v>29</v>
      </c>
      <c r="C282" s="3" t="s">
        <v>75</v>
      </c>
      <c r="D282" s="3" t="s">
        <v>258</v>
      </c>
      <c r="E282" s="14">
        <v>0.31124745380476826</v>
      </c>
      <c r="F282" s="14">
        <v>0.28314462712947408</v>
      </c>
      <c r="G282" s="14">
        <v>0.23818010444900301</v>
      </c>
      <c r="H282" s="14">
        <v>0.15878673629933501</v>
      </c>
      <c r="I282" s="14">
        <v>7.9393368149667701E-2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</row>
    <row r="283" spans="1:15" x14ac:dyDescent="0.3">
      <c r="A283" s="3" t="str">
        <f>INDEX('R1. Scenario specifications'!$C$11:$C$49,MATCH($B283,'R1. Scenario specifications'!$A$11:$A$49,0))</f>
        <v>Current 1.5DS, 2030 start, 'Expect the Unexpected' but with cheap energy efficiency</v>
      </c>
      <c r="B283" s="3" t="s">
        <v>29</v>
      </c>
      <c r="C283" s="3" t="s">
        <v>72</v>
      </c>
      <c r="D283" s="3" t="s">
        <v>260</v>
      </c>
      <c r="E283" s="14">
        <v>217.76839471634247</v>
      </c>
      <c r="F283" s="14">
        <v>242.99857406704328</v>
      </c>
      <c r="G283" s="14">
        <v>365.36686102816424</v>
      </c>
      <c r="H283" s="14">
        <v>1381.7602614741115</v>
      </c>
      <c r="I283" s="14">
        <v>3003.436177144376</v>
      </c>
      <c r="J283" s="14">
        <v>5995.2859357271309</v>
      </c>
      <c r="K283" s="14">
        <v>11826.703488254281</v>
      </c>
      <c r="L283" s="14">
        <v>9401.4422087150961</v>
      </c>
      <c r="M283" s="14">
        <v>8015.8314985812876</v>
      </c>
      <c r="N283" s="14">
        <v>9590.9862115577125</v>
      </c>
      <c r="O283" s="14">
        <v>12297.553910654236</v>
      </c>
    </row>
    <row r="284" spans="1:15" x14ac:dyDescent="0.3">
      <c r="A284" s="3" t="str">
        <f>INDEX('R1. Scenario specifications'!$C$11:$C$49,MATCH($B284,'R1. Scenario specifications'!$A$11:$A$49,0))</f>
        <v>Current 1.5DS, 2020 start, 'Expect the Unexpected' but with most conservative biomass CCS / NET technology cost assumptions</v>
      </c>
      <c r="B284" s="3" t="s">
        <v>30</v>
      </c>
      <c r="C284" s="3" t="s">
        <v>63</v>
      </c>
      <c r="D284" s="3" t="s">
        <v>253</v>
      </c>
      <c r="E284" s="14">
        <v>19.526838931037336</v>
      </c>
      <c r="F284" s="14">
        <v>26.141237482570887</v>
      </c>
      <c r="G284" s="14">
        <v>117.10981417316707</v>
      </c>
      <c r="H284" s="14">
        <v>534.63623773448842</v>
      </c>
      <c r="I284" s="14">
        <v>544.90883358818473</v>
      </c>
      <c r="J284" s="14">
        <v>448.27133139148145</v>
      </c>
      <c r="K284" s="14">
        <v>25.763978691303329</v>
      </c>
      <c r="L284" s="14">
        <v>5.9800450999640002</v>
      </c>
      <c r="M284" s="14">
        <v>4.9720393982224396</v>
      </c>
      <c r="N284" s="14">
        <v>4.9720393982224396</v>
      </c>
      <c r="O284" s="14">
        <v>4.9720393982224396</v>
      </c>
    </row>
    <row r="285" spans="1:15" x14ac:dyDescent="0.3">
      <c r="A285" s="3" t="str">
        <f>INDEX('R1. Scenario specifications'!$C$11:$C$49,MATCH($B285,'R1. Scenario specifications'!$A$11:$A$49,0))</f>
        <v>Current 1.5DS, 2020 start, 'Expect the Unexpected' but with most conservative biomass CCS / NET technology cost assumptions</v>
      </c>
      <c r="B285" s="3" t="s">
        <v>30</v>
      </c>
      <c r="C285" s="3" t="s">
        <v>73</v>
      </c>
      <c r="D285" s="3" t="s">
        <v>253</v>
      </c>
      <c r="E285" s="14">
        <v>0</v>
      </c>
      <c r="F285" s="14">
        <v>0</v>
      </c>
      <c r="G285" s="14">
        <v>0</v>
      </c>
      <c r="H285" s="14">
        <v>14.208548958880336</v>
      </c>
      <c r="I285" s="14">
        <v>383.12324866367015</v>
      </c>
      <c r="J285" s="14">
        <v>1265.7544641459426</v>
      </c>
      <c r="K285" s="14">
        <v>2306.7787954644336</v>
      </c>
      <c r="L285" s="14">
        <v>2594.3362286238425</v>
      </c>
      <c r="M285" s="14">
        <v>2608.1969013897287</v>
      </c>
      <c r="N285" s="14">
        <v>3042.7895067828281</v>
      </c>
      <c r="O285" s="14">
        <v>3271.9668299952141</v>
      </c>
    </row>
    <row r="286" spans="1:15" x14ac:dyDescent="0.3">
      <c r="A286" s="3" t="str">
        <f>INDEX('R1. Scenario specifications'!$C$11:$C$49,MATCH($B286,'R1. Scenario specifications'!$A$11:$A$49,0))</f>
        <v>Current 1.5DS, 2020 start, 'Expect the Unexpected' but with most conservative biomass CCS / NET technology cost assumptions</v>
      </c>
      <c r="B286" s="3" t="s">
        <v>30</v>
      </c>
      <c r="C286" s="3" t="s">
        <v>64</v>
      </c>
      <c r="D286" s="3" t="s">
        <v>254</v>
      </c>
      <c r="E286" s="14">
        <v>1633.0249332809897</v>
      </c>
      <c r="F286" s="14">
        <v>1804.9999999999993</v>
      </c>
      <c r="G286" s="14">
        <v>1804.9999999999993</v>
      </c>
      <c r="H286" s="14">
        <v>1442.4317981122206</v>
      </c>
      <c r="I286" s="14">
        <v>441.54204398431278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</row>
    <row r="287" spans="1:15" x14ac:dyDescent="0.3">
      <c r="A287" s="3" t="str">
        <f>INDEX('R1. Scenario specifications'!$C$11:$C$49,MATCH($B287,'R1. Scenario specifications'!$A$11:$A$49,0))</f>
        <v>Current 1.5DS, 2020 start, 'Expect the Unexpected' but with most conservative biomass CCS / NET technology cost assumptions</v>
      </c>
      <c r="B287" s="3" t="s">
        <v>30</v>
      </c>
      <c r="C287" s="3" t="s">
        <v>65</v>
      </c>
      <c r="D287" s="3" t="s">
        <v>255</v>
      </c>
      <c r="E287" s="14">
        <v>1008.6224302831477</v>
      </c>
      <c r="F287" s="14">
        <v>1634.5557819505236</v>
      </c>
      <c r="G287" s="14">
        <v>2111.6960266729702</v>
      </c>
      <c r="H287" s="14">
        <v>2314.130513299885</v>
      </c>
      <c r="I287" s="14">
        <v>1269.0818202131454</v>
      </c>
      <c r="J287" s="14">
        <v>396.49081960640615</v>
      </c>
      <c r="K287" s="14">
        <v>192.37263118466416</v>
      </c>
      <c r="L287" s="14">
        <v>199.21795772218798</v>
      </c>
      <c r="M287" s="14">
        <v>204.24289054913928</v>
      </c>
      <c r="N287" s="14">
        <v>221.13846255954965</v>
      </c>
      <c r="O287" s="14">
        <v>281.66138488466004</v>
      </c>
    </row>
    <row r="288" spans="1:15" x14ac:dyDescent="0.3">
      <c r="A288" s="3" t="str">
        <f>INDEX('R1. Scenario specifications'!$C$11:$C$49,MATCH($B288,'R1. Scenario specifications'!$A$11:$A$49,0))</f>
        <v>Current 1.5DS, 2020 start, 'Expect the Unexpected' but with most conservative biomass CCS / NET technology cost assumptions</v>
      </c>
      <c r="B288" s="3" t="s">
        <v>30</v>
      </c>
      <c r="C288" s="3" t="s">
        <v>74</v>
      </c>
      <c r="D288" s="3" t="s">
        <v>255</v>
      </c>
      <c r="E288" s="14">
        <v>0</v>
      </c>
      <c r="F288" s="14">
        <v>0</v>
      </c>
      <c r="G288" s="14">
        <v>0</v>
      </c>
      <c r="H288" s="14">
        <v>0.79749604111966699</v>
      </c>
      <c r="I288" s="14">
        <v>144.87732779858814</v>
      </c>
      <c r="J288" s="14">
        <v>1378.0263943085108</v>
      </c>
      <c r="K288" s="14">
        <v>2771.1564784827406</v>
      </c>
      <c r="L288" s="14">
        <v>2704.6508074247186</v>
      </c>
      <c r="M288" s="14">
        <v>1863.9169742525708</v>
      </c>
      <c r="N288" s="14">
        <v>1198.9925468834247</v>
      </c>
      <c r="O288" s="14">
        <v>1526.6686706022217</v>
      </c>
    </row>
    <row r="289" spans="1:15" x14ac:dyDescent="0.3">
      <c r="A289" s="3" t="str">
        <f>INDEX('R1. Scenario specifications'!$C$11:$C$49,MATCH($B289,'R1. Scenario specifications'!$A$11:$A$49,0))</f>
        <v>Current 1.5DS, 2020 start, 'Expect the Unexpected' but with most conservative biomass CCS / NET technology cost assumptions</v>
      </c>
      <c r="B289" s="3" t="s">
        <v>30</v>
      </c>
      <c r="C289" s="3" t="s">
        <v>66</v>
      </c>
      <c r="D289" s="3" t="s">
        <v>258</v>
      </c>
      <c r="E289" s="14">
        <v>31.122062759818384</v>
      </c>
      <c r="F289" s="14">
        <v>28.670816918420648</v>
      </c>
      <c r="G289" s="14">
        <v>113.13800421894352</v>
      </c>
      <c r="H289" s="14">
        <v>248.7007850972854</v>
      </c>
      <c r="I289" s="14">
        <v>918.92579244959848</v>
      </c>
      <c r="J289" s="14">
        <v>1101.0539859045834</v>
      </c>
      <c r="K289" s="14">
        <v>1090.5473835481475</v>
      </c>
      <c r="L289" s="14">
        <v>954.8190067057775</v>
      </c>
      <c r="M289" s="14">
        <v>452.1301419788212</v>
      </c>
      <c r="N289" s="14">
        <v>721.15525410912812</v>
      </c>
      <c r="O289" s="14">
        <v>899.10919657987495</v>
      </c>
    </row>
    <row r="290" spans="1:15" x14ac:dyDescent="0.3">
      <c r="A290" s="3" t="str">
        <f>INDEX('R1. Scenario specifications'!$C$11:$C$49,MATCH($B290,'R1. Scenario specifications'!$A$11:$A$49,0))</f>
        <v>Current 1.5DS, 2020 start, 'Expect the Unexpected' but with most conservative biomass CCS / NET technology cost assumptions</v>
      </c>
      <c r="B290" s="3" t="s">
        <v>30</v>
      </c>
      <c r="C290" s="3" t="s">
        <v>67</v>
      </c>
      <c r="D290" s="3" t="s">
        <v>256</v>
      </c>
      <c r="E290" s="14">
        <v>738.24098154394619</v>
      </c>
      <c r="F290" s="14">
        <v>744.22477031191352</v>
      </c>
      <c r="G290" s="14">
        <v>999.8328246673068</v>
      </c>
      <c r="H290" s="14">
        <v>1211.3554787086448</v>
      </c>
      <c r="I290" s="14">
        <v>1970.5251781596928</v>
      </c>
      <c r="J290" s="14">
        <v>2409.1628596438236</v>
      </c>
      <c r="K290" s="14">
        <v>2746.4284015807939</v>
      </c>
      <c r="L290" s="14">
        <v>2801.4883162990782</v>
      </c>
      <c r="M290" s="14">
        <v>2923.0334920883929</v>
      </c>
      <c r="N290" s="14">
        <v>3235.2653521359243</v>
      </c>
      <c r="O290" s="14">
        <v>3317.131766984709</v>
      </c>
    </row>
    <row r="291" spans="1:15" x14ac:dyDescent="0.3">
      <c r="A291" s="3" t="str">
        <f>INDEX('R1. Scenario specifications'!$C$11:$C$49,MATCH($B291,'R1. Scenario specifications'!$A$11:$A$49,0))</f>
        <v>Current 1.5DS, 2020 start, 'Expect the Unexpected' but with most conservative biomass CCS / NET technology cost assumptions</v>
      </c>
      <c r="B291" s="3" t="s">
        <v>30</v>
      </c>
      <c r="C291" s="3" t="s">
        <v>68</v>
      </c>
      <c r="D291" s="3" t="s">
        <v>257</v>
      </c>
      <c r="E291" s="14">
        <v>381.69394199846289</v>
      </c>
      <c r="F291" s="14">
        <v>393.99999999999972</v>
      </c>
      <c r="G291" s="14">
        <v>647.54384646462074</v>
      </c>
      <c r="H291" s="14">
        <v>599.60750408611364</v>
      </c>
      <c r="I291" s="14">
        <v>727.45195522865197</v>
      </c>
      <c r="J291" s="14">
        <v>958.01870686271582</v>
      </c>
      <c r="K291" s="14">
        <v>1022.330292231852</v>
      </c>
      <c r="L291" s="14">
        <v>1091.3111861528894</v>
      </c>
      <c r="M291" s="14">
        <v>1267.0479490346793</v>
      </c>
      <c r="N291" s="14">
        <v>1427.006819847835</v>
      </c>
      <c r="O291" s="14">
        <v>1482.4943388069476</v>
      </c>
    </row>
    <row r="292" spans="1:15" x14ac:dyDescent="0.3">
      <c r="A292" s="3" t="str">
        <f>INDEX('R1. Scenario specifications'!$C$11:$C$49,MATCH($B292,'R1. Scenario specifications'!$A$11:$A$49,0))</f>
        <v>Current 1.5DS, 2020 start, 'Expect the Unexpected' but with most conservative biomass CCS / NET technology cost assumptions</v>
      </c>
      <c r="B292" s="3" t="s">
        <v>30</v>
      </c>
      <c r="C292" s="3" t="s">
        <v>69</v>
      </c>
      <c r="D292" s="3" t="s">
        <v>258</v>
      </c>
      <c r="E292" s="14">
        <v>430.81063106061174</v>
      </c>
      <c r="F292" s="14">
        <v>452.4364981864552</v>
      </c>
      <c r="G292" s="14">
        <v>452.8330666776244</v>
      </c>
      <c r="H292" s="14">
        <v>255.46742040872471</v>
      </c>
      <c r="I292" s="14">
        <v>124.93017346441194</v>
      </c>
      <c r="J292" s="14">
        <v>11.3694431856186</v>
      </c>
      <c r="K292" s="14">
        <v>62.844252731830544</v>
      </c>
      <c r="L292" s="14">
        <v>64.758930700961315</v>
      </c>
      <c r="M292" s="14">
        <v>60.160264422944152</v>
      </c>
      <c r="N292" s="14">
        <v>91.216513055648889</v>
      </c>
      <c r="O292" s="14">
        <v>153.44534013157704</v>
      </c>
    </row>
    <row r="293" spans="1:15" x14ac:dyDescent="0.3">
      <c r="A293" s="3" t="str">
        <f>INDEX('R1. Scenario specifications'!$C$11:$C$49,MATCH($B293,'R1. Scenario specifications'!$A$11:$A$49,0))</f>
        <v>Current 1.5DS, 2020 start, 'Expect the Unexpected' but with most conservative biomass CCS / NET technology cost assumptions</v>
      </c>
      <c r="B293" s="3" t="s">
        <v>30</v>
      </c>
      <c r="C293" s="3" t="s">
        <v>70</v>
      </c>
      <c r="D293" s="3" t="s">
        <v>259</v>
      </c>
      <c r="E293" s="14">
        <v>13.930776255707762</v>
      </c>
      <c r="F293" s="14">
        <v>96.560908546679059</v>
      </c>
      <c r="G293" s="14">
        <v>193.62720812488871</v>
      </c>
      <c r="H293" s="14">
        <v>930.74276095692392</v>
      </c>
      <c r="I293" s="14">
        <v>3749.605926418687</v>
      </c>
      <c r="J293" s="14">
        <v>9026.3333779598379</v>
      </c>
      <c r="K293" s="14">
        <v>12776.434184309277</v>
      </c>
      <c r="L293" s="14">
        <v>13000.711647384254</v>
      </c>
      <c r="M293" s="14">
        <v>15514.658927231343</v>
      </c>
      <c r="N293" s="14">
        <v>18875.845176811228</v>
      </c>
      <c r="O293" s="14">
        <v>22029.431362386189</v>
      </c>
    </row>
    <row r="294" spans="1:15" x14ac:dyDescent="0.3">
      <c r="A294" s="3" t="str">
        <f>INDEX('R1. Scenario specifications'!$C$11:$C$49,MATCH($B294,'R1. Scenario specifications'!$A$11:$A$49,0))</f>
        <v>Current 1.5DS, 2020 start, 'Expect the Unexpected' but with most conservative biomass CCS / NET technology cost assumptions</v>
      </c>
      <c r="B294" s="3" t="s">
        <v>30</v>
      </c>
      <c r="C294" s="3" t="s">
        <v>71</v>
      </c>
      <c r="D294" s="3" t="s">
        <v>259</v>
      </c>
      <c r="E294" s="14">
        <v>11.2241111111111</v>
      </c>
      <c r="F294" s="14">
        <v>12.249511111111101</v>
      </c>
      <c r="G294" s="14">
        <v>13.0611055551111</v>
      </c>
      <c r="H294" s="14">
        <v>42.295918000423271</v>
      </c>
      <c r="I294" s="14">
        <v>236.58926856377369</v>
      </c>
      <c r="J294" s="14">
        <v>513.57187358679869</v>
      </c>
      <c r="K294" s="14">
        <v>554.38251852336077</v>
      </c>
      <c r="L294" s="14">
        <v>554.37845311329704</v>
      </c>
      <c r="M294" s="14">
        <v>554.37458199036189</v>
      </c>
      <c r="N294" s="14">
        <v>554.37098199036188</v>
      </c>
      <c r="O294" s="14">
        <v>554.36740181621087</v>
      </c>
    </row>
    <row r="295" spans="1:15" x14ac:dyDescent="0.3">
      <c r="A295" s="3" t="str">
        <f>INDEX('R1. Scenario specifications'!$C$11:$C$49,MATCH($B295,'R1. Scenario specifications'!$A$11:$A$49,0))</f>
        <v>Current 1.5DS, 2020 start, 'Expect the Unexpected' but with most conservative biomass CCS / NET technology cost assumptions</v>
      </c>
      <c r="B295" s="3" t="s">
        <v>30</v>
      </c>
      <c r="C295" s="3" t="s">
        <v>75</v>
      </c>
      <c r="D295" s="3" t="s">
        <v>258</v>
      </c>
      <c r="E295" s="14">
        <v>0.31124745380476826</v>
      </c>
      <c r="F295" s="14">
        <v>0.28314462712947408</v>
      </c>
      <c r="G295" s="14">
        <v>0.23818010444900301</v>
      </c>
      <c r="H295" s="14">
        <v>0.15878673629933501</v>
      </c>
      <c r="I295" s="14">
        <v>7.9393368149667701E-2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</row>
    <row r="296" spans="1:15" x14ac:dyDescent="0.3">
      <c r="A296" s="3" t="str">
        <f>INDEX('R1. Scenario specifications'!$C$11:$C$49,MATCH($B296,'R1. Scenario specifications'!$A$11:$A$49,0))</f>
        <v>Current 1.5DS, 2020 start, 'Expect the Unexpected' but with most conservative biomass CCS / NET technology cost assumptions</v>
      </c>
      <c r="B296" s="3" t="s">
        <v>30</v>
      </c>
      <c r="C296" s="3" t="s">
        <v>72</v>
      </c>
      <c r="D296" s="3" t="s">
        <v>260</v>
      </c>
      <c r="E296" s="14">
        <v>217.76839471634247</v>
      </c>
      <c r="F296" s="14">
        <v>242.99857406704328</v>
      </c>
      <c r="G296" s="14">
        <v>365.36686102816424</v>
      </c>
      <c r="H296" s="14">
        <v>1756.2662000926357</v>
      </c>
      <c r="I296" s="14">
        <v>3904.6092783007434</v>
      </c>
      <c r="J296" s="14">
        <v>8767.9374390426419</v>
      </c>
      <c r="K296" s="14">
        <v>11232.607076098624</v>
      </c>
      <c r="L296" s="14">
        <v>9978.0006831152841</v>
      </c>
      <c r="M296" s="14">
        <v>13121.760446217846</v>
      </c>
      <c r="N296" s="14">
        <v>18351.503662675663</v>
      </c>
      <c r="O296" s="14">
        <v>23378.579695139724</v>
      </c>
    </row>
    <row r="297" spans="1:15" x14ac:dyDescent="0.3">
      <c r="A297" s="3" t="str">
        <f>INDEX('R1. Scenario specifications'!$C$11:$C$49,MATCH($B297,'R1. Scenario specifications'!$A$11:$A$49,0))</f>
        <v>Current 1.5DS, 2030 start, 'Expect the Unexpected' but with most conservative biomass CCS / NET technology cost assumptions</v>
      </c>
      <c r="B297" s="3" t="s">
        <v>31</v>
      </c>
      <c r="C297" s="3" t="s">
        <v>63</v>
      </c>
      <c r="D297" s="3" t="s">
        <v>253</v>
      </c>
      <c r="E297" s="14">
        <v>19.526838931037336</v>
      </c>
      <c r="F297" s="14">
        <v>26.141237482570887</v>
      </c>
      <c r="G297" s="14">
        <v>117.10981417316707</v>
      </c>
      <c r="H297" s="14">
        <v>412.30855682261659</v>
      </c>
      <c r="I297" s="14">
        <v>832.1902896444401</v>
      </c>
      <c r="J297" s="14">
        <v>737.15883163938065</v>
      </c>
      <c r="K297" s="14">
        <v>512.20917639466995</v>
      </c>
      <c r="L297" s="14">
        <v>82.816105835203516</v>
      </c>
      <c r="M297" s="14">
        <v>75.230016543595497</v>
      </c>
      <c r="N297" s="14">
        <v>20.886699084575611</v>
      </c>
      <c r="O297" s="14">
        <v>20.886699084575611</v>
      </c>
    </row>
    <row r="298" spans="1:15" x14ac:dyDescent="0.3">
      <c r="A298" s="3" t="str">
        <f>INDEX('R1. Scenario specifications'!$C$11:$C$49,MATCH($B298,'R1. Scenario specifications'!$A$11:$A$49,0))</f>
        <v>Current 1.5DS, 2030 start, 'Expect the Unexpected' but with most conservative biomass CCS / NET technology cost assumptions</v>
      </c>
      <c r="B298" s="3" t="s">
        <v>31</v>
      </c>
      <c r="C298" s="3" t="s">
        <v>73</v>
      </c>
      <c r="D298" s="3" t="s">
        <v>253</v>
      </c>
      <c r="E298" s="14">
        <v>0</v>
      </c>
      <c r="F298" s="14">
        <v>0</v>
      </c>
      <c r="G298" s="14">
        <v>0</v>
      </c>
      <c r="H298" s="14">
        <v>0</v>
      </c>
      <c r="I298" s="14">
        <v>13.005239000000003</v>
      </c>
      <c r="J298" s="14">
        <v>660.71128239519919</v>
      </c>
      <c r="K298" s="14">
        <v>2903.8189896431645</v>
      </c>
      <c r="L298" s="14">
        <v>4725.642825597316</v>
      </c>
      <c r="M298" s="14">
        <v>4088.1349386954926</v>
      </c>
      <c r="N298" s="14">
        <v>2173.1579722689157</v>
      </c>
      <c r="O298" s="14">
        <v>2224.1372913898922</v>
      </c>
    </row>
    <row r="299" spans="1:15" x14ac:dyDescent="0.3">
      <c r="A299" s="3" t="str">
        <f>INDEX('R1. Scenario specifications'!$C$11:$C$49,MATCH($B299,'R1. Scenario specifications'!$A$11:$A$49,0))</f>
        <v>Current 1.5DS, 2030 start, 'Expect the Unexpected' but with most conservative biomass CCS / NET technology cost assumptions</v>
      </c>
      <c r="B299" s="3" t="s">
        <v>31</v>
      </c>
      <c r="C299" s="3" t="s">
        <v>64</v>
      </c>
      <c r="D299" s="3" t="s">
        <v>254</v>
      </c>
      <c r="E299" s="14">
        <v>1633.0249332809897</v>
      </c>
      <c r="F299" s="14">
        <v>1804.9999999999993</v>
      </c>
      <c r="G299" s="14">
        <v>1804.9999999999993</v>
      </c>
      <c r="H299" s="14">
        <v>1458.8285858367421</v>
      </c>
      <c r="I299" s="14">
        <v>457.93883170883436</v>
      </c>
      <c r="J299" s="14">
        <v>16.396787724521602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</row>
    <row r="300" spans="1:15" x14ac:dyDescent="0.3">
      <c r="A300" s="3" t="str">
        <f>INDEX('R1. Scenario specifications'!$C$11:$C$49,MATCH($B300,'R1. Scenario specifications'!$A$11:$A$49,0))</f>
        <v>Current 1.5DS, 2030 start, 'Expect the Unexpected' but with most conservative biomass CCS / NET technology cost assumptions</v>
      </c>
      <c r="B300" s="3" t="s">
        <v>31</v>
      </c>
      <c r="C300" s="3" t="s">
        <v>65</v>
      </c>
      <c r="D300" s="3" t="s">
        <v>255</v>
      </c>
      <c r="E300" s="14">
        <v>1008.6224302831477</v>
      </c>
      <c r="F300" s="14">
        <v>1634.5557819505236</v>
      </c>
      <c r="G300" s="14">
        <v>2111.6960266729702</v>
      </c>
      <c r="H300" s="14">
        <v>1960.1606269560627</v>
      </c>
      <c r="I300" s="14">
        <v>1181.1534238803554</v>
      </c>
      <c r="J300" s="14">
        <v>351.92907739696477</v>
      </c>
      <c r="K300" s="14">
        <v>363.79620720944081</v>
      </c>
      <c r="L300" s="14">
        <v>194.56131603220695</v>
      </c>
      <c r="M300" s="14">
        <v>447.34357699971849</v>
      </c>
      <c r="N300" s="14">
        <v>825.16504364889283</v>
      </c>
      <c r="O300" s="14">
        <v>748.20668668764688</v>
      </c>
    </row>
    <row r="301" spans="1:15" x14ac:dyDescent="0.3">
      <c r="A301" s="3" t="str">
        <f>INDEX('R1. Scenario specifications'!$C$11:$C$49,MATCH($B301,'R1. Scenario specifications'!$A$11:$A$49,0))</f>
        <v>Current 1.5DS, 2030 start, 'Expect the Unexpected' but with most conservative biomass CCS / NET technology cost assumptions</v>
      </c>
      <c r="B301" s="3" t="s">
        <v>31</v>
      </c>
      <c r="C301" s="3" t="s">
        <v>74</v>
      </c>
      <c r="D301" s="3" t="s">
        <v>255</v>
      </c>
      <c r="E301" s="14">
        <v>0</v>
      </c>
      <c r="F301" s="14">
        <v>0</v>
      </c>
      <c r="G301" s="14">
        <v>0</v>
      </c>
      <c r="H301" s="14">
        <v>0</v>
      </c>
      <c r="I301" s="14">
        <v>2.0008059999999999</v>
      </c>
      <c r="J301" s="14">
        <v>363.787832825973</v>
      </c>
      <c r="K301" s="14">
        <v>1273.3961525864531</v>
      </c>
      <c r="L301" s="14">
        <v>1847.1582621244429</v>
      </c>
      <c r="M301" s="14">
        <v>1485.3712352984699</v>
      </c>
      <c r="N301" s="14">
        <v>576.20629860462248</v>
      </c>
      <c r="O301" s="14">
        <v>107.28564479481251</v>
      </c>
    </row>
    <row r="302" spans="1:15" x14ac:dyDescent="0.3">
      <c r="A302" s="3" t="str">
        <f>INDEX('R1. Scenario specifications'!$C$11:$C$49,MATCH($B302,'R1. Scenario specifications'!$A$11:$A$49,0))</f>
        <v>Current 1.5DS, 2030 start, 'Expect the Unexpected' but with most conservative biomass CCS / NET technology cost assumptions</v>
      </c>
      <c r="B302" s="3" t="s">
        <v>31</v>
      </c>
      <c r="C302" s="3" t="s">
        <v>66</v>
      </c>
      <c r="D302" s="3" t="s">
        <v>258</v>
      </c>
      <c r="E302" s="14">
        <v>31.122062759818384</v>
      </c>
      <c r="F302" s="14">
        <v>28.670816918420648</v>
      </c>
      <c r="G302" s="14">
        <v>113.13800421894352</v>
      </c>
      <c r="H302" s="14">
        <v>158.43269338625092</v>
      </c>
      <c r="I302" s="14">
        <v>603.30770517729991</v>
      </c>
      <c r="J302" s="14">
        <v>1314.7568068507499</v>
      </c>
      <c r="K302" s="14">
        <v>1304.2502044943135</v>
      </c>
      <c r="L302" s="14">
        <v>1253.1136260294829</v>
      </c>
      <c r="M302" s="14">
        <v>825.25839205259581</v>
      </c>
      <c r="N302" s="14">
        <v>250.23607627520954</v>
      </c>
      <c r="O302" s="14">
        <v>356.38265328484977</v>
      </c>
    </row>
    <row r="303" spans="1:15" x14ac:dyDescent="0.3">
      <c r="A303" s="3" t="str">
        <f>INDEX('R1. Scenario specifications'!$C$11:$C$49,MATCH($B303,'R1. Scenario specifications'!$A$11:$A$49,0))</f>
        <v>Current 1.5DS, 2030 start, 'Expect the Unexpected' but with most conservative biomass CCS / NET technology cost assumptions</v>
      </c>
      <c r="B303" s="3" t="s">
        <v>31</v>
      </c>
      <c r="C303" s="3" t="s">
        <v>67</v>
      </c>
      <c r="D303" s="3" t="s">
        <v>256</v>
      </c>
      <c r="E303" s="14">
        <v>738.24098154394619</v>
      </c>
      <c r="F303" s="14">
        <v>744.22477031191352</v>
      </c>
      <c r="G303" s="14">
        <v>999.8328246673068</v>
      </c>
      <c r="H303" s="14">
        <v>1153.8656291758321</v>
      </c>
      <c r="I303" s="14">
        <v>1409.0195994537153</v>
      </c>
      <c r="J303" s="14">
        <v>2230.2694123009783</v>
      </c>
      <c r="K303" s="14">
        <v>3035.0603060181825</v>
      </c>
      <c r="L303" s="14">
        <v>3043.8692192879203</v>
      </c>
      <c r="M303" s="14">
        <v>3047.1936566657946</v>
      </c>
      <c r="N303" s="14">
        <v>3145.6830162381425</v>
      </c>
      <c r="O303" s="14">
        <v>3310.0885782714681</v>
      </c>
    </row>
    <row r="304" spans="1:15" x14ac:dyDescent="0.3">
      <c r="A304" s="3" t="str">
        <f>INDEX('R1. Scenario specifications'!$C$11:$C$49,MATCH($B304,'R1. Scenario specifications'!$A$11:$A$49,0))</f>
        <v>Current 1.5DS, 2030 start, 'Expect the Unexpected' but with most conservative biomass CCS / NET technology cost assumptions</v>
      </c>
      <c r="B304" s="3" t="s">
        <v>31</v>
      </c>
      <c r="C304" s="3" t="s">
        <v>68</v>
      </c>
      <c r="D304" s="3" t="s">
        <v>257</v>
      </c>
      <c r="E304" s="14">
        <v>381.69394199846289</v>
      </c>
      <c r="F304" s="14">
        <v>393.99999999999972</v>
      </c>
      <c r="G304" s="14">
        <v>647.54384646462074</v>
      </c>
      <c r="H304" s="14">
        <v>599.60750408611364</v>
      </c>
      <c r="I304" s="14">
        <v>574.22438013504609</v>
      </c>
      <c r="J304" s="14">
        <v>861.75361712502604</v>
      </c>
      <c r="K304" s="14">
        <v>1008.2614845606086</v>
      </c>
      <c r="L304" s="14">
        <v>1088.4001387852093</v>
      </c>
      <c r="M304" s="14">
        <v>1134.5746102322046</v>
      </c>
      <c r="N304" s="14">
        <v>1282.4846543417259</v>
      </c>
      <c r="O304" s="14">
        <v>1272.0489014637692</v>
      </c>
    </row>
    <row r="305" spans="1:15" x14ac:dyDescent="0.3">
      <c r="A305" s="3" t="str">
        <f>INDEX('R1. Scenario specifications'!$C$11:$C$49,MATCH($B305,'R1. Scenario specifications'!$A$11:$A$49,0))</f>
        <v>Current 1.5DS, 2030 start, 'Expect the Unexpected' but with most conservative biomass CCS / NET technology cost assumptions</v>
      </c>
      <c r="B305" s="3" t="s">
        <v>31</v>
      </c>
      <c r="C305" s="3" t="s">
        <v>69</v>
      </c>
      <c r="D305" s="3" t="s">
        <v>258</v>
      </c>
      <c r="E305" s="14">
        <v>430.81063106061174</v>
      </c>
      <c r="F305" s="14">
        <v>452.4364981864552</v>
      </c>
      <c r="G305" s="14">
        <v>452.8330666776244</v>
      </c>
      <c r="H305" s="14">
        <v>256.83855764560741</v>
      </c>
      <c r="I305" s="14">
        <v>126.74403411644494</v>
      </c>
      <c r="J305" s="14">
        <v>1.4780390966868702</v>
      </c>
      <c r="K305" s="14">
        <v>46.363143610826832</v>
      </c>
      <c r="L305" s="14">
        <v>46.363143610826832</v>
      </c>
      <c r="M305" s="14">
        <v>38.863085685209569</v>
      </c>
      <c r="N305" s="14">
        <v>56.223915065386869</v>
      </c>
      <c r="O305" s="14">
        <v>152.54323592423691</v>
      </c>
    </row>
    <row r="306" spans="1:15" x14ac:dyDescent="0.3">
      <c r="A306" s="3" t="str">
        <f>INDEX('R1. Scenario specifications'!$C$11:$C$49,MATCH($B306,'R1. Scenario specifications'!$A$11:$A$49,0))</f>
        <v>Current 1.5DS, 2030 start, 'Expect the Unexpected' but with most conservative biomass CCS / NET technology cost assumptions</v>
      </c>
      <c r="B306" s="3" t="s">
        <v>31</v>
      </c>
      <c r="C306" s="3" t="s">
        <v>70</v>
      </c>
      <c r="D306" s="3" t="s">
        <v>259</v>
      </c>
      <c r="E306" s="14">
        <v>13.930776255707762</v>
      </c>
      <c r="F306" s="14">
        <v>96.560908546679059</v>
      </c>
      <c r="G306" s="14">
        <v>193.62720812488871</v>
      </c>
      <c r="H306" s="14">
        <v>564.29121895346805</v>
      </c>
      <c r="I306" s="14">
        <v>2533.745065413555</v>
      </c>
      <c r="J306" s="14">
        <v>7093.2480244115686</v>
      </c>
      <c r="K306" s="14">
        <v>16385.741193470923</v>
      </c>
      <c r="L306" s="14">
        <v>16724.56443687082</v>
      </c>
      <c r="M306" s="14">
        <v>16786.471358787589</v>
      </c>
      <c r="N306" s="14">
        <v>18222.882536879275</v>
      </c>
      <c r="O306" s="14">
        <v>18830.353525270617</v>
      </c>
    </row>
    <row r="307" spans="1:15" x14ac:dyDescent="0.3">
      <c r="A307" s="3" t="str">
        <f>INDEX('R1. Scenario specifications'!$C$11:$C$49,MATCH($B307,'R1. Scenario specifications'!$A$11:$A$49,0))</f>
        <v>Current 1.5DS, 2030 start, 'Expect the Unexpected' but with most conservative biomass CCS / NET technology cost assumptions</v>
      </c>
      <c r="B307" s="3" t="s">
        <v>31</v>
      </c>
      <c r="C307" s="3" t="s">
        <v>71</v>
      </c>
      <c r="D307" s="3" t="s">
        <v>259</v>
      </c>
      <c r="E307" s="14">
        <v>11.2241111111111</v>
      </c>
      <c r="F307" s="14">
        <v>12.249511111111101</v>
      </c>
      <c r="G307" s="14">
        <v>13.0611055551111</v>
      </c>
      <c r="H307" s="14">
        <v>13.059905555111095</v>
      </c>
      <c r="I307" s="14">
        <v>62.77524149510203</v>
      </c>
      <c r="J307" s="14">
        <v>159.64842741024844</v>
      </c>
      <c r="K307" s="14">
        <v>164.04602492149235</v>
      </c>
      <c r="L307" s="14">
        <v>222.1788709701363</v>
      </c>
      <c r="M307" s="14">
        <v>222.17571505656059</v>
      </c>
      <c r="N307" s="14">
        <v>222.1726720426384</v>
      </c>
      <c r="O307" s="14">
        <v>222.16968763643075</v>
      </c>
    </row>
    <row r="308" spans="1:15" x14ac:dyDescent="0.3">
      <c r="A308" s="3" t="str">
        <f>INDEX('R1. Scenario specifications'!$C$11:$C$49,MATCH($B308,'R1. Scenario specifications'!$A$11:$A$49,0))</f>
        <v>Current 1.5DS, 2030 start, 'Expect the Unexpected' but with most conservative biomass CCS / NET technology cost assumptions</v>
      </c>
      <c r="B308" s="3" t="s">
        <v>31</v>
      </c>
      <c r="C308" s="3" t="s">
        <v>75</v>
      </c>
      <c r="D308" s="3" t="s">
        <v>258</v>
      </c>
      <c r="E308" s="14">
        <v>0.31124745380476826</v>
      </c>
      <c r="F308" s="14">
        <v>0.28314462712947408</v>
      </c>
      <c r="G308" s="14">
        <v>0.23818010444900301</v>
      </c>
      <c r="H308" s="14">
        <v>0.15878673629933501</v>
      </c>
      <c r="I308" s="14">
        <v>7.9393368149667701E-2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</row>
    <row r="309" spans="1:15" x14ac:dyDescent="0.3">
      <c r="A309" s="3" t="str">
        <f>INDEX('R1. Scenario specifications'!$C$11:$C$49,MATCH($B309,'R1. Scenario specifications'!$A$11:$A$49,0))</f>
        <v>Current 1.5DS, 2030 start, 'Expect the Unexpected' but with most conservative biomass CCS / NET technology cost assumptions</v>
      </c>
      <c r="B309" s="3" t="s">
        <v>31</v>
      </c>
      <c r="C309" s="3" t="s">
        <v>72</v>
      </c>
      <c r="D309" s="3" t="s">
        <v>260</v>
      </c>
      <c r="E309" s="14">
        <v>217.76839471634247</v>
      </c>
      <c r="F309" s="14">
        <v>242.99857406704328</v>
      </c>
      <c r="G309" s="14">
        <v>365.36686102816424</v>
      </c>
      <c r="H309" s="14">
        <v>1381.7602614741115</v>
      </c>
      <c r="I309" s="14">
        <v>3109.2892223918961</v>
      </c>
      <c r="J309" s="14">
        <v>6623.3241471105748</v>
      </c>
      <c r="K309" s="14">
        <v>13996.651764618648</v>
      </c>
      <c r="L309" s="14">
        <v>11258.687989909151</v>
      </c>
      <c r="M309" s="14">
        <v>9355.3533967538115</v>
      </c>
      <c r="N309" s="14">
        <v>12011.431350105922</v>
      </c>
      <c r="O309" s="14">
        <v>15206.748913123925</v>
      </c>
    </row>
    <row r="310" spans="1:15" x14ac:dyDescent="0.3">
      <c r="A310" s="3" t="str">
        <f>INDEX('R1. Scenario specifications'!$C$11:$C$49,MATCH($B310,'R1. Scenario specifications'!$A$11:$A$49,0))</f>
        <v>Current 1.75DS, 2020 start, 'Expect the Unexpected'</v>
      </c>
      <c r="B310" s="3" t="s">
        <v>32</v>
      </c>
      <c r="C310" s="3" t="s">
        <v>63</v>
      </c>
      <c r="D310" s="3" t="s">
        <v>253</v>
      </c>
      <c r="E310" s="14">
        <v>19.526838931037336</v>
      </c>
      <c r="F310" s="14">
        <v>26.141237482570887</v>
      </c>
      <c r="G310" s="14">
        <v>117.10981417316707</v>
      </c>
      <c r="H310" s="14">
        <v>483.04543249675788</v>
      </c>
      <c r="I310" s="14">
        <v>544.35755804249345</v>
      </c>
      <c r="J310" s="14">
        <v>446.16970710839274</v>
      </c>
      <c r="K310" s="14">
        <v>75.253159645945274</v>
      </c>
      <c r="L310" s="14">
        <v>9.296662086562181</v>
      </c>
      <c r="M310" s="14">
        <v>6.44681036193038</v>
      </c>
      <c r="N310" s="14">
        <v>6.44681036193038</v>
      </c>
      <c r="O310" s="14">
        <v>6.0032801080441196</v>
      </c>
    </row>
    <row r="311" spans="1:15" x14ac:dyDescent="0.3">
      <c r="A311" s="3" t="str">
        <f>INDEX('R1. Scenario specifications'!$C$11:$C$49,MATCH($B311,'R1. Scenario specifications'!$A$11:$A$49,0))</f>
        <v>Current 1.75DS, 2020 start, 'Expect the Unexpected'</v>
      </c>
      <c r="B311" s="3" t="s">
        <v>32</v>
      </c>
      <c r="C311" s="3" t="s">
        <v>73</v>
      </c>
      <c r="D311" s="3" t="s">
        <v>253</v>
      </c>
      <c r="E311" s="14">
        <v>0</v>
      </c>
      <c r="F311" s="14">
        <v>0</v>
      </c>
      <c r="G311" s="14">
        <v>0</v>
      </c>
      <c r="H311" s="14">
        <v>12.666835823519458</v>
      </c>
      <c r="I311" s="14">
        <v>86.454151899012075</v>
      </c>
      <c r="J311" s="14">
        <v>428.68937050727726</v>
      </c>
      <c r="K311" s="14">
        <v>1349.8506167908215</v>
      </c>
      <c r="L311" s="14">
        <v>2315.8778556611051</v>
      </c>
      <c r="M311" s="14">
        <v>2843.2054347122416</v>
      </c>
      <c r="N311" s="14">
        <v>3284.4293973725353</v>
      </c>
      <c r="O311" s="14">
        <v>3482.4839773597832</v>
      </c>
    </row>
    <row r="312" spans="1:15" x14ac:dyDescent="0.3">
      <c r="A312" s="3" t="str">
        <f>INDEX('R1. Scenario specifications'!$C$11:$C$49,MATCH($B312,'R1. Scenario specifications'!$A$11:$A$49,0))</f>
        <v>Current 1.75DS, 2020 start, 'Expect the Unexpected'</v>
      </c>
      <c r="B312" s="3" t="s">
        <v>32</v>
      </c>
      <c r="C312" s="3" t="s">
        <v>64</v>
      </c>
      <c r="D312" s="3" t="s">
        <v>254</v>
      </c>
      <c r="E312" s="14">
        <v>1633.0249332809897</v>
      </c>
      <c r="F312" s="14">
        <v>1804.9999999999993</v>
      </c>
      <c r="G312" s="14">
        <v>1804.9999999999993</v>
      </c>
      <c r="H312" s="14">
        <v>1442.4317981122206</v>
      </c>
      <c r="I312" s="14">
        <v>441.54204398431278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</row>
    <row r="313" spans="1:15" x14ac:dyDescent="0.3">
      <c r="A313" s="3" t="str">
        <f>INDEX('R1. Scenario specifications'!$C$11:$C$49,MATCH($B313,'R1. Scenario specifications'!$A$11:$A$49,0))</f>
        <v>Current 1.75DS, 2020 start, 'Expect the Unexpected'</v>
      </c>
      <c r="B313" s="3" t="s">
        <v>32</v>
      </c>
      <c r="C313" s="3" t="s">
        <v>65</v>
      </c>
      <c r="D313" s="3" t="s">
        <v>255</v>
      </c>
      <c r="E313" s="14">
        <v>1008.6224302831477</v>
      </c>
      <c r="F313" s="14">
        <v>1634.5557819505236</v>
      </c>
      <c r="G313" s="14">
        <v>2111.6960266729702</v>
      </c>
      <c r="H313" s="14">
        <v>1994.6462012378381</v>
      </c>
      <c r="I313" s="14">
        <v>1032.0562107789124</v>
      </c>
      <c r="J313" s="14">
        <v>752.64637331973086</v>
      </c>
      <c r="K313" s="14">
        <v>817.91711333022749</v>
      </c>
      <c r="L313" s="14">
        <v>808.80226588051255</v>
      </c>
      <c r="M313" s="14">
        <v>213.86524848413745</v>
      </c>
      <c r="N313" s="14">
        <v>299.09174490879201</v>
      </c>
      <c r="O313" s="14">
        <v>333.01790535642272</v>
      </c>
    </row>
    <row r="314" spans="1:15" x14ac:dyDescent="0.3">
      <c r="A314" s="3" t="str">
        <f>INDEX('R1. Scenario specifications'!$C$11:$C$49,MATCH($B314,'R1. Scenario specifications'!$A$11:$A$49,0))</f>
        <v>Current 1.75DS, 2020 start, 'Expect the Unexpected'</v>
      </c>
      <c r="B314" s="3" t="s">
        <v>32</v>
      </c>
      <c r="C314" s="3" t="s">
        <v>74</v>
      </c>
      <c r="D314" s="3" t="s">
        <v>255</v>
      </c>
      <c r="E314" s="14">
        <v>0</v>
      </c>
      <c r="F314" s="14">
        <v>0</v>
      </c>
      <c r="G314" s="14">
        <v>0</v>
      </c>
      <c r="H314" s="14">
        <v>1.0004029999999999</v>
      </c>
      <c r="I314" s="14">
        <v>2.5124292804138282</v>
      </c>
      <c r="J314" s="14">
        <v>70.719390659474499</v>
      </c>
      <c r="K314" s="14">
        <v>266.8105547081089</v>
      </c>
      <c r="L314" s="14">
        <v>765.75855551974689</v>
      </c>
      <c r="M314" s="14">
        <v>1464.2151972314405</v>
      </c>
      <c r="N314" s="14">
        <v>1667.3921331187096</v>
      </c>
      <c r="O314" s="14">
        <v>1555.1836174272796</v>
      </c>
    </row>
    <row r="315" spans="1:15" x14ac:dyDescent="0.3">
      <c r="A315" s="3" t="str">
        <f>INDEX('R1. Scenario specifications'!$C$11:$C$49,MATCH($B315,'R1. Scenario specifications'!$A$11:$A$49,0))</f>
        <v>Current 1.75DS, 2020 start, 'Expect the Unexpected'</v>
      </c>
      <c r="B315" s="3" t="s">
        <v>32</v>
      </c>
      <c r="C315" s="3" t="s">
        <v>66</v>
      </c>
      <c r="D315" s="3" t="s">
        <v>258</v>
      </c>
      <c r="E315" s="14">
        <v>31.122062759818384</v>
      </c>
      <c r="F315" s="14">
        <v>28.670816918420648</v>
      </c>
      <c r="G315" s="14">
        <v>113.13800421894352</v>
      </c>
      <c r="H315" s="14">
        <v>158.8032517201448</v>
      </c>
      <c r="I315" s="14">
        <v>202.77372430849005</v>
      </c>
      <c r="J315" s="14">
        <v>285.34404719651764</v>
      </c>
      <c r="K315" s="14">
        <v>464.06571397698701</v>
      </c>
      <c r="L315" s="14">
        <v>527.26175132264302</v>
      </c>
      <c r="M315" s="14">
        <v>736.17535708033722</v>
      </c>
      <c r="N315" s="14">
        <v>872.65877942638917</v>
      </c>
      <c r="O315" s="14">
        <v>943.67948464541757</v>
      </c>
    </row>
    <row r="316" spans="1:15" x14ac:dyDescent="0.3">
      <c r="A316" s="3" t="str">
        <f>INDEX('R1. Scenario specifications'!$C$11:$C$49,MATCH($B316,'R1. Scenario specifications'!$A$11:$A$49,0))</f>
        <v>Current 1.75DS, 2020 start, 'Expect the Unexpected'</v>
      </c>
      <c r="B316" s="3" t="s">
        <v>32</v>
      </c>
      <c r="C316" s="3" t="s">
        <v>67</v>
      </c>
      <c r="D316" s="3" t="s">
        <v>256</v>
      </c>
      <c r="E316" s="14">
        <v>738.24098154394619</v>
      </c>
      <c r="F316" s="14">
        <v>744.22477031191352</v>
      </c>
      <c r="G316" s="14">
        <v>999.8328246673068</v>
      </c>
      <c r="H316" s="14">
        <v>1190.0416603652129</v>
      </c>
      <c r="I316" s="14">
        <v>1456.7509673027062</v>
      </c>
      <c r="J316" s="14">
        <v>1712.9361490937299</v>
      </c>
      <c r="K316" s="14">
        <v>1909.739676907448</v>
      </c>
      <c r="L316" s="14">
        <v>2116.4083095172455</v>
      </c>
      <c r="M316" s="14">
        <v>2773.6869621778037</v>
      </c>
      <c r="N316" s="14">
        <v>3023.8843286784268</v>
      </c>
      <c r="O316" s="14">
        <v>3147.2229603314413</v>
      </c>
    </row>
    <row r="317" spans="1:15" x14ac:dyDescent="0.3">
      <c r="A317" s="3" t="str">
        <f>INDEX('R1. Scenario specifications'!$C$11:$C$49,MATCH($B317,'R1. Scenario specifications'!$A$11:$A$49,0))</f>
        <v>Current 1.75DS, 2020 start, 'Expect the Unexpected'</v>
      </c>
      <c r="B317" s="3" t="s">
        <v>32</v>
      </c>
      <c r="C317" s="3" t="s">
        <v>68</v>
      </c>
      <c r="D317" s="3" t="s">
        <v>257</v>
      </c>
      <c r="E317" s="14">
        <v>381.69394199846289</v>
      </c>
      <c r="F317" s="14">
        <v>393.99999999999972</v>
      </c>
      <c r="G317" s="14">
        <v>647.54384646462074</v>
      </c>
      <c r="H317" s="14">
        <v>599.60750408611364</v>
      </c>
      <c r="I317" s="14">
        <v>646.61427786131219</v>
      </c>
      <c r="J317" s="14">
        <v>921.6386533637168</v>
      </c>
      <c r="K317" s="14">
        <v>1096.8272863407594</v>
      </c>
      <c r="L317" s="14">
        <v>1241.8289534289077</v>
      </c>
      <c r="M317" s="14">
        <v>1357.5144664466752</v>
      </c>
      <c r="N317" s="14">
        <v>1435.2930515598571</v>
      </c>
      <c r="O317" s="14">
        <v>1444.0662265078045</v>
      </c>
    </row>
    <row r="318" spans="1:15" x14ac:dyDescent="0.3">
      <c r="A318" s="3" t="str">
        <f>INDEX('R1. Scenario specifications'!$C$11:$C$49,MATCH($B318,'R1. Scenario specifications'!$A$11:$A$49,0))</f>
        <v>Current 1.75DS, 2020 start, 'Expect the Unexpected'</v>
      </c>
      <c r="B318" s="3" t="s">
        <v>32</v>
      </c>
      <c r="C318" s="3" t="s">
        <v>69</v>
      </c>
      <c r="D318" s="3" t="s">
        <v>258</v>
      </c>
      <c r="E318" s="14">
        <v>430.81063106061174</v>
      </c>
      <c r="F318" s="14">
        <v>452.4364981864552</v>
      </c>
      <c r="G318" s="14">
        <v>452.8330666776244</v>
      </c>
      <c r="H318" s="14">
        <v>256.21420471071912</v>
      </c>
      <c r="I318" s="14">
        <v>138.06872409941528</v>
      </c>
      <c r="J318" s="14">
        <v>15.67645185491862</v>
      </c>
      <c r="K318" s="14">
        <v>23.765184385463257</v>
      </c>
      <c r="L318" s="14">
        <v>79.994805833426199</v>
      </c>
      <c r="M318" s="14">
        <v>98.195780192461157</v>
      </c>
      <c r="N318" s="14">
        <v>155.33783665642329</v>
      </c>
      <c r="O318" s="14">
        <v>218.43400913981424</v>
      </c>
    </row>
    <row r="319" spans="1:15" x14ac:dyDescent="0.3">
      <c r="A319" s="3" t="str">
        <f>INDEX('R1. Scenario specifications'!$C$11:$C$49,MATCH($B319,'R1. Scenario specifications'!$A$11:$A$49,0))</f>
        <v>Current 1.75DS, 2020 start, 'Expect the Unexpected'</v>
      </c>
      <c r="B319" s="3" t="s">
        <v>32</v>
      </c>
      <c r="C319" s="3" t="s">
        <v>70</v>
      </c>
      <c r="D319" s="3" t="s">
        <v>259</v>
      </c>
      <c r="E319" s="14">
        <v>13.930776255707762</v>
      </c>
      <c r="F319" s="14">
        <v>96.560908546679059</v>
      </c>
      <c r="G319" s="14">
        <v>193.62720812488871</v>
      </c>
      <c r="H319" s="14">
        <v>903.07318586255042</v>
      </c>
      <c r="I319" s="14">
        <v>3345.3154676721597</v>
      </c>
      <c r="J319" s="14">
        <v>5411.8352346414476</v>
      </c>
      <c r="K319" s="14">
        <v>7271.8092791063918</v>
      </c>
      <c r="L319" s="14">
        <v>11316.13377301386</v>
      </c>
      <c r="M319" s="14">
        <v>18967.739513840534</v>
      </c>
      <c r="N319" s="14">
        <v>23712.170445737538</v>
      </c>
      <c r="O319" s="14">
        <v>25868.161784506603</v>
      </c>
    </row>
    <row r="320" spans="1:15" x14ac:dyDescent="0.3">
      <c r="A320" s="3" t="str">
        <f>INDEX('R1. Scenario specifications'!$C$11:$C$49,MATCH($B320,'R1. Scenario specifications'!$A$11:$A$49,0))</f>
        <v>Current 1.75DS, 2020 start, 'Expect the Unexpected'</v>
      </c>
      <c r="B320" s="3" t="s">
        <v>32</v>
      </c>
      <c r="C320" s="3" t="s">
        <v>71</v>
      </c>
      <c r="D320" s="3" t="s">
        <v>259</v>
      </c>
      <c r="E320" s="14">
        <v>11.2241111111111</v>
      </c>
      <c r="F320" s="14">
        <v>12.249511111111101</v>
      </c>
      <c r="G320" s="14">
        <v>13.0611055551111</v>
      </c>
      <c r="H320" s="14">
        <v>13.059505551511098</v>
      </c>
      <c r="I320" s="14">
        <v>13.262031287790107</v>
      </c>
      <c r="J320" s="14">
        <v>14.23056651542618</v>
      </c>
      <c r="K320" s="14">
        <v>14.520109034165518</v>
      </c>
      <c r="L320" s="14">
        <v>15.704285092304978</v>
      </c>
      <c r="M320" s="14">
        <v>21.618041948794136</v>
      </c>
      <c r="N320" s="14">
        <v>49.032320349884031</v>
      </c>
      <c r="O320" s="14">
        <v>49.029920349884037</v>
      </c>
    </row>
    <row r="321" spans="1:15" x14ac:dyDescent="0.3">
      <c r="A321" s="3" t="str">
        <f>INDEX('R1. Scenario specifications'!$C$11:$C$49,MATCH($B321,'R1. Scenario specifications'!$A$11:$A$49,0))</f>
        <v>Current 1.75DS, 2020 start, 'Expect the Unexpected'</v>
      </c>
      <c r="B321" s="3" t="s">
        <v>32</v>
      </c>
      <c r="C321" s="3" t="s">
        <v>75</v>
      </c>
      <c r="D321" s="3" t="s">
        <v>258</v>
      </c>
      <c r="E321" s="14">
        <v>0.31124745380476826</v>
      </c>
      <c r="F321" s="14">
        <v>0.28314462712947408</v>
      </c>
      <c r="G321" s="14">
        <v>0.23818010444900301</v>
      </c>
      <c r="H321" s="14">
        <v>0.15878673629933501</v>
      </c>
      <c r="I321" s="14">
        <v>7.9393368149667701E-2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</row>
    <row r="322" spans="1:15" x14ac:dyDescent="0.3">
      <c r="A322" s="3" t="str">
        <f>INDEX('R1. Scenario specifications'!$C$11:$C$49,MATCH($B322,'R1. Scenario specifications'!$A$11:$A$49,0))</f>
        <v>Current 1.75DS, 2020 start, 'Expect the Unexpected'</v>
      </c>
      <c r="B322" s="3" t="s">
        <v>32</v>
      </c>
      <c r="C322" s="3" t="s">
        <v>72</v>
      </c>
      <c r="D322" s="3" t="s">
        <v>260</v>
      </c>
      <c r="E322" s="14">
        <v>217.76839471634247</v>
      </c>
      <c r="F322" s="14">
        <v>242.99857406704328</v>
      </c>
      <c r="G322" s="14">
        <v>365.36686102816424</v>
      </c>
      <c r="H322" s="14">
        <v>1608.939481169471</v>
      </c>
      <c r="I322" s="14">
        <v>3550.9876961609461</v>
      </c>
      <c r="J322" s="14">
        <v>4771.1912976620752</v>
      </c>
      <c r="K322" s="14">
        <v>6918.6455422121453</v>
      </c>
      <c r="L322" s="14">
        <v>10006.719212496577</v>
      </c>
      <c r="M322" s="14">
        <v>16506.938206572326</v>
      </c>
      <c r="N322" s="14">
        <v>22289.663530933787</v>
      </c>
      <c r="O322" s="14">
        <v>26454.647927641883</v>
      </c>
    </row>
    <row r="323" spans="1:15" x14ac:dyDescent="0.3">
      <c r="A323" s="3" t="str">
        <f>INDEX('R1. Scenario specifications'!$C$11:$C$49,MATCH($B323,'R1. Scenario specifications'!$A$11:$A$49,0))</f>
        <v>Current 1.75DS, 2030 start, 'Expect the Unexpected'</v>
      </c>
      <c r="B323" s="3" t="s">
        <v>33</v>
      </c>
      <c r="C323" s="3" t="s">
        <v>63</v>
      </c>
      <c r="D323" s="3" t="s">
        <v>253</v>
      </c>
      <c r="E323" s="14">
        <v>19.526838931037336</v>
      </c>
      <c r="F323" s="14">
        <v>26.141237482570887</v>
      </c>
      <c r="G323" s="14">
        <v>117.10981417316707</v>
      </c>
      <c r="H323" s="14">
        <v>412.30855682261659</v>
      </c>
      <c r="I323" s="14">
        <v>571.49334695027574</v>
      </c>
      <c r="J323" s="14">
        <v>505.1710368561026</v>
      </c>
      <c r="K323" s="14">
        <v>204.99136506779661</v>
      </c>
      <c r="L323" s="14">
        <v>36.295237202494306</v>
      </c>
      <c r="M323" s="14">
        <v>0</v>
      </c>
      <c r="N323" s="14">
        <v>5.3451805199140896</v>
      </c>
      <c r="O323" s="14">
        <v>5.3803208916737901</v>
      </c>
    </row>
    <row r="324" spans="1:15" x14ac:dyDescent="0.3">
      <c r="A324" s="3" t="str">
        <f>INDEX('R1. Scenario specifications'!$C$11:$C$49,MATCH($B324,'R1. Scenario specifications'!$A$11:$A$49,0))</f>
        <v>Current 1.75DS, 2030 start, 'Expect the Unexpected'</v>
      </c>
      <c r="B324" s="3" t="s">
        <v>33</v>
      </c>
      <c r="C324" s="3" t="s">
        <v>73</v>
      </c>
      <c r="D324" s="3" t="s">
        <v>253</v>
      </c>
      <c r="E324" s="14">
        <v>0</v>
      </c>
      <c r="F324" s="14">
        <v>0</v>
      </c>
      <c r="G324" s="14">
        <v>0</v>
      </c>
      <c r="H324" s="14">
        <v>0</v>
      </c>
      <c r="I324" s="14">
        <v>14.51976189512888</v>
      </c>
      <c r="J324" s="14">
        <v>272.41929667151464</v>
      </c>
      <c r="K324" s="14">
        <v>1630.3534910220069</v>
      </c>
      <c r="L324" s="14">
        <v>3038.0298849988335</v>
      </c>
      <c r="M324" s="14">
        <v>3272.3157323944233</v>
      </c>
      <c r="N324" s="14">
        <v>3144.725807759598</v>
      </c>
      <c r="O324" s="14">
        <v>3387.7561857543956</v>
      </c>
    </row>
    <row r="325" spans="1:15" x14ac:dyDescent="0.3">
      <c r="A325" s="3" t="str">
        <f>INDEX('R1. Scenario specifications'!$C$11:$C$49,MATCH($B325,'R1. Scenario specifications'!$A$11:$A$49,0))</f>
        <v>Current 1.75DS, 2030 start, 'Expect the Unexpected'</v>
      </c>
      <c r="B325" s="3" t="s">
        <v>33</v>
      </c>
      <c r="C325" s="3" t="s">
        <v>64</v>
      </c>
      <c r="D325" s="3" t="s">
        <v>254</v>
      </c>
      <c r="E325" s="14">
        <v>1633.0249332809897</v>
      </c>
      <c r="F325" s="14">
        <v>1804.9999999999993</v>
      </c>
      <c r="G325" s="14">
        <v>1804.9999999999993</v>
      </c>
      <c r="H325" s="14">
        <v>1458.8285858367421</v>
      </c>
      <c r="I325" s="14">
        <v>457.93883170883436</v>
      </c>
      <c r="J325" s="14">
        <v>16.396787724521602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</row>
    <row r="326" spans="1:15" x14ac:dyDescent="0.3">
      <c r="A326" s="3" t="str">
        <f>INDEX('R1. Scenario specifications'!$C$11:$C$49,MATCH($B326,'R1. Scenario specifications'!$A$11:$A$49,0))</f>
        <v>Current 1.75DS, 2030 start, 'Expect the Unexpected'</v>
      </c>
      <c r="B326" s="3" t="s">
        <v>33</v>
      </c>
      <c r="C326" s="3" t="s">
        <v>65</v>
      </c>
      <c r="D326" s="3" t="s">
        <v>255</v>
      </c>
      <c r="E326" s="14">
        <v>1008.6224302831477</v>
      </c>
      <c r="F326" s="14">
        <v>1634.5557819505236</v>
      </c>
      <c r="G326" s="14">
        <v>2111.6960266729702</v>
      </c>
      <c r="H326" s="14">
        <v>1960.1606269560627</v>
      </c>
      <c r="I326" s="14">
        <v>1277.1717077630658</v>
      </c>
      <c r="J326" s="14">
        <v>766.59514034971744</v>
      </c>
      <c r="K326" s="14">
        <v>847.08278297251286</v>
      </c>
      <c r="L326" s="14">
        <v>565.81033977043387</v>
      </c>
      <c r="M326" s="14">
        <v>190.81395526512736</v>
      </c>
      <c r="N326" s="14">
        <v>363.47360343134648</v>
      </c>
      <c r="O326" s="14">
        <v>324.95931354331151</v>
      </c>
    </row>
    <row r="327" spans="1:15" x14ac:dyDescent="0.3">
      <c r="A327" s="3" t="str">
        <f>INDEX('R1. Scenario specifications'!$C$11:$C$49,MATCH($B327,'R1. Scenario specifications'!$A$11:$A$49,0))</f>
        <v>Current 1.75DS, 2030 start, 'Expect the Unexpected'</v>
      </c>
      <c r="B327" s="3" t="s">
        <v>33</v>
      </c>
      <c r="C327" s="3" t="s">
        <v>74</v>
      </c>
      <c r="D327" s="3" t="s">
        <v>255</v>
      </c>
      <c r="E327" s="14">
        <v>0</v>
      </c>
      <c r="F327" s="14">
        <v>0</v>
      </c>
      <c r="G327" s="14">
        <v>0</v>
      </c>
      <c r="H327" s="14">
        <v>0</v>
      </c>
      <c r="I327" s="14">
        <v>0.48628310487112397</v>
      </c>
      <c r="J327" s="14">
        <v>9.6560634665725509</v>
      </c>
      <c r="K327" s="14">
        <v>91.12517676123349</v>
      </c>
      <c r="L327" s="14">
        <v>555.89798702523944</v>
      </c>
      <c r="M327" s="14">
        <v>1213.4095187134712</v>
      </c>
      <c r="N327" s="14">
        <v>1445.2588647899438</v>
      </c>
      <c r="O327" s="14">
        <v>1407.892932504662</v>
      </c>
    </row>
    <row r="328" spans="1:15" x14ac:dyDescent="0.3">
      <c r="A328" s="3" t="str">
        <f>INDEX('R1. Scenario specifications'!$C$11:$C$49,MATCH($B328,'R1. Scenario specifications'!$A$11:$A$49,0))</f>
        <v>Current 1.75DS, 2030 start, 'Expect the Unexpected'</v>
      </c>
      <c r="B328" s="3" t="s">
        <v>33</v>
      </c>
      <c r="C328" s="3" t="s">
        <v>66</v>
      </c>
      <c r="D328" s="3" t="s">
        <v>258</v>
      </c>
      <c r="E328" s="14">
        <v>31.122062759818384</v>
      </c>
      <c r="F328" s="14">
        <v>28.670816918420648</v>
      </c>
      <c r="G328" s="14">
        <v>113.13800421894352</v>
      </c>
      <c r="H328" s="14">
        <v>158.43269338625092</v>
      </c>
      <c r="I328" s="14">
        <v>221.58895572822081</v>
      </c>
      <c r="J328" s="14">
        <v>409.58107197057012</v>
      </c>
      <c r="K328" s="14">
        <v>701.97400639878447</v>
      </c>
      <c r="L328" s="14">
        <v>699.31831509840117</v>
      </c>
      <c r="M328" s="14">
        <v>731.2065069409075</v>
      </c>
      <c r="N328" s="14">
        <v>876.52069544972505</v>
      </c>
      <c r="O328" s="14">
        <v>944.72901094858446</v>
      </c>
    </row>
    <row r="329" spans="1:15" x14ac:dyDescent="0.3">
      <c r="A329" s="3" t="str">
        <f>INDEX('R1. Scenario specifications'!$C$11:$C$49,MATCH($B329,'R1. Scenario specifications'!$A$11:$A$49,0))</f>
        <v>Current 1.75DS, 2030 start, 'Expect the Unexpected'</v>
      </c>
      <c r="B329" s="3" t="s">
        <v>33</v>
      </c>
      <c r="C329" s="3" t="s">
        <v>67</v>
      </c>
      <c r="D329" s="3" t="s">
        <v>256</v>
      </c>
      <c r="E329" s="14">
        <v>738.24098154394619</v>
      </c>
      <c r="F329" s="14">
        <v>744.22477031191352</v>
      </c>
      <c r="G329" s="14">
        <v>999.8328246673068</v>
      </c>
      <c r="H329" s="14">
        <v>1153.8656291758321</v>
      </c>
      <c r="I329" s="14">
        <v>1331.7603060894055</v>
      </c>
      <c r="J329" s="14">
        <v>1947.3399881582659</v>
      </c>
      <c r="K329" s="14">
        <v>2347.0015285287827</v>
      </c>
      <c r="L329" s="14">
        <v>2420.5544003698278</v>
      </c>
      <c r="M329" s="14">
        <v>2845.5186660411318</v>
      </c>
      <c r="N329" s="14">
        <v>3050.7250646449347</v>
      </c>
      <c r="O329" s="14">
        <v>3174.6927964590268</v>
      </c>
    </row>
    <row r="330" spans="1:15" x14ac:dyDescent="0.3">
      <c r="A330" s="3" t="str">
        <f>INDEX('R1. Scenario specifications'!$C$11:$C$49,MATCH($B330,'R1. Scenario specifications'!$A$11:$A$49,0))</f>
        <v>Current 1.75DS, 2030 start, 'Expect the Unexpected'</v>
      </c>
      <c r="B330" s="3" t="s">
        <v>33</v>
      </c>
      <c r="C330" s="3" t="s">
        <v>68</v>
      </c>
      <c r="D330" s="3" t="s">
        <v>257</v>
      </c>
      <c r="E330" s="14">
        <v>381.69394199846289</v>
      </c>
      <c r="F330" s="14">
        <v>393.99999999999972</v>
      </c>
      <c r="G330" s="14">
        <v>647.54384646462074</v>
      </c>
      <c r="H330" s="14">
        <v>599.60750408611364</v>
      </c>
      <c r="I330" s="14">
        <v>574.22438013504609</v>
      </c>
      <c r="J330" s="14">
        <v>932.75289370291682</v>
      </c>
      <c r="K330" s="14">
        <v>1118.6993208950887</v>
      </c>
      <c r="L330" s="14">
        <v>1201.8490282552971</v>
      </c>
      <c r="M330" s="14">
        <v>1373.301632524084</v>
      </c>
      <c r="N330" s="14">
        <v>1435.2930515598559</v>
      </c>
      <c r="O330" s="14">
        <v>1445.0849796722175</v>
      </c>
    </row>
    <row r="331" spans="1:15" x14ac:dyDescent="0.3">
      <c r="A331" s="3" t="str">
        <f>INDEX('R1. Scenario specifications'!$C$11:$C$49,MATCH($B331,'R1. Scenario specifications'!$A$11:$A$49,0))</f>
        <v>Current 1.75DS, 2030 start, 'Expect the Unexpected'</v>
      </c>
      <c r="B331" s="3" t="s">
        <v>33</v>
      </c>
      <c r="C331" s="3" t="s">
        <v>69</v>
      </c>
      <c r="D331" s="3" t="s">
        <v>258</v>
      </c>
      <c r="E331" s="14">
        <v>430.81063106061174</v>
      </c>
      <c r="F331" s="14">
        <v>452.4364981864552</v>
      </c>
      <c r="G331" s="14">
        <v>452.8330666776244</v>
      </c>
      <c r="H331" s="14">
        <v>256.83855764560741</v>
      </c>
      <c r="I331" s="14">
        <v>139.29691051723486</v>
      </c>
      <c r="J331" s="14">
        <v>14.030915497476816</v>
      </c>
      <c r="K331" s="14">
        <v>12.651434497431699</v>
      </c>
      <c r="L331" s="14">
        <v>78.163600775347192</v>
      </c>
      <c r="M331" s="14">
        <v>99.485951823420237</v>
      </c>
      <c r="N331" s="14">
        <v>104.11993191649884</v>
      </c>
      <c r="O331" s="14">
        <v>166.00426307171941</v>
      </c>
    </row>
    <row r="332" spans="1:15" x14ac:dyDescent="0.3">
      <c r="A332" s="3" t="str">
        <f>INDEX('R1. Scenario specifications'!$C$11:$C$49,MATCH($B332,'R1. Scenario specifications'!$A$11:$A$49,0))</f>
        <v>Current 1.75DS, 2030 start, 'Expect the Unexpected'</v>
      </c>
      <c r="B332" s="3" t="s">
        <v>33</v>
      </c>
      <c r="C332" s="3" t="s">
        <v>70</v>
      </c>
      <c r="D332" s="3" t="s">
        <v>259</v>
      </c>
      <c r="E332" s="14">
        <v>13.930776255707762</v>
      </c>
      <c r="F332" s="14">
        <v>96.560908546679059</v>
      </c>
      <c r="G332" s="14">
        <v>193.62720812488871</v>
      </c>
      <c r="H332" s="14">
        <v>564.29121895346805</v>
      </c>
      <c r="I332" s="14">
        <v>2379.562776405437</v>
      </c>
      <c r="J332" s="14">
        <v>5729.8924946169554</v>
      </c>
      <c r="K332" s="14">
        <v>9688.6542394577318</v>
      </c>
      <c r="L332" s="14">
        <v>13237.393187084172</v>
      </c>
      <c r="M332" s="14">
        <v>18182.441934068502</v>
      </c>
      <c r="N332" s="14">
        <v>22211.304193167794</v>
      </c>
      <c r="O332" s="14">
        <v>24905.9701981047</v>
      </c>
    </row>
    <row r="333" spans="1:15" x14ac:dyDescent="0.3">
      <c r="A333" s="3" t="str">
        <f>INDEX('R1. Scenario specifications'!$C$11:$C$49,MATCH($B333,'R1. Scenario specifications'!$A$11:$A$49,0))</f>
        <v>Current 1.75DS, 2030 start, 'Expect the Unexpected'</v>
      </c>
      <c r="B333" s="3" t="s">
        <v>33</v>
      </c>
      <c r="C333" s="3" t="s">
        <v>71</v>
      </c>
      <c r="D333" s="3" t="s">
        <v>259</v>
      </c>
      <c r="E333" s="14">
        <v>11.2241111111111</v>
      </c>
      <c r="F333" s="14">
        <v>12.249511111111101</v>
      </c>
      <c r="G333" s="14">
        <v>13.0611055551111</v>
      </c>
      <c r="H333" s="14">
        <v>13.059905555111095</v>
      </c>
      <c r="I333" s="14">
        <v>13.247220770487646</v>
      </c>
      <c r="J333" s="14">
        <v>14.161327981505291</v>
      </c>
      <c r="K333" s="14">
        <v>18.559852668305421</v>
      </c>
      <c r="L333" s="14">
        <v>18.601484422453701</v>
      </c>
      <c r="M333" s="14">
        <v>18.812128917499798</v>
      </c>
      <c r="N333" s="14">
        <v>19.83621503125579</v>
      </c>
      <c r="O333" s="14">
        <v>19.833415031255797</v>
      </c>
    </row>
    <row r="334" spans="1:15" x14ac:dyDescent="0.3">
      <c r="A334" s="3" t="str">
        <f>INDEX('R1. Scenario specifications'!$C$11:$C$49,MATCH($B334,'R1. Scenario specifications'!$A$11:$A$49,0))</f>
        <v>Current 1.75DS, 2030 start, 'Expect the Unexpected'</v>
      </c>
      <c r="B334" s="3" t="s">
        <v>33</v>
      </c>
      <c r="C334" s="3" t="s">
        <v>75</v>
      </c>
      <c r="D334" s="3" t="s">
        <v>258</v>
      </c>
      <c r="E334" s="14">
        <v>0.31124745380476826</v>
      </c>
      <c r="F334" s="14">
        <v>0.28314462712947408</v>
      </c>
      <c r="G334" s="14">
        <v>0.23818010444900301</v>
      </c>
      <c r="H334" s="14">
        <v>0.15878673629933501</v>
      </c>
      <c r="I334" s="14">
        <v>7.9393368149667701E-2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</row>
    <row r="335" spans="1:15" x14ac:dyDescent="0.3">
      <c r="A335" s="3" t="str">
        <f>INDEX('R1. Scenario specifications'!$C$11:$C$49,MATCH($B335,'R1. Scenario specifications'!$A$11:$A$49,0))</f>
        <v>Current 1.75DS, 2030 start, 'Expect the Unexpected'</v>
      </c>
      <c r="B335" s="3" t="s">
        <v>33</v>
      </c>
      <c r="C335" s="3" t="s">
        <v>72</v>
      </c>
      <c r="D335" s="3" t="s">
        <v>260</v>
      </c>
      <c r="E335" s="14">
        <v>217.76839471634247</v>
      </c>
      <c r="F335" s="14">
        <v>242.99857406704328</v>
      </c>
      <c r="G335" s="14">
        <v>365.36686102816424</v>
      </c>
      <c r="H335" s="14">
        <v>1381.7602614741115</v>
      </c>
      <c r="I335" s="14">
        <v>3552.1388286397146</v>
      </c>
      <c r="J335" s="14">
        <v>5138.8160455374255</v>
      </c>
      <c r="K335" s="14">
        <v>8936.8683231678406</v>
      </c>
      <c r="L335" s="14">
        <v>10546.316555269608</v>
      </c>
      <c r="M335" s="14">
        <v>15509.196625244776</v>
      </c>
      <c r="N335" s="14">
        <v>20989.418187974072</v>
      </c>
      <c r="O335" s="14">
        <v>25823.959710448751</v>
      </c>
    </row>
    <row r="336" spans="1:15" x14ac:dyDescent="0.3">
      <c r="A336" s="3" t="str">
        <f>INDEX('R1. Scenario specifications'!$C$11:$C$49,MATCH($B336,'R1. Scenario specifications'!$A$11:$A$49,0))</f>
        <v>Current 1.75DS, 2020 start, 'Expect the Unexpected' but with cheap renewables</v>
      </c>
      <c r="B336" s="3" t="s">
        <v>34</v>
      </c>
      <c r="C336" s="3" t="s">
        <v>63</v>
      </c>
      <c r="D336" s="3" t="s">
        <v>253</v>
      </c>
      <c r="E336" s="14">
        <v>19.526838931037336</v>
      </c>
      <c r="F336" s="14">
        <v>26.141237482570887</v>
      </c>
      <c r="G336" s="14">
        <v>117.10981417316707</v>
      </c>
      <c r="H336" s="14">
        <v>442.70385791617531</v>
      </c>
      <c r="I336" s="14">
        <v>485.04985291915011</v>
      </c>
      <c r="J336" s="14">
        <v>385.45040924473329</v>
      </c>
      <c r="K336" s="14">
        <v>54.875436362868562</v>
      </c>
      <c r="L336" s="14">
        <v>7.8850693086765506</v>
      </c>
      <c r="M336" s="14">
        <v>6.4133883887643899</v>
      </c>
      <c r="N336" s="14">
        <v>6.4133883887643899</v>
      </c>
      <c r="O336" s="14">
        <v>6.0033623978974404</v>
      </c>
    </row>
    <row r="337" spans="1:15" x14ac:dyDescent="0.3">
      <c r="A337" s="3" t="str">
        <f>INDEX('R1. Scenario specifications'!$C$11:$C$49,MATCH($B337,'R1. Scenario specifications'!$A$11:$A$49,0))</f>
        <v>Current 1.75DS, 2020 start, 'Expect the Unexpected' but with cheap renewables</v>
      </c>
      <c r="B337" s="3" t="s">
        <v>34</v>
      </c>
      <c r="C337" s="3" t="s">
        <v>73</v>
      </c>
      <c r="D337" s="3" t="s">
        <v>253</v>
      </c>
      <c r="E337" s="14">
        <v>0</v>
      </c>
      <c r="F337" s="14">
        <v>0</v>
      </c>
      <c r="G337" s="14">
        <v>0</v>
      </c>
      <c r="H337" s="14">
        <v>12.281216117699719</v>
      </c>
      <c r="I337" s="14">
        <v>83.044993479374881</v>
      </c>
      <c r="J337" s="14">
        <v>427.87921078545446</v>
      </c>
      <c r="K337" s="14">
        <v>1340.5087977110861</v>
      </c>
      <c r="L337" s="14">
        <v>2316.8319897295123</v>
      </c>
      <c r="M337" s="14">
        <v>2833.7759484051194</v>
      </c>
      <c r="N337" s="14">
        <v>3223.8870864890005</v>
      </c>
      <c r="O337" s="14">
        <v>3478.6059389859543</v>
      </c>
    </row>
    <row r="338" spans="1:15" x14ac:dyDescent="0.3">
      <c r="A338" s="3" t="str">
        <f>INDEX('R1. Scenario specifications'!$C$11:$C$49,MATCH($B338,'R1. Scenario specifications'!$A$11:$A$49,0))</f>
        <v>Current 1.75DS, 2020 start, 'Expect the Unexpected' but with cheap renewables</v>
      </c>
      <c r="B338" s="3" t="s">
        <v>34</v>
      </c>
      <c r="C338" s="3" t="s">
        <v>64</v>
      </c>
      <c r="D338" s="3" t="s">
        <v>254</v>
      </c>
      <c r="E338" s="14">
        <v>1633.0249332809897</v>
      </c>
      <c r="F338" s="14">
        <v>1804.9999999999993</v>
      </c>
      <c r="G338" s="14">
        <v>1804.9999999999993</v>
      </c>
      <c r="H338" s="14">
        <v>1442.4317981122206</v>
      </c>
      <c r="I338" s="14">
        <v>441.54204398431278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</row>
    <row r="339" spans="1:15" x14ac:dyDescent="0.3">
      <c r="A339" s="3" t="str">
        <f>INDEX('R1. Scenario specifications'!$C$11:$C$49,MATCH($B339,'R1. Scenario specifications'!$A$11:$A$49,0))</f>
        <v>Current 1.75DS, 2020 start, 'Expect the Unexpected' but with cheap renewables</v>
      </c>
      <c r="B339" s="3" t="s">
        <v>34</v>
      </c>
      <c r="C339" s="3" t="s">
        <v>65</v>
      </c>
      <c r="D339" s="3" t="s">
        <v>255</v>
      </c>
      <c r="E339" s="14">
        <v>1008.6224302831477</v>
      </c>
      <c r="F339" s="14">
        <v>1634.5557819505236</v>
      </c>
      <c r="G339" s="14">
        <v>2111.6960266729702</v>
      </c>
      <c r="H339" s="14">
        <v>1979.8420679581104</v>
      </c>
      <c r="I339" s="14">
        <v>1056.6664405249812</v>
      </c>
      <c r="J339" s="14">
        <v>852.52353222788304</v>
      </c>
      <c r="K339" s="14">
        <v>938.19219691376168</v>
      </c>
      <c r="L339" s="14">
        <v>887.9863610029314</v>
      </c>
      <c r="M339" s="14">
        <v>214.66711498543481</v>
      </c>
      <c r="N339" s="14">
        <v>283.91541034182887</v>
      </c>
      <c r="O339" s="14">
        <v>295.42069588292645</v>
      </c>
    </row>
    <row r="340" spans="1:15" x14ac:dyDescent="0.3">
      <c r="A340" s="3" t="str">
        <f>INDEX('R1. Scenario specifications'!$C$11:$C$49,MATCH($B340,'R1. Scenario specifications'!$A$11:$A$49,0))</f>
        <v>Current 1.75DS, 2020 start, 'Expect the Unexpected' but with cheap renewables</v>
      </c>
      <c r="B340" s="3" t="s">
        <v>34</v>
      </c>
      <c r="C340" s="3" t="s">
        <v>74</v>
      </c>
      <c r="D340" s="3" t="s">
        <v>255</v>
      </c>
      <c r="E340" s="14">
        <v>0</v>
      </c>
      <c r="F340" s="14">
        <v>0</v>
      </c>
      <c r="G340" s="14">
        <v>0</v>
      </c>
      <c r="H340" s="14">
        <v>1.0004029999999999</v>
      </c>
      <c r="I340" s="14">
        <v>3.5569441432037605</v>
      </c>
      <c r="J340" s="14">
        <v>52.120486162530042</v>
      </c>
      <c r="K340" s="14">
        <v>174.63759717270352</v>
      </c>
      <c r="L340" s="14">
        <v>679.05301475190208</v>
      </c>
      <c r="M340" s="14">
        <v>1433.1820495950519</v>
      </c>
      <c r="N340" s="14">
        <v>1645.4766787500353</v>
      </c>
      <c r="O340" s="14">
        <v>1483.5862931959534</v>
      </c>
    </row>
    <row r="341" spans="1:15" x14ac:dyDescent="0.3">
      <c r="A341" s="3" t="str">
        <f>INDEX('R1. Scenario specifications'!$C$11:$C$49,MATCH($B341,'R1. Scenario specifications'!$A$11:$A$49,0))</f>
        <v>Current 1.75DS, 2020 start, 'Expect the Unexpected' but with cheap renewables</v>
      </c>
      <c r="B341" s="3" t="s">
        <v>34</v>
      </c>
      <c r="C341" s="3" t="s">
        <v>66</v>
      </c>
      <c r="D341" s="3" t="s">
        <v>258</v>
      </c>
      <c r="E341" s="14">
        <v>31.122062759818384</v>
      </c>
      <c r="F341" s="14">
        <v>28.670816918420648</v>
      </c>
      <c r="G341" s="14">
        <v>113.13800421894352</v>
      </c>
      <c r="H341" s="14">
        <v>158.8032517201448</v>
      </c>
      <c r="I341" s="14">
        <v>205.29332375022238</v>
      </c>
      <c r="J341" s="14">
        <v>292.21564565679728</v>
      </c>
      <c r="K341" s="14">
        <v>425.95729974673657</v>
      </c>
      <c r="L341" s="14">
        <v>489.27488976906386</v>
      </c>
      <c r="M341" s="14">
        <v>719.49864603844924</v>
      </c>
      <c r="N341" s="14">
        <v>847.5721837813195</v>
      </c>
      <c r="O341" s="14">
        <v>847.66046646607947</v>
      </c>
    </row>
    <row r="342" spans="1:15" x14ac:dyDescent="0.3">
      <c r="A342" s="3" t="str">
        <f>INDEX('R1. Scenario specifications'!$C$11:$C$49,MATCH($B342,'R1. Scenario specifications'!$A$11:$A$49,0))</f>
        <v>Current 1.75DS, 2020 start, 'Expect the Unexpected' but with cheap renewables</v>
      </c>
      <c r="B342" s="3" t="s">
        <v>34</v>
      </c>
      <c r="C342" s="3" t="s">
        <v>67</v>
      </c>
      <c r="D342" s="3" t="s">
        <v>256</v>
      </c>
      <c r="E342" s="14">
        <v>738.24098154394619</v>
      </c>
      <c r="F342" s="14">
        <v>744.22477031191352</v>
      </c>
      <c r="G342" s="14">
        <v>999.8328246673068</v>
      </c>
      <c r="H342" s="14">
        <v>1165.9663070387999</v>
      </c>
      <c r="I342" s="14">
        <v>1435.3165646103243</v>
      </c>
      <c r="J342" s="14">
        <v>1669.4664057417344</v>
      </c>
      <c r="K342" s="14">
        <v>1875.7251411958919</v>
      </c>
      <c r="L342" s="14">
        <v>2133.384283151825</v>
      </c>
      <c r="M342" s="14">
        <v>2788.0582865840015</v>
      </c>
      <c r="N342" s="14">
        <v>2998.5798088092479</v>
      </c>
      <c r="O342" s="14">
        <v>3149.2735178010794</v>
      </c>
    </row>
    <row r="343" spans="1:15" x14ac:dyDescent="0.3">
      <c r="A343" s="3" t="str">
        <f>INDEX('R1. Scenario specifications'!$C$11:$C$49,MATCH($B343,'R1. Scenario specifications'!$A$11:$A$49,0))</f>
        <v>Current 1.75DS, 2020 start, 'Expect the Unexpected' but with cheap renewables</v>
      </c>
      <c r="B343" s="3" t="s">
        <v>34</v>
      </c>
      <c r="C343" s="3" t="s">
        <v>68</v>
      </c>
      <c r="D343" s="3" t="s">
        <v>257</v>
      </c>
      <c r="E343" s="14">
        <v>381.69394199846289</v>
      </c>
      <c r="F343" s="14">
        <v>393.99999999999972</v>
      </c>
      <c r="G343" s="14">
        <v>647.54384646462074</v>
      </c>
      <c r="H343" s="14">
        <v>599.60750408611364</v>
      </c>
      <c r="I343" s="14">
        <v>637.46789067849886</v>
      </c>
      <c r="J343" s="14">
        <v>920.03913239930864</v>
      </c>
      <c r="K343" s="14">
        <v>1079.1436863563888</v>
      </c>
      <c r="L343" s="14">
        <v>1237.6109885542651</v>
      </c>
      <c r="M343" s="14">
        <v>1361.6215059894312</v>
      </c>
      <c r="N343" s="14">
        <v>1437.0474331476059</v>
      </c>
      <c r="O343" s="14">
        <v>1439.0255659762724</v>
      </c>
    </row>
    <row r="344" spans="1:15" x14ac:dyDescent="0.3">
      <c r="A344" s="3" t="str">
        <f>INDEX('R1. Scenario specifications'!$C$11:$C$49,MATCH($B344,'R1. Scenario specifications'!$A$11:$A$49,0))</f>
        <v>Current 1.75DS, 2020 start, 'Expect the Unexpected' but with cheap renewables</v>
      </c>
      <c r="B344" s="3" t="s">
        <v>34</v>
      </c>
      <c r="C344" s="3" t="s">
        <v>69</v>
      </c>
      <c r="D344" s="3" t="s">
        <v>258</v>
      </c>
      <c r="E344" s="14">
        <v>430.81063106061174</v>
      </c>
      <c r="F344" s="14">
        <v>452.4364981864552</v>
      </c>
      <c r="G344" s="14">
        <v>452.8330666776244</v>
      </c>
      <c r="H344" s="14">
        <v>262.30709249976326</v>
      </c>
      <c r="I344" s="14">
        <v>142.21639639878012</v>
      </c>
      <c r="J344" s="14">
        <v>11.481866524866131</v>
      </c>
      <c r="K344" s="14">
        <v>18.792375674841171</v>
      </c>
      <c r="L344" s="14">
        <v>46.102443110251166</v>
      </c>
      <c r="M344" s="14">
        <v>64.441188905575189</v>
      </c>
      <c r="N344" s="14">
        <v>107.13247793355799</v>
      </c>
      <c r="O344" s="14">
        <v>173.53339272806431</v>
      </c>
    </row>
    <row r="345" spans="1:15" x14ac:dyDescent="0.3">
      <c r="A345" s="3" t="str">
        <f>INDEX('R1. Scenario specifications'!$C$11:$C$49,MATCH($B345,'R1. Scenario specifications'!$A$11:$A$49,0))</f>
        <v>Current 1.75DS, 2020 start, 'Expect the Unexpected' but with cheap renewables</v>
      </c>
      <c r="B345" s="3" t="s">
        <v>34</v>
      </c>
      <c r="C345" s="3" t="s">
        <v>70</v>
      </c>
      <c r="D345" s="3" t="s">
        <v>259</v>
      </c>
      <c r="E345" s="14">
        <v>13.930776255707762</v>
      </c>
      <c r="F345" s="14">
        <v>96.560908546679059</v>
      </c>
      <c r="G345" s="14">
        <v>193.62720812488871</v>
      </c>
      <c r="H345" s="14">
        <v>1198.6053466984656</v>
      </c>
      <c r="I345" s="14">
        <v>4055.9502120716134</v>
      </c>
      <c r="J345" s="14">
        <v>6342.5714418311691</v>
      </c>
      <c r="K345" s="14">
        <v>8323.9648905561826</v>
      </c>
      <c r="L345" s="14">
        <v>12235.888751692522</v>
      </c>
      <c r="M345" s="14">
        <v>19412.532490495898</v>
      </c>
      <c r="N345" s="14">
        <v>24022.075182418106</v>
      </c>
      <c r="O345" s="14">
        <v>26562.907487550579</v>
      </c>
    </row>
    <row r="346" spans="1:15" x14ac:dyDescent="0.3">
      <c r="A346" s="3" t="str">
        <f>INDEX('R1. Scenario specifications'!$C$11:$C$49,MATCH($B346,'R1. Scenario specifications'!$A$11:$A$49,0))</f>
        <v>Current 1.75DS, 2020 start, 'Expect the Unexpected' but with cheap renewables</v>
      </c>
      <c r="B346" s="3" t="s">
        <v>34</v>
      </c>
      <c r="C346" s="3" t="s">
        <v>71</v>
      </c>
      <c r="D346" s="3" t="s">
        <v>259</v>
      </c>
      <c r="E346" s="14">
        <v>11.2241111111111</v>
      </c>
      <c r="F346" s="14">
        <v>12.249511111111101</v>
      </c>
      <c r="G346" s="14">
        <v>13.0611055551111</v>
      </c>
      <c r="H346" s="14">
        <v>13.059105551511097</v>
      </c>
      <c r="I346" s="14">
        <v>13.317891593870639</v>
      </c>
      <c r="J346" s="14">
        <v>14.928533336232771</v>
      </c>
      <c r="K346" s="14">
        <v>15.022150794688203</v>
      </c>
      <c r="L346" s="14">
        <v>67.806502262511671</v>
      </c>
      <c r="M346" s="14">
        <v>114.44869586168342</v>
      </c>
      <c r="N346" s="14">
        <v>114.44629586168342</v>
      </c>
      <c r="O346" s="14">
        <v>114.44389586168342</v>
      </c>
    </row>
    <row r="347" spans="1:15" x14ac:dyDescent="0.3">
      <c r="A347" s="3" t="str">
        <f>INDEX('R1. Scenario specifications'!$C$11:$C$49,MATCH($B347,'R1. Scenario specifications'!$A$11:$A$49,0))</f>
        <v>Current 1.75DS, 2020 start, 'Expect the Unexpected' but with cheap renewables</v>
      </c>
      <c r="B347" s="3" t="s">
        <v>34</v>
      </c>
      <c r="C347" s="3" t="s">
        <v>75</v>
      </c>
      <c r="D347" s="3" t="s">
        <v>258</v>
      </c>
      <c r="E347" s="14">
        <v>0.31124745380476826</v>
      </c>
      <c r="F347" s="14">
        <v>0.28314462712947408</v>
      </c>
      <c r="G347" s="14">
        <v>0.23818010444900301</v>
      </c>
      <c r="H347" s="14">
        <v>0.15878673629933501</v>
      </c>
      <c r="I347" s="14">
        <v>7.9393368149667701E-2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</row>
    <row r="348" spans="1:15" x14ac:dyDescent="0.3">
      <c r="A348" s="3" t="str">
        <f>INDEX('R1. Scenario specifications'!$C$11:$C$49,MATCH($B348,'R1. Scenario specifications'!$A$11:$A$49,0))</f>
        <v>Current 1.75DS, 2020 start, 'Expect the Unexpected' but with cheap renewables</v>
      </c>
      <c r="B348" s="3" t="s">
        <v>34</v>
      </c>
      <c r="C348" s="3" t="s">
        <v>72</v>
      </c>
      <c r="D348" s="3" t="s">
        <v>260</v>
      </c>
      <c r="E348" s="14">
        <v>217.76839471634247</v>
      </c>
      <c r="F348" s="14">
        <v>242.99857406704328</v>
      </c>
      <c r="G348" s="14">
        <v>365.36686102816424</v>
      </c>
      <c r="H348" s="14">
        <v>2038.029816082216</v>
      </c>
      <c r="I348" s="14">
        <v>3830.0964723774318</v>
      </c>
      <c r="J348" s="14">
        <v>5131.9458938449716</v>
      </c>
      <c r="K348" s="14">
        <v>7233.2646194721174</v>
      </c>
      <c r="L348" s="14">
        <v>10464.626608381859</v>
      </c>
      <c r="M348" s="14">
        <v>17036.311815905414</v>
      </c>
      <c r="N348" s="14">
        <v>22648.475372986177</v>
      </c>
      <c r="O348" s="14">
        <v>27264.017880707117</v>
      </c>
    </row>
    <row r="349" spans="1:15" x14ac:dyDescent="0.3">
      <c r="A349" s="3" t="str">
        <f>INDEX('R1. Scenario specifications'!$C$11:$C$49,MATCH($B349,'R1. Scenario specifications'!$A$11:$A$49,0))</f>
        <v>Current 1.75DS, 2030 start, 'Expect the Unexpected' but with cheap renewables</v>
      </c>
      <c r="B349" s="3" t="s">
        <v>35</v>
      </c>
      <c r="C349" s="3" t="s">
        <v>63</v>
      </c>
      <c r="D349" s="3" t="s">
        <v>253</v>
      </c>
      <c r="E349" s="14">
        <v>19.526838931037336</v>
      </c>
      <c r="F349" s="14">
        <v>26.141237482570887</v>
      </c>
      <c r="G349" s="14">
        <v>117.10981417316707</v>
      </c>
      <c r="H349" s="14">
        <v>412.30855682261659</v>
      </c>
      <c r="I349" s="14">
        <v>562.11373473676053</v>
      </c>
      <c r="J349" s="14">
        <v>496.16624376769158</v>
      </c>
      <c r="K349" s="14">
        <v>195.98657197938553</v>
      </c>
      <c r="L349" s="14">
        <v>36.670056327598459</v>
      </c>
      <c r="M349" s="14">
        <v>0</v>
      </c>
      <c r="N349" s="14">
        <v>6.1938259993984897</v>
      </c>
      <c r="O349" s="14">
        <v>6.1938259993984897</v>
      </c>
    </row>
    <row r="350" spans="1:15" x14ac:dyDescent="0.3">
      <c r="A350" s="3" t="str">
        <f>INDEX('R1. Scenario specifications'!$C$11:$C$49,MATCH($B350,'R1. Scenario specifications'!$A$11:$A$49,0))</f>
        <v>Current 1.75DS, 2030 start, 'Expect the Unexpected' but with cheap renewables</v>
      </c>
      <c r="B350" s="3" t="s">
        <v>35</v>
      </c>
      <c r="C350" s="3" t="s">
        <v>73</v>
      </c>
      <c r="D350" s="3" t="s">
        <v>253</v>
      </c>
      <c r="E350" s="14">
        <v>0</v>
      </c>
      <c r="F350" s="14">
        <v>0</v>
      </c>
      <c r="G350" s="14">
        <v>0</v>
      </c>
      <c r="H350" s="14">
        <v>0</v>
      </c>
      <c r="I350" s="14">
        <v>14.51976189512888</v>
      </c>
      <c r="J350" s="14">
        <v>270.86224508687371</v>
      </c>
      <c r="K350" s="14">
        <v>1621.9220514463041</v>
      </c>
      <c r="L350" s="14">
        <v>3003.2025014087649</v>
      </c>
      <c r="M350" s="14">
        <v>3234.1297281379107</v>
      </c>
      <c r="N350" s="14">
        <v>3154.5565915352122</v>
      </c>
      <c r="O350" s="14">
        <v>3409.4888947270065</v>
      </c>
    </row>
    <row r="351" spans="1:15" x14ac:dyDescent="0.3">
      <c r="A351" s="3" t="str">
        <f>INDEX('R1. Scenario specifications'!$C$11:$C$49,MATCH($B351,'R1. Scenario specifications'!$A$11:$A$49,0))</f>
        <v>Current 1.75DS, 2030 start, 'Expect the Unexpected' but with cheap renewables</v>
      </c>
      <c r="B351" s="3" t="s">
        <v>35</v>
      </c>
      <c r="C351" s="3" t="s">
        <v>64</v>
      </c>
      <c r="D351" s="3" t="s">
        <v>254</v>
      </c>
      <c r="E351" s="14">
        <v>1633.0249332809897</v>
      </c>
      <c r="F351" s="14">
        <v>1804.9999999999993</v>
      </c>
      <c r="G351" s="14">
        <v>1804.9999999999993</v>
      </c>
      <c r="H351" s="14">
        <v>1458.8285858367421</v>
      </c>
      <c r="I351" s="14">
        <v>457.93883170883436</v>
      </c>
      <c r="J351" s="14">
        <v>16.396787724521602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</row>
    <row r="352" spans="1:15" x14ac:dyDescent="0.3">
      <c r="A352" s="3" t="str">
        <f>INDEX('R1. Scenario specifications'!$C$11:$C$49,MATCH($B352,'R1. Scenario specifications'!$A$11:$A$49,0))</f>
        <v>Current 1.75DS, 2030 start, 'Expect the Unexpected' but with cheap renewables</v>
      </c>
      <c r="B352" s="3" t="s">
        <v>35</v>
      </c>
      <c r="C352" s="3" t="s">
        <v>65</v>
      </c>
      <c r="D352" s="3" t="s">
        <v>255</v>
      </c>
      <c r="E352" s="14">
        <v>1008.6224302831477</v>
      </c>
      <c r="F352" s="14">
        <v>1634.5557819505236</v>
      </c>
      <c r="G352" s="14">
        <v>2111.6960266729702</v>
      </c>
      <c r="H352" s="14">
        <v>1960.1606269560627</v>
      </c>
      <c r="I352" s="14">
        <v>1246.452666907365</v>
      </c>
      <c r="J352" s="14">
        <v>789.7782726644798</v>
      </c>
      <c r="K352" s="14">
        <v>864.87602191367159</v>
      </c>
      <c r="L352" s="14">
        <v>592.89636043491032</v>
      </c>
      <c r="M352" s="14">
        <v>163.6640549520053</v>
      </c>
      <c r="N352" s="14">
        <v>330.37288807524237</v>
      </c>
      <c r="O352" s="14">
        <v>280.12766396832768</v>
      </c>
    </row>
    <row r="353" spans="1:15" x14ac:dyDescent="0.3">
      <c r="A353" s="3" t="str">
        <f>INDEX('R1. Scenario specifications'!$C$11:$C$49,MATCH($B353,'R1. Scenario specifications'!$A$11:$A$49,0))</f>
        <v>Current 1.75DS, 2030 start, 'Expect the Unexpected' but with cheap renewables</v>
      </c>
      <c r="B353" s="3" t="s">
        <v>35</v>
      </c>
      <c r="C353" s="3" t="s">
        <v>74</v>
      </c>
      <c r="D353" s="3" t="s">
        <v>255</v>
      </c>
      <c r="E353" s="14">
        <v>0</v>
      </c>
      <c r="F353" s="14">
        <v>0</v>
      </c>
      <c r="G353" s="14">
        <v>0</v>
      </c>
      <c r="H353" s="14">
        <v>0</v>
      </c>
      <c r="I353" s="14">
        <v>0.48628310487112397</v>
      </c>
      <c r="J353" s="14">
        <v>9.71291667655405</v>
      </c>
      <c r="K353" s="14">
        <v>91.334502805118433</v>
      </c>
      <c r="L353" s="14">
        <v>600.72492869478208</v>
      </c>
      <c r="M353" s="14">
        <v>1301.9253547405144</v>
      </c>
      <c r="N353" s="14">
        <v>1477.9729962825002</v>
      </c>
      <c r="O353" s="14">
        <v>1386.4064218043452</v>
      </c>
    </row>
    <row r="354" spans="1:15" x14ac:dyDescent="0.3">
      <c r="A354" s="3" t="str">
        <f>INDEX('R1. Scenario specifications'!$C$11:$C$49,MATCH($B354,'R1. Scenario specifications'!$A$11:$A$49,0))</f>
        <v>Current 1.75DS, 2030 start, 'Expect the Unexpected' but with cheap renewables</v>
      </c>
      <c r="B354" s="3" t="s">
        <v>35</v>
      </c>
      <c r="C354" s="3" t="s">
        <v>66</v>
      </c>
      <c r="D354" s="3" t="s">
        <v>258</v>
      </c>
      <c r="E354" s="14">
        <v>31.122062759818384</v>
      </c>
      <c r="F354" s="14">
        <v>28.670816918420648</v>
      </c>
      <c r="G354" s="14">
        <v>113.13800421894352</v>
      </c>
      <c r="H354" s="14">
        <v>158.43269338625092</v>
      </c>
      <c r="I354" s="14">
        <v>221.58895572822081</v>
      </c>
      <c r="J354" s="14">
        <v>406.4997103881106</v>
      </c>
      <c r="K354" s="14">
        <v>683.06813566621906</v>
      </c>
      <c r="L354" s="14">
        <v>680.41244436583565</v>
      </c>
      <c r="M354" s="14">
        <v>704.46272692357411</v>
      </c>
      <c r="N354" s="14">
        <v>812.53154613416996</v>
      </c>
      <c r="O354" s="14">
        <v>857.3802388687759</v>
      </c>
    </row>
    <row r="355" spans="1:15" x14ac:dyDescent="0.3">
      <c r="A355" s="3" t="str">
        <f>INDEX('R1. Scenario specifications'!$C$11:$C$49,MATCH($B355,'R1. Scenario specifications'!$A$11:$A$49,0))</f>
        <v>Current 1.75DS, 2030 start, 'Expect the Unexpected' but with cheap renewables</v>
      </c>
      <c r="B355" s="3" t="s">
        <v>35</v>
      </c>
      <c r="C355" s="3" t="s">
        <v>67</v>
      </c>
      <c r="D355" s="3" t="s">
        <v>256</v>
      </c>
      <c r="E355" s="14">
        <v>738.24098154394619</v>
      </c>
      <c r="F355" s="14">
        <v>744.22477031191352</v>
      </c>
      <c r="G355" s="14">
        <v>999.8328246673068</v>
      </c>
      <c r="H355" s="14">
        <v>1153.8656291758321</v>
      </c>
      <c r="I355" s="14">
        <v>1327.7415700648587</v>
      </c>
      <c r="J355" s="14">
        <v>1916.2843990444851</v>
      </c>
      <c r="K355" s="14">
        <v>2200.966663936535</v>
      </c>
      <c r="L355" s="14">
        <v>2299.2618869568487</v>
      </c>
      <c r="M355" s="14">
        <v>2820.1300523986833</v>
      </c>
      <c r="N355" s="14">
        <v>3055.8544069345226</v>
      </c>
      <c r="O355" s="14">
        <v>3158.7411116781318</v>
      </c>
    </row>
    <row r="356" spans="1:15" x14ac:dyDescent="0.3">
      <c r="A356" s="3" t="str">
        <f>INDEX('R1. Scenario specifications'!$C$11:$C$49,MATCH($B356,'R1. Scenario specifications'!$A$11:$A$49,0))</f>
        <v>Current 1.75DS, 2030 start, 'Expect the Unexpected' but with cheap renewables</v>
      </c>
      <c r="B356" s="3" t="s">
        <v>35</v>
      </c>
      <c r="C356" s="3" t="s">
        <v>68</v>
      </c>
      <c r="D356" s="3" t="s">
        <v>257</v>
      </c>
      <c r="E356" s="14">
        <v>381.69394199846289</v>
      </c>
      <c r="F356" s="14">
        <v>393.99999999999972</v>
      </c>
      <c r="G356" s="14">
        <v>647.54384646462074</v>
      </c>
      <c r="H356" s="14">
        <v>599.60750408611364</v>
      </c>
      <c r="I356" s="14">
        <v>574.22438013504609</v>
      </c>
      <c r="J356" s="14">
        <v>932.75289370291682</v>
      </c>
      <c r="K356" s="14">
        <v>1121.295098352286</v>
      </c>
      <c r="L356" s="14">
        <v>1204.4448057124946</v>
      </c>
      <c r="M356" s="14">
        <v>1325.6771262945549</v>
      </c>
      <c r="N356" s="14">
        <v>1437.0211798455255</v>
      </c>
      <c r="O356" s="14">
        <v>1439.5916842878676</v>
      </c>
    </row>
    <row r="357" spans="1:15" x14ac:dyDescent="0.3">
      <c r="A357" s="3" t="str">
        <f>INDEX('R1. Scenario specifications'!$C$11:$C$49,MATCH($B357,'R1. Scenario specifications'!$A$11:$A$49,0))</f>
        <v>Current 1.75DS, 2030 start, 'Expect the Unexpected' but with cheap renewables</v>
      </c>
      <c r="B357" s="3" t="s">
        <v>35</v>
      </c>
      <c r="C357" s="3" t="s">
        <v>69</v>
      </c>
      <c r="D357" s="3" t="s">
        <v>258</v>
      </c>
      <c r="E357" s="14">
        <v>430.81063106061174</v>
      </c>
      <c r="F357" s="14">
        <v>452.4364981864552</v>
      </c>
      <c r="G357" s="14">
        <v>452.8330666776244</v>
      </c>
      <c r="H357" s="14">
        <v>256.83855764560741</v>
      </c>
      <c r="I357" s="14">
        <v>138.63057196272067</v>
      </c>
      <c r="J357" s="14">
        <v>14.207216451265889</v>
      </c>
      <c r="K357" s="14">
        <v>14.652155625703939</v>
      </c>
      <c r="L357" s="14">
        <v>64.713843268020355</v>
      </c>
      <c r="M357" s="14">
        <v>82.166526859911627</v>
      </c>
      <c r="N357" s="14">
        <v>83.203561985000036</v>
      </c>
      <c r="O357" s="14">
        <v>144.73073244215399</v>
      </c>
    </row>
    <row r="358" spans="1:15" x14ac:dyDescent="0.3">
      <c r="A358" s="3" t="str">
        <f>INDEX('R1. Scenario specifications'!$C$11:$C$49,MATCH($B358,'R1. Scenario specifications'!$A$11:$A$49,0))</f>
        <v>Current 1.75DS, 2030 start, 'Expect the Unexpected' but with cheap renewables</v>
      </c>
      <c r="B358" s="3" t="s">
        <v>35</v>
      </c>
      <c r="C358" s="3" t="s">
        <v>70</v>
      </c>
      <c r="D358" s="3" t="s">
        <v>259</v>
      </c>
      <c r="E358" s="14">
        <v>13.930776255707762</v>
      </c>
      <c r="F358" s="14">
        <v>96.560908546679059</v>
      </c>
      <c r="G358" s="14">
        <v>193.62720812488871</v>
      </c>
      <c r="H358" s="14">
        <v>564.29121895346805</v>
      </c>
      <c r="I358" s="14">
        <v>2872.4958349656481</v>
      </c>
      <c r="J358" s="14">
        <v>6689.1367596117489</v>
      </c>
      <c r="K358" s="14">
        <v>10627.824115957064</v>
      </c>
      <c r="L358" s="14">
        <v>13631.900820355078</v>
      </c>
      <c r="M358" s="14">
        <v>18798.915636604506</v>
      </c>
      <c r="N358" s="14">
        <v>22772.829593770988</v>
      </c>
      <c r="O358" s="14">
        <v>25822.373222913506</v>
      </c>
    </row>
    <row r="359" spans="1:15" x14ac:dyDescent="0.3">
      <c r="A359" s="3" t="str">
        <f>INDEX('R1. Scenario specifications'!$C$11:$C$49,MATCH($B359,'R1. Scenario specifications'!$A$11:$A$49,0))</f>
        <v>Current 1.75DS, 2030 start, 'Expect the Unexpected' but with cheap renewables</v>
      </c>
      <c r="B359" s="3" t="s">
        <v>35</v>
      </c>
      <c r="C359" s="3" t="s">
        <v>71</v>
      </c>
      <c r="D359" s="3" t="s">
        <v>259</v>
      </c>
      <c r="E359" s="14">
        <v>11.2241111111111</v>
      </c>
      <c r="F359" s="14">
        <v>12.249511111111101</v>
      </c>
      <c r="G359" s="14">
        <v>13.0611055551111</v>
      </c>
      <c r="H359" s="14">
        <v>13.059905555111095</v>
      </c>
      <c r="I359" s="14">
        <v>13.315572368371878</v>
      </c>
      <c r="J359" s="14">
        <v>14.916545870368168</v>
      </c>
      <c r="K359" s="14">
        <v>24.833614822602168</v>
      </c>
      <c r="L359" s="14">
        <v>42.287608695918351</v>
      </c>
      <c r="M359" s="14">
        <v>42.28452998069455</v>
      </c>
      <c r="N359" s="14">
        <v>42.282129980694549</v>
      </c>
      <c r="O359" s="14">
        <v>42.279729980694555</v>
      </c>
    </row>
    <row r="360" spans="1:15" x14ac:dyDescent="0.3">
      <c r="A360" s="3" t="str">
        <f>INDEX('R1. Scenario specifications'!$C$11:$C$49,MATCH($B360,'R1. Scenario specifications'!$A$11:$A$49,0))</f>
        <v>Current 1.75DS, 2030 start, 'Expect the Unexpected' but with cheap renewables</v>
      </c>
      <c r="B360" s="3" t="s">
        <v>35</v>
      </c>
      <c r="C360" s="3" t="s">
        <v>75</v>
      </c>
      <c r="D360" s="3" t="s">
        <v>258</v>
      </c>
      <c r="E360" s="14">
        <v>0.31124745380476826</v>
      </c>
      <c r="F360" s="14">
        <v>0.28314462712947408</v>
      </c>
      <c r="G360" s="14">
        <v>0.23818010444900301</v>
      </c>
      <c r="H360" s="14">
        <v>0.15878673629933501</v>
      </c>
      <c r="I360" s="14">
        <v>7.9393368149667701E-2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</row>
    <row r="361" spans="1:15" x14ac:dyDescent="0.3">
      <c r="A361" s="3" t="str">
        <f>INDEX('R1. Scenario specifications'!$C$11:$C$49,MATCH($B361,'R1. Scenario specifications'!$A$11:$A$49,0))</f>
        <v>Current 1.75DS, 2030 start, 'Expect the Unexpected' but with cheap renewables</v>
      </c>
      <c r="B361" s="3" t="s">
        <v>35</v>
      </c>
      <c r="C361" s="3" t="s">
        <v>72</v>
      </c>
      <c r="D361" s="3" t="s">
        <v>260</v>
      </c>
      <c r="E361" s="14">
        <v>217.76839471634247</v>
      </c>
      <c r="F361" s="14">
        <v>242.99857406704328</v>
      </c>
      <c r="G361" s="14">
        <v>365.36686102816424</v>
      </c>
      <c r="H361" s="14">
        <v>1381.7602614741115</v>
      </c>
      <c r="I361" s="14">
        <v>3741.2811729821765</v>
      </c>
      <c r="J361" s="14">
        <v>5561.5590872089424</v>
      </c>
      <c r="K361" s="14">
        <v>9419.0502009311731</v>
      </c>
      <c r="L361" s="14">
        <v>11051.173890426744</v>
      </c>
      <c r="M361" s="14">
        <v>16001.091631461521</v>
      </c>
      <c r="N361" s="14">
        <v>21461.885616695454</v>
      </c>
      <c r="O361" s="14">
        <v>26405.509125610934</v>
      </c>
    </row>
    <row r="362" spans="1:15" x14ac:dyDescent="0.3">
      <c r="A362" s="3" t="str">
        <f>INDEX('R1. Scenario specifications'!$C$11:$C$49,MATCH($B362,'R1. Scenario specifications'!$A$11:$A$49,0))</f>
        <v>Current 1.75DS, 2020 start, 'Expect the Unexpected' but with cheap CCS</v>
      </c>
      <c r="B362" s="3" t="s">
        <v>36</v>
      </c>
      <c r="C362" s="3" t="s">
        <v>63</v>
      </c>
      <c r="D362" s="3" t="s">
        <v>253</v>
      </c>
      <c r="E362" s="14">
        <v>19.526838931037336</v>
      </c>
      <c r="F362" s="14">
        <v>26.141237482570887</v>
      </c>
      <c r="G362" s="14">
        <v>117.10981417316707</v>
      </c>
      <c r="H362" s="14">
        <v>483.04543250032964</v>
      </c>
      <c r="I362" s="14">
        <v>544.3575580457549</v>
      </c>
      <c r="J362" s="14">
        <v>446.16970710773353</v>
      </c>
      <c r="K362" s="14">
        <v>75.25315964171439</v>
      </c>
      <c r="L362" s="14">
        <v>9.2966620826412498</v>
      </c>
      <c r="M362" s="14">
        <v>6.44681036193038</v>
      </c>
      <c r="N362" s="14">
        <v>6.44681036193038</v>
      </c>
      <c r="O362" s="14">
        <v>6.0032801080433904</v>
      </c>
    </row>
    <row r="363" spans="1:15" x14ac:dyDescent="0.3">
      <c r="A363" s="3" t="str">
        <f>INDEX('R1. Scenario specifications'!$C$11:$C$49,MATCH($B363,'R1. Scenario specifications'!$A$11:$A$49,0))</f>
        <v>Current 1.75DS, 2020 start, 'Expect the Unexpected' but with cheap CCS</v>
      </c>
      <c r="B363" s="3" t="s">
        <v>36</v>
      </c>
      <c r="C363" s="3" t="s">
        <v>73</v>
      </c>
      <c r="D363" s="3" t="s">
        <v>253</v>
      </c>
      <c r="E363" s="14">
        <v>0</v>
      </c>
      <c r="F363" s="14">
        <v>0</v>
      </c>
      <c r="G363" s="14">
        <v>0</v>
      </c>
      <c r="H363" s="14">
        <v>12.666835823519454</v>
      </c>
      <c r="I363" s="14">
        <v>86.454151899012075</v>
      </c>
      <c r="J363" s="14">
        <v>428.68937050746609</v>
      </c>
      <c r="K363" s="14">
        <v>1349.850616791171</v>
      </c>
      <c r="L363" s="14">
        <v>2315.8778556603997</v>
      </c>
      <c r="M363" s="14">
        <v>2843.205434710947</v>
      </c>
      <c r="N363" s="14">
        <v>3284.4293973733079</v>
      </c>
      <c r="O363" s="14">
        <v>3482.483977360645</v>
      </c>
    </row>
    <row r="364" spans="1:15" x14ac:dyDescent="0.3">
      <c r="A364" s="3" t="str">
        <f>INDEX('R1. Scenario specifications'!$C$11:$C$49,MATCH($B364,'R1. Scenario specifications'!$A$11:$A$49,0))</f>
        <v>Current 1.75DS, 2020 start, 'Expect the Unexpected' but with cheap CCS</v>
      </c>
      <c r="B364" s="3" t="s">
        <v>36</v>
      </c>
      <c r="C364" s="3" t="s">
        <v>64</v>
      </c>
      <c r="D364" s="3" t="s">
        <v>254</v>
      </c>
      <c r="E364" s="14">
        <v>1633.0249332809897</v>
      </c>
      <c r="F364" s="14">
        <v>1804.9999999999993</v>
      </c>
      <c r="G364" s="14">
        <v>1804.9999999999993</v>
      </c>
      <c r="H364" s="14">
        <v>1442.4317981122206</v>
      </c>
      <c r="I364" s="14">
        <v>441.54204398431278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</row>
    <row r="365" spans="1:15" x14ac:dyDescent="0.3">
      <c r="A365" s="3" t="str">
        <f>INDEX('R1. Scenario specifications'!$C$11:$C$49,MATCH($B365,'R1. Scenario specifications'!$A$11:$A$49,0))</f>
        <v>Current 1.75DS, 2020 start, 'Expect the Unexpected' but with cheap CCS</v>
      </c>
      <c r="B365" s="3" t="s">
        <v>36</v>
      </c>
      <c r="C365" s="3" t="s">
        <v>65</v>
      </c>
      <c r="D365" s="3" t="s">
        <v>255</v>
      </c>
      <c r="E365" s="14">
        <v>1008.6224302831477</v>
      </c>
      <c r="F365" s="14">
        <v>1634.5557819505236</v>
      </c>
      <c r="G365" s="14">
        <v>2111.6960266729702</v>
      </c>
      <c r="H365" s="14">
        <v>1994.6462012378195</v>
      </c>
      <c r="I365" s="14">
        <v>1032.0562107682135</v>
      </c>
      <c r="J365" s="14">
        <v>752.64637331056997</v>
      </c>
      <c r="K365" s="14">
        <v>817.91711334066872</v>
      </c>
      <c r="L365" s="14">
        <v>808.80226590222401</v>
      </c>
      <c r="M365" s="14">
        <v>213.86524850421739</v>
      </c>
      <c r="N365" s="14">
        <v>299.09174492892697</v>
      </c>
      <c r="O365" s="14">
        <v>333.01790537650987</v>
      </c>
    </row>
    <row r="366" spans="1:15" x14ac:dyDescent="0.3">
      <c r="A366" s="3" t="str">
        <f>INDEX('R1. Scenario specifications'!$C$11:$C$49,MATCH($B366,'R1. Scenario specifications'!$A$11:$A$49,0))</f>
        <v>Current 1.75DS, 2020 start, 'Expect the Unexpected' but with cheap CCS</v>
      </c>
      <c r="B366" s="3" t="s">
        <v>36</v>
      </c>
      <c r="C366" s="3" t="s">
        <v>74</v>
      </c>
      <c r="D366" s="3" t="s">
        <v>255</v>
      </c>
      <c r="E366" s="14">
        <v>0</v>
      </c>
      <c r="F366" s="14">
        <v>0</v>
      </c>
      <c r="G366" s="14">
        <v>0</v>
      </c>
      <c r="H366" s="14">
        <v>1.0004029999999999</v>
      </c>
      <c r="I366" s="14">
        <v>2.5124292804138291</v>
      </c>
      <c r="J366" s="14">
        <v>70.719390659627805</v>
      </c>
      <c r="K366" s="14">
        <v>266.81055477233218</v>
      </c>
      <c r="L366" s="14">
        <v>765.7585555810889</v>
      </c>
      <c r="M366" s="14">
        <v>1464.2151972346717</v>
      </c>
      <c r="N366" s="14">
        <v>1667.3921331172012</v>
      </c>
      <c r="O366" s="14">
        <v>1555.1836174171851</v>
      </c>
    </row>
    <row r="367" spans="1:15" x14ac:dyDescent="0.3">
      <c r="A367" s="3" t="str">
        <f>INDEX('R1. Scenario specifications'!$C$11:$C$49,MATCH($B367,'R1. Scenario specifications'!$A$11:$A$49,0))</f>
        <v>Current 1.75DS, 2020 start, 'Expect the Unexpected' but with cheap CCS</v>
      </c>
      <c r="B367" s="3" t="s">
        <v>36</v>
      </c>
      <c r="C367" s="3" t="s">
        <v>66</v>
      </c>
      <c r="D367" s="3" t="s">
        <v>258</v>
      </c>
      <c r="E367" s="14">
        <v>31.122062759818384</v>
      </c>
      <c r="F367" s="14">
        <v>28.670816918420648</v>
      </c>
      <c r="G367" s="14">
        <v>113.13800421894352</v>
      </c>
      <c r="H367" s="14">
        <v>158.8032517201448</v>
      </c>
      <c r="I367" s="14">
        <v>202.77372430849005</v>
      </c>
      <c r="J367" s="14">
        <v>285.34404719653992</v>
      </c>
      <c r="K367" s="14">
        <v>464.06571397709092</v>
      </c>
      <c r="L367" s="14">
        <v>527.26175132258709</v>
      </c>
      <c r="M367" s="14">
        <v>736.17535708033859</v>
      </c>
      <c r="N367" s="14">
        <v>872.6587794263902</v>
      </c>
      <c r="O367" s="14">
        <v>943.6794846462177</v>
      </c>
    </row>
    <row r="368" spans="1:15" x14ac:dyDescent="0.3">
      <c r="A368" s="3" t="str">
        <f>INDEX('R1. Scenario specifications'!$C$11:$C$49,MATCH($B368,'R1. Scenario specifications'!$A$11:$A$49,0))</f>
        <v>Current 1.75DS, 2020 start, 'Expect the Unexpected' but with cheap CCS</v>
      </c>
      <c r="B368" s="3" t="s">
        <v>36</v>
      </c>
      <c r="C368" s="3" t="s">
        <v>67</v>
      </c>
      <c r="D368" s="3" t="s">
        <v>256</v>
      </c>
      <c r="E368" s="14">
        <v>738.24098154394619</v>
      </c>
      <c r="F368" s="14">
        <v>744.22477031191352</v>
      </c>
      <c r="G368" s="14">
        <v>999.8328246673068</v>
      </c>
      <c r="H368" s="14">
        <v>1190.0416603408469</v>
      </c>
      <c r="I368" s="14">
        <v>1456.7509672472065</v>
      </c>
      <c r="J368" s="14">
        <v>1712.9361490377878</v>
      </c>
      <c r="K368" s="14">
        <v>1909.7396768786659</v>
      </c>
      <c r="L368" s="14">
        <v>2116.4083094658422</v>
      </c>
      <c r="M368" s="14">
        <v>2773.6869621257565</v>
      </c>
      <c r="N368" s="14">
        <v>3023.8843286282327</v>
      </c>
      <c r="O368" s="14">
        <v>3147.2229602848101</v>
      </c>
    </row>
    <row r="369" spans="1:15" x14ac:dyDescent="0.3">
      <c r="A369" s="3" t="str">
        <f>INDEX('R1. Scenario specifications'!$C$11:$C$49,MATCH($B369,'R1. Scenario specifications'!$A$11:$A$49,0))</f>
        <v>Current 1.75DS, 2020 start, 'Expect the Unexpected' but with cheap CCS</v>
      </c>
      <c r="B369" s="3" t="s">
        <v>36</v>
      </c>
      <c r="C369" s="3" t="s">
        <v>68</v>
      </c>
      <c r="D369" s="3" t="s">
        <v>257</v>
      </c>
      <c r="E369" s="14">
        <v>381.69394199846289</v>
      </c>
      <c r="F369" s="14">
        <v>393.99999999999972</v>
      </c>
      <c r="G369" s="14">
        <v>647.54384646462074</v>
      </c>
      <c r="H369" s="14">
        <v>599.60750408611364</v>
      </c>
      <c r="I369" s="14">
        <v>646.61427786131219</v>
      </c>
      <c r="J369" s="14">
        <v>921.63865338118183</v>
      </c>
      <c r="K369" s="14">
        <v>1096.8272863407599</v>
      </c>
      <c r="L369" s="14">
        <v>1241.8289534289086</v>
      </c>
      <c r="M369" s="14">
        <v>1357.5144664484023</v>
      </c>
      <c r="N369" s="14">
        <v>1435.2930515598571</v>
      </c>
      <c r="O369" s="14">
        <v>1444.0662265097085</v>
      </c>
    </row>
    <row r="370" spans="1:15" x14ac:dyDescent="0.3">
      <c r="A370" s="3" t="str">
        <f>INDEX('R1. Scenario specifications'!$C$11:$C$49,MATCH($B370,'R1. Scenario specifications'!$A$11:$A$49,0))</f>
        <v>Current 1.75DS, 2020 start, 'Expect the Unexpected' but with cheap CCS</v>
      </c>
      <c r="B370" s="3" t="s">
        <v>36</v>
      </c>
      <c r="C370" s="3" t="s">
        <v>69</v>
      </c>
      <c r="D370" s="3" t="s">
        <v>258</v>
      </c>
      <c r="E370" s="14">
        <v>430.81063106061174</v>
      </c>
      <c r="F370" s="14">
        <v>452.4364981864552</v>
      </c>
      <c r="G370" s="14">
        <v>452.8330666776244</v>
      </c>
      <c r="H370" s="14">
        <v>256.21420471071912</v>
      </c>
      <c r="I370" s="14">
        <v>138.0687240994128</v>
      </c>
      <c r="J370" s="14">
        <v>15.676451854916143</v>
      </c>
      <c r="K370" s="14">
        <v>23.765184385464305</v>
      </c>
      <c r="L370" s="14">
        <v>79.994805833373192</v>
      </c>
      <c r="M370" s="14">
        <v>98.195780192395631</v>
      </c>
      <c r="N370" s="14">
        <v>155.33783665641505</v>
      </c>
      <c r="O370" s="14">
        <v>218.43400913983413</v>
      </c>
    </row>
    <row r="371" spans="1:15" x14ac:dyDescent="0.3">
      <c r="A371" s="3" t="str">
        <f>INDEX('R1. Scenario specifications'!$C$11:$C$49,MATCH($B371,'R1. Scenario specifications'!$A$11:$A$49,0))</f>
        <v>Current 1.75DS, 2020 start, 'Expect the Unexpected' but with cheap CCS</v>
      </c>
      <c r="B371" s="3" t="s">
        <v>36</v>
      </c>
      <c r="C371" s="3" t="s">
        <v>70</v>
      </c>
      <c r="D371" s="3" t="s">
        <v>259</v>
      </c>
      <c r="E371" s="14">
        <v>13.930776255707762</v>
      </c>
      <c r="F371" s="14">
        <v>96.560908546679059</v>
      </c>
      <c r="G371" s="14">
        <v>193.62720812488871</v>
      </c>
      <c r="H371" s="14">
        <v>903.07318586255008</v>
      </c>
      <c r="I371" s="14">
        <v>3345.3154676720114</v>
      </c>
      <c r="J371" s="14">
        <v>5411.8352346435559</v>
      </c>
      <c r="K371" s="14">
        <v>7271.8092791080235</v>
      </c>
      <c r="L371" s="14">
        <v>11316.133773031943</v>
      </c>
      <c r="M371" s="14">
        <v>18967.739513848192</v>
      </c>
      <c r="N371" s="14">
        <v>23712.170445733456</v>
      </c>
      <c r="O371" s="14">
        <v>25868.161784505286</v>
      </c>
    </row>
    <row r="372" spans="1:15" x14ac:dyDescent="0.3">
      <c r="A372" s="3" t="str">
        <f>INDEX('R1. Scenario specifications'!$C$11:$C$49,MATCH($B372,'R1. Scenario specifications'!$A$11:$A$49,0))</f>
        <v>Current 1.75DS, 2020 start, 'Expect the Unexpected' but with cheap CCS</v>
      </c>
      <c r="B372" s="3" t="s">
        <v>36</v>
      </c>
      <c r="C372" s="3" t="s">
        <v>71</v>
      </c>
      <c r="D372" s="3" t="s">
        <v>259</v>
      </c>
      <c r="E372" s="14">
        <v>11.2241111111111</v>
      </c>
      <c r="F372" s="14">
        <v>12.249511111111101</v>
      </c>
      <c r="G372" s="14">
        <v>13.0611055551111</v>
      </c>
      <c r="H372" s="14">
        <v>13.059505551511098</v>
      </c>
      <c r="I372" s="14">
        <v>13.262031287790121</v>
      </c>
      <c r="J372" s="14">
        <v>14.230566515426254</v>
      </c>
      <c r="K372" s="14">
        <v>14.520109034165868</v>
      </c>
      <c r="L372" s="14">
        <v>15.704285092306659</v>
      </c>
      <c r="M372" s="14">
        <v>21.61804194880223</v>
      </c>
      <c r="N372" s="14">
        <v>49.032320349922934</v>
      </c>
      <c r="O372" s="14">
        <v>49.029920349922939</v>
      </c>
    </row>
    <row r="373" spans="1:15" x14ac:dyDescent="0.3">
      <c r="A373" s="3" t="str">
        <f>INDEX('R1. Scenario specifications'!$C$11:$C$49,MATCH($B373,'R1. Scenario specifications'!$A$11:$A$49,0))</f>
        <v>Current 1.75DS, 2020 start, 'Expect the Unexpected' but with cheap CCS</v>
      </c>
      <c r="B373" s="3" t="s">
        <v>36</v>
      </c>
      <c r="C373" s="3" t="s">
        <v>75</v>
      </c>
      <c r="D373" s="3" t="s">
        <v>258</v>
      </c>
      <c r="E373" s="14">
        <v>0.31124745380476826</v>
      </c>
      <c r="F373" s="14">
        <v>0.28314462712947408</v>
      </c>
      <c r="G373" s="14">
        <v>0.23818010444900301</v>
      </c>
      <c r="H373" s="14">
        <v>0.15878673629933501</v>
      </c>
      <c r="I373" s="14">
        <v>7.9393368149667701E-2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</row>
    <row r="374" spans="1:15" x14ac:dyDescent="0.3">
      <c r="A374" s="3" t="str">
        <f>INDEX('R1. Scenario specifications'!$C$11:$C$49,MATCH($B374,'R1. Scenario specifications'!$A$11:$A$49,0))</f>
        <v>Current 1.75DS, 2020 start, 'Expect the Unexpected' but with cheap CCS</v>
      </c>
      <c r="B374" s="3" t="s">
        <v>36</v>
      </c>
      <c r="C374" s="3" t="s">
        <v>72</v>
      </c>
      <c r="D374" s="3" t="s">
        <v>260</v>
      </c>
      <c r="E374" s="14">
        <v>217.76839471634247</v>
      </c>
      <c r="F374" s="14">
        <v>242.99857406704328</v>
      </c>
      <c r="G374" s="14">
        <v>365.36686102816424</v>
      </c>
      <c r="H374" s="14">
        <v>1608.9394811484019</v>
      </c>
      <c r="I374" s="14">
        <v>3550.987696051131</v>
      </c>
      <c r="J374" s="14">
        <v>4771.1912976397662</v>
      </c>
      <c r="K374" s="14">
        <v>6918.6455422515919</v>
      </c>
      <c r="L374" s="14">
        <v>10006.719212684817</v>
      </c>
      <c r="M374" s="14">
        <v>16506.938206755349</v>
      </c>
      <c r="N374" s="14">
        <v>22289.663531104517</v>
      </c>
      <c r="O374" s="14">
        <v>26454.647927779464</v>
      </c>
    </row>
    <row r="375" spans="1:15" x14ac:dyDescent="0.3">
      <c r="A375" s="3" t="str">
        <f>INDEX('R1. Scenario specifications'!$C$11:$C$49,MATCH($B375,'R1. Scenario specifications'!$A$11:$A$49,0))</f>
        <v>Current 2DS, 2020 start, 'Expect the Unexpected' but with cheap renewables</v>
      </c>
      <c r="B375" s="3" t="s">
        <v>37</v>
      </c>
      <c r="C375" s="3" t="s">
        <v>63</v>
      </c>
      <c r="D375" s="3" t="s">
        <v>253</v>
      </c>
      <c r="E375" s="14">
        <v>19.526838931037336</v>
      </c>
      <c r="F375" s="14">
        <v>26.141237482570887</v>
      </c>
      <c r="G375" s="14">
        <v>117.10981417316707</v>
      </c>
      <c r="H375" s="14">
        <v>385.14633913820791</v>
      </c>
      <c r="I375" s="14">
        <v>489.60601590469781</v>
      </c>
      <c r="J375" s="14">
        <v>554.33675553224055</v>
      </c>
      <c r="K375" s="14">
        <v>309.07543468232063</v>
      </c>
      <c r="L375" s="14">
        <v>195.10442017818735</v>
      </c>
      <c r="M375" s="14">
        <v>33.880884027234593</v>
      </c>
      <c r="N375" s="14">
        <v>6.12475077325717</v>
      </c>
      <c r="O375" s="14">
        <v>6.12475077325717</v>
      </c>
    </row>
    <row r="376" spans="1:15" x14ac:dyDescent="0.3">
      <c r="A376" s="3" t="str">
        <f>INDEX('R1. Scenario specifications'!$C$11:$C$49,MATCH($B376,'R1. Scenario specifications'!$A$11:$A$49,0))</f>
        <v>Current 2DS, 2020 start, 'Expect the Unexpected' but with cheap renewables</v>
      </c>
      <c r="B376" s="3" t="s">
        <v>37</v>
      </c>
      <c r="C376" s="3" t="s">
        <v>73</v>
      </c>
      <c r="D376" s="3" t="s">
        <v>253</v>
      </c>
      <c r="E376" s="14">
        <v>0</v>
      </c>
      <c r="F376" s="14">
        <v>0</v>
      </c>
      <c r="G376" s="14">
        <v>0</v>
      </c>
      <c r="H376" s="14">
        <v>3.0297594303013553</v>
      </c>
      <c r="I376" s="14">
        <v>21.367466713954265</v>
      </c>
      <c r="J376" s="14">
        <v>127.96758996693546</v>
      </c>
      <c r="K376" s="14">
        <v>583.54239599245034</v>
      </c>
      <c r="L376" s="14">
        <v>1367.1892646073595</v>
      </c>
      <c r="M376" s="14">
        <v>2190.8564488700763</v>
      </c>
      <c r="N376" s="14">
        <v>2813.8432249929997</v>
      </c>
      <c r="O376" s="14">
        <v>3117.6153578888561</v>
      </c>
    </row>
    <row r="377" spans="1:15" x14ac:dyDescent="0.3">
      <c r="A377" s="3" t="str">
        <f>INDEX('R1. Scenario specifications'!$C$11:$C$49,MATCH($B377,'R1. Scenario specifications'!$A$11:$A$49,0))</f>
        <v>Current 2DS, 2020 start, 'Expect the Unexpected' but with cheap renewables</v>
      </c>
      <c r="B377" s="3" t="s">
        <v>37</v>
      </c>
      <c r="C377" s="3" t="s">
        <v>64</v>
      </c>
      <c r="D377" s="3" t="s">
        <v>254</v>
      </c>
      <c r="E377" s="14">
        <v>1633.0249332809897</v>
      </c>
      <c r="F377" s="14">
        <v>1804.9999999999993</v>
      </c>
      <c r="G377" s="14">
        <v>1804.9999999999993</v>
      </c>
      <c r="H377" s="14">
        <v>1442.4317981122206</v>
      </c>
      <c r="I377" s="14">
        <v>441.54204398431278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</row>
    <row r="378" spans="1:15" x14ac:dyDescent="0.3">
      <c r="A378" s="3" t="str">
        <f>INDEX('R1. Scenario specifications'!$C$11:$C$49,MATCH($B378,'R1. Scenario specifications'!$A$11:$A$49,0))</f>
        <v>Current 2DS, 2020 start, 'Expect the Unexpected' but with cheap renewables</v>
      </c>
      <c r="B378" s="3" t="s">
        <v>37</v>
      </c>
      <c r="C378" s="3" t="s">
        <v>65</v>
      </c>
      <c r="D378" s="3" t="s">
        <v>255</v>
      </c>
      <c r="E378" s="14">
        <v>1008.6224302831477</v>
      </c>
      <c r="F378" s="14">
        <v>1634.5557819505236</v>
      </c>
      <c r="G378" s="14">
        <v>2111.6960266729702</v>
      </c>
      <c r="H378" s="14">
        <v>2003.5297468857705</v>
      </c>
      <c r="I378" s="14">
        <v>1059.0518582634168</v>
      </c>
      <c r="J378" s="14">
        <v>844.46756564692078</v>
      </c>
      <c r="K378" s="14">
        <v>1089.7427349463655</v>
      </c>
      <c r="L378" s="14">
        <v>1060.260682469527</v>
      </c>
      <c r="M378" s="14">
        <v>445.68453123657844</v>
      </c>
      <c r="N378" s="14">
        <v>235.04115175695875</v>
      </c>
      <c r="O378" s="14">
        <v>255.39436242291228</v>
      </c>
    </row>
    <row r="379" spans="1:15" x14ac:dyDescent="0.3">
      <c r="A379" s="3" t="str">
        <f>INDEX('R1. Scenario specifications'!$C$11:$C$49,MATCH($B379,'R1. Scenario specifications'!$A$11:$A$49,0))</f>
        <v>Current 2DS, 2020 start, 'Expect the Unexpected' but with cheap renewables</v>
      </c>
      <c r="B379" s="3" t="s">
        <v>37</v>
      </c>
      <c r="C379" s="3" t="s">
        <v>74</v>
      </c>
      <c r="D379" s="3" t="s">
        <v>255</v>
      </c>
      <c r="E379" s="14">
        <v>0</v>
      </c>
      <c r="F379" s="14">
        <v>0</v>
      </c>
      <c r="G379" s="14">
        <v>0</v>
      </c>
      <c r="H379" s="14">
        <v>0</v>
      </c>
      <c r="I379" s="14">
        <v>0.81990078313092007</v>
      </c>
      <c r="J379" s="14">
        <v>2.583234541597677</v>
      </c>
      <c r="K379" s="14">
        <v>3.7688279606366972</v>
      </c>
      <c r="L379" s="14">
        <v>41.46914351066026</v>
      </c>
      <c r="M379" s="14">
        <v>539.21969313487432</v>
      </c>
      <c r="N379" s="14">
        <v>1179.4441621535109</v>
      </c>
      <c r="O379" s="14">
        <v>1259.5542409132906</v>
      </c>
    </row>
    <row r="380" spans="1:15" x14ac:dyDescent="0.3">
      <c r="A380" s="3" t="str">
        <f>INDEX('R1. Scenario specifications'!$C$11:$C$49,MATCH($B380,'R1. Scenario specifications'!$A$11:$A$49,0))</f>
        <v>Current 2DS, 2020 start, 'Expect the Unexpected' but with cheap renewables</v>
      </c>
      <c r="B380" s="3" t="s">
        <v>37</v>
      </c>
      <c r="C380" s="3" t="s">
        <v>66</v>
      </c>
      <c r="D380" s="3" t="s">
        <v>258</v>
      </c>
      <c r="E380" s="14">
        <v>31.122062759818384</v>
      </c>
      <c r="F380" s="14">
        <v>28.670816918420648</v>
      </c>
      <c r="G380" s="14">
        <v>113.13800421894352</v>
      </c>
      <c r="H380" s="14">
        <v>158.9593771885198</v>
      </c>
      <c r="I380" s="14">
        <v>205.64870976853155</v>
      </c>
      <c r="J380" s="14">
        <v>277.56342518836055</v>
      </c>
      <c r="K380" s="14">
        <v>408.77113517848954</v>
      </c>
      <c r="L380" s="14">
        <v>480.31861610958464</v>
      </c>
      <c r="M380" s="14">
        <v>520.04971262881111</v>
      </c>
      <c r="N380" s="14">
        <v>721.79122145437418</v>
      </c>
      <c r="O380" s="14">
        <v>856.62377586080197</v>
      </c>
    </row>
    <row r="381" spans="1:15" x14ac:dyDescent="0.3">
      <c r="A381" s="3" t="str">
        <f>INDEX('R1. Scenario specifications'!$C$11:$C$49,MATCH($B381,'R1. Scenario specifications'!$A$11:$A$49,0))</f>
        <v>Current 2DS, 2020 start, 'Expect the Unexpected' but with cheap renewables</v>
      </c>
      <c r="B381" s="3" t="s">
        <v>37</v>
      </c>
      <c r="C381" s="3" t="s">
        <v>67</v>
      </c>
      <c r="D381" s="3" t="s">
        <v>256</v>
      </c>
      <c r="E381" s="14">
        <v>738.24098154394619</v>
      </c>
      <c r="F381" s="14">
        <v>744.22477031191352</v>
      </c>
      <c r="G381" s="14">
        <v>999.8328246673068</v>
      </c>
      <c r="H381" s="14">
        <v>1165.0644466311232</v>
      </c>
      <c r="I381" s="14">
        <v>1341.8585670453328</v>
      </c>
      <c r="J381" s="14">
        <v>1632.3085389131618</v>
      </c>
      <c r="K381" s="14">
        <v>1769.1534465837447</v>
      </c>
      <c r="L381" s="14">
        <v>1853.7106210207867</v>
      </c>
      <c r="M381" s="14">
        <v>2367.0735186085221</v>
      </c>
      <c r="N381" s="14">
        <v>2936.7237146364473</v>
      </c>
      <c r="O381" s="14">
        <v>3122.5313237469231</v>
      </c>
    </row>
    <row r="382" spans="1:15" x14ac:dyDescent="0.3">
      <c r="A382" s="3" t="str">
        <f>INDEX('R1. Scenario specifications'!$C$11:$C$49,MATCH($B382,'R1. Scenario specifications'!$A$11:$A$49,0))</f>
        <v>Current 2DS, 2020 start, 'Expect the Unexpected' but with cheap renewables</v>
      </c>
      <c r="B382" s="3" t="s">
        <v>37</v>
      </c>
      <c r="C382" s="3" t="s">
        <v>68</v>
      </c>
      <c r="D382" s="3" t="s">
        <v>257</v>
      </c>
      <c r="E382" s="14">
        <v>381.69394199846289</v>
      </c>
      <c r="F382" s="14">
        <v>393.99999999999972</v>
      </c>
      <c r="G382" s="14">
        <v>647.54384646462074</v>
      </c>
      <c r="H382" s="14">
        <v>599.60750408611364</v>
      </c>
      <c r="I382" s="14">
        <v>612.52540636198592</v>
      </c>
      <c r="J382" s="14">
        <v>864.49546636233981</v>
      </c>
      <c r="K382" s="14">
        <v>1025.2823467685896</v>
      </c>
      <c r="L382" s="14">
        <v>1229.1899612096652</v>
      </c>
      <c r="M382" s="14">
        <v>1309.8633572109761</v>
      </c>
      <c r="N382" s="14">
        <v>1423.6375548735048</v>
      </c>
      <c r="O382" s="14">
        <v>1482.4943388069476</v>
      </c>
    </row>
    <row r="383" spans="1:15" x14ac:dyDescent="0.3">
      <c r="A383" s="3" t="str">
        <f>INDEX('R1. Scenario specifications'!$C$11:$C$49,MATCH($B383,'R1. Scenario specifications'!$A$11:$A$49,0))</f>
        <v>Current 2DS, 2020 start, 'Expect the Unexpected' but with cheap renewables</v>
      </c>
      <c r="B383" s="3" t="s">
        <v>37</v>
      </c>
      <c r="C383" s="3" t="s">
        <v>69</v>
      </c>
      <c r="D383" s="3" t="s">
        <v>258</v>
      </c>
      <c r="E383" s="14">
        <v>430.81063106061174</v>
      </c>
      <c r="F383" s="14">
        <v>452.4364981864552</v>
      </c>
      <c r="G383" s="14">
        <v>452.8330666776244</v>
      </c>
      <c r="H383" s="14">
        <v>261.32212523756772</v>
      </c>
      <c r="I383" s="14">
        <v>144.32352629896369</v>
      </c>
      <c r="J383" s="14">
        <v>14.57396368724533</v>
      </c>
      <c r="K383" s="14">
        <v>13.890993178654881</v>
      </c>
      <c r="L383" s="14">
        <v>15.11180305221205</v>
      </c>
      <c r="M383" s="14">
        <v>66.693864004624317</v>
      </c>
      <c r="N383" s="14">
        <v>125.09977740343631</v>
      </c>
      <c r="O383" s="14">
        <v>148.19807470304056</v>
      </c>
    </row>
    <row r="384" spans="1:15" x14ac:dyDescent="0.3">
      <c r="A384" s="3" t="str">
        <f>INDEX('R1. Scenario specifications'!$C$11:$C$49,MATCH($B384,'R1. Scenario specifications'!$A$11:$A$49,0))</f>
        <v>Current 2DS, 2020 start, 'Expect the Unexpected' but with cheap renewables</v>
      </c>
      <c r="B384" s="3" t="s">
        <v>37</v>
      </c>
      <c r="C384" s="3" t="s">
        <v>70</v>
      </c>
      <c r="D384" s="3" t="s">
        <v>259</v>
      </c>
      <c r="E384" s="14">
        <v>13.930776255707762</v>
      </c>
      <c r="F384" s="14">
        <v>96.560908546679059</v>
      </c>
      <c r="G384" s="14">
        <v>193.62720812488871</v>
      </c>
      <c r="H384" s="14">
        <v>1141.91431082234</v>
      </c>
      <c r="I384" s="14">
        <v>4040.9503712198066</v>
      </c>
      <c r="J384" s="14">
        <v>6170.2616972282231</v>
      </c>
      <c r="K384" s="14">
        <v>7545.1595253555279</v>
      </c>
      <c r="L384" s="14">
        <v>9033.5915526639783</v>
      </c>
      <c r="M384" s="14">
        <v>12692.519515826923</v>
      </c>
      <c r="N384" s="14">
        <v>19639.689401909858</v>
      </c>
      <c r="O384" s="14">
        <v>21981.085726873396</v>
      </c>
    </row>
    <row r="385" spans="1:15" x14ac:dyDescent="0.3">
      <c r="A385" s="3" t="str">
        <f>INDEX('R1. Scenario specifications'!$C$11:$C$49,MATCH($B385,'R1. Scenario specifications'!$A$11:$A$49,0))</f>
        <v>Current 2DS, 2020 start, 'Expect the Unexpected' but with cheap renewables</v>
      </c>
      <c r="B385" s="3" t="s">
        <v>37</v>
      </c>
      <c r="C385" s="3" t="s">
        <v>71</v>
      </c>
      <c r="D385" s="3" t="s">
        <v>259</v>
      </c>
      <c r="E385" s="14">
        <v>11.2241111111111</v>
      </c>
      <c r="F385" s="14">
        <v>12.249511111111101</v>
      </c>
      <c r="G385" s="14">
        <v>13.0611055551111</v>
      </c>
      <c r="H385" s="14">
        <v>13.059105551511097</v>
      </c>
      <c r="I385" s="14">
        <v>13.059582246080062</v>
      </c>
      <c r="J385" s="14">
        <v>13.072917286049851</v>
      </c>
      <c r="K385" s="14">
        <v>13.166134744505282</v>
      </c>
      <c r="L385" s="14">
        <v>75.293516932998401</v>
      </c>
      <c r="M385" s="14">
        <v>90.363398357304106</v>
      </c>
      <c r="N385" s="14">
        <v>95.070464641548895</v>
      </c>
      <c r="O385" s="14">
        <v>95.068064641548887</v>
      </c>
    </row>
    <row r="386" spans="1:15" x14ac:dyDescent="0.3">
      <c r="A386" s="3" t="str">
        <f>INDEX('R1. Scenario specifications'!$C$11:$C$49,MATCH($B386,'R1. Scenario specifications'!$A$11:$A$49,0))</f>
        <v>Current 2DS, 2020 start, 'Expect the Unexpected' but with cheap renewables</v>
      </c>
      <c r="B386" s="3" t="s">
        <v>37</v>
      </c>
      <c r="C386" s="3" t="s">
        <v>75</v>
      </c>
      <c r="D386" s="3" t="s">
        <v>258</v>
      </c>
      <c r="E386" s="14">
        <v>0.31124745380476826</v>
      </c>
      <c r="F386" s="14">
        <v>0.28314462712947408</v>
      </c>
      <c r="G386" s="14">
        <v>0.23818010444900301</v>
      </c>
      <c r="H386" s="14">
        <v>0.15878673629933501</v>
      </c>
      <c r="I386" s="14">
        <v>7.9393368149667701E-2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</row>
    <row r="387" spans="1:15" x14ac:dyDescent="0.3">
      <c r="A387" s="3" t="str">
        <f>INDEX('R1. Scenario specifications'!$C$11:$C$49,MATCH($B387,'R1. Scenario specifications'!$A$11:$A$49,0))</f>
        <v>Current 2DS, 2020 start, 'Expect the Unexpected' but with cheap renewables</v>
      </c>
      <c r="B387" s="3" t="s">
        <v>37</v>
      </c>
      <c r="C387" s="3" t="s">
        <v>72</v>
      </c>
      <c r="D387" s="3" t="s">
        <v>260</v>
      </c>
      <c r="E387" s="14">
        <v>217.76839471634247</v>
      </c>
      <c r="F387" s="14">
        <v>242.99857406704328</v>
      </c>
      <c r="G387" s="14">
        <v>365.36686102816424</v>
      </c>
      <c r="H387" s="14">
        <v>2110.3768469685642</v>
      </c>
      <c r="I387" s="14">
        <v>3795.2478712436632</v>
      </c>
      <c r="J387" s="14">
        <v>4891.829522746646</v>
      </c>
      <c r="K387" s="14">
        <v>6716.9056980975583</v>
      </c>
      <c r="L387" s="14">
        <v>8531.4570911102783</v>
      </c>
      <c r="M387" s="14">
        <v>12008.656551992302</v>
      </c>
      <c r="N387" s="14">
        <v>19598.489094170513</v>
      </c>
      <c r="O387" s="14">
        <v>24505.815496106912</v>
      </c>
    </row>
    <row r="388" spans="1:15" x14ac:dyDescent="0.3">
      <c r="A388" s="3" t="str">
        <f>INDEX('R1. Scenario specifications'!$C$11:$C$49,MATCH($B388,'R1. Scenario specifications'!$A$11:$A$49,0))</f>
        <v>Current 1.75DS, 2030 start, 'Expect the Unexpected' but with cheap CCS</v>
      </c>
      <c r="B388" s="3" t="s">
        <v>38</v>
      </c>
      <c r="C388" s="3" t="s">
        <v>63</v>
      </c>
      <c r="D388" s="3" t="s">
        <v>253</v>
      </c>
      <c r="E388" s="14">
        <v>19.526838931037336</v>
      </c>
      <c r="F388" s="14">
        <v>26.141237482570887</v>
      </c>
      <c r="G388" s="14">
        <v>117.10981417316707</v>
      </c>
      <c r="H388" s="14">
        <v>412.30855682261659</v>
      </c>
      <c r="I388" s="14">
        <v>571.49334695054051</v>
      </c>
      <c r="J388" s="14">
        <v>505.17103685624869</v>
      </c>
      <c r="K388" s="14">
        <v>204.99136506794261</v>
      </c>
      <c r="L388" s="14">
        <v>36.29523720237556</v>
      </c>
      <c r="M388" s="14">
        <v>0</v>
      </c>
      <c r="N388" s="14">
        <v>5.3451805199105697</v>
      </c>
      <c r="O388" s="14">
        <v>5.3803208916703698</v>
      </c>
    </row>
    <row r="389" spans="1:15" x14ac:dyDescent="0.3">
      <c r="A389" s="3" t="str">
        <f>INDEX('R1. Scenario specifications'!$C$11:$C$49,MATCH($B389,'R1. Scenario specifications'!$A$11:$A$49,0))</f>
        <v>Current 1.75DS, 2030 start, 'Expect the Unexpected' but with cheap CCS</v>
      </c>
      <c r="B389" s="3" t="s">
        <v>38</v>
      </c>
      <c r="C389" s="3" t="s">
        <v>73</v>
      </c>
      <c r="D389" s="3" t="s">
        <v>253</v>
      </c>
      <c r="E389" s="14">
        <v>0</v>
      </c>
      <c r="F389" s="14">
        <v>0</v>
      </c>
      <c r="G389" s="14">
        <v>0</v>
      </c>
      <c r="H389" s="14">
        <v>0</v>
      </c>
      <c r="I389" s="14">
        <v>14.51976189512888</v>
      </c>
      <c r="J389" s="14">
        <v>272.41929667193136</v>
      </c>
      <c r="K389" s="14">
        <v>1630.3534910245869</v>
      </c>
      <c r="L389" s="14">
        <v>3038.0298850034947</v>
      </c>
      <c r="M389" s="14">
        <v>3272.315732400973</v>
      </c>
      <c r="N389" s="14">
        <v>3144.7258080732322</v>
      </c>
      <c r="O389" s="14">
        <v>3387.7561859695525</v>
      </c>
    </row>
    <row r="390" spans="1:15" x14ac:dyDescent="0.3">
      <c r="A390" s="3" t="str">
        <f>INDEX('R1. Scenario specifications'!$C$11:$C$49,MATCH($B390,'R1. Scenario specifications'!$A$11:$A$49,0))</f>
        <v>Current 1.75DS, 2030 start, 'Expect the Unexpected' but with cheap CCS</v>
      </c>
      <c r="B390" s="3" t="s">
        <v>38</v>
      </c>
      <c r="C390" s="3" t="s">
        <v>64</v>
      </c>
      <c r="D390" s="3" t="s">
        <v>254</v>
      </c>
      <c r="E390" s="14">
        <v>1633.0249332809897</v>
      </c>
      <c r="F390" s="14">
        <v>1804.9999999999993</v>
      </c>
      <c r="G390" s="14">
        <v>1804.9999999999993</v>
      </c>
      <c r="H390" s="14">
        <v>1458.8285858367421</v>
      </c>
      <c r="I390" s="14">
        <v>457.93883170883436</v>
      </c>
      <c r="J390" s="14">
        <v>16.396787724521602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</row>
    <row r="391" spans="1:15" x14ac:dyDescent="0.3">
      <c r="A391" s="3" t="str">
        <f>INDEX('R1. Scenario specifications'!$C$11:$C$49,MATCH($B391,'R1. Scenario specifications'!$A$11:$A$49,0))</f>
        <v>Current 1.75DS, 2030 start, 'Expect the Unexpected' but with cheap CCS</v>
      </c>
      <c r="B391" s="3" t="s">
        <v>38</v>
      </c>
      <c r="C391" s="3" t="s">
        <v>65</v>
      </c>
      <c r="D391" s="3" t="s">
        <v>255</v>
      </c>
      <c r="E391" s="14">
        <v>1008.6224302831477</v>
      </c>
      <c r="F391" s="14">
        <v>1634.5557819505236</v>
      </c>
      <c r="G391" s="14">
        <v>2111.6960266729702</v>
      </c>
      <c r="H391" s="14">
        <v>1960.1606269560627</v>
      </c>
      <c r="I391" s="14">
        <v>1277.1717077632777</v>
      </c>
      <c r="J391" s="14">
        <v>766.59514038767566</v>
      </c>
      <c r="K391" s="14">
        <v>847.08278300238226</v>
      </c>
      <c r="L391" s="14">
        <v>565.81033979988524</v>
      </c>
      <c r="M391" s="14">
        <v>190.81395525683251</v>
      </c>
      <c r="N391" s="14">
        <v>363.4736034353524</v>
      </c>
      <c r="O391" s="14">
        <v>324.95931354753526</v>
      </c>
    </row>
    <row r="392" spans="1:15" x14ac:dyDescent="0.3">
      <c r="A392" s="3" t="str">
        <f>INDEX('R1. Scenario specifications'!$C$11:$C$49,MATCH($B392,'R1. Scenario specifications'!$A$11:$A$49,0))</f>
        <v>Current 1.75DS, 2030 start, 'Expect the Unexpected' but with cheap CCS</v>
      </c>
      <c r="B392" s="3" t="s">
        <v>38</v>
      </c>
      <c r="C392" s="3" t="s">
        <v>74</v>
      </c>
      <c r="D392" s="3" t="s">
        <v>255</v>
      </c>
      <c r="E392" s="14">
        <v>0</v>
      </c>
      <c r="F392" s="14">
        <v>0</v>
      </c>
      <c r="G392" s="14">
        <v>0</v>
      </c>
      <c r="H392" s="14">
        <v>0</v>
      </c>
      <c r="I392" s="14">
        <v>0.48628310487112297</v>
      </c>
      <c r="J392" s="14">
        <v>9.6560634665725509</v>
      </c>
      <c r="K392" s="14">
        <v>91.125176761233533</v>
      </c>
      <c r="L392" s="14">
        <v>555.8979870118651</v>
      </c>
      <c r="M392" s="14">
        <v>1213.4095187273781</v>
      </c>
      <c r="N392" s="14">
        <v>1445.2588644572677</v>
      </c>
      <c r="O392" s="14">
        <v>1407.8929321690728</v>
      </c>
    </row>
    <row r="393" spans="1:15" x14ac:dyDescent="0.3">
      <c r="A393" s="3" t="str">
        <f>INDEX('R1. Scenario specifications'!$C$11:$C$49,MATCH($B393,'R1. Scenario specifications'!$A$11:$A$49,0))</f>
        <v>Current 1.75DS, 2030 start, 'Expect the Unexpected' but with cheap CCS</v>
      </c>
      <c r="B393" s="3" t="s">
        <v>38</v>
      </c>
      <c r="C393" s="3" t="s">
        <v>66</v>
      </c>
      <c r="D393" s="3" t="s">
        <v>258</v>
      </c>
      <c r="E393" s="14">
        <v>31.122062759818384</v>
      </c>
      <c r="F393" s="14">
        <v>28.670816918420648</v>
      </c>
      <c r="G393" s="14">
        <v>113.13800421894352</v>
      </c>
      <c r="H393" s="14">
        <v>158.43269338625092</v>
      </c>
      <c r="I393" s="14">
        <v>221.58895572822081</v>
      </c>
      <c r="J393" s="14">
        <v>409.58107197056614</v>
      </c>
      <c r="K393" s="14">
        <v>701.9740063987598</v>
      </c>
      <c r="L393" s="14">
        <v>699.3183150983765</v>
      </c>
      <c r="M393" s="14">
        <v>731.20650694093365</v>
      </c>
      <c r="N393" s="14">
        <v>876.52069545001757</v>
      </c>
      <c r="O393" s="14">
        <v>944.72901094881774</v>
      </c>
    </row>
    <row r="394" spans="1:15" x14ac:dyDescent="0.3">
      <c r="A394" s="3" t="str">
        <f>INDEX('R1. Scenario specifications'!$C$11:$C$49,MATCH($B394,'R1. Scenario specifications'!$A$11:$A$49,0))</f>
        <v>Current 1.75DS, 2030 start, 'Expect the Unexpected' but with cheap CCS</v>
      </c>
      <c r="B394" s="3" t="s">
        <v>38</v>
      </c>
      <c r="C394" s="3" t="s">
        <v>67</v>
      </c>
      <c r="D394" s="3" t="s">
        <v>256</v>
      </c>
      <c r="E394" s="14">
        <v>738.24098154394619</v>
      </c>
      <c r="F394" s="14">
        <v>744.22477031191352</v>
      </c>
      <c r="G394" s="14">
        <v>999.8328246673068</v>
      </c>
      <c r="H394" s="14">
        <v>1153.8656291758321</v>
      </c>
      <c r="I394" s="14">
        <v>1331.7603060894055</v>
      </c>
      <c r="J394" s="14">
        <v>1947.3399881562989</v>
      </c>
      <c r="K394" s="14">
        <v>2347.0015284786186</v>
      </c>
      <c r="L394" s="14">
        <v>2420.5544003196628</v>
      </c>
      <c r="M394" s="14">
        <v>2845.5186659912933</v>
      </c>
      <c r="N394" s="14">
        <v>3050.7250646429193</v>
      </c>
      <c r="O394" s="14">
        <v>3174.6927965268869</v>
      </c>
    </row>
    <row r="395" spans="1:15" x14ac:dyDescent="0.3">
      <c r="A395" s="3" t="str">
        <f>INDEX('R1. Scenario specifications'!$C$11:$C$49,MATCH($B395,'R1. Scenario specifications'!$A$11:$A$49,0))</f>
        <v>Current 1.75DS, 2030 start, 'Expect the Unexpected' but with cheap CCS</v>
      </c>
      <c r="B395" s="3" t="s">
        <v>38</v>
      </c>
      <c r="C395" s="3" t="s">
        <v>68</v>
      </c>
      <c r="D395" s="3" t="s">
        <v>257</v>
      </c>
      <c r="E395" s="14">
        <v>381.69394199846289</v>
      </c>
      <c r="F395" s="14">
        <v>393.99999999999972</v>
      </c>
      <c r="G395" s="14">
        <v>647.54384646462074</v>
      </c>
      <c r="H395" s="14">
        <v>599.60750408611364</v>
      </c>
      <c r="I395" s="14">
        <v>574.22438013504609</v>
      </c>
      <c r="J395" s="14">
        <v>932.75289370291682</v>
      </c>
      <c r="K395" s="14">
        <v>1118.6993208979716</v>
      </c>
      <c r="L395" s="14">
        <v>1201.8490282581802</v>
      </c>
      <c r="M395" s="14">
        <v>1373.3016325269471</v>
      </c>
      <c r="N395" s="14">
        <v>1435.2930515598559</v>
      </c>
      <c r="O395" s="14">
        <v>1445.0849796729344</v>
      </c>
    </row>
    <row r="396" spans="1:15" x14ac:dyDescent="0.3">
      <c r="A396" s="3" t="str">
        <f>INDEX('R1. Scenario specifications'!$C$11:$C$49,MATCH($B396,'R1. Scenario specifications'!$A$11:$A$49,0))</f>
        <v>Current 1.75DS, 2030 start, 'Expect the Unexpected' but with cheap CCS</v>
      </c>
      <c r="B396" s="3" t="s">
        <v>38</v>
      </c>
      <c r="C396" s="3" t="s">
        <v>69</v>
      </c>
      <c r="D396" s="3" t="s">
        <v>258</v>
      </c>
      <c r="E396" s="14">
        <v>430.81063106061174</v>
      </c>
      <c r="F396" s="14">
        <v>452.4364981864552</v>
      </c>
      <c r="G396" s="14">
        <v>452.8330666776244</v>
      </c>
      <c r="H396" s="14">
        <v>256.83855764560741</v>
      </c>
      <c r="I396" s="14">
        <v>139.29691051721852</v>
      </c>
      <c r="J396" s="14">
        <v>14.030915497460459</v>
      </c>
      <c r="K396" s="14">
        <v>12.651434497431699</v>
      </c>
      <c r="L396" s="14">
        <v>78.163600775414963</v>
      </c>
      <c r="M396" s="14">
        <v>99.485951823406722</v>
      </c>
      <c r="N396" s="14">
        <v>104.11993199202308</v>
      </c>
      <c r="O396" s="14">
        <v>166.0042631323081</v>
      </c>
    </row>
    <row r="397" spans="1:15" x14ac:dyDescent="0.3">
      <c r="A397" s="3" t="str">
        <f>INDEX('R1. Scenario specifications'!$C$11:$C$49,MATCH($B397,'R1. Scenario specifications'!$A$11:$A$49,0))</f>
        <v>Current 1.75DS, 2030 start, 'Expect the Unexpected' but with cheap CCS</v>
      </c>
      <c r="B397" s="3" t="s">
        <v>38</v>
      </c>
      <c r="C397" s="3" t="s">
        <v>70</v>
      </c>
      <c r="D397" s="3" t="s">
        <v>259</v>
      </c>
      <c r="E397" s="14">
        <v>13.930776255707762</v>
      </c>
      <c r="F397" s="14">
        <v>96.560908546679059</v>
      </c>
      <c r="G397" s="14">
        <v>193.62720812488871</v>
      </c>
      <c r="H397" s="14">
        <v>564.29121895346805</v>
      </c>
      <c r="I397" s="14">
        <v>2379.5627764054379</v>
      </c>
      <c r="J397" s="14">
        <v>5729.8924946303378</v>
      </c>
      <c r="K397" s="14">
        <v>9688.6542397331978</v>
      </c>
      <c r="L397" s="14">
        <v>13237.393187484182</v>
      </c>
      <c r="M397" s="14">
        <v>18182.441933968425</v>
      </c>
      <c r="N397" s="14">
        <v>22211.30419532827</v>
      </c>
      <c r="O397" s="14">
        <v>24905.970199582327</v>
      </c>
    </row>
    <row r="398" spans="1:15" x14ac:dyDescent="0.3">
      <c r="A398" s="3" t="str">
        <f>INDEX('R1. Scenario specifications'!$C$11:$C$49,MATCH($B398,'R1. Scenario specifications'!$A$11:$A$49,0))</f>
        <v>Current 1.75DS, 2030 start, 'Expect the Unexpected' but with cheap CCS</v>
      </c>
      <c r="B398" s="3" t="s">
        <v>38</v>
      </c>
      <c r="C398" s="3" t="s">
        <v>71</v>
      </c>
      <c r="D398" s="3" t="s">
        <v>259</v>
      </c>
      <c r="E398" s="14">
        <v>11.2241111111111</v>
      </c>
      <c r="F398" s="14">
        <v>12.249511111111101</v>
      </c>
      <c r="G398" s="14">
        <v>13.0611055551111</v>
      </c>
      <c r="H398" s="14">
        <v>13.059905555111095</v>
      </c>
      <c r="I398" s="14">
        <v>13.247220770487646</v>
      </c>
      <c r="J398" s="14">
        <v>14.161327981505291</v>
      </c>
      <c r="K398" s="14">
        <v>18.559852668305421</v>
      </c>
      <c r="L398" s="14">
        <v>18.601484422453701</v>
      </c>
      <c r="M398" s="14">
        <v>18.812128917499798</v>
      </c>
      <c r="N398" s="14">
        <v>19.83621503125579</v>
      </c>
      <c r="O398" s="14">
        <v>19.833415031255797</v>
      </c>
    </row>
    <row r="399" spans="1:15" x14ac:dyDescent="0.3">
      <c r="A399" s="3" t="str">
        <f>INDEX('R1. Scenario specifications'!$C$11:$C$49,MATCH($B399,'R1. Scenario specifications'!$A$11:$A$49,0))</f>
        <v>Current 1.75DS, 2030 start, 'Expect the Unexpected' but with cheap CCS</v>
      </c>
      <c r="B399" s="3" t="s">
        <v>38</v>
      </c>
      <c r="C399" s="3" t="s">
        <v>75</v>
      </c>
      <c r="D399" s="3" t="s">
        <v>258</v>
      </c>
      <c r="E399" s="14">
        <v>0.31124745380476826</v>
      </c>
      <c r="F399" s="14">
        <v>0.28314462712947408</v>
      </c>
      <c r="G399" s="14">
        <v>0.23818010444900301</v>
      </c>
      <c r="H399" s="14">
        <v>0.15878673629933501</v>
      </c>
      <c r="I399" s="14">
        <v>7.9393368149667701E-2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</row>
    <row r="400" spans="1:15" x14ac:dyDescent="0.3">
      <c r="A400" s="3" t="str">
        <f>INDEX('R1. Scenario specifications'!$C$11:$C$49,MATCH($B400,'R1. Scenario specifications'!$A$11:$A$49,0))</f>
        <v>Current 1.75DS, 2030 start, 'Expect the Unexpected' but with cheap CCS</v>
      </c>
      <c r="B400" s="3" t="s">
        <v>38</v>
      </c>
      <c r="C400" s="3" t="s">
        <v>72</v>
      </c>
      <c r="D400" s="3" t="s">
        <v>260</v>
      </c>
      <c r="E400" s="14">
        <v>217.76839471634247</v>
      </c>
      <c r="F400" s="14">
        <v>242.99857406704328</v>
      </c>
      <c r="G400" s="14">
        <v>365.36686102816424</v>
      </c>
      <c r="H400" s="14">
        <v>1381.7602614741115</v>
      </c>
      <c r="I400" s="14">
        <v>3552.1388286400438</v>
      </c>
      <c r="J400" s="14">
        <v>5138.8160455460311</v>
      </c>
      <c r="K400" s="14">
        <v>8936.8683235744775</v>
      </c>
      <c r="L400" s="14">
        <v>10546.316555598314</v>
      </c>
      <c r="M400" s="14">
        <v>15509.196625195411</v>
      </c>
      <c r="N400" s="14">
        <v>20989.418188686046</v>
      </c>
      <c r="O400" s="14">
        <v>25823.95971110525</v>
      </c>
    </row>
    <row r="401" spans="1:15" x14ac:dyDescent="0.3">
      <c r="A401" s="3" t="str">
        <f>INDEX('R1. Scenario specifications'!$C$11:$C$49,MATCH($B401,'R1. Scenario specifications'!$A$11:$A$49,0))</f>
        <v>Current 1.75DS, 2020 start, 'Expect the Unexpected' but with cheap EVs</v>
      </c>
      <c r="B401" s="3" t="s">
        <v>39</v>
      </c>
      <c r="C401" s="3" t="s">
        <v>63</v>
      </c>
      <c r="D401" s="3" t="s">
        <v>253</v>
      </c>
      <c r="E401" s="14">
        <v>19.526838931037336</v>
      </c>
      <c r="F401" s="14">
        <v>26.141237482570887</v>
      </c>
      <c r="G401" s="14">
        <v>117.10981417316707</v>
      </c>
      <c r="H401" s="14">
        <v>525.13298209850655</v>
      </c>
      <c r="I401" s="14">
        <v>571.49808391650549</v>
      </c>
      <c r="J401" s="14">
        <v>479.76552355795195</v>
      </c>
      <c r="K401" s="14">
        <v>66.761426493755735</v>
      </c>
      <c r="L401" s="14">
        <v>15.75195267073277</v>
      </c>
      <c r="M401" s="14">
        <v>6.4876195682392002</v>
      </c>
      <c r="N401" s="14">
        <v>6.4876195682392002</v>
      </c>
      <c r="O401" s="14">
        <v>6.0031279871826504</v>
      </c>
    </row>
    <row r="402" spans="1:15" x14ac:dyDescent="0.3">
      <c r="A402" s="3" t="str">
        <f>INDEX('R1. Scenario specifications'!$C$11:$C$49,MATCH($B402,'R1. Scenario specifications'!$A$11:$A$49,0))</f>
        <v>Current 1.75DS, 2020 start, 'Expect the Unexpected' but with cheap EVs</v>
      </c>
      <c r="B402" s="3" t="s">
        <v>39</v>
      </c>
      <c r="C402" s="3" t="s">
        <v>73</v>
      </c>
      <c r="D402" s="3" t="s">
        <v>253</v>
      </c>
      <c r="E402" s="14">
        <v>0</v>
      </c>
      <c r="F402" s="14">
        <v>0</v>
      </c>
      <c r="G402" s="14">
        <v>0</v>
      </c>
      <c r="H402" s="14">
        <v>11.984139365866334</v>
      </c>
      <c r="I402" s="14">
        <v>79.152507344873186</v>
      </c>
      <c r="J402" s="14">
        <v>428.45479365543792</v>
      </c>
      <c r="K402" s="14">
        <v>1368.5556504439198</v>
      </c>
      <c r="L402" s="14">
        <v>2341.2630448279506</v>
      </c>
      <c r="M402" s="14">
        <v>2881.1569261408167</v>
      </c>
      <c r="N402" s="14">
        <v>3292.2346522776938</v>
      </c>
      <c r="O402" s="14">
        <v>3464.5638895248171</v>
      </c>
    </row>
    <row r="403" spans="1:15" x14ac:dyDescent="0.3">
      <c r="A403" s="3" t="str">
        <f>INDEX('R1. Scenario specifications'!$C$11:$C$49,MATCH($B403,'R1. Scenario specifications'!$A$11:$A$49,0))</f>
        <v>Current 1.75DS, 2020 start, 'Expect the Unexpected' but with cheap EVs</v>
      </c>
      <c r="B403" s="3" t="s">
        <v>39</v>
      </c>
      <c r="C403" s="3" t="s">
        <v>64</v>
      </c>
      <c r="D403" s="3" t="s">
        <v>254</v>
      </c>
      <c r="E403" s="14">
        <v>1633.0249332809897</v>
      </c>
      <c r="F403" s="14">
        <v>1804.9999999999993</v>
      </c>
      <c r="G403" s="14">
        <v>1804.9999999999993</v>
      </c>
      <c r="H403" s="14">
        <v>1442.4317981122206</v>
      </c>
      <c r="I403" s="14">
        <v>441.54204398431278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</row>
    <row r="404" spans="1:15" x14ac:dyDescent="0.3">
      <c r="A404" s="3" t="str">
        <f>INDEX('R1. Scenario specifications'!$C$11:$C$49,MATCH($B404,'R1. Scenario specifications'!$A$11:$A$49,0))</f>
        <v>Current 1.75DS, 2020 start, 'Expect the Unexpected' but with cheap EVs</v>
      </c>
      <c r="B404" s="3" t="s">
        <v>39</v>
      </c>
      <c r="C404" s="3" t="s">
        <v>65</v>
      </c>
      <c r="D404" s="3" t="s">
        <v>255</v>
      </c>
      <c r="E404" s="14">
        <v>1008.6224302831477</v>
      </c>
      <c r="F404" s="14">
        <v>1634.5557819505236</v>
      </c>
      <c r="G404" s="14">
        <v>2111.6960266729702</v>
      </c>
      <c r="H404" s="14">
        <v>1973.6607293365644</v>
      </c>
      <c r="I404" s="14">
        <v>1064.4385178650925</v>
      </c>
      <c r="J404" s="14">
        <v>808.00673926307365</v>
      </c>
      <c r="K404" s="14">
        <v>891.46604920256902</v>
      </c>
      <c r="L404" s="14">
        <v>829.04562364850415</v>
      </c>
      <c r="M404" s="14">
        <v>219.40875089598509</v>
      </c>
      <c r="N404" s="14">
        <v>298.43175671572459</v>
      </c>
      <c r="O404" s="14">
        <v>335.80487695989768</v>
      </c>
    </row>
    <row r="405" spans="1:15" x14ac:dyDescent="0.3">
      <c r="A405" s="3" t="str">
        <f>INDEX('R1. Scenario specifications'!$C$11:$C$49,MATCH($B405,'R1. Scenario specifications'!$A$11:$A$49,0))</f>
        <v>Current 1.75DS, 2020 start, 'Expect the Unexpected' but with cheap EVs</v>
      </c>
      <c r="B405" s="3" t="s">
        <v>39</v>
      </c>
      <c r="C405" s="3" t="s">
        <v>74</v>
      </c>
      <c r="D405" s="3" t="s">
        <v>255</v>
      </c>
      <c r="E405" s="14">
        <v>0</v>
      </c>
      <c r="F405" s="14">
        <v>0</v>
      </c>
      <c r="G405" s="14">
        <v>0</v>
      </c>
      <c r="H405" s="14">
        <v>1.0004029999999999</v>
      </c>
      <c r="I405" s="14">
        <v>8.4743791939354995</v>
      </c>
      <c r="J405" s="14">
        <v>60.718751088555962</v>
      </c>
      <c r="K405" s="14">
        <v>252.81551382521613</v>
      </c>
      <c r="L405" s="14">
        <v>768.59754392697459</v>
      </c>
      <c r="M405" s="14">
        <v>1480.6115946612067</v>
      </c>
      <c r="N405" s="14">
        <v>1704.1729781124623</v>
      </c>
      <c r="O405" s="14">
        <v>1576.5995983733901</v>
      </c>
    </row>
    <row r="406" spans="1:15" x14ac:dyDescent="0.3">
      <c r="A406" s="3" t="str">
        <f>INDEX('R1. Scenario specifications'!$C$11:$C$49,MATCH($B406,'R1. Scenario specifications'!$A$11:$A$49,0))</f>
        <v>Current 1.75DS, 2020 start, 'Expect the Unexpected' but with cheap EVs</v>
      </c>
      <c r="B406" s="3" t="s">
        <v>39</v>
      </c>
      <c r="C406" s="3" t="s">
        <v>66</v>
      </c>
      <c r="D406" s="3" t="s">
        <v>258</v>
      </c>
      <c r="E406" s="14">
        <v>31.122062759818384</v>
      </c>
      <c r="F406" s="14">
        <v>28.670816918420648</v>
      </c>
      <c r="G406" s="14">
        <v>113.13800421894352</v>
      </c>
      <c r="H406" s="14">
        <v>158.8032517201448</v>
      </c>
      <c r="I406" s="14">
        <v>202.77372430849005</v>
      </c>
      <c r="J406" s="14">
        <v>288.50020674359024</v>
      </c>
      <c r="K406" s="14">
        <v>483.44359797393969</v>
      </c>
      <c r="L406" s="14">
        <v>542.33744374063781</v>
      </c>
      <c r="M406" s="14">
        <v>753.69929915264015</v>
      </c>
      <c r="N406" s="14">
        <v>903.90016640520787</v>
      </c>
      <c r="O406" s="14">
        <v>968.47342970012051</v>
      </c>
    </row>
    <row r="407" spans="1:15" x14ac:dyDescent="0.3">
      <c r="A407" s="3" t="str">
        <f>INDEX('R1. Scenario specifications'!$C$11:$C$49,MATCH($B407,'R1. Scenario specifications'!$A$11:$A$49,0))</f>
        <v>Current 1.75DS, 2020 start, 'Expect the Unexpected' but with cheap EVs</v>
      </c>
      <c r="B407" s="3" t="s">
        <v>39</v>
      </c>
      <c r="C407" s="3" t="s">
        <v>67</v>
      </c>
      <c r="D407" s="3" t="s">
        <v>256</v>
      </c>
      <c r="E407" s="14">
        <v>738.24098154394619</v>
      </c>
      <c r="F407" s="14">
        <v>744.22477031191352</v>
      </c>
      <c r="G407" s="14">
        <v>999.8328246673068</v>
      </c>
      <c r="H407" s="14">
        <v>1173.5377592673735</v>
      </c>
      <c r="I407" s="14">
        <v>1450.1066726297595</v>
      </c>
      <c r="J407" s="14">
        <v>1706.2405548267104</v>
      </c>
      <c r="K407" s="14">
        <v>1912.5919700461209</v>
      </c>
      <c r="L407" s="14">
        <v>2156.4565990029751</v>
      </c>
      <c r="M407" s="14">
        <v>2789.3285020578287</v>
      </c>
      <c r="N407" s="14">
        <v>3059.828880970992</v>
      </c>
      <c r="O407" s="14">
        <v>3207.106643651437</v>
      </c>
    </row>
    <row r="408" spans="1:15" x14ac:dyDescent="0.3">
      <c r="A408" s="3" t="str">
        <f>INDEX('R1. Scenario specifications'!$C$11:$C$49,MATCH($B408,'R1. Scenario specifications'!$A$11:$A$49,0))</f>
        <v>Current 1.75DS, 2020 start, 'Expect the Unexpected' but with cheap EVs</v>
      </c>
      <c r="B408" s="3" t="s">
        <v>39</v>
      </c>
      <c r="C408" s="3" t="s">
        <v>68</v>
      </c>
      <c r="D408" s="3" t="s">
        <v>257</v>
      </c>
      <c r="E408" s="14">
        <v>381.69394199846289</v>
      </c>
      <c r="F408" s="14">
        <v>393.99999999999972</v>
      </c>
      <c r="G408" s="14">
        <v>647.54384646462074</v>
      </c>
      <c r="H408" s="14">
        <v>599.60750408611364</v>
      </c>
      <c r="I408" s="14">
        <v>646.61427786131219</v>
      </c>
      <c r="J408" s="14">
        <v>915.47597846596295</v>
      </c>
      <c r="K408" s="14">
        <v>1096.907615414251</v>
      </c>
      <c r="L408" s="14">
        <v>1241.3441469718766</v>
      </c>
      <c r="M408" s="14">
        <v>1358.5457144726911</v>
      </c>
      <c r="N408" s="14">
        <v>1435.2930515598571</v>
      </c>
      <c r="O408" s="14">
        <v>1449.0233218710825</v>
      </c>
    </row>
    <row r="409" spans="1:15" x14ac:dyDescent="0.3">
      <c r="A409" s="3" t="str">
        <f>INDEX('R1. Scenario specifications'!$C$11:$C$49,MATCH($B409,'R1. Scenario specifications'!$A$11:$A$49,0))</f>
        <v>Current 1.75DS, 2020 start, 'Expect the Unexpected' but with cheap EVs</v>
      </c>
      <c r="B409" s="3" t="s">
        <v>39</v>
      </c>
      <c r="C409" s="3" t="s">
        <v>69</v>
      </c>
      <c r="D409" s="3" t="s">
        <v>258</v>
      </c>
      <c r="E409" s="14">
        <v>430.81063106061174</v>
      </c>
      <c r="F409" s="14">
        <v>452.4364981864552</v>
      </c>
      <c r="G409" s="14">
        <v>452.8330666776244</v>
      </c>
      <c r="H409" s="14">
        <v>255.42148638647006</v>
      </c>
      <c r="I409" s="14">
        <v>143.42877262991095</v>
      </c>
      <c r="J409" s="14">
        <v>21.320900780215055</v>
      </c>
      <c r="K409" s="14">
        <v>23.635863607913674</v>
      </c>
      <c r="L409" s="14">
        <v>77.519628881691673</v>
      </c>
      <c r="M409" s="14">
        <v>121.40421401773192</v>
      </c>
      <c r="N409" s="14">
        <v>166.39811496601183</v>
      </c>
      <c r="O409" s="14">
        <v>219.31332195555683</v>
      </c>
    </row>
    <row r="410" spans="1:15" x14ac:dyDescent="0.3">
      <c r="A410" s="3" t="str">
        <f>INDEX('R1. Scenario specifications'!$C$11:$C$49,MATCH($B410,'R1. Scenario specifications'!$A$11:$A$49,0))</f>
        <v>Current 1.75DS, 2020 start, 'Expect the Unexpected' but with cheap EVs</v>
      </c>
      <c r="B410" s="3" t="s">
        <v>39</v>
      </c>
      <c r="C410" s="3" t="s">
        <v>70</v>
      </c>
      <c r="D410" s="3" t="s">
        <v>259</v>
      </c>
      <c r="E410" s="14">
        <v>13.930776255707762</v>
      </c>
      <c r="F410" s="14">
        <v>96.560908546679059</v>
      </c>
      <c r="G410" s="14">
        <v>193.62720812488871</v>
      </c>
      <c r="H410" s="14">
        <v>900.51634962117453</v>
      </c>
      <c r="I410" s="14">
        <v>3269.2223277900821</v>
      </c>
      <c r="J410" s="14">
        <v>5389.5293610108847</v>
      </c>
      <c r="K410" s="14">
        <v>7287.5577503035147</v>
      </c>
      <c r="L410" s="14">
        <v>11321.047696062527</v>
      </c>
      <c r="M410" s="14">
        <v>18890.973871478371</v>
      </c>
      <c r="N410" s="14">
        <v>23376.967787512589</v>
      </c>
      <c r="O410" s="14">
        <v>25613.723902327936</v>
      </c>
    </row>
    <row r="411" spans="1:15" x14ac:dyDescent="0.3">
      <c r="A411" s="3" t="str">
        <f>INDEX('R1. Scenario specifications'!$C$11:$C$49,MATCH($B411,'R1. Scenario specifications'!$A$11:$A$49,0))</f>
        <v>Current 1.75DS, 2020 start, 'Expect the Unexpected' but with cheap EVs</v>
      </c>
      <c r="B411" s="3" t="s">
        <v>39</v>
      </c>
      <c r="C411" s="3" t="s">
        <v>71</v>
      </c>
      <c r="D411" s="3" t="s">
        <v>259</v>
      </c>
      <c r="E411" s="14">
        <v>11.2241111111111</v>
      </c>
      <c r="F411" s="14">
        <v>12.249511111111101</v>
      </c>
      <c r="G411" s="14">
        <v>13.0611055551111</v>
      </c>
      <c r="H411" s="14">
        <v>13.059505551511098</v>
      </c>
      <c r="I411" s="14">
        <v>13.061351014222497</v>
      </c>
      <c r="J411" s="14">
        <v>13.265930879280003</v>
      </c>
      <c r="K411" s="14">
        <v>13.353049532223798</v>
      </c>
      <c r="L411" s="14">
        <v>13.564208805596575</v>
      </c>
      <c r="M411" s="14">
        <v>14.588416204128769</v>
      </c>
      <c r="N411" s="14">
        <v>19.520558796896616</v>
      </c>
      <c r="O411" s="14">
        <v>19.518158796896618</v>
      </c>
    </row>
    <row r="412" spans="1:15" x14ac:dyDescent="0.3">
      <c r="A412" s="3" t="str">
        <f>INDEX('R1. Scenario specifications'!$C$11:$C$49,MATCH($B412,'R1. Scenario specifications'!$A$11:$A$49,0))</f>
        <v>Current 1.75DS, 2020 start, 'Expect the Unexpected' but with cheap EVs</v>
      </c>
      <c r="B412" s="3" t="s">
        <v>39</v>
      </c>
      <c r="C412" s="3" t="s">
        <v>75</v>
      </c>
      <c r="D412" s="3" t="s">
        <v>258</v>
      </c>
      <c r="E412" s="14">
        <v>0.31124745380476826</v>
      </c>
      <c r="F412" s="14">
        <v>0.28314462712947408</v>
      </c>
      <c r="G412" s="14">
        <v>0.23818010444900301</v>
      </c>
      <c r="H412" s="14">
        <v>0.15878673629933501</v>
      </c>
      <c r="I412" s="14">
        <v>7.9393368149667701E-2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</row>
    <row r="413" spans="1:15" x14ac:dyDescent="0.3">
      <c r="A413" s="3" t="str">
        <f>INDEX('R1. Scenario specifications'!$C$11:$C$49,MATCH($B413,'R1. Scenario specifications'!$A$11:$A$49,0))</f>
        <v>Current 1.75DS, 2020 start, 'Expect the Unexpected' but with cheap EVs</v>
      </c>
      <c r="B413" s="3" t="s">
        <v>39</v>
      </c>
      <c r="C413" s="3" t="s">
        <v>72</v>
      </c>
      <c r="D413" s="3" t="s">
        <v>260</v>
      </c>
      <c r="E413" s="14">
        <v>217.76839471634247</v>
      </c>
      <c r="F413" s="14">
        <v>242.99857406704328</v>
      </c>
      <c r="G413" s="14">
        <v>365.36686102816424</v>
      </c>
      <c r="H413" s="14">
        <v>1596.5523155030251</v>
      </c>
      <c r="I413" s="14">
        <v>3580.3844741397743</v>
      </c>
      <c r="J413" s="14">
        <v>4785.5694280551925</v>
      </c>
      <c r="K413" s="14">
        <v>7011.992109370789</v>
      </c>
      <c r="L413" s="14">
        <v>10160.981979107833</v>
      </c>
      <c r="M413" s="14">
        <v>16580.042333994385</v>
      </c>
      <c r="N413" s="14">
        <v>22286.892992441626</v>
      </c>
      <c r="O413" s="14">
        <v>26562.677277257935</v>
      </c>
    </row>
    <row r="414" spans="1:15" x14ac:dyDescent="0.3">
      <c r="A414" s="3" t="str">
        <f>INDEX('R1. Scenario specifications'!$C$11:$C$49,MATCH($B414,'R1. Scenario specifications'!$A$11:$A$49,0))</f>
        <v>Current 1.75DS, 2030 start, 'Expect the Unexpected' but with cheap EVs</v>
      </c>
      <c r="B414" s="3" t="s">
        <v>40</v>
      </c>
      <c r="C414" s="3" t="s">
        <v>63</v>
      </c>
      <c r="D414" s="3" t="s">
        <v>253</v>
      </c>
      <c r="E414" s="14">
        <v>19.526838931037336</v>
      </c>
      <c r="F414" s="14">
        <v>26.141237482570887</v>
      </c>
      <c r="G414" s="14">
        <v>117.10981417316707</v>
      </c>
      <c r="H414" s="14">
        <v>412.30855682261659</v>
      </c>
      <c r="I414" s="14">
        <v>591.93305020353068</v>
      </c>
      <c r="J414" s="14">
        <v>532.41071291613184</v>
      </c>
      <c r="K414" s="14">
        <v>232.23104112782579</v>
      </c>
      <c r="L414" s="14">
        <v>43.095210009268484</v>
      </c>
      <c r="M414" s="14">
        <v>0</v>
      </c>
      <c r="N414" s="14">
        <v>5.2868784133656597</v>
      </c>
      <c r="O414" s="14">
        <v>5.2868784133656597</v>
      </c>
    </row>
    <row r="415" spans="1:15" x14ac:dyDescent="0.3">
      <c r="A415" s="3" t="str">
        <f>INDEX('R1. Scenario specifications'!$C$11:$C$49,MATCH($B415,'R1. Scenario specifications'!$A$11:$A$49,0))</f>
        <v>Current 1.75DS, 2030 start, 'Expect the Unexpected' but with cheap EVs</v>
      </c>
      <c r="B415" s="3" t="s">
        <v>40</v>
      </c>
      <c r="C415" s="3" t="s">
        <v>73</v>
      </c>
      <c r="D415" s="3" t="s">
        <v>253</v>
      </c>
      <c r="E415" s="14">
        <v>0</v>
      </c>
      <c r="F415" s="14">
        <v>0</v>
      </c>
      <c r="G415" s="14">
        <v>0</v>
      </c>
      <c r="H415" s="14">
        <v>0</v>
      </c>
      <c r="I415" s="14">
        <v>14.51976189512888</v>
      </c>
      <c r="J415" s="14">
        <v>272.48339124593491</v>
      </c>
      <c r="K415" s="14">
        <v>1638.3954438338244</v>
      </c>
      <c r="L415" s="14">
        <v>3030.774687519257</v>
      </c>
      <c r="M415" s="14">
        <v>3224.5990942601029</v>
      </c>
      <c r="N415" s="14">
        <v>3118.9110303066282</v>
      </c>
      <c r="O415" s="14">
        <v>3405.2623956437042</v>
      </c>
    </row>
    <row r="416" spans="1:15" x14ac:dyDescent="0.3">
      <c r="A416" s="3" t="str">
        <f>INDEX('R1. Scenario specifications'!$C$11:$C$49,MATCH($B416,'R1. Scenario specifications'!$A$11:$A$49,0))</f>
        <v>Current 1.75DS, 2030 start, 'Expect the Unexpected' but with cheap EVs</v>
      </c>
      <c r="B416" s="3" t="s">
        <v>40</v>
      </c>
      <c r="C416" s="3" t="s">
        <v>64</v>
      </c>
      <c r="D416" s="3" t="s">
        <v>254</v>
      </c>
      <c r="E416" s="14">
        <v>1633.0249332809897</v>
      </c>
      <c r="F416" s="14">
        <v>1804.9999999999993</v>
      </c>
      <c r="G416" s="14">
        <v>1804.9999999999993</v>
      </c>
      <c r="H416" s="14">
        <v>1458.8285858367421</v>
      </c>
      <c r="I416" s="14">
        <v>457.93883170883436</v>
      </c>
      <c r="J416" s="14">
        <v>16.396787724521602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</row>
    <row r="417" spans="1:15" x14ac:dyDescent="0.3">
      <c r="A417" s="3" t="str">
        <f>INDEX('R1. Scenario specifications'!$C$11:$C$49,MATCH($B417,'R1. Scenario specifications'!$A$11:$A$49,0))</f>
        <v>Current 1.75DS, 2030 start, 'Expect the Unexpected' but with cheap EVs</v>
      </c>
      <c r="B417" s="3" t="s">
        <v>40</v>
      </c>
      <c r="C417" s="3" t="s">
        <v>65</v>
      </c>
      <c r="D417" s="3" t="s">
        <v>255</v>
      </c>
      <c r="E417" s="14">
        <v>1008.6224302831477</v>
      </c>
      <c r="F417" s="14">
        <v>1634.5557819505236</v>
      </c>
      <c r="G417" s="14">
        <v>2111.6960266729702</v>
      </c>
      <c r="H417" s="14">
        <v>1960.1606269560627</v>
      </c>
      <c r="I417" s="14">
        <v>1308.938130437391</v>
      </c>
      <c r="J417" s="14">
        <v>791.17282097383941</v>
      </c>
      <c r="K417" s="14">
        <v>865.61860590100821</v>
      </c>
      <c r="L417" s="14">
        <v>524.17301501288114</v>
      </c>
      <c r="M417" s="14">
        <v>159.96199535361399</v>
      </c>
      <c r="N417" s="14">
        <v>335.14029833034164</v>
      </c>
      <c r="O417" s="14">
        <v>294.86697904745921</v>
      </c>
    </row>
    <row r="418" spans="1:15" x14ac:dyDescent="0.3">
      <c r="A418" s="3" t="str">
        <f>INDEX('R1. Scenario specifications'!$C$11:$C$49,MATCH($B418,'R1. Scenario specifications'!$A$11:$A$49,0))</f>
        <v>Current 1.75DS, 2030 start, 'Expect the Unexpected' but with cheap EVs</v>
      </c>
      <c r="B418" s="3" t="s">
        <v>40</v>
      </c>
      <c r="C418" s="3" t="s">
        <v>74</v>
      </c>
      <c r="D418" s="3" t="s">
        <v>255</v>
      </c>
      <c r="E418" s="14">
        <v>0</v>
      </c>
      <c r="F418" s="14">
        <v>0</v>
      </c>
      <c r="G418" s="14">
        <v>0</v>
      </c>
      <c r="H418" s="14">
        <v>0</v>
      </c>
      <c r="I418" s="14">
        <v>0.48628310487112297</v>
      </c>
      <c r="J418" s="14">
        <v>9.6560634665725509</v>
      </c>
      <c r="K418" s="14">
        <v>88.150216061939702</v>
      </c>
      <c r="L418" s="14">
        <v>536.39425371085849</v>
      </c>
      <c r="M418" s="14">
        <v>1178.4497184104305</v>
      </c>
      <c r="N418" s="14">
        <v>1450.4581096238344</v>
      </c>
      <c r="O418" s="14">
        <v>1462.5281838937333</v>
      </c>
    </row>
    <row r="419" spans="1:15" x14ac:dyDescent="0.3">
      <c r="A419" s="3" t="str">
        <f>INDEX('R1. Scenario specifications'!$C$11:$C$49,MATCH($B419,'R1. Scenario specifications'!$A$11:$A$49,0))</f>
        <v>Current 1.75DS, 2030 start, 'Expect the Unexpected' but with cheap EVs</v>
      </c>
      <c r="B419" s="3" t="s">
        <v>40</v>
      </c>
      <c r="C419" s="3" t="s">
        <v>66</v>
      </c>
      <c r="D419" s="3" t="s">
        <v>258</v>
      </c>
      <c r="E419" s="14">
        <v>31.122062759818384</v>
      </c>
      <c r="F419" s="14">
        <v>28.670816918420648</v>
      </c>
      <c r="G419" s="14">
        <v>113.13800421894352</v>
      </c>
      <c r="H419" s="14">
        <v>158.43269338625092</v>
      </c>
      <c r="I419" s="14">
        <v>221.58895572822081</v>
      </c>
      <c r="J419" s="14">
        <v>409.8708473450057</v>
      </c>
      <c r="K419" s="14">
        <v>703.75193982981898</v>
      </c>
      <c r="L419" s="14">
        <v>701.09624852943557</v>
      </c>
      <c r="M419" s="14">
        <v>736.14274717384637</v>
      </c>
      <c r="N419" s="14">
        <v>899.55157298335712</v>
      </c>
      <c r="O419" s="14">
        <v>946.30274559497218</v>
      </c>
    </row>
    <row r="420" spans="1:15" x14ac:dyDescent="0.3">
      <c r="A420" s="3" t="str">
        <f>INDEX('R1. Scenario specifications'!$C$11:$C$49,MATCH($B420,'R1. Scenario specifications'!$A$11:$A$49,0))</f>
        <v>Current 1.75DS, 2030 start, 'Expect the Unexpected' but with cheap EVs</v>
      </c>
      <c r="B420" s="3" t="s">
        <v>40</v>
      </c>
      <c r="C420" s="3" t="s">
        <v>67</v>
      </c>
      <c r="D420" s="3" t="s">
        <v>256</v>
      </c>
      <c r="E420" s="14">
        <v>738.24098154394619</v>
      </c>
      <c r="F420" s="14">
        <v>744.22477031191352</v>
      </c>
      <c r="G420" s="14">
        <v>999.8328246673068</v>
      </c>
      <c r="H420" s="14">
        <v>1153.8656291758321</v>
      </c>
      <c r="I420" s="14">
        <v>1330.0693958983313</v>
      </c>
      <c r="J420" s="14">
        <v>1979.6544243630112</v>
      </c>
      <c r="K420" s="14">
        <v>2383.938042923065</v>
      </c>
      <c r="L420" s="14">
        <v>2492.5835814178699</v>
      </c>
      <c r="M420" s="14">
        <v>2903.4222694554728</v>
      </c>
      <c r="N420" s="14">
        <v>3124.3682497318755</v>
      </c>
      <c r="O420" s="14">
        <v>3215.8507813074598</v>
      </c>
    </row>
    <row r="421" spans="1:15" x14ac:dyDescent="0.3">
      <c r="A421" s="3" t="str">
        <f>INDEX('R1. Scenario specifications'!$C$11:$C$49,MATCH($B421,'R1. Scenario specifications'!$A$11:$A$49,0))</f>
        <v>Current 1.75DS, 2030 start, 'Expect the Unexpected' but with cheap EVs</v>
      </c>
      <c r="B421" s="3" t="s">
        <v>40</v>
      </c>
      <c r="C421" s="3" t="s">
        <v>68</v>
      </c>
      <c r="D421" s="3" t="s">
        <v>257</v>
      </c>
      <c r="E421" s="14">
        <v>381.69394199846289</v>
      </c>
      <c r="F421" s="14">
        <v>393.99999999999972</v>
      </c>
      <c r="G421" s="14">
        <v>647.54384646462074</v>
      </c>
      <c r="H421" s="14">
        <v>599.60750408611364</v>
      </c>
      <c r="I421" s="14">
        <v>574.22438013504609</v>
      </c>
      <c r="J421" s="14">
        <v>932.75289370291705</v>
      </c>
      <c r="K421" s="14">
        <v>1133.0175481674787</v>
      </c>
      <c r="L421" s="14">
        <v>1216.1672555276873</v>
      </c>
      <c r="M421" s="14">
        <v>1372.2206497059508</v>
      </c>
      <c r="N421" s="14">
        <v>1435.2930515598571</v>
      </c>
      <c r="O421" s="14">
        <v>1450.1950125907924</v>
      </c>
    </row>
    <row r="422" spans="1:15" x14ac:dyDescent="0.3">
      <c r="A422" s="3" t="str">
        <f>INDEX('R1. Scenario specifications'!$C$11:$C$49,MATCH($B422,'R1. Scenario specifications'!$A$11:$A$49,0))</f>
        <v>Current 1.75DS, 2030 start, 'Expect the Unexpected' but with cheap EVs</v>
      </c>
      <c r="B422" s="3" t="s">
        <v>40</v>
      </c>
      <c r="C422" s="3" t="s">
        <v>69</v>
      </c>
      <c r="D422" s="3" t="s">
        <v>258</v>
      </c>
      <c r="E422" s="14">
        <v>430.81063106061174</v>
      </c>
      <c r="F422" s="14">
        <v>452.4364981864552</v>
      </c>
      <c r="G422" s="14">
        <v>452.8330666776244</v>
      </c>
      <c r="H422" s="14">
        <v>256.83855764560741</v>
      </c>
      <c r="I422" s="14">
        <v>139.75855491174082</v>
      </c>
      <c r="J422" s="14">
        <v>14.492559891982747</v>
      </c>
      <c r="K422" s="14">
        <v>12.5966429777164</v>
      </c>
      <c r="L422" s="14">
        <v>78.124050387230753</v>
      </c>
      <c r="M422" s="14">
        <v>100.12916021775268</v>
      </c>
      <c r="N422" s="14">
        <v>97.117571465324758</v>
      </c>
      <c r="O422" s="14">
        <v>160.9416965810471</v>
      </c>
    </row>
    <row r="423" spans="1:15" x14ac:dyDescent="0.3">
      <c r="A423" s="3" t="str">
        <f>INDEX('R1. Scenario specifications'!$C$11:$C$49,MATCH($B423,'R1. Scenario specifications'!$A$11:$A$49,0))</f>
        <v>Current 1.75DS, 2030 start, 'Expect the Unexpected' but with cheap EVs</v>
      </c>
      <c r="B423" s="3" t="s">
        <v>40</v>
      </c>
      <c r="C423" s="3" t="s">
        <v>70</v>
      </c>
      <c r="D423" s="3" t="s">
        <v>259</v>
      </c>
      <c r="E423" s="14">
        <v>13.930776255707762</v>
      </c>
      <c r="F423" s="14">
        <v>96.560908546679059</v>
      </c>
      <c r="G423" s="14">
        <v>193.62720812488871</v>
      </c>
      <c r="H423" s="14">
        <v>564.29121895346805</v>
      </c>
      <c r="I423" s="14">
        <v>2389.6927747040559</v>
      </c>
      <c r="J423" s="14">
        <v>5765.1735393016734</v>
      </c>
      <c r="K423" s="14">
        <v>9609.7405046069161</v>
      </c>
      <c r="L423" s="14">
        <v>13020.461184377124</v>
      </c>
      <c r="M423" s="14">
        <v>17948.388078575452</v>
      </c>
      <c r="N423" s="14">
        <v>21841.994680709693</v>
      </c>
      <c r="O423" s="14">
        <v>24693.925130019881</v>
      </c>
    </row>
    <row r="424" spans="1:15" x14ac:dyDescent="0.3">
      <c r="A424" s="3" t="str">
        <f>INDEX('R1. Scenario specifications'!$C$11:$C$49,MATCH($B424,'R1. Scenario specifications'!$A$11:$A$49,0))</f>
        <v>Current 1.75DS, 2030 start, 'Expect the Unexpected' but with cheap EVs</v>
      </c>
      <c r="B424" s="3" t="s">
        <v>40</v>
      </c>
      <c r="C424" s="3" t="s">
        <v>71</v>
      </c>
      <c r="D424" s="3" t="s">
        <v>259</v>
      </c>
      <c r="E424" s="14">
        <v>11.2241111111111</v>
      </c>
      <c r="F424" s="14">
        <v>12.249511111111101</v>
      </c>
      <c r="G424" s="14">
        <v>13.0611055551111</v>
      </c>
      <c r="H424" s="14">
        <v>13.059905555111095</v>
      </c>
      <c r="I424" s="14">
        <v>13.247220770487646</v>
      </c>
      <c r="J424" s="14">
        <v>14.161327981505291</v>
      </c>
      <c r="K424" s="14">
        <v>18.559852668305421</v>
      </c>
      <c r="L424" s="14">
        <v>18.601484422453701</v>
      </c>
      <c r="M424" s="14">
        <v>18.812128917499798</v>
      </c>
      <c r="N424" s="14">
        <v>19.83621503125579</v>
      </c>
      <c r="O424" s="14">
        <v>19.833415031255797</v>
      </c>
    </row>
    <row r="425" spans="1:15" x14ac:dyDescent="0.3">
      <c r="A425" s="3" t="str">
        <f>INDEX('R1. Scenario specifications'!$C$11:$C$49,MATCH($B425,'R1. Scenario specifications'!$A$11:$A$49,0))</f>
        <v>Current 1.75DS, 2030 start, 'Expect the Unexpected' but with cheap EVs</v>
      </c>
      <c r="B425" s="3" t="s">
        <v>40</v>
      </c>
      <c r="C425" s="3" t="s">
        <v>75</v>
      </c>
      <c r="D425" s="3" t="s">
        <v>258</v>
      </c>
      <c r="E425" s="14">
        <v>0.31124745380476826</v>
      </c>
      <c r="F425" s="14">
        <v>0.28314462712947408</v>
      </c>
      <c r="G425" s="14">
        <v>0.23818010444900301</v>
      </c>
      <c r="H425" s="14">
        <v>0.15878673629933501</v>
      </c>
      <c r="I425" s="14">
        <v>7.9393368149667701E-2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</row>
    <row r="426" spans="1:15" x14ac:dyDescent="0.3">
      <c r="A426" s="3" t="str">
        <f>INDEX('R1. Scenario specifications'!$C$11:$C$49,MATCH($B426,'R1. Scenario specifications'!$A$11:$A$49,0))</f>
        <v>Current 1.75DS, 2030 start, 'Expect the Unexpected' but with cheap EVs</v>
      </c>
      <c r="B426" s="3" t="s">
        <v>40</v>
      </c>
      <c r="C426" s="3" t="s">
        <v>72</v>
      </c>
      <c r="D426" s="3" t="s">
        <v>260</v>
      </c>
      <c r="E426" s="14">
        <v>217.76839471634247</v>
      </c>
      <c r="F426" s="14">
        <v>242.99857406704328</v>
      </c>
      <c r="G426" s="14">
        <v>365.36686102816424</v>
      </c>
      <c r="H426" s="14">
        <v>1381.7602614741115</v>
      </c>
      <c r="I426" s="14">
        <v>3586.0090256855133</v>
      </c>
      <c r="J426" s="14">
        <v>5193.2560881328709</v>
      </c>
      <c r="K426" s="14">
        <v>9029.6854984456622</v>
      </c>
      <c r="L426" s="14">
        <v>10602.192099012447</v>
      </c>
      <c r="M426" s="14">
        <v>15537.143950743943</v>
      </c>
      <c r="N426" s="14">
        <v>20990.622266051465</v>
      </c>
      <c r="O426" s="14">
        <v>25807.255678129179</v>
      </c>
    </row>
    <row r="427" spans="1:15" x14ac:dyDescent="0.3">
      <c r="A427" s="3" t="str">
        <f>INDEX('R1. Scenario specifications'!$C$11:$C$49,MATCH($B427,'R1. Scenario specifications'!$A$11:$A$49,0))</f>
        <v>Current 1.75DS, 2020 start, 'Expect the Unexpected' but with cheap energy efficiency</v>
      </c>
      <c r="B427" s="3" t="s">
        <v>41</v>
      </c>
      <c r="C427" s="3" t="s">
        <v>63</v>
      </c>
      <c r="D427" s="3" t="s">
        <v>253</v>
      </c>
      <c r="E427" s="14">
        <v>19.526838931037336</v>
      </c>
      <c r="F427" s="14">
        <v>26.141237482570887</v>
      </c>
      <c r="G427" s="14">
        <v>117.10981417316707</v>
      </c>
      <c r="H427" s="14">
        <v>476.51149239491212</v>
      </c>
      <c r="I427" s="14">
        <v>530.56251620469311</v>
      </c>
      <c r="J427" s="14">
        <v>474.07681421351532</v>
      </c>
      <c r="K427" s="14">
        <v>109.69420685291351</v>
      </c>
      <c r="L427" s="14">
        <v>48.951275422454536</v>
      </c>
      <c r="M427" s="14">
        <v>4.3603659285935201</v>
      </c>
      <c r="N427" s="14">
        <v>4.3603659285935201</v>
      </c>
      <c r="O427" s="14">
        <v>5.99792914237619</v>
      </c>
    </row>
    <row r="428" spans="1:15" x14ac:dyDescent="0.3">
      <c r="A428" s="3" t="str">
        <f>INDEX('R1. Scenario specifications'!$C$11:$C$49,MATCH($B428,'R1. Scenario specifications'!$A$11:$A$49,0))</f>
        <v>Current 1.75DS, 2020 start, 'Expect the Unexpected' but with cheap energy efficiency</v>
      </c>
      <c r="B428" s="3" t="s">
        <v>41</v>
      </c>
      <c r="C428" s="3" t="s">
        <v>73</v>
      </c>
      <c r="D428" s="3" t="s">
        <v>253</v>
      </c>
      <c r="E428" s="14">
        <v>0</v>
      </c>
      <c r="F428" s="14">
        <v>0</v>
      </c>
      <c r="G428" s="14">
        <v>0</v>
      </c>
      <c r="H428" s="14">
        <v>9.3220489767686185</v>
      </c>
      <c r="I428" s="14">
        <v>64.232737769092381</v>
      </c>
      <c r="J428" s="14">
        <v>307.09119541573466</v>
      </c>
      <c r="K428" s="14">
        <v>1113.924903226379</v>
      </c>
      <c r="L428" s="14">
        <v>2082.1299475234505</v>
      </c>
      <c r="M428" s="14">
        <v>2626.4801176807678</v>
      </c>
      <c r="N428" s="14">
        <v>3037.9906646329628</v>
      </c>
      <c r="O428" s="14">
        <v>3341.6007538417957</v>
      </c>
    </row>
    <row r="429" spans="1:15" x14ac:dyDescent="0.3">
      <c r="A429" s="3" t="str">
        <f>INDEX('R1. Scenario specifications'!$C$11:$C$49,MATCH($B429,'R1. Scenario specifications'!$A$11:$A$49,0))</f>
        <v>Current 1.75DS, 2020 start, 'Expect the Unexpected' but with cheap energy efficiency</v>
      </c>
      <c r="B429" s="3" t="s">
        <v>41</v>
      </c>
      <c r="C429" s="3" t="s">
        <v>64</v>
      </c>
      <c r="D429" s="3" t="s">
        <v>254</v>
      </c>
      <c r="E429" s="14">
        <v>1633.0249332809897</v>
      </c>
      <c r="F429" s="14">
        <v>1804.9999999999993</v>
      </c>
      <c r="G429" s="14">
        <v>1804.9999999999993</v>
      </c>
      <c r="H429" s="14">
        <v>1442.4317981122206</v>
      </c>
      <c r="I429" s="14">
        <v>441.54204398431278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</row>
    <row r="430" spans="1:15" x14ac:dyDescent="0.3">
      <c r="A430" s="3" t="str">
        <f>INDEX('R1. Scenario specifications'!$C$11:$C$49,MATCH($B430,'R1. Scenario specifications'!$A$11:$A$49,0))</f>
        <v>Current 1.75DS, 2020 start, 'Expect the Unexpected' but with cheap energy efficiency</v>
      </c>
      <c r="B430" s="3" t="s">
        <v>41</v>
      </c>
      <c r="C430" s="3" t="s">
        <v>65</v>
      </c>
      <c r="D430" s="3" t="s">
        <v>255</v>
      </c>
      <c r="E430" s="14">
        <v>1008.6224302831477</v>
      </c>
      <c r="F430" s="14">
        <v>1634.5557819505236</v>
      </c>
      <c r="G430" s="14">
        <v>2111.6960266729702</v>
      </c>
      <c r="H430" s="14">
        <v>1967.1525591886659</v>
      </c>
      <c r="I430" s="14">
        <v>1075.315410988969</v>
      </c>
      <c r="J430" s="14">
        <v>566.5420613311959</v>
      </c>
      <c r="K430" s="14">
        <v>648.83137054028498</v>
      </c>
      <c r="L430" s="14">
        <v>574.71449683856997</v>
      </c>
      <c r="M430" s="14">
        <v>202.76680212690988</v>
      </c>
      <c r="N430" s="14">
        <v>218.53152139960685</v>
      </c>
      <c r="O430" s="14">
        <v>277.14839570433986</v>
      </c>
    </row>
    <row r="431" spans="1:15" x14ac:dyDescent="0.3">
      <c r="A431" s="3" t="str">
        <f>INDEX('R1. Scenario specifications'!$C$11:$C$49,MATCH($B431,'R1. Scenario specifications'!$A$11:$A$49,0))</f>
        <v>Current 1.75DS, 2020 start, 'Expect the Unexpected' but with cheap energy efficiency</v>
      </c>
      <c r="B431" s="3" t="s">
        <v>41</v>
      </c>
      <c r="C431" s="3" t="s">
        <v>74</v>
      </c>
      <c r="D431" s="3" t="s">
        <v>255</v>
      </c>
      <c r="E431" s="14">
        <v>0</v>
      </c>
      <c r="F431" s="14">
        <v>0</v>
      </c>
      <c r="G431" s="14">
        <v>0</v>
      </c>
      <c r="H431" s="14">
        <v>2.09505250145493E-2</v>
      </c>
      <c r="I431" s="14">
        <v>0.77043893834095811</v>
      </c>
      <c r="J431" s="14">
        <v>10.166418478754803</v>
      </c>
      <c r="K431" s="14">
        <v>40.292820496592391</v>
      </c>
      <c r="L431" s="14">
        <v>119.40967690973015</v>
      </c>
      <c r="M431" s="14">
        <v>377.63089518509946</v>
      </c>
      <c r="N431" s="14">
        <v>608.31116897529262</v>
      </c>
      <c r="O431" s="14">
        <v>571.29720384179961</v>
      </c>
    </row>
    <row r="432" spans="1:15" x14ac:dyDescent="0.3">
      <c r="A432" s="3" t="str">
        <f>INDEX('R1. Scenario specifications'!$C$11:$C$49,MATCH($B432,'R1. Scenario specifications'!$A$11:$A$49,0))</f>
        <v>Current 1.75DS, 2020 start, 'Expect the Unexpected' but with cheap energy efficiency</v>
      </c>
      <c r="B432" s="3" t="s">
        <v>41</v>
      </c>
      <c r="C432" s="3" t="s">
        <v>66</v>
      </c>
      <c r="D432" s="3" t="s">
        <v>258</v>
      </c>
      <c r="E432" s="14">
        <v>31.122062759818384</v>
      </c>
      <c r="F432" s="14">
        <v>28.670816918420648</v>
      </c>
      <c r="G432" s="14">
        <v>113.13800421894352</v>
      </c>
      <c r="H432" s="14">
        <v>158.8032517201448</v>
      </c>
      <c r="I432" s="14">
        <v>203.14421744863273</v>
      </c>
      <c r="J432" s="14">
        <v>259.33243631125987</v>
      </c>
      <c r="K432" s="14">
        <v>297.03442281705634</v>
      </c>
      <c r="L432" s="14">
        <v>340.02887670690615</v>
      </c>
      <c r="M432" s="14">
        <v>590.90621373639499</v>
      </c>
      <c r="N432" s="14">
        <v>660.55725083636298</v>
      </c>
      <c r="O432" s="14">
        <v>697.77060399890513</v>
      </c>
    </row>
    <row r="433" spans="1:15" x14ac:dyDescent="0.3">
      <c r="A433" s="3" t="str">
        <f>INDEX('R1. Scenario specifications'!$C$11:$C$49,MATCH($B433,'R1. Scenario specifications'!$A$11:$A$49,0))</f>
        <v>Current 1.75DS, 2020 start, 'Expect the Unexpected' but with cheap energy efficiency</v>
      </c>
      <c r="B433" s="3" t="s">
        <v>41</v>
      </c>
      <c r="C433" s="3" t="s">
        <v>67</v>
      </c>
      <c r="D433" s="3" t="s">
        <v>256</v>
      </c>
      <c r="E433" s="14">
        <v>738.24098154394619</v>
      </c>
      <c r="F433" s="14">
        <v>744.22477031191352</v>
      </c>
      <c r="G433" s="14">
        <v>999.8328246673068</v>
      </c>
      <c r="H433" s="14">
        <v>1165.7987067207755</v>
      </c>
      <c r="I433" s="14">
        <v>1372.9370468730156</v>
      </c>
      <c r="J433" s="14">
        <v>1580.1270208252918</v>
      </c>
      <c r="K433" s="14">
        <v>1695.252924967411</v>
      </c>
      <c r="L433" s="14">
        <v>1822.0822995953081</v>
      </c>
      <c r="M433" s="14">
        <v>2409.116107598888</v>
      </c>
      <c r="N433" s="14">
        <v>2648.2430370854286</v>
      </c>
      <c r="O433" s="14">
        <v>2745.810594914838</v>
      </c>
    </row>
    <row r="434" spans="1:15" x14ac:dyDescent="0.3">
      <c r="A434" s="3" t="str">
        <f>INDEX('R1. Scenario specifications'!$C$11:$C$49,MATCH($B434,'R1. Scenario specifications'!$A$11:$A$49,0))</f>
        <v>Current 1.75DS, 2020 start, 'Expect the Unexpected' but with cheap energy efficiency</v>
      </c>
      <c r="B434" s="3" t="s">
        <v>41</v>
      </c>
      <c r="C434" s="3" t="s">
        <v>68</v>
      </c>
      <c r="D434" s="3" t="s">
        <v>257</v>
      </c>
      <c r="E434" s="14">
        <v>381.69394199846289</v>
      </c>
      <c r="F434" s="14">
        <v>393.99999999999972</v>
      </c>
      <c r="G434" s="14">
        <v>647.54384646462074</v>
      </c>
      <c r="H434" s="14">
        <v>599.60750408611364</v>
      </c>
      <c r="I434" s="14">
        <v>640.56955647412337</v>
      </c>
      <c r="J434" s="14">
        <v>816.48394313522101</v>
      </c>
      <c r="K434" s="14">
        <v>946.12588171504638</v>
      </c>
      <c r="L434" s="14">
        <v>1069.2488932396257</v>
      </c>
      <c r="M434" s="14">
        <v>1335.8888488366906</v>
      </c>
      <c r="N434" s="14">
        <v>1419.0437686348937</v>
      </c>
      <c r="O434" s="14">
        <v>1461.5670417949191</v>
      </c>
    </row>
    <row r="435" spans="1:15" x14ac:dyDescent="0.3">
      <c r="A435" s="3" t="str">
        <f>INDEX('R1. Scenario specifications'!$C$11:$C$49,MATCH($B435,'R1. Scenario specifications'!$A$11:$A$49,0))</f>
        <v>Current 1.75DS, 2020 start, 'Expect the Unexpected' but with cheap energy efficiency</v>
      </c>
      <c r="B435" s="3" t="s">
        <v>41</v>
      </c>
      <c r="C435" s="3" t="s">
        <v>69</v>
      </c>
      <c r="D435" s="3" t="s">
        <v>258</v>
      </c>
      <c r="E435" s="14">
        <v>430.81063106061174</v>
      </c>
      <c r="F435" s="14">
        <v>452.4364981864552</v>
      </c>
      <c r="G435" s="14">
        <v>452.8330666776244</v>
      </c>
      <c r="H435" s="14">
        <v>254.6388764374035</v>
      </c>
      <c r="I435" s="14">
        <v>139.76452141002991</v>
      </c>
      <c r="J435" s="14">
        <v>18.329737174397476</v>
      </c>
      <c r="K435" s="14">
        <v>18.564293537959362</v>
      </c>
      <c r="L435" s="14">
        <v>47.230680355277059</v>
      </c>
      <c r="M435" s="14">
        <v>65.526111269073596</v>
      </c>
      <c r="N435" s="14">
        <v>96.59383306945692</v>
      </c>
      <c r="O435" s="14">
        <v>157.19171275193062</v>
      </c>
    </row>
    <row r="436" spans="1:15" x14ac:dyDescent="0.3">
      <c r="A436" s="3" t="str">
        <f>INDEX('R1. Scenario specifications'!$C$11:$C$49,MATCH($B436,'R1. Scenario specifications'!$A$11:$A$49,0))</f>
        <v>Current 1.75DS, 2020 start, 'Expect the Unexpected' but with cheap energy efficiency</v>
      </c>
      <c r="B436" s="3" t="s">
        <v>41</v>
      </c>
      <c r="C436" s="3" t="s">
        <v>70</v>
      </c>
      <c r="D436" s="3" t="s">
        <v>259</v>
      </c>
      <c r="E436" s="14">
        <v>13.930776255707762</v>
      </c>
      <c r="F436" s="14">
        <v>96.560908546679059</v>
      </c>
      <c r="G436" s="14">
        <v>193.62720812488871</v>
      </c>
      <c r="H436" s="14">
        <v>879.42832633404271</v>
      </c>
      <c r="I436" s="14">
        <v>3061.3102492108637</v>
      </c>
      <c r="J436" s="14">
        <v>4934.5124203662317</v>
      </c>
      <c r="K436" s="14">
        <v>6616.872266358725</v>
      </c>
      <c r="L436" s="14">
        <v>9443.1909706851184</v>
      </c>
      <c r="M436" s="14">
        <v>14482.924648478524</v>
      </c>
      <c r="N436" s="14">
        <v>18027.558798728758</v>
      </c>
      <c r="O436" s="14">
        <v>21325.807976355256</v>
      </c>
    </row>
    <row r="437" spans="1:15" x14ac:dyDescent="0.3">
      <c r="A437" s="3" t="str">
        <f>INDEX('R1. Scenario specifications'!$C$11:$C$49,MATCH($B437,'R1. Scenario specifications'!$A$11:$A$49,0))</f>
        <v>Current 1.75DS, 2020 start, 'Expect the Unexpected' but with cheap energy efficiency</v>
      </c>
      <c r="B437" s="3" t="s">
        <v>41</v>
      </c>
      <c r="C437" s="3" t="s">
        <v>71</v>
      </c>
      <c r="D437" s="3" t="s">
        <v>259</v>
      </c>
      <c r="E437" s="14">
        <v>11.2241111111111</v>
      </c>
      <c r="F437" s="14">
        <v>12.249511111111101</v>
      </c>
      <c r="G437" s="14">
        <v>13.0611055551111</v>
      </c>
      <c r="H437" s="14">
        <v>13.059505551511098</v>
      </c>
      <c r="I437" s="14">
        <v>13.061351014222497</v>
      </c>
      <c r="J437" s="14">
        <v>13.077835493553415</v>
      </c>
      <c r="K437" s="14">
        <v>13.164954146497212</v>
      </c>
      <c r="L437" s="14">
        <v>13.376113419869991</v>
      </c>
      <c r="M437" s="14">
        <v>14.400320818402184</v>
      </c>
      <c r="N437" s="14">
        <v>14.397920818402184</v>
      </c>
      <c r="O437" s="14">
        <v>14.395520818402185</v>
      </c>
    </row>
    <row r="438" spans="1:15" x14ac:dyDescent="0.3">
      <c r="A438" s="3" t="str">
        <f>INDEX('R1. Scenario specifications'!$C$11:$C$49,MATCH($B438,'R1. Scenario specifications'!$A$11:$A$49,0))</f>
        <v>Current 1.75DS, 2020 start, 'Expect the Unexpected' but with cheap energy efficiency</v>
      </c>
      <c r="B438" s="3" t="s">
        <v>41</v>
      </c>
      <c r="C438" s="3" t="s">
        <v>75</v>
      </c>
      <c r="D438" s="3" t="s">
        <v>258</v>
      </c>
      <c r="E438" s="14">
        <v>0.31124745380476826</v>
      </c>
      <c r="F438" s="14">
        <v>0.28314462712947408</v>
      </c>
      <c r="G438" s="14">
        <v>0.23818010444900301</v>
      </c>
      <c r="H438" s="14">
        <v>0.15878673629933501</v>
      </c>
      <c r="I438" s="14">
        <v>7.9393368149667701E-2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</row>
    <row r="439" spans="1:15" x14ac:dyDescent="0.3">
      <c r="A439" s="3" t="str">
        <f>INDEX('R1. Scenario specifications'!$C$11:$C$49,MATCH($B439,'R1. Scenario specifications'!$A$11:$A$49,0))</f>
        <v>Current 1.75DS, 2020 start, 'Expect the Unexpected' but with cheap energy efficiency</v>
      </c>
      <c r="B439" s="3" t="s">
        <v>41</v>
      </c>
      <c r="C439" s="3" t="s">
        <v>72</v>
      </c>
      <c r="D439" s="3" t="s">
        <v>260</v>
      </c>
      <c r="E439" s="14">
        <v>217.76839471634247</v>
      </c>
      <c r="F439" s="14">
        <v>242.99857406704328</v>
      </c>
      <c r="G439" s="14">
        <v>365.36686102816424</v>
      </c>
      <c r="H439" s="14">
        <v>1600.206957272813</v>
      </c>
      <c r="I439" s="14">
        <v>3443.4275223678801</v>
      </c>
      <c r="J439" s="14">
        <v>4290.2504871789233</v>
      </c>
      <c r="K439" s="14">
        <v>5676.369815544751</v>
      </c>
      <c r="L439" s="14">
        <v>8220.4940937981701</v>
      </c>
      <c r="M439" s="14">
        <v>13092.11231474339</v>
      </c>
      <c r="N439" s="14">
        <v>17442.486692742586</v>
      </c>
      <c r="O439" s="14">
        <v>21629.826372133677</v>
      </c>
    </row>
    <row r="440" spans="1:15" x14ac:dyDescent="0.3">
      <c r="A440" s="3" t="str">
        <f>INDEX('R1. Scenario specifications'!$C$11:$C$49,MATCH($B440,'R1. Scenario specifications'!$A$11:$A$49,0))</f>
        <v>Current 1.75DS, 2030 start, 'Expect the Unexpected' but with cheap energy efficiency</v>
      </c>
      <c r="B440" s="3" t="s">
        <v>42</v>
      </c>
      <c r="C440" s="3" t="s">
        <v>63</v>
      </c>
      <c r="D440" s="3" t="s">
        <v>253</v>
      </c>
      <c r="E440" s="14">
        <v>19.526838931037336</v>
      </c>
      <c r="F440" s="14">
        <v>26.141237482570887</v>
      </c>
      <c r="G440" s="14">
        <v>117.10981417316707</v>
      </c>
      <c r="H440" s="14">
        <v>412.30855682261659</v>
      </c>
      <c r="I440" s="14">
        <v>559.27625672169916</v>
      </c>
      <c r="J440" s="14">
        <v>464.96159725858854</v>
      </c>
      <c r="K440" s="14">
        <v>164.78192547028243</v>
      </c>
      <c r="L440" s="14">
        <v>8.3028878335569605</v>
      </c>
      <c r="M440" s="14">
        <v>0</v>
      </c>
      <c r="N440" s="14">
        <v>6.1561760877276104</v>
      </c>
      <c r="O440" s="14">
        <v>6.1561760877276104</v>
      </c>
    </row>
    <row r="441" spans="1:15" x14ac:dyDescent="0.3">
      <c r="A441" s="3" t="str">
        <f>INDEX('R1. Scenario specifications'!$C$11:$C$49,MATCH($B441,'R1. Scenario specifications'!$A$11:$A$49,0))</f>
        <v>Current 1.75DS, 2030 start, 'Expect the Unexpected' but with cheap energy efficiency</v>
      </c>
      <c r="B441" s="3" t="s">
        <v>42</v>
      </c>
      <c r="C441" s="3" t="s">
        <v>73</v>
      </c>
      <c r="D441" s="3" t="s">
        <v>253</v>
      </c>
      <c r="E441" s="14">
        <v>0</v>
      </c>
      <c r="F441" s="14">
        <v>0</v>
      </c>
      <c r="G441" s="14">
        <v>0</v>
      </c>
      <c r="H441" s="14">
        <v>0</v>
      </c>
      <c r="I441" s="14">
        <v>14.51976189512888</v>
      </c>
      <c r="J441" s="14">
        <v>222.56708333045586</v>
      </c>
      <c r="K441" s="14">
        <v>1334.285503926948</v>
      </c>
      <c r="L441" s="14">
        <v>2439.873708633716</v>
      </c>
      <c r="M441" s="14">
        <v>2687.154266305874</v>
      </c>
      <c r="N441" s="14">
        <v>2964.9748957465008</v>
      </c>
      <c r="O441" s="14">
        <v>3256.6042804010021</v>
      </c>
    </row>
    <row r="442" spans="1:15" x14ac:dyDescent="0.3">
      <c r="A442" s="3" t="str">
        <f>INDEX('R1. Scenario specifications'!$C$11:$C$49,MATCH($B442,'R1. Scenario specifications'!$A$11:$A$49,0))</f>
        <v>Current 1.75DS, 2030 start, 'Expect the Unexpected' but with cheap energy efficiency</v>
      </c>
      <c r="B442" s="3" t="s">
        <v>42</v>
      </c>
      <c r="C442" s="3" t="s">
        <v>64</v>
      </c>
      <c r="D442" s="3" t="s">
        <v>254</v>
      </c>
      <c r="E442" s="14">
        <v>1633.0249332809897</v>
      </c>
      <c r="F442" s="14">
        <v>1804.9999999999993</v>
      </c>
      <c r="G442" s="14">
        <v>1804.9999999999993</v>
      </c>
      <c r="H442" s="14">
        <v>1458.8285858367421</v>
      </c>
      <c r="I442" s="14">
        <v>457.93883170883436</v>
      </c>
      <c r="J442" s="14">
        <v>16.396787724521602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</row>
    <row r="443" spans="1:15" x14ac:dyDescent="0.3">
      <c r="A443" s="3" t="str">
        <f>INDEX('R1. Scenario specifications'!$C$11:$C$49,MATCH($B443,'R1. Scenario specifications'!$A$11:$A$49,0))</f>
        <v>Current 1.75DS, 2030 start, 'Expect the Unexpected' but with cheap energy efficiency</v>
      </c>
      <c r="B443" s="3" t="s">
        <v>42</v>
      </c>
      <c r="C443" s="3" t="s">
        <v>65</v>
      </c>
      <c r="D443" s="3" t="s">
        <v>255</v>
      </c>
      <c r="E443" s="14">
        <v>1008.6224302831477</v>
      </c>
      <c r="F443" s="14">
        <v>1634.5557819505236</v>
      </c>
      <c r="G443" s="14">
        <v>2111.6960266729702</v>
      </c>
      <c r="H443" s="14">
        <v>1960.1606269560627</v>
      </c>
      <c r="I443" s="14">
        <v>1102.8401059607068</v>
      </c>
      <c r="J443" s="14">
        <v>419.58493249383417</v>
      </c>
      <c r="K443" s="14">
        <v>517.14789865488592</v>
      </c>
      <c r="L443" s="14">
        <v>350.54813791337875</v>
      </c>
      <c r="M443" s="14">
        <v>195.90728070253869</v>
      </c>
      <c r="N443" s="14">
        <v>202.68499444327949</v>
      </c>
      <c r="O443" s="14">
        <v>259.8009016995569</v>
      </c>
    </row>
    <row r="444" spans="1:15" x14ac:dyDescent="0.3">
      <c r="A444" s="3" t="str">
        <f>INDEX('R1. Scenario specifications'!$C$11:$C$49,MATCH($B444,'R1. Scenario specifications'!$A$11:$A$49,0))</f>
        <v>Current 1.75DS, 2030 start, 'Expect the Unexpected' but with cheap energy efficiency</v>
      </c>
      <c r="B444" s="3" t="s">
        <v>42</v>
      </c>
      <c r="C444" s="3" t="s">
        <v>74</v>
      </c>
      <c r="D444" s="3" t="s">
        <v>255</v>
      </c>
      <c r="E444" s="14">
        <v>0</v>
      </c>
      <c r="F444" s="14">
        <v>0</v>
      </c>
      <c r="G444" s="14">
        <v>0</v>
      </c>
      <c r="H444" s="14">
        <v>0</v>
      </c>
      <c r="I444" s="14">
        <v>0.48628310487112297</v>
      </c>
      <c r="J444" s="14">
        <v>10.12317380840979</v>
      </c>
      <c r="K444" s="14">
        <v>84.43576093583647</v>
      </c>
      <c r="L444" s="14">
        <v>164.10673092483137</v>
      </c>
      <c r="M444" s="14">
        <v>325.63678180324121</v>
      </c>
      <c r="N444" s="14">
        <v>548.10134964142935</v>
      </c>
      <c r="O444" s="14">
        <v>606.22041490303218</v>
      </c>
    </row>
    <row r="445" spans="1:15" x14ac:dyDescent="0.3">
      <c r="A445" s="3" t="str">
        <f>INDEX('R1. Scenario specifications'!$C$11:$C$49,MATCH($B445,'R1. Scenario specifications'!$A$11:$A$49,0))</f>
        <v>Current 1.75DS, 2030 start, 'Expect the Unexpected' but with cheap energy efficiency</v>
      </c>
      <c r="B445" s="3" t="s">
        <v>42</v>
      </c>
      <c r="C445" s="3" t="s">
        <v>66</v>
      </c>
      <c r="D445" s="3" t="s">
        <v>258</v>
      </c>
      <c r="E445" s="14">
        <v>31.122062759818384</v>
      </c>
      <c r="F445" s="14">
        <v>28.670816918420648</v>
      </c>
      <c r="G445" s="14">
        <v>113.13800421894352</v>
      </c>
      <c r="H445" s="14">
        <v>158.43269338625092</v>
      </c>
      <c r="I445" s="14">
        <v>204.59553774524738</v>
      </c>
      <c r="J445" s="14">
        <v>304.99399346990265</v>
      </c>
      <c r="K445" s="14">
        <v>569.73668320226363</v>
      </c>
      <c r="L445" s="14">
        <v>531.8468039774117</v>
      </c>
      <c r="M445" s="14">
        <v>573.70550904351103</v>
      </c>
      <c r="N445" s="14">
        <v>605.6565918034072</v>
      </c>
      <c r="O445" s="14">
        <v>619.12261292131507</v>
      </c>
    </row>
    <row r="446" spans="1:15" x14ac:dyDescent="0.3">
      <c r="A446" s="3" t="str">
        <f>INDEX('R1. Scenario specifications'!$C$11:$C$49,MATCH($B446,'R1. Scenario specifications'!$A$11:$A$49,0))</f>
        <v>Current 1.75DS, 2030 start, 'Expect the Unexpected' but with cheap energy efficiency</v>
      </c>
      <c r="B446" s="3" t="s">
        <v>42</v>
      </c>
      <c r="C446" s="3" t="s">
        <v>67</v>
      </c>
      <c r="D446" s="3" t="s">
        <v>256</v>
      </c>
      <c r="E446" s="14">
        <v>738.24098154394619</v>
      </c>
      <c r="F446" s="14">
        <v>744.22477031191352</v>
      </c>
      <c r="G446" s="14">
        <v>999.8328246673068</v>
      </c>
      <c r="H446" s="14">
        <v>1153.8656291758321</v>
      </c>
      <c r="I446" s="14">
        <v>1315.1389770173328</v>
      </c>
      <c r="J446" s="14">
        <v>1763.5629099713301</v>
      </c>
      <c r="K446" s="14">
        <v>2048.1845343058912</v>
      </c>
      <c r="L446" s="14">
        <v>2108.1733275669085</v>
      </c>
      <c r="M446" s="14">
        <v>2380.1252582275474</v>
      </c>
      <c r="N446" s="14">
        <v>2701.2807306322275</v>
      </c>
      <c r="O446" s="14">
        <v>2814.7174516092987</v>
      </c>
    </row>
    <row r="447" spans="1:15" x14ac:dyDescent="0.3">
      <c r="A447" s="3" t="str">
        <f>INDEX('R1. Scenario specifications'!$C$11:$C$49,MATCH($B447,'R1. Scenario specifications'!$A$11:$A$49,0))</f>
        <v>Current 1.75DS, 2030 start, 'Expect the Unexpected' but with cheap energy efficiency</v>
      </c>
      <c r="B447" s="3" t="s">
        <v>42</v>
      </c>
      <c r="C447" s="3" t="s">
        <v>68</v>
      </c>
      <c r="D447" s="3" t="s">
        <v>257</v>
      </c>
      <c r="E447" s="14">
        <v>381.69394199846289</v>
      </c>
      <c r="F447" s="14">
        <v>393.99999999999972</v>
      </c>
      <c r="G447" s="14">
        <v>647.54384646462074</v>
      </c>
      <c r="H447" s="14">
        <v>599.60750408611364</v>
      </c>
      <c r="I447" s="14">
        <v>574.22438013504609</v>
      </c>
      <c r="J447" s="14">
        <v>862.96316687718218</v>
      </c>
      <c r="K447" s="14">
        <v>1116.5095271510449</v>
      </c>
      <c r="L447" s="14">
        <v>1199.6592345112535</v>
      </c>
      <c r="M447" s="14">
        <v>1315.3232317150787</v>
      </c>
      <c r="N447" s="14">
        <v>1403.7777391111124</v>
      </c>
      <c r="O447" s="14">
        <v>1466.629122991541</v>
      </c>
    </row>
    <row r="448" spans="1:15" x14ac:dyDescent="0.3">
      <c r="A448" s="3" t="str">
        <f>INDEX('R1. Scenario specifications'!$C$11:$C$49,MATCH($B448,'R1. Scenario specifications'!$A$11:$A$49,0))</f>
        <v>Current 1.75DS, 2030 start, 'Expect the Unexpected' but with cheap energy efficiency</v>
      </c>
      <c r="B448" s="3" t="s">
        <v>42</v>
      </c>
      <c r="C448" s="3" t="s">
        <v>69</v>
      </c>
      <c r="D448" s="3" t="s">
        <v>258</v>
      </c>
      <c r="E448" s="14">
        <v>430.81063106061174</v>
      </c>
      <c r="F448" s="14">
        <v>452.4364981864552</v>
      </c>
      <c r="G448" s="14">
        <v>452.8330666776244</v>
      </c>
      <c r="H448" s="14">
        <v>256.83855764560741</v>
      </c>
      <c r="I448" s="14">
        <v>147.19297090468521</v>
      </c>
      <c r="J448" s="14">
        <v>23.240809563695422</v>
      </c>
      <c r="K448" s="14">
        <v>11.455180844087771</v>
      </c>
      <c r="L448" s="14">
        <v>100.72850159648826</v>
      </c>
      <c r="M448" s="14">
        <v>129.02761449223695</v>
      </c>
      <c r="N448" s="14">
        <v>71.315569240574447</v>
      </c>
      <c r="O448" s="14">
        <v>155.3204101969317</v>
      </c>
    </row>
    <row r="449" spans="1:15" x14ac:dyDescent="0.3">
      <c r="A449" s="3" t="str">
        <f>INDEX('R1. Scenario specifications'!$C$11:$C$49,MATCH($B449,'R1. Scenario specifications'!$A$11:$A$49,0))</f>
        <v>Current 1.75DS, 2030 start, 'Expect the Unexpected' but with cheap energy efficiency</v>
      </c>
      <c r="B449" s="3" t="s">
        <v>42</v>
      </c>
      <c r="C449" s="3" t="s">
        <v>70</v>
      </c>
      <c r="D449" s="3" t="s">
        <v>259</v>
      </c>
      <c r="E449" s="14">
        <v>13.930776255707762</v>
      </c>
      <c r="F449" s="14">
        <v>96.560908546679059</v>
      </c>
      <c r="G449" s="14">
        <v>193.62720812488871</v>
      </c>
      <c r="H449" s="14">
        <v>564.29121895346805</v>
      </c>
      <c r="I449" s="14">
        <v>2297.9217900363428</v>
      </c>
      <c r="J449" s="14">
        <v>5100.0697071225395</v>
      </c>
      <c r="K449" s="14">
        <v>7917.5770122447284</v>
      </c>
      <c r="L449" s="14">
        <v>9731.7622891323699</v>
      </c>
      <c r="M449" s="14">
        <v>13322.268896781756</v>
      </c>
      <c r="N449" s="14">
        <v>17189.596755743085</v>
      </c>
      <c r="O449" s="14">
        <v>20164.242283461135</v>
      </c>
    </row>
    <row r="450" spans="1:15" x14ac:dyDescent="0.3">
      <c r="A450" s="3" t="str">
        <f>INDEX('R1. Scenario specifications'!$C$11:$C$49,MATCH($B450,'R1. Scenario specifications'!$A$11:$A$49,0))</f>
        <v>Current 1.75DS, 2030 start, 'Expect the Unexpected' but with cheap energy efficiency</v>
      </c>
      <c r="B450" s="3" t="s">
        <v>42</v>
      </c>
      <c r="C450" s="3" t="s">
        <v>71</v>
      </c>
      <c r="D450" s="3" t="s">
        <v>259</v>
      </c>
      <c r="E450" s="14">
        <v>11.2241111111111</v>
      </c>
      <c r="F450" s="14">
        <v>12.249511111111101</v>
      </c>
      <c r="G450" s="14">
        <v>13.0611055551111</v>
      </c>
      <c r="H450" s="14">
        <v>13.059905555111095</v>
      </c>
      <c r="I450" s="14">
        <v>13.246921203614319</v>
      </c>
      <c r="J450" s="14">
        <v>14.159488014954103</v>
      </c>
      <c r="K450" s="14">
        <v>18.552530996207619</v>
      </c>
      <c r="L450" s="14">
        <v>18.549512615537164</v>
      </c>
      <c r="M450" s="14">
        <v>18.546433900313353</v>
      </c>
      <c r="N450" s="14">
        <v>18.543633900313356</v>
      </c>
      <c r="O450" s="14">
        <v>18.540833900313359</v>
      </c>
    </row>
    <row r="451" spans="1:15" x14ac:dyDescent="0.3">
      <c r="A451" s="3" t="str">
        <f>INDEX('R1. Scenario specifications'!$C$11:$C$49,MATCH($B451,'R1. Scenario specifications'!$A$11:$A$49,0))</f>
        <v>Current 1.75DS, 2030 start, 'Expect the Unexpected' but with cheap energy efficiency</v>
      </c>
      <c r="B451" s="3" t="s">
        <v>42</v>
      </c>
      <c r="C451" s="3" t="s">
        <v>75</v>
      </c>
      <c r="D451" s="3" t="s">
        <v>258</v>
      </c>
      <c r="E451" s="14">
        <v>0.31124745380476826</v>
      </c>
      <c r="F451" s="14">
        <v>0.28314462712947408</v>
      </c>
      <c r="G451" s="14">
        <v>0.23818010444900301</v>
      </c>
      <c r="H451" s="14">
        <v>0.15878673629933501</v>
      </c>
      <c r="I451" s="14">
        <v>7.9393368149667701E-2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</row>
    <row r="452" spans="1:15" x14ac:dyDescent="0.3">
      <c r="A452" s="3" t="str">
        <f>INDEX('R1. Scenario specifications'!$C$11:$C$49,MATCH($B452,'R1. Scenario specifications'!$A$11:$A$49,0))</f>
        <v>Current 1.75DS, 2030 start, 'Expect the Unexpected' but with cheap energy efficiency</v>
      </c>
      <c r="B452" s="3" t="s">
        <v>42</v>
      </c>
      <c r="C452" s="3" t="s">
        <v>72</v>
      </c>
      <c r="D452" s="3" t="s">
        <v>260</v>
      </c>
      <c r="E452" s="14">
        <v>217.76839471634247</v>
      </c>
      <c r="F452" s="14">
        <v>242.99857406704328</v>
      </c>
      <c r="G452" s="14">
        <v>365.36686102816424</v>
      </c>
      <c r="H452" s="14">
        <v>1381.7602614741115</v>
      </c>
      <c r="I452" s="14">
        <v>3354.7361596974565</v>
      </c>
      <c r="J452" s="14">
        <v>4335.6585370699459</v>
      </c>
      <c r="K452" s="14">
        <v>6878.7802535965748</v>
      </c>
      <c r="L452" s="14">
        <v>8049.255692763717</v>
      </c>
      <c r="M452" s="14">
        <v>11821.785348513376</v>
      </c>
      <c r="N452" s="14">
        <v>16646.907803769987</v>
      </c>
      <c r="O452" s="14">
        <v>20545.344156297026</v>
      </c>
    </row>
    <row r="453" spans="1:15" x14ac:dyDescent="0.3">
      <c r="A453" s="3" t="str">
        <f>INDEX('R1. Scenario specifications'!$C$11:$C$49,MATCH($B453,'R1. Scenario specifications'!$A$11:$A$49,0))</f>
        <v>Current 1.75DS, 2020 start, 'Expect the Unexpected' but with most conservative biomass CCS / NET technology cost assumptions</v>
      </c>
      <c r="B453" s="3" t="s">
        <v>43</v>
      </c>
      <c r="C453" s="3" t="s">
        <v>63</v>
      </c>
      <c r="D453" s="3" t="s">
        <v>253</v>
      </c>
      <c r="E453" s="14">
        <v>19.526838931037336</v>
      </c>
      <c r="F453" s="14">
        <v>26.141237482570887</v>
      </c>
      <c r="G453" s="14">
        <v>117.10981417316707</v>
      </c>
      <c r="H453" s="14">
        <v>458.20405529841196</v>
      </c>
      <c r="I453" s="14">
        <v>474.04407243134955</v>
      </c>
      <c r="J453" s="14">
        <v>371.42652513468209</v>
      </c>
      <c r="K453" s="14">
        <v>27.104444706764042</v>
      </c>
      <c r="L453" s="14">
        <v>4.8669658680469396</v>
      </c>
      <c r="M453" s="14">
        <v>6.4467962723852601</v>
      </c>
      <c r="N453" s="14">
        <v>6.2367688711651201</v>
      </c>
      <c r="O453" s="14">
        <v>6.0032897681971198</v>
      </c>
    </row>
    <row r="454" spans="1:15" x14ac:dyDescent="0.3">
      <c r="A454" s="3" t="str">
        <f>INDEX('R1. Scenario specifications'!$C$11:$C$49,MATCH($B454,'R1. Scenario specifications'!$A$11:$A$49,0))</f>
        <v>Current 1.75DS, 2020 start, 'Expect the Unexpected' but with most conservative biomass CCS / NET technology cost assumptions</v>
      </c>
      <c r="B454" s="3" t="s">
        <v>43</v>
      </c>
      <c r="C454" s="3" t="s">
        <v>73</v>
      </c>
      <c r="D454" s="3" t="s">
        <v>253</v>
      </c>
      <c r="E454" s="14">
        <v>0</v>
      </c>
      <c r="F454" s="14">
        <v>0</v>
      </c>
      <c r="G454" s="14">
        <v>0</v>
      </c>
      <c r="H454" s="14">
        <v>12.688885271608294</v>
      </c>
      <c r="I454" s="14">
        <v>84.760636075929909</v>
      </c>
      <c r="J454" s="14">
        <v>382.99222306351214</v>
      </c>
      <c r="K454" s="14">
        <v>1321.1353190408611</v>
      </c>
      <c r="L454" s="14">
        <v>2351.3999423968053</v>
      </c>
      <c r="M454" s="14">
        <v>2852.9969461799146</v>
      </c>
      <c r="N454" s="14">
        <v>3232.3746707464211</v>
      </c>
      <c r="O454" s="14">
        <v>3480.8833009306877</v>
      </c>
    </row>
    <row r="455" spans="1:15" x14ac:dyDescent="0.3">
      <c r="A455" s="3" t="str">
        <f>INDEX('R1. Scenario specifications'!$C$11:$C$49,MATCH($B455,'R1. Scenario specifications'!$A$11:$A$49,0))</f>
        <v>Current 1.75DS, 2020 start, 'Expect the Unexpected' but with most conservative biomass CCS / NET technology cost assumptions</v>
      </c>
      <c r="B455" s="3" t="s">
        <v>43</v>
      </c>
      <c r="C455" s="3" t="s">
        <v>64</v>
      </c>
      <c r="D455" s="3" t="s">
        <v>254</v>
      </c>
      <c r="E455" s="14">
        <v>1633.0249332809897</v>
      </c>
      <c r="F455" s="14">
        <v>1804.9999999999993</v>
      </c>
      <c r="G455" s="14">
        <v>1804.9999999999993</v>
      </c>
      <c r="H455" s="14">
        <v>1442.4317981122206</v>
      </c>
      <c r="I455" s="14">
        <v>441.54204398431278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</row>
    <row r="456" spans="1:15" x14ac:dyDescent="0.3">
      <c r="A456" s="3" t="str">
        <f>INDEX('R1. Scenario specifications'!$C$11:$C$49,MATCH($B456,'R1. Scenario specifications'!$A$11:$A$49,0))</f>
        <v>Current 1.75DS, 2020 start, 'Expect the Unexpected' but with most conservative biomass CCS / NET technology cost assumptions</v>
      </c>
      <c r="B456" s="3" t="s">
        <v>43</v>
      </c>
      <c r="C456" s="3" t="s">
        <v>65</v>
      </c>
      <c r="D456" s="3" t="s">
        <v>255</v>
      </c>
      <c r="E456" s="14">
        <v>1008.6224302831477</v>
      </c>
      <c r="F456" s="14">
        <v>1634.5557819505236</v>
      </c>
      <c r="G456" s="14">
        <v>2111.6960266729702</v>
      </c>
      <c r="H456" s="14">
        <v>1993.5055768490092</v>
      </c>
      <c r="I456" s="14">
        <v>1074.6807604179928</v>
      </c>
      <c r="J456" s="14">
        <v>778.32422346941792</v>
      </c>
      <c r="K456" s="14">
        <v>834.95192540102823</v>
      </c>
      <c r="L456" s="14">
        <v>789.04564582289618</v>
      </c>
      <c r="M456" s="14">
        <v>216.2243710086118</v>
      </c>
      <c r="N456" s="14">
        <v>297.72633727274109</v>
      </c>
      <c r="O456" s="14">
        <v>331.84903039511511</v>
      </c>
    </row>
    <row r="457" spans="1:15" x14ac:dyDescent="0.3">
      <c r="A457" s="3" t="str">
        <f>INDEX('R1. Scenario specifications'!$C$11:$C$49,MATCH($B457,'R1. Scenario specifications'!$A$11:$A$49,0))</f>
        <v>Current 1.75DS, 2020 start, 'Expect the Unexpected' but with most conservative biomass CCS / NET technology cost assumptions</v>
      </c>
      <c r="B457" s="3" t="s">
        <v>43</v>
      </c>
      <c r="C457" s="3" t="s">
        <v>74</v>
      </c>
      <c r="D457" s="3" t="s">
        <v>255</v>
      </c>
      <c r="E457" s="14">
        <v>0</v>
      </c>
      <c r="F457" s="14">
        <v>0</v>
      </c>
      <c r="G457" s="14">
        <v>0</v>
      </c>
      <c r="H457" s="14">
        <v>1.0004029999999999</v>
      </c>
      <c r="I457" s="14">
        <v>2.5124276068414391</v>
      </c>
      <c r="J457" s="14">
        <v>75.397748118773052</v>
      </c>
      <c r="K457" s="14">
        <v>274.208438114633</v>
      </c>
      <c r="L457" s="14">
        <v>761.49437835902313</v>
      </c>
      <c r="M457" s="14">
        <v>1450.8174906795093</v>
      </c>
      <c r="N457" s="14">
        <v>1657.6277529253107</v>
      </c>
      <c r="O457" s="14">
        <v>1554.5740693004423</v>
      </c>
    </row>
    <row r="458" spans="1:15" x14ac:dyDescent="0.3">
      <c r="A458" s="3" t="str">
        <f>INDEX('R1. Scenario specifications'!$C$11:$C$49,MATCH($B458,'R1. Scenario specifications'!$A$11:$A$49,0))</f>
        <v>Current 1.75DS, 2020 start, 'Expect the Unexpected' but with most conservative biomass CCS / NET technology cost assumptions</v>
      </c>
      <c r="B458" s="3" t="s">
        <v>43</v>
      </c>
      <c r="C458" s="3" t="s">
        <v>66</v>
      </c>
      <c r="D458" s="3" t="s">
        <v>258</v>
      </c>
      <c r="E458" s="14">
        <v>31.122062759818384</v>
      </c>
      <c r="F458" s="14">
        <v>28.670816918420648</v>
      </c>
      <c r="G458" s="14">
        <v>113.13800421894352</v>
      </c>
      <c r="H458" s="14">
        <v>158.8032517201448</v>
      </c>
      <c r="I458" s="14">
        <v>220.34296624011392</v>
      </c>
      <c r="J458" s="14">
        <v>367.07514294949556</v>
      </c>
      <c r="K458" s="14">
        <v>455.4131801430338</v>
      </c>
      <c r="L458" s="14">
        <v>528.32048885367863</v>
      </c>
      <c r="M458" s="14">
        <v>736.59446469266197</v>
      </c>
      <c r="N458" s="14">
        <v>871.03251290505409</v>
      </c>
      <c r="O458" s="14">
        <v>943.18119556598344</v>
      </c>
    </row>
    <row r="459" spans="1:15" x14ac:dyDescent="0.3">
      <c r="A459" s="3" t="str">
        <f>INDEX('R1. Scenario specifications'!$C$11:$C$49,MATCH($B459,'R1. Scenario specifications'!$A$11:$A$49,0))</f>
        <v>Current 1.75DS, 2020 start, 'Expect the Unexpected' but with most conservative biomass CCS / NET technology cost assumptions</v>
      </c>
      <c r="B459" s="3" t="s">
        <v>43</v>
      </c>
      <c r="C459" s="3" t="s">
        <v>67</v>
      </c>
      <c r="D459" s="3" t="s">
        <v>256</v>
      </c>
      <c r="E459" s="14">
        <v>738.24098154394619</v>
      </c>
      <c r="F459" s="14">
        <v>744.22477031191352</v>
      </c>
      <c r="G459" s="14">
        <v>999.8328246673068</v>
      </c>
      <c r="H459" s="14">
        <v>1191.1661706237442</v>
      </c>
      <c r="I459" s="14">
        <v>1460.7203666643381</v>
      </c>
      <c r="J459" s="14">
        <v>1718.7042050289608</v>
      </c>
      <c r="K459" s="14">
        <v>1951.946867052839</v>
      </c>
      <c r="L459" s="14">
        <v>2132.2950896061584</v>
      </c>
      <c r="M459" s="14">
        <v>2780.6995818699652</v>
      </c>
      <c r="N459" s="14">
        <v>3043.4910956789349</v>
      </c>
      <c r="O459" s="14">
        <v>3173.8812846627234</v>
      </c>
    </row>
    <row r="460" spans="1:15" x14ac:dyDescent="0.3">
      <c r="A460" s="3" t="str">
        <f>INDEX('R1. Scenario specifications'!$C$11:$C$49,MATCH($B460,'R1. Scenario specifications'!$A$11:$A$49,0))</f>
        <v>Current 1.75DS, 2020 start, 'Expect the Unexpected' but with most conservative biomass CCS / NET technology cost assumptions</v>
      </c>
      <c r="B460" s="3" t="s">
        <v>43</v>
      </c>
      <c r="C460" s="3" t="s">
        <v>68</v>
      </c>
      <c r="D460" s="3" t="s">
        <v>257</v>
      </c>
      <c r="E460" s="14">
        <v>381.69394199846289</v>
      </c>
      <c r="F460" s="14">
        <v>393.99999999999972</v>
      </c>
      <c r="G460" s="14">
        <v>647.54384646462074</v>
      </c>
      <c r="H460" s="14">
        <v>599.60750408611364</v>
      </c>
      <c r="I460" s="14">
        <v>646.61427786131219</v>
      </c>
      <c r="J460" s="14">
        <v>923.70412190055674</v>
      </c>
      <c r="K460" s="14">
        <v>1091.9089344719241</v>
      </c>
      <c r="L460" s="14">
        <v>1240.6437215489448</v>
      </c>
      <c r="M460" s="14">
        <v>1357.9504725605188</v>
      </c>
      <c r="N460" s="14">
        <v>1435.2930515598571</v>
      </c>
      <c r="O460" s="14">
        <v>1443.6528712788804</v>
      </c>
    </row>
    <row r="461" spans="1:15" x14ac:dyDescent="0.3">
      <c r="A461" s="3" t="str">
        <f>INDEX('R1. Scenario specifications'!$C$11:$C$49,MATCH($B461,'R1. Scenario specifications'!$A$11:$A$49,0))</f>
        <v>Current 1.75DS, 2020 start, 'Expect the Unexpected' but with most conservative biomass CCS / NET technology cost assumptions</v>
      </c>
      <c r="B461" s="3" t="s">
        <v>43</v>
      </c>
      <c r="C461" s="3" t="s">
        <v>69</v>
      </c>
      <c r="D461" s="3" t="s">
        <v>258</v>
      </c>
      <c r="E461" s="14">
        <v>430.81063106061174</v>
      </c>
      <c r="F461" s="14">
        <v>452.4364981864552</v>
      </c>
      <c r="G461" s="14">
        <v>452.8330666776244</v>
      </c>
      <c r="H461" s="14">
        <v>256.87495538494204</v>
      </c>
      <c r="I461" s="14">
        <v>138.8293898185149</v>
      </c>
      <c r="J461" s="14">
        <v>15.776366698134463</v>
      </c>
      <c r="K461" s="14">
        <v>23.206203844360161</v>
      </c>
      <c r="L461" s="14">
        <v>83.8015105039498</v>
      </c>
      <c r="M461" s="14">
        <v>102.49130755269495</v>
      </c>
      <c r="N461" s="14">
        <v>151.24737883566593</v>
      </c>
      <c r="O461" s="14">
        <v>219.23394226019457</v>
      </c>
    </row>
    <row r="462" spans="1:15" x14ac:dyDescent="0.3">
      <c r="A462" s="3" t="str">
        <f>INDEX('R1. Scenario specifications'!$C$11:$C$49,MATCH($B462,'R1. Scenario specifications'!$A$11:$A$49,0))</f>
        <v>Current 1.75DS, 2020 start, 'Expect the Unexpected' but with most conservative biomass CCS / NET technology cost assumptions</v>
      </c>
      <c r="B462" s="3" t="s">
        <v>43</v>
      </c>
      <c r="C462" s="3" t="s">
        <v>70</v>
      </c>
      <c r="D462" s="3" t="s">
        <v>259</v>
      </c>
      <c r="E462" s="14">
        <v>13.930776255707762</v>
      </c>
      <c r="F462" s="14">
        <v>96.560908546679059</v>
      </c>
      <c r="G462" s="14">
        <v>193.62720812488871</v>
      </c>
      <c r="H462" s="14">
        <v>901.78732667578311</v>
      </c>
      <c r="I462" s="14">
        <v>3340.7473640453559</v>
      </c>
      <c r="J462" s="14">
        <v>5447.5927794360123</v>
      </c>
      <c r="K462" s="14">
        <v>7345.1336088414191</v>
      </c>
      <c r="L462" s="14">
        <v>11539.83150889135</v>
      </c>
      <c r="M462" s="14">
        <v>18975.803987949199</v>
      </c>
      <c r="N462" s="14">
        <v>23651.000887912996</v>
      </c>
      <c r="O462" s="14">
        <v>25775.809759397394</v>
      </c>
    </row>
    <row r="463" spans="1:15" x14ac:dyDescent="0.3">
      <c r="A463" s="3" t="str">
        <f>INDEX('R1. Scenario specifications'!$C$11:$C$49,MATCH($B463,'R1. Scenario specifications'!$A$11:$A$49,0))</f>
        <v>Current 1.75DS, 2020 start, 'Expect the Unexpected' but with most conservative biomass CCS / NET technology cost assumptions</v>
      </c>
      <c r="B463" s="3" t="s">
        <v>43</v>
      </c>
      <c r="C463" s="3" t="s">
        <v>71</v>
      </c>
      <c r="D463" s="3" t="s">
        <v>259</v>
      </c>
      <c r="E463" s="14">
        <v>11.2241111111111</v>
      </c>
      <c r="F463" s="14">
        <v>12.249511111111101</v>
      </c>
      <c r="G463" s="14">
        <v>13.0611055551111</v>
      </c>
      <c r="H463" s="14">
        <v>13.059105551511097</v>
      </c>
      <c r="I463" s="14">
        <v>13.248646399949084</v>
      </c>
      <c r="J463" s="14">
        <v>14.166227656565098</v>
      </c>
      <c r="K463" s="14">
        <v>14.210843180860456</v>
      </c>
      <c r="L463" s="14">
        <v>58.681599883121237</v>
      </c>
      <c r="M463" s="14">
        <v>60.124213566994236</v>
      </c>
      <c r="N463" s="14">
        <v>60.121813566994234</v>
      </c>
      <c r="O463" s="14">
        <v>60.11941356699424</v>
      </c>
    </row>
    <row r="464" spans="1:15" x14ac:dyDescent="0.3">
      <c r="A464" s="3" t="str">
        <f>INDEX('R1. Scenario specifications'!$C$11:$C$49,MATCH($B464,'R1. Scenario specifications'!$A$11:$A$49,0))</f>
        <v>Current 1.75DS, 2020 start, 'Expect the Unexpected' but with most conservative biomass CCS / NET technology cost assumptions</v>
      </c>
      <c r="B464" s="3" t="s">
        <v>43</v>
      </c>
      <c r="C464" s="3" t="s">
        <v>75</v>
      </c>
      <c r="D464" s="3" t="s">
        <v>258</v>
      </c>
      <c r="E464" s="14">
        <v>0.31124745380476826</v>
      </c>
      <c r="F464" s="14">
        <v>0.28314462712947408</v>
      </c>
      <c r="G464" s="14">
        <v>0.23818010444900301</v>
      </c>
      <c r="H464" s="14">
        <v>0.15878673629933501</v>
      </c>
      <c r="I464" s="14">
        <v>7.9393368149667701E-2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</row>
    <row r="465" spans="1:15" x14ac:dyDescent="0.3">
      <c r="A465" s="3" t="str">
        <f>INDEX('R1. Scenario specifications'!$C$11:$C$49,MATCH($B465,'R1. Scenario specifications'!$A$11:$A$49,0))</f>
        <v>Current 1.75DS, 2020 start, 'Expect the Unexpected' but with most conservative biomass CCS / NET technology cost assumptions</v>
      </c>
      <c r="B465" s="3" t="s">
        <v>43</v>
      </c>
      <c r="C465" s="3" t="s">
        <v>72</v>
      </c>
      <c r="D465" s="3" t="s">
        <v>260</v>
      </c>
      <c r="E465" s="14">
        <v>217.76839471634247</v>
      </c>
      <c r="F465" s="14">
        <v>242.99857406704328</v>
      </c>
      <c r="G465" s="14">
        <v>365.36686102816424</v>
      </c>
      <c r="H465" s="14">
        <v>1686.2582279773997</v>
      </c>
      <c r="I465" s="14">
        <v>3594.0749745177309</v>
      </c>
      <c r="J465" s="14">
        <v>4872.8970742606389</v>
      </c>
      <c r="K465" s="14">
        <v>6908.6256991000191</v>
      </c>
      <c r="L465" s="14">
        <v>10046.095167422412</v>
      </c>
      <c r="M465" s="14">
        <v>16491.541262549781</v>
      </c>
      <c r="N465" s="14">
        <v>22273.998617212048</v>
      </c>
      <c r="O465" s="14">
        <v>26457.410176187619</v>
      </c>
    </row>
    <row r="466" spans="1:15" x14ac:dyDescent="0.3">
      <c r="A466" s="3" t="str">
        <f>INDEX('R1. Scenario specifications'!$C$11:$C$49,MATCH($B466,'R1. Scenario specifications'!$A$11:$A$49,0))</f>
        <v>Current 2DS, 2020 start, 'Expect the unexpceted' but with expensive renewables (cheap CCS)</v>
      </c>
      <c r="B466" s="3" t="s">
        <v>1026</v>
      </c>
      <c r="C466" s="3" t="s">
        <v>63</v>
      </c>
      <c r="D466" s="3" t="s">
        <v>253</v>
      </c>
      <c r="E466" s="14">
        <v>19.526838931037336</v>
      </c>
      <c r="F466" s="14">
        <v>26.141237482570887</v>
      </c>
      <c r="G466" s="14">
        <v>117.10981417316707</v>
      </c>
      <c r="H466" s="14">
        <v>506.53305555168924</v>
      </c>
      <c r="I466" s="14">
        <v>663.77873082690223</v>
      </c>
      <c r="J466" s="14">
        <v>673.14126415073338</v>
      </c>
      <c r="K466" s="14">
        <v>302.71914096793085</v>
      </c>
      <c r="L466" s="14">
        <v>138.11812533330124</v>
      </c>
      <c r="M466" s="14">
        <v>32.546820286523129</v>
      </c>
      <c r="N466" s="14">
        <v>13.586971403221101</v>
      </c>
      <c r="O466" s="14">
        <v>11.561015202369164</v>
      </c>
    </row>
    <row r="467" spans="1:15" x14ac:dyDescent="0.3">
      <c r="A467" s="3" t="str">
        <f>INDEX('R1. Scenario specifications'!$C$11:$C$49,MATCH($B467,'R1. Scenario specifications'!$A$11:$A$49,0))</f>
        <v>Current 2DS, 2020 start, 'Expect the unexpceted' but with expensive renewables (cheap CCS)</v>
      </c>
      <c r="B467" s="3" t="s">
        <v>1026</v>
      </c>
      <c r="C467" s="3" t="s">
        <v>73</v>
      </c>
      <c r="D467" s="3" t="s">
        <v>253</v>
      </c>
      <c r="E467" s="14">
        <v>0</v>
      </c>
      <c r="F467" s="14">
        <v>0</v>
      </c>
      <c r="G467" s="14">
        <v>0</v>
      </c>
      <c r="H467" s="14">
        <v>6.0315489501777275</v>
      </c>
      <c r="I467" s="14">
        <v>49.03814799358338</v>
      </c>
      <c r="J467" s="14">
        <v>253.95582864825025</v>
      </c>
      <c r="K467" s="14">
        <v>998.34909133177064</v>
      </c>
      <c r="L467" s="14">
        <v>1846.0632603872159</v>
      </c>
      <c r="M467" s="14">
        <v>2202.3791797886274</v>
      </c>
      <c r="N467" s="14">
        <v>2649.1883830996126</v>
      </c>
      <c r="O467" s="14">
        <v>3090.7968223078901</v>
      </c>
    </row>
    <row r="468" spans="1:15" x14ac:dyDescent="0.3">
      <c r="A468" s="3" t="str">
        <f>INDEX('R1. Scenario specifications'!$C$11:$C$49,MATCH($B468,'R1. Scenario specifications'!$A$11:$A$49,0))</f>
        <v>Current 2DS, 2020 start, 'Expect the unexpceted' but with expensive renewables (cheap CCS)</v>
      </c>
      <c r="B468" s="3" t="s">
        <v>1026</v>
      </c>
      <c r="C468" s="3" t="s">
        <v>64</v>
      </c>
      <c r="D468" s="3" t="s">
        <v>254</v>
      </c>
      <c r="E468" s="14">
        <v>1633.0249332809897</v>
      </c>
      <c r="F468" s="14">
        <v>1804.9999999999993</v>
      </c>
      <c r="G468" s="14">
        <v>1804.9999999999993</v>
      </c>
      <c r="H468" s="14">
        <v>1442.4317981122206</v>
      </c>
      <c r="I468" s="14">
        <v>441.54204398431278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</row>
    <row r="469" spans="1:15" x14ac:dyDescent="0.3">
      <c r="A469" s="3" t="str">
        <f>INDEX('R1. Scenario specifications'!$C$11:$C$49,MATCH($B469,'R1. Scenario specifications'!$A$11:$A$49,0))</f>
        <v>Current 2DS, 2020 start, 'Expect the unexpceted' but with expensive renewables (cheap CCS)</v>
      </c>
      <c r="B469" s="3" t="s">
        <v>1026</v>
      </c>
      <c r="C469" s="3" t="s">
        <v>65</v>
      </c>
      <c r="D469" s="3" t="s">
        <v>255</v>
      </c>
      <c r="E469" s="14">
        <v>1008.6224302831477</v>
      </c>
      <c r="F469" s="14">
        <v>1634.5557819505236</v>
      </c>
      <c r="G469" s="14">
        <v>2111.6960266729702</v>
      </c>
      <c r="H469" s="14">
        <v>2017.979777004884</v>
      </c>
      <c r="I469" s="14">
        <v>1239.3547694159229</v>
      </c>
      <c r="J469" s="14">
        <v>854.51022114446994</v>
      </c>
      <c r="K469" s="14">
        <v>1133.3085994955002</v>
      </c>
      <c r="L469" s="14">
        <v>997.32036056877041</v>
      </c>
      <c r="M469" s="14">
        <v>619.92155989592538</v>
      </c>
      <c r="N469" s="14">
        <v>724.01309380019563</v>
      </c>
      <c r="O469" s="14">
        <v>858.00124605655128</v>
      </c>
    </row>
    <row r="470" spans="1:15" x14ac:dyDescent="0.3">
      <c r="A470" s="3" t="str">
        <f>INDEX('R1. Scenario specifications'!$C$11:$C$49,MATCH($B470,'R1. Scenario specifications'!$A$11:$A$49,0))</f>
        <v>Current 2DS, 2020 start, 'Expect the unexpceted' but with expensive renewables (cheap CCS)</v>
      </c>
      <c r="B470" s="3" t="s">
        <v>1026</v>
      </c>
      <c r="C470" s="3" t="s">
        <v>74</v>
      </c>
      <c r="D470" s="3" t="s">
        <v>255</v>
      </c>
      <c r="E470" s="14">
        <v>0</v>
      </c>
      <c r="F470" s="14">
        <v>0</v>
      </c>
      <c r="G470" s="14">
        <v>0</v>
      </c>
      <c r="H470" s="14">
        <v>7.5995772000000006</v>
      </c>
      <c r="I470" s="14">
        <v>20.040854524833914</v>
      </c>
      <c r="J470" s="14">
        <v>38.713014872377883</v>
      </c>
      <c r="K470" s="14">
        <v>64.274260259524738</v>
      </c>
      <c r="L470" s="14">
        <v>311.87041534014344</v>
      </c>
      <c r="M470" s="14">
        <v>657.34220715055176</v>
      </c>
      <c r="N470" s="14">
        <v>840.72465163184984</v>
      </c>
      <c r="O470" s="14">
        <v>1394.8171426178528</v>
      </c>
    </row>
    <row r="471" spans="1:15" x14ac:dyDescent="0.3">
      <c r="A471" s="3" t="str">
        <f>INDEX('R1. Scenario specifications'!$C$11:$C$49,MATCH($B471,'R1. Scenario specifications'!$A$11:$A$49,0))</f>
        <v>Current 2DS, 2020 start, 'Expect the unexpceted' but with expensive renewables (cheap CCS)</v>
      </c>
      <c r="B471" s="3" t="s">
        <v>1026</v>
      </c>
      <c r="C471" s="3" t="s">
        <v>66</v>
      </c>
      <c r="D471" s="3" t="s">
        <v>258</v>
      </c>
      <c r="E471" s="14">
        <v>31.122062759818384</v>
      </c>
      <c r="F471" s="14">
        <v>28.670816918420648</v>
      </c>
      <c r="G471" s="14">
        <v>113.13800421894352</v>
      </c>
      <c r="H471" s="14">
        <v>158.8032517201448</v>
      </c>
      <c r="I471" s="14">
        <v>205.33658921928395</v>
      </c>
      <c r="J471" s="14">
        <v>315.68186845425038</v>
      </c>
      <c r="K471" s="14">
        <v>636.10100845011186</v>
      </c>
      <c r="L471" s="14">
        <v>664.3700956698226</v>
      </c>
      <c r="M471" s="14">
        <v>722.18737467997175</v>
      </c>
      <c r="N471" s="14">
        <v>1040.1406972964201</v>
      </c>
      <c r="O471" s="14">
        <v>1071.9027644193632</v>
      </c>
    </row>
    <row r="472" spans="1:15" x14ac:dyDescent="0.3">
      <c r="A472" s="3" t="str">
        <f>INDEX('R1. Scenario specifications'!$C$11:$C$49,MATCH($B472,'R1. Scenario specifications'!$A$11:$A$49,0))</f>
        <v>Current 2DS, 2020 start, 'Expect the unexpceted' but with expensive renewables (cheap CCS)</v>
      </c>
      <c r="B472" s="3" t="s">
        <v>1026</v>
      </c>
      <c r="C472" s="3" t="s">
        <v>67</v>
      </c>
      <c r="D472" s="3" t="s">
        <v>256</v>
      </c>
      <c r="E472" s="14">
        <v>738.24098154394619</v>
      </c>
      <c r="F472" s="14">
        <v>744.22477031191352</v>
      </c>
      <c r="G472" s="14">
        <v>999.8328246673068</v>
      </c>
      <c r="H472" s="14">
        <v>1182.1166822352513</v>
      </c>
      <c r="I472" s="14">
        <v>1445.7268650607582</v>
      </c>
      <c r="J472" s="14">
        <v>1731.6397544716547</v>
      </c>
      <c r="K472" s="14">
        <v>1918.0237287814523</v>
      </c>
      <c r="L472" s="14">
        <v>2355.2145333615126</v>
      </c>
      <c r="M472" s="14">
        <v>2863.2806244523208</v>
      </c>
      <c r="N472" s="14">
        <v>3729.956872116039</v>
      </c>
      <c r="O472" s="14">
        <v>4360.0227627211125</v>
      </c>
    </row>
    <row r="473" spans="1:15" x14ac:dyDescent="0.3">
      <c r="A473" s="3" t="str">
        <f>INDEX('R1. Scenario specifications'!$C$11:$C$49,MATCH($B473,'R1. Scenario specifications'!$A$11:$A$49,0))</f>
        <v>Current 2DS, 2020 start, 'Expect the unexpceted' but with expensive renewables (cheap CCS)</v>
      </c>
      <c r="B473" s="3" t="s">
        <v>1026</v>
      </c>
      <c r="C473" s="3" t="s">
        <v>68</v>
      </c>
      <c r="D473" s="3" t="s">
        <v>257</v>
      </c>
      <c r="E473" s="14">
        <v>381.69394199846289</v>
      </c>
      <c r="F473" s="14">
        <v>393.99999999999972</v>
      </c>
      <c r="G473" s="14">
        <v>647.54384646462074</v>
      </c>
      <c r="H473" s="14">
        <v>599.60750408611364</v>
      </c>
      <c r="I473" s="14">
        <v>667.90753565333603</v>
      </c>
      <c r="J473" s="14">
        <v>932.75289370291705</v>
      </c>
      <c r="K473" s="14">
        <v>1096.1972289665559</v>
      </c>
      <c r="L473" s="14">
        <v>1238.7603418763322</v>
      </c>
      <c r="M473" s="14">
        <v>1308.0513493660073</v>
      </c>
      <c r="N473" s="14">
        <v>1435.2930515598571</v>
      </c>
      <c r="O473" s="14">
        <v>1482.4943388069476</v>
      </c>
    </row>
    <row r="474" spans="1:15" x14ac:dyDescent="0.3">
      <c r="A474" s="3" t="str">
        <f>INDEX('R1. Scenario specifications'!$C$11:$C$49,MATCH($B474,'R1. Scenario specifications'!$A$11:$A$49,0))</f>
        <v>Current 2DS, 2020 start, 'Expect the unexpceted' but with expensive renewables (cheap CCS)</v>
      </c>
      <c r="B474" s="3" t="s">
        <v>1026</v>
      </c>
      <c r="C474" s="3" t="s">
        <v>69</v>
      </c>
      <c r="D474" s="3" t="s">
        <v>258</v>
      </c>
      <c r="E474" s="14">
        <v>430.81063106061174</v>
      </c>
      <c r="F474" s="14">
        <v>452.4364981864552</v>
      </c>
      <c r="G474" s="14">
        <v>452.8330666776244</v>
      </c>
      <c r="H474" s="14">
        <v>254.48256718289451</v>
      </c>
      <c r="I474" s="14">
        <v>137.67237759935165</v>
      </c>
      <c r="J474" s="14">
        <v>18.555853113708032</v>
      </c>
      <c r="K474" s="14">
        <v>68.035722652931085</v>
      </c>
      <c r="L474" s="14">
        <v>75.97792725286898</v>
      </c>
      <c r="M474" s="14">
        <v>145.45276028417337</v>
      </c>
      <c r="N474" s="14">
        <v>319.86563783260834</v>
      </c>
      <c r="O474" s="14">
        <v>362.54469316024347</v>
      </c>
    </row>
    <row r="475" spans="1:15" x14ac:dyDescent="0.3">
      <c r="A475" s="3" t="str">
        <f>INDEX('R1. Scenario specifications'!$C$11:$C$49,MATCH($B475,'R1. Scenario specifications'!$A$11:$A$49,0))</f>
        <v>Current 2DS, 2020 start, 'Expect the unexpceted' but with expensive renewables (cheap CCS)</v>
      </c>
      <c r="B475" s="3" t="s">
        <v>1026</v>
      </c>
      <c r="C475" s="3" t="s">
        <v>70</v>
      </c>
      <c r="D475" s="3" t="s">
        <v>259</v>
      </c>
      <c r="E475" s="14">
        <v>13.930776255707762</v>
      </c>
      <c r="F475" s="14">
        <v>96.560908546679059</v>
      </c>
      <c r="G475" s="14">
        <v>193.62720812488871</v>
      </c>
      <c r="H475" s="14">
        <v>215.96698864622982</v>
      </c>
      <c r="I475" s="14">
        <v>215.96098864622982</v>
      </c>
      <c r="J475" s="14">
        <v>216.0263224145269</v>
      </c>
      <c r="K475" s="14">
        <v>219.01915373713331</v>
      </c>
      <c r="L475" s="14">
        <v>314.71764827035167</v>
      </c>
      <c r="M475" s="14">
        <v>477.03835177016992</v>
      </c>
      <c r="N475" s="14">
        <v>1841.1232324479342</v>
      </c>
      <c r="O475" s="14">
        <v>3358.5768651851927</v>
      </c>
    </row>
    <row r="476" spans="1:15" x14ac:dyDescent="0.3">
      <c r="A476" s="3" t="str">
        <f>INDEX('R1. Scenario specifications'!$C$11:$C$49,MATCH($B476,'R1. Scenario specifications'!$A$11:$A$49,0))</f>
        <v>Current 2DS, 2020 start, 'Expect the unexpceted' but with expensive renewables (cheap CCS)</v>
      </c>
      <c r="B476" s="3" t="s">
        <v>1026</v>
      </c>
      <c r="C476" s="3" t="s">
        <v>71</v>
      </c>
      <c r="D476" s="3" t="s">
        <v>259</v>
      </c>
      <c r="E476" s="14">
        <v>11.2241111111111</v>
      </c>
      <c r="F476" s="14">
        <v>12.249511111111101</v>
      </c>
      <c r="G476" s="14">
        <v>13.0611055551111</v>
      </c>
      <c r="H476" s="14">
        <v>13.249123668593382</v>
      </c>
      <c r="I476" s="14">
        <v>15.300765493205866</v>
      </c>
      <c r="J476" s="14">
        <v>24.030811972143091</v>
      </c>
      <c r="K476" s="14">
        <v>66.001005084883388</v>
      </c>
      <c r="L476" s="14">
        <v>267.74974045418736</v>
      </c>
      <c r="M476" s="14">
        <v>1013.2881218621052</v>
      </c>
      <c r="N476" s="14">
        <v>2253.2846452849217</v>
      </c>
      <c r="O476" s="14">
        <v>3067.1352914766035</v>
      </c>
    </row>
    <row r="477" spans="1:15" x14ac:dyDescent="0.3">
      <c r="A477" s="3" t="str">
        <f>INDEX('R1. Scenario specifications'!$C$11:$C$49,MATCH($B477,'R1. Scenario specifications'!$A$11:$A$49,0))</f>
        <v>Current 2DS, 2020 start, 'Expect the unexpceted' but with expensive renewables (cheap CCS)</v>
      </c>
      <c r="B477" s="3" t="s">
        <v>1026</v>
      </c>
      <c r="C477" s="3" t="s">
        <v>75</v>
      </c>
      <c r="D477" s="3" t="s">
        <v>258</v>
      </c>
      <c r="E477" s="14">
        <v>0.31124745380476826</v>
      </c>
      <c r="F477" s="14">
        <v>0.28314462712947408</v>
      </c>
      <c r="G477" s="14">
        <v>0.23818010444900301</v>
      </c>
      <c r="H477" s="14">
        <v>0.15878673629933501</v>
      </c>
      <c r="I477" s="14">
        <v>7.9393368149667701E-2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</row>
    <row r="478" spans="1:15" x14ac:dyDescent="0.3">
      <c r="A478" s="3" t="str">
        <f>INDEX('R1. Scenario specifications'!$C$11:$C$49,MATCH($B478,'R1. Scenario specifications'!$A$11:$A$49,0))</f>
        <v>Current 2DS, 2020 start, 'Expect the unexpceted' but with expensive renewables (cheap CCS)</v>
      </c>
      <c r="B478" s="3" t="s">
        <v>1026</v>
      </c>
      <c r="C478" s="3" t="s">
        <v>72</v>
      </c>
      <c r="D478" s="3" t="s">
        <v>260</v>
      </c>
      <c r="E478" s="14">
        <v>217.76839471634247</v>
      </c>
      <c r="F478" s="14">
        <v>242.99857406704328</v>
      </c>
      <c r="G478" s="14">
        <v>365.36686102816424</v>
      </c>
      <c r="H478" s="14">
        <v>1275.5382513626923</v>
      </c>
      <c r="I478" s="14">
        <v>2813.5278417792279</v>
      </c>
      <c r="J478" s="14">
        <v>3776.6496966856853</v>
      </c>
      <c r="K478" s="14">
        <v>5140.1707965273336</v>
      </c>
      <c r="L478" s="14">
        <v>6870.5998163524018</v>
      </c>
      <c r="M478" s="14">
        <v>9558.1413301000393</v>
      </c>
      <c r="N478" s="14">
        <v>14836.638247262365</v>
      </c>
      <c r="O478" s="14">
        <v>21052.601654481634</v>
      </c>
    </row>
    <row r="479" spans="1:15" x14ac:dyDescent="0.3">
      <c r="A479" s="3" t="str">
        <f>INDEX('R1. Scenario specifications'!$C$11:$C$49,MATCH($B479,'R1. Scenario specifications'!$A$11:$A$49,0))</f>
        <v>Current 2DS, 2030 start, 'Expect the Unexpected' but with cheap renewables</v>
      </c>
      <c r="B479" s="3" t="s">
        <v>44</v>
      </c>
      <c r="C479" s="3" t="s">
        <v>63</v>
      </c>
      <c r="D479" s="3" t="s">
        <v>253</v>
      </c>
      <c r="E479" s="14">
        <v>19.526838931037336</v>
      </c>
      <c r="F479" s="14">
        <v>26.141237482570887</v>
      </c>
      <c r="G479" s="14">
        <v>117.10981417316707</v>
      </c>
      <c r="H479" s="14">
        <v>412.30855682261659</v>
      </c>
      <c r="I479" s="14">
        <v>574.61433911922791</v>
      </c>
      <c r="J479" s="14">
        <v>576.58470770755821</v>
      </c>
      <c r="K479" s="14">
        <v>312.55754128327067</v>
      </c>
      <c r="L479" s="14">
        <v>140.74042124901587</v>
      </c>
      <c r="M479" s="14">
        <v>42.216888926373962</v>
      </c>
      <c r="N479" s="14">
        <v>6.0643835623550801</v>
      </c>
      <c r="O479" s="14">
        <v>6.0643835623550801</v>
      </c>
    </row>
    <row r="480" spans="1:15" x14ac:dyDescent="0.3">
      <c r="A480" s="3" t="str">
        <f>INDEX('R1. Scenario specifications'!$C$11:$C$49,MATCH($B480,'R1. Scenario specifications'!$A$11:$A$49,0))</f>
        <v>Current 2DS, 2030 start, 'Expect the Unexpected' but with cheap renewables</v>
      </c>
      <c r="B480" s="3" t="s">
        <v>44</v>
      </c>
      <c r="C480" s="3" t="s">
        <v>73</v>
      </c>
      <c r="D480" s="3" t="s">
        <v>253</v>
      </c>
      <c r="E480" s="14">
        <v>0</v>
      </c>
      <c r="F480" s="14">
        <v>0</v>
      </c>
      <c r="G480" s="14">
        <v>0</v>
      </c>
      <c r="H480" s="14">
        <v>0</v>
      </c>
      <c r="I480" s="14">
        <v>9.1513722909969157</v>
      </c>
      <c r="J480" s="14">
        <v>75.871977783001327</v>
      </c>
      <c r="K480" s="14">
        <v>458.60178419910494</v>
      </c>
      <c r="L480" s="14">
        <v>1300.049899499707</v>
      </c>
      <c r="M480" s="14">
        <v>2322.0635191484143</v>
      </c>
      <c r="N480" s="14">
        <v>2867.7973683780733</v>
      </c>
      <c r="O480" s="14">
        <v>3129.0677559352084</v>
      </c>
    </row>
    <row r="481" spans="1:15" x14ac:dyDescent="0.3">
      <c r="A481" s="3" t="str">
        <f>INDEX('R1. Scenario specifications'!$C$11:$C$49,MATCH($B481,'R1. Scenario specifications'!$A$11:$A$49,0))</f>
        <v>Current 2DS, 2030 start, 'Expect the Unexpected' but with cheap renewables</v>
      </c>
      <c r="B481" s="3" t="s">
        <v>44</v>
      </c>
      <c r="C481" s="3" t="s">
        <v>64</v>
      </c>
      <c r="D481" s="3" t="s">
        <v>254</v>
      </c>
      <c r="E481" s="14">
        <v>1633.0249332809897</v>
      </c>
      <c r="F481" s="14">
        <v>1804.9999999999993</v>
      </c>
      <c r="G481" s="14">
        <v>1804.9999999999993</v>
      </c>
      <c r="H481" s="14">
        <v>1458.8285858367421</v>
      </c>
      <c r="I481" s="14">
        <v>457.93883170883436</v>
      </c>
      <c r="J481" s="14">
        <v>16.396787724521602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</row>
    <row r="482" spans="1:15" x14ac:dyDescent="0.3">
      <c r="A482" s="3" t="str">
        <f>INDEX('R1. Scenario specifications'!$C$11:$C$49,MATCH($B482,'R1. Scenario specifications'!$A$11:$A$49,0))</f>
        <v>Current 2DS, 2030 start, 'Expect the Unexpected' but with cheap renewables</v>
      </c>
      <c r="B482" s="3" t="s">
        <v>44</v>
      </c>
      <c r="C482" s="3" t="s">
        <v>65</v>
      </c>
      <c r="D482" s="3" t="s">
        <v>255</v>
      </c>
      <c r="E482" s="14">
        <v>1008.6224302831477</v>
      </c>
      <c r="F482" s="14">
        <v>1634.5557819505236</v>
      </c>
      <c r="G482" s="14">
        <v>2111.6960266729702</v>
      </c>
      <c r="H482" s="14">
        <v>1960.1606269560627</v>
      </c>
      <c r="I482" s="14">
        <v>1085.1598017327944</v>
      </c>
      <c r="J482" s="14">
        <v>846.4668101517052</v>
      </c>
      <c r="K482" s="14">
        <v>1035.5898409532299</v>
      </c>
      <c r="L482" s="14">
        <v>959.68487133653946</v>
      </c>
      <c r="M482" s="14">
        <v>383.87255797146543</v>
      </c>
      <c r="N482" s="14">
        <v>212.59444098197523</v>
      </c>
      <c r="O482" s="14">
        <v>247.95994359180563</v>
      </c>
    </row>
    <row r="483" spans="1:15" x14ac:dyDescent="0.3">
      <c r="A483" s="3" t="str">
        <f>INDEX('R1. Scenario specifications'!$C$11:$C$49,MATCH($B483,'R1. Scenario specifications'!$A$11:$A$49,0))</f>
        <v>Current 2DS, 2030 start, 'Expect the Unexpected' but with cheap renewables</v>
      </c>
      <c r="B483" s="3" t="s">
        <v>44</v>
      </c>
      <c r="C483" s="3" t="s">
        <v>74</v>
      </c>
      <c r="D483" s="3" t="s">
        <v>255</v>
      </c>
      <c r="E483" s="14">
        <v>0</v>
      </c>
      <c r="F483" s="14">
        <v>0</v>
      </c>
      <c r="G483" s="14">
        <v>0</v>
      </c>
      <c r="H483" s="14">
        <v>0</v>
      </c>
      <c r="I483" s="14">
        <v>1.774260304818895</v>
      </c>
      <c r="J483" s="14">
        <v>5.7823014982720942</v>
      </c>
      <c r="K483" s="14">
        <v>36.776700366371607</v>
      </c>
      <c r="L483" s="14">
        <v>114.07371991841372</v>
      </c>
      <c r="M483" s="14">
        <v>550.75700154007666</v>
      </c>
      <c r="N483" s="14">
        <v>1134.0159218769652</v>
      </c>
      <c r="O483" s="14">
        <v>1237.9508298726146</v>
      </c>
    </row>
    <row r="484" spans="1:15" x14ac:dyDescent="0.3">
      <c r="A484" s="3" t="str">
        <f>INDEX('R1. Scenario specifications'!$C$11:$C$49,MATCH($B484,'R1. Scenario specifications'!$A$11:$A$49,0))</f>
        <v>Current 2DS, 2030 start, 'Expect the Unexpected' but with cheap renewables</v>
      </c>
      <c r="B484" s="3" t="s">
        <v>44</v>
      </c>
      <c r="C484" s="3" t="s">
        <v>66</v>
      </c>
      <c r="D484" s="3" t="s">
        <v>258</v>
      </c>
      <c r="E484" s="14">
        <v>31.122062759818384</v>
      </c>
      <c r="F484" s="14">
        <v>28.670816918420648</v>
      </c>
      <c r="G484" s="14">
        <v>113.13800421894352</v>
      </c>
      <c r="H484" s="14">
        <v>158.43269338625092</v>
      </c>
      <c r="I484" s="14">
        <v>205.64877496228274</v>
      </c>
      <c r="J484" s="14">
        <v>288.31732969641268</v>
      </c>
      <c r="K484" s="14">
        <v>465.64774743938722</v>
      </c>
      <c r="L484" s="14">
        <v>488.67124637325259</v>
      </c>
      <c r="M484" s="14">
        <v>529.83136588705702</v>
      </c>
      <c r="N484" s="14">
        <v>722.66842101830059</v>
      </c>
      <c r="O484" s="14">
        <v>900.98181791836191</v>
      </c>
    </row>
    <row r="485" spans="1:15" x14ac:dyDescent="0.3">
      <c r="A485" s="3" t="str">
        <f>INDEX('R1. Scenario specifications'!$C$11:$C$49,MATCH($B485,'R1. Scenario specifications'!$A$11:$A$49,0))</f>
        <v>Current 2DS, 2030 start, 'Expect the Unexpected' but with cheap renewables</v>
      </c>
      <c r="B485" s="3" t="s">
        <v>44</v>
      </c>
      <c r="C485" s="3" t="s">
        <v>67</v>
      </c>
      <c r="D485" s="3" t="s">
        <v>256</v>
      </c>
      <c r="E485" s="14">
        <v>738.24098154394619</v>
      </c>
      <c r="F485" s="14">
        <v>744.22477031191352</v>
      </c>
      <c r="G485" s="14">
        <v>999.8328246673068</v>
      </c>
      <c r="H485" s="14">
        <v>1153.8656291758321</v>
      </c>
      <c r="I485" s="14">
        <v>1316.819613660105</v>
      </c>
      <c r="J485" s="14">
        <v>1680.0089824987967</v>
      </c>
      <c r="K485" s="14">
        <v>1820.3734205429294</v>
      </c>
      <c r="L485" s="14">
        <v>1982.5531485081294</v>
      </c>
      <c r="M485" s="14">
        <v>2381.9618036223901</v>
      </c>
      <c r="N485" s="14">
        <v>2994.6511132743208</v>
      </c>
      <c r="O485" s="14">
        <v>3156.554042156743</v>
      </c>
    </row>
    <row r="486" spans="1:15" x14ac:dyDescent="0.3">
      <c r="A486" s="3" t="str">
        <f>INDEX('R1. Scenario specifications'!$C$11:$C$49,MATCH($B486,'R1. Scenario specifications'!$A$11:$A$49,0))</f>
        <v>Current 2DS, 2030 start, 'Expect the Unexpected' but with cheap renewables</v>
      </c>
      <c r="B486" s="3" t="s">
        <v>44</v>
      </c>
      <c r="C486" s="3" t="s">
        <v>68</v>
      </c>
      <c r="D486" s="3" t="s">
        <v>257</v>
      </c>
      <c r="E486" s="14">
        <v>381.69394199846289</v>
      </c>
      <c r="F486" s="14">
        <v>393.99999999999972</v>
      </c>
      <c r="G486" s="14">
        <v>647.54384646462074</v>
      </c>
      <c r="H486" s="14">
        <v>599.60750408611364</v>
      </c>
      <c r="I486" s="14">
        <v>574.22438013504609</v>
      </c>
      <c r="J486" s="14">
        <v>848.82476132456304</v>
      </c>
      <c r="K486" s="14">
        <v>1078.9340451542182</v>
      </c>
      <c r="L486" s="14">
        <v>1220.7810691452999</v>
      </c>
      <c r="M486" s="14">
        <v>1333.4427876299478</v>
      </c>
      <c r="N486" s="14">
        <v>1436.0075509280653</v>
      </c>
      <c r="O486" s="14">
        <v>1485.7485536807051</v>
      </c>
    </row>
    <row r="487" spans="1:15" x14ac:dyDescent="0.3">
      <c r="A487" s="3" t="str">
        <f>INDEX('R1. Scenario specifications'!$C$11:$C$49,MATCH($B487,'R1. Scenario specifications'!$A$11:$A$49,0))</f>
        <v>Current 2DS, 2030 start, 'Expect the Unexpected' but with cheap renewables</v>
      </c>
      <c r="B487" s="3" t="s">
        <v>44</v>
      </c>
      <c r="C487" s="3" t="s">
        <v>69</v>
      </c>
      <c r="D487" s="3" t="s">
        <v>258</v>
      </c>
      <c r="E487" s="14">
        <v>430.81063106061174</v>
      </c>
      <c r="F487" s="14">
        <v>452.4364981864552</v>
      </c>
      <c r="G487" s="14">
        <v>452.8330666776244</v>
      </c>
      <c r="H487" s="14">
        <v>256.83855764560741</v>
      </c>
      <c r="I487" s="14">
        <v>138.05421255455349</v>
      </c>
      <c r="J487" s="14">
        <v>12.788217534795447</v>
      </c>
      <c r="K487" s="14">
        <v>11.770123572344779</v>
      </c>
      <c r="L487" s="14">
        <v>21.16211517339325</v>
      </c>
      <c r="M487" s="14">
        <v>59.483222801482796</v>
      </c>
      <c r="N487" s="14">
        <v>113.59145615690208</v>
      </c>
      <c r="O487" s="14">
        <v>158.65387853454322</v>
      </c>
    </row>
    <row r="488" spans="1:15" x14ac:dyDescent="0.3">
      <c r="A488" s="3" t="str">
        <f>INDEX('R1. Scenario specifications'!$C$11:$C$49,MATCH($B488,'R1. Scenario specifications'!$A$11:$A$49,0))</f>
        <v>Current 2DS, 2030 start, 'Expect the Unexpected' but with cheap renewables</v>
      </c>
      <c r="B488" s="3" t="s">
        <v>44</v>
      </c>
      <c r="C488" s="3" t="s">
        <v>70</v>
      </c>
      <c r="D488" s="3" t="s">
        <v>259</v>
      </c>
      <c r="E488" s="14">
        <v>13.930776255707762</v>
      </c>
      <c r="F488" s="14">
        <v>96.560908546679059</v>
      </c>
      <c r="G488" s="14">
        <v>193.62720812488871</v>
      </c>
      <c r="H488" s="14">
        <v>564.29121895346805</v>
      </c>
      <c r="I488" s="14">
        <v>2837.1508664968219</v>
      </c>
      <c r="J488" s="14">
        <v>5997.2965871927281</v>
      </c>
      <c r="K488" s="14">
        <v>7798.226825655659</v>
      </c>
      <c r="L488" s="14">
        <v>9419.7847763246464</v>
      </c>
      <c r="M488" s="14">
        <v>13190.578161514552</v>
      </c>
      <c r="N488" s="14">
        <v>20311.774886726129</v>
      </c>
      <c r="O488" s="14">
        <v>22483.558148595406</v>
      </c>
    </row>
    <row r="489" spans="1:15" x14ac:dyDescent="0.3">
      <c r="A489" s="3" t="str">
        <f>INDEX('R1. Scenario specifications'!$C$11:$C$49,MATCH($B489,'R1. Scenario specifications'!$A$11:$A$49,0))</f>
        <v>Current 2DS, 2030 start, 'Expect the Unexpected' but with cheap renewables</v>
      </c>
      <c r="B489" s="3" t="s">
        <v>44</v>
      </c>
      <c r="C489" s="3" t="s">
        <v>71</v>
      </c>
      <c r="D489" s="3" t="s">
        <v>259</v>
      </c>
      <c r="E489" s="14">
        <v>11.2241111111111</v>
      </c>
      <c r="F489" s="14">
        <v>12.249511111111101</v>
      </c>
      <c r="G489" s="14">
        <v>13.0611055551111</v>
      </c>
      <c r="H489" s="14">
        <v>13.059905555111095</v>
      </c>
      <c r="I489" s="14">
        <v>13.056802652205363</v>
      </c>
      <c r="J489" s="14">
        <v>13.059756041343277</v>
      </c>
      <c r="K489" s="14">
        <v>13.08882612128286</v>
      </c>
      <c r="L489" s="14">
        <v>86.799908094396699</v>
      </c>
      <c r="M489" s="14">
        <v>86.797229379172904</v>
      </c>
      <c r="N489" s="14">
        <v>86.794829379172896</v>
      </c>
      <c r="O489" s="14">
        <v>86.792429379172887</v>
      </c>
    </row>
    <row r="490" spans="1:15" x14ac:dyDescent="0.3">
      <c r="A490" s="3" t="str">
        <f>INDEX('R1. Scenario specifications'!$C$11:$C$49,MATCH($B490,'R1. Scenario specifications'!$A$11:$A$49,0))</f>
        <v>Current 2DS, 2030 start, 'Expect the Unexpected' but with cheap renewables</v>
      </c>
      <c r="B490" s="3" t="s">
        <v>44</v>
      </c>
      <c r="C490" s="3" t="s">
        <v>75</v>
      </c>
      <c r="D490" s="3" t="s">
        <v>258</v>
      </c>
      <c r="E490" s="14">
        <v>0.31124745380476826</v>
      </c>
      <c r="F490" s="14">
        <v>0.28314462712947408</v>
      </c>
      <c r="G490" s="14">
        <v>0.23818010444900301</v>
      </c>
      <c r="H490" s="14">
        <v>0.15878673629933501</v>
      </c>
      <c r="I490" s="14">
        <v>7.9393368149667701E-2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</row>
    <row r="491" spans="1:15" x14ac:dyDescent="0.3">
      <c r="A491" s="3" t="str">
        <f>INDEX('R1. Scenario specifications'!$C$11:$C$49,MATCH($B491,'R1. Scenario specifications'!$A$11:$A$49,0))</f>
        <v>Current 2DS, 2030 start, 'Expect the Unexpected' but with cheap renewables</v>
      </c>
      <c r="B491" s="3" t="s">
        <v>44</v>
      </c>
      <c r="C491" s="3" t="s">
        <v>72</v>
      </c>
      <c r="D491" s="3" t="s">
        <v>260</v>
      </c>
      <c r="E491" s="14">
        <v>217.76839471634247</v>
      </c>
      <c r="F491" s="14">
        <v>242.99857406704328</v>
      </c>
      <c r="G491" s="14">
        <v>365.36686102816424</v>
      </c>
      <c r="H491" s="14">
        <v>1381.7602614741115</v>
      </c>
      <c r="I491" s="14">
        <v>3626.2051214569578</v>
      </c>
      <c r="J491" s="14">
        <v>4769.5022235725937</v>
      </c>
      <c r="K491" s="14">
        <v>6624.4588047096822</v>
      </c>
      <c r="L491" s="14">
        <v>8753.6409312762662</v>
      </c>
      <c r="M491" s="14">
        <v>12281.826256103639</v>
      </c>
      <c r="N491" s="14">
        <v>20040.174895758955</v>
      </c>
      <c r="O491" s="14">
        <v>24693.250260240093</v>
      </c>
    </row>
    <row r="492" spans="1:15" x14ac:dyDescent="0.3">
      <c r="A492" s="3" t="str">
        <f>INDEX('R1. Scenario specifications'!$C$11:$C$49,MATCH($B492,'R1. Scenario specifications'!$A$11:$A$49,0))</f>
        <v>Current 2DS, 2020 start, 'Expect the Unexpected' but with cheap CCS</v>
      </c>
      <c r="B492" s="3" t="s">
        <v>45</v>
      </c>
      <c r="C492" s="3" t="s">
        <v>63</v>
      </c>
      <c r="D492" s="3" t="s">
        <v>253</v>
      </c>
      <c r="E492" s="14">
        <v>19.526838931037336</v>
      </c>
      <c r="F492" s="14">
        <v>26.141237482570887</v>
      </c>
      <c r="G492" s="14">
        <v>117.10981417316707</v>
      </c>
      <c r="H492" s="14">
        <v>467.1649075065227</v>
      </c>
      <c r="I492" s="14">
        <v>552.86826376870658</v>
      </c>
      <c r="J492" s="14">
        <v>605.1930029194715</v>
      </c>
      <c r="K492" s="14">
        <v>275.8815792390098</v>
      </c>
      <c r="L492" s="14">
        <v>180.66688523918339</v>
      </c>
      <c r="M492" s="14">
        <v>31.86381603661092</v>
      </c>
      <c r="N492" s="14">
        <v>6.1392172448603199</v>
      </c>
      <c r="O492" s="14">
        <v>6.1392172448603199</v>
      </c>
    </row>
    <row r="493" spans="1:15" x14ac:dyDescent="0.3">
      <c r="A493" s="3" t="str">
        <f>INDEX('R1. Scenario specifications'!$C$11:$C$49,MATCH($B493,'R1. Scenario specifications'!$A$11:$A$49,0))</f>
        <v>Current 2DS, 2020 start, 'Expect the Unexpected' but with cheap CCS</v>
      </c>
      <c r="B493" s="3" t="s">
        <v>45</v>
      </c>
      <c r="C493" s="3" t="s">
        <v>73</v>
      </c>
      <c r="D493" s="3" t="s">
        <v>253</v>
      </c>
      <c r="E493" s="14">
        <v>0</v>
      </c>
      <c r="F493" s="14">
        <v>0</v>
      </c>
      <c r="G493" s="14">
        <v>0</v>
      </c>
      <c r="H493" s="14">
        <v>5.0107997201760934</v>
      </c>
      <c r="I493" s="14">
        <v>32.891218827626822</v>
      </c>
      <c r="J493" s="14">
        <v>160.57525708721846</v>
      </c>
      <c r="K493" s="14">
        <v>660.55066590071965</v>
      </c>
      <c r="L493" s="14">
        <v>1388.8020966523218</v>
      </c>
      <c r="M493" s="14">
        <v>2146.1584312243053</v>
      </c>
      <c r="N493" s="14">
        <v>2815.1981375946334</v>
      </c>
      <c r="O493" s="14">
        <v>3079.2216420604482</v>
      </c>
    </row>
    <row r="494" spans="1:15" x14ac:dyDescent="0.3">
      <c r="A494" s="3" t="str">
        <f>INDEX('R1. Scenario specifications'!$C$11:$C$49,MATCH($B494,'R1. Scenario specifications'!$A$11:$A$49,0))</f>
        <v>Current 2DS, 2020 start, 'Expect the Unexpected' but with cheap CCS</v>
      </c>
      <c r="B494" s="3" t="s">
        <v>45</v>
      </c>
      <c r="C494" s="3" t="s">
        <v>64</v>
      </c>
      <c r="D494" s="3" t="s">
        <v>254</v>
      </c>
      <c r="E494" s="14">
        <v>1633.0249332809897</v>
      </c>
      <c r="F494" s="14">
        <v>1804.9999999999993</v>
      </c>
      <c r="G494" s="14">
        <v>1804.9999999999993</v>
      </c>
      <c r="H494" s="14">
        <v>1442.4317981122206</v>
      </c>
      <c r="I494" s="14">
        <v>441.54204398431278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</row>
    <row r="495" spans="1:15" x14ac:dyDescent="0.3">
      <c r="A495" s="3" t="str">
        <f>INDEX('R1. Scenario specifications'!$C$11:$C$49,MATCH($B495,'R1. Scenario specifications'!$A$11:$A$49,0))</f>
        <v>Current 2DS, 2020 start, 'Expect the Unexpected' but with cheap CCS</v>
      </c>
      <c r="B495" s="3" t="s">
        <v>45</v>
      </c>
      <c r="C495" s="3" t="s">
        <v>65</v>
      </c>
      <c r="D495" s="3" t="s">
        <v>255</v>
      </c>
      <c r="E495" s="14">
        <v>1008.6224302831477</v>
      </c>
      <c r="F495" s="14">
        <v>1634.5557819505236</v>
      </c>
      <c r="G495" s="14">
        <v>2111.6960266729702</v>
      </c>
      <c r="H495" s="14">
        <v>2006.0148364416709</v>
      </c>
      <c r="I495" s="14">
        <v>1058.0640543500356</v>
      </c>
      <c r="J495" s="14">
        <v>640.9638652227593</v>
      </c>
      <c r="K495" s="14">
        <v>996.0734399104748</v>
      </c>
      <c r="L495" s="14">
        <v>987.57303893494486</v>
      </c>
      <c r="M495" s="14">
        <v>568.43797507712452</v>
      </c>
      <c r="N495" s="14">
        <v>254.97203905497645</v>
      </c>
      <c r="O495" s="14">
        <v>288.63159262044502</v>
      </c>
    </row>
    <row r="496" spans="1:15" x14ac:dyDescent="0.3">
      <c r="A496" s="3" t="str">
        <f>INDEX('R1. Scenario specifications'!$C$11:$C$49,MATCH($B496,'R1. Scenario specifications'!$A$11:$A$49,0))</f>
        <v>Current 2DS, 2020 start, 'Expect the Unexpected' but with cheap CCS</v>
      </c>
      <c r="B496" s="3" t="s">
        <v>45</v>
      </c>
      <c r="C496" s="3" t="s">
        <v>74</v>
      </c>
      <c r="D496" s="3" t="s">
        <v>255</v>
      </c>
      <c r="E496" s="14">
        <v>0</v>
      </c>
      <c r="F496" s="14">
        <v>0</v>
      </c>
      <c r="G496" s="14">
        <v>0</v>
      </c>
      <c r="H496" s="14">
        <v>7.5995772000000006</v>
      </c>
      <c r="I496" s="14">
        <v>18.376419959841066</v>
      </c>
      <c r="J496" s="14">
        <v>38.884230593133971</v>
      </c>
      <c r="K496" s="14">
        <v>79.93587569286295</v>
      </c>
      <c r="L496" s="14">
        <v>143.62848561875714</v>
      </c>
      <c r="M496" s="14">
        <v>537.40614537904185</v>
      </c>
      <c r="N496" s="14">
        <v>1118.0902935433949</v>
      </c>
      <c r="O496" s="14">
        <v>1355.5064543662672</v>
      </c>
    </row>
    <row r="497" spans="1:15" x14ac:dyDescent="0.3">
      <c r="A497" s="3" t="str">
        <f>INDEX('R1. Scenario specifications'!$C$11:$C$49,MATCH($B497,'R1. Scenario specifications'!$A$11:$A$49,0))</f>
        <v>Current 2DS, 2020 start, 'Expect the Unexpected' but with cheap CCS</v>
      </c>
      <c r="B497" s="3" t="s">
        <v>45</v>
      </c>
      <c r="C497" s="3" t="s">
        <v>66</v>
      </c>
      <c r="D497" s="3" t="s">
        <v>258</v>
      </c>
      <c r="E497" s="14">
        <v>31.122062759818384</v>
      </c>
      <c r="F497" s="14">
        <v>28.670816918420648</v>
      </c>
      <c r="G497" s="14">
        <v>113.13800421894352</v>
      </c>
      <c r="H497" s="14">
        <v>158.8032517201448</v>
      </c>
      <c r="I497" s="14">
        <v>205.64870976853155</v>
      </c>
      <c r="J497" s="14">
        <v>277.40903848929401</v>
      </c>
      <c r="K497" s="14">
        <v>410.95674422886566</v>
      </c>
      <c r="L497" s="14">
        <v>488.4662544122254</v>
      </c>
      <c r="M497" s="14">
        <v>532.88769942836575</v>
      </c>
      <c r="N497" s="14">
        <v>788.61647003675523</v>
      </c>
      <c r="O497" s="14">
        <v>888.05862758692547</v>
      </c>
    </row>
    <row r="498" spans="1:15" x14ac:dyDescent="0.3">
      <c r="A498" s="3" t="str">
        <f>INDEX('R1. Scenario specifications'!$C$11:$C$49,MATCH($B498,'R1. Scenario specifications'!$A$11:$A$49,0))</f>
        <v>Current 2DS, 2020 start, 'Expect the Unexpected' but with cheap CCS</v>
      </c>
      <c r="B498" s="3" t="s">
        <v>45</v>
      </c>
      <c r="C498" s="3" t="s">
        <v>67</v>
      </c>
      <c r="D498" s="3" t="s">
        <v>256</v>
      </c>
      <c r="E498" s="14">
        <v>738.24098154394619</v>
      </c>
      <c r="F498" s="14">
        <v>744.22477031191352</v>
      </c>
      <c r="G498" s="14">
        <v>999.8328246673068</v>
      </c>
      <c r="H498" s="14">
        <v>1165.7013704439287</v>
      </c>
      <c r="I498" s="14">
        <v>1352.331563980455</v>
      </c>
      <c r="J498" s="14">
        <v>1585.8622784215293</v>
      </c>
      <c r="K498" s="14">
        <v>1773.7133411067048</v>
      </c>
      <c r="L498" s="14">
        <v>1916.5870669383116</v>
      </c>
      <c r="M498" s="14">
        <v>2272.159625702885</v>
      </c>
      <c r="N498" s="14">
        <v>2993.0999200792116</v>
      </c>
      <c r="O498" s="14">
        <v>3225.405016798577</v>
      </c>
    </row>
    <row r="499" spans="1:15" x14ac:dyDescent="0.3">
      <c r="A499" s="3" t="str">
        <f>INDEX('R1. Scenario specifications'!$C$11:$C$49,MATCH($B499,'R1. Scenario specifications'!$A$11:$A$49,0))</f>
        <v>Current 2DS, 2020 start, 'Expect the Unexpected' but with cheap CCS</v>
      </c>
      <c r="B499" s="3" t="s">
        <v>45</v>
      </c>
      <c r="C499" s="3" t="s">
        <v>68</v>
      </c>
      <c r="D499" s="3" t="s">
        <v>257</v>
      </c>
      <c r="E499" s="14">
        <v>381.69394199846289</v>
      </c>
      <c r="F499" s="14">
        <v>393.99999999999972</v>
      </c>
      <c r="G499" s="14">
        <v>647.54384646462074</v>
      </c>
      <c r="H499" s="14">
        <v>599.60750408611364</v>
      </c>
      <c r="I499" s="14">
        <v>626.08362470675559</v>
      </c>
      <c r="J499" s="14">
        <v>869.45238004522605</v>
      </c>
      <c r="K499" s="14">
        <v>1093.9555193682561</v>
      </c>
      <c r="L499" s="14">
        <v>1225.575175590903</v>
      </c>
      <c r="M499" s="14">
        <v>1296.7346237394954</v>
      </c>
      <c r="N499" s="14">
        <v>1433.133374237475</v>
      </c>
      <c r="O499" s="14">
        <v>1482.4943388069485</v>
      </c>
    </row>
    <row r="500" spans="1:15" x14ac:dyDescent="0.3">
      <c r="A500" s="3" t="str">
        <f>INDEX('R1. Scenario specifications'!$C$11:$C$49,MATCH($B500,'R1. Scenario specifications'!$A$11:$A$49,0))</f>
        <v>Current 2DS, 2020 start, 'Expect the Unexpected' but with cheap CCS</v>
      </c>
      <c r="B500" s="3" t="s">
        <v>45</v>
      </c>
      <c r="C500" s="3" t="s">
        <v>69</v>
      </c>
      <c r="D500" s="3" t="s">
        <v>258</v>
      </c>
      <c r="E500" s="14">
        <v>430.81063106061174</v>
      </c>
      <c r="F500" s="14">
        <v>452.4364981864552</v>
      </c>
      <c r="G500" s="14">
        <v>452.8330666776244</v>
      </c>
      <c r="H500" s="14">
        <v>254.66359231024609</v>
      </c>
      <c r="I500" s="14">
        <v>143.00005484456801</v>
      </c>
      <c r="J500" s="14">
        <v>19.909025160171272</v>
      </c>
      <c r="K500" s="14">
        <v>13.006396750000821</v>
      </c>
      <c r="L500" s="14">
        <v>14.926357137608761</v>
      </c>
      <c r="M500" s="14">
        <v>86.444533472074681</v>
      </c>
      <c r="N500" s="14">
        <v>123.12217439159544</v>
      </c>
      <c r="O500" s="14">
        <v>162.97512010725498</v>
      </c>
    </row>
    <row r="501" spans="1:15" x14ac:dyDescent="0.3">
      <c r="A501" s="3" t="str">
        <f>INDEX('R1. Scenario specifications'!$C$11:$C$49,MATCH($B501,'R1. Scenario specifications'!$A$11:$A$49,0))</f>
        <v>Current 2DS, 2020 start, 'Expect the Unexpected' but with cheap CCS</v>
      </c>
      <c r="B501" s="3" t="s">
        <v>45</v>
      </c>
      <c r="C501" s="3" t="s">
        <v>70</v>
      </c>
      <c r="D501" s="3" t="s">
        <v>259</v>
      </c>
      <c r="E501" s="14">
        <v>13.930776255707762</v>
      </c>
      <c r="F501" s="14">
        <v>96.560908546679059</v>
      </c>
      <c r="G501" s="14">
        <v>193.62720812488871</v>
      </c>
      <c r="H501" s="14">
        <v>909.08806791401071</v>
      </c>
      <c r="I501" s="14">
        <v>3052.4144514394766</v>
      </c>
      <c r="J501" s="14">
        <v>5352.0999972901882</v>
      </c>
      <c r="K501" s="14">
        <v>6905.0677112421645</v>
      </c>
      <c r="L501" s="14">
        <v>8629.0799780219968</v>
      </c>
      <c r="M501" s="14">
        <v>12017.051525429799</v>
      </c>
      <c r="N501" s="14">
        <v>18351.000865026163</v>
      </c>
      <c r="O501" s="14">
        <v>20854.798764581144</v>
      </c>
    </row>
    <row r="502" spans="1:15" x14ac:dyDescent="0.3">
      <c r="A502" s="3" t="str">
        <f>INDEX('R1. Scenario specifications'!$C$11:$C$49,MATCH($B502,'R1. Scenario specifications'!$A$11:$A$49,0))</f>
        <v>Current 2DS, 2020 start, 'Expect the Unexpected' but with cheap CCS</v>
      </c>
      <c r="B502" s="3" t="s">
        <v>45</v>
      </c>
      <c r="C502" s="3" t="s">
        <v>71</v>
      </c>
      <c r="D502" s="3" t="s">
        <v>259</v>
      </c>
      <c r="E502" s="14">
        <v>11.2241111111111</v>
      </c>
      <c r="F502" s="14">
        <v>12.249511111111101</v>
      </c>
      <c r="G502" s="14">
        <v>13.0611055551111</v>
      </c>
      <c r="H502" s="14">
        <v>13.059505551511098</v>
      </c>
      <c r="I502" s="14">
        <v>13.061351014222497</v>
      </c>
      <c r="J502" s="14">
        <v>13.077835493553415</v>
      </c>
      <c r="K502" s="14">
        <v>13.164954146497212</v>
      </c>
      <c r="L502" s="14">
        <v>13.590060904954488</v>
      </c>
      <c r="M502" s="14">
        <v>14.614268303486682</v>
      </c>
      <c r="N502" s="14">
        <v>19.546410896254532</v>
      </c>
      <c r="O502" s="14">
        <v>19.54401089625453</v>
      </c>
    </row>
    <row r="503" spans="1:15" x14ac:dyDescent="0.3">
      <c r="A503" s="3" t="str">
        <f>INDEX('R1. Scenario specifications'!$C$11:$C$49,MATCH($B503,'R1. Scenario specifications'!$A$11:$A$49,0))</f>
        <v>Current 2DS, 2020 start, 'Expect the Unexpected' but with cheap CCS</v>
      </c>
      <c r="B503" s="3" t="s">
        <v>45</v>
      </c>
      <c r="C503" s="3" t="s">
        <v>75</v>
      </c>
      <c r="D503" s="3" t="s">
        <v>258</v>
      </c>
      <c r="E503" s="14">
        <v>0.31124745380476826</v>
      </c>
      <c r="F503" s="14">
        <v>0.28314462712947408</v>
      </c>
      <c r="G503" s="14">
        <v>0.23818010444900301</v>
      </c>
      <c r="H503" s="14">
        <v>0.15878673629933501</v>
      </c>
      <c r="I503" s="14">
        <v>7.9393368149667701E-2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</row>
    <row r="504" spans="1:15" x14ac:dyDescent="0.3">
      <c r="A504" s="3" t="str">
        <f>INDEX('R1. Scenario specifications'!$C$11:$C$49,MATCH($B504,'R1. Scenario specifications'!$A$11:$A$49,0))</f>
        <v>Current 2DS, 2020 start, 'Expect the Unexpected' but with cheap CCS</v>
      </c>
      <c r="B504" s="3" t="s">
        <v>45</v>
      </c>
      <c r="C504" s="3" t="s">
        <v>72</v>
      </c>
      <c r="D504" s="3" t="s">
        <v>260</v>
      </c>
      <c r="E504" s="14">
        <v>217.76839471634247</v>
      </c>
      <c r="F504" s="14">
        <v>242.99857406704328</v>
      </c>
      <c r="G504" s="14">
        <v>365.36686102816424</v>
      </c>
      <c r="H504" s="14">
        <v>1513.9962066155861</v>
      </c>
      <c r="I504" s="14">
        <v>3467.8443718832532</v>
      </c>
      <c r="J504" s="14">
        <v>4641.1133206446048</v>
      </c>
      <c r="K504" s="14">
        <v>6361.0362758815954</v>
      </c>
      <c r="L504" s="14">
        <v>8121.4073259647794</v>
      </c>
      <c r="M504" s="14">
        <v>11560.550978647907</v>
      </c>
      <c r="N504" s="14">
        <v>18461.317551919659</v>
      </c>
      <c r="O504" s="14">
        <v>23243.380126058582</v>
      </c>
    </row>
    <row r="505" spans="1:15" x14ac:dyDescent="0.3">
      <c r="A505" s="3" t="str">
        <f>INDEX('R1. Scenario specifications'!$C$11:$C$49,MATCH($B505,'R1. Scenario specifications'!$A$11:$A$49,0))</f>
        <v>Current 2DS, 2030 start, 'Expect the Unexpected' but with cheap CCS</v>
      </c>
      <c r="B505" s="3" t="s">
        <v>46</v>
      </c>
      <c r="C505" s="3" t="s">
        <v>63</v>
      </c>
      <c r="D505" s="3" t="s">
        <v>253</v>
      </c>
      <c r="E505" s="14">
        <v>19.526838931037336</v>
      </c>
      <c r="F505" s="14">
        <v>26.141237482570887</v>
      </c>
      <c r="G505" s="14">
        <v>117.10981417316707</v>
      </c>
      <c r="H505" s="14">
        <v>412.30855682261659</v>
      </c>
      <c r="I505" s="14">
        <v>602.72432369780825</v>
      </c>
      <c r="J505" s="14">
        <v>598.58258776227581</v>
      </c>
      <c r="K505" s="14">
        <v>354.96594099795323</v>
      </c>
      <c r="L505" s="14">
        <v>155.0388363851184</v>
      </c>
      <c r="M505" s="14">
        <v>62.704058934609179</v>
      </c>
      <c r="N505" s="14">
        <v>6.1410339106256302</v>
      </c>
      <c r="O505" s="14">
        <v>6.1410339106256302</v>
      </c>
    </row>
    <row r="506" spans="1:15" x14ac:dyDescent="0.3">
      <c r="A506" s="3" t="str">
        <f>INDEX('R1. Scenario specifications'!$C$11:$C$49,MATCH($B506,'R1. Scenario specifications'!$A$11:$A$49,0))</f>
        <v>Current 2DS, 2030 start, 'Expect the Unexpected' but with cheap CCS</v>
      </c>
      <c r="B506" s="3" t="s">
        <v>46</v>
      </c>
      <c r="C506" s="3" t="s">
        <v>73</v>
      </c>
      <c r="D506" s="3" t="s">
        <v>253</v>
      </c>
      <c r="E506" s="14">
        <v>0</v>
      </c>
      <c r="F506" s="14">
        <v>0</v>
      </c>
      <c r="G506" s="14">
        <v>0</v>
      </c>
      <c r="H506" s="14">
        <v>0</v>
      </c>
      <c r="I506" s="14">
        <v>9.5132849581610071</v>
      </c>
      <c r="J506" s="14">
        <v>77.390648548689342</v>
      </c>
      <c r="K506" s="14">
        <v>455.86012952423744</v>
      </c>
      <c r="L506" s="14">
        <v>1303.3456052959707</v>
      </c>
      <c r="M506" s="14">
        <v>2325.1998745679152</v>
      </c>
      <c r="N506" s="14">
        <v>2880.7930112079976</v>
      </c>
      <c r="O506" s="14">
        <v>3139.5734124621663</v>
      </c>
    </row>
    <row r="507" spans="1:15" x14ac:dyDescent="0.3">
      <c r="A507" s="3" t="str">
        <f>INDEX('R1. Scenario specifications'!$C$11:$C$49,MATCH($B507,'R1. Scenario specifications'!$A$11:$A$49,0))</f>
        <v>Current 2DS, 2030 start, 'Expect the Unexpected' but with cheap CCS</v>
      </c>
      <c r="B507" s="3" t="s">
        <v>46</v>
      </c>
      <c r="C507" s="3" t="s">
        <v>64</v>
      </c>
      <c r="D507" s="3" t="s">
        <v>254</v>
      </c>
      <c r="E507" s="14">
        <v>1633.0249332809897</v>
      </c>
      <c r="F507" s="14">
        <v>1804.9999999999993</v>
      </c>
      <c r="G507" s="14">
        <v>1804.9999999999993</v>
      </c>
      <c r="H507" s="14">
        <v>1458.8285858367421</v>
      </c>
      <c r="I507" s="14">
        <v>457.93883170883436</v>
      </c>
      <c r="J507" s="14">
        <v>16.396787724521602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</row>
    <row r="508" spans="1:15" x14ac:dyDescent="0.3">
      <c r="A508" s="3" t="str">
        <f>INDEX('R1. Scenario specifications'!$C$11:$C$49,MATCH($B508,'R1. Scenario specifications'!$A$11:$A$49,0))</f>
        <v>Current 2DS, 2030 start, 'Expect the Unexpected' but with cheap CCS</v>
      </c>
      <c r="B508" s="3" t="s">
        <v>46</v>
      </c>
      <c r="C508" s="3" t="s">
        <v>65</v>
      </c>
      <c r="D508" s="3" t="s">
        <v>255</v>
      </c>
      <c r="E508" s="14">
        <v>1008.6224302831477</v>
      </c>
      <c r="F508" s="14">
        <v>1634.5557819505236</v>
      </c>
      <c r="G508" s="14">
        <v>2111.6960266729702</v>
      </c>
      <c r="H508" s="14">
        <v>1960.1606269560627</v>
      </c>
      <c r="I508" s="14">
        <v>1058.3579543631465</v>
      </c>
      <c r="J508" s="14">
        <v>671.80423969501021</v>
      </c>
      <c r="K508" s="14">
        <v>1023.2466793912658</v>
      </c>
      <c r="L508" s="14">
        <v>967.10356753889323</v>
      </c>
      <c r="M508" s="14">
        <v>542.75836729755997</v>
      </c>
      <c r="N508" s="14">
        <v>246.30772192470997</v>
      </c>
      <c r="O508" s="14">
        <v>315.85550063467718</v>
      </c>
    </row>
    <row r="509" spans="1:15" x14ac:dyDescent="0.3">
      <c r="A509" s="3" t="str">
        <f>INDEX('R1. Scenario specifications'!$C$11:$C$49,MATCH($B509,'R1. Scenario specifications'!$A$11:$A$49,0))</f>
        <v>Current 2DS, 2030 start, 'Expect the Unexpected' but with cheap CCS</v>
      </c>
      <c r="B509" s="3" t="s">
        <v>46</v>
      </c>
      <c r="C509" s="3" t="s">
        <v>74</v>
      </c>
      <c r="D509" s="3" t="s">
        <v>255</v>
      </c>
      <c r="E509" s="14">
        <v>0</v>
      </c>
      <c r="F509" s="14">
        <v>0</v>
      </c>
      <c r="G509" s="14">
        <v>0</v>
      </c>
      <c r="H509" s="14">
        <v>0</v>
      </c>
      <c r="I509" s="14">
        <v>1.9096630088817781</v>
      </c>
      <c r="J509" s="14">
        <v>7.0661477244458144</v>
      </c>
      <c r="K509" s="14">
        <v>44.842001224566388</v>
      </c>
      <c r="L509" s="14">
        <v>133.22311211481576</v>
      </c>
      <c r="M509" s="14">
        <v>547.68424948086715</v>
      </c>
      <c r="N509" s="14">
        <v>1142.9293623118012</v>
      </c>
      <c r="O509" s="14">
        <v>1317.8632044229601</v>
      </c>
    </row>
    <row r="510" spans="1:15" x14ac:dyDescent="0.3">
      <c r="A510" s="3" t="str">
        <f>INDEX('R1. Scenario specifications'!$C$11:$C$49,MATCH($B510,'R1. Scenario specifications'!$A$11:$A$49,0))</f>
        <v>Current 2DS, 2030 start, 'Expect the Unexpected' but with cheap CCS</v>
      </c>
      <c r="B510" s="3" t="s">
        <v>46</v>
      </c>
      <c r="C510" s="3" t="s">
        <v>66</v>
      </c>
      <c r="D510" s="3" t="s">
        <v>258</v>
      </c>
      <c r="E510" s="14">
        <v>31.122062759818384</v>
      </c>
      <c r="F510" s="14">
        <v>28.670816918420648</v>
      </c>
      <c r="G510" s="14">
        <v>113.13800421894352</v>
      </c>
      <c r="H510" s="14">
        <v>158.43269338625092</v>
      </c>
      <c r="I510" s="14">
        <v>205.64884015603394</v>
      </c>
      <c r="J510" s="14">
        <v>291.37269828847207</v>
      </c>
      <c r="K510" s="14">
        <v>483.36441392013694</v>
      </c>
      <c r="L510" s="14">
        <v>498.59329028590702</v>
      </c>
      <c r="M510" s="14">
        <v>535.5684352516322</v>
      </c>
      <c r="N510" s="14">
        <v>773.89896267072868</v>
      </c>
      <c r="O510" s="14">
        <v>965.29436316304077</v>
      </c>
    </row>
    <row r="511" spans="1:15" x14ac:dyDescent="0.3">
      <c r="A511" s="3" t="str">
        <f>INDEX('R1. Scenario specifications'!$C$11:$C$49,MATCH($B511,'R1. Scenario specifications'!$A$11:$A$49,0))</f>
        <v>Current 2DS, 2030 start, 'Expect the Unexpected' but with cheap CCS</v>
      </c>
      <c r="B511" s="3" t="s">
        <v>46</v>
      </c>
      <c r="C511" s="3" t="s">
        <v>67</v>
      </c>
      <c r="D511" s="3" t="s">
        <v>256</v>
      </c>
      <c r="E511" s="14">
        <v>738.24098154394619</v>
      </c>
      <c r="F511" s="14">
        <v>744.22477031191352</v>
      </c>
      <c r="G511" s="14">
        <v>999.8328246673068</v>
      </c>
      <c r="H511" s="14">
        <v>1153.8656291758321</v>
      </c>
      <c r="I511" s="14">
        <v>1316.819613660105</v>
      </c>
      <c r="J511" s="14">
        <v>1644.818782397314</v>
      </c>
      <c r="K511" s="14">
        <v>1830.2158590955621</v>
      </c>
      <c r="L511" s="14">
        <v>1935.4769518766102</v>
      </c>
      <c r="M511" s="14">
        <v>2275.9502980934294</v>
      </c>
      <c r="N511" s="14">
        <v>3029.2197172967417</v>
      </c>
      <c r="O511" s="14">
        <v>3238.4184704805793</v>
      </c>
    </row>
    <row r="512" spans="1:15" x14ac:dyDescent="0.3">
      <c r="A512" s="3" t="str">
        <f>INDEX('R1. Scenario specifications'!$C$11:$C$49,MATCH($B512,'R1. Scenario specifications'!$A$11:$A$49,0))</f>
        <v>Current 2DS, 2030 start, 'Expect the Unexpected' but with cheap CCS</v>
      </c>
      <c r="B512" s="3" t="s">
        <v>46</v>
      </c>
      <c r="C512" s="3" t="s">
        <v>68</v>
      </c>
      <c r="D512" s="3" t="s">
        <v>257</v>
      </c>
      <c r="E512" s="14">
        <v>381.69394199846289</v>
      </c>
      <c r="F512" s="14">
        <v>393.99999999999972</v>
      </c>
      <c r="G512" s="14">
        <v>647.54384646462074</v>
      </c>
      <c r="H512" s="14">
        <v>599.60750408611364</v>
      </c>
      <c r="I512" s="14">
        <v>574.22438013504609</v>
      </c>
      <c r="J512" s="14">
        <v>889.7048495612255</v>
      </c>
      <c r="K512" s="14">
        <v>1092.6765059827476</v>
      </c>
      <c r="L512" s="14">
        <v>1222.0544526070946</v>
      </c>
      <c r="M512" s="14">
        <v>1334.1292270954859</v>
      </c>
      <c r="N512" s="14">
        <v>1433.4555371194642</v>
      </c>
      <c r="O512" s="14">
        <v>1482.4943388069476</v>
      </c>
    </row>
    <row r="513" spans="1:15" x14ac:dyDescent="0.3">
      <c r="A513" s="3" t="str">
        <f>INDEX('R1. Scenario specifications'!$C$11:$C$49,MATCH($B513,'R1. Scenario specifications'!$A$11:$A$49,0))</f>
        <v>Current 2DS, 2030 start, 'Expect the Unexpected' but with cheap CCS</v>
      </c>
      <c r="B513" s="3" t="s">
        <v>46</v>
      </c>
      <c r="C513" s="3" t="s">
        <v>69</v>
      </c>
      <c r="D513" s="3" t="s">
        <v>258</v>
      </c>
      <c r="E513" s="14">
        <v>430.81063106061174</v>
      </c>
      <c r="F513" s="14">
        <v>452.4364981864552</v>
      </c>
      <c r="G513" s="14">
        <v>452.8330666776244</v>
      </c>
      <c r="H513" s="14">
        <v>256.83855764560741</v>
      </c>
      <c r="I513" s="14">
        <v>143.70504974611222</v>
      </c>
      <c r="J513" s="14">
        <v>18.439054726354183</v>
      </c>
      <c r="K513" s="14">
        <v>13.818263395933759</v>
      </c>
      <c r="L513" s="14">
        <v>21.374600911693108</v>
      </c>
      <c r="M513" s="14">
        <v>85.281274899843254</v>
      </c>
      <c r="N513" s="14">
        <v>129.94282529308984</v>
      </c>
      <c r="O513" s="14">
        <v>151.17551944396618</v>
      </c>
    </row>
    <row r="514" spans="1:15" x14ac:dyDescent="0.3">
      <c r="A514" s="3" t="str">
        <f>INDEX('R1. Scenario specifications'!$C$11:$C$49,MATCH($B514,'R1. Scenario specifications'!$A$11:$A$49,0))</f>
        <v>Current 2DS, 2030 start, 'Expect the Unexpected' but with cheap CCS</v>
      </c>
      <c r="B514" s="3" t="s">
        <v>46</v>
      </c>
      <c r="C514" s="3" t="s">
        <v>70</v>
      </c>
      <c r="D514" s="3" t="s">
        <v>259</v>
      </c>
      <c r="E514" s="14">
        <v>13.930776255707762</v>
      </c>
      <c r="F514" s="14">
        <v>96.560908546679059</v>
      </c>
      <c r="G514" s="14">
        <v>193.62720812488871</v>
      </c>
      <c r="H514" s="14">
        <v>564.29121895346805</v>
      </c>
      <c r="I514" s="14">
        <v>2331.9132434423746</v>
      </c>
      <c r="J514" s="14">
        <v>5335.3686909571843</v>
      </c>
      <c r="K514" s="14">
        <v>7221.2169998345225</v>
      </c>
      <c r="L514" s="14">
        <v>9054.3542093409415</v>
      </c>
      <c r="M514" s="14">
        <v>12784.537763507284</v>
      </c>
      <c r="N514" s="14">
        <v>19379.300174397449</v>
      </c>
      <c r="O514" s="14">
        <v>21533.841990581452</v>
      </c>
    </row>
    <row r="515" spans="1:15" x14ac:dyDescent="0.3">
      <c r="A515" s="3" t="str">
        <f>INDEX('R1. Scenario specifications'!$C$11:$C$49,MATCH($B515,'R1. Scenario specifications'!$A$11:$A$49,0))</f>
        <v>Current 2DS, 2030 start, 'Expect the Unexpected' but with cheap CCS</v>
      </c>
      <c r="B515" s="3" t="s">
        <v>46</v>
      </c>
      <c r="C515" s="3" t="s">
        <v>71</v>
      </c>
      <c r="D515" s="3" t="s">
        <v>259</v>
      </c>
      <c r="E515" s="14">
        <v>11.2241111111111</v>
      </c>
      <c r="F515" s="14">
        <v>12.249511111111101</v>
      </c>
      <c r="G515" s="14">
        <v>13.0611055551111</v>
      </c>
      <c r="H515" s="14">
        <v>13.059905555111095</v>
      </c>
      <c r="I515" s="14">
        <v>13.056802652205363</v>
      </c>
      <c r="J515" s="14">
        <v>13.058648114916753</v>
      </c>
      <c r="K515" s="14">
        <v>13.075532594247676</v>
      </c>
      <c r="L515" s="14">
        <v>13.162565933585491</v>
      </c>
      <c r="M515" s="14">
        <v>13.373834703446189</v>
      </c>
      <c r="N515" s="14">
        <v>14.398320817202183</v>
      </c>
      <c r="O515" s="14">
        <v>14.395920817202184</v>
      </c>
    </row>
    <row r="516" spans="1:15" x14ac:dyDescent="0.3">
      <c r="A516" s="3" t="str">
        <f>INDEX('R1. Scenario specifications'!$C$11:$C$49,MATCH($B516,'R1. Scenario specifications'!$A$11:$A$49,0))</f>
        <v>Current 2DS, 2030 start, 'Expect the Unexpected' but with cheap CCS</v>
      </c>
      <c r="B516" s="3" t="s">
        <v>46</v>
      </c>
      <c r="C516" s="3" t="s">
        <v>75</v>
      </c>
      <c r="D516" s="3" t="s">
        <v>258</v>
      </c>
      <c r="E516" s="14">
        <v>0.31124745380476826</v>
      </c>
      <c r="F516" s="14">
        <v>0.28314462712947408</v>
      </c>
      <c r="G516" s="14">
        <v>0.23818010444900301</v>
      </c>
      <c r="H516" s="14">
        <v>0.15878673629933501</v>
      </c>
      <c r="I516" s="14">
        <v>7.9393368149667701E-2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</row>
    <row r="517" spans="1:15" x14ac:dyDescent="0.3">
      <c r="A517" s="3" t="str">
        <f>INDEX('R1. Scenario specifications'!$C$11:$C$49,MATCH($B517,'R1. Scenario specifications'!$A$11:$A$49,0))</f>
        <v>Current 2DS, 2030 start, 'Expect the Unexpected' but with cheap CCS</v>
      </c>
      <c r="B517" s="3" t="s">
        <v>46</v>
      </c>
      <c r="C517" s="3" t="s">
        <v>72</v>
      </c>
      <c r="D517" s="3" t="s">
        <v>260</v>
      </c>
      <c r="E517" s="14">
        <v>217.76839471634247</v>
      </c>
      <c r="F517" s="14">
        <v>242.99857406704328</v>
      </c>
      <c r="G517" s="14">
        <v>365.36686102816424</v>
      </c>
      <c r="H517" s="14">
        <v>1381.7602614741115</v>
      </c>
      <c r="I517" s="14">
        <v>3506.4442368401851</v>
      </c>
      <c r="J517" s="14">
        <v>4632.8215945640977</v>
      </c>
      <c r="K517" s="14">
        <v>6459.742794676813</v>
      </c>
      <c r="L517" s="14">
        <v>8380.2684973493015</v>
      </c>
      <c r="M517" s="14">
        <v>11877.635756002028</v>
      </c>
      <c r="N517" s="14">
        <v>19316.357285072205</v>
      </c>
      <c r="O517" s="14">
        <v>23735.678280561249</v>
      </c>
    </row>
    <row r="518" spans="1:15" x14ac:dyDescent="0.3">
      <c r="A518" s="3" t="str">
        <f>INDEX('R1. Scenario specifications'!$C$11:$C$49,MATCH($B518,'R1. Scenario specifications'!$A$11:$A$49,0))</f>
        <v>Current 2DS, 2020 start, 'Expect the Unexpected' but with cheap EVs</v>
      </c>
      <c r="B518" s="3" t="s">
        <v>47</v>
      </c>
      <c r="C518" s="3" t="s">
        <v>63</v>
      </c>
      <c r="D518" s="3" t="s">
        <v>253</v>
      </c>
      <c r="E518" s="14">
        <v>19.526838931037336</v>
      </c>
      <c r="F518" s="14">
        <v>26.141237482570887</v>
      </c>
      <c r="G518" s="14">
        <v>117.10981417316707</v>
      </c>
      <c r="H518" s="14">
        <v>462.0943123400283</v>
      </c>
      <c r="I518" s="14">
        <v>551.0178741535799</v>
      </c>
      <c r="J518" s="14">
        <v>629.1176296580129</v>
      </c>
      <c r="K518" s="14">
        <v>317.01097662388185</v>
      </c>
      <c r="L518" s="14">
        <v>218.57607707268733</v>
      </c>
      <c r="M518" s="14">
        <v>43.344087093882855</v>
      </c>
      <c r="N518" s="14">
        <v>5.9617778472791603</v>
      </c>
      <c r="O518" s="14">
        <v>5.9617778472791603</v>
      </c>
    </row>
    <row r="519" spans="1:15" x14ac:dyDescent="0.3">
      <c r="A519" s="3" t="str">
        <f>INDEX('R1. Scenario specifications'!$C$11:$C$49,MATCH($B519,'R1. Scenario specifications'!$A$11:$A$49,0))</f>
        <v>Current 2DS, 2020 start, 'Expect the Unexpected' but with cheap EVs</v>
      </c>
      <c r="B519" s="3" t="s">
        <v>47</v>
      </c>
      <c r="C519" s="3" t="s">
        <v>73</v>
      </c>
      <c r="D519" s="3" t="s">
        <v>253</v>
      </c>
      <c r="E519" s="14">
        <v>0</v>
      </c>
      <c r="F519" s="14">
        <v>0</v>
      </c>
      <c r="G519" s="14">
        <v>0</v>
      </c>
      <c r="H519" s="14">
        <v>3.1647482049620237</v>
      </c>
      <c r="I519" s="14">
        <v>23.532578551872305</v>
      </c>
      <c r="J519" s="14">
        <v>151.4984133873958</v>
      </c>
      <c r="K519" s="14">
        <v>655.73813307102398</v>
      </c>
      <c r="L519" s="14">
        <v>1425.5885493005271</v>
      </c>
      <c r="M519" s="14">
        <v>2159.2789299634746</v>
      </c>
      <c r="N519" s="14">
        <v>2787.9538422912547</v>
      </c>
      <c r="O519" s="14">
        <v>3083.7965160304484</v>
      </c>
    </row>
    <row r="520" spans="1:15" x14ac:dyDescent="0.3">
      <c r="A520" s="3" t="str">
        <f>INDEX('R1. Scenario specifications'!$C$11:$C$49,MATCH($B520,'R1. Scenario specifications'!$A$11:$A$49,0))</f>
        <v>Current 2DS, 2020 start, 'Expect the Unexpected' but with cheap EVs</v>
      </c>
      <c r="B520" s="3" t="s">
        <v>47</v>
      </c>
      <c r="C520" s="3" t="s">
        <v>64</v>
      </c>
      <c r="D520" s="3" t="s">
        <v>254</v>
      </c>
      <c r="E520" s="14">
        <v>1633.0249332809897</v>
      </c>
      <c r="F520" s="14">
        <v>1804.9999999999993</v>
      </c>
      <c r="G520" s="14">
        <v>1804.9999999999993</v>
      </c>
      <c r="H520" s="14">
        <v>1442.4317981122206</v>
      </c>
      <c r="I520" s="14">
        <v>441.54204398431278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</row>
    <row r="521" spans="1:15" x14ac:dyDescent="0.3">
      <c r="A521" s="3" t="str">
        <f>INDEX('R1. Scenario specifications'!$C$11:$C$49,MATCH($B521,'R1. Scenario specifications'!$A$11:$A$49,0))</f>
        <v>Current 2DS, 2020 start, 'Expect the Unexpected' but with cheap EVs</v>
      </c>
      <c r="B521" s="3" t="s">
        <v>47</v>
      </c>
      <c r="C521" s="3" t="s">
        <v>65</v>
      </c>
      <c r="D521" s="3" t="s">
        <v>255</v>
      </c>
      <c r="E521" s="14">
        <v>1008.6224302831477</v>
      </c>
      <c r="F521" s="14">
        <v>1634.5557819505236</v>
      </c>
      <c r="G521" s="14">
        <v>2111.6960266729702</v>
      </c>
      <c r="H521" s="14">
        <v>1976.8103500106909</v>
      </c>
      <c r="I521" s="14">
        <v>1095.8969996109838</v>
      </c>
      <c r="J521" s="14">
        <v>762.4666618312782</v>
      </c>
      <c r="K521" s="14">
        <v>1155.1504580055091</v>
      </c>
      <c r="L521" s="14">
        <v>1097.8437468400275</v>
      </c>
      <c r="M521" s="14">
        <v>602.3501041091331</v>
      </c>
      <c r="N521" s="14">
        <v>273.26665183249804</v>
      </c>
      <c r="O521" s="14">
        <v>282.69669246346541</v>
      </c>
    </row>
    <row r="522" spans="1:15" x14ac:dyDescent="0.3">
      <c r="A522" s="3" t="str">
        <f>INDEX('R1. Scenario specifications'!$C$11:$C$49,MATCH($B522,'R1. Scenario specifications'!$A$11:$A$49,0))</f>
        <v>Current 2DS, 2020 start, 'Expect the Unexpected' but with cheap EVs</v>
      </c>
      <c r="B522" s="3" t="s">
        <v>47</v>
      </c>
      <c r="C522" s="3" t="s">
        <v>74</v>
      </c>
      <c r="D522" s="3" t="s">
        <v>255</v>
      </c>
      <c r="E522" s="14">
        <v>0</v>
      </c>
      <c r="F522" s="14">
        <v>0</v>
      </c>
      <c r="G522" s="14">
        <v>0</v>
      </c>
      <c r="H522" s="14">
        <v>0</v>
      </c>
      <c r="I522" s="14">
        <v>1.2414536826588978</v>
      </c>
      <c r="J522" s="14">
        <v>5.0920598744460301</v>
      </c>
      <c r="K522" s="14">
        <v>8.7492241394767749</v>
      </c>
      <c r="L522" s="14">
        <v>61.669170500211912</v>
      </c>
      <c r="M522" s="14">
        <v>572.51892016966667</v>
      </c>
      <c r="N522" s="14">
        <v>1251.6879936801893</v>
      </c>
      <c r="O522" s="14">
        <v>1459.2354824415002</v>
      </c>
    </row>
    <row r="523" spans="1:15" x14ac:dyDescent="0.3">
      <c r="A523" s="3" t="str">
        <f>INDEX('R1. Scenario specifications'!$C$11:$C$49,MATCH($B523,'R1. Scenario specifications'!$A$11:$A$49,0))</f>
        <v>Current 2DS, 2020 start, 'Expect the Unexpected' but with cheap EVs</v>
      </c>
      <c r="B523" s="3" t="s">
        <v>47</v>
      </c>
      <c r="C523" s="3" t="s">
        <v>66</v>
      </c>
      <c r="D523" s="3" t="s">
        <v>258</v>
      </c>
      <c r="E523" s="14">
        <v>31.122062759818384</v>
      </c>
      <c r="F523" s="14">
        <v>28.670816918420648</v>
      </c>
      <c r="G523" s="14">
        <v>113.13800421894352</v>
      </c>
      <c r="H523" s="14">
        <v>158.8032517201448</v>
      </c>
      <c r="I523" s="14">
        <v>205.27815143463766</v>
      </c>
      <c r="J523" s="14">
        <v>281.19462080231187</v>
      </c>
      <c r="K523" s="14">
        <v>437.53084673172623</v>
      </c>
      <c r="L523" s="14">
        <v>499.98120602593599</v>
      </c>
      <c r="M523" s="14">
        <v>557.8773148305454</v>
      </c>
      <c r="N523" s="14">
        <v>818.58694382180158</v>
      </c>
      <c r="O523" s="14">
        <v>909.92314120262461</v>
      </c>
    </row>
    <row r="524" spans="1:15" x14ac:dyDescent="0.3">
      <c r="A524" s="3" t="str">
        <f>INDEX('R1. Scenario specifications'!$C$11:$C$49,MATCH($B524,'R1. Scenario specifications'!$A$11:$A$49,0))</f>
        <v>Current 2DS, 2020 start, 'Expect the Unexpected' but with cheap EVs</v>
      </c>
      <c r="B524" s="3" t="s">
        <v>47</v>
      </c>
      <c r="C524" s="3" t="s">
        <v>67</v>
      </c>
      <c r="D524" s="3" t="s">
        <v>256</v>
      </c>
      <c r="E524" s="14">
        <v>738.24098154394619</v>
      </c>
      <c r="F524" s="14">
        <v>744.22477031191352</v>
      </c>
      <c r="G524" s="14">
        <v>999.8328246673068</v>
      </c>
      <c r="H524" s="14">
        <v>1165.7013704439287</v>
      </c>
      <c r="I524" s="14">
        <v>1341.7784615745381</v>
      </c>
      <c r="J524" s="14">
        <v>1621.722010476987</v>
      </c>
      <c r="K524" s="14">
        <v>1790.1688390908091</v>
      </c>
      <c r="L524" s="14">
        <v>2015.1321848145628</v>
      </c>
      <c r="M524" s="14">
        <v>2308.1737722135408</v>
      </c>
      <c r="N524" s="14">
        <v>2897.0062551587384</v>
      </c>
      <c r="O524" s="14">
        <v>3212.7794288011351</v>
      </c>
    </row>
    <row r="525" spans="1:15" x14ac:dyDescent="0.3">
      <c r="A525" s="3" t="str">
        <f>INDEX('R1. Scenario specifications'!$C$11:$C$49,MATCH($B525,'R1. Scenario specifications'!$A$11:$A$49,0))</f>
        <v>Current 2DS, 2020 start, 'Expect the Unexpected' but with cheap EVs</v>
      </c>
      <c r="B525" s="3" t="s">
        <v>47</v>
      </c>
      <c r="C525" s="3" t="s">
        <v>68</v>
      </c>
      <c r="D525" s="3" t="s">
        <v>257</v>
      </c>
      <c r="E525" s="14">
        <v>381.69394199846289</v>
      </c>
      <c r="F525" s="14">
        <v>393.99999999999972</v>
      </c>
      <c r="G525" s="14">
        <v>647.54384646462074</v>
      </c>
      <c r="H525" s="14">
        <v>599.60750408611364</v>
      </c>
      <c r="I525" s="14">
        <v>621.38807024660889</v>
      </c>
      <c r="J525" s="14">
        <v>860.03854052935924</v>
      </c>
      <c r="K525" s="14">
        <v>1074.25271609473</v>
      </c>
      <c r="L525" s="14">
        <v>1225.575175590903</v>
      </c>
      <c r="M525" s="14">
        <v>1302.1834144467211</v>
      </c>
      <c r="N525" s="14">
        <v>1432.1918690796449</v>
      </c>
      <c r="O525" s="14">
        <v>1482.4943388069485</v>
      </c>
    </row>
    <row r="526" spans="1:15" x14ac:dyDescent="0.3">
      <c r="A526" s="3" t="str">
        <f>INDEX('R1. Scenario specifications'!$C$11:$C$49,MATCH($B526,'R1. Scenario specifications'!$A$11:$A$49,0))</f>
        <v>Current 2DS, 2020 start, 'Expect the Unexpected' but with cheap EVs</v>
      </c>
      <c r="B526" s="3" t="s">
        <v>47</v>
      </c>
      <c r="C526" s="3" t="s">
        <v>69</v>
      </c>
      <c r="D526" s="3" t="s">
        <v>258</v>
      </c>
      <c r="E526" s="14">
        <v>430.81063106061174</v>
      </c>
      <c r="F526" s="14">
        <v>452.4364981864552</v>
      </c>
      <c r="G526" s="14">
        <v>452.8330666776244</v>
      </c>
      <c r="H526" s="14">
        <v>254.99736283399579</v>
      </c>
      <c r="I526" s="14">
        <v>141.16011706361792</v>
      </c>
      <c r="J526" s="14">
        <v>17.735316855471471</v>
      </c>
      <c r="K526" s="14">
        <v>12.938021724770989</v>
      </c>
      <c r="L526" s="14">
        <v>12.330935574181529</v>
      </c>
      <c r="M526" s="14">
        <v>75.339832950564414</v>
      </c>
      <c r="N526" s="14">
        <v>114.85856980409949</v>
      </c>
      <c r="O526" s="14">
        <v>154.02061909605499</v>
      </c>
    </row>
    <row r="527" spans="1:15" x14ac:dyDescent="0.3">
      <c r="A527" s="3" t="str">
        <f>INDEX('R1. Scenario specifications'!$C$11:$C$49,MATCH($B527,'R1. Scenario specifications'!$A$11:$A$49,0))</f>
        <v>Current 2DS, 2020 start, 'Expect the Unexpected' but with cheap EVs</v>
      </c>
      <c r="B527" s="3" t="s">
        <v>47</v>
      </c>
      <c r="C527" s="3" t="s">
        <v>70</v>
      </c>
      <c r="D527" s="3" t="s">
        <v>259</v>
      </c>
      <c r="E527" s="14">
        <v>13.930776255707762</v>
      </c>
      <c r="F527" s="14">
        <v>96.560908546679059</v>
      </c>
      <c r="G527" s="14">
        <v>193.62720812488871</v>
      </c>
      <c r="H527" s="14">
        <v>692.12087012939855</v>
      </c>
      <c r="I527" s="14">
        <v>2699.0766574438003</v>
      </c>
      <c r="J527" s="14">
        <v>5381.8976862768359</v>
      </c>
      <c r="K527" s="14">
        <v>6917.2832894200465</v>
      </c>
      <c r="L527" s="14">
        <v>9030.0826663618645</v>
      </c>
      <c r="M527" s="14">
        <v>11516.052414499207</v>
      </c>
      <c r="N527" s="14">
        <v>18010.990639099473</v>
      </c>
      <c r="O527" s="14">
        <v>20652.333842034092</v>
      </c>
    </row>
    <row r="528" spans="1:15" x14ac:dyDescent="0.3">
      <c r="A528" s="3" t="str">
        <f>INDEX('R1. Scenario specifications'!$C$11:$C$49,MATCH($B528,'R1. Scenario specifications'!$A$11:$A$49,0))</f>
        <v>Current 2DS, 2020 start, 'Expect the Unexpected' but with cheap EVs</v>
      </c>
      <c r="B528" s="3" t="s">
        <v>47</v>
      </c>
      <c r="C528" s="3" t="s">
        <v>71</v>
      </c>
      <c r="D528" s="3" t="s">
        <v>259</v>
      </c>
      <c r="E528" s="14">
        <v>11.2241111111111</v>
      </c>
      <c r="F528" s="14">
        <v>12.249511111111101</v>
      </c>
      <c r="G528" s="14">
        <v>13.0611055551111</v>
      </c>
      <c r="H528" s="14">
        <v>13.059505551511098</v>
      </c>
      <c r="I528" s="14">
        <v>13.061351014222497</v>
      </c>
      <c r="J528" s="14">
        <v>13.077835493553415</v>
      </c>
      <c r="K528" s="14">
        <v>13.164954146497212</v>
      </c>
      <c r="L528" s="14">
        <v>13.590060904954488</v>
      </c>
      <c r="M528" s="14">
        <v>14.614268303486682</v>
      </c>
      <c r="N528" s="14">
        <v>19.546410896254532</v>
      </c>
      <c r="O528" s="14">
        <v>19.54401089625453</v>
      </c>
    </row>
    <row r="529" spans="1:15" x14ac:dyDescent="0.3">
      <c r="A529" s="3" t="str">
        <f>INDEX('R1. Scenario specifications'!$C$11:$C$49,MATCH($B529,'R1. Scenario specifications'!$A$11:$A$49,0))</f>
        <v>Current 2DS, 2020 start, 'Expect the Unexpected' but with cheap EVs</v>
      </c>
      <c r="B529" s="3" t="s">
        <v>47</v>
      </c>
      <c r="C529" s="3" t="s">
        <v>75</v>
      </c>
      <c r="D529" s="3" t="s">
        <v>258</v>
      </c>
      <c r="E529" s="14">
        <v>0.31124745380476826</v>
      </c>
      <c r="F529" s="14">
        <v>0.28314462712947408</v>
      </c>
      <c r="G529" s="14">
        <v>0.23818010444900301</v>
      </c>
      <c r="H529" s="14">
        <v>0.15878673629933501</v>
      </c>
      <c r="I529" s="14">
        <v>7.9393368149667701E-2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</row>
    <row r="530" spans="1:15" x14ac:dyDescent="0.3">
      <c r="A530" s="3" t="str">
        <f>INDEX('R1. Scenario specifications'!$C$11:$C$49,MATCH($B530,'R1. Scenario specifications'!$A$11:$A$49,0))</f>
        <v>Current 2DS, 2020 start, 'Expect the Unexpected' but with cheap EVs</v>
      </c>
      <c r="B530" s="3" t="s">
        <v>47</v>
      </c>
      <c r="C530" s="3" t="s">
        <v>72</v>
      </c>
      <c r="D530" s="3" t="s">
        <v>260</v>
      </c>
      <c r="E530" s="14">
        <v>217.76839471634247</v>
      </c>
      <c r="F530" s="14">
        <v>242.99857406704328</v>
      </c>
      <c r="G530" s="14">
        <v>365.36686102816424</v>
      </c>
      <c r="H530" s="14">
        <v>1363.5364208790481</v>
      </c>
      <c r="I530" s="14">
        <v>3498.0078087088623</v>
      </c>
      <c r="J530" s="14">
        <v>4722.7069112869358</v>
      </c>
      <c r="K530" s="14">
        <v>6442.623474018962</v>
      </c>
      <c r="L530" s="14">
        <v>8379.0489306619875</v>
      </c>
      <c r="M530" s="14">
        <v>11466.38296530673</v>
      </c>
      <c r="N530" s="14">
        <v>18380.303174068966</v>
      </c>
      <c r="O530" s="14">
        <v>23351.526851451625</v>
      </c>
    </row>
    <row r="531" spans="1:15" x14ac:dyDescent="0.3">
      <c r="A531" s="3" t="str">
        <f>INDEX('R1. Scenario specifications'!$C$11:$C$49,MATCH($B531,'R1. Scenario specifications'!$A$11:$A$49,0))</f>
        <v>Current 2DS, 2030 start, 'Expect the Unexpected' but with cheap EVs</v>
      </c>
      <c r="B531" s="3" t="s">
        <v>48</v>
      </c>
      <c r="C531" s="3" t="s">
        <v>63</v>
      </c>
      <c r="D531" s="3" t="s">
        <v>253</v>
      </c>
      <c r="E531" s="14">
        <v>19.526838931037336</v>
      </c>
      <c r="F531" s="14">
        <v>26.141237482570887</v>
      </c>
      <c r="G531" s="14">
        <v>117.10981417316707</v>
      </c>
      <c r="H531" s="14">
        <v>412.30855682261659</v>
      </c>
      <c r="I531" s="14">
        <v>639.25535975014566</v>
      </c>
      <c r="J531" s="14">
        <v>633.18396229751647</v>
      </c>
      <c r="K531" s="14">
        <v>383.27573040452495</v>
      </c>
      <c r="L531" s="14">
        <v>146.8175897393532</v>
      </c>
      <c r="M531" s="14">
        <v>56.412473805940699</v>
      </c>
      <c r="N531" s="14">
        <v>6.1410339106258096</v>
      </c>
      <c r="O531" s="14">
        <v>6.1410339106258096</v>
      </c>
    </row>
    <row r="532" spans="1:15" x14ac:dyDescent="0.3">
      <c r="A532" s="3" t="str">
        <f>INDEX('R1. Scenario specifications'!$C$11:$C$49,MATCH($B532,'R1. Scenario specifications'!$A$11:$A$49,0))</f>
        <v>Current 2DS, 2030 start, 'Expect the Unexpected' but with cheap EVs</v>
      </c>
      <c r="B532" s="3" t="s">
        <v>48</v>
      </c>
      <c r="C532" s="3" t="s">
        <v>73</v>
      </c>
      <c r="D532" s="3" t="s">
        <v>253</v>
      </c>
      <c r="E532" s="14">
        <v>0</v>
      </c>
      <c r="F532" s="14">
        <v>0</v>
      </c>
      <c r="G532" s="14">
        <v>0</v>
      </c>
      <c r="H532" s="14">
        <v>0</v>
      </c>
      <c r="I532" s="14">
        <v>9.0173524772114675</v>
      </c>
      <c r="J532" s="14">
        <v>74.129969538189656</v>
      </c>
      <c r="K532" s="14">
        <v>448.00967432742414</v>
      </c>
      <c r="L532" s="14">
        <v>1321.8611332718463</v>
      </c>
      <c r="M532" s="14">
        <v>2343.9290293829449</v>
      </c>
      <c r="N532" s="14">
        <v>2899.7128805331777</v>
      </c>
      <c r="O532" s="14">
        <v>3151.3319952229053</v>
      </c>
    </row>
    <row r="533" spans="1:15" x14ac:dyDescent="0.3">
      <c r="A533" s="3" t="str">
        <f>INDEX('R1. Scenario specifications'!$C$11:$C$49,MATCH($B533,'R1. Scenario specifications'!$A$11:$A$49,0))</f>
        <v>Current 2DS, 2030 start, 'Expect the Unexpected' but with cheap EVs</v>
      </c>
      <c r="B533" s="3" t="s">
        <v>48</v>
      </c>
      <c r="C533" s="3" t="s">
        <v>64</v>
      </c>
      <c r="D533" s="3" t="s">
        <v>254</v>
      </c>
      <c r="E533" s="14">
        <v>1633.0249332809897</v>
      </c>
      <c r="F533" s="14">
        <v>1804.9999999999993</v>
      </c>
      <c r="G533" s="14">
        <v>1804.9999999999993</v>
      </c>
      <c r="H533" s="14">
        <v>1458.8285858367421</v>
      </c>
      <c r="I533" s="14">
        <v>457.93883170883436</v>
      </c>
      <c r="J533" s="14">
        <v>16.396787724521602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</row>
    <row r="534" spans="1:15" x14ac:dyDescent="0.3">
      <c r="A534" s="3" t="str">
        <f>INDEX('R1. Scenario specifications'!$C$11:$C$49,MATCH($B534,'R1. Scenario specifications'!$A$11:$A$49,0))</f>
        <v>Current 2DS, 2030 start, 'Expect the Unexpected' but with cheap EVs</v>
      </c>
      <c r="B534" s="3" t="s">
        <v>48</v>
      </c>
      <c r="C534" s="3" t="s">
        <v>65</v>
      </c>
      <c r="D534" s="3" t="s">
        <v>255</v>
      </c>
      <c r="E534" s="14">
        <v>1008.6224302831477</v>
      </c>
      <c r="F534" s="14">
        <v>1634.5557819505236</v>
      </c>
      <c r="G534" s="14">
        <v>2111.6960266729702</v>
      </c>
      <c r="H534" s="14">
        <v>1960.1606269560627</v>
      </c>
      <c r="I534" s="14">
        <v>1066.3144117609177</v>
      </c>
      <c r="J534" s="14">
        <v>743.64874865808304</v>
      </c>
      <c r="K534" s="14">
        <v>1064.049496074344</v>
      </c>
      <c r="L534" s="14">
        <v>998.35770794601854</v>
      </c>
      <c r="M534" s="14">
        <v>516.20115872018607</v>
      </c>
      <c r="N534" s="14">
        <v>247.08722458701249</v>
      </c>
      <c r="O534" s="14">
        <v>317.66546187158946</v>
      </c>
    </row>
    <row r="535" spans="1:15" x14ac:dyDescent="0.3">
      <c r="A535" s="3" t="str">
        <f>INDEX('R1. Scenario specifications'!$C$11:$C$49,MATCH($B535,'R1. Scenario specifications'!$A$11:$A$49,0))</f>
        <v>Current 2DS, 2030 start, 'Expect the Unexpected' but with cheap EVs</v>
      </c>
      <c r="B535" s="3" t="s">
        <v>48</v>
      </c>
      <c r="C535" s="3" t="s">
        <v>74</v>
      </c>
      <c r="D535" s="3" t="s">
        <v>255</v>
      </c>
      <c r="E535" s="14">
        <v>0</v>
      </c>
      <c r="F535" s="14">
        <v>0</v>
      </c>
      <c r="G535" s="14">
        <v>0</v>
      </c>
      <c r="H535" s="14">
        <v>0</v>
      </c>
      <c r="I535" s="14">
        <v>2.3317069753001332</v>
      </c>
      <c r="J535" s="14">
        <v>10.146057233909424</v>
      </c>
      <c r="K535" s="14">
        <v>47.827202669882212</v>
      </c>
      <c r="L535" s="14">
        <v>159.38466961256921</v>
      </c>
      <c r="M535" s="14">
        <v>589.13314225866532</v>
      </c>
      <c r="N535" s="14">
        <v>1198.1152795825967</v>
      </c>
      <c r="O535" s="14">
        <v>1394.5901885165986</v>
      </c>
    </row>
    <row r="536" spans="1:15" x14ac:dyDescent="0.3">
      <c r="A536" s="3" t="str">
        <f>INDEX('R1. Scenario specifications'!$C$11:$C$49,MATCH($B536,'R1. Scenario specifications'!$A$11:$A$49,0))</f>
        <v>Current 2DS, 2030 start, 'Expect the Unexpected' but with cheap EVs</v>
      </c>
      <c r="B536" s="3" t="s">
        <v>48</v>
      </c>
      <c r="C536" s="3" t="s">
        <v>66</v>
      </c>
      <c r="D536" s="3" t="s">
        <v>258</v>
      </c>
      <c r="E536" s="14">
        <v>31.122062759818384</v>
      </c>
      <c r="F536" s="14">
        <v>28.670816918420648</v>
      </c>
      <c r="G536" s="14">
        <v>113.13800421894352</v>
      </c>
      <c r="H536" s="14">
        <v>158.43269338625092</v>
      </c>
      <c r="I536" s="14">
        <v>204.90759310074378</v>
      </c>
      <c r="J536" s="14">
        <v>291.70597626601102</v>
      </c>
      <c r="K536" s="14">
        <v>494.29457080604641</v>
      </c>
      <c r="L536" s="14">
        <v>513.29208936531188</v>
      </c>
      <c r="M536" s="14">
        <v>551.78920555229001</v>
      </c>
      <c r="N536" s="14">
        <v>794.98651080571631</v>
      </c>
      <c r="O536" s="14">
        <v>983.2988404038008</v>
      </c>
    </row>
    <row r="537" spans="1:15" x14ac:dyDescent="0.3">
      <c r="A537" s="3" t="str">
        <f>INDEX('R1. Scenario specifications'!$C$11:$C$49,MATCH($B537,'R1. Scenario specifications'!$A$11:$A$49,0))</f>
        <v>Current 2DS, 2030 start, 'Expect the Unexpected' but with cheap EVs</v>
      </c>
      <c r="B537" s="3" t="s">
        <v>48</v>
      </c>
      <c r="C537" s="3" t="s">
        <v>67</v>
      </c>
      <c r="D537" s="3" t="s">
        <v>256</v>
      </c>
      <c r="E537" s="14">
        <v>738.24098154394619</v>
      </c>
      <c r="F537" s="14">
        <v>744.22477031191352</v>
      </c>
      <c r="G537" s="14">
        <v>999.8328246673068</v>
      </c>
      <c r="H537" s="14">
        <v>1153.8656291758321</v>
      </c>
      <c r="I537" s="14">
        <v>1316.819613660105</v>
      </c>
      <c r="J537" s="14">
        <v>1653.8229037723581</v>
      </c>
      <c r="K537" s="14">
        <v>1831.7372274622262</v>
      </c>
      <c r="L537" s="14">
        <v>1972.1382528832103</v>
      </c>
      <c r="M537" s="14">
        <v>2325.4393807678366</v>
      </c>
      <c r="N537" s="14">
        <v>3024.8552918903406</v>
      </c>
      <c r="O537" s="14">
        <v>3227.872325385481</v>
      </c>
    </row>
    <row r="538" spans="1:15" x14ac:dyDescent="0.3">
      <c r="A538" s="3" t="str">
        <f>INDEX('R1. Scenario specifications'!$C$11:$C$49,MATCH($B538,'R1. Scenario specifications'!$A$11:$A$49,0))</f>
        <v>Current 2DS, 2030 start, 'Expect the Unexpected' but with cheap EVs</v>
      </c>
      <c r="B538" s="3" t="s">
        <v>48</v>
      </c>
      <c r="C538" s="3" t="s">
        <v>68</v>
      </c>
      <c r="D538" s="3" t="s">
        <v>257</v>
      </c>
      <c r="E538" s="14">
        <v>381.69394199846289</v>
      </c>
      <c r="F538" s="14">
        <v>393.99999999999972</v>
      </c>
      <c r="G538" s="14">
        <v>647.54384646462074</v>
      </c>
      <c r="H538" s="14">
        <v>599.60750408611364</v>
      </c>
      <c r="I538" s="14">
        <v>574.22438013504609</v>
      </c>
      <c r="J538" s="14">
        <v>887.40907474411711</v>
      </c>
      <c r="K538" s="14">
        <v>1096.2661564345794</v>
      </c>
      <c r="L538" s="14">
        <v>1224.6145157595295</v>
      </c>
      <c r="M538" s="14">
        <v>1321.0991484885217</v>
      </c>
      <c r="N538" s="14">
        <v>1432.061885810373</v>
      </c>
      <c r="O538" s="14">
        <v>1482.4943388069476</v>
      </c>
    </row>
    <row r="539" spans="1:15" x14ac:dyDescent="0.3">
      <c r="A539" s="3" t="str">
        <f>INDEX('R1. Scenario specifications'!$C$11:$C$49,MATCH($B539,'R1. Scenario specifications'!$A$11:$A$49,0))</f>
        <v>Current 2DS, 2030 start, 'Expect the Unexpected' but with cheap EVs</v>
      </c>
      <c r="B539" s="3" t="s">
        <v>48</v>
      </c>
      <c r="C539" s="3" t="s">
        <v>69</v>
      </c>
      <c r="D539" s="3" t="s">
        <v>258</v>
      </c>
      <c r="E539" s="14">
        <v>430.81063106061174</v>
      </c>
      <c r="F539" s="14">
        <v>452.4364981864552</v>
      </c>
      <c r="G539" s="14">
        <v>452.8330666776244</v>
      </c>
      <c r="H539" s="14">
        <v>256.83855764560741</v>
      </c>
      <c r="I539" s="14">
        <v>139.27005411781883</v>
      </c>
      <c r="J539" s="14">
        <v>14.004059098060768</v>
      </c>
      <c r="K539" s="14">
        <v>13.72094117752351</v>
      </c>
      <c r="L539" s="14">
        <v>19.75025201589272</v>
      </c>
      <c r="M539" s="14">
        <v>84.229763561677061</v>
      </c>
      <c r="N539" s="14">
        <v>129.06250049817851</v>
      </c>
      <c r="O539" s="14">
        <v>151.63591754027121</v>
      </c>
    </row>
    <row r="540" spans="1:15" x14ac:dyDescent="0.3">
      <c r="A540" s="3" t="str">
        <f>INDEX('R1. Scenario specifications'!$C$11:$C$49,MATCH($B540,'R1. Scenario specifications'!$A$11:$A$49,0))</f>
        <v>Current 2DS, 2030 start, 'Expect the Unexpected' but with cheap EVs</v>
      </c>
      <c r="B540" s="3" t="s">
        <v>48</v>
      </c>
      <c r="C540" s="3" t="s">
        <v>70</v>
      </c>
      <c r="D540" s="3" t="s">
        <v>259</v>
      </c>
      <c r="E540" s="14">
        <v>13.930776255707762</v>
      </c>
      <c r="F540" s="14">
        <v>96.560908546679059</v>
      </c>
      <c r="G540" s="14">
        <v>193.62720812488871</v>
      </c>
      <c r="H540" s="14">
        <v>564.29121895346805</v>
      </c>
      <c r="I540" s="14">
        <v>2318.8077405038307</v>
      </c>
      <c r="J540" s="14">
        <v>5336.7618882983425</v>
      </c>
      <c r="K540" s="14">
        <v>7161.7679700399322</v>
      </c>
      <c r="L540" s="14">
        <v>9035.2223091509859</v>
      </c>
      <c r="M540" s="14">
        <v>12414.040435238125</v>
      </c>
      <c r="N540" s="14">
        <v>18987.310430552086</v>
      </c>
      <c r="O540" s="14">
        <v>21408.181907783921</v>
      </c>
    </row>
    <row r="541" spans="1:15" x14ac:dyDescent="0.3">
      <c r="A541" s="3" t="str">
        <f>INDEX('R1. Scenario specifications'!$C$11:$C$49,MATCH($B541,'R1. Scenario specifications'!$A$11:$A$49,0))</f>
        <v>Current 2DS, 2030 start, 'Expect the Unexpected' but with cheap EVs</v>
      </c>
      <c r="B541" s="3" t="s">
        <v>48</v>
      </c>
      <c r="C541" s="3" t="s">
        <v>71</v>
      </c>
      <c r="D541" s="3" t="s">
        <v>259</v>
      </c>
      <c r="E541" s="14">
        <v>11.2241111111111</v>
      </c>
      <c r="F541" s="14">
        <v>12.249511111111101</v>
      </c>
      <c r="G541" s="14">
        <v>13.0611055551111</v>
      </c>
      <c r="H541" s="14">
        <v>13.059905555111095</v>
      </c>
      <c r="I541" s="14">
        <v>13.056802652205363</v>
      </c>
      <c r="J541" s="14">
        <v>13.058648114916753</v>
      </c>
      <c r="K541" s="14">
        <v>13.075532594247676</v>
      </c>
      <c r="L541" s="14">
        <v>13.162565933585491</v>
      </c>
      <c r="M541" s="14">
        <v>13.373834703446189</v>
      </c>
      <c r="N541" s="14">
        <v>14.398320817202183</v>
      </c>
      <c r="O541" s="14">
        <v>14.395920817202184</v>
      </c>
    </row>
    <row r="542" spans="1:15" x14ac:dyDescent="0.3">
      <c r="A542" s="3" t="str">
        <f>INDEX('R1. Scenario specifications'!$C$11:$C$49,MATCH($B542,'R1. Scenario specifications'!$A$11:$A$49,0))</f>
        <v>Current 2DS, 2030 start, 'Expect the Unexpected' but with cheap EVs</v>
      </c>
      <c r="B542" s="3" t="s">
        <v>48</v>
      </c>
      <c r="C542" s="3" t="s">
        <v>75</v>
      </c>
      <c r="D542" s="3" t="s">
        <v>258</v>
      </c>
      <c r="E542" s="14">
        <v>0.31124745380476826</v>
      </c>
      <c r="F542" s="14">
        <v>0.28314462712947408</v>
      </c>
      <c r="G542" s="14">
        <v>0.23818010444900301</v>
      </c>
      <c r="H542" s="14">
        <v>0.15878673629933501</v>
      </c>
      <c r="I542" s="14">
        <v>7.9393368149667701E-2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</row>
    <row r="543" spans="1:15" x14ac:dyDescent="0.3">
      <c r="A543" s="3" t="str">
        <f>INDEX('R1. Scenario specifications'!$C$11:$C$49,MATCH($B543,'R1. Scenario specifications'!$A$11:$A$49,0))</f>
        <v>Current 2DS, 2030 start, 'Expect the Unexpected' but with cheap EVs</v>
      </c>
      <c r="B543" s="3" t="s">
        <v>48</v>
      </c>
      <c r="C543" s="3" t="s">
        <v>72</v>
      </c>
      <c r="D543" s="3" t="s">
        <v>260</v>
      </c>
      <c r="E543" s="14">
        <v>217.76839471634247</v>
      </c>
      <c r="F543" s="14">
        <v>242.99857406704328</v>
      </c>
      <c r="G543" s="14">
        <v>365.36686102816424</v>
      </c>
      <c r="H543" s="14">
        <v>1381.7602614741115</v>
      </c>
      <c r="I543" s="14">
        <v>3490.3483129370211</v>
      </c>
      <c r="J543" s="14">
        <v>4690.9693843343202</v>
      </c>
      <c r="K543" s="14">
        <v>6492.6203573204475</v>
      </c>
      <c r="L543" s="14">
        <v>8453.9254120803926</v>
      </c>
      <c r="M543" s="14">
        <v>11934.215631054965</v>
      </c>
      <c r="N543" s="14">
        <v>19252.362722729333</v>
      </c>
      <c r="O543" s="14">
        <v>23834.042752842033</v>
      </c>
    </row>
    <row r="544" spans="1:15" x14ac:dyDescent="0.3">
      <c r="A544" s="3" t="str">
        <f>INDEX('R1. Scenario specifications'!$C$11:$C$49,MATCH($B544,'R1. Scenario specifications'!$A$11:$A$49,0))</f>
        <v>Current 2DS, 2020 start, 'Expect the Unexpected' but with cheap energy efficiency</v>
      </c>
      <c r="B544" s="3" t="s">
        <v>49</v>
      </c>
      <c r="C544" s="3" t="s">
        <v>63</v>
      </c>
      <c r="D544" s="3" t="s">
        <v>253</v>
      </c>
      <c r="E544" s="14">
        <v>19.526838931037336</v>
      </c>
      <c r="F544" s="14">
        <v>26.141237482570887</v>
      </c>
      <c r="G544" s="14">
        <v>117.10981417316707</v>
      </c>
      <c r="H544" s="14">
        <v>447.12116502253241</v>
      </c>
      <c r="I544" s="14">
        <v>521.62774100119782</v>
      </c>
      <c r="J544" s="14">
        <v>616.88105498167147</v>
      </c>
      <c r="K544" s="14">
        <v>334.24912964660615</v>
      </c>
      <c r="L544" s="14">
        <v>250.2312159302974</v>
      </c>
      <c r="M544" s="14">
        <v>54.147344190548701</v>
      </c>
      <c r="N544" s="14">
        <v>5.9462345351731098</v>
      </c>
      <c r="O544" s="14">
        <v>5.9462345351731098</v>
      </c>
    </row>
    <row r="545" spans="1:15" x14ac:dyDescent="0.3">
      <c r="A545" s="3" t="str">
        <f>INDEX('R1. Scenario specifications'!$C$11:$C$49,MATCH($B545,'R1. Scenario specifications'!$A$11:$A$49,0))</f>
        <v>Current 2DS, 2020 start, 'Expect the Unexpected' but with cheap energy efficiency</v>
      </c>
      <c r="B545" s="3" t="s">
        <v>49</v>
      </c>
      <c r="C545" s="3" t="s">
        <v>73</v>
      </c>
      <c r="D545" s="3" t="s">
        <v>253</v>
      </c>
      <c r="E545" s="14">
        <v>0</v>
      </c>
      <c r="F545" s="14">
        <v>0</v>
      </c>
      <c r="G545" s="14">
        <v>0</v>
      </c>
      <c r="H545" s="14">
        <v>1.306071772087678</v>
      </c>
      <c r="I545" s="14">
        <v>12.33878024553014</v>
      </c>
      <c r="J545" s="14">
        <v>82.232862719081993</v>
      </c>
      <c r="K545" s="14">
        <v>354.69457660453361</v>
      </c>
      <c r="L545" s="14">
        <v>909.91944171719911</v>
      </c>
      <c r="M545" s="14">
        <v>1724.2015875865707</v>
      </c>
      <c r="N545" s="14">
        <v>2406.6082225552818</v>
      </c>
      <c r="O545" s="14">
        <v>2983.6131561461516</v>
      </c>
    </row>
    <row r="546" spans="1:15" x14ac:dyDescent="0.3">
      <c r="A546" s="3" t="str">
        <f>INDEX('R1. Scenario specifications'!$C$11:$C$49,MATCH($B546,'R1. Scenario specifications'!$A$11:$A$49,0))</f>
        <v>Current 2DS, 2020 start, 'Expect the Unexpected' but with cheap energy efficiency</v>
      </c>
      <c r="B546" s="3" t="s">
        <v>49</v>
      </c>
      <c r="C546" s="3" t="s">
        <v>64</v>
      </c>
      <c r="D546" s="3" t="s">
        <v>254</v>
      </c>
      <c r="E546" s="14">
        <v>1633.0249332809897</v>
      </c>
      <c r="F546" s="14">
        <v>1804.9999999999993</v>
      </c>
      <c r="G546" s="14">
        <v>1804.9999999999993</v>
      </c>
      <c r="H546" s="14">
        <v>1442.4317981122206</v>
      </c>
      <c r="I546" s="14">
        <v>441.54204398431278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</row>
    <row r="547" spans="1:15" x14ac:dyDescent="0.3">
      <c r="A547" s="3" t="str">
        <f>INDEX('R1. Scenario specifications'!$C$11:$C$49,MATCH($B547,'R1. Scenario specifications'!$A$11:$A$49,0))</f>
        <v>Current 2DS, 2020 start, 'Expect the Unexpected' but with cheap energy efficiency</v>
      </c>
      <c r="B547" s="3" t="s">
        <v>49</v>
      </c>
      <c r="C547" s="3" t="s">
        <v>65</v>
      </c>
      <c r="D547" s="3" t="s">
        <v>255</v>
      </c>
      <c r="E547" s="14">
        <v>1008.6224302831477</v>
      </c>
      <c r="F547" s="14">
        <v>1634.5557819505236</v>
      </c>
      <c r="G547" s="14">
        <v>2111.6960266729702</v>
      </c>
      <c r="H547" s="14">
        <v>1971.0573674042437</v>
      </c>
      <c r="I547" s="14">
        <v>1046.0505586919462</v>
      </c>
      <c r="J547" s="14">
        <v>458.26907672564863</v>
      </c>
      <c r="K547" s="14">
        <v>569.17027161424721</v>
      </c>
      <c r="L547" s="14">
        <v>625.70674053268647</v>
      </c>
      <c r="M547" s="14">
        <v>403.73679051815623</v>
      </c>
      <c r="N547" s="14">
        <v>325.08051006009958</v>
      </c>
      <c r="O547" s="14">
        <v>283.35373801969979</v>
      </c>
    </row>
    <row r="548" spans="1:15" x14ac:dyDescent="0.3">
      <c r="A548" s="3" t="str">
        <f>INDEX('R1. Scenario specifications'!$C$11:$C$49,MATCH($B548,'R1. Scenario specifications'!$A$11:$A$49,0))</f>
        <v>Current 2DS, 2020 start, 'Expect the Unexpected' but with cheap energy efficiency</v>
      </c>
      <c r="B548" s="3" t="s">
        <v>49</v>
      </c>
      <c r="C548" s="3" t="s">
        <v>74</v>
      </c>
      <c r="D548" s="3" t="s">
        <v>255</v>
      </c>
      <c r="E548" s="14">
        <v>0</v>
      </c>
      <c r="F548" s="14">
        <v>0</v>
      </c>
      <c r="G548" s="14">
        <v>0</v>
      </c>
      <c r="H548" s="14">
        <v>6.0200992392948099E-2</v>
      </c>
      <c r="I548" s="14">
        <v>0.27524182130227481</v>
      </c>
      <c r="J548" s="14">
        <v>1.3916029247626103</v>
      </c>
      <c r="K548" s="14">
        <v>2.5310677165163167</v>
      </c>
      <c r="L548" s="14">
        <v>26.117387599886868</v>
      </c>
      <c r="M548" s="14">
        <v>117.34018530780909</v>
      </c>
      <c r="N548" s="14">
        <v>230.32785671649333</v>
      </c>
      <c r="O548" s="14">
        <v>546.34100300818511</v>
      </c>
    </row>
    <row r="549" spans="1:15" x14ac:dyDescent="0.3">
      <c r="A549" s="3" t="str">
        <f>INDEX('R1. Scenario specifications'!$C$11:$C$49,MATCH($B549,'R1. Scenario specifications'!$A$11:$A$49,0))</f>
        <v>Current 2DS, 2020 start, 'Expect the Unexpected' but with cheap energy efficiency</v>
      </c>
      <c r="B549" s="3" t="s">
        <v>49</v>
      </c>
      <c r="C549" s="3" t="s">
        <v>66</v>
      </c>
      <c r="D549" s="3" t="s">
        <v>258</v>
      </c>
      <c r="E549" s="14">
        <v>31.122062759818384</v>
      </c>
      <c r="F549" s="14">
        <v>28.670816918420648</v>
      </c>
      <c r="G549" s="14">
        <v>113.13800421894352</v>
      </c>
      <c r="H549" s="14">
        <v>158.8032517201448</v>
      </c>
      <c r="I549" s="14">
        <v>204.46849922134606</v>
      </c>
      <c r="J549" s="14">
        <v>248.73338784481155</v>
      </c>
      <c r="K549" s="14">
        <v>245.91868350139669</v>
      </c>
      <c r="L549" s="14">
        <v>242.89243386711945</v>
      </c>
      <c r="M549" s="14">
        <v>265.73477106070442</v>
      </c>
      <c r="N549" s="14">
        <v>400.98186839942775</v>
      </c>
      <c r="O549" s="14">
        <v>653.41174300425087</v>
      </c>
    </row>
    <row r="550" spans="1:15" x14ac:dyDescent="0.3">
      <c r="A550" s="3" t="str">
        <f>INDEX('R1. Scenario specifications'!$C$11:$C$49,MATCH($B550,'R1. Scenario specifications'!$A$11:$A$49,0))</f>
        <v>Current 2DS, 2020 start, 'Expect the Unexpected' but with cheap energy efficiency</v>
      </c>
      <c r="B550" s="3" t="s">
        <v>49</v>
      </c>
      <c r="C550" s="3" t="s">
        <v>67</v>
      </c>
      <c r="D550" s="3" t="s">
        <v>256</v>
      </c>
      <c r="E550" s="14">
        <v>738.24098154394619</v>
      </c>
      <c r="F550" s="14">
        <v>744.22477031191352</v>
      </c>
      <c r="G550" s="14">
        <v>999.8328246673068</v>
      </c>
      <c r="H550" s="14">
        <v>1160.7385742979602</v>
      </c>
      <c r="I550" s="14">
        <v>1318.1118034867989</v>
      </c>
      <c r="J550" s="14">
        <v>1502.7388154657456</v>
      </c>
      <c r="K550" s="14">
        <v>1629.9550029738191</v>
      </c>
      <c r="L550" s="14">
        <v>1715.6725137042022</v>
      </c>
      <c r="M550" s="14">
        <v>1859.2362576383323</v>
      </c>
      <c r="N550" s="14">
        <v>2238.1781832852753</v>
      </c>
      <c r="O550" s="14">
        <v>2673.137908112034</v>
      </c>
    </row>
    <row r="551" spans="1:15" x14ac:dyDescent="0.3">
      <c r="A551" s="3" t="str">
        <f>INDEX('R1. Scenario specifications'!$C$11:$C$49,MATCH($B551,'R1. Scenario specifications'!$A$11:$A$49,0))</f>
        <v>Current 2DS, 2020 start, 'Expect the Unexpected' but with cheap energy efficiency</v>
      </c>
      <c r="B551" s="3" t="s">
        <v>49</v>
      </c>
      <c r="C551" s="3" t="s">
        <v>68</v>
      </c>
      <c r="D551" s="3" t="s">
        <v>257</v>
      </c>
      <c r="E551" s="14">
        <v>381.69394199846289</v>
      </c>
      <c r="F551" s="14">
        <v>393.99999999999972</v>
      </c>
      <c r="G551" s="14">
        <v>647.54384646462074</v>
      </c>
      <c r="H551" s="14">
        <v>599.60750408611364</v>
      </c>
      <c r="I551" s="14">
        <v>621.04176778133706</v>
      </c>
      <c r="J551" s="14">
        <v>792.12495340202838</v>
      </c>
      <c r="K551" s="14">
        <v>989.61625758293587</v>
      </c>
      <c r="L551" s="14">
        <v>1116.8516292390179</v>
      </c>
      <c r="M551" s="14">
        <v>1261.1261405864534</v>
      </c>
      <c r="N551" s="14">
        <v>1419.2524160612929</v>
      </c>
      <c r="O551" s="14">
        <v>1435.5762767239362</v>
      </c>
    </row>
    <row r="552" spans="1:15" x14ac:dyDescent="0.3">
      <c r="A552" s="3" t="str">
        <f>INDEX('R1. Scenario specifications'!$C$11:$C$49,MATCH($B552,'R1. Scenario specifications'!$A$11:$A$49,0))</f>
        <v>Current 2DS, 2020 start, 'Expect the Unexpected' but with cheap energy efficiency</v>
      </c>
      <c r="B552" s="3" t="s">
        <v>49</v>
      </c>
      <c r="C552" s="3" t="s">
        <v>69</v>
      </c>
      <c r="D552" s="3" t="s">
        <v>258</v>
      </c>
      <c r="E552" s="14">
        <v>430.81063106061174</v>
      </c>
      <c r="F552" s="14">
        <v>452.4364981864552</v>
      </c>
      <c r="G552" s="14">
        <v>452.8330666776244</v>
      </c>
      <c r="H552" s="14">
        <v>254.55952459154003</v>
      </c>
      <c r="I552" s="14">
        <v>136.16861833237351</v>
      </c>
      <c r="J552" s="14">
        <v>13.181656366682827</v>
      </c>
      <c r="K552" s="14">
        <v>5.8056942231844308</v>
      </c>
      <c r="L552" s="14">
        <v>16.2616610788861</v>
      </c>
      <c r="M552" s="14">
        <v>27.923266180264321</v>
      </c>
      <c r="N552" s="14">
        <v>62.342797235731354</v>
      </c>
      <c r="O552" s="14">
        <v>103.41282663004131</v>
      </c>
    </row>
    <row r="553" spans="1:15" x14ac:dyDescent="0.3">
      <c r="A553" s="3" t="str">
        <f>INDEX('R1. Scenario specifications'!$C$11:$C$49,MATCH($B553,'R1. Scenario specifications'!$A$11:$A$49,0))</f>
        <v>Current 2DS, 2020 start, 'Expect the Unexpected' but with cheap energy efficiency</v>
      </c>
      <c r="B553" s="3" t="s">
        <v>49</v>
      </c>
      <c r="C553" s="3" t="s">
        <v>70</v>
      </c>
      <c r="D553" s="3" t="s">
        <v>259</v>
      </c>
      <c r="E553" s="14">
        <v>13.930776255707762</v>
      </c>
      <c r="F553" s="14">
        <v>96.560908546679059</v>
      </c>
      <c r="G553" s="14">
        <v>193.62720812488871</v>
      </c>
      <c r="H553" s="14">
        <v>654.03166215640977</v>
      </c>
      <c r="I553" s="14">
        <v>2317.2182579613882</v>
      </c>
      <c r="J553" s="14">
        <v>4947.7056442344683</v>
      </c>
      <c r="K553" s="14">
        <v>6424.7581930327169</v>
      </c>
      <c r="L553" s="14">
        <v>7667.4128725172068</v>
      </c>
      <c r="M553" s="14">
        <v>9673.5441758712077</v>
      </c>
      <c r="N553" s="14">
        <v>13135.361390732978</v>
      </c>
      <c r="O553" s="14">
        <v>17267.236324041805</v>
      </c>
    </row>
    <row r="554" spans="1:15" x14ac:dyDescent="0.3">
      <c r="A554" s="3" t="str">
        <f>INDEX('R1. Scenario specifications'!$C$11:$C$49,MATCH($B554,'R1. Scenario specifications'!$A$11:$A$49,0))</f>
        <v>Current 2DS, 2020 start, 'Expect the Unexpected' but with cheap energy efficiency</v>
      </c>
      <c r="B554" s="3" t="s">
        <v>49</v>
      </c>
      <c r="C554" s="3" t="s">
        <v>71</v>
      </c>
      <c r="D554" s="3" t="s">
        <v>259</v>
      </c>
      <c r="E554" s="14">
        <v>11.2241111111111</v>
      </c>
      <c r="F554" s="14">
        <v>12.249511111111101</v>
      </c>
      <c r="G554" s="14">
        <v>13.0611055551111</v>
      </c>
      <c r="H554" s="14">
        <v>13.058705551511096</v>
      </c>
      <c r="I554" s="14">
        <v>13.056705551511103</v>
      </c>
      <c r="J554" s="14">
        <v>13.054705551511098</v>
      </c>
      <c r="K554" s="14">
        <v>13.052972484446624</v>
      </c>
      <c r="L554" s="14">
        <v>13.051384272734904</v>
      </c>
      <c r="M554" s="14">
        <v>13.0495055575111</v>
      </c>
      <c r="N554" s="14">
        <v>13.047729832325697</v>
      </c>
      <c r="O554" s="14">
        <v>13.0459055575111</v>
      </c>
    </row>
    <row r="555" spans="1:15" x14ac:dyDescent="0.3">
      <c r="A555" s="3" t="str">
        <f>INDEX('R1. Scenario specifications'!$C$11:$C$49,MATCH($B555,'R1. Scenario specifications'!$A$11:$A$49,0))</f>
        <v>Current 2DS, 2020 start, 'Expect the Unexpected' but with cheap energy efficiency</v>
      </c>
      <c r="B555" s="3" t="s">
        <v>49</v>
      </c>
      <c r="C555" s="3" t="s">
        <v>75</v>
      </c>
      <c r="D555" s="3" t="s">
        <v>258</v>
      </c>
      <c r="E555" s="14">
        <v>0.31124745380476826</v>
      </c>
      <c r="F555" s="14">
        <v>0.28314462712947408</v>
      </c>
      <c r="G555" s="14">
        <v>0.23818010444900301</v>
      </c>
      <c r="H555" s="14">
        <v>0.15878673629933501</v>
      </c>
      <c r="I555" s="14">
        <v>7.9393368149667701E-2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</row>
    <row r="556" spans="1:15" x14ac:dyDescent="0.3">
      <c r="A556" s="3" t="str">
        <f>INDEX('R1. Scenario specifications'!$C$11:$C$49,MATCH($B556,'R1. Scenario specifications'!$A$11:$A$49,0))</f>
        <v>Current 2DS, 2020 start, 'Expect the Unexpected' but with cheap energy efficiency</v>
      </c>
      <c r="B556" s="3" t="s">
        <v>49</v>
      </c>
      <c r="C556" s="3" t="s">
        <v>72</v>
      </c>
      <c r="D556" s="3" t="s">
        <v>260</v>
      </c>
      <c r="E556" s="14">
        <v>217.76839471634247</v>
      </c>
      <c r="F556" s="14">
        <v>242.99857406704328</v>
      </c>
      <c r="G556" s="14">
        <v>365.36686102816424</v>
      </c>
      <c r="H556" s="14">
        <v>1382.9148148982231</v>
      </c>
      <c r="I556" s="14">
        <v>3342.0190312846566</v>
      </c>
      <c r="J556" s="14">
        <v>4135.555057207991</v>
      </c>
      <c r="K556" s="14">
        <v>5524.4488582585145</v>
      </c>
      <c r="L556" s="14">
        <v>6722.318214047622</v>
      </c>
      <c r="M556" s="14">
        <v>8964.7156740538339</v>
      </c>
      <c r="N556" s="14">
        <v>13500.65374524063</v>
      </c>
      <c r="O556" s="14">
        <v>19065.925742619915</v>
      </c>
    </row>
  </sheetData>
  <mergeCells count="2">
    <mergeCell ref="C37:N37"/>
    <mergeCell ref="O37:Z37"/>
  </mergeCells>
  <conditionalFormatting sqref="A6509:XFD1048576 A1:XFD12 A13 C13:E13 A14:XFD18 A47:XFD48 AM36:XFD46 N19:XFD19 E49:XFD62 A36:Z36 A37:C37 O37 E63:P552 R63:XFD63 A49:C546 A89:A6508 D557:XFD6508 A38:Z46 A20:XFD35 E553:S556 R64:S552 T64:XFD556 J13:XFD13">
    <cfRule type="expression" dxfId="119" priority="4">
      <formula>_xlfn.ISFORMULA(A1)</formula>
    </cfRule>
  </conditionalFormatting>
  <conditionalFormatting sqref="B13">
    <cfRule type="expression" dxfId="118" priority="3">
      <formula>_xlfn.ISFORMULA(B13)</formula>
    </cfRule>
  </conditionalFormatting>
  <conditionalFormatting sqref="A19:M19">
    <cfRule type="expression" dxfId="117" priority="2">
      <formula>_xlfn.ISFORMULA(A19)</formula>
    </cfRule>
  </conditionalFormatting>
  <conditionalFormatting sqref="F13:I13">
    <cfRule type="expression" dxfId="116" priority="1">
      <formula>_xlfn.ISFORMULA(F13)</formula>
    </cfRule>
  </conditionalFormatting>
  <dataValidations disablePrompts="1" count="1">
    <dataValidation type="list" allowBlank="1" showInputMessage="1" showErrorMessage="1" sqref="B22" xr:uid="{369142EE-F3E5-4916-A84B-43E7AB3AF287}">
      <formula1>$C$76:$C$88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A9DCBB0A-2AF2-420D-8733-CF70496D2ACA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25766-4C3B-47F8-B28F-1C874BB2A7DC}">
  <sheetPr>
    <tabColor theme="5" tint="0.39997558519241921"/>
  </sheetPr>
  <dimension ref="A1:S76"/>
  <sheetViews>
    <sheetView zoomScale="85" zoomScaleNormal="85" workbookViewId="0">
      <selection activeCell="D2" sqref="D2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232</v>
      </c>
    </row>
    <row r="2" spans="1:9" s="5" customFormat="1" x14ac:dyDescent="0.3">
      <c r="A2" s="5" t="s">
        <v>5</v>
      </c>
      <c r="B2" s="5" t="s">
        <v>231</v>
      </c>
    </row>
    <row r="3" spans="1:9" s="5" customFormat="1" x14ac:dyDescent="0.3">
      <c r="A3" s="5" t="s">
        <v>6</v>
      </c>
      <c r="B3" s="5" t="s">
        <v>233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10</v>
      </c>
      <c r="D7" s="5" t="s">
        <v>1022</v>
      </c>
    </row>
    <row r="8" spans="1:9" s="5" customFormat="1" x14ac:dyDescent="0.3">
      <c r="B8" s="5" t="s">
        <v>190</v>
      </c>
    </row>
    <row r="9" spans="1:9" s="5" customFormat="1" x14ac:dyDescent="0.3">
      <c r="B9" s="5" t="s">
        <v>189</v>
      </c>
      <c r="C9" s="5" t="s">
        <v>192</v>
      </c>
      <c r="D9" s="5" t="s">
        <v>234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$G$8:$R630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230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>INDEX($D$38:$N$76,MATCH(B$24,$B$38:$B$76,0),MATCH($A25,$D$37:$N$37,0))</f>
        <v>1077.1376941637411</v>
      </c>
      <c r="C25" s="14">
        <f t="shared" ref="C25:M25" si="2">INDEX($D$38:$N$76,MATCH(C$24,$B$38:$B$76,0),MATCH($A25,$D$37:$N$37,0))</f>
        <v>1077.1376941637411</v>
      </c>
      <c r="D25" s="14">
        <f t="shared" si="2"/>
        <v>1077.1376941637411</v>
      </c>
      <c r="E25" s="14">
        <f t="shared" si="2"/>
        <v>1077.1376941637411</v>
      </c>
      <c r="F25" s="14">
        <f t="shared" si="2"/>
        <v>1077.1376941637411</v>
      </c>
      <c r="G25" s="14">
        <f t="shared" si="2"/>
        <v>1077.1376941637411</v>
      </c>
      <c r="H25" s="14">
        <f t="shared" si="2"/>
        <v>1077.1376941637411</v>
      </c>
      <c r="I25" s="14">
        <f t="shared" si="2"/>
        <v>1077.1376941637411</v>
      </c>
      <c r="J25" s="14">
        <f t="shared" si="2"/>
        <v>1077.1376941637411</v>
      </c>
      <c r="K25" s="14" t="e">
        <f t="shared" si="2"/>
        <v>#N/A</v>
      </c>
      <c r="L25" s="14" t="e">
        <f t="shared" si="2"/>
        <v>#N/A</v>
      </c>
      <c r="M25" s="14" t="e">
        <f t="shared" si="2"/>
        <v>#N/A</v>
      </c>
    </row>
    <row r="26" spans="1:13" x14ac:dyDescent="0.3">
      <c r="A26" s="3">
        <v>2020</v>
      </c>
      <c r="B26" s="14">
        <f t="shared" ref="B26:M34" si="3">INDEX($D$38:$N$76,MATCH(B$24,$B$38:$B$76,0),MATCH($A26,$D$37:$N$37,0))</f>
        <v>1346.4861522211438</v>
      </c>
      <c r="C26" s="14">
        <f t="shared" si="3"/>
        <v>1346.4861522211438</v>
      </c>
      <c r="D26" s="14">
        <f t="shared" si="3"/>
        <v>1294.3265744987207</v>
      </c>
      <c r="E26" s="14">
        <f t="shared" si="3"/>
        <v>1294.3265744987207</v>
      </c>
      <c r="F26" s="14">
        <f t="shared" si="3"/>
        <v>1294.3265744987207</v>
      </c>
      <c r="G26" s="14">
        <f t="shared" si="3"/>
        <v>1294.3265744987207</v>
      </c>
      <c r="H26" s="14">
        <f t="shared" si="3"/>
        <v>1294.3265744987207</v>
      </c>
      <c r="I26" s="14">
        <f t="shared" si="3"/>
        <v>1294.3265744987207</v>
      </c>
      <c r="J26" s="14">
        <f t="shared" si="3"/>
        <v>1294.3265744987207</v>
      </c>
      <c r="K26" s="14" t="e">
        <f t="shared" si="3"/>
        <v>#N/A</v>
      </c>
      <c r="L26" s="14" t="e">
        <f t="shared" si="3"/>
        <v>#N/A</v>
      </c>
      <c r="M26" s="14" t="e">
        <f t="shared" si="3"/>
        <v>#N/A</v>
      </c>
    </row>
    <row r="27" spans="1:13" x14ac:dyDescent="0.3">
      <c r="A27" s="3">
        <v>2030</v>
      </c>
      <c r="B27" s="14">
        <f t="shared" si="3"/>
        <v>1715.9066025874063</v>
      </c>
      <c r="C27" s="14">
        <f t="shared" si="3"/>
        <v>1715.9066025874063</v>
      </c>
      <c r="D27" s="14">
        <f t="shared" si="3"/>
        <v>1673.3437265928555</v>
      </c>
      <c r="E27" s="14">
        <f t="shared" si="3"/>
        <v>1647.270338483911</v>
      </c>
      <c r="F27" s="14">
        <f t="shared" si="3"/>
        <v>1673.3437265928555</v>
      </c>
      <c r="G27" s="14">
        <f t="shared" si="3"/>
        <v>1528.128294907091</v>
      </c>
      <c r="H27" s="14">
        <f t="shared" si="3"/>
        <v>1673.3437265928555</v>
      </c>
      <c r="I27" s="14">
        <f t="shared" si="3"/>
        <v>1643.4080255913066</v>
      </c>
      <c r="J27" s="14">
        <f t="shared" si="3"/>
        <v>1673.3437265928555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1969.7002054516302</v>
      </c>
      <c r="C28" s="14">
        <f t="shared" si="3"/>
        <v>1969.7002054516302</v>
      </c>
      <c r="D28" s="14">
        <f t="shared" si="3"/>
        <v>1969.7002054516302</v>
      </c>
      <c r="E28" s="14">
        <f t="shared" si="3"/>
        <v>1891.8071034588477</v>
      </c>
      <c r="F28" s="14">
        <f t="shared" si="3"/>
        <v>1890.9121972335647</v>
      </c>
      <c r="G28" s="14">
        <f t="shared" si="3"/>
        <v>1501.068789650704</v>
      </c>
      <c r="H28" s="14">
        <f t="shared" si="3"/>
        <v>1562.7174868229861</v>
      </c>
      <c r="I28" s="14">
        <f t="shared" si="3"/>
        <v>1867.6505243144736</v>
      </c>
      <c r="J28" s="14">
        <f t="shared" si="3"/>
        <v>1843.1730163366556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2263.7793979781486</v>
      </c>
      <c r="C29" s="14">
        <f t="shared" si="3"/>
        <v>2263.7793979781486</v>
      </c>
      <c r="D29" s="14">
        <f t="shared" si="3"/>
        <v>2263.7793979781486</v>
      </c>
      <c r="E29" s="14">
        <f t="shared" si="3"/>
        <v>2175.3560663372959</v>
      </c>
      <c r="F29" s="14">
        <f t="shared" si="3"/>
        <v>2174.3620019116415</v>
      </c>
      <c r="G29" s="14">
        <f t="shared" si="3"/>
        <v>1786.37846144795</v>
      </c>
      <c r="H29" s="14">
        <f t="shared" si="3"/>
        <v>1793.247959880352</v>
      </c>
      <c r="I29" s="14">
        <f t="shared" si="3"/>
        <v>2173.2282220590232</v>
      </c>
      <c r="J29" s="14">
        <f t="shared" si="3"/>
        <v>2089.4758054237186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2572.7554715829965</v>
      </c>
      <c r="C30" s="14">
        <f t="shared" si="3"/>
        <v>2572.7554715829965</v>
      </c>
      <c r="D30" s="14">
        <f t="shared" si="3"/>
        <v>2551.3686338539064</v>
      </c>
      <c r="E30" s="14">
        <f t="shared" si="3"/>
        <v>2469.8452527196764</v>
      </c>
      <c r="F30" s="14">
        <f t="shared" si="3"/>
        <v>2469.8452527196764</v>
      </c>
      <c r="G30" s="14">
        <f t="shared" si="3"/>
        <v>2321.2331959297699</v>
      </c>
      <c r="H30" s="14">
        <f t="shared" si="3"/>
        <v>2034.9411821613028</v>
      </c>
      <c r="I30" s="14">
        <f t="shared" si="3"/>
        <v>2473.0849001172364</v>
      </c>
      <c r="J30" s="14">
        <f t="shared" si="3"/>
        <v>2333.7528926875975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2743.767472477437</v>
      </c>
      <c r="C31" s="14">
        <f t="shared" si="3"/>
        <v>2743.767472477437</v>
      </c>
      <c r="D31" s="14">
        <f t="shared" si="3"/>
        <v>2743.767472477437</v>
      </c>
      <c r="E31" s="14">
        <f t="shared" si="3"/>
        <v>2637.2611320373803</v>
      </c>
      <c r="F31" s="14">
        <f t="shared" si="3"/>
        <v>2635.0985120808759</v>
      </c>
      <c r="G31" s="14">
        <f t="shared" si="3"/>
        <v>2646.2201759602094</v>
      </c>
      <c r="H31" s="14">
        <f t="shared" si="3"/>
        <v>2741.5382340172991</v>
      </c>
      <c r="I31" s="14">
        <f t="shared" si="3"/>
        <v>2605.1557194477496</v>
      </c>
      <c r="J31" s="14">
        <f t="shared" si="3"/>
        <v>2620.4568966790684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2883.8879058979455</v>
      </c>
      <c r="C32" s="14">
        <f t="shared" si="3"/>
        <v>2883.8879058979455</v>
      </c>
      <c r="D32" s="14">
        <f t="shared" si="3"/>
        <v>2883.8879058979455</v>
      </c>
      <c r="E32" s="14">
        <f t="shared" si="3"/>
        <v>2779.9685233681271</v>
      </c>
      <c r="F32" s="14">
        <f t="shared" si="3"/>
        <v>2774.6527548209442</v>
      </c>
      <c r="G32" s="14">
        <f t="shared" si="3"/>
        <v>2785.1890688277927</v>
      </c>
      <c r="H32" s="14">
        <f t="shared" si="3"/>
        <v>2853.0095281623976</v>
      </c>
      <c r="I32" s="14">
        <f t="shared" si="3"/>
        <v>2689.4715061543902</v>
      </c>
      <c r="J32" s="14">
        <f t="shared" si="3"/>
        <v>2729.8926030329676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2999.793291807387</v>
      </c>
      <c r="C33" s="14">
        <f t="shared" si="3"/>
        <v>2999.793291807387</v>
      </c>
      <c r="D33" s="14">
        <f t="shared" si="3"/>
        <v>3005.6874779451068</v>
      </c>
      <c r="E33" s="14">
        <f t="shared" si="3"/>
        <v>2826.5749522340857</v>
      </c>
      <c r="F33" s="14">
        <f t="shared" si="3"/>
        <v>2824.6786371742974</v>
      </c>
      <c r="G33" s="14">
        <f t="shared" si="3"/>
        <v>2806.7251794745516</v>
      </c>
      <c r="H33" s="14">
        <f t="shared" si="3"/>
        <v>2893.6281884571263</v>
      </c>
      <c r="I33" s="14">
        <f t="shared" si="3"/>
        <v>2795.5215711147384</v>
      </c>
      <c r="J33" s="14">
        <f t="shared" si="3"/>
        <v>2797.7510357050533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3104.3135672385592</v>
      </c>
      <c r="C34" s="14">
        <f t="shared" si="3"/>
        <v>3104.3135672385592</v>
      </c>
      <c r="D34" s="14">
        <f t="shared" si="3"/>
        <v>3104.3135672385592</v>
      </c>
      <c r="E34" s="14">
        <f t="shared" si="3"/>
        <v>2895.6670922306812</v>
      </c>
      <c r="F34" s="14">
        <f t="shared" si="3"/>
        <v>2895.6670922306812</v>
      </c>
      <c r="G34" s="14">
        <f t="shared" si="3"/>
        <v>2900.4930849403372</v>
      </c>
      <c r="H34" s="14">
        <f t="shared" si="3"/>
        <v>2995.9519452623704</v>
      </c>
      <c r="I34" s="14">
        <f t="shared" si="3"/>
        <v>2870.4056683590834</v>
      </c>
      <c r="J34" s="14">
        <f t="shared" si="3"/>
        <v>2897.0182478589122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C37" s="3" t="s">
        <v>9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C38" s="3" t="s">
        <v>77</v>
      </c>
      <c r="D38" s="14">
        <v>897.50291375947029</v>
      </c>
      <c r="E38" s="14">
        <v>1077.1376941637411</v>
      </c>
      <c r="F38" s="14">
        <v>1346.4861522211438</v>
      </c>
      <c r="G38" s="14">
        <v>1715.9066025874063</v>
      </c>
      <c r="H38" s="14">
        <v>1969.7002054516302</v>
      </c>
      <c r="I38" s="14">
        <v>2263.7793979781486</v>
      </c>
      <c r="J38" s="14">
        <v>2572.7554715829965</v>
      </c>
      <c r="K38" s="14">
        <v>2743.767472477437</v>
      </c>
      <c r="L38" s="14">
        <v>2883.8879058979455</v>
      </c>
      <c r="M38" s="14">
        <v>2999.793291807387</v>
      </c>
      <c r="N38" s="14">
        <v>3104.3135672385592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C39" s="3" t="s">
        <v>77</v>
      </c>
      <c r="D39" s="14">
        <v>897.50291375947029</v>
      </c>
      <c r="E39" s="14">
        <v>1077.1376941637411</v>
      </c>
      <c r="F39" s="14">
        <v>1346.4861522211438</v>
      </c>
      <c r="G39" s="14">
        <v>1715.9066025874063</v>
      </c>
      <c r="H39" s="14">
        <v>1969.7002054516302</v>
      </c>
      <c r="I39" s="14">
        <v>2263.7793979781486</v>
      </c>
      <c r="J39" s="14">
        <v>2572.7554715829965</v>
      </c>
      <c r="K39" s="14">
        <v>2743.767472477437</v>
      </c>
      <c r="L39" s="14">
        <v>2883.8879058979455</v>
      </c>
      <c r="M39" s="14">
        <v>2999.793291807387</v>
      </c>
      <c r="N39" s="14">
        <v>3104.3135672385592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C40" s="3" t="s">
        <v>77</v>
      </c>
      <c r="D40" s="14">
        <v>897.50291375947029</v>
      </c>
      <c r="E40" s="14">
        <v>1077.1376941637411</v>
      </c>
      <c r="F40" s="14">
        <v>1294.3265744987207</v>
      </c>
      <c r="G40" s="14">
        <v>1673.3437265928555</v>
      </c>
      <c r="H40" s="14">
        <v>1969.7002054516302</v>
      </c>
      <c r="I40" s="14">
        <v>2263.7793979781486</v>
      </c>
      <c r="J40" s="14">
        <v>2551.3686338539064</v>
      </c>
      <c r="K40" s="14">
        <v>2743.767472477437</v>
      </c>
      <c r="L40" s="14">
        <v>2883.8879058979455</v>
      </c>
      <c r="M40" s="14">
        <v>3005.6874779451068</v>
      </c>
      <c r="N40" s="14">
        <v>3104.3135672385592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C41" s="3" t="s">
        <v>77</v>
      </c>
      <c r="D41" s="14">
        <v>897.50291375947029</v>
      </c>
      <c r="E41" s="14">
        <v>1077.1376941637411</v>
      </c>
      <c r="F41" s="14">
        <v>1294.3265744987207</v>
      </c>
      <c r="G41" s="14">
        <v>1647.270338483911</v>
      </c>
      <c r="H41" s="14">
        <v>1891.8071034588477</v>
      </c>
      <c r="I41" s="14">
        <v>2175.3560663372959</v>
      </c>
      <c r="J41" s="14">
        <v>2469.8452527196764</v>
      </c>
      <c r="K41" s="14">
        <v>2637.2611320373803</v>
      </c>
      <c r="L41" s="14">
        <v>2779.9685233681271</v>
      </c>
      <c r="M41" s="14">
        <v>2826.5749522340857</v>
      </c>
      <c r="N41" s="14">
        <v>2895.6670922306812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C42" s="3" t="s">
        <v>77</v>
      </c>
      <c r="D42" s="14">
        <v>897.50291375947029</v>
      </c>
      <c r="E42" s="14">
        <v>1077.1376941637411</v>
      </c>
      <c r="F42" s="14">
        <v>1294.3265744987207</v>
      </c>
      <c r="G42" s="14">
        <v>1673.3437265928555</v>
      </c>
      <c r="H42" s="14">
        <v>1695.2655834464765</v>
      </c>
      <c r="I42" s="14">
        <v>1624.3331746489678</v>
      </c>
      <c r="J42" s="14">
        <v>1729.6907563284744</v>
      </c>
      <c r="K42" s="14">
        <v>1860.6727324736787</v>
      </c>
      <c r="L42" s="14">
        <v>1964.9951477350696</v>
      </c>
      <c r="M42" s="14">
        <v>2015.4884008536415</v>
      </c>
      <c r="N42" s="14">
        <v>2069.8130873940545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C43" s="3" t="s">
        <v>77</v>
      </c>
      <c r="D43" s="14">
        <v>897.50291375947029</v>
      </c>
      <c r="E43" s="14">
        <v>1077.1376941637411</v>
      </c>
      <c r="F43" s="14">
        <v>1294.3265744987207</v>
      </c>
      <c r="G43" s="14">
        <v>1647.270338483911</v>
      </c>
      <c r="H43" s="14">
        <v>1891.8071034588477</v>
      </c>
      <c r="I43" s="14">
        <v>2175.3560663372959</v>
      </c>
      <c r="J43" s="14">
        <v>2469.8452527196764</v>
      </c>
      <c r="K43" s="14">
        <v>2640.8464494250538</v>
      </c>
      <c r="L43" s="14">
        <v>2779.9685233681271</v>
      </c>
      <c r="M43" s="14">
        <v>2824.6786371742974</v>
      </c>
      <c r="N43" s="14">
        <v>2895.6670922306812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C44" s="3" t="s">
        <v>77</v>
      </c>
      <c r="D44" s="14">
        <v>897.50291375947029</v>
      </c>
      <c r="E44" s="14">
        <v>1077.1376941637411</v>
      </c>
      <c r="F44" s="14">
        <v>1294.3265744987207</v>
      </c>
      <c r="G44" s="14">
        <v>1673.3437265928555</v>
      </c>
      <c r="H44" s="14">
        <v>1890.9121972335647</v>
      </c>
      <c r="I44" s="14">
        <v>2174.3620019116415</v>
      </c>
      <c r="J44" s="14">
        <v>2467.1483759625753</v>
      </c>
      <c r="K44" s="14">
        <v>2637.8222873024483</v>
      </c>
      <c r="L44" s="14">
        <v>2779.472393036378</v>
      </c>
      <c r="M44" s="14">
        <v>2825.2275413101052</v>
      </c>
      <c r="N44" s="14">
        <v>2895.6670922306812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C45" s="3" t="s">
        <v>77</v>
      </c>
      <c r="D45" s="14">
        <v>897.50291375947029</v>
      </c>
      <c r="E45" s="14">
        <v>1077.1376941637411</v>
      </c>
      <c r="F45" s="14">
        <v>1294.3265744987207</v>
      </c>
      <c r="G45" s="14">
        <v>1528.128294907091</v>
      </c>
      <c r="H45" s="14">
        <v>1501.068789650704</v>
      </c>
      <c r="I45" s="14">
        <v>1786.37846144795</v>
      </c>
      <c r="J45" s="14">
        <v>2321.2331959297699</v>
      </c>
      <c r="K45" s="14">
        <v>2646.2201759602094</v>
      </c>
      <c r="L45" s="14">
        <v>2785.1890688277927</v>
      </c>
      <c r="M45" s="14">
        <v>2806.7251794745516</v>
      </c>
      <c r="N45" s="14">
        <v>2900.4930849403372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C46" s="3" t="s">
        <v>77</v>
      </c>
      <c r="D46" s="14">
        <v>897.50291375947029</v>
      </c>
      <c r="E46" s="14">
        <v>1077.1376941637411</v>
      </c>
      <c r="F46" s="14">
        <v>1294.3265744987207</v>
      </c>
      <c r="G46" s="14">
        <v>1673.3437265928555</v>
      </c>
      <c r="H46" s="14">
        <v>1562.7174868229861</v>
      </c>
      <c r="I46" s="14">
        <v>1793.247959880352</v>
      </c>
      <c r="J46" s="14">
        <v>2034.9411821613028</v>
      </c>
      <c r="K46" s="14">
        <v>2741.5382340172991</v>
      </c>
      <c r="L46" s="14">
        <v>2853.0095281623976</v>
      </c>
      <c r="M46" s="14">
        <v>2893.6281884571263</v>
      </c>
      <c r="N46" s="14">
        <v>2995.9519452623704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C47" s="3" t="s">
        <v>77</v>
      </c>
      <c r="D47" s="14">
        <v>897.50291375947029</v>
      </c>
      <c r="E47" s="14">
        <v>1077.1376941637411</v>
      </c>
      <c r="F47" s="14">
        <v>1294.3265744987207</v>
      </c>
      <c r="G47" s="14">
        <v>1545.8516878334983</v>
      </c>
      <c r="H47" s="14">
        <v>1511.8776544058874</v>
      </c>
      <c r="I47" s="14">
        <v>1819.3022012551642</v>
      </c>
      <c r="J47" s="14">
        <v>2340.5502454586526</v>
      </c>
      <c r="K47" s="14">
        <v>2666.8130131069665</v>
      </c>
      <c r="L47" s="14">
        <v>2788.3826112943252</v>
      </c>
      <c r="M47" s="14">
        <v>2839.8673290629977</v>
      </c>
      <c r="N47" s="14">
        <v>2900.4930849403372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C48" s="3" t="s">
        <v>77</v>
      </c>
      <c r="D48" s="14">
        <v>897.50291375947029</v>
      </c>
      <c r="E48" s="14">
        <v>1077.1376941637411</v>
      </c>
      <c r="F48" s="14">
        <v>1294.3265744987207</v>
      </c>
      <c r="G48" s="14">
        <v>1673.3437265928555</v>
      </c>
      <c r="H48" s="14">
        <v>1571.3591919629812</v>
      </c>
      <c r="I48" s="14">
        <v>1764.189055532845</v>
      </c>
      <c r="J48" s="14">
        <v>2051.0521295064336</v>
      </c>
      <c r="K48" s="14">
        <v>2760.129451775771</v>
      </c>
      <c r="L48" s="14">
        <v>2883.7857065452431</v>
      </c>
      <c r="M48" s="14">
        <v>2912.2656167036876</v>
      </c>
      <c r="N48" s="14">
        <v>2995.9519452623704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C49" s="3" t="s">
        <v>77</v>
      </c>
      <c r="D49" s="14">
        <v>897.50291375947029</v>
      </c>
      <c r="E49" s="14">
        <v>1077.1376941637411</v>
      </c>
      <c r="F49" s="14">
        <v>1294.3265744987207</v>
      </c>
      <c r="G49" s="14">
        <v>1528.128294907091</v>
      </c>
      <c r="H49" s="14">
        <v>1501.068789650704</v>
      </c>
      <c r="I49" s="14">
        <v>1786.37846144795</v>
      </c>
      <c r="J49" s="14">
        <v>2321.2331959297699</v>
      </c>
      <c r="K49" s="14">
        <v>2646.2201759602094</v>
      </c>
      <c r="L49" s="14">
        <v>2785.1890688275007</v>
      </c>
      <c r="M49" s="14">
        <v>2806.7251794745171</v>
      </c>
      <c r="N49" s="14">
        <v>2900.4930849403372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C50" s="3" t="s">
        <v>77</v>
      </c>
      <c r="D50" s="14">
        <v>897.50291375947029</v>
      </c>
      <c r="E50" s="14">
        <v>1077.1376941637411</v>
      </c>
      <c r="F50" s="14">
        <v>1294.3265744987207</v>
      </c>
      <c r="G50" s="14">
        <v>1673.3437265928555</v>
      </c>
      <c r="H50" s="14">
        <v>1562.7174868229861</v>
      </c>
      <c r="I50" s="14">
        <v>1793.24795988037</v>
      </c>
      <c r="J50" s="14">
        <v>2034.9411821613028</v>
      </c>
      <c r="K50" s="14">
        <v>2741.5382340172991</v>
      </c>
      <c r="L50" s="14">
        <v>2853.0095282314464</v>
      </c>
      <c r="M50" s="14">
        <v>2893.6281884571263</v>
      </c>
      <c r="N50" s="14">
        <v>2995.9519452623704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C51" s="3" t="s">
        <v>77</v>
      </c>
      <c r="D51" s="14">
        <v>897.50291375947029</v>
      </c>
      <c r="E51" s="14">
        <v>1077.1376941637411</v>
      </c>
      <c r="F51" s="14">
        <v>1294.3265744987207</v>
      </c>
      <c r="G51" s="14">
        <v>1533.4865007420549</v>
      </c>
      <c r="H51" s="14">
        <v>1501.068789650704</v>
      </c>
      <c r="I51" s="14">
        <v>1794.715708042623</v>
      </c>
      <c r="J51" s="14">
        <v>2321.2331959297699</v>
      </c>
      <c r="K51" s="14">
        <v>2646.2201759602094</v>
      </c>
      <c r="L51" s="14">
        <v>2785.0024278903788</v>
      </c>
      <c r="M51" s="14">
        <v>2807.8474481315579</v>
      </c>
      <c r="N51" s="14">
        <v>2900.4930849403372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C52" s="3" t="s">
        <v>77</v>
      </c>
      <c r="D52" s="14">
        <v>897.50291375947029</v>
      </c>
      <c r="E52" s="14">
        <v>1077.1376941637411</v>
      </c>
      <c r="F52" s="14">
        <v>1294.3265744987207</v>
      </c>
      <c r="G52" s="14">
        <v>1673.3437265928555</v>
      </c>
      <c r="H52" s="14">
        <v>1890.9121972335647</v>
      </c>
      <c r="I52" s="14">
        <v>2174.3620019116415</v>
      </c>
      <c r="J52" s="14">
        <v>2469.8452527196764</v>
      </c>
      <c r="K52" s="14">
        <v>2635.0985120808759</v>
      </c>
      <c r="L52" s="14">
        <v>2774.6527548209442</v>
      </c>
      <c r="M52" s="14">
        <v>2824.6786371742974</v>
      </c>
      <c r="N52" s="14">
        <v>2895.6670922306812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C53" s="3" t="s">
        <v>77</v>
      </c>
      <c r="D53" s="14">
        <v>897.50291375947029</v>
      </c>
      <c r="E53" s="14">
        <v>1077.1376941637411</v>
      </c>
      <c r="F53" s="14">
        <v>1294.3265744987207</v>
      </c>
      <c r="G53" s="14">
        <v>1673.3437265928555</v>
      </c>
      <c r="H53" s="14">
        <v>1562.7174868229861</v>
      </c>
      <c r="I53" s="14">
        <v>1793.585578699702</v>
      </c>
      <c r="J53" s="14">
        <v>2034.9798666741103</v>
      </c>
      <c r="K53" s="14">
        <v>2743.2333583960985</v>
      </c>
      <c r="L53" s="14">
        <v>2861.5868577416022</v>
      </c>
      <c r="M53" s="14">
        <v>2893.6281884571263</v>
      </c>
      <c r="N53" s="14">
        <v>2995.4022286868421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C54" s="3" t="s">
        <v>77</v>
      </c>
      <c r="D54" s="14">
        <v>897.50291375947029</v>
      </c>
      <c r="E54" s="14">
        <v>1077.1376941637411</v>
      </c>
      <c r="F54" s="14">
        <v>1294.3265744987207</v>
      </c>
      <c r="G54" s="14">
        <v>1575.4974536397492</v>
      </c>
      <c r="H54" s="14">
        <v>1365.4053387450092</v>
      </c>
      <c r="I54" s="14">
        <v>1395.449705016835</v>
      </c>
      <c r="J54" s="14">
        <v>1658.4697434232821</v>
      </c>
      <c r="K54" s="14">
        <v>1876.24324918052</v>
      </c>
      <c r="L54" s="14">
        <v>1969.1534168398898</v>
      </c>
      <c r="M54" s="14">
        <v>1998.4741688594136</v>
      </c>
      <c r="N54" s="14">
        <v>2061.1490702075898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C55" s="3" t="s">
        <v>77</v>
      </c>
      <c r="D55" s="14">
        <v>897.50291375947029</v>
      </c>
      <c r="E55" s="14">
        <v>1077.1376941637411</v>
      </c>
      <c r="F55" s="14">
        <v>1294.3265744987207</v>
      </c>
      <c r="G55" s="14">
        <v>1673.3437265928555</v>
      </c>
      <c r="H55" s="14">
        <v>1408.4230748113428</v>
      </c>
      <c r="I55" s="14">
        <v>1351.9407588127012</v>
      </c>
      <c r="J55" s="14">
        <v>1445.2599230975457</v>
      </c>
      <c r="K55" s="14">
        <v>1935.3217994569511</v>
      </c>
      <c r="L55" s="14">
        <v>2009.0703931658063</v>
      </c>
      <c r="M55" s="14">
        <v>2039.2649740471793</v>
      </c>
      <c r="N55" s="14">
        <v>2113.5099174017464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C56" s="3" t="s">
        <v>77</v>
      </c>
      <c r="D56" s="14">
        <v>897.50291375947029</v>
      </c>
      <c r="E56" s="14">
        <v>1077.1376941637411</v>
      </c>
      <c r="F56" s="14">
        <v>1294.3265744987207</v>
      </c>
      <c r="G56" s="14">
        <v>1528.128294907091</v>
      </c>
      <c r="H56" s="14">
        <v>1460.5914106854091</v>
      </c>
      <c r="I56" s="14">
        <v>1769.296447291048</v>
      </c>
      <c r="J56" s="14">
        <v>2347.5790173833639</v>
      </c>
      <c r="K56" s="14">
        <v>2666.8130131069665</v>
      </c>
      <c r="L56" s="14">
        <v>2782.9686426107755</v>
      </c>
      <c r="M56" s="14">
        <v>2844.5325754559226</v>
      </c>
      <c r="N56" s="14">
        <v>2902.4745268906754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C57" s="3" t="s">
        <v>77</v>
      </c>
      <c r="D57" s="14">
        <v>897.50291375947029</v>
      </c>
      <c r="E57" s="14">
        <v>1077.1376941637411</v>
      </c>
      <c r="F57" s="14">
        <v>1294.3265744987207</v>
      </c>
      <c r="G57" s="14">
        <v>1673.3437265928555</v>
      </c>
      <c r="H57" s="14">
        <v>1544.8993839694801</v>
      </c>
      <c r="I57" s="14">
        <v>1755.0673266012266</v>
      </c>
      <c r="J57" s="14">
        <v>2037.8310971304049</v>
      </c>
      <c r="K57" s="14">
        <v>2744.2312271360615</v>
      </c>
      <c r="L57" s="14">
        <v>2863.0592964039797</v>
      </c>
      <c r="M57" s="14">
        <v>2916.9772995412723</v>
      </c>
      <c r="N57" s="14">
        <v>2993.5845643793323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C58" s="3" t="s">
        <v>77</v>
      </c>
      <c r="D58" s="14">
        <v>897.50291375947029</v>
      </c>
      <c r="E58" s="14">
        <v>1077.1376941637411</v>
      </c>
      <c r="F58" s="14">
        <v>1294.3265744987207</v>
      </c>
      <c r="G58" s="14">
        <v>1643.4080255913066</v>
      </c>
      <c r="H58" s="14">
        <v>1867.6505243144736</v>
      </c>
      <c r="I58" s="14">
        <v>2173.2282220590232</v>
      </c>
      <c r="J58" s="14">
        <v>2473.0849001172364</v>
      </c>
      <c r="K58" s="14">
        <v>2605.1557194477496</v>
      </c>
      <c r="L58" s="14">
        <v>2689.4715061543902</v>
      </c>
      <c r="M58" s="14">
        <v>2795.5215711147384</v>
      </c>
      <c r="N58" s="14">
        <v>2870.4056683590834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C59" s="3" t="s">
        <v>77</v>
      </c>
      <c r="D59" s="14">
        <v>897.50291375947029</v>
      </c>
      <c r="E59" s="14">
        <v>1077.1376941637411</v>
      </c>
      <c r="F59" s="14">
        <v>1294.3265744987207</v>
      </c>
      <c r="G59" s="14">
        <v>1673.3437265928555</v>
      </c>
      <c r="H59" s="14">
        <v>1843.1730163366556</v>
      </c>
      <c r="I59" s="14">
        <v>2089.4758054237186</v>
      </c>
      <c r="J59" s="14">
        <v>2333.7528926875975</v>
      </c>
      <c r="K59" s="14">
        <v>2620.4568966790684</v>
      </c>
      <c r="L59" s="14">
        <v>2729.8926030329676</v>
      </c>
      <c r="M59" s="14">
        <v>2797.7510357050533</v>
      </c>
      <c r="N59" s="14">
        <v>2897.0182478589122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C60" s="3" t="s">
        <v>77</v>
      </c>
      <c r="D60" s="14">
        <v>897.50291375947029</v>
      </c>
      <c r="E60" s="14">
        <v>1077.1376941637411</v>
      </c>
      <c r="F60" s="14">
        <v>1294.3265744987207</v>
      </c>
      <c r="G60" s="14">
        <v>1643.4080255913066</v>
      </c>
      <c r="H60" s="14">
        <v>1864.9424643171394</v>
      </c>
      <c r="I60" s="14">
        <v>2173.2282220590232</v>
      </c>
      <c r="J60" s="14">
        <v>2473.0849001172364</v>
      </c>
      <c r="K60" s="14">
        <v>2608.5459682053465</v>
      </c>
      <c r="L60" s="14">
        <v>2707.916101999137</v>
      </c>
      <c r="M60" s="14">
        <v>2797.5061975290791</v>
      </c>
      <c r="N60" s="14">
        <v>2883.6618296882962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C61" s="3" t="s">
        <v>77</v>
      </c>
      <c r="D61" s="14">
        <v>897.50291375947029</v>
      </c>
      <c r="E61" s="14">
        <v>1077.1376941637411</v>
      </c>
      <c r="F61" s="14">
        <v>1294.3265744987207</v>
      </c>
      <c r="G61" s="14">
        <v>1673.3437265928555</v>
      </c>
      <c r="H61" s="14">
        <v>1846.4985249189126</v>
      </c>
      <c r="I61" s="14">
        <v>2109.8681891861738</v>
      </c>
      <c r="J61" s="14">
        <v>2338.0817247712766</v>
      </c>
      <c r="K61" s="14">
        <v>2619.0117066499624</v>
      </c>
      <c r="L61" s="14">
        <v>2729.8926030329676</v>
      </c>
      <c r="M61" s="14">
        <v>2804.582314678948</v>
      </c>
      <c r="N61" s="14">
        <v>2896.4361613894234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C62" s="3" t="s">
        <v>77</v>
      </c>
      <c r="D62" s="14">
        <v>897.50291375947029</v>
      </c>
      <c r="E62" s="14">
        <v>1077.1376941637411</v>
      </c>
      <c r="F62" s="14">
        <v>1294.3265744987207</v>
      </c>
      <c r="G62" s="14">
        <v>1643.4080255913066</v>
      </c>
      <c r="H62" s="14">
        <v>1867.6505243144736</v>
      </c>
      <c r="I62" s="14">
        <v>2173.2282220590232</v>
      </c>
      <c r="J62" s="14">
        <v>2473.0849001172364</v>
      </c>
      <c r="K62" s="14">
        <v>2605.1557194477496</v>
      </c>
      <c r="L62" s="14">
        <v>2689.4715061543943</v>
      </c>
      <c r="M62" s="14">
        <v>2795.5215711144838</v>
      </c>
      <c r="N62" s="14">
        <v>2870.4056683590834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C63" s="3" t="s">
        <v>77</v>
      </c>
      <c r="D63" s="14">
        <v>897.50291375947029</v>
      </c>
      <c r="E63" s="14">
        <v>1077.1376941637411</v>
      </c>
      <c r="F63" s="14">
        <v>1294.3265744987207</v>
      </c>
      <c r="G63" s="14">
        <v>1647.9960306358512</v>
      </c>
      <c r="H63" s="14">
        <v>1898.7297064809586</v>
      </c>
      <c r="I63" s="14">
        <v>2192.7861921614717</v>
      </c>
      <c r="J63" s="14">
        <v>2470.9867947549628</v>
      </c>
      <c r="K63" s="14">
        <v>2637.2611320373803</v>
      </c>
      <c r="L63" s="14">
        <v>2781.7731795959771</v>
      </c>
      <c r="M63" s="14">
        <v>2826.5749522340857</v>
      </c>
      <c r="N63" s="14">
        <v>2906.9166849953981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C64" s="3" t="s">
        <v>77</v>
      </c>
      <c r="D64" s="14">
        <v>897.50291375947029</v>
      </c>
      <c r="E64" s="14">
        <v>1077.1376941637411</v>
      </c>
      <c r="F64" s="14">
        <v>1294.3265744987207</v>
      </c>
      <c r="G64" s="14">
        <v>1673.3437265928555</v>
      </c>
      <c r="H64" s="14">
        <v>1843.1730163366556</v>
      </c>
      <c r="I64" s="14">
        <v>2089.4758054237186</v>
      </c>
      <c r="J64" s="14">
        <v>2333.7528926875975</v>
      </c>
      <c r="K64" s="14">
        <v>2620.4568966790684</v>
      </c>
      <c r="L64" s="14">
        <v>2729.8926030329676</v>
      </c>
      <c r="M64" s="14">
        <v>2797.7510357051742</v>
      </c>
      <c r="N64" s="14">
        <v>2897.0182478589122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C65" s="3" t="s">
        <v>77</v>
      </c>
      <c r="D65" s="14">
        <v>897.50291375947029</v>
      </c>
      <c r="E65" s="14">
        <v>1077.1376941637411</v>
      </c>
      <c r="F65" s="14">
        <v>1294.3265744987207</v>
      </c>
      <c r="G65" s="14">
        <v>1643.4080255913066</v>
      </c>
      <c r="H65" s="14">
        <v>1867.6505243144736</v>
      </c>
      <c r="I65" s="14">
        <v>2169.8422399954688</v>
      </c>
      <c r="J65" s="14">
        <v>2473.0849001172364</v>
      </c>
      <c r="K65" s="14">
        <v>2605.1557194477496</v>
      </c>
      <c r="L65" s="14">
        <v>2687.143920574717</v>
      </c>
      <c r="M65" s="14">
        <v>2794.2143294868674</v>
      </c>
      <c r="N65" s="14">
        <v>2870.4056683590834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C66" s="3" t="s">
        <v>77</v>
      </c>
      <c r="D66" s="14">
        <v>897.50291375947029</v>
      </c>
      <c r="E66" s="14">
        <v>1077.1376941637411</v>
      </c>
      <c r="F66" s="14">
        <v>1294.3265744987207</v>
      </c>
      <c r="G66" s="14">
        <v>1673.3437265928555</v>
      </c>
      <c r="H66" s="14">
        <v>1861.9459884489916</v>
      </c>
      <c r="I66" s="14">
        <v>2119.2327938336471</v>
      </c>
      <c r="J66" s="14">
        <v>2333.2409171970939</v>
      </c>
      <c r="K66" s="14">
        <v>2620.7068310287605</v>
      </c>
      <c r="L66" s="14">
        <v>2728.8290694723291</v>
      </c>
      <c r="M66" s="14">
        <v>2796.1106445466576</v>
      </c>
      <c r="N66" s="14">
        <v>2896.645646163377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C67" s="3" t="s">
        <v>77</v>
      </c>
      <c r="D67" s="14">
        <v>897.50291375947029</v>
      </c>
      <c r="E67" s="14">
        <v>1077.1376941637411</v>
      </c>
      <c r="F67" s="14">
        <v>1294.3265744987207</v>
      </c>
      <c r="G67" s="14">
        <v>1647.270338483911</v>
      </c>
      <c r="H67" s="14">
        <v>1680.8108419853916</v>
      </c>
      <c r="I67" s="14">
        <v>1615.7371942242416</v>
      </c>
      <c r="J67" s="14">
        <v>1744.5999287177017</v>
      </c>
      <c r="K67" s="14">
        <v>1869.0865912288814</v>
      </c>
      <c r="L67" s="14">
        <v>1940.2888376566334</v>
      </c>
      <c r="M67" s="14">
        <v>1977.5711461481781</v>
      </c>
      <c r="N67" s="14">
        <v>2047.5195429415844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C68" s="3" t="s">
        <v>77</v>
      </c>
      <c r="D68" s="14">
        <v>897.50291375947029</v>
      </c>
      <c r="E68" s="14">
        <v>1077.1376941637411</v>
      </c>
      <c r="F68" s="14">
        <v>1294.3265744987207</v>
      </c>
      <c r="G68" s="14">
        <v>1673.3437265928555</v>
      </c>
      <c r="H68" s="14">
        <v>1680.8108419853916</v>
      </c>
      <c r="I68" s="14">
        <v>1570.4815508324045</v>
      </c>
      <c r="J68" s="14">
        <v>1634.5700377345884</v>
      </c>
      <c r="K68" s="14">
        <v>1871.9609345105466</v>
      </c>
      <c r="L68" s="14">
        <v>1970.0579057075147</v>
      </c>
      <c r="M68" s="14">
        <v>1998.727461616134</v>
      </c>
      <c r="N68" s="14">
        <v>2052.7259476290546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C69" s="3" t="s">
        <v>77</v>
      </c>
      <c r="D69" s="14">
        <v>897.50291375947029</v>
      </c>
      <c r="E69" s="14">
        <v>1077.1376941637411</v>
      </c>
      <c r="F69" s="14">
        <v>1294.3265744987207</v>
      </c>
      <c r="G69" s="14">
        <v>1643.4080255913066</v>
      </c>
      <c r="H69" s="14">
        <v>1867.4303101316541</v>
      </c>
      <c r="I69" s="14">
        <v>2169.8422399954688</v>
      </c>
      <c r="J69" s="14">
        <v>2472.7995146084149</v>
      </c>
      <c r="K69" s="14">
        <v>2608.5459682053465</v>
      </c>
      <c r="L69" s="14">
        <v>2689.6101779041587</v>
      </c>
      <c r="M69" s="14">
        <v>2794.2143294868674</v>
      </c>
      <c r="N69" s="14">
        <v>2870.4056683590834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C70" s="3" t="s">
        <v>77</v>
      </c>
      <c r="D70" s="14">
        <v>897.50291375947029</v>
      </c>
      <c r="E70" s="14">
        <v>1077.1376941637411</v>
      </c>
      <c r="F70" s="14">
        <v>1294.3265744987207</v>
      </c>
      <c r="G70" s="14">
        <v>1647.270338483911</v>
      </c>
      <c r="H70" s="14">
        <v>1890.9121972335647</v>
      </c>
      <c r="I70" s="14">
        <v>2173.7612621367293</v>
      </c>
      <c r="J70" s="14">
        <v>2469.8452527196764</v>
      </c>
      <c r="K70" s="14">
        <v>2567.3240431610661</v>
      </c>
      <c r="L70" s="14">
        <v>2692.2754524919887</v>
      </c>
      <c r="M70" s="14">
        <v>2790.4216993672881</v>
      </c>
      <c r="N70" s="14">
        <v>2875.6710169052894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C71" s="3" t="s">
        <v>77</v>
      </c>
      <c r="D71" s="14">
        <v>897.50291375947029</v>
      </c>
      <c r="E71" s="14">
        <v>1077.1376941637411</v>
      </c>
      <c r="F71" s="14">
        <v>1294.3265744987207</v>
      </c>
      <c r="G71" s="14">
        <v>1673.3437265928555</v>
      </c>
      <c r="H71" s="14">
        <v>1896.9582048864227</v>
      </c>
      <c r="I71" s="14">
        <v>2174.3620019116415</v>
      </c>
      <c r="J71" s="14">
        <v>2467.1483759625753</v>
      </c>
      <c r="K71" s="14">
        <v>2637.8222873024483</v>
      </c>
      <c r="L71" s="14">
        <v>2782.9712537458345</v>
      </c>
      <c r="M71" s="14">
        <v>2824.6786371742974</v>
      </c>
      <c r="N71" s="14">
        <v>2894.5190557905753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C72" s="3" t="s">
        <v>77</v>
      </c>
      <c r="D72" s="14">
        <v>897.50291375947029</v>
      </c>
      <c r="E72" s="14">
        <v>1077.1376941637411</v>
      </c>
      <c r="F72" s="14">
        <v>1294.3265744987207</v>
      </c>
      <c r="G72" s="14">
        <v>1647.3176327877038</v>
      </c>
      <c r="H72" s="14">
        <v>1891.8071034588477</v>
      </c>
      <c r="I72" s="14">
        <v>2175.3560663372959</v>
      </c>
      <c r="J72" s="14">
        <v>2469.8452527196764</v>
      </c>
      <c r="K72" s="14">
        <v>2637.2611320373803</v>
      </c>
      <c r="L72" s="14">
        <v>2779.6313642878658</v>
      </c>
      <c r="M72" s="14">
        <v>2826.5749522340857</v>
      </c>
      <c r="N72" s="14">
        <v>2895.6670922306812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C73" s="3" t="s">
        <v>77</v>
      </c>
      <c r="D73" s="14">
        <v>897.50291375947029</v>
      </c>
      <c r="E73" s="14">
        <v>1077.1376941637411</v>
      </c>
      <c r="F73" s="14">
        <v>1294.3265744987207</v>
      </c>
      <c r="G73" s="14">
        <v>1673.3437265928555</v>
      </c>
      <c r="H73" s="14">
        <v>1890.9121972335647</v>
      </c>
      <c r="I73" s="14">
        <v>2174.3620019116415</v>
      </c>
      <c r="J73" s="14">
        <v>2469.8452527196764</v>
      </c>
      <c r="K73" s="14">
        <v>2635.0985120808759</v>
      </c>
      <c r="L73" s="14">
        <v>2774.6527548209442</v>
      </c>
      <c r="M73" s="14">
        <v>2824.6786371742974</v>
      </c>
      <c r="N73" s="14">
        <v>2895.6670922306812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C74" s="3" t="s">
        <v>77</v>
      </c>
      <c r="D74" s="14">
        <v>897.50291375947029</v>
      </c>
      <c r="E74" s="14">
        <v>1077.1376941637411</v>
      </c>
      <c r="F74" s="14">
        <v>1294.3265744987207</v>
      </c>
      <c r="G74" s="14">
        <v>1647.270338483911</v>
      </c>
      <c r="H74" s="14">
        <v>1898.7297064809586</v>
      </c>
      <c r="I74" s="14">
        <v>2175.3560663372959</v>
      </c>
      <c r="J74" s="14">
        <v>2470.9867947549628</v>
      </c>
      <c r="K74" s="14">
        <v>2657.853969184137</v>
      </c>
      <c r="L74" s="14">
        <v>2779.6313642878658</v>
      </c>
      <c r="M74" s="14">
        <v>2822.7823221145072</v>
      </c>
      <c r="N74" s="14">
        <v>2893.685650280343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C75" s="3" t="s">
        <v>77</v>
      </c>
      <c r="D75" s="14">
        <v>897.50291375947029</v>
      </c>
      <c r="E75" s="14">
        <v>1077.1376941637411</v>
      </c>
      <c r="F75" s="14">
        <v>1294.3265744987207</v>
      </c>
      <c r="G75" s="14">
        <v>1673.3437265928555</v>
      </c>
      <c r="H75" s="14">
        <v>1891.8071034588477</v>
      </c>
      <c r="I75" s="14">
        <v>2174.3620019116415</v>
      </c>
      <c r="J75" s="14">
        <v>2469.8452527196764</v>
      </c>
      <c r="K75" s="14">
        <v>2634.7872911654995</v>
      </c>
      <c r="L75" s="14">
        <v>2774.6527548209442</v>
      </c>
      <c r="M75" s="14">
        <v>2825.3374633231933</v>
      </c>
      <c r="N75" s="14">
        <v>2895.6670922306812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C76" s="3" t="s">
        <v>77</v>
      </c>
      <c r="D76" s="14">
        <v>897.50291375947029</v>
      </c>
      <c r="E76" s="14">
        <v>1077.1376941637411</v>
      </c>
      <c r="F76" s="14">
        <v>1294.3265744987207</v>
      </c>
      <c r="G76" s="14">
        <v>1647.9960306358512</v>
      </c>
      <c r="H76" s="14">
        <v>1691.1566418392219</v>
      </c>
      <c r="I76" s="14">
        <v>1629.0964242963259</v>
      </c>
      <c r="J76" s="14">
        <v>1737.8784581231987</v>
      </c>
      <c r="K76" s="14">
        <v>1859.9729162945416</v>
      </c>
      <c r="L76" s="14">
        <v>1958.8983228304573</v>
      </c>
      <c r="M76" s="14">
        <v>2021.8503834250328</v>
      </c>
      <c r="N76" s="14">
        <v>2069.8130873940545</v>
      </c>
    </row>
  </sheetData>
  <conditionalFormatting sqref="A623:XFD1048576 A77:A622 D77:XFD622 A1:XFD12 A20:XFD76 N19:XFD19 A14:XFD18 A13:E13 J13:XFD13">
    <cfRule type="expression" dxfId="115" priority="3">
      <formula>_xlfn.ISFORMULA(A1)</formula>
    </cfRule>
  </conditionalFormatting>
  <conditionalFormatting sqref="A19:M19">
    <cfRule type="expression" dxfId="114" priority="2">
      <formula>_xlfn.ISFORMULA(A19)</formula>
    </cfRule>
  </conditionalFormatting>
  <conditionalFormatting sqref="F13:I13">
    <cfRule type="expression" dxfId="113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0B4C859-0504-4169-8C43-C77F4AB4B383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FF15D-7E68-4B1B-BDD5-31F011673971}">
  <sheetPr>
    <tabColor theme="5" tint="0.39997558519241921"/>
  </sheetPr>
  <dimension ref="A1:S76"/>
  <sheetViews>
    <sheetView zoomScale="70" zoomScaleNormal="70" workbookViewId="0">
      <selection activeCell="D37" sqref="D37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235</v>
      </c>
    </row>
    <row r="2" spans="1:9" s="5" customFormat="1" x14ac:dyDescent="0.3">
      <c r="A2" s="5" t="s">
        <v>5</v>
      </c>
      <c r="B2" s="5" t="s">
        <v>236</v>
      </c>
    </row>
    <row r="3" spans="1:9" s="5" customFormat="1" x14ac:dyDescent="0.3">
      <c r="A3" s="5" t="s">
        <v>6</v>
      </c>
      <c r="B3" s="5" t="s">
        <v>267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10</v>
      </c>
      <c r="D7" s="5" t="s">
        <v>1021</v>
      </c>
    </row>
    <row r="8" spans="1:9" s="5" customFormat="1" x14ac:dyDescent="0.3">
      <c r="B8" s="5" t="s">
        <v>190</v>
      </c>
    </row>
    <row r="9" spans="1:9" s="5" customFormat="1" x14ac:dyDescent="0.3">
      <c r="B9" s="5" t="s">
        <v>189</v>
      </c>
      <c r="C9" s="5" t="s">
        <v>192</v>
      </c>
      <c r="D9" s="5" t="s">
        <v>237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$D$8:$N630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238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>INDEX($D$38:$N$76,MATCH(B$24,$B$38:$B$76,0),MATCH($A25,$D$37:$N$37,0))</f>
        <v>83.849670657931384</v>
      </c>
      <c r="C25" s="14">
        <f t="shared" ref="C25:M25" si="2">INDEX($D$38:$N$76,MATCH(C$24,$B$38:$B$76,0),MATCH($A25,$D$37:$N$37,0))</f>
        <v>686.42873969051675</v>
      </c>
      <c r="D25" s="14">
        <f t="shared" si="2"/>
        <v>83.849670657931384</v>
      </c>
      <c r="E25" s="14">
        <f t="shared" si="2"/>
        <v>83.849670657931384</v>
      </c>
      <c r="F25" s="14">
        <f t="shared" si="2"/>
        <v>83.849670657931384</v>
      </c>
      <c r="G25" s="14">
        <f t="shared" si="2"/>
        <v>83.849670657931384</v>
      </c>
      <c r="H25" s="14">
        <f t="shared" si="2"/>
        <v>83.849670657931384</v>
      </c>
      <c r="I25" s="14">
        <f t="shared" si="2"/>
        <v>83.849670657931384</v>
      </c>
      <c r="J25" s="14">
        <f t="shared" si="2"/>
        <v>83.849670657931384</v>
      </c>
      <c r="K25" s="14" t="e">
        <f t="shared" si="2"/>
        <v>#N/A</v>
      </c>
      <c r="L25" s="14" t="e">
        <f t="shared" si="2"/>
        <v>#N/A</v>
      </c>
      <c r="M25" s="14" t="e">
        <f t="shared" si="2"/>
        <v>#N/A</v>
      </c>
    </row>
    <row r="26" spans="1:13" x14ac:dyDescent="0.3">
      <c r="A26" s="3">
        <v>2020</v>
      </c>
      <c r="B26" s="14">
        <f t="shared" ref="B26:M34" si="3">INDEX($D$38:$N$76,MATCH(B$24,$B$38:$B$76,0),MATCH($A26,$D$37:$N$37,0))</f>
        <v>1318.3602946926055</v>
      </c>
      <c r="C26" s="14">
        <f t="shared" si="3"/>
        <v>1959.9149389717554</v>
      </c>
      <c r="D26" s="14">
        <f t="shared" si="3"/>
        <v>1904.574315895351</v>
      </c>
      <c r="E26" s="14">
        <f t="shared" si="3"/>
        <v>1904.574315895351</v>
      </c>
      <c r="F26" s="14">
        <f t="shared" si="3"/>
        <v>1904.574315895351</v>
      </c>
      <c r="G26" s="14">
        <f t="shared" si="3"/>
        <v>1904.574315895351</v>
      </c>
      <c r="H26" s="14">
        <f t="shared" si="3"/>
        <v>1904.574315895351</v>
      </c>
      <c r="I26" s="14">
        <f t="shared" si="3"/>
        <v>1904.574315895351</v>
      </c>
      <c r="J26" s="14">
        <f t="shared" si="3"/>
        <v>1904.574315895351</v>
      </c>
      <c r="K26" s="14" t="e">
        <f t="shared" si="3"/>
        <v>#N/A</v>
      </c>
      <c r="L26" s="14" t="e">
        <f t="shared" si="3"/>
        <v>#N/A</v>
      </c>
      <c r="M26" s="14" t="e">
        <f t="shared" si="3"/>
        <v>#N/A</v>
      </c>
    </row>
    <row r="27" spans="1:13" x14ac:dyDescent="0.3">
      <c r="A27" s="3">
        <v>2030</v>
      </c>
      <c r="B27" s="14">
        <f t="shared" si="3"/>
        <v>2005.8917976095795</v>
      </c>
      <c r="C27" s="14">
        <f t="shared" si="3"/>
        <v>2511.6076135015187</v>
      </c>
      <c r="D27" s="14">
        <f t="shared" si="3"/>
        <v>2757.3812967971071</v>
      </c>
      <c r="E27" s="14">
        <f t="shared" si="3"/>
        <v>2756.731133270423</v>
      </c>
      <c r="F27" s="14">
        <f t="shared" si="3"/>
        <v>2757.3812967971071</v>
      </c>
      <c r="G27" s="14">
        <f t="shared" si="3"/>
        <v>13671.141174550896</v>
      </c>
      <c r="H27" s="14">
        <f t="shared" si="3"/>
        <v>2757.3812967971071</v>
      </c>
      <c r="I27" s="14">
        <f t="shared" si="3"/>
        <v>2719.8298303836623</v>
      </c>
      <c r="J27" s="14">
        <f t="shared" si="3"/>
        <v>2757.3812967971071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2798.9510258536211</v>
      </c>
      <c r="C28" s="14">
        <f t="shared" si="3"/>
        <v>2515.4027237361106</v>
      </c>
      <c r="D28" s="14">
        <f t="shared" si="3"/>
        <v>3083.271366965856</v>
      </c>
      <c r="E28" s="14">
        <f t="shared" si="3"/>
        <v>3077.5579171119562</v>
      </c>
      <c r="F28" s="14">
        <f t="shared" si="3"/>
        <v>3078.958372927269</v>
      </c>
      <c r="G28" s="14">
        <f t="shared" si="3"/>
        <v>56149.403913388574</v>
      </c>
      <c r="H28" s="14">
        <f t="shared" si="3"/>
        <v>58219.10989076746</v>
      </c>
      <c r="I28" s="14">
        <f t="shared" si="3"/>
        <v>6865.9324762451124</v>
      </c>
      <c r="J28" s="14">
        <f t="shared" si="3"/>
        <v>13399.523465466238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2860.4579697717068</v>
      </c>
      <c r="C29" s="14">
        <f t="shared" si="3"/>
        <v>3019.4398269871454</v>
      </c>
      <c r="D29" s="14">
        <f t="shared" si="3"/>
        <v>2948.5782450984348</v>
      </c>
      <c r="E29" s="14">
        <f t="shared" si="3"/>
        <v>5620.826949841241</v>
      </c>
      <c r="F29" s="14">
        <f t="shared" si="3"/>
        <v>6975.6169606260037</v>
      </c>
      <c r="G29" s="14">
        <f t="shared" si="3"/>
        <v>38463.985226880613</v>
      </c>
      <c r="H29" s="14">
        <f t="shared" si="3"/>
        <v>43829.546986469468</v>
      </c>
      <c r="I29" s="14">
        <f t="shared" si="3"/>
        <v>15625.609551482681</v>
      </c>
      <c r="J29" s="14">
        <f t="shared" si="3"/>
        <v>19901.398251865554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3038.644152400997</v>
      </c>
      <c r="C30" s="14">
        <f t="shared" si="3"/>
        <v>2948.9871935578035</v>
      </c>
      <c r="D30" s="14">
        <f t="shared" si="3"/>
        <v>3592.1358751925354</v>
      </c>
      <c r="E30" s="14">
        <f t="shared" si="3"/>
        <v>20505.211945909414</v>
      </c>
      <c r="F30" s="14">
        <f t="shared" si="3"/>
        <v>22190.211321743544</v>
      </c>
      <c r="G30" s="14">
        <f t="shared" si="3"/>
        <v>27722.122198449109</v>
      </c>
      <c r="H30" s="14">
        <f t="shared" si="3"/>
        <v>18305.218351170763</v>
      </c>
      <c r="I30" s="14">
        <f t="shared" si="3"/>
        <v>26290.32305857243</v>
      </c>
      <c r="J30" s="14">
        <f t="shared" si="3"/>
        <v>27565.877801387833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2957.3790150202608</v>
      </c>
      <c r="C31" s="14">
        <f t="shared" si="3"/>
        <v>3039.2338857832196</v>
      </c>
      <c r="D31" s="14">
        <f t="shared" si="3"/>
        <v>2803.7179585581748</v>
      </c>
      <c r="E31" s="14">
        <f t="shared" si="3"/>
        <v>22041.400200205644</v>
      </c>
      <c r="F31" s="14">
        <f t="shared" si="3"/>
        <v>21660.74167309541</v>
      </c>
      <c r="G31" s="14">
        <f t="shared" si="3"/>
        <v>23033.572502068011</v>
      </c>
      <c r="H31" s="14">
        <f t="shared" si="3"/>
        <v>3857.6934941003988</v>
      </c>
      <c r="I31" s="14">
        <f t="shared" si="3"/>
        <v>24005.021457281084</v>
      </c>
      <c r="J31" s="14">
        <f t="shared" si="3"/>
        <v>22112.643664325184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4467.4879758352627</v>
      </c>
      <c r="C32" s="14">
        <f t="shared" si="3"/>
        <v>4389.7172591245999</v>
      </c>
      <c r="D32" s="14">
        <f t="shared" si="3"/>
        <v>4439.2570746519132</v>
      </c>
      <c r="E32" s="14">
        <f t="shared" si="3"/>
        <v>29002.520897478003</v>
      </c>
      <c r="F32" s="14">
        <f t="shared" si="3"/>
        <v>28597.368059457545</v>
      </c>
      <c r="G32" s="14">
        <f t="shared" si="3"/>
        <v>29846.295954148554</v>
      </c>
      <c r="H32" s="14">
        <f t="shared" si="3"/>
        <v>13554.618116600726</v>
      </c>
      <c r="I32" s="14">
        <f t="shared" si="3"/>
        <v>28074.434924891895</v>
      </c>
      <c r="J32" s="14">
        <f t="shared" si="3"/>
        <v>28663.152098863997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2678.8657670960133</v>
      </c>
      <c r="C33" s="14">
        <f t="shared" si="3"/>
        <v>2977.4793548719913</v>
      </c>
      <c r="D33" s="14">
        <f t="shared" si="3"/>
        <v>2666.19869505424</v>
      </c>
      <c r="E33" s="14">
        <f t="shared" si="3"/>
        <v>24826.788914269717</v>
      </c>
      <c r="F33" s="14">
        <f t="shared" si="3"/>
        <v>24352.611989625086</v>
      </c>
      <c r="G33" s="14">
        <f t="shared" si="3"/>
        <v>24185.958426140372</v>
      </c>
      <c r="H33" s="14">
        <f t="shared" si="3"/>
        <v>19896.381715787586</v>
      </c>
      <c r="I33" s="14">
        <f t="shared" si="3"/>
        <v>25238.981894686982</v>
      </c>
      <c r="J33" s="14">
        <f t="shared" si="3"/>
        <v>23811.532321134775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5825.4420996264989</v>
      </c>
      <c r="C34" s="14">
        <f t="shared" si="3"/>
        <v>3979.6624824066812</v>
      </c>
      <c r="D34" s="14">
        <f t="shared" si="3"/>
        <v>5730.5715658298495</v>
      </c>
      <c r="E34" s="14">
        <f t="shared" si="3"/>
        <v>29803.727104841375</v>
      </c>
      <c r="F34" s="14">
        <f t="shared" si="3"/>
        <v>29522.680475173041</v>
      </c>
      <c r="G34" s="14">
        <f t="shared" si="3"/>
        <v>31013.605591922238</v>
      </c>
      <c r="H34" s="14">
        <f t="shared" si="3"/>
        <v>29467.948991665759</v>
      </c>
      <c r="I34" s="14">
        <f t="shared" si="3"/>
        <v>29306.495397795985</v>
      </c>
      <c r="J34" s="14">
        <f t="shared" si="3"/>
        <v>29281.209956188864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D38" s="14">
        <v>62.574026407373601</v>
      </c>
      <c r="E38" s="14">
        <v>83.849670657931384</v>
      </c>
      <c r="F38" s="14">
        <v>1318.3602946926055</v>
      </c>
      <c r="G38" s="14">
        <v>2005.8917976095795</v>
      </c>
      <c r="H38" s="14">
        <v>2798.9510258536211</v>
      </c>
      <c r="I38" s="14">
        <v>2860.4579697717068</v>
      </c>
      <c r="J38" s="14">
        <v>3038.644152400997</v>
      </c>
      <c r="K38" s="14">
        <v>2957.3790150202608</v>
      </c>
      <c r="L38" s="14">
        <v>4467.4879758352627</v>
      </c>
      <c r="M38" s="14">
        <v>2678.8657670960133</v>
      </c>
      <c r="N38" s="14">
        <v>5825.4420996264989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D39" s="14">
        <v>294.20021423453352</v>
      </c>
      <c r="E39" s="14">
        <v>686.42873969051675</v>
      </c>
      <c r="F39" s="14">
        <v>1959.9149389717554</v>
      </c>
      <c r="G39" s="14">
        <v>2511.6076135015187</v>
      </c>
      <c r="H39" s="14">
        <v>2515.4027237361106</v>
      </c>
      <c r="I39" s="14">
        <v>3019.4398269871454</v>
      </c>
      <c r="J39" s="14">
        <v>2948.9871935578035</v>
      </c>
      <c r="K39" s="14">
        <v>3039.2338857832196</v>
      </c>
      <c r="L39" s="14">
        <v>4389.7172591245999</v>
      </c>
      <c r="M39" s="14">
        <v>2977.4793548719913</v>
      </c>
      <c r="N39" s="14">
        <v>3979.6624824066812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D40" s="14">
        <v>62.574026407373601</v>
      </c>
      <c r="E40" s="14">
        <v>83.849670657931384</v>
      </c>
      <c r="F40" s="14">
        <v>1904.574315895351</v>
      </c>
      <c r="G40" s="14">
        <v>2757.3812967971071</v>
      </c>
      <c r="H40" s="14">
        <v>3083.271366965856</v>
      </c>
      <c r="I40" s="14">
        <v>2948.5782450984348</v>
      </c>
      <c r="J40" s="14">
        <v>3592.1358751925354</v>
      </c>
      <c r="K40" s="14">
        <v>2803.7179585581748</v>
      </c>
      <c r="L40" s="14">
        <v>4439.2570746519132</v>
      </c>
      <c r="M40" s="14">
        <v>2666.19869505424</v>
      </c>
      <c r="N40" s="14">
        <v>5730.5715658298495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D41" s="14">
        <v>62.574026407373601</v>
      </c>
      <c r="E41" s="14">
        <v>83.849670657931384</v>
      </c>
      <c r="F41" s="14">
        <v>1904.574315895351</v>
      </c>
      <c r="G41" s="14">
        <v>2756.731133270423</v>
      </c>
      <c r="H41" s="14">
        <v>3077.5579171119562</v>
      </c>
      <c r="I41" s="14">
        <v>5620.826949841241</v>
      </c>
      <c r="J41" s="14">
        <v>20505.211945909414</v>
      </c>
      <c r="K41" s="14">
        <v>22041.400200205644</v>
      </c>
      <c r="L41" s="14">
        <v>29002.520897478003</v>
      </c>
      <c r="M41" s="14">
        <v>24826.788914269717</v>
      </c>
      <c r="N41" s="14">
        <v>29803.727104841375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D42" s="14">
        <v>62.574026407373601</v>
      </c>
      <c r="E42" s="14">
        <v>83.849670657931384</v>
      </c>
      <c r="F42" s="14">
        <v>1904.574315895351</v>
      </c>
      <c r="G42" s="14">
        <v>2757.3812967971071</v>
      </c>
      <c r="H42" s="14">
        <v>3083.271366965856</v>
      </c>
      <c r="I42" s="14">
        <v>5406.5006112704168</v>
      </c>
      <c r="J42" s="14">
        <v>16554.017226188487</v>
      </c>
      <c r="K42" s="14">
        <v>20766.71292258301</v>
      </c>
      <c r="L42" s="14">
        <v>26399.092072383442</v>
      </c>
      <c r="M42" s="14">
        <v>21989.552063536972</v>
      </c>
      <c r="N42" s="14">
        <v>27655.490514864847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D43" s="14">
        <v>62.574026407373601</v>
      </c>
      <c r="E43" s="14">
        <v>83.849670657931384</v>
      </c>
      <c r="F43" s="14">
        <v>1904.574315895351</v>
      </c>
      <c r="G43" s="14">
        <v>2756.731133270423</v>
      </c>
      <c r="H43" s="14">
        <v>3077.5579171119562</v>
      </c>
      <c r="I43" s="14">
        <v>5728.5521128458922</v>
      </c>
      <c r="J43" s="14">
        <v>20552.537006513812</v>
      </c>
      <c r="K43" s="14">
        <v>22014.865652223751</v>
      </c>
      <c r="L43" s="14">
        <v>28950.901517384264</v>
      </c>
      <c r="M43" s="14">
        <v>24789.234274353577</v>
      </c>
      <c r="N43" s="14">
        <v>29773.298515972681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D44" s="14">
        <v>62.574026407373601</v>
      </c>
      <c r="E44" s="14">
        <v>83.849670657931384</v>
      </c>
      <c r="F44" s="14">
        <v>1904.574315895351</v>
      </c>
      <c r="G44" s="14">
        <v>2757.3812967971071</v>
      </c>
      <c r="H44" s="14">
        <v>3074.8395295355144</v>
      </c>
      <c r="I44" s="14">
        <v>6984.6942114622425</v>
      </c>
      <c r="J44" s="14">
        <v>22160.244358867949</v>
      </c>
      <c r="K44" s="14">
        <v>21691.888456588469</v>
      </c>
      <c r="L44" s="14">
        <v>28515.108511844894</v>
      </c>
      <c r="M44" s="14">
        <v>24093.194126225429</v>
      </c>
      <c r="N44" s="14">
        <v>29623.535972022011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D45" s="14">
        <v>62.574026407373601</v>
      </c>
      <c r="E45" s="14">
        <v>83.849670657931384</v>
      </c>
      <c r="F45" s="14">
        <v>1904.574315895351</v>
      </c>
      <c r="G45" s="14">
        <v>13671.141174550896</v>
      </c>
      <c r="H45" s="14">
        <v>56149.403913388574</v>
      </c>
      <c r="I45" s="14">
        <v>38463.985226880613</v>
      </c>
      <c r="J45" s="14">
        <v>27722.122198449109</v>
      </c>
      <c r="K45" s="14">
        <v>23033.572502068011</v>
      </c>
      <c r="L45" s="14">
        <v>29846.295954148554</v>
      </c>
      <c r="M45" s="14">
        <v>24185.958426140372</v>
      </c>
      <c r="N45" s="14">
        <v>31013.605591922238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D46" s="14">
        <v>62.574026407373601</v>
      </c>
      <c r="E46" s="14">
        <v>83.849670657931384</v>
      </c>
      <c r="F46" s="14">
        <v>1904.574315895351</v>
      </c>
      <c r="G46" s="14">
        <v>2757.3812967971071</v>
      </c>
      <c r="H46" s="14">
        <v>58219.10989076746</v>
      </c>
      <c r="I46" s="14">
        <v>43829.546986469468</v>
      </c>
      <c r="J46" s="14">
        <v>18305.218351170763</v>
      </c>
      <c r="K46" s="14">
        <v>3857.6934941003988</v>
      </c>
      <c r="L46" s="14">
        <v>13554.618116600726</v>
      </c>
      <c r="M46" s="14">
        <v>19896.381715787586</v>
      </c>
      <c r="N46" s="14">
        <v>29467.948991665759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D47" s="14">
        <v>62.574026407373601</v>
      </c>
      <c r="E47" s="14">
        <v>83.849670657931384</v>
      </c>
      <c r="F47" s="14">
        <v>1904.574315895351</v>
      </c>
      <c r="G47" s="14">
        <v>13713.569515824718</v>
      </c>
      <c r="H47" s="14">
        <v>56084.61264876827</v>
      </c>
      <c r="I47" s="14">
        <v>21985.423775382485</v>
      </c>
      <c r="J47" s="14">
        <v>23061.904003531599</v>
      </c>
      <c r="K47" s="14">
        <v>20788.501517144679</v>
      </c>
      <c r="L47" s="14">
        <v>34286.063385855225</v>
      </c>
      <c r="M47" s="14">
        <v>20298.758002581686</v>
      </c>
      <c r="N47" s="14">
        <v>34214.894063957312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D48" s="14">
        <v>62.574026407373601</v>
      </c>
      <c r="E48" s="14">
        <v>83.849670657931384</v>
      </c>
      <c r="F48" s="14">
        <v>1904.574315895351</v>
      </c>
      <c r="G48" s="14">
        <v>2757.3812967971071</v>
      </c>
      <c r="H48" s="14">
        <v>55028.055893404518</v>
      </c>
      <c r="I48" s="14">
        <v>25641.2577325124</v>
      </c>
      <c r="J48" s="14">
        <v>17629.068812972451</v>
      </c>
      <c r="K48" s="14">
        <v>2944.3811273987212</v>
      </c>
      <c r="L48" s="14">
        <v>18536.624631925784</v>
      </c>
      <c r="M48" s="14">
        <v>24511.671685382702</v>
      </c>
      <c r="N48" s="14">
        <v>27290.524424186911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D49" s="14">
        <v>62.574026407373601</v>
      </c>
      <c r="E49" s="14">
        <v>83.849670657931384</v>
      </c>
      <c r="F49" s="14">
        <v>1904.574315895351</v>
      </c>
      <c r="G49" s="14">
        <v>13671.141174550896</v>
      </c>
      <c r="H49" s="14">
        <v>56149.403913388574</v>
      </c>
      <c r="I49" s="14">
        <v>38463.985226880613</v>
      </c>
      <c r="J49" s="14">
        <v>27722.122198449109</v>
      </c>
      <c r="K49" s="14">
        <v>23033.572438885371</v>
      </c>
      <c r="L49" s="14">
        <v>29846.295926391605</v>
      </c>
      <c r="M49" s="14">
        <v>24185.958377035131</v>
      </c>
      <c r="N49" s="14">
        <v>31013.605591922238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D50" s="14">
        <v>62.574026407373601</v>
      </c>
      <c r="E50" s="14">
        <v>83.849670657931384</v>
      </c>
      <c r="F50" s="14">
        <v>1904.574315895351</v>
      </c>
      <c r="G50" s="14">
        <v>2757.3812967971071</v>
      </c>
      <c r="H50" s="14">
        <v>58219.109890770895</v>
      </c>
      <c r="I50" s="14">
        <v>43829.546986469461</v>
      </c>
      <c r="J50" s="14">
        <v>18305.218351173546</v>
      </c>
      <c r="K50" s="14">
        <v>3857.6934941003988</v>
      </c>
      <c r="L50" s="14">
        <v>13554.618116600726</v>
      </c>
      <c r="M50" s="14">
        <v>19896.381715687177</v>
      </c>
      <c r="N50" s="14">
        <v>29467.948991620349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D51" s="14">
        <v>62.574026407373601</v>
      </c>
      <c r="E51" s="14">
        <v>83.849670657931384</v>
      </c>
      <c r="F51" s="14">
        <v>1904.574315895351</v>
      </c>
      <c r="G51" s="14">
        <v>13794.371853462646</v>
      </c>
      <c r="H51" s="14">
        <v>56026.173234476817</v>
      </c>
      <c r="I51" s="14">
        <v>38587.215905792364</v>
      </c>
      <c r="J51" s="14">
        <v>27598.891519537367</v>
      </c>
      <c r="K51" s="14">
        <v>22591.253770968389</v>
      </c>
      <c r="L51" s="14">
        <v>30700.073539781693</v>
      </c>
      <c r="M51" s="14">
        <v>22952.03042588981</v>
      </c>
      <c r="N51" s="14">
        <v>31878.030432683721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D52" s="14">
        <v>62.574026407373601</v>
      </c>
      <c r="E52" s="14">
        <v>83.849670657931384</v>
      </c>
      <c r="F52" s="14">
        <v>1904.574315895351</v>
      </c>
      <c r="G52" s="14">
        <v>2757.3812967971071</v>
      </c>
      <c r="H52" s="14">
        <v>3078.958372927269</v>
      </c>
      <c r="I52" s="14">
        <v>6975.6169606260037</v>
      </c>
      <c r="J52" s="14">
        <v>22190.211321743544</v>
      </c>
      <c r="K52" s="14">
        <v>21660.74167309541</v>
      </c>
      <c r="L52" s="14">
        <v>28597.368059457545</v>
      </c>
      <c r="M52" s="14">
        <v>24352.611989625086</v>
      </c>
      <c r="N52" s="14">
        <v>29522.680475173041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D53" s="14">
        <v>62.574026407373601</v>
      </c>
      <c r="E53" s="14">
        <v>83.849670657931384</v>
      </c>
      <c r="F53" s="14">
        <v>1904.574315895351</v>
      </c>
      <c r="G53" s="14">
        <v>2757.3812967971071</v>
      </c>
      <c r="H53" s="14">
        <v>58997.529607472614</v>
      </c>
      <c r="I53" s="14">
        <v>43849.485065267647</v>
      </c>
      <c r="J53" s="14">
        <v>18472.473558131809</v>
      </c>
      <c r="K53" s="14">
        <v>3651.508609806016</v>
      </c>
      <c r="L53" s="14">
        <v>13463.537118331489</v>
      </c>
      <c r="M53" s="14">
        <v>18794.147532358351</v>
      </c>
      <c r="N53" s="14">
        <v>28889.560272011178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D54" s="14">
        <v>62.574026407373601</v>
      </c>
      <c r="E54" s="14">
        <v>83.849670657931384</v>
      </c>
      <c r="F54" s="14">
        <v>1904.574315895351</v>
      </c>
      <c r="G54" s="14">
        <v>13586.162179428924</v>
      </c>
      <c r="H54" s="14">
        <v>49888.902587341014</v>
      </c>
      <c r="I54" s="14">
        <v>18985.737252951429</v>
      </c>
      <c r="J54" s="14">
        <v>23164.811269670463</v>
      </c>
      <c r="K54" s="14">
        <v>16256.278096797001</v>
      </c>
      <c r="L54" s="14">
        <v>28613.581502255136</v>
      </c>
      <c r="M54" s="14">
        <v>18799.703862653427</v>
      </c>
      <c r="N54" s="14">
        <v>28567.042307478834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D55" s="14">
        <v>62.574026407373601</v>
      </c>
      <c r="E55" s="14">
        <v>83.849670657931384</v>
      </c>
      <c r="F55" s="14">
        <v>1904.574315895351</v>
      </c>
      <c r="G55" s="14">
        <v>2757.3812967971071</v>
      </c>
      <c r="H55" s="14">
        <v>36443.869963878416</v>
      </c>
      <c r="I55" s="14">
        <v>22014.930944179927</v>
      </c>
      <c r="J55" s="14">
        <v>16873.564248039307</v>
      </c>
      <c r="K55" s="14">
        <v>4884.3524828245581</v>
      </c>
      <c r="L55" s="14">
        <v>9312.4224287503512</v>
      </c>
      <c r="M55" s="14">
        <v>20264.743789546392</v>
      </c>
      <c r="N55" s="14">
        <v>22679.580622778842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D56" s="14">
        <v>62.574026407373601</v>
      </c>
      <c r="E56" s="14">
        <v>83.849670657931384</v>
      </c>
      <c r="F56" s="14">
        <v>1904.574315895351</v>
      </c>
      <c r="G56" s="14">
        <v>13660.847660055442</v>
      </c>
      <c r="H56" s="14">
        <v>70469.722742377315</v>
      </c>
      <c r="I56" s="14">
        <v>35267.984523497129</v>
      </c>
      <c r="J56" s="14">
        <v>27454.274621853427</v>
      </c>
      <c r="K56" s="14">
        <v>21114.020557623131</v>
      </c>
      <c r="L56" s="14">
        <v>29970.346090938612</v>
      </c>
      <c r="M56" s="14">
        <v>23590.244310252332</v>
      </c>
      <c r="N56" s="14">
        <v>30823.611863445491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D57" s="14">
        <v>62.574026407373601</v>
      </c>
      <c r="E57" s="14">
        <v>83.849670657931384</v>
      </c>
      <c r="F57" s="14">
        <v>1904.574315895351</v>
      </c>
      <c r="G57" s="14">
        <v>2757.3812967971071</v>
      </c>
      <c r="H57" s="14">
        <v>64532.234794869037</v>
      </c>
      <c r="I57" s="14">
        <v>46976.711279417461</v>
      </c>
      <c r="J57" s="14">
        <v>19051.802520537123</v>
      </c>
      <c r="K57" s="14">
        <v>2937.2000380986378</v>
      </c>
      <c r="L57" s="14">
        <v>13647.95453387712</v>
      </c>
      <c r="M57" s="14">
        <v>20773.836471482929</v>
      </c>
      <c r="N57" s="14">
        <v>27830.96002702399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D58" s="14">
        <v>62.574026407373601</v>
      </c>
      <c r="E58" s="14">
        <v>83.849670657931384</v>
      </c>
      <c r="F58" s="14">
        <v>1904.574315895351</v>
      </c>
      <c r="G58" s="14">
        <v>2719.8298303836623</v>
      </c>
      <c r="H58" s="14">
        <v>6865.9324762451124</v>
      </c>
      <c r="I58" s="14">
        <v>15625.609551482681</v>
      </c>
      <c r="J58" s="14">
        <v>26290.32305857243</v>
      </c>
      <c r="K58" s="14">
        <v>24005.021457281084</v>
      </c>
      <c r="L58" s="14">
        <v>28074.434924891895</v>
      </c>
      <c r="M58" s="14">
        <v>25238.981894686982</v>
      </c>
      <c r="N58" s="14">
        <v>29306.495397795985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D59" s="14">
        <v>62.574026407373601</v>
      </c>
      <c r="E59" s="14">
        <v>83.849670657931384</v>
      </c>
      <c r="F59" s="14">
        <v>1904.574315895351</v>
      </c>
      <c r="G59" s="14">
        <v>2757.3812967971071</v>
      </c>
      <c r="H59" s="14">
        <v>13399.523465466238</v>
      </c>
      <c r="I59" s="14">
        <v>19901.398251865554</v>
      </c>
      <c r="J59" s="14">
        <v>27565.877801387833</v>
      </c>
      <c r="K59" s="14">
        <v>22112.643664325184</v>
      </c>
      <c r="L59" s="14">
        <v>28663.152098863997</v>
      </c>
      <c r="M59" s="14">
        <v>23811.532321134775</v>
      </c>
      <c r="N59" s="14">
        <v>29281.209956188864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D60" s="14">
        <v>62.574026407373601</v>
      </c>
      <c r="E60" s="14">
        <v>83.849670657931384</v>
      </c>
      <c r="F60" s="14">
        <v>1904.574315895351</v>
      </c>
      <c r="G60" s="14">
        <v>2727.7083397585734</v>
      </c>
      <c r="H60" s="14">
        <v>7166.7342625767214</v>
      </c>
      <c r="I60" s="14">
        <v>12784.293980347527</v>
      </c>
      <c r="J60" s="14">
        <v>26560.041576559179</v>
      </c>
      <c r="K60" s="14">
        <v>23960.787960518483</v>
      </c>
      <c r="L60" s="14">
        <v>28264.744572521286</v>
      </c>
      <c r="M60" s="14">
        <v>25335.455522336753</v>
      </c>
      <c r="N60" s="14">
        <v>29220.609439974742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D61" s="14">
        <v>62.574026407373601</v>
      </c>
      <c r="E61" s="14">
        <v>83.849670657931384</v>
      </c>
      <c r="F61" s="14">
        <v>1904.574315895351</v>
      </c>
      <c r="G61" s="14">
        <v>2757.3812967971071</v>
      </c>
      <c r="H61" s="14">
        <v>13380.555681380249</v>
      </c>
      <c r="I61" s="14">
        <v>20158.613874107599</v>
      </c>
      <c r="J61" s="14">
        <v>26384.786822756494</v>
      </c>
      <c r="K61" s="14">
        <v>22264.877024662808</v>
      </c>
      <c r="L61" s="14">
        <v>29067.501441539298</v>
      </c>
      <c r="M61" s="14">
        <v>24120.09425876505</v>
      </c>
      <c r="N61" s="14">
        <v>29724.066690838557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D62" s="14">
        <v>62.574026407373601</v>
      </c>
      <c r="E62" s="14">
        <v>83.849670657931384</v>
      </c>
      <c r="F62" s="14">
        <v>1904.574315895351</v>
      </c>
      <c r="G62" s="14">
        <v>2719.8298303836623</v>
      </c>
      <c r="H62" s="14">
        <v>6865.9324762529959</v>
      </c>
      <c r="I62" s="14">
        <v>15625.609551486144</v>
      </c>
      <c r="J62" s="14">
        <v>26290.323058570488</v>
      </c>
      <c r="K62" s="14">
        <v>24005.021457285224</v>
      </c>
      <c r="L62" s="14">
        <v>28074.434924892626</v>
      </c>
      <c r="M62" s="14">
        <v>25238.981894689783</v>
      </c>
      <c r="N62" s="14">
        <v>29306.495397797662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D63" s="14">
        <v>62.574026407373601</v>
      </c>
      <c r="E63" s="14">
        <v>83.849670657931384</v>
      </c>
      <c r="F63" s="14">
        <v>1904.574315895351</v>
      </c>
      <c r="G63" s="14">
        <v>2756.731133270423</v>
      </c>
      <c r="H63" s="14">
        <v>3077.5579171119562</v>
      </c>
      <c r="I63" s="14">
        <v>5844.798997994777</v>
      </c>
      <c r="J63" s="14">
        <v>20447.566311383031</v>
      </c>
      <c r="K63" s="14">
        <v>22060.96595662761</v>
      </c>
      <c r="L63" s="14">
        <v>28830.023042086716</v>
      </c>
      <c r="M63" s="14">
        <v>24789.486423430197</v>
      </c>
      <c r="N63" s="14">
        <v>29518.622418352308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D64" s="14">
        <v>62.574026407373601</v>
      </c>
      <c r="E64" s="14">
        <v>83.849670657931384</v>
      </c>
      <c r="F64" s="14">
        <v>1904.574315895351</v>
      </c>
      <c r="G64" s="14">
        <v>2757.3812967971071</v>
      </c>
      <c r="H64" s="14">
        <v>13399.523465466238</v>
      </c>
      <c r="I64" s="14">
        <v>19901.398251861639</v>
      </c>
      <c r="J64" s="14">
        <v>27565.877801429055</v>
      </c>
      <c r="K64" s="14">
        <v>22112.643664301781</v>
      </c>
      <c r="L64" s="14">
        <v>28663.152098835602</v>
      </c>
      <c r="M64" s="14">
        <v>23811.532321160987</v>
      </c>
      <c r="N64" s="14">
        <v>29281.209956194612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D65" s="14">
        <v>62.574026407373601</v>
      </c>
      <c r="E65" s="14">
        <v>83.849670657931384</v>
      </c>
      <c r="F65" s="14">
        <v>1904.574315895351</v>
      </c>
      <c r="G65" s="14">
        <v>2726.0751467150158</v>
      </c>
      <c r="H65" s="14">
        <v>6709.661079847092</v>
      </c>
      <c r="I65" s="14">
        <v>15191.163522811998</v>
      </c>
      <c r="J65" s="14">
        <v>26686.355067484852</v>
      </c>
      <c r="K65" s="14">
        <v>23338.637659699329</v>
      </c>
      <c r="L65" s="14">
        <v>28483.093915175363</v>
      </c>
      <c r="M65" s="14">
        <v>24955.586654942093</v>
      </c>
      <c r="N65" s="14">
        <v>29305.299469572947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D66" s="14">
        <v>62.574026407373601</v>
      </c>
      <c r="E66" s="14">
        <v>83.849670657931384</v>
      </c>
      <c r="F66" s="14">
        <v>1904.574315895351</v>
      </c>
      <c r="G66" s="14">
        <v>2757.3812967971071</v>
      </c>
      <c r="H66" s="14">
        <v>12831.75165518223</v>
      </c>
      <c r="I66" s="14">
        <v>19999.822011413766</v>
      </c>
      <c r="J66" s="14">
        <v>27548.468372600291</v>
      </c>
      <c r="K66" s="14">
        <v>21806.734538761866</v>
      </c>
      <c r="L66" s="14">
        <v>28878.937194888462</v>
      </c>
      <c r="M66" s="14">
        <v>23487.108328302384</v>
      </c>
      <c r="N66" s="14">
        <v>29310.936995291384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D67" s="14">
        <v>62.574026407373601</v>
      </c>
      <c r="E67" s="14">
        <v>83.849670657931384</v>
      </c>
      <c r="F67" s="14">
        <v>1904.574315895351</v>
      </c>
      <c r="G67" s="14">
        <v>2734.1829567119958</v>
      </c>
      <c r="H67" s="14">
        <v>3813.7681402826247</v>
      </c>
      <c r="I67" s="14">
        <v>7567.1269596235097</v>
      </c>
      <c r="J67" s="14">
        <v>26264.594505163292</v>
      </c>
      <c r="K67" s="14">
        <v>22145.357637403664</v>
      </c>
      <c r="L67" s="14">
        <v>26337.348919981901</v>
      </c>
      <c r="M67" s="14">
        <v>22455.846519885945</v>
      </c>
      <c r="N67" s="14">
        <v>25956.01540961504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D68" s="14">
        <v>62.574026407373601</v>
      </c>
      <c r="E68" s="14">
        <v>83.849670657931384</v>
      </c>
      <c r="F68" s="14">
        <v>1904.574315895351</v>
      </c>
      <c r="G68" s="14">
        <v>2757.3812967971071</v>
      </c>
      <c r="H68" s="14">
        <v>6472.8624638314905</v>
      </c>
      <c r="I68" s="14">
        <v>19414.053511744187</v>
      </c>
      <c r="J68" s="14">
        <v>27603.684602385525</v>
      </c>
      <c r="K68" s="14">
        <v>16801.490592057598</v>
      </c>
      <c r="L68" s="14">
        <v>26882.413808996738</v>
      </c>
      <c r="M68" s="14">
        <v>21891.958410868701</v>
      </c>
      <c r="N68" s="14">
        <v>26953.40770882275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D69" s="14">
        <v>62.574026407373601</v>
      </c>
      <c r="E69" s="14">
        <v>83.849670657931384</v>
      </c>
      <c r="F69" s="14">
        <v>1904.574315895351</v>
      </c>
      <c r="G69" s="14">
        <v>2719.8298303836623</v>
      </c>
      <c r="H69" s="14">
        <v>6849.0436493555426</v>
      </c>
      <c r="I69" s="14">
        <v>15342.52512114743</v>
      </c>
      <c r="J69" s="14">
        <v>26624.500116528779</v>
      </c>
      <c r="K69" s="14">
        <v>23341.568524301059</v>
      </c>
      <c r="L69" s="14">
        <v>28232.733807371063</v>
      </c>
      <c r="M69" s="14">
        <v>24830.746580021696</v>
      </c>
      <c r="N69" s="14">
        <v>29141.588919655471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D70" s="14">
        <v>62.574026407373601</v>
      </c>
      <c r="E70" s="14">
        <v>83.849670657931384</v>
      </c>
      <c r="F70" s="14">
        <v>1904.574315895351</v>
      </c>
      <c r="G70" s="14">
        <v>2740.5468779699017</v>
      </c>
      <c r="H70" s="14">
        <v>3077.94139505363</v>
      </c>
      <c r="I70" s="14">
        <v>4811.1974687764714</v>
      </c>
      <c r="J70" s="14">
        <v>24747.528494283102</v>
      </c>
      <c r="K70" s="14">
        <v>23832.047115998117</v>
      </c>
      <c r="L70" s="14">
        <v>26027.857643872878</v>
      </c>
      <c r="M70" s="14">
        <v>22951.184534477728</v>
      </c>
      <c r="N70" s="14">
        <v>27449.737383278258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D71" s="14">
        <v>62.574026407373601</v>
      </c>
      <c r="E71" s="14">
        <v>83.849670657931384</v>
      </c>
      <c r="F71" s="14">
        <v>1904.574315895351</v>
      </c>
      <c r="G71" s="14">
        <v>2757.3812967971071</v>
      </c>
      <c r="H71" s="14">
        <v>3078.958372927269</v>
      </c>
      <c r="I71" s="14">
        <v>7040.1904304356976</v>
      </c>
      <c r="J71" s="14">
        <v>22233.918553324478</v>
      </c>
      <c r="K71" s="14">
        <v>21658.161920206021</v>
      </c>
      <c r="L71" s="14">
        <v>28634.646989890622</v>
      </c>
      <c r="M71" s="14">
        <v>24089.278129061113</v>
      </c>
      <c r="N71" s="14">
        <v>29237.598140290898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D72" s="14">
        <v>62.574026407373601</v>
      </c>
      <c r="E72" s="14">
        <v>83.849670657931384</v>
      </c>
      <c r="F72" s="14">
        <v>1904.574315895351</v>
      </c>
      <c r="G72" s="14">
        <v>2756.731133270423</v>
      </c>
      <c r="H72" s="14">
        <v>3077.5579171119562</v>
      </c>
      <c r="I72" s="14">
        <v>5610.78720040177</v>
      </c>
      <c r="J72" s="14">
        <v>20541.136258690633</v>
      </c>
      <c r="K72" s="14">
        <v>22021.257903734469</v>
      </c>
      <c r="L72" s="14">
        <v>29040.982256826268</v>
      </c>
      <c r="M72" s="14">
        <v>24676.526161761616</v>
      </c>
      <c r="N72" s="14">
        <v>29876.069032327847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D73" s="14">
        <v>62.574026407373601</v>
      </c>
      <c r="E73" s="14">
        <v>83.849670657931384</v>
      </c>
      <c r="F73" s="14">
        <v>1904.574315895351</v>
      </c>
      <c r="G73" s="14">
        <v>2757.3812967971071</v>
      </c>
      <c r="H73" s="14">
        <v>3078.958372927269</v>
      </c>
      <c r="I73" s="14">
        <v>6975.6169606260037</v>
      </c>
      <c r="J73" s="14">
        <v>22190.211321743544</v>
      </c>
      <c r="K73" s="14">
        <v>21660.74167309541</v>
      </c>
      <c r="L73" s="14">
        <v>28597.368059457986</v>
      </c>
      <c r="M73" s="14">
        <v>24352.611989625275</v>
      </c>
      <c r="N73" s="14">
        <v>29522.680475173012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D74" s="14">
        <v>62.574026407373601</v>
      </c>
      <c r="E74" s="14">
        <v>83.849670657931384</v>
      </c>
      <c r="F74" s="14">
        <v>1904.574315895351</v>
      </c>
      <c r="G74" s="14">
        <v>2756.731133270423</v>
      </c>
      <c r="H74" s="14">
        <v>3078.2956878237601</v>
      </c>
      <c r="I74" s="14">
        <v>5537.8375690423218</v>
      </c>
      <c r="J74" s="14">
        <v>17102.542686106488</v>
      </c>
      <c r="K74" s="14">
        <v>22001.049202224778</v>
      </c>
      <c r="L74" s="14">
        <v>29275.326453349888</v>
      </c>
      <c r="M74" s="14">
        <v>24472.431691953981</v>
      </c>
      <c r="N74" s="14">
        <v>29975.811626490788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D75" s="14">
        <v>62.574026407373601</v>
      </c>
      <c r="E75" s="14">
        <v>83.849670657931384</v>
      </c>
      <c r="F75" s="14">
        <v>1904.574315895351</v>
      </c>
      <c r="G75" s="14">
        <v>2757.3812967971071</v>
      </c>
      <c r="H75" s="14">
        <v>3078.958372927269</v>
      </c>
      <c r="I75" s="14">
        <v>6923.0494188423745</v>
      </c>
      <c r="J75" s="14">
        <v>21768.334515567109</v>
      </c>
      <c r="K75" s="14">
        <v>21895.837988148913</v>
      </c>
      <c r="L75" s="14">
        <v>28544.671955503967</v>
      </c>
      <c r="M75" s="14">
        <v>24640.759416801211</v>
      </c>
      <c r="N75" s="14">
        <v>29451.243161261635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D76" s="14">
        <v>62.574026407373601</v>
      </c>
      <c r="E76" s="14">
        <v>83.849670657931384</v>
      </c>
      <c r="F76" s="14">
        <v>1904.574315895351</v>
      </c>
      <c r="G76" s="14">
        <v>2756.731133270423</v>
      </c>
      <c r="H76" s="14">
        <v>3078.2956878237601</v>
      </c>
      <c r="I76" s="14">
        <v>5548.5798443914045</v>
      </c>
      <c r="J76" s="14">
        <v>10736.092480132504</v>
      </c>
      <c r="K76" s="14">
        <v>18812.587078520985</v>
      </c>
      <c r="L76" s="14">
        <v>28109.560856604017</v>
      </c>
      <c r="M76" s="14">
        <v>21855.566312233477</v>
      </c>
      <c r="N76" s="14">
        <v>27724.215177110513</v>
      </c>
    </row>
  </sheetData>
  <conditionalFormatting sqref="A1:XFD12 A20:XFD1048576 N19:XFD19 A14:XFD18 A13:E13 J13:XFD13">
    <cfRule type="expression" dxfId="112" priority="3">
      <formula>_xlfn.ISFORMULA(A1)</formula>
    </cfRule>
  </conditionalFormatting>
  <conditionalFormatting sqref="A19:M19">
    <cfRule type="expression" dxfId="111" priority="2">
      <formula>_xlfn.ISFORMULA(A19)</formula>
    </cfRule>
  </conditionalFormatting>
  <conditionalFormatting sqref="F13:I13">
    <cfRule type="expression" dxfId="110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F75463-9D24-4893-961B-BCB214FD6BC4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7A5CA-A92F-4BA1-8C76-4549C2E57A20}">
  <sheetPr>
    <tabColor theme="5" tint="0.39997558519241921"/>
  </sheetPr>
  <dimension ref="A1:S76"/>
  <sheetViews>
    <sheetView zoomScale="70" zoomScaleNormal="70" workbookViewId="0">
      <selection activeCell="D37" sqref="D37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242</v>
      </c>
    </row>
    <row r="2" spans="1:9" s="5" customFormat="1" x14ac:dyDescent="0.3">
      <c r="A2" s="5" t="s">
        <v>5</v>
      </c>
      <c r="B2" s="5" t="s">
        <v>240</v>
      </c>
    </row>
    <row r="3" spans="1:9" s="5" customFormat="1" x14ac:dyDescent="0.3">
      <c r="A3" s="5" t="s">
        <v>6</v>
      </c>
      <c r="B3" s="5" t="s">
        <v>239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9</v>
      </c>
      <c r="D7" s="5" t="s">
        <v>1021</v>
      </c>
    </row>
    <row r="8" spans="1:9" s="5" customFormat="1" x14ac:dyDescent="0.3">
      <c r="B8" s="5" t="s">
        <v>190</v>
      </c>
      <c r="C8" s="5" t="s">
        <v>10</v>
      </c>
      <c r="D8" s="5" t="s">
        <v>1022</v>
      </c>
    </row>
    <row r="9" spans="1:9" s="5" customFormat="1" x14ac:dyDescent="0.3">
      <c r="B9" s="5" t="s">
        <v>189</v>
      </c>
      <c r="C9" s="5" t="s">
        <v>192</v>
      </c>
      <c r="D9" s="5" t="s">
        <v>243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$E$8:$M630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241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>INDEX($D$38:$N$76,MATCH(B$24,$B$38:$B$76,0),MATCH($A25,$D$37:$N$37,0))</f>
        <v>0</v>
      </c>
      <c r="C25" s="14">
        <f t="shared" ref="C25:M25" si="2">INDEX($D$38:$N$76,MATCH(C$24,$B$38:$B$76,0),MATCH($A25,$D$37:$N$37,0))</f>
        <v>0</v>
      </c>
      <c r="D25" s="14">
        <f t="shared" si="2"/>
        <v>0</v>
      </c>
      <c r="E25" s="14">
        <f t="shared" si="2"/>
        <v>0</v>
      </c>
      <c r="F25" s="14">
        <f t="shared" si="2"/>
        <v>0</v>
      </c>
      <c r="G25" s="14">
        <f t="shared" si="2"/>
        <v>0</v>
      </c>
      <c r="H25" s="14">
        <f t="shared" si="2"/>
        <v>0</v>
      </c>
      <c r="I25" s="14">
        <f t="shared" si="2"/>
        <v>0</v>
      </c>
      <c r="J25" s="14">
        <f t="shared" si="2"/>
        <v>0</v>
      </c>
      <c r="K25" s="14" t="e">
        <f t="shared" si="2"/>
        <v>#N/A</v>
      </c>
      <c r="L25" s="14" t="e">
        <f t="shared" si="2"/>
        <v>#N/A</v>
      </c>
      <c r="M25" s="14" t="e">
        <f t="shared" si="2"/>
        <v>#N/A</v>
      </c>
    </row>
    <row r="26" spans="1:13" x14ac:dyDescent="0.3">
      <c r="A26" s="3">
        <v>2020</v>
      </c>
      <c r="B26" s="14">
        <f t="shared" ref="B26:M34" si="3">INDEX($D$38:$N$76,MATCH(B$24,$B$38:$B$76,0),MATCH($A26,$D$37:$N$37,0))</f>
        <v>55.299999999999926</v>
      </c>
      <c r="C26" s="14">
        <f t="shared" si="3"/>
        <v>55.29999999999994</v>
      </c>
      <c r="D26" s="14">
        <f t="shared" si="3"/>
        <v>55.300000000000061</v>
      </c>
      <c r="E26" s="14">
        <f t="shared" si="3"/>
        <v>55.300000000000061</v>
      </c>
      <c r="F26" s="14">
        <f t="shared" si="3"/>
        <v>55.300000000000061</v>
      </c>
      <c r="G26" s="14">
        <f t="shared" si="3"/>
        <v>55.300000000000061</v>
      </c>
      <c r="H26" s="14">
        <f t="shared" si="3"/>
        <v>55.300000000000061</v>
      </c>
      <c r="I26" s="14">
        <f t="shared" si="3"/>
        <v>55.300000000000061</v>
      </c>
      <c r="J26" s="14">
        <f t="shared" si="3"/>
        <v>55.300000000000061</v>
      </c>
      <c r="K26" s="14" t="e">
        <f t="shared" si="3"/>
        <v>#N/A</v>
      </c>
      <c r="L26" s="14" t="e">
        <f t="shared" si="3"/>
        <v>#N/A</v>
      </c>
      <c r="M26" s="14" t="e">
        <f t="shared" si="3"/>
        <v>#N/A</v>
      </c>
    </row>
    <row r="27" spans="1:13" x14ac:dyDescent="0.3">
      <c r="A27" s="3">
        <v>2030</v>
      </c>
      <c r="B27" s="14">
        <f t="shared" si="3"/>
        <v>339.09076507627361</v>
      </c>
      <c r="C27" s="14">
        <f t="shared" si="3"/>
        <v>339.09076507627356</v>
      </c>
      <c r="D27" s="14">
        <f t="shared" si="3"/>
        <v>511.41867088878001</v>
      </c>
      <c r="E27" s="14">
        <f t="shared" si="3"/>
        <v>554.62990308928306</v>
      </c>
      <c r="F27" s="14">
        <f t="shared" si="3"/>
        <v>511.41867088878001</v>
      </c>
      <c r="G27" s="14">
        <f t="shared" si="3"/>
        <v>648.60333079607267</v>
      </c>
      <c r="H27" s="14">
        <f t="shared" si="3"/>
        <v>511.41867088878001</v>
      </c>
      <c r="I27" s="14">
        <f t="shared" si="3"/>
        <v>600.48863309316982</v>
      </c>
      <c r="J27" s="14">
        <f t="shared" si="3"/>
        <v>511.41867088878001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2082.501920620321</v>
      </c>
      <c r="C28" s="14">
        <f t="shared" si="3"/>
        <v>2082.501920620321</v>
      </c>
      <c r="D28" s="14">
        <f t="shared" si="3"/>
        <v>4746.748657923159</v>
      </c>
      <c r="E28" s="14">
        <f t="shared" si="3"/>
        <v>5376.5475367405797</v>
      </c>
      <c r="F28" s="14">
        <f t="shared" si="3"/>
        <v>5103.8901350274746</v>
      </c>
      <c r="G28" s="14">
        <f t="shared" si="3"/>
        <v>2657.477069717067</v>
      </c>
      <c r="H28" s="14">
        <f t="shared" si="3"/>
        <v>2612.9558654141647</v>
      </c>
      <c r="I28" s="14">
        <f t="shared" si="3"/>
        <v>5773.9107606003008</v>
      </c>
      <c r="J28" s="14">
        <f t="shared" si="3"/>
        <v>5361.4766705651291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11415.241132094006</v>
      </c>
      <c r="C29" s="14">
        <f t="shared" si="3"/>
        <v>11309.539995401801</v>
      </c>
      <c r="D29" s="14">
        <f t="shared" si="3"/>
        <v>12590.519901368216</v>
      </c>
      <c r="E29" s="14">
        <f t="shared" si="3"/>
        <v>13209.691522752013</v>
      </c>
      <c r="F29" s="14">
        <f t="shared" si="3"/>
        <v>12977.476735202006</v>
      </c>
      <c r="G29" s="14">
        <f t="shared" si="3"/>
        <v>10639.841173782937</v>
      </c>
      <c r="H29" s="14">
        <f t="shared" si="3"/>
        <v>5645.7212000528361</v>
      </c>
      <c r="I29" s="14">
        <f t="shared" si="3"/>
        <v>13924.520829408522</v>
      </c>
      <c r="J29" s="14">
        <f t="shared" si="3"/>
        <v>13010.665186049129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18002.983767329075</v>
      </c>
      <c r="C30" s="14">
        <f t="shared" si="3"/>
        <v>18025.183457152169</v>
      </c>
      <c r="D30" s="14">
        <f t="shared" si="3"/>
        <v>18058.832894070591</v>
      </c>
      <c r="E30" s="14">
        <f t="shared" si="3"/>
        <v>18363.213727340117</v>
      </c>
      <c r="F30" s="14">
        <f t="shared" si="3"/>
        <v>18088.889950601791</v>
      </c>
      <c r="G30" s="14">
        <f t="shared" si="3"/>
        <v>20810.014697971284</v>
      </c>
      <c r="H30" s="14">
        <f t="shared" si="3"/>
        <v>12818.94506292338</v>
      </c>
      <c r="I30" s="14">
        <f t="shared" si="3"/>
        <v>18712.820467604837</v>
      </c>
      <c r="J30" s="14">
        <f t="shared" si="3"/>
        <v>16554.158883067892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20038.095925356465</v>
      </c>
      <c r="C31" s="14">
        <f t="shared" si="3"/>
        <v>20030.807603967685</v>
      </c>
      <c r="D31" s="14">
        <f t="shared" si="3"/>
        <v>20024.882702086408</v>
      </c>
      <c r="E31" s="14">
        <f t="shared" si="3"/>
        <v>20117.068178000922</v>
      </c>
      <c r="F31" s="14">
        <f t="shared" si="3"/>
        <v>20394.576593284215</v>
      </c>
      <c r="G31" s="14">
        <f t="shared" si="3"/>
        <v>21290.318298947601</v>
      </c>
      <c r="H31" s="14">
        <f t="shared" si="3"/>
        <v>21565.310962778858</v>
      </c>
      <c r="I31" s="14">
        <f t="shared" si="3"/>
        <v>23057.651031703117</v>
      </c>
      <c r="J31" s="14">
        <f t="shared" si="3"/>
        <v>21378.116279760306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21526.170629171931</v>
      </c>
      <c r="C32" s="14">
        <f t="shared" si="3"/>
        <v>21528.338267166357</v>
      </c>
      <c r="D32" s="14">
        <f t="shared" si="3"/>
        <v>21533.970001480164</v>
      </c>
      <c r="E32" s="14">
        <f t="shared" si="3"/>
        <v>23797.994995439076</v>
      </c>
      <c r="F32" s="14">
        <f t="shared" si="3"/>
        <v>24594.11163108451</v>
      </c>
      <c r="G32" s="14">
        <f t="shared" si="3"/>
        <v>24646.5380343541</v>
      </c>
      <c r="H32" s="14">
        <f t="shared" si="3"/>
        <v>21369.131925774403</v>
      </c>
      <c r="I32" s="14">
        <f t="shared" si="3"/>
        <v>25400.803317227481</v>
      </c>
      <c r="J32" s="14">
        <f t="shared" si="3"/>
        <v>25408.109164641719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23128.145914995461</v>
      </c>
      <c r="C33" s="14">
        <f t="shared" si="3"/>
        <v>23127.494301272571</v>
      </c>
      <c r="D33" s="14">
        <f t="shared" si="3"/>
        <v>23191.618795607777</v>
      </c>
      <c r="E33" s="14">
        <f t="shared" si="3"/>
        <v>26742.868647473108</v>
      </c>
      <c r="F33" s="14">
        <f t="shared" si="3"/>
        <v>26664.047266910275</v>
      </c>
      <c r="G33" s="14">
        <f t="shared" si="3"/>
        <v>27127.176015992594</v>
      </c>
      <c r="H33" s="14">
        <f t="shared" si="3"/>
        <v>23481.508571452945</v>
      </c>
      <c r="I33" s="14">
        <f t="shared" si="3"/>
        <v>26663.289079365964</v>
      </c>
      <c r="J33" s="14">
        <f t="shared" si="3"/>
        <v>26665.611820977414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25105.541635225665</v>
      </c>
      <c r="C34" s="14">
        <f t="shared" si="3"/>
        <v>25105.541641914388</v>
      </c>
      <c r="D34" s="14">
        <f t="shared" si="3"/>
        <v>25105.53571143419</v>
      </c>
      <c r="E34" s="14">
        <f t="shared" si="3"/>
        <v>29256.516443468885</v>
      </c>
      <c r="F34" s="14">
        <f t="shared" si="3"/>
        <v>29311.700068728249</v>
      </c>
      <c r="G34" s="14">
        <f t="shared" si="3"/>
        <v>29259.636623118771</v>
      </c>
      <c r="H34" s="14">
        <f t="shared" si="3"/>
        <v>24770.085759559181</v>
      </c>
      <c r="I34" s="14">
        <f t="shared" si="3"/>
        <v>29387.802491475552</v>
      </c>
      <c r="J34" s="14">
        <f t="shared" si="3"/>
        <v>29457.301175868284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C37" s="3" t="s">
        <v>9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C38" s="3" t="s">
        <v>12</v>
      </c>
      <c r="D38" s="14">
        <v>0</v>
      </c>
      <c r="E38" s="14">
        <v>0</v>
      </c>
      <c r="F38" s="14">
        <v>55.299999999999926</v>
      </c>
      <c r="G38" s="14">
        <v>339.09076507627361</v>
      </c>
      <c r="H38" s="14">
        <v>2082.501920620321</v>
      </c>
      <c r="I38" s="14">
        <v>11415.241132094006</v>
      </c>
      <c r="J38" s="14">
        <v>18002.983767329075</v>
      </c>
      <c r="K38" s="14">
        <v>20038.095925356465</v>
      </c>
      <c r="L38" s="14">
        <v>21526.170629171931</v>
      </c>
      <c r="M38" s="14">
        <v>23128.145914995461</v>
      </c>
      <c r="N38" s="14">
        <v>25105.541635225665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C39" s="3" t="s">
        <v>12</v>
      </c>
      <c r="D39" s="14">
        <v>0</v>
      </c>
      <c r="E39" s="14">
        <v>0</v>
      </c>
      <c r="F39" s="14">
        <v>55.29999999999994</v>
      </c>
      <c r="G39" s="14">
        <v>339.09076507627356</v>
      </c>
      <c r="H39" s="14">
        <v>2082.501920620321</v>
      </c>
      <c r="I39" s="14">
        <v>11309.539995401801</v>
      </c>
      <c r="J39" s="14">
        <v>18025.183457152169</v>
      </c>
      <c r="K39" s="14">
        <v>20030.807603967685</v>
      </c>
      <c r="L39" s="14">
        <v>21528.338267166357</v>
      </c>
      <c r="M39" s="14">
        <v>23127.494301272571</v>
      </c>
      <c r="N39" s="14">
        <v>25105.541641914388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C40" s="3" t="s">
        <v>12</v>
      </c>
      <c r="D40" s="14">
        <v>0</v>
      </c>
      <c r="E40" s="14">
        <v>0</v>
      </c>
      <c r="F40" s="14">
        <v>55.300000000000061</v>
      </c>
      <c r="G40" s="14">
        <v>511.41867088878001</v>
      </c>
      <c r="H40" s="14">
        <v>4746.748657923159</v>
      </c>
      <c r="I40" s="14">
        <v>12590.519901368216</v>
      </c>
      <c r="J40" s="14">
        <v>18058.832894070591</v>
      </c>
      <c r="K40" s="14">
        <v>20024.882702086408</v>
      </c>
      <c r="L40" s="14">
        <v>21533.970001480164</v>
      </c>
      <c r="M40" s="14">
        <v>23191.618795607777</v>
      </c>
      <c r="N40" s="14">
        <v>25105.53571143419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C41" s="3" t="s">
        <v>12</v>
      </c>
      <c r="D41" s="14">
        <v>0</v>
      </c>
      <c r="E41" s="14">
        <v>0</v>
      </c>
      <c r="F41" s="14">
        <v>55.300000000000061</v>
      </c>
      <c r="G41" s="14">
        <v>554.62990308928306</v>
      </c>
      <c r="H41" s="14">
        <v>5376.5475367405797</v>
      </c>
      <c r="I41" s="14">
        <v>13209.691522752013</v>
      </c>
      <c r="J41" s="14">
        <v>18363.213727340117</v>
      </c>
      <c r="K41" s="14">
        <v>20117.068178000922</v>
      </c>
      <c r="L41" s="14">
        <v>23797.994995439076</v>
      </c>
      <c r="M41" s="14">
        <v>26742.868647473108</v>
      </c>
      <c r="N41" s="14">
        <v>29256.516443468885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C42" s="3" t="s">
        <v>12</v>
      </c>
      <c r="D42" s="14">
        <v>0</v>
      </c>
      <c r="E42" s="14">
        <v>0</v>
      </c>
      <c r="F42" s="14">
        <v>55.300000000000061</v>
      </c>
      <c r="G42" s="14">
        <v>511.41867088878001</v>
      </c>
      <c r="H42" s="14">
        <v>4305.5951494901155</v>
      </c>
      <c r="I42" s="14">
        <v>10617.271804285687</v>
      </c>
      <c r="J42" s="14">
        <v>14098.544523802566</v>
      </c>
      <c r="K42" s="14">
        <v>15667.651677715394</v>
      </c>
      <c r="L42" s="14">
        <v>17825.138825199298</v>
      </c>
      <c r="M42" s="14">
        <v>20359.06478902062</v>
      </c>
      <c r="N42" s="14">
        <v>22592.712654128914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C43" s="3" t="s">
        <v>12</v>
      </c>
      <c r="D43" s="14">
        <v>0</v>
      </c>
      <c r="E43" s="14">
        <v>0</v>
      </c>
      <c r="F43" s="14">
        <v>55.300000000000061</v>
      </c>
      <c r="G43" s="14">
        <v>554.62990308928306</v>
      </c>
      <c r="H43" s="14">
        <v>5376.5475367405797</v>
      </c>
      <c r="I43" s="14">
        <v>13208.823304269523</v>
      </c>
      <c r="J43" s="14">
        <v>18341.940854089793</v>
      </c>
      <c r="K43" s="14">
        <v>20035.079043501326</v>
      </c>
      <c r="L43" s="14">
        <v>23796.825111744474</v>
      </c>
      <c r="M43" s="14">
        <v>26734.090757956139</v>
      </c>
      <c r="N43" s="14">
        <v>29255.177145351125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C44" s="3" t="s">
        <v>12</v>
      </c>
      <c r="D44" s="14">
        <v>0</v>
      </c>
      <c r="E44" s="14">
        <v>0</v>
      </c>
      <c r="F44" s="14">
        <v>55.300000000000061</v>
      </c>
      <c r="G44" s="14">
        <v>511.41867088878001</v>
      </c>
      <c r="H44" s="14">
        <v>5103.8901350274746</v>
      </c>
      <c r="I44" s="14">
        <v>12977.476735202006</v>
      </c>
      <c r="J44" s="14">
        <v>18072.607289353004</v>
      </c>
      <c r="K44" s="14">
        <v>20404.423749900725</v>
      </c>
      <c r="L44" s="14">
        <v>24589.485566023737</v>
      </c>
      <c r="M44" s="14">
        <v>26719.027289595862</v>
      </c>
      <c r="N44" s="14">
        <v>29291.668312177499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C45" s="3" t="s">
        <v>12</v>
      </c>
      <c r="D45" s="14">
        <v>0</v>
      </c>
      <c r="E45" s="14">
        <v>0</v>
      </c>
      <c r="F45" s="14">
        <v>55.300000000000061</v>
      </c>
      <c r="G45" s="14">
        <v>648.60333079607267</v>
      </c>
      <c r="H45" s="14">
        <v>2657.477069717067</v>
      </c>
      <c r="I45" s="14">
        <v>10639.841173782937</v>
      </c>
      <c r="J45" s="14">
        <v>20810.014697971284</v>
      </c>
      <c r="K45" s="14">
        <v>21290.318298947601</v>
      </c>
      <c r="L45" s="14">
        <v>24646.5380343541</v>
      </c>
      <c r="M45" s="14">
        <v>27127.176015992594</v>
      </c>
      <c r="N45" s="14">
        <v>29259.636623118771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C46" s="3" t="s">
        <v>12</v>
      </c>
      <c r="D46" s="14">
        <v>0</v>
      </c>
      <c r="E46" s="14">
        <v>0</v>
      </c>
      <c r="F46" s="14">
        <v>55.300000000000061</v>
      </c>
      <c r="G46" s="14">
        <v>511.41867088878001</v>
      </c>
      <c r="H46" s="14">
        <v>2612.9558654141647</v>
      </c>
      <c r="I46" s="14">
        <v>5645.7212000528361</v>
      </c>
      <c r="J46" s="14">
        <v>12818.94506292338</v>
      </c>
      <c r="K46" s="14">
        <v>21565.310962778858</v>
      </c>
      <c r="L46" s="14">
        <v>21369.131925774403</v>
      </c>
      <c r="M46" s="14">
        <v>23481.508571452945</v>
      </c>
      <c r="N46" s="14">
        <v>24770.085759559181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C47" s="3" t="s">
        <v>12</v>
      </c>
      <c r="D47" s="14">
        <v>0</v>
      </c>
      <c r="E47" s="14">
        <v>0</v>
      </c>
      <c r="F47" s="14">
        <v>55.300000000000061</v>
      </c>
      <c r="G47" s="14">
        <v>649.23871908326601</v>
      </c>
      <c r="H47" s="14">
        <v>2655.8867701269073</v>
      </c>
      <c r="I47" s="14">
        <v>10823.247342851195</v>
      </c>
      <c r="J47" s="14">
        <v>20922.289371857882</v>
      </c>
      <c r="K47" s="14">
        <v>21306.022113649862</v>
      </c>
      <c r="L47" s="14">
        <v>24695.428243598344</v>
      </c>
      <c r="M47" s="14">
        <v>26898.50401453075</v>
      </c>
      <c r="N47" s="14">
        <v>29327.999540371122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C48" s="3" t="s">
        <v>12</v>
      </c>
      <c r="D48" s="14">
        <v>0</v>
      </c>
      <c r="E48" s="14">
        <v>0</v>
      </c>
      <c r="F48" s="14">
        <v>55.300000000000061</v>
      </c>
      <c r="G48" s="14">
        <v>511.41867088878001</v>
      </c>
      <c r="H48" s="14">
        <v>2592.7865470026791</v>
      </c>
      <c r="I48" s="14">
        <v>7217.0881261427949</v>
      </c>
      <c r="J48" s="14">
        <v>13523.80710781123</v>
      </c>
      <c r="K48" s="14">
        <v>21598.311046706731</v>
      </c>
      <c r="L48" s="14">
        <v>21347.644960415826</v>
      </c>
      <c r="M48" s="14">
        <v>23488.557913628851</v>
      </c>
      <c r="N48" s="14">
        <v>24768.030972847959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C49" s="3" t="s">
        <v>12</v>
      </c>
      <c r="D49" s="14">
        <v>0</v>
      </c>
      <c r="E49" s="14">
        <v>0</v>
      </c>
      <c r="F49" s="14">
        <v>55.300000000000061</v>
      </c>
      <c r="G49" s="14">
        <v>648.60333079607267</v>
      </c>
      <c r="H49" s="14">
        <v>2657.477069717067</v>
      </c>
      <c r="I49" s="14">
        <v>10639.841172627286</v>
      </c>
      <c r="J49" s="14">
        <v>20810.014697971284</v>
      </c>
      <c r="K49" s="14">
        <v>21290.318298947601</v>
      </c>
      <c r="L49" s="14">
        <v>24646.534729883086</v>
      </c>
      <c r="M49" s="14">
        <v>27127.170541383268</v>
      </c>
      <c r="N49" s="14">
        <v>29259.638251449767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C50" s="3" t="s">
        <v>12</v>
      </c>
      <c r="D50" s="14">
        <v>0</v>
      </c>
      <c r="E50" s="14">
        <v>0</v>
      </c>
      <c r="F50" s="14">
        <v>55.300000000000061</v>
      </c>
      <c r="G50" s="14">
        <v>511.41867088878001</v>
      </c>
      <c r="H50" s="14">
        <v>2612.9558654141647</v>
      </c>
      <c r="I50" s="14">
        <v>5645.7212000528361</v>
      </c>
      <c r="J50" s="14">
        <v>12818.945062923376</v>
      </c>
      <c r="K50" s="14">
        <v>21565.310962778858</v>
      </c>
      <c r="L50" s="14">
        <v>21369.131925774403</v>
      </c>
      <c r="M50" s="14">
        <v>23481.508571452945</v>
      </c>
      <c r="N50" s="14">
        <v>24770.085759559181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C51" s="3" t="s">
        <v>12</v>
      </c>
      <c r="D51" s="14">
        <v>0</v>
      </c>
      <c r="E51" s="14">
        <v>0</v>
      </c>
      <c r="F51" s="14">
        <v>55.300000000000061</v>
      </c>
      <c r="G51" s="14">
        <v>467.65236763011421</v>
      </c>
      <c r="H51" s="14">
        <v>2689.6462497330936</v>
      </c>
      <c r="I51" s="14">
        <v>9679.2471070541033</v>
      </c>
      <c r="J51" s="14">
        <v>21759.329163177073</v>
      </c>
      <c r="K51" s="14">
        <v>24395.810879748675</v>
      </c>
      <c r="L51" s="14">
        <v>26826.021524023377</v>
      </c>
      <c r="M51" s="14">
        <v>28710.033822795747</v>
      </c>
      <c r="N51" s="14">
        <v>30991.544728675912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C52" s="3" t="s">
        <v>12</v>
      </c>
      <c r="D52" s="14">
        <v>0</v>
      </c>
      <c r="E52" s="14">
        <v>0</v>
      </c>
      <c r="F52" s="14">
        <v>55.300000000000061</v>
      </c>
      <c r="G52" s="14">
        <v>511.41867088878001</v>
      </c>
      <c r="H52" s="14">
        <v>5103.8901350274746</v>
      </c>
      <c r="I52" s="14">
        <v>12977.476735202006</v>
      </c>
      <c r="J52" s="14">
        <v>18088.889950601791</v>
      </c>
      <c r="K52" s="14">
        <v>20394.576593284215</v>
      </c>
      <c r="L52" s="14">
        <v>24594.11163108451</v>
      </c>
      <c r="M52" s="14">
        <v>26664.047266910275</v>
      </c>
      <c r="N52" s="14">
        <v>29311.700068728249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C53" s="3" t="s">
        <v>12</v>
      </c>
      <c r="D53" s="14">
        <v>0</v>
      </c>
      <c r="E53" s="14">
        <v>0</v>
      </c>
      <c r="F53" s="14">
        <v>55.300000000000061</v>
      </c>
      <c r="G53" s="14">
        <v>511.41867088878001</v>
      </c>
      <c r="H53" s="14">
        <v>2727.0465560417815</v>
      </c>
      <c r="I53" s="14">
        <v>6201.2445479029329</v>
      </c>
      <c r="J53" s="14">
        <v>13137.395189280087</v>
      </c>
      <c r="K53" s="14">
        <v>26710.327824278636</v>
      </c>
      <c r="L53" s="14">
        <v>26788.972401151565</v>
      </c>
      <c r="M53" s="14">
        <v>29160.95850610374</v>
      </c>
      <c r="N53" s="14">
        <v>30818.440938049087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C54" s="3" t="s">
        <v>12</v>
      </c>
      <c r="D54" s="14">
        <v>0</v>
      </c>
      <c r="E54" s="14">
        <v>0</v>
      </c>
      <c r="F54" s="14">
        <v>55.300000000000061</v>
      </c>
      <c r="G54" s="14">
        <v>628.65741905604455</v>
      </c>
      <c r="H54" s="14">
        <v>2137.9291805212729</v>
      </c>
      <c r="I54" s="14">
        <v>10363.393677206974</v>
      </c>
      <c r="J54" s="14">
        <v>16186.837893933816</v>
      </c>
      <c r="K54" s="14">
        <v>16151.98585977786</v>
      </c>
      <c r="L54" s="14">
        <v>18227.123131144224</v>
      </c>
      <c r="M54" s="14">
        <v>21027.620539494987</v>
      </c>
      <c r="N54" s="14">
        <v>22614.972669561295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C55" s="3" t="s">
        <v>12</v>
      </c>
      <c r="D55" s="14">
        <v>0</v>
      </c>
      <c r="E55" s="14">
        <v>0</v>
      </c>
      <c r="F55" s="14">
        <v>55.300000000000061</v>
      </c>
      <c r="G55" s="14">
        <v>511.41867088878001</v>
      </c>
      <c r="H55" s="14">
        <v>2013.8273294650082</v>
      </c>
      <c r="I55" s="14">
        <v>4457.7159670295141</v>
      </c>
      <c r="J55" s="14">
        <v>9986.9577370210554</v>
      </c>
      <c r="K55" s="14">
        <v>16817.675974472932</v>
      </c>
      <c r="L55" s="14">
        <v>16652.43251218538</v>
      </c>
      <c r="M55" s="14">
        <v>18296.248595866538</v>
      </c>
      <c r="N55" s="14">
        <v>19215.677049843707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C56" s="3" t="s">
        <v>12</v>
      </c>
      <c r="D56" s="14">
        <v>0</v>
      </c>
      <c r="E56" s="14">
        <v>0</v>
      </c>
      <c r="F56" s="14">
        <v>55.300000000000061</v>
      </c>
      <c r="G56" s="14">
        <v>648.60333079607267</v>
      </c>
      <c r="H56" s="14">
        <v>2658.2996322313102</v>
      </c>
      <c r="I56" s="14">
        <v>10810.561627547344</v>
      </c>
      <c r="J56" s="14">
        <v>21369.298734929209</v>
      </c>
      <c r="K56" s="14">
        <v>21185.226796682975</v>
      </c>
      <c r="L56" s="14">
        <v>23917.168757826574</v>
      </c>
      <c r="M56" s="14">
        <v>26907.535927136025</v>
      </c>
      <c r="N56" s="14">
        <v>29298.104153969241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C57" s="3" t="s">
        <v>12</v>
      </c>
      <c r="D57" s="14">
        <v>0</v>
      </c>
      <c r="E57" s="14">
        <v>0</v>
      </c>
      <c r="F57" s="14">
        <v>55.300000000000061</v>
      </c>
      <c r="G57" s="14">
        <v>511.41867088878001</v>
      </c>
      <c r="H57" s="14">
        <v>2592.7865470026791</v>
      </c>
      <c r="I57" s="14">
        <v>7056.9741219823391</v>
      </c>
      <c r="J57" s="14">
        <v>12867.064650772449</v>
      </c>
      <c r="K57" s="14">
        <v>21466.907044361251</v>
      </c>
      <c r="L57" s="14">
        <v>21436.286642040865</v>
      </c>
      <c r="M57" s="14">
        <v>23461.774254977394</v>
      </c>
      <c r="N57" s="14">
        <v>24796.221418772842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C58" s="3" t="s">
        <v>12</v>
      </c>
      <c r="D58" s="14">
        <v>0</v>
      </c>
      <c r="E58" s="14">
        <v>0</v>
      </c>
      <c r="F58" s="14">
        <v>55.300000000000061</v>
      </c>
      <c r="G58" s="14">
        <v>600.48863309316982</v>
      </c>
      <c r="H58" s="14">
        <v>5773.9107606003008</v>
      </c>
      <c r="I58" s="14">
        <v>13924.520829408522</v>
      </c>
      <c r="J58" s="14">
        <v>18712.820467604837</v>
      </c>
      <c r="K58" s="14">
        <v>23057.651031703117</v>
      </c>
      <c r="L58" s="14">
        <v>25400.803317227481</v>
      </c>
      <c r="M58" s="14">
        <v>26663.289079365964</v>
      </c>
      <c r="N58" s="14">
        <v>29387.802491475552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C59" s="3" t="s">
        <v>12</v>
      </c>
      <c r="D59" s="14">
        <v>0</v>
      </c>
      <c r="E59" s="14">
        <v>0</v>
      </c>
      <c r="F59" s="14">
        <v>55.300000000000061</v>
      </c>
      <c r="G59" s="14">
        <v>511.41867088878001</v>
      </c>
      <c r="H59" s="14">
        <v>5361.4766705651291</v>
      </c>
      <c r="I59" s="14">
        <v>13010.665186049129</v>
      </c>
      <c r="J59" s="14">
        <v>16554.158883067892</v>
      </c>
      <c r="K59" s="14">
        <v>21378.116279760306</v>
      </c>
      <c r="L59" s="14">
        <v>25408.109164641719</v>
      </c>
      <c r="M59" s="14">
        <v>26665.611820977414</v>
      </c>
      <c r="N59" s="14">
        <v>29457.301175868284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C60" s="3" t="s">
        <v>12</v>
      </c>
      <c r="D60" s="14">
        <v>0</v>
      </c>
      <c r="E60" s="14">
        <v>0</v>
      </c>
      <c r="F60" s="14">
        <v>55.300000000000061</v>
      </c>
      <c r="G60" s="14">
        <v>600.48863309316982</v>
      </c>
      <c r="H60" s="14">
        <v>5773.9107606003008</v>
      </c>
      <c r="I60" s="14">
        <v>13924.520829408522</v>
      </c>
      <c r="J60" s="14">
        <v>18714.353685290687</v>
      </c>
      <c r="K60" s="14">
        <v>23055.443438152735</v>
      </c>
      <c r="L60" s="14">
        <v>25462.842988660697</v>
      </c>
      <c r="M60" s="14">
        <v>26646.521702215239</v>
      </c>
      <c r="N60" s="14">
        <v>29444.606020482963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C61" s="3" t="s">
        <v>12</v>
      </c>
      <c r="D61" s="14">
        <v>0</v>
      </c>
      <c r="E61" s="14">
        <v>0</v>
      </c>
      <c r="F61" s="14">
        <v>55.300000000000061</v>
      </c>
      <c r="G61" s="14">
        <v>511.41867088878001</v>
      </c>
      <c r="H61" s="14">
        <v>5365.487665435996</v>
      </c>
      <c r="I61" s="14">
        <v>13191.415228621572</v>
      </c>
      <c r="J61" s="14">
        <v>16532.624097731015</v>
      </c>
      <c r="K61" s="14">
        <v>21419.965707192507</v>
      </c>
      <c r="L61" s="14">
        <v>25385.772455595514</v>
      </c>
      <c r="M61" s="14">
        <v>26659.675174039417</v>
      </c>
      <c r="N61" s="14">
        <v>29451.090531546004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C62" s="3" t="s">
        <v>12</v>
      </c>
      <c r="D62" s="14">
        <v>0</v>
      </c>
      <c r="E62" s="14">
        <v>0</v>
      </c>
      <c r="F62" s="14">
        <v>55.300000000000061</v>
      </c>
      <c r="G62" s="14">
        <v>600.48863309316982</v>
      </c>
      <c r="H62" s="14">
        <v>5773.9107606003008</v>
      </c>
      <c r="I62" s="14">
        <v>13924.520829408522</v>
      </c>
      <c r="J62" s="14">
        <v>18712.820467604837</v>
      </c>
      <c r="K62" s="14">
        <v>23057.651031703568</v>
      </c>
      <c r="L62" s="14">
        <v>25400.803317227481</v>
      </c>
      <c r="M62" s="14">
        <v>26663.289079365964</v>
      </c>
      <c r="N62" s="14">
        <v>29387.802491475552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C63" s="3" t="s">
        <v>12</v>
      </c>
      <c r="D63" s="14">
        <v>0</v>
      </c>
      <c r="E63" s="14">
        <v>0</v>
      </c>
      <c r="F63" s="14">
        <v>55.300000000000061</v>
      </c>
      <c r="G63" s="14">
        <v>554.62990308928306</v>
      </c>
      <c r="H63" s="14">
        <v>5376.6566149060654</v>
      </c>
      <c r="I63" s="14">
        <v>13210.7592088865</v>
      </c>
      <c r="J63" s="14">
        <v>18331.295443963121</v>
      </c>
      <c r="K63" s="14">
        <v>20227.235221622737</v>
      </c>
      <c r="L63" s="14">
        <v>23681.512147023801</v>
      </c>
      <c r="M63" s="14">
        <v>26739.529929537581</v>
      </c>
      <c r="N63" s="14">
        <v>29270.373119492244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C64" s="3" t="s">
        <v>12</v>
      </c>
      <c r="D64" s="14">
        <v>0</v>
      </c>
      <c r="E64" s="14">
        <v>0</v>
      </c>
      <c r="F64" s="14">
        <v>55.300000000000061</v>
      </c>
      <c r="G64" s="14">
        <v>511.41867088878001</v>
      </c>
      <c r="H64" s="14">
        <v>5361.4766705651255</v>
      </c>
      <c r="I64" s="14">
        <v>13010.665186049091</v>
      </c>
      <c r="J64" s="14">
        <v>16554.158883067899</v>
      </c>
      <c r="K64" s="14">
        <v>21378.116279760303</v>
      </c>
      <c r="L64" s="14">
        <v>25408.109164642665</v>
      </c>
      <c r="M64" s="14">
        <v>26665.611820977134</v>
      </c>
      <c r="N64" s="14">
        <v>29457.301175868368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C65" s="3" t="s">
        <v>12</v>
      </c>
      <c r="D65" s="14">
        <v>0</v>
      </c>
      <c r="E65" s="14">
        <v>0</v>
      </c>
      <c r="F65" s="14">
        <v>55.300000000000061</v>
      </c>
      <c r="G65" s="14">
        <v>602.18178353250039</v>
      </c>
      <c r="H65" s="14">
        <v>5975.8622782090661</v>
      </c>
      <c r="I65" s="14">
        <v>14707.054228398005</v>
      </c>
      <c r="J65" s="14">
        <v>21276.944014671466</v>
      </c>
      <c r="K65" s="14">
        <v>25293.967812798764</v>
      </c>
      <c r="L65" s="14">
        <v>26896.485390378715</v>
      </c>
      <c r="M65" s="14">
        <v>28736.211596225792</v>
      </c>
      <c r="N65" s="14">
        <v>30913.856601724998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C66" s="3" t="s">
        <v>12</v>
      </c>
      <c r="D66" s="14">
        <v>0</v>
      </c>
      <c r="E66" s="14">
        <v>0</v>
      </c>
      <c r="F66" s="14">
        <v>55.300000000000061</v>
      </c>
      <c r="G66" s="14">
        <v>511.41867088878001</v>
      </c>
      <c r="H66" s="14">
        <v>5486.833465995297</v>
      </c>
      <c r="I66" s="14">
        <v>13911.076881375402</v>
      </c>
      <c r="J66" s="14">
        <v>18703.016590569765</v>
      </c>
      <c r="K66" s="14">
        <v>23157.132170050794</v>
      </c>
      <c r="L66" s="14">
        <v>26932.563166062788</v>
      </c>
      <c r="M66" s="14">
        <v>28599.590159249183</v>
      </c>
      <c r="N66" s="14">
        <v>30934.1726404578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C67" s="3" t="s">
        <v>12</v>
      </c>
      <c r="D67" s="14">
        <v>0</v>
      </c>
      <c r="E67" s="14">
        <v>0</v>
      </c>
      <c r="F67" s="14">
        <v>55.300000000000061</v>
      </c>
      <c r="G67" s="14">
        <v>600.35442874146543</v>
      </c>
      <c r="H67" s="14">
        <v>4759.2029219034703</v>
      </c>
      <c r="I67" s="14">
        <v>11496.426459816859</v>
      </c>
      <c r="J67" s="14">
        <v>14493.578243206659</v>
      </c>
      <c r="K67" s="14">
        <v>17050.360346338592</v>
      </c>
      <c r="L67" s="14">
        <v>19676.793868445515</v>
      </c>
      <c r="M67" s="14">
        <v>20915.781070759196</v>
      </c>
      <c r="N67" s="14">
        <v>22647.087256669809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C68" s="3" t="s">
        <v>12</v>
      </c>
      <c r="D68" s="14">
        <v>0</v>
      </c>
      <c r="E68" s="14">
        <v>0</v>
      </c>
      <c r="F68" s="14">
        <v>55.300000000000061</v>
      </c>
      <c r="G68" s="14">
        <v>511.41867088878001</v>
      </c>
      <c r="H68" s="14">
        <v>4360.2668431416123</v>
      </c>
      <c r="I68" s="14">
        <v>10995.279487281114</v>
      </c>
      <c r="J68" s="14">
        <v>12380.639762546394</v>
      </c>
      <c r="K68" s="14">
        <v>17031.071161692413</v>
      </c>
      <c r="L68" s="14">
        <v>19496.025980118091</v>
      </c>
      <c r="M68" s="14">
        <v>20946.503331993088</v>
      </c>
      <c r="N68" s="14">
        <v>22635.278969360708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C69" s="3" t="s">
        <v>12</v>
      </c>
      <c r="D69" s="14">
        <v>0</v>
      </c>
      <c r="E69" s="14">
        <v>0</v>
      </c>
      <c r="F69" s="14">
        <v>55.300000000000061</v>
      </c>
      <c r="G69" s="14">
        <v>600.48863309316982</v>
      </c>
      <c r="H69" s="14">
        <v>5773.9107606002999</v>
      </c>
      <c r="I69" s="14">
        <v>13924.520829408522</v>
      </c>
      <c r="J69" s="14">
        <v>18586.106725126738</v>
      </c>
      <c r="K69" s="14">
        <v>23036.164031181786</v>
      </c>
      <c r="L69" s="14">
        <v>25386.021457049486</v>
      </c>
      <c r="M69" s="14">
        <v>26665.923717476802</v>
      </c>
      <c r="N69" s="14">
        <v>29383.871355332951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C70" s="3" t="s">
        <v>12</v>
      </c>
      <c r="D70" s="14">
        <v>0</v>
      </c>
      <c r="E70" s="14">
        <v>0</v>
      </c>
      <c r="F70" s="14">
        <v>55.300000000000061</v>
      </c>
      <c r="G70" s="14">
        <v>554.60839476547449</v>
      </c>
      <c r="H70" s="14">
        <v>5376.4527948048708</v>
      </c>
      <c r="I70" s="14">
        <v>13208.699645291503</v>
      </c>
      <c r="J70" s="14">
        <v>18373.664422905025</v>
      </c>
      <c r="K70" s="14">
        <v>20251.831869111844</v>
      </c>
      <c r="L70" s="14">
        <v>25597.771314072284</v>
      </c>
      <c r="M70" s="14">
        <v>27067.5657414405</v>
      </c>
      <c r="N70" s="14">
        <v>29267.70990055221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C71" s="3" t="s">
        <v>12</v>
      </c>
      <c r="D71" s="14">
        <v>0</v>
      </c>
      <c r="E71" s="14">
        <v>0</v>
      </c>
      <c r="F71" s="14">
        <v>55.300000000000061</v>
      </c>
      <c r="G71" s="14">
        <v>511.41867088878001</v>
      </c>
      <c r="H71" s="14">
        <v>5103.8901350274746</v>
      </c>
      <c r="I71" s="14">
        <v>12977.476735202006</v>
      </c>
      <c r="J71" s="14">
        <v>18071.993343048849</v>
      </c>
      <c r="K71" s="14">
        <v>20247.882075138241</v>
      </c>
      <c r="L71" s="14">
        <v>24340.090185945206</v>
      </c>
      <c r="M71" s="14">
        <v>26702.844358341274</v>
      </c>
      <c r="N71" s="14">
        <v>29274.984309215484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C72" s="3" t="s">
        <v>12</v>
      </c>
      <c r="D72" s="14">
        <v>0</v>
      </c>
      <c r="E72" s="14">
        <v>0</v>
      </c>
      <c r="F72" s="14">
        <v>55.300000000000061</v>
      </c>
      <c r="G72" s="14">
        <v>554.62990308928306</v>
      </c>
      <c r="H72" s="14">
        <v>5376.6565809822914</v>
      </c>
      <c r="I72" s="14">
        <v>13210.758876831553</v>
      </c>
      <c r="J72" s="14">
        <v>18317.431369451999</v>
      </c>
      <c r="K72" s="14">
        <v>20233.832732844756</v>
      </c>
      <c r="L72" s="14">
        <v>23805.815824527876</v>
      </c>
      <c r="M72" s="14">
        <v>26729.240238272403</v>
      </c>
      <c r="N72" s="14">
        <v>29249.011067196567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C73" s="3" t="s">
        <v>12</v>
      </c>
      <c r="D73" s="14">
        <v>0</v>
      </c>
      <c r="E73" s="14">
        <v>0</v>
      </c>
      <c r="F73" s="14">
        <v>55.300000000000061</v>
      </c>
      <c r="G73" s="14">
        <v>511.41867088878001</v>
      </c>
      <c r="H73" s="14">
        <v>5103.8901350274746</v>
      </c>
      <c r="I73" s="14">
        <v>12977.476735202006</v>
      </c>
      <c r="J73" s="14">
        <v>18088.889950606761</v>
      </c>
      <c r="K73" s="14">
        <v>20394.576593324578</v>
      </c>
      <c r="L73" s="14">
        <v>24594.111631092157</v>
      </c>
      <c r="M73" s="14">
        <v>26664.047266873764</v>
      </c>
      <c r="N73" s="14">
        <v>29311.70006872854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C74" s="3" t="s">
        <v>12</v>
      </c>
      <c r="D74" s="14">
        <v>0</v>
      </c>
      <c r="E74" s="14">
        <v>0</v>
      </c>
      <c r="F74" s="14">
        <v>55.300000000000061</v>
      </c>
      <c r="G74" s="14">
        <v>556.30200902740012</v>
      </c>
      <c r="H74" s="14">
        <v>5433.1758045938686</v>
      </c>
      <c r="I74" s="14">
        <v>14168.197314273157</v>
      </c>
      <c r="J74" s="14">
        <v>21295.567447227604</v>
      </c>
      <c r="K74" s="14">
        <v>25804.530537763214</v>
      </c>
      <c r="L74" s="14">
        <v>27471.91124858132</v>
      </c>
      <c r="M74" s="14">
        <v>29283.901481742392</v>
      </c>
      <c r="N74" s="14">
        <v>31704.94124976105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C75" s="3" t="s">
        <v>12</v>
      </c>
      <c r="D75" s="14">
        <v>0</v>
      </c>
      <c r="E75" s="14">
        <v>0</v>
      </c>
      <c r="F75" s="14">
        <v>55.300000000000061</v>
      </c>
      <c r="G75" s="14">
        <v>511.41867088878001</v>
      </c>
      <c r="H75" s="14">
        <v>5155.7554974541763</v>
      </c>
      <c r="I75" s="14">
        <v>13538.559641116377</v>
      </c>
      <c r="J75" s="14">
        <v>19068.179256953292</v>
      </c>
      <c r="K75" s="14">
        <v>22590.3000153053</v>
      </c>
      <c r="L75" s="14">
        <v>27066.30552394774</v>
      </c>
      <c r="M75" s="14">
        <v>28673.0897017963</v>
      </c>
      <c r="N75" s="14">
        <v>30912.976016913381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C76" s="3" t="s">
        <v>12</v>
      </c>
      <c r="D76" s="14">
        <v>0</v>
      </c>
      <c r="E76" s="14">
        <v>0</v>
      </c>
      <c r="F76" s="14">
        <v>55.300000000000061</v>
      </c>
      <c r="G76" s="14">
        <v>554.09180865279041</v>
      </c>
      <c r="H76" s="14">
        <v>4631.5128711701491</v>
      </c>
      <c r="I76" s="14">
        <v>10703.490287325618</v>
      </c>
      <c r="J76" s="14">
        <v>14420.108199533368</v>
      </c>
      <c r="K76" s="14">
        <v>15644.188840941049</v>
      </c>
      <c r="L76" s="14">
        <v>17341.41049017652</v>
      </c>
      <c r="M76" s="14">
        <v>19900.220468186704</v>
      </c>
      <c r="N76" s="14">
        <v>22595.060245179295</v>
      </c>
    </row>
  </sheetData>
  <conditionalFormatting sqref="A623:XFD1048576 A77:A622 D77:XFD622 A1:XFD12 A20:XFD76 N19:XFD19 A14:XFD18 A13:E13 J13:XFD13">
    <cfRule type="expression" dxfId="109" priority="3">
      <formula>_xlfn.ISFORMULA(A1)</formula>
    </cfRule>
  </conditionalFormatting>
  <conditionalFormatting sqref="A19:M19">
    <cfRule type="expression" dxfId="108" priority="2">
      <formula>_xlfn.ISFORMULA(A19)</formula>
    </cfRule>
  </conditionalFormatting>
  <conditionalFormatting sqref="F13:I13">
    <cfRule type="expression" dxfId="107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67FED9A9-6484-4802-8DC7-64057FD228B2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717C4-69D0-482C-9DD1-B89FE5D5F6F3}">
  <sheetPr>
    <tabColor theme="5" tint="0.39997558519241921"/>
  </sheetPr>
  <dimension ref="A1:S76"/>
  <sheetViews>
    <sheetView zoomScale="70" zoomScaleNormal="70" workbookViewId="0">
      <selection activeCell="D38" sqref="D38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245</v>
      </c>
    </row>
    <row r="2" spans="1:9" s="5" customFormat="1" x14ac:dyDescent="0.3">
      <c r="A2" s="5" t="s">
        <v>5</v>
      </c>
      <c r="B2" s="5" t="s">
        <v>246</v>
      </c>
    </row>
    <row r="3" spans="1:9" s="5" customFormat="1" x14ac:dyDescent="0.3">
      <c r="A3" s="5" t="s">
        <v>6</v>
      </c>
      <c r="B3" s="5" t="s">
        <v>244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1020</v>
      </c>
    </row>
    <row r="7" spans="1:9" s="5" customFormat="1" x14ac:dyDescent="0.3">
      <c r="B7" s="5" t="s">
        <v>188</v>
      </c>
      <c r="C7" s="5" t="s">
        <v>10</v>
      </c>
      <c r="D7" s="5" t="s">
        <v>1021</v>
      </c>
    </row>
    <row r="8" spans="1:9" s="5" customFormat="1" x14ac:dyDescent="0.3">
      <c r="B8" s="5" t="s">
        <v>190</v>
      </c>
    </row>
    <row r="9" spans="1:9" s="5" customFormat="1" x14ac:dyDescent="0.3">
      <c r="B9" s="5" t="s">
        <v>189</v>
      </c>
      <c r="C9" s="5" t="s">
        <v>192</v>
      </c>
      <c r="D9" s="5" t="s">
        <v>251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$D$8:$L630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">
        <v>287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 t="shared" ref="B24:M24" si="1">IF(ISBLANK(B20),"",B20)</f>
        <v>Vivid_0A</v>
      </c>
      <c r="C24" s="3" t="str">
        <f t="shared" si="1"/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>INDEX($D$38:$N$76,MATCH(B$24,$B$38:$B$76,0),MATCH($A25,$D$37:$N$37,0))</f>
        <v>0</v>
      </c>
      <c r="C25" s="14">
        <f t="shared" ref="C25:M25" si="2">INDEX($D$38:$N$76,MATCH(C$24,$B$38:$B$76,0),MATCH($A25,$D$37:$N$37,0))</f>
        <v>0</v>
      </c>
      <c r="D25" s="14">
        <f t="shared" si="2"/>
        <v>0</v>
      </c>
      <c r="E25" s="14">
        <f t="shared" si="2"/>
        <v>0</v>
      </c>
      <c r="F25" s="14">
        <f t="shared" si="2"/>
        <v>0</v>
      </c>
      <c r="G25" s="14">
        <f t="shared" si="2"/>
        <v>0</v>
      </c>
      <c r="H25" s="14">
        <f t="shared" si="2"/>
        <v>0</v>
      </c>
      <c r="I25" s="14">
        <f t="shared" si="2"/>
        <v>0</v>
      </c>
      <c r="J25" s="14" t="e">
        <f t="shared" si="2"/>
        <v>#N/A</v>
      </c>
      <c r="K25" s="14" t="e">
        <f t="shared" si="2"/>
        <v>#N/A</v>
      </c>
      <c r="L25" s="14" t="e">
        <f t="shared" si="2"/>
        <v>#N/A</v>
      </c>
      <c r="M25" s="14" t="e">
        <f t="shared" si="2"/>
        <v>#N/A</v>
      </c>
    </row>
    <row r="26" spans="1:13" x14ac:dyDescent="0.3">
      <c r="A26" s="3">
        <v>2020</v>
      </c>
      <c r="B26" s="14">
        <f t="shared" ref="B26:M34" si="3">INDEX($D$38:$N$76,MATCH(B$24,$B$38:$B$76,0),MATCH($A26,$D$37:$N$37,0))</f>
        <v>0</v>
      </c>
      <c r="C26" s="14">
        <f t="shared" si="3"/>
        <v>0.70863470163645392</v>
      </c>
      <c r="D26" s="14">
        <f t="shared" si="3"/>
        <v>0.71607152537272356</v>
      </c>
      <c r="E26" s="14">
        <f t="shared" si="3"/>
        <v>0.71607152537272356</v>
      </c>
      <c r="F26" s="14">
        <f t="shared" si="3"/>
        <v>0.71607152537272356</v>
      </c>
      <c r="G26" s="14">
        <f t="shared" si="3"/>
        <v>0.71607152537272356</v>
      </c>
      <c r="H26" s="14">
        <f t="shared" si="3"/>
        <v>0.71607152537272356</v>
      </c>
      <c r="I26" s="14">
        <f t="shared" si="3"/>
        <v>0.71607152537272356</v>
      </c>
      <c r="J26" s="14" t="e">
        <f t="shared" si="3"/>
        <v>#N/A</v>
      </c>
      <c r="K26" s="14" t="e">
        <f t="shared" si="3"/>
        <v>#N/A</v>
      </c>
      <c r="L26" s="14" t="e">
        <f t="shared" si="3"/>
        <v>#N/A</v>
      </c>
      <c r="M26" s="14" t="e">
        <f t="shared" si="3"/>
        <v>#N/A</v>
      </c>
    </row>
    <row r="27" spans="1:13" x14ac:dyDescent="0.3">
      <c r="A27" s="3">
        <v>2030</v>
      </c>
      <c r="B27" s="14">
        <f t="shared" si="3"/>
        <v>0</v>
      </c>
      <c r="C27" s="14">
        <f t="shared" si="3"/>
        <v>0.17230716941495869</v>
      </c>
      <c r="D27" s="14">
        <f t="shared" si="3"/>
        <v>0.74169755562765172</v>
      </c>
      <c r="E27" s="14">
        <f t="shared" si="3"/>
        <v>1.3050867061002469</v>
      </c>
      <c r="F27" s="14">
        <f t="shared" si="3"/>
        <v>0.74169755562765172</v>
      </c>
      <c r="G27" s="14">
        <f t="shared" si="3"/>
        <v>1.7013304164856926</v>
      </c>
      <c r="H27" s="14">
        <f t="shared" si="3"/>
        <v>0.74169755562765172</v>
      </c>
      <c r="I27" s="14">
        <f t="shared" si="3"/>
        <v>1.4400749477304384</v>
      </c>
      <c r="J27" s="14" t="e">
        <f t="shared" si="3"/>
        <v>#N/A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0</v>
      </c>
      <c r="C28" s="14">
        <f t="shared" si="3"/>
        <v>0</v>
      </c>
      <c r="D28" s="14">
        <f t="shared" si="3"/>
        <v>0.73497922736489951</v>
      </c>
      <c r="E28" s="14">
        <f t="shared" si="3"/>
        <v>2.0526561560000283</v>
      </c>
      <c r="F28" s="14">
        <f t="shared" si="3"/>
        <v>2.0045548482692239</v>
      </c>
      <c r="G28" s="14">
        <f t="shared" si="3"/>
        <v>3.9408500119662313</v>
      </c>
      <c r="H28" s="14">
        <f t="shared" si="3"/>
        <v>3.7625906988096394</v>
      </c>
      <c r="I28" s="14">
        <f t="shared" si="3"/>
        <v>2.8564204108364613</v>
      </c>
      <c r="J28" s="14" t="e">
        <f t="shared" si="3"/>
        <v>#N/A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0</v>
      </c>
      <c r="C29" s="14">
        <f t="shared" si="3"/>
        <v>0</v>
      </c>
      <c r="D29" s="14">
        <f t="shared" si="3"/>
        <v>0.25436266516921935</v>
      </c>
      <c r="E29" s="14">
        <f t="shared" si="3"/>
        <v>3.8394175401515929</v>
      </c>
      <c r="F29" s="14">
        <f t="shared" si="3"/>
        <v>3.8594346168728766</v>
      </c>
      <c r="G29" s="14">
        <f t="shared" si="3"/>
        <v>9.2585175048606985</v>
      </c>
      <c r="H29" s="14">
        <f t="shared" si="3"/>
        <v>10.35000000000001</v>
      </c>
      <c r="I29" s="14">
        <f t="shared" si="3"/>
        <v>7.3062544961930511</v>
      </c>
      <c r="J29" s="14" t="e">
        <f t="shared" si="3"/>
        <v>#N/A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0</v>
      </c>
      <c r="C30" s="14">
        <f t="shared" si="3"/>
        <v>0</v>
      </c>
      <c r="D30" s="14">
        <f t="shared" si="3"/>
        <v>0.76409303676365081</v>
      </c>
      <c r="E30" s="14">
        <f t="shared" si="3"/>
        <v>7.9102423547116674</v>
      </c>
      <c r="F30" s="14">
        <f t="shared" si="3"/>
        <v>8.564453122151356</v>
      </c>
      <c r="G30" s="14">
        <f t="shared" si="3"/>
        <v>19.219362973256047</v>
      </c>
      <c r="H30" s="14">
        <f t="shared" si="3"/>
        <v>19.10278011350665</v>
      </c>
      <c r="I30" s="14">
        <f t="shared" si="3"/>
        <v>14.385638899650365</v>
      </c>
      <c r="J30" s="14" t="e">
        <f t="shared" si="3"/>
        <v>#N/A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0</v>
      </c>
      <c r="C31" s="14">
        <f t="shared" si="3"/>
        <v>0</v>
      </c>
      <c r="D31" s="14">
        <f t="shared" si="3"/>
        <v>0</v>
      </c>
      <c r="E31" s="14">
        <f t="shared" si="3"/>
        <v>14.363262360411925</v>
      </c>
      <c r="F31" s="14">
        <f t="shared" si="3"/>
        <v>14.417606957447257</v>
      </c>
      <c r="G31" s="14">
        <f t="shared" si="3"/>
        <v>19.541942992381053</v>
      </c>
      <c r="H31" s="14">
        <f t="shared" si="3"/>
        <v>11.953232935226936</v>
      </c>
      <c r="I31" s="14">
        <f t="shared" si="3"/>
        <v>19.810168267123483</v>
      </c>
      <c r="J31" s="14" t="e">
        <f t="shared" si="3"/>
        <v>#N/A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0</v>
      </c>
      <c r="C32" s="14">
        <f t="shared" si="3"/>
        <v>0</v>
      </c>
      <c r="D32" s="14">
        <f t="shared" si="3"/>
        <v>0</v>
      </c>
      <c r="E32" s="14">
        <f t="shared" si="3"/>
        <v>19.912784395002205</v>
      </c>
      <c r="F32" s="14">
        <f t="shared" si="3"/>
        <v>20.578941785931839</v>
      </c>
      <c r="G32" s="14">
        <f t="shared" si="3"/>
        <v>22.35344444727885</v>
      </c>
      <c r="H32" s="14">
        <f t="shared" si="3"/>
        <v>13.265816783330036</v>
      </c>
      <c r="I32" s="14">
        <f t="shared" si="3"/>
        <v>23.332047110400644</v>
      </c>
      <c r="J32" s="14" t="e">
        <f t="shared" si="3"/>
        <v>#N/A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0</v>
      </c>
      <c r="C33" s="14">
        <f t="shared" si="3"/>
        <v>0</v>
      </c>
      <c r="D33" s="14">
        <f t="shared" si="3"/>
        <v>0</v>
      </c>
      <c r="E33" s="14">
        <f t="shared" si="3"/>
        <v>23.754387503859743</v>
      </c>
      <c r="F33" s="14">
        <f t="shared" si="3"/>
        <v>23.906739825435228</v>
      </c>
      <c r="G33" s="14">
        <f t="shared" si="3"/>
        <v>24.398594204164951</v>
      </c>
      <c r="H33" s="14">
        <f t="shared" si="3"/>
        <v>15.133061677020764</v>
      </c>
      <c r="I33" s="14">
        <f t="shared" si="3"/>
        <v>23.779049665193256</v>
      </c>
      <c r="J33" s="14" t="e">
        <f t="shared" si="3"/>
        <v>#N/A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0</v>
      </c>
      <c r="C34" s="14">
        <f t="shared" si="3"/>
        <v>0</v>
      </c>
      <c r="D34" s="14">
        <f t="shared" si="3"/>
        <v>0</v>
      </c>
      <c r="E34" s="14">
        <f t="shared" si="3"/>
        <v>25.409866344795919</v>
      </c>
      <c r="F34" s="14">
        <f t="shared" si="3"/>
        <v>25.043962266816877</v>
      </c>
      <c r="G34" s="14">
        <f t="shared" si="3"/>
        <v>25.047359200369819</v>
      </c>
      <c r="H34" s="14">
        <f t="shared" si="3"/>
        <v>20.867466923165196</v>
      </c>
      <c r="I34" s="14">
        <f t="shared" si="3"/>
        <v>24.852083378463799</v>
      </c>
      <c r="J34" s="14" t="e">
        <f t="shared" si="3"/>
        <v>#N/A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D37" s="3">
        <v>2007</v>
      </c>
      <c r="E37" s="3">
        <v>2012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D39" s="14">
        <v>0</v>
      </c>
      <c r="E39" s="14">
        <v>0</v>
      </c>
      <c r="F39" s="14">
        <v>0.70863470163645392</v>
      </c>
      <c r="G39" s="14">
        <v>0.17230716941495869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D40" s="14">
        <v>0</v>
      </c>
      <c r="E40" s="14">
        <v>0</v>
      </c>
      <c r="F40" s="14">
        <v>0.71607152537272356</v>
      </c>
      <c r="G40" s="14">
        <v>0.74169755562765172</v>
      </c>
      <c r="H40" s="14">
        <v>0.73497922736489951</v>
      </c>
      <c r="I40" s="14">
        <v>0.25436266516921935</v>
      </c>
      <c r="J40" s="14">
        <v>0.76409303676365081</v>
      </c>
      <c r="K40" s="14">
        <v>0</v>
      </c>
      <c r="L40" s="14">
        <v>0</v>
      </c>
      <c r="M40" s="14">
        <v>0</v>
      </c>
      <c r="N40" s="14">
        <v>0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D41" s="14">
        <v>0</v>
      </c>
      <c r="E41" s="14">
        <v>0</v>
      </c>
      <c r="F41" s="14">
        <v>0.71607152537272356</v>
      </c>
      <c r="G41" s="14">
        <v>1.3050867061002469</v>
      </c>
      <c r="H41" s="14">
        <v>2.0526561560000283</v>
      </c>
      <c r="I41" s="14">
        <v>3.8394175401515929</v>
      </c>
      <c r="J41" s="14">
        <v>7.9102423547116674</v>
      </c>
      <c r="K41" s="14">
        <v>14.363262360411925</v>
      </c>
      <c r="L41" s="14">
        <v>19.912784395002205</v>
      </c>
      <c r="M41" s="14">
        <v>23.754387503859743</v>
      </c>
      <c r="N41" s="14">
        <v>25.409866344795919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D42" s="14">
        <v>0</v>
      </c>
      <c r="E42" s="14">
        <v>0</v>
      </c>
      <c r="F42" s="14">
        <v>0.71607152537272356</v>
      </c>
      <c r="G42" s="14">
        <v>0.74169755562765172</v>
      </c>
      <c r="H42" s="14">
        <v>0.86574282032959093</v>
      </c>
      <c r="I42" s="14">
        <v>2.5510965082638442</v>
      </c>
      <c r="J42" s="14">
        <v>4.9622702013765725</v>
      </c>
      <c r="K42" s="14">
        <v>10.733515154907105</v>
      </c>
      <c r="L42" s="14">
        <v>16.374296753639062</v>
      </c>
      <c r="M42" s="14">
        <v>20.005408319836068</v>
      </c>
      <c r="N42" s="14">
        <v>22.872757112292469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D43" s="14">
        <v>0</v>
      </c>
      <c r="E43" s="14">
        <v>0</v>
      </c>
      <c r="F43" s="14">
        <v>0.71607152537272356</v>
      </c>
      <c r="G43" s="14">
        <v>1.3023192648097268</v>
      </c>
      <c r="H43" s="14">
        <v>2.0282472545431975</v>
      </c>
      <c r="I43" s="14">
        <v>3.7700171732045136</v>
      </c>
      <c r="J43" s="14">
        <v>7.9003659834723177</v>
      </c>
      <c r="K43" s="14">
        <v>14.349558740675814</v>
      </c>
      <c r="L43" s="14">
        <v>19.88995993198073</v>
      </c>
      <c r="M43" s="14">
        <v>23.805467804921388</v>
      </c>
      <c r="N43" s="14">
        <v>25.432656613850192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D44" s="14">
        <v>0</v>
      </c>
      <c r="E44" s="14">
        <v>0</v>
      </c>
      <c r="F44" s="14">
        <v>0.71607152537272356</v>
      </c>
      <c r="G44" s="14">
        <v>0.74169755562765172</v>
      </c>
      <c r="H44" s="14">
        <v>1.9984964826635867</v>
      </c>
      <c r="I44" s="14">
        <v>3.8610603190158801</v>
      </c>
      <c r="J44" s="14">
        <v>8.5935820314946589</v>
      </c>
      <c r="K44" s="14">
        <v>14.368038470878135</v>
      </c>
      <c r="L44" s="14">
        <v>20.495340133697702</v>
      </c>
      <c r="M44" s="14">
        <v>23.855131135752877</v>
      </c>
      <c r="N44" s="14">
        <v>25.061813491257009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D45" s="14">
        <v>0</v>
      </c>
      <c r="E45" s="14">
        <v>0</v>
      </c>
      <c r="F45" s="14">
        <v>0.71607152537272356</v>
      </c>
      <c r="G45" s="14">
        <v>1.7013304164856926</v>
      </c>
      <c r="H45" s="14">
        <v>3.9408500119662313</v>
      </c>
      <c r="I45" s="14">
        <v>9.2585175048606985</v>
      </c>
      <c r="J45" s="14">
        <v>19.219362973256047</v>
      </c>
      <c r="K45" s="14">
        <v>19.541942992381053</v>
      </c>
      <c r="L45" s="14">
        <v>22.35344444727885</v>
      </c>
      <c r="M45" s="14">
        <v>24.398594204164951</v>
      </c>
      <c r="N45" s="14">
        <v>25.047359200369819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D46" s="14">
        <v>0</v>
      </c>
      <c r="E46" s="14">
        <v>0</v>
      </c>
      <c r="F46" s="14">
        <v>0.71607152537272356</v>
      </c>
      <c r="G46" s="14">
        <v>0.74169755562765172</v>
      </c>
      <c r="H46" s="14">
        <v>3.7625906988096394</v>
      </c>
      <c r="I46" s="14">
        <v>10.35000000000001</v>
      </c>
      <c r="J46" s="14">
        <v>19.10278011350665</v>
      </c>
      <c r="K46" s="14">
        <v>11.953232935226936</v>
      </c>
      <c r="L46" s="14">
        <v>13.265816783330036</v>
      </c>
      <c r="M46" s="14">
        <v>15.133061677020764</v>
      </c>
      <c r="N46" s="14">
        <v>20.867466923165196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D47" s="14">
        <v>0</v>
      </c>
      <c r="E47" s="14">
        <v>0</v>
      </c>
      <c r="F47" s="14">
        <v>0.71607152537272356</v>
      </c>
      <c r="G47" s="14">
        <v>1.6951861190082451</v>
      </c>
      <c r="H47" s="14">
        <v>3.9408500119682839</v>
      </c>
      <c r="I47" s="14">
        <v>8.8416656599011709</v>
      </c>
      <c r="J47" s="14">
        <v>19.698333927628511</v>
      </c>
      <c r="K47" s="14">
        <v>19.517947127059394</v>
      </c>
      <c r="L47" s="14">
        <v>22.194204218791135</v>
      </c>
      <c r="M47" s="14">
        <v>24.319435510453914</v>
      </c>
      <c r="N47" s="14">
        <v>25.04324737788755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D48" s="14">
        <v>0</v>
      </c>
      <c r="E48" s="14">
        <v>0</v>
      </c>
      <c r="F48" s="14">
        <v>0.71607152537272356</v>
      </c>
      <c r="G48" s="14">
        <v>0.74169755562765172</v>
      </c>
      <c r="H48" s="14">
        <v>3.8052659339232102</v>
      </c>
      <c r="I48" s="14">
        <v>10.349999999999998</v>
      </c>
      <c r="J48" s="14">
        <v>18.820771594487734</v>
      </c>
      <c r="K48" s="14">
        <v>11.771588601264817</v>
      </c>
      <c r="L48" s="14">
        <v>13.009775137288514</v>
      </c>
      <c r="M48" s="14">
        <v>14.616001098577525</v>
      </c>
      <c r="N48" s="14">
        <v>20.351831053085395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D49" s="14">
        <v>0</v>
      </c>
      <c r="E49" s="14">
        <v>0</v>
      </c>
      <c r="F49" s="14">
        <v>0.71607152537272356</v>
      </c>
      <c r="G49" s="14">
        <v>1.7013304164829783</v>
      </c>
      <c r="H49" s="14">
        <v>3.940850011966806</v>
      </c>
      <c r="I49" s="14">
        <v>9.2585176141934351</v>
      </c>
      <c r="J49" s="14">
        <v>19.219362504348727</v>
      </c>
      <c r="K49" s="14">
        <v>19.541944128039944</v>
      </c>
      <c r="L49" s="14">
        <v>22.353443716360893</v>
      </c>
      <c r="M49" s="14">
        <v>24.398593771419478</v>
      </c>
      <c r="N49" s="14">
        <v>25.047360233261898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D50" s="14">
        <v>0</v>
      </c>
      <c r="E50" s="14">
        <v>0</v>
      </c>
      <c r="F50" s="14">
        <v>0.71607152537272356</v>
      </c>
      <c r="G50" s="14">
        <v>0.74169755562765172</v>
      </c>
      <c r="H50" s="14">
        <v>3.7625906988187641</v>
      </c>
      <c r="I50" s="14">
        <v>10.350000000000009</v>
      </c>
      <c r="J50" s="14">
        <v>19.102780107561671</v>
      </c>
      <c r="K50" s="14">
        <v>11.9532329337923</v>
      </c>
      <c r="L50" s="14">
        <v>13.265816779779318</v>
      </c>
      <c r="M50" s="14">
        <v>15.133061674898313</v>
      </c>
      <c r="N50" s="14">
        <v>20.867466923613396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D51" s="14">
        <v>0</v>
      </c>
      <c r="E51" s="14">
        <v>0</v>
      </c>
      <c r="F51" s="14">
        <v>0.71607152537272356</v>
      </c>
      <c r="G51" s="14">
        <v>1.5581364065976551</v>
      </c>
      <c r="H51" s="14">
        <v>3.9408500119668077</v>
      </c>
      <c r="I51" s="14">
        <v>9.3621182914148573</v>
      </c>
      <c r="J51" s="14">
        <v>19.219931772186712</v>
      </c>
      <c r="K51" s="14">
        <v>19.739339333389292</v>
      </c>
      <c r="L51" s="14">
        <v>22.373802742091691</v>
      </c>
      <c r="M51" s="14">
        <v>24.445269630842738</v>
      </c>
      <c r="N51" s="14">
        <v>25.032764037453749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D52" s="14">
        <v>0</v>
      </c>
      <c r="E52" s="14">
        <v>0</v>
      </c>
      <c r="F52" s="14">
        <v>0.71607152537272356</v>
      </c>
      <c r="G52" s="14">
        <v>0.74169755562765172</v>
      </c>
      <c r="H52" s="14">
        <v>2.0045548482692239</v>
      </c>
      <c r="I52" s="14">
        <v>3.8594346168728766</v>
      </c>
      <c r="J52" s="14">
        <v>8.564453122151356</v>
      </c>
      <c r="K52" s="14">
        <v>14.417606957447257</v>
      </c>
      <c r="L52" s="14">
        <v>20.578941785931839</v>
      </c>
      <c r="M52" s="14">
        <v>23.906739825435228</v>
      </c>
      <c r="N52" s="14">
        <v>25.043962266816877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D53" s="14">
        <v>0</v>
      </c>
      <c r="E53" s="14">
        <v>0</v>
      </c>
      <c r="F53" s="14">
        <v>0.71607152537272356</v>
      </c>
      <c r="G53" s="14">
        <v>0.74169755562765172</v>
      </c>
      <c r="H53" s="14">
        <v>3.75939191644117</v>
      </c>
      <c r="I53" s="14">
        <v>10.350000000000001</v>
      </c>
      <c r="J53" s="14">
        <v>19.059916807782265</v>
      </c>
      <c r="K53" s="14">
        <v>11.853431119931955</v>
      </c>
      <c r="L53" s="14">
        <v>13.073543478399651</v>
      </c>
      <c r="M53" s="14">
        <v>14.346906086158391</v>
      </c>
      <c r="N53" s="14">
        <v>20.50352316403313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D54" s="14">
        <v>0</v>
      </c>
      <c r="E54" s="14">
        <v>0</v>
      </c>
      <c r="F54" s="14">
        <v>0.71607152537272356</v>
      </c>
      <c r="G54" s="14">
        <v>1.6865778578308792</v>
      </c>
      <c r="H54" s="14">
        <v>3.940850011966087</v>
      </c>
      <c r="I54" s="14">
        <v>9.6491510432639771</v>
      </c>
      <c r="J54" s="14">
        <v>18.499604542279354</v>
      </c>
      <c r="K54" s="14">
        <v>16.878195891698454</v>
      </c>
      <c r="L54" s="14">
        <v>18.833968298259663</v>
      </c>
      <c r="M54" s="14">
        <v>21.720669057016881</v>
      </c>
      <c r="N54" s="14">
        <v>23.098875577873599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D55" s="14">
        <v>0</v>
      </c>
      <c r="E55" s="14">
        <v>0</v>
      </c>
      <c r="F55" s="14">
        <v>0.71607152537272356</v>
      </c>
      <c r="G55" s="14">
        <v>0.74169755562765172</v>
      </c>
      <c r="H55" s="14">
        <v>3.662165516424126</v>
      </c>
      <c r="I55" s="14">
        <v>9.7102518951651025</v>
      </c>
      <c r="J55" s="14">
        <v>18.49560771505125</v>
      </c>
      <c r="K55" s="14">
        <v>9.2237585550926617</v>
      </c>
      <c r="L55" s="14">
        <v>9.2012477281814284</v>
      </c>
      <c r="M55" s="14">
        <v>10.524008165572772</v>
      </c>
      <c r="N55" s="14">
        <v>17.442749531447266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D56" s="14">
        <v>0</v>
      </c>
      <c r="E56" s="14">
        <v>0</v>
      </c>
      <c r="F56" s="14">
        <v>0.71607152537272356</v>
      </c>
      <c r="G56" s="14">
        <v>1.7209933679822185</v>
      </c>
      <c r="H56" s="14">
        <v>3.9408500119671355</v>
      </c>
      <c r="I56" s="14">
        <v>8.2210639930079381</v>
      </c>
      <c r="J56" s="14">
        <v>19.681194347434818</v>
      </c>
      <c r="K56" s="14">
        <v>18.46937406551266</v>
      </c>
      <c r="L56" s="14">
        <v>21.42876567696398</v>
      </c>
      <c r="M56" s="14">
        <v>24.332245057454884</v>
      </c>
      <c r="N56" s="14">
        <v>25.088934284174645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D57" s="14">
        <v>0</v>
      </c>
      <c r="E57" s="14">
        <v>0</v>
      </c>
      <c r="F57" s="14">
        <v>0.71607152537272356</v>
      </c>
      <c r="G57" s="14">
        <v>0.74169755562765172</v>
      </c>
      <c r="H57" s="14">
        <v>3.9131403548177008</v>
      </c>
      <c r="I57" s="14">
        <v>9.5103500664345493</v>
      </c>
      <c r="J57" s="14">
        <v>18.984825854667637</v>
      </c>
      <c r="K57" s="14">
        <v>11.922238449705183</v>
      </c>
      <c r="L57" s="14">
        <v>13.193052580276792</v>
      </c>
      <c r="M57" s="14">
        <v>15.24481546271314</v>
      </c>
      <c r="N57" s="14">
        <v>20.452089644275588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D58" s="14">
        <v>0</v>
      </c>
      <c r="E58" s="14">
        <v>0</v>
      </c>
      <c r="F58" s="14">
        <v>0.71607152537272356</v>
      </c>
      <c r="G58" s="14">
        <v>1.4400749477304384</v>
      </c>
      <c r="H58" s="14">
        <v>2.8564204108364613</v>
      </c>
      <c r="I58" s="14">
        <v>7.3062544961930511</v>
      </c>
      <c r="J58" s="14">
        <v>14.385638899650365</v>
      </c>
      <c r="K58" s="14">
        <v>19.810168267123483</v>
      </c>
      <c r="L58" s="14">
        <v>23.332047110400644</v>
      </c>
      <c r="M58" s="14">
        <v>23.779049665193256</v>
      </c>
      <c r="N58" s="14">
        <v>24.852083378463799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D59" s="14">
        <v>0</v>
      </c>
      <c r="E59" s="14">
        <v>0</v>
      </c>
      <c r="F59" s="14">
        <v>0.71607152537272356</v>
      </c>
      <c r="G59" s="14">
        <v>0.74169755562765172</v>
      </c>
      <c r="H59" s="14">
        <v>2.6229203884332071</v>
      </c>
      <c r="I59" s="14">
        <v>8.892452841125257</v>
      </c>
      <c r="J59" s="14">
        <v>16.337213511840048</v>
      </c>
      <c r="K59" s="14">
        <v>19.71800753773196</v>
      </c>
      <c r="L59" s="14">
        <v>22.675353857161223</v>
      </c>
      <c r="M59" s="14">
        <v>24.197199006977989</v>
      </c>
      <c r="N59" s="14">
        <v>25.322355402500889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D60" s="14">
        <v>0</v>
      </c>
      <c r="E60" s="14">
        <v>0</v>
      </c>
      <c r="F60" s="14">
        <v>0.71607152537272356</v>
      </c>
      <c r="G60" s="14">
        <v>1.4393261210606898</v>
      </c>
      <c r="H60" s="14">
        <v>2.9787093299321761</v>
      </c>
      <c r="I60" s="14">
        <v>7.3532432172475195</v>
      </c>
      <c r="J60" s="14">
        <v>14.28863608253064</v>
      </c>
      <c r="K60" s="14">
        <v>19.873228938463985</v>
      </c>
      <c r="L60" s="14">
        <v>23.219091492674202</v>
      </c>
      <c r="M60" s="14">
        <v>23.588255602525813</v>
      </c>
      <c r="N60" s="14">
        <v>24.782996306273368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D61" s="14">
        <v>0</v>
      </c>
      <c r="E61" s="14">
        <v>0</v>
      </c>
      <c r="F61" s="14">
        <v>0.71607152537272356</v>
      </c>
      <c r="G61" s="14">
        <v>0.74169755562765172</v>
      </c>
      <c r="H61" s="14">
        <v>2.6183793740038959</v>
      </c>
      <c r="I61" s="14">
        <v>8.8824348658763288</v>
      </c>
      <c r="J61" s="14">
        <v>16.244946045739283</v>
      </c>
      <c r="K61" s="14">
        <v>19.581481860141945</v>
      </c>
      <c r="L61" s="14">
        <v>22.656813091125791</v>
      </c>
      <c r="M61" s="14">
        <v>23.944287834706586</v>
      </c>
      <c r="N61" s="14">
        <v>25.101222610322665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D62" s="14">
        <v>0</v>
      </c>
      <c r="E62" s="14">
        <v>0</v>
      </c>
      <c r="F62" s="14">
        <v>0.71607152537272356</v>
      </c>
      <c r="G62" s="14">
        <v>1.4400749477301784</v>
      </c>
      <c r="H62" s="14">
        <v>2.8564204108323028</v>
      </c>
      <c r="I62" s="14">
        <v>7.3062544961920519</v>
      </c>
      <c r="J62" s="14">
        <v>14.385638899710253</v>
      </c>
      <c r="K62" s="14">
        <v>19.810168267121639</v>
      </c>
      <c r="L62" s="14">
        <v>23.332047110383524</v>
      </c>
      <c r="M62" s="14">
        <v>23.779049665174686</v>
      </c>
      <c r="N62" s="14">
        <v>24.852083378458406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D63" s="14">
        <v>0</v>
      </c>
      <c r="E63" s="14">
        <v>0</v>
      </c>
      <c r="F63" s="14">
        <v>0.71607152537272356</v>
      </c>
      <c r="G63" s="14">
        <v>1.2643169410214368</v>
      </c>
      <c r="H63" s="14">
        <v>1.9281952229586636</v>
      </c>
      <c r="I63" s="14">
        <v>3.7166523503782902</v>
      </c>
      <c r="J63" s="14">
        <v>7.503001335718495</v>
      </c>
      <c r="K63" s="14">
        <v>14.15086965512041</v>
      </c>
      <c r="L63" s="14">
        <v>19.990318040601736</v>
      </c>
      <c r="M63" s="14">
        <v>23.634462775190837</v>
      </c>
      <c r="N63" s="14">
        <v>25.014974351328586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D64" s="14">
        <v>0</v>
      </c>
      <c r="E64" s="14">
        <v>0</v>
      </c>
      <c r="F64" s="14">
        <v>0.71607152537272356</v>
      </c>
      <c r="G64" s="14">
        <v>0.74169755562765172</v>
      </c>
      <c r="H64" s="14">
        <v>2.6229203884397596</v>
      </c>
      <c r="I64" s="14">
        <v>8.8924528412445323</v>
      </c>
      <c r="J64" s="14">
        <v>16.33721351185331</v>
      </c>
      <c r="K64" s="14">
        <v>19.718007536903301</v>
      </c>
      <c r="L64" s="14">
        <v>22.675353857141086</v>
      </c>
      <c r="M64" s="14">
        <v>24.197199008344175</v>
      </c>
      <c r="N64" s="14">
        <v>25.322355403347405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D65" s="14">
        <v>0</v>
      </c>
      <c r="E65" s="14">
        <v>0</v>
      </c>
      <c r="F65" s="14">
        <v>0.71607152537272356</v>
      </c>
      <c r="G65" s="14">
        <v>1.3560005121513135</v>
      </c>
      <c r="H65" s="14">
        <v>2.6047152818379504</v>
      </c>
      <c r="I65" s="14">
        <v>7.1333878839460372</v>
      </c>
      <c r="J65" s="14">
        <v>14.374096231658086</v>
      </c>
      <c r="K65" s="14">
        <v>19.856171305754852</v>
      </c>
      <c r="L65" s="14">
        <v>23.364413506751131</v>
      </c>
      <c r="M65" s="14">
        <v>23.79214230914274</v>
      </c>
      <c r="N65" s="14">
        <v>24.924233682048403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D66" s="14">
        <v>0</v>
      </c>
      <c r="E66" s="14">
        <v>0</v>
      </c>
      <c r="F66" s="14">
        <v>0.71607152537272356</v>
      </c>
      <c r="G66" s="14">
        <v>0.74169755562765172</v>
      </c>
      <c r="H66" s="14">
        <v>2.4968035299496547</v>
      </c>
      <c r="I66" s="14">
        <v>8.5136710068117161</v>
      </c>
      <c r="J66" s="14">
        <v>15.985377089306793</v>
      </c>
      <c r="K66" s="14">
        <v>19.715622634422182</v>
      </c>
      <c r="L66" s="14">
        <v>22.687242914065699</v>
      </c>
      <c r="M66" s="14">
        <v>24.092828849108741</v>
      </c>
      <c r="N66" s="14">
        <v>25.284583745993331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D67" s="14">
        <v>0</v>
      </c>
      <c r="E67" s="14">
        <v>0</v>
      </c>
      <c r="F67" s="14">
        <v>0.71607152537272356</v>
      </c>
      <c r="G67" s="14">
        <v>1.3451366815503614</v>
      </c>
      <c r="H67" s="14">
        <v>2.3508525077266387</v>
      </c>
      <c r="I67" s="14">
        <v>4.5858627301492136</v>
      </c>
      <c r="J67" s="14">
        <v>10.226245555898045</v>
      </c>
      <c r="K67" s="14">
        <v>16.659619049938339</v>
      </c>
      <c r="L67" s="14">
        <v>20.012546163111889</v>
      </c>
      <c r="M67" s="14">
        <v>21.992620897161547</v>
      </c>
      <c r="N67" s="14">
        <v>22.743457056356984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D68" s="14">
        <v>0</v>
      </c>
      <c r="E68" s="14">
        <v>0</v>
      </c>
      <c r="F68" s="14">
        <v>0.71607152537272356</v>
      </c>
      <c r="G68" s="14">
        <v>0.74169755562765172</v>
      </c>
      <c r="H68" s="14">
        <v>2.1125273131166726</v>
      </c>
      <c r="I68" s="14">
        <v>6.7281283926947255</v>
      </c>
      <c r="J68" s="14">
        <v>13.047212922968829</v>
      </c>
      <c r="K68" s="14">
        <v>16.488922058784407</v>
      </c>
      <c r="L68" s="14">
        <v>19.18492343889956</v>
      </c>
      <c r="M68" s="14">
        <v>22.040382057948925</v>
      </c>
      <c r="N68" s="14">
        <v>23.206309320492633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D69" s="14">
        <v>0</v>
      </c>
      <c r="E69" s="14">
        <v>0</v>
      </c>
      <c r="F69" s="14">
        <v>0.71607152537272356</v>
      </c>
      <c r="G69" s="14">
        <v>1.4624242825285061</v>
      </c>
      <c r="H69" s="14">
        <v>2.8760294194129679</v>
      </c>
      <c r="I69" s="14">
        <v>7.2777219778981292</v>
      </c>
      <c r="J69" s="14">
        <v>14.302522585287189</v>
      </c>
      <c r="K69" s="14">
        <v>19.819306005640843</v>
      </c>
      <c r="L69" s="14">
        <v>23.299893611589997</v>
      </c>
      <c r="M69" s="14">
        <v>23.734690086573011</v>
      </c>
      <c r="N69" s="14">
        <v>24.824541558136485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D70" s="14">
        <v>0</v>
      </c>
      <c r="E70" s="14">
        <v>0</v>
      </c>
      <c r="F70" s="14">
        <v>0.71607152537272356</v>
      </c>
      <c r="G70" s="14">
        <v>1.3089163588555786</v>
      </c>
      <c r="H70" s="14">
        <v>2.2664575037434176</v>
      </c>
      <c r="I70" s="14">
        <v>4.5997478126597668</v>
      </c>
      <c r="J70" s="14">
        <v>11.089812631979639</v>
      </c>
      <c r="K70" s="14">
        <v>17.208724650982365</v>
      </c>
      <c r="L70" s="14">
        <v>20.518214513406249</v>
      </c>
      <c r="M70" s="14">
        <v>23.013815054150673</v>
      </c>
      <c r="N70" s="14">
        <v>27.234268208296882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D71" s="14">
        <v>0</v>
      </c>
      <c r="E71" s="14">
        <v>0</v>
      </c>
      <c r="F71" s="14">
        <v>0.71607152537272356</v>
      </c>
      <c r="G71" s="14">
        <v>0.74169755562765172</v>
      </c>
      <c r="H71" s="14">
        <v>1.9777930869524998</v>
      </c>
      <c r="I71" s="14">
        <v>3.8429484103324856</v>
      </c>
      <c r="J71" s="14">
        <v>8.5827075722632955</v>
      </c>
      <c r="K71" s="14">
        <v>14.35822206660581</v>
      </c>
      <c r="L71" s="14">
        <v>20.385220988294531</v>
      </c>
      <c r="M71" s="14">
        <v>23.684822878389351</v>
      </c>
      <c r="N71" s="14">
        <v>24.650030555210371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D72" s="14">
        <v>0</v>
      </c>
      <c r="E72" s="14">
        <v>0</v>
      </c>
      <c r="F72" s="14">
        <v>0.71607152537272356</v>
      </c>
      <c r="G72" s="14">
        <v>1.3204232989936371</v>
      </c>
      <c r="H72" s="14">
        <v>2.0814283398994968</v>
      </c>
      <c r="I72" s="14">
        <v>3.9239146280777653</v>
      </c>
      <c r="J72" s="14">
        <v>7.9958502072826061</v>
      </c>
      <c r="K72" s="14">
        <v>14.341730036999476</v>
      </c>
      <c r="L72" s="14">
        <v>19.864730992366884</v>
      </c>
      <c r="M72" s="14">
        <v>23.735037267494619</v>
      </c>
      <c r="N72" s="14">
        <v>25.444788667900543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D73" s="14">
        <v>0</v>
      </c>
      <c r="E73" s="14">
        <v>0</v>
      </c>
      <c r="F73" s="14">
        <v>0.71607152537272356</v>
      </c>
      <c r="G73" s="14">
        <v>0.74169755562765172</v>
      </c>
      <c r="H73" s="14">
        <v>2.004554848270113</v>
      </c>
      <c r="I73" s="14">
        <v>3.8594346168713733</v>
      </c>
      <c r="J73" s="14">
        <v>8.5644531221495974</v>
      </c>
      <c r="K73" s="14">
        <v>14.417606957454504</v>
      </c>
      <c r="L73" s="14">
        <v>20.578941785938852</v>
      </c>
      <c r="M73" s="14">
        <v>23.906739825436766</v>
      </c>
      <c r="N73" s="14">
        <v>25.043962266816862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D74" s="14">
        <v>0</v>
      </c>
      <c r="E74" s="14">
        <v>0</v>
      </c>
      <c r="F74" s="14">
        <v>0.71607152537272356</v>
      </c>
      <c r="G74" s="14">
        <v>0.90064524878652319</v>
      </c>
      <c r="H74" s="14">
        <v>1.6774307683364778</v>
      </c>
      <c r="I74" s="14">
        <v>3.6607310133693609</v>
      </c>
      <c r="J74" s="14">
        <v>7.3319188779973921</v>
      </c>
      <c r="K74" s="14">
        <v>14.047241253013503</v>
      </c>
      <c r="L74" s="14">
        <v>19.672911218015379</v>
      </c>
      <c r="M74" s="14">
        <v>23.610235874460137</v>
      </c>
      <c r="N74" s="14">
        <v>25.417635974913573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D75" s="14">
        <v>0</v>
      </c>
      <c r="E75" s="14">
        <v>0</v>
      </c>
      <c r="F75" s="14">
        <v>0.71607152537272356</v>
      </c>
      <c r="G75" s="14">
        <v>0.74169755562765172</v>
      </c>
      <c r="H75" s="14">
        <v>1.7791976895785337</v>
      </c>
      <c r="I75" s="14">
        <v>3.6906037046352416</v>
      </c>
      <c r="J75" s="14">
        <v>8.6401915138506311</v>
      </c>
      <c r="K75" s="14">
        <v>14.458701896496375</v>
      </c>
      <c r="L75" s="14">
        <v>20.598463867181874</v>
      </c>
      <c r="M75" s="14">
        <v>23.964600237427916</v>
      </c>
      <c r="N75" s="14">
        <v>25.128224801654738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D76" s="14">
        <v>0</v>
      </c>
      <c r="E76" s="14">
        <v>0</v>
      </c>
      <c r="F76" s="14">
        <v>0.71607152537272356</v>
      </c>
      <c r="G76" s="14">
        <v>0.84664477566788765</v>
      </c>
      <c r="H76" s="14">
        <v>1.0087057239358304</v>
      </c>
      <c r="I76" s="14">
        <v>2.5809950629846634</v>
      </c>
      <c r="J76" s="14">
        <v>4.60935266670415</v>
      </c>
      <c r="K76" s="14">
        <v>10.103424229006517</v>
      </c>
      <c r="L76" s="14">
        <v>15.673611187677089</v>
      </c>
      <c r="M76" s="14">
        <v>19.367386274671031</v>
      </c>
      <c r="N76" s="14">
        <v>22.967604967879804</v>
      </c>
    </row>
  </sheetData>
  <conditionalFormatting sqref="A608:XFD1048576 N19:XFD19 A1:XFD12 B39:B76 A76:A607 C76:XFD607 A20:XFD75 A14:XFD18 A13:E13 J13:XFD13">
    <cfRule type="expression" dxfId="106" priority="3">
      <formula>_xlfn.ISFORMULA(A1)</formula>
    </cfRule>
  </conditionalFormatting>
  <conditionalFormatting sqref="A19:M19">
    <cfRule type="expression" dxfId="105" priority="2">
      <formula>_xlfn.ISFORMULA(A19)</formula>
    </cfRule>
  </conditionalFormatting>
  <conditionalFormatting sqref="F13:I13">
    <cfRule type="expression" dxfId="104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9997BD5-745F-48D9-A5E6-DC1AFB391624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6938-8F4D-4517-8485-534DFBBBAA04}">
  <sheetPr>
    <tabColor theme="5" tint="0.39997558519241921"/>
  </sheetPr>
  <dimension ref="A1:S76"/>
  <sheetViews>
    <sheetView zoomScale="70" zoomScaleNormal="70" workbookViewId="0">
      <selection activeCell="F37" sqref="F37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250</v>
      </c>
    </row>
    <row r="2" spans="1:9" s="5" customFormat="1" x14ac:dyDescent="0.3">
      <c r="A2" s="5" t="s">
        <v>5</v>
      </c>
      <c r="B2" s="5" t="s">
        <v>249</v>
      </c>
    </row>
    <row r="3" spans="1:9" s="5" customFormat="1" x14ac:dyDescent="0.3">
      <c r="A3" s="5" t="s">
        <v>6</v>
      </c>
      <c r="B3" s="5" t="s">
        <v>248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1018</v>
      </c>
    </row>
    <row r="7" spans="1:9" s="5" customFormat="1" x14ac:dyDescent="0.3">
      <c r="B7" s="5" t="s">
        <v>188</v>
      </c>
      <c r="C7" s="5" t="s">
        <v>10</v>
      </c>
      <c r="D7" s="5" t="s">
        <v>1019</v>
      </c>
    </row>
    <row r="8" spans="1:9" s="5" customFormat="1" x14ac:dyDescent="0.3">
      <c r="B8" s="5" t="s">
        <v>190</v>
      </c>
    </row>
    <row r="9" spans="1:9" s="5" customFormat="1" x14ac:dyDescent="0.3">
      <c r="B9" s="5" t="s">
        <v>189</v>
      </c>
      <c r="C9" s="5" t="s">
        <v>192</v>
      </c>
      <c r="D9" s="5" t="s">
        <v>251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$D$8:$L650</v>
      </c>
    </row>
    <row r="12" spans="1:9" s="5" customFormat="1" x14ac:dyDescent="0.3">
      <c r="A12" s="5" t="s">
        <v>184</v>
      </c>
      <c r="B12" s="5">
        <v>1.2204999999999999</v>
      </c>
    </row>
    <row r="13" spans="1:9" s="5" customFormat="1" x14ac:dyDescent="0.3">
      <c r="A13" s="5" t="s">
        <v>2</v>
      </c>
      <c r="B13" s="5" t="s">
        <v>247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Vivid BAU - WEO Current Policies Scenario emissions pathway run through TIAM</v>
      </c>
      <c r="C19" s="18" t="str">
        <f>INDEX('R1. Scenario specifications'!$C$11:$C$49,MATCH(C$20,'R1. Scenario specifications'!$A$11:$A$49,0))</f>
        <v>Vivid Paris NDCs - WEO New Policies Scenario emissions pathway run through TIAM</v>
      </c>
      <c r="D19" s="18" t="str">
        <f>INDEX('R1. Scenario specifications'!$C$11:$C$49,MATCH(D$20,'R1. Scenario specifications'!$A$11:$A$49,0))</f>
        <v>Current 2DS, 2020 start, 'Expect the Unexpected'</v>
      </c>
      <c r="E19" s="18" t="str">
        <f>INDEX('R1. Scenario specifications'!$C$11:$C$49,MATCH(E$20,'R1. Scenario specifications'!$A$11:$A$49,0))</f>
        <v>Current 2DS, 2030 start, 'Expect the Unexpected'</v>
      </c>
      <c r="F19" s="18" t="str">
        <f>INDEX('R1. Scenario specifications'!$C$11:$C$49,MATCH(F$20,'R1. Scenario specifications'!$A$11:$A$49,0))</f>
        <v>Current 1.5DS, 2020 start, 'Expect the Unexpected'</v>
      </c>
      <c r="G19" s="18" t="str">
        <f>INDEX('R1. Scenario specifications'!$C$11:$C$49,MATCH(G$20,'R1. Scenario specifications'!$A$11:$A$49,0))</f>
        <v>Current 1.5DS, 2030 start, 'Expect the Unexpected'</v>
      </c>
      <c r="H19" s="18" t="str">
        <f>INDEX('R1. Scenario specifications'!$C$11:$C$49,MATCH(H$20,'R1. Scenario specifications'!$A$11:$A$49,0))</f>
        <v>Current 1.75DS, 2020 start, 'Expect the Unexpected'</v>
      </c>
      <c r="I19" s="18" t="str">
        <f>INDEX('R1. Scenario specifications'!$C$11:$C$49,MATCH(I$20,'R1. Scenario specifications'!$A$11:$A$49,0))</f>
        <v>Current 1.75DS, 2030 start, 'Expect the Unexpected'</v>
      </c>
      <c r="J19" s="18" t="e">
        <f>INDEX('R1. Scenario specifications'!$C$11:$C$49,MATCH(J$20,'R1. Scenario specifications'!$A$11:$A$49,0))</f>
        <v>#N/A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13</v>
      </c>
      <c r="C20" s="17" t="s">
        <v>14</v>
      </c>
      <c r="D20" s="17" t="s">
        <v>15</v>
      </c>
      <c r="E20" s="17" t="s">
        <v>26</v>
      </c>
      <c r="F20" s="17" t="s">
        <v>19</v>
      </c>
      <c r="G20" s="17" t="s">
        <v>20</v>
      </c>
      <c r="H20" s="17" t="s">
        <v>32</v>
      </c>
      <c r="I20" s="17" t="s">
        <v>33</v>
      </c>
      <c r="J20" s="17"/>
      <c r="K20" s="17"/>
      <c r="L20" s="17"/>
      <c r="M20" s="17"/>
    </row>
    <row r="22" spans="1:13" x14ac:dyDescent="0.3">
      <c r="A22" s="3" t="s">
        <v>9</v>
      </c>
      <c r="B22" s="17" t="s">
        <v>81</v>
      </c>
    </row>
    <row r="24" spans="1:13" x14ac:dyDescent="0.3">
      <c r="A24" s="3" t="s">
        <v>192</v>
      </c>
      <c r="B24" s="3" t="str">
        <f>IF(ISBLANK(B20),"",B20)</f>
        <v>Vivid_0A_BAU</v>
      </c>
      <c r="C24" s="3" t="str">
        <f t="shared" ref="C24:M24" si="1">IF(ISBLANK(C20),"",C20)</f>
        <v>Vivid_0B</v>
      </c>
      <c r="D24" s="3" t="str">
        <f t="shared" si="1"/>
        <v>Vivid_1</v>
      </c>
      <c r="E24" s="3" t="str">
        <f t="shared" si="1"/>
        <v>Vivid_2</v>
      </c>
      <c r="F24" s="3" t="str">
        <f t="shared" si="1"/>
        <v>Vivid_13</v>
      </c>
      <c r="G24" s="3" t="str">
        <f t="shared" si="1"/>
        <v>Vivid_14</v>
      </c>
      <c r="H24" s="3" t="str">
        <f t="shared" si="1"/>
        <v>Vivid_25</v>
      </c>
      <c r="I24" s="3" t="str">
        <f t="shared" si="1"/>
        <v>Vivid_26</v>
      </c>
      <c r="J24" s="3" t="str">
        <f t="shared" si="1"/>
        <v/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x14ac:dyDescent="0.3">
      <c r="A26" s="3">
        <v>2020</v>
      </c>
      <c r="B26" s="14">
        <f>INDEX($F$38:$N$76,MATCH(B$24,$B$38:$B$76,0),MATCH($A26,$F$37:$N$37,0))-INDEX($F$38:$N$76,MATCH("Vivid_0A_BAU",$B$38:$B$76,0),MATCH($A26,$F$37:$N$37,0))</f>
        <v>0</v>
      </c>
      <c r="C26" s="14">
        <f t="shared" ref="C26:M26" si="2">INDEX($F$38:$N$76,MATCH(C$24,$B$38:$B$76,0),MATCH($A26,$F$37:$N$37,0))-INDEX($F$38:$N$76,MATCH("Vivid_0A_BAU",$B$38:$B$76,0),MATCH($A26,$F$37:$N$37,0))</f>
        <v>15.376961862127992</v>
      </c>
      <c r="D26" s="14">
        <f t="shared" si="2"/>
        <v>15.376961862127992</v>
      </c>
      <c r="E26" s="14">
        <f t="shared" si="2"/>
        <v>15.376961862127992</v>
      </c>
      <c r="F26" s="14">
        <f t="shared" si="2"/>
        <v>15.376961862127992</v>
      </c>
      <c r="G26" s="14">
        <f t="shared" si="2"/>
        <v>15.376961862127992</v>
      </c>
      <c r="H26" s="14">
        <f t="shared" si="2"/>
        <v>15.376961862127992</v>
      </c>
      <c r="I26" s="14">
        <f t="shared" si="2"/>
        <v>15.376961862127992</v>
      </c>
      <c r="J26" s="14" t="e">
        <f t="shared" si="2"/>
        <v>#N/A</v>
      </c>
      <c r="K26" s="14" t="e">
        <f t="shared" si="2"/>
        <v>#N/A</v>
      </c>
      <c r="L26" s="14" t="e">
        <f t="shared" si="2"/>
        <v>#N/A</v>
      </c>
      <c r="M26" s="14" t="e">
        <f t="shared" si="2"/>
        <v>#N/A</v>
      </c>
    </row>
    <row r="27" spans="1:13" x14ac:dyDescent="0.3">
      <c r="A27" s="3">
        <v>2030</v>
      </c>
      <c r="B27" s="14">
        <f t="shared" ref="B27:M34" si="3">INDEX($F$38:$N$76,MATCH(B$24,$B$38:$B$76,0),MATCH($A27,$F$37:$N$37,0))-INDEX($F$38:$N$76,MATCH("Vivid_0A_BAU",$B$38:$B$76,0),MATCH($A27,$F$37:$N$37,0))</f>
        <v>0</v>
      </c>
      <c r="C27" s="14">
        <f t="shared" si="3"/>
        <v>39.564758867173879</v>
      </c>
      <c r="D27" s="14">
        <f t="shared" si="3"/>
        <v>73.149705726259512</v>
      </c>
      <c r="E27" s="14">
        <f t="shared" si="3"/>
        <v>39.564758867173879</v>
      </c>
      <c r="F27" s="14">
        <f t="shared" si="3"/>
        <v>448.99297858644121</v>
      </c>
      <c r="G27" s="14">
        <f t="shared" si="3"/>
        <v>39.564758867173879</v>
      </c>
      <c r="H27" s="14">
        <f t="shared" si="3"/>
        <v>114.51751007340914</v>
      </c>
      <c r="I27" s="14">
        <f t="shared" si="3"/>
        <v>39.564758867173879</v>
      </c>
      <c r="J27" s="14" t="e">
        <f t="shared" si="3"/>
        <v>#N/A</v>
      </c>
      <c r="K27" s="14" t="e">
        <f t="shared" si="3"/>
        <v>#N/A</v>
      </c>
      <c r="L27" s="14" t="e">
        <f t="shared" si="3"/>
        <v>#N/A</v>
      </c>
      <c r="M27" s="14" t="e">
        <f t="shared" si="3"/>
        <v>#N/A</v>
      </c>
    </row>
    <row r="28" spans="1:13" x14ac:dyDescent="0.3">
      <c r="A28" s="3">
        <v>2040</v>
      </c>
      <c r="B28" s="14">
        <f t="shared" si="3"/>
        <v>0</v>
      </c>
      <c r="C28" s="14">
        <f t="shared" si="3"/>
        <v>21.369858712654917</v>
      </c>
      <c r="D28" s="14">
        <f t="shared" si="3"/>
        <v>68.650684479688096</v>
      </c>
      <c r="E28" s="14">
        <f t="shared" si="3"/>
        <v>76.53540990087491</v>
      </c>
      <c r="F28" s="14">
        <f t="shared" si="3"/>
        <v>7387.8037560719758</v>
      </c>
      <c r="G28" s="14">
        <f t="shared" si="3"/>
        <v>3353.0316761810604</v>
      </c>
      <c r="H28" s="14">
        <f t="shared" si="3"/>
        <v>139.82184003454506</v>
      </c>
      <c r="I28" s="14">
        <f t="shared" si="3"/>
        <v>139.52565352517007</v>
      </c>
      <c r="J28" s="14" t="e">
        <f t="shared" si="3"/>
        <v>#N/A</v>
      </c>
      <c r="K28" s="14" t="e">
        <f t="shared" si="3"/>
        <v>#N/A</v>
      </c>
      <c r="L28" s="14" t="e">
        <f t="shared" si="3"/>
        <v>#N/A</v>
      </c>
      <c r="M28" s="14" t="e">
        <f t="shared" si="3"/>
        <v>#N/A</v>
      </c>
    </row>
    <row r="29" spans="1:13" x14ac:dyDescent="0.3">
      <c r="A29" s="3">
        <v>2050</v>
      </c>
      <c r="B29" s="14">
        <f t="shared" si="3"/>
        <v>0</v>
      </c>
      <c r="C29" s="14">
        <f t="shared" si="3"/>
        <v>15.112130456161747</v>
      </c>
      <c r="D29" s="14">
        <f t="shared" si="3"/>
        <v>74.105092960302713</v>
      </c>
      <c r="E29" s="14">
        <f t="shared" si="3"/>
        <v>102.77679736211667</v>
      </c>
      <c r="F29" s="14">
        <f t="shared" si="3"/>
        <v>28073.782637689859</v>
      </c>
      <c r="G29" s="14">
        <f t="shared" si="3"/>
        <v>12204.999999993872</v>
      </c>
      <c r="H29" s="14">
        <f t="shared" si="3"/>
        <v>164.05976724594242</v>
      </c>
      <c r="I29" s="14">
        <f t="shared" si="3"/>
        <v>482.86328846251052</v>
      </c>
      <c r="J29" s="14" t="e">
        <f t="shared" si="3"/>
        <v>#N/A</v>
      </c>
      <c r="K29" s="14" t="e">
        <f t="shared" si="3"/>
        <v>#N/A</v>
      </c>
      <c r="L29" s="14" t="e">
        <f t="shared" si="3"/>
        <v>#N/A</v>
      </c>
      <c r="M29" s="14" t="e">
        <f t="shared" si="3"/>
        <v>#N/A</v>
      </c>
    </row>
    <row r="30" spans="1:13" x14ac:dyDescent="0.3">
      <c r="A30" s="3">
        <v>2060</v>
      </c>
      <c r="B30" s="14">
        <f t="shared" si="3"/>
        <v>0</v>
      </c>
      <c r="C30" s="14">
        <f t="shared" si="3"/>
        <v>30.667538639929077</v>
      </c>
      <c r="D30" s="14">
        <f t="shared" si="3"/>
        <v>120.70938773938381</v>
      </c>
      <c r="E30" s="14">
        <f t="shared" si="3"/>
        <v>176.54543082387619</v>
      </c>
      <c r="F30" s="14">
        <f t="shared" si="3"/>
        <v>2378.7054905055661</v>
      </c>
      <c r="G30" s="14">
        <f t="shared" si="3"/>
        <v>28714.723349277974</v>
      </c>
      <c r="H30" s="14">
        <f t="shared" si="3"/>
        <v>242.03471427058847</v>
      </c>
      <c r="I30" s="14">
        <f t="shared" si="3"/>
        <v>1191.8023148083598</v>
      </c>
      <c r="J30" s="14" t="e">
        <f t="shared" si="3"/>
        <v>#N/A</v>
      </c>
      <c r="K30" s="14" t="e">
        <f t="shared" si="3"/>
        <v>#N/A</v>
      </c>
      <c r="L30" s="14" t="e">
        <f t="shared" si="3"/>
        <v>#N/A</v>
      </c>
      <c r="M30" s="14" t="e">
        <f t="shared" si="3"/>
        <v>#N/A</v>
      </c>
    </row>
    <row r="31" spans="1:13" x14ac:dyDescent="0.3">
      <c r="A31" s="3">
        <v>2070</v>
      </c>
      <c r="B31" s="14">
        <f t="shared" si="3"/>
        <v>0</v>
      </c>
      <c r="C31" s="14">
        <f t="shared" si="3"/>
        <v>0</v>
      </c>
      <c r="D31" s="14">
        <f t="shared" si="3"/>
        <v>196.62287309089868</v>
      </c>
      <c r="E31" s="14">
        <f t="shared" si="3"/>
        <v>214.93657047985582</v>
      </c>
      <c r="F31" s="14">
        <f t="shared" si="3"/>
        <v>255.77573260068687</v>
      </c>
      <c r="G31" s="14">
        <f t="shared" si="3"/>
        <v>57.277376388704134</v>
      </c>
      <c r="H31" s="14">
        <f t="shared" si="3"/>
        <v>394.24904556897445</v>
      </c>
      <c r="I31" s="14">
        <f t="shared" si="3"/>
        <v>325.71805591265542</v>
      </c>
      <c r="J31" s="14" t="e">
        <f t="shared" si="3"/>
        <v>#N/A</v>
      </c>
      <c r="K31" s="14" t="e">
        <f t="shared" si="3"/>
        <v>#N/A</v>
      </c>
      <c r="L31" s="14" t="e">
        <f t="shared" si="3"/>
        <v>#N/A</v>
      </c>
      <c r="M31" s="14" t="e">
        <f t="shared" si="3"/>
        <v>#N/A</v>
      </c>
    </row>
    <row r="32" spans="1:13" x14ac:dyDescent="0.3">
      <c r="A32" s="3">
        <v>2080</v>
      </c>
      <c r="B32" s="14">
        <f t="shared" si="3"/>
        <v>0</v>
      </c>
      <c r="C32" s="14">
        <f t="shared" si="3"/>
        <v>0</v>
      </c>
      <c r="D32" s="14">
        <f t="shared" si="3"/>
        <v>320.27794147961555</v>
      </c>
      <c r="E32" s="14">
        <f t="shared" si="3"/>
        <v>350.10902475267318</v>
      </c>
      <c r="F32" s="14">
        <f t="shared" si="3"/>
        <v>416.63171649215474</v>
      </c>
      <c r="G32" s="14">
        <f t="shared" si="3"/>
        <v>93.298810635179663</v>
      </c>
      <c r="H32" s="14">
        <f t="shared" si="3"/>
        <v>642.19015193926828</v>
      </c>
      <c r="I32" s="14">
        <f t="shared" si="3"/>
        <v>530.56039111140115</v>
      </c>
      <c r="J32" s="14" t="e">
        <f t="shared" si="3"/>
        <v>#N/A</v>
      </c>
      <c r="K32" s="14" t="e">
        <f t="shared" si="3"/>
        <v>#N/A</v>
      </c>
      <c r="L32" s="14" t="e">
        <f t="shared" si="3"/>
        <v>#N/A</v>
      </c>
      <c r="M32" s="14" t="e">
        <f t="shared" si="3"/>
        <v>#N/A</v>
      </c>
    </row>
    <row r="33" spans="1:19" x14ac:dyDescent="0.3">
      <c r="A33" s="3">
        <v>2090</v>
      </c>
      <c r="B33" s="14">
        <f t="shared" si="3"/>
        <v>0</v>
      </c>
      <c r="C33" s="14">
        <f t="shared" si="3"/>
        <v>0</v>
      </c>
      <c r="D33" s="14">
        <f t="shared" si="3"/>
        <v>521.69901795148451</v>
      </c>
      <c r="E33" s="14">
        <f t="shared" si="3"/>
        <v>570.29070920588538</v>
      </c>
      <c r="F33" s="14">
        <f t="shared" si="3"/>
        <v>678.64916434227041</v>
      </c>
      <c r="G33" s="14">
        <f t="shared" si="3"/>
        <v>151.97393132837402</v>
      </c>
      <c r="H33" s="14">
        <f t="shared" si="3"/>
        <v>1046.0600878635387</v>
      </c>
      <c r="I33" s="14">
        <f t="shared" si="3"/>
        <v>864.22697026177559</v>
      </c>
      <c r="J33" s="14" t="e">
        <f t="shared" si="3"/>
        <v>#N/A</v>
      </c>
      <c r="K33" s="14" t="e">
        <f t="shared" si="3"/>
        <v>#N/A</v>
      </c>
      <c r="L33" s="14" t="e">
        <f t="shared" si="3"/>
        <v>#N/A</v>
      </c>
      <c r="M33" s="14" t="e">
        <f t="shared" si="3"/>
        <v>#N/A</v>
      </c>
    </row>
    <row r="34" spans="1:19" x14ac:dyDescent="0.3">
      <c r="A34" s="3">
        <v>2100</v>
      </c>
      <c r="B34" s="14">
        <f t="shared" si="3"/>
        <v>0</v>
      </c>
      <c r="C34" s="14">
        <f t="shared" si="3"/>
        <v>0</v>
      </c>
      <c r="D34" s="14">
        <f t="shared" si="3"/>
        <v>849.79272713623277</v>
      </c>
      <c r="E34" s="14">
        <f t="shared" si="3"/>
        <v>928.94347192662065</v>
      </c>
      <c r="F34" s="14">
        <f t="shared" si="3"/>
        <v>1105.4479819917756</v>
      </c>
      <c r="G34" s="14">
        <f t="shared" si="3"/>
        <v>247.54952015113128</v>
      </c>
      <c r="H34" s="14">
        <f t="shared" si="3"/>
        <v>1703.9216564072599</v>
      </c>
      <c r="I34" s="14">
        <f t="shared" si="3"/>
        <v>1407.7346681784638</v>
      </c>
      <c r="J34" s="14" t="e">
        <f t="shared" si="3"/>
        <v>#N/A</v>
      </c>
      <c r="K34" s="14" t="e">
        <f t="shared" si="3"/>
        <v>#N/A</v>
      </c>
      <c r="L34" s="14" t="e">
        <f t="shared" si="3"/>
        <v>#N/A</v>
      </c>
      <c r="M34" s="14" t="e">
        <f t="shared" si="3"/>
        <v>#N/A</v>
      </c>
    </row>
    <row r="35" spans="1:19" ht="15" thickBot="1" x14ac:dyDescent="0.35"/>
    <row r="36" spans="1:19" s="15" customFormat="1" ht="15" thickBot="1" x14ac:dyDescent="0.35">
      <c r="A36" s="15" t="s">
        <v>198</v>
      </c>
      <c r="S36" s="16"/>
    </row>
    <row r="37" spans="1:19" x14ac:dyDescent="0.3">
      <c r="A37" s="3" t="s">
        <v>86</v>
      </c>
      <c r="B37" s="3" t="s">
        <v>8</v>
      </c>
      <c r="F37" s="3">
        <v>2020</v>
      </c>
      <c r="G37" s="3">
        <v>2030</v>
      </c>
      <c r="H37" s="3">
        <v>2040</v>
      </c>
      <c r="I37" s="3">
        <v>2050</v>
      </c>
      <c r="J37" s="3">
        <v>2060</v>
      </c>
      <c r="K37" s="3">
        <v>2070</v>
      </c>
      <c r="L37" s="3">
        <v>2080</v>
      </c>
      <c r="M37" s="3">
        <v>2090</v>
      </c>
      <c r="N37" s="3">
        <v>2100</v>
      </c>
    </row>
    <row r="38" spans="1:19" x14ac:dyDescent="0.3">
      <c r="A38" s="3" t="str">
        <f>INDEX('R1. Scenario specifications'!$C$11:$C$49,MATCH($B38,'R1. Scenario specifications'!$A$11:$A$49,0))</f>
        <v>TIAM BAU - No Policy Action</v>
      </c>
      <c r="B38" s="3" t="s">
        <v>11</v>
      </c>
      <c r="D38" s="14"/>
      <c r="E38" s="14"/>
      <c r="F38" s="14" t="e">
        <v>#DIV/0!</v>
      </c>
      <c r="G38" s="14" t="e">
        <v>#DIV/0!</v>
      </c>
      <c r="H38" s="14" t="e">
        <v>#DIV/0!</v>
      </c>
      <c r="I38" s="14" t="e">
        <v>#DIV/0!</v>
      </c>
      <c r="J38" s="14" t="e">
        <v>#DIV/0!</v>
      </c>
      <c r="K38" s="14" t="e">
        <v>#DIV/0!</v>
      </c>
      <c r="L38" s="14" t="e">
        <v>#DIV/0!</v>
      </c>
      <c r="M38" s="14" t="e">
        <v>#DIV/0!</v>
      </c>
      <c r="N38" s="14" t="e">
        <v>#DIV/0!</v>
      </c>
    </row>
    <row r="39" spans="1:19" x14ac:dyDescent="0.3">
      <c r="A39" s="3" t="str">
        <f>INDEX('R1. Scenario specifications'!$C$11:$C$49,MATCH($B39,'R1. Scenario specifications'!$A$11:$A$49,0))</f>
        <v>Vivid BAU - WEO Current Policies Scenario emissions pathway run through TIAM</v>
      </c>
      <c r="B39" s="3" t="s">
        <v>13</v>
      </c>
      <c r="D39" s="14"/>
      <c r="E39" s="14"/>
      <c r="F39" s="14">
        <v>56.595650354167624</v>
      </c>
      <c r="G39" s="14">
        <v>13.227238176013334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</row>
    <row r="40" spans="1:19" x14ac:dyDescent="0.3">
      <c r="A40" s="3" t="str">
        <f>INDEX('R1. Scenario specifications'!$C$11:$C$49,MATCH($B40,'R1. Scenario specifications'!$A$11:$A$49,0))</f>
        <v>Vivid Paris NDCs - WEO New Policies Scenario emissions pathway run through TIAM</v>
      </c>
      <c r="B40" s="3" t="s">
        <v>14</v>
      </c>
      <c r="D40" s="14"/>
      <c r="E40" s="14"/>
      <c r="F40" s="14">
        <v>71.972612216295616</v>
      </c>
      <c r="G40" s="14">
        <v>52.791997043187216</v>
      </c>
      <c r="H40" s="14">
        <v>21.369858712654917</v>
      </c>
      <c r="I40" s="14">
        <v>15.112130456161747</v>
      </c>
      <c r="J40" s="14">
        <v>30.667538639929077</v>
      </c>
      <c r="K40" s="14">
        <v>0</v>
      </c>
      <c r="L40" s="14">
        <v>0</v>
      </c>
      <c r="M40" s="14">
        <v>0</v>
      </c>
      <c r="N40" s="14">
        <v>0</v>
      </c>
    </row>
    <row r="41" spans="1:19" x14ac:dyDescent="0.3">
      <c r="A41" s="3" t="str">
        <f>INDEX('R1. Scenario specifications'!$C$11:$C$49,MATCH($B41,'R1. Scenario specifications'!$A$11:$A$49,0))</f>
        <v>Current 2DS, 2020 start, 'Expect the Unexpected'</v>
      </c>
      <c r="B41" s="3" t="s">
        <v>15</v>
      </c>
      <c r="D41" s="14"/>
      <c r="E41" s="14"/>
      <c r="F41" s="14">
        <v>71.972612216295616</v>
      </c>
      <c r="G41" s="14">
        <v>86.376943902272842</v>
      </c>
      <c r="H41" s="14">
        <v>68.650684479688096</v>
      </c>
      <c r="I41" s="14">
        <v>74.105092960302713</v>
      </c>
      <c r="J41" s="14">
        <v>120.70938773938381</v>
      </c>
      <c r="K41" s="14">
        <v>196.62287309089868</v>
      </c>
      <c r="L41" s="14">
        <v>320.27794147961555</v>
      </c>
      <c r="M41" s="14">
        <v>521.69901795148451</v>
      </c>
      <c r="N41" s="14">
        <v>849.79272713623277</v>
      </c>
    </row>
    <row r="42" spans="1:19" x14ac:dyDescent="0.3">
      <c r="A42" s="3" t="str">
        <f>INDEX('R1. Scenario specifications'!$C$11:$C$49,MATCH($B42,'R1. Scenario specifications'!$A$11:$A$49,0))</f>
        <v>Current 2DS, 2030 start, 'Expect the Unexpected' but with cheap energy efficiency</v>
      </c>
      <c r="B42" s="3" t="s">
        <v>16</v>
      </c>
      <c r="D42" s="14"/>
      <c r="E42" s="14"/>
      <c r="F42" s="14">
        <v>71.972612216295616</v>
      </c>
      <c r="G42" s="14">
        <v>52.791997043187216</v>
      </c>
      <c r="H42" s="14">
        <v>53.95639799220055</v>
      </c>
      <c r="I42" s="14">
        <v>62.051776339510901</v>
      </c>
      <c r="J42" s="14">
        <v>133.50331598257785</v>
      </c>
      <c r="K42" s="14">
        <v>164.64183576145672</v>
      </c>
      <c r="L42" s="14">
        <v>268.18420161587363</v>
      </c>
      <c r="M42" s="14">
        <v>436.84380499869997</v>
      </c>
      <c r="N42" s="14">
        <v>711.57252670339517</v>
      </c>
    </row>
    <row r="43" spans="1:19" x14ac:dyDescent="0.3">
      <c r="A43" s="3" t="str">
        <f>INDEX('R1. Scenario specifications'!$C$11:$C$49,MATCH($B43,'R1. Scenario specifications'!$A$11:$A$49,0))</f>
        <v>Current 2DS, 2020 start, 'Expect the Unexpected' but with most conservative biomass CCS / NET technology cost assumptions</v>
      </c>
      <c r="B43" s="3" t="s">
        <v>17</v>
      </c>
      <c r="D43" s="14"/>
      <c r="E43" s="14"/>
      <c r="F43" s="14">
        <v>71.972612216295616</v>
      </c>
      <c r="G43" s="14">
        <v>86.469561001028339</v>
      </c>
      <c r="H43" s="14">
        <v>68.81566860209071</v>
      </c>
      <c r="I43" s="14">
        <v>74.202862076668879</v>
      </c>
      <c r="J43" s="14">
        <v>120.86864332814889</v>
      </c>
      <c r="K43" s="14">
        <v>196.88228366317398</v>
      </c>
      <c r="L43" s="14">
        <v>320.70049396636477</v>
      </c>
      <c r="M43" s="14">
        <v>522.38731142709287</v>
      </c>
      <c r="N43" s="14">
        <v>850.91388468053947</v>
      </c>
    </row>
    <row r="44" spans="1:19" x14ac:dyDescent="0.3">
      <c r="A44" s="3" t="str">
        <f>INDEX('R1. Scenario specifications'!$C$11:$C$49,MATCH($B44,'R1. Scenario specifications'!$A$11:$A$49,0))</f>
        <v>Current 2DS, 2030 start, 'Expect the Unexpected' but with most conservative biomass CCS / NET technology cost assumptions</v>
      </c>
      <c r="B44" s="3" t="s">
        <v>18</v>
      </c>
      <c r="D44" s="14"/>
      <c r="E44" s="14"/>
      <c r="F44" s="14">
        <v>71.972612216295616</v>
      </c>
      <c r="G44" s="14">
        <v>52.791997043187216</v>
      </c>
      <c r="H44" s="14">
        <v>76.539677200751314</v>
      </c>
      <c r="I44" s="14">
        <v>103.52583481731288</v>
      </c>
      <c r="J44" s="14">
        <v>178.72515092326961</v>
      </c>
      <c r="K44" s="14">
        <v>214.62256164096422</v>
      </c>
      <c r="L44" s="14">
        <v>349.59753744256801</v>
      </c>
      <c r="M44" s="14">
        <v>569.45755027566997</v>
      </c>
      <c r="N44" s="14">
        <v>927.58634382050036</v>
      </c>
    </row>
    <row r="45" spans="1:19" x14ac:dyDescent="0.3">
      <c r="A45" s="3" t="str">
        <f>INDEX('R1. Scenario specifications'!$C$11:$C$49,MATCH($B45,'R1. Scenario specifications'!$A$11:$A$49,0))</f>
        <v>Current 1.5DS, 2020 start, 'Expect the Unexpected'</v>
      </c>
      <c r="B45" s="3" t="s">
        <v>19</v>
      </c>
      <c r="D45" s="14"/>
      <c r="E45" s="14"/>
      <c r="F45" s="14">
        <v>71.972612216295616</v>
      </c>
      <c r="G45" s="14">
        <v>462.22021676245453</v>
      </c>
      <c r="H45" s="14">
        <v>7387.8037560719758</v>
      </c>
      <c r="I45" s="14">
        <v>28073.782637689859</v>
      </c>
      <c r="J45" s="14">
        <v>2378.7054905055661</v>
      </c>
      <c r="K45" s="14">
        <v>255.77573260068687</v>
      </c>
      <c r="L45" s="14">
        <v>416.63171649215474</v>
      </c>
      <c r="M45" s="14">
        <v>678.64916434227041</v>
      </c>
      <c r="N45" s="14">
        <v>1105.4479819917756</v>
      </c>
    </row>
    <row r="46" spans="1:19" x14ac:dyDescent="0.3">
      <c r="A46" s="3" t="str">
        <f>INDEX('R1. Scenario specifications'!$C$11:$C$49,MATCH($B46,'R1. Scenario specifications'!$A$11:$A$49,0))</f>
        <v>Current 1.5DS, 2030 start, 'Expect the Unexpected'</v>
      </c>
      <c r="B46" s="3" t="s">
        <v>20</v>
      </c>
      <c r="D46" s="14"/>
      <c r="E46" s="14"/>
      <c r="F46" s="14">
        <v>71.972612216295616</v>
      </c>
      <c r="G46" s="14">
        <v>52.791997043187216</v>
      </c>
      <c r="H46" s="14">
        <v>3353.0316761810604</v>
      </c>
      <c r="I46" s="14">
        <v>12204.999999993872</v>
      </c>
      <c r="J46" s="14">
        <v>28714.723349277974</v>
      </c>
      <c r="K46" s="14">
        <v>57.277376388704134</v>
      </c>
      <c r="L46" s="14">
        <v>93.298810635179663</v>
      </c>
      <c r="M46" s="14">
        <v>151.97393132837402</v>
      </c>
      <c r="N46" s="14">
        <v>247.54952015113128</v>
      </c>
    </row>
    <row r="47" spans="1:19" x14ac:dyDescent="0.3">
      <c r="A47" s="3" t="str">
        <f>INDEX('R1. Scenario specifications'!$C$11:$C$49,MATCH($B47,'R1. Scenario specifications'!$A$11:$A$49,0))</f>
        <v>Current 1.5DS, 2020 start, 'Expect the Unexpected' but with cheap renewables</v>
      </c>
      <c r="B47" s="3" t="s">
        <v>21</v>
      </c>
      <c r="D47" s="14"/>
      <c r="E47" s="14"/>
      <c r="F47" s="14">
        <v>71.972612216295616</v>
      </c>
      <c r="G47" s="14">
        <v>384.52715579093353</v>
      </c>
      <c r="H47" s="14">
        <v>7016.0853511048908</v>
      </c>
      <c r="I47" s="14">
        <v>28378.384562608426</v>
      </c>
      <c r="J47" s="14">
        <v>1910.0942228526119</v>
      </c>
      <c r="K47" s="14">
        <v>244.55542949075382</v>
      </c>
      <c r="L47" s="14">
        <v>398.35502504673815</v>
      </c>
      <c r="M47" s="14">
        <v>648.87835985361676</v>
      </c>
      <c r="N47" s="14">
        <v>1056.9544737892629</v>
      </c>
    </row>
    <row r="48" spans="1:19" x14ac:dyDescent="0.3">
      <c r="A48" s="3" t="str">
        <f>INDEX('R1. Scenario specifications'!$C$11:$C$49,MATCH($B48,'R1. Scenario specifications'!$A$11:$A$49,0))</f>
        <v>Current 1.5DS, 2030 start, 'Expect the Unexpected' but with cheap renewables</v>
      </c>
      <c r="B48" s="3" t="s">
        <v>22</v>
      </c>
      <c r="D48" s="14"/>
      <c r="E48" s="14"/>
      <c r="F48" s="14">
        <v>71.972612216295616</v>
      </c>
      <c r="G48" s="14">
        <v>52.791997043187216</v>
      </c>
      <c r="H48" s="14">
        <v>3337.6651738372111</v>
      </c>
      <c r="I48" s="14">
        <v>12204.999999999985</v>
      </c>
      <c r="J48" s="14">
        <v>28720.327502499989</v>
      </c>
      <c r="K48" s="14">
        <v>54.995232620706268</v>
      </c>
      <c r="L48" s="14">
        <v>89.581438914243989</v>
      </c>
      <c r="M48" s="14">
        <v>145.91872450640338</v>
      </c>
      <c r="N48" s="14">
        <v>237.68622629469886</v>
      </c>
    </row>
    <row r="49" spans="1:14" x14ac:dyDescent="0.3">
      <c r="A49" s="3" t="str">
        <f>INDEX('R1. Scenario specifications'!$C$11:$C$49,MATCH($B49,'R1. Scenario specifications'!$A$11:$A$49,0))</f>
        <v>Current 1.5DS, 2020 start, 'Expect the Unexpected' but with cheap CCS</v>
      </c>
      <c r="B49" s="3" t="s">
        <v>23</v>
      </c>
      <c r="D49" s="14"/>
      <c r="E49" s="14"/>
      <c r="F49" s="14">
        <v>71.972612216295616</v>
      </c>
      <c r="G49" s="14">
        <v>462.22021774128746</v>
      </c>
      <c r="H49" s="14">
        <v>7387.8067655720879</v>
      </c>
      <c r="I49" s="14">
        <v>28073.780941927296</v>
      </c>
      <c r="J49" s="14">
        <v>2378.7086289955155</v>
      </c>
      <c r="K49" s="14">
        <v>255.77557937421562</v>
      </c>
      <c r="L49" s="14">
        <v>416.6314669038203</v>
      </c>
      <c r="M49" s="14">
        <v>678.64875781038825</v>
      </c>
      <c r="N49" s="14">
        <v>1105.4473197633504</v>
      </c>
    </row>
    <row r="50" spans="1:14" x14ac:dyDescent="0.3">
      <c r="A50" s="3" t="str">
        <f>INDEX('R1. Scenario specifications'!$C$11:$C$49,MATCH($B50,'R1. Scenario specifications'!$A$11:$A$49,0))</f>
        <v>Current 1.5DS, 2030 start, 'Expect the Unexpected' but with cheap CCS</v>
      </c>
      <c r="B50" s="3" t="s">
        <v>24</v>
      </c>
      <c r="D50" s="14"/>
      <c r="E50" s="14"/>
      <c r="F50" s="14">
        <v>71.972612216295616</v>
      </c>
      <c r="G50" s="14">
        <v>52.791997043187216</v>
      </c>
      <c r="H50" s="14">
        <v>3353.0316766226597</v>
      </c>
      <c r="I50" s="14">
        <v>12204.999999999985</v>
      </c>
      <c r="J50" s="14">
        <v>28714.723349804975</v>
      </c>
      <c r="K50" s="14">
        <v>57.277376212744898</v>
      </c>
      <c r="L50" s="14">
        <v>93.29881028563122</v>
      </c>
      <c r="M50" s="14">
        <v>151.97393075898393</v>
      </c>
      <c r="N50" s="14">
        <v>247.54951922344969</v>
      </c>
    </row>
    <row r="51" spans="1:14" x14ac:dyDescent="0.3">
      <c r="A51" s="3" t="str">
        <f>INDEX('R1. Scenario specifications'!$C$11:$C$49,MATCH($B51,'R1. Scenario specifications'!$A$11:$A$49,0))</f>
        <v>Current 1.5DS, 2020 start, 'Expect the Unexpected' but with cheap EVs</v>
      </c>
      <c r="B51" s="3" t="s">
        <v>25</v>
      </c>
      <c r="D51" s="14"/>
      <c r="E51" s="14"/>
      <c r="F51" s="14">
        <v>71.972612216295616</v>
      </c>
      <c r="G51" s="14">
        <v>407.48012560554128</v>
      </c>
      <c r="H51" s="14">
        <v>7158.649969260824</v>
      </c>
      <c r="I51" s="14">
        <v>28060.579045915641</v>
      </c>
      <c r="J51" s="14">
        <v>2390.851580275661</v>
      </c>
      <c r="K51" s="14">
        <v>259.58782490101873</v>
      </c>
      <c r="L51" s="14">
        <v>422.84120916340538</v>
      </c>
      <c r="M51" s="14">
        <v>688.76377358635341</v>
      </c>
      <c r="N51" s="14">
        <v>1121.9236099315165</v>
      </c>
    </row>
    <row r="52" spans="1:14" x14ac:dyDescent="0.3">
      <c r="A52" s="3" t="str">
        <f>INDEX('R1. Scenario specifications'!$C$11:$C$49,MATCH($B52,'R1. Scenario specifications'!$A$11:$A$49,0))</f>
        <v>Current 2DS, 2030 start, 'Expect the Unexpected'</v>
      </c>
      <c r="B52" s="3" t="s">
        <v>26</v>
      </c>
      <c r="D52" s="14"/>
      <c r="E52" s="14"/>
      <c r="F52" s="14">
        <v>71.972612216295616</v>
      </c>
      <c r="G52" s="14">
        <v>52.791997043187216</v>
      </c>
      <c r="H52" s="14">
        <v>76.53540990087491</v>
      </c>
      <c r="I52" s="14">
        <v>102.77679736211667</v>
      </c>
      <c r="J52" s="14">
        <v>176.54543082387619</v>
      </c>
      <c r="K52" s="14">
        <v>214.93657047985582</v>
      </c>
      <c r="L52" s="14">
        <v>350.10902475267318</v>
      </c>
      <c r="M52" s="14">
        <v>570.29070920588538</v>
      </c>
      <c r="N52" s="14">
        <v>928.94347192662065</v>
      </c>
    </row>
    <row r="53" spans="1:14" x14ac:dyDescent="0.3">
      <c r="A53" s="3" t="str">
        <f>INDEX('R1. Scenario specifications'!$C$11:$C$49,MATCH($B53,'R1. Scenario specifications'!$A$11:$A$49,0))</f>
        <v>Current 1.5DS, 2030 start, 'Expect the Unexpected' but with cheap EVs</v>
      </c>
      <c r="B53" s="3" t="s">
        <v>27</v>
      </c>
      <c r="D53" s="14"/>
      <c r="E53" s="14"/>
      <c r="F53" s="14">
        <v>71.972612216295616</v>
      </c>
      <c r="G53" s="14">
        <v>52.791997043187216</v>
      </c>
      <c r="H53" s="14">
        <v>3425.2363354936383</v>
      </c>
      <c r="I53" s="14">
        <v>12204.999999999985</v>
      </c>
      <c r="J53" s="14">
        <v>28719.112779043444</v>
      </c>
      <c r="K53" s="14">
        <v>55.489896748465512</v>
      </c>
      <c r="L53" s="14">
        <v>90.387194654163039</v>
      </c>
      <c r="M53" s="14">
        <v>147.23121570165023</v>
      </c>
      <c r="N53" s="14">
        <v>239.82413615033252</v>
      </c>
    </row>
    <row r="54" spans="1:14" x14ac:dyDescent="0.3">
      <c r="A54" s="3" t="str">
        <f>INDEX('R1. Scenario specifications'!$C$11:$C$49,MATCH($B54,'R1. Scenario specifications'!$A$11:$A$49,0))</f>
        <v>Current 1.5DS, 2020 start, 'Expect the Unexpected' but with cheap energy efficiency</v>
      </c>
      <c r="B54" s="3" t="s">
        <v>28</v>
      </c>
      <c r="D54" s="14"/>
      <c r="E54" s="14"/>
      <c r="F54" s="14">
        <v>71.972612216295616</v>
      </c>
      <c r="G54" s="14">
        <v>283.82285534099236</v>
      </c>
      <c r="H54" s="14">
        <v>6204.1491240761325</v>
      </c>
      <c r="I54" s="14">
        <v>10672.453939943964</v>
      </c>
      <c r="J54" s="14">
        <v>1661.5784503450629</v>
      </c>
      <c r="K54" s="14">
        <v>215.1575785173986</v>
      </c>
      <c r="L54" s="14">
        <v>350.46902427402824</v>
      </c>
      <c r="M54" s="14">
        <v>570.87710937691566</v>
      </c>
      <c r="N54" s="14">
        <v>929.89865779042896</v>
      </c>
    </row>
    <row r="55" spans="1:14" x14ac:dyDescent="0.3">
      <c r="A55" s="3" t="str">
        <f>INDEX('R1. Scenario specifications'!$C$11:$C$49,MATCH($B55,'R1. Scenario specifications'!$A$11:$A$49,0))</f>
        <v>Current 1.5DS, 2030 start, 'Expect the Unexpected' but with cheap energy efficiency</v>
      </c>
      <c r="B55" s="3" t="s">
        <v>29</v>
      </c>
      <c r="D55" s="14"/>
      <c r="E55" s="14"/>
      <c r="F55" s="14">
        <v>71.972612216295616</v>
      </c>
      <c r="G55" s="14">
        <v>52.791997043187216</v>
      </c>
      <c r="H55" s="14">
        <v>2757.8857508343876</v>
      </c>
      <c r="I55" s="14">
        <v>12204.999999999314</v>
      </c>
      <c r="J55" s="14">
        <v>28729.112905203412</v>
      </c>
      <c r="K55" s="14">
        <v>51.417608938968556</v>
      </c>
      <c r="L55" s="14">
        <v>83.753866706267118</v>
      </c>
      <c r="M55" s="14">
        <v>136.42622344911643</v>
      </c>
      <c r="N55" s="14">
        <v>222.22394232871147</v>
      </c>
    </row>
    <row r="56" spans="1:14" x14ac:dyDescent="0.3">
      <c r="A56" s="3" t="str">
        <f>INDEX('R1. Scenario specifications'!$C$11:$C$49,MATCH($B56,'R1. Scenario specifications'!$A$11:$A$49,0))</f>
        <v>Current 1.5DS, 2020 start, 'Expect the Unexpected' but with most conservative biomass CCS / NET technology cost assumptions</v>
      </c>
      <c r="B56" s="3" t="s">
        <v>30</v>
      </c>
      <c r="D56" s="14"/>
      <c r="E56" s="14"/>
      <c r="F56" s="14">
        <v>71.972612216295616</v>
      </c>
      <c r="G56" s="14">
        <v>481.00854406591401</v>
      </c>
      <c r="H56" s="14">
        <v>7367.5502374918224</v>
      </c>
      <c r="I56" s="14">
        <v>28665.328246011621</v>
      </c>
      <c r="J56" s="14">
        <v>1491.5162021921799</v>
      </c>
      <c r="K56" s="14">
        <v>224.67354747277474</v>
      </c>
      <c r="L56" s="14">
        <v>365.9695342574629</v>
      </c>
      <c r="M56" s="14">
        <v>596.12580791614175</v>
      </c>
      <c r="N56" s="14">
        <v>971.02612539807626</v>
      </c>
    </row>
    <row r="57" spans="1:14" x14ac:dyDescent="0.3">
      <c r="A57" s="3" t="str">
        <f>INDEX('R1. Scenario specifications'!$C$11:$C$49,MATCH($B57,'R1. Scenario specifications'!$A$11:$A$49,0))</f>
        <v>Current 1.5DS, 2030 start, 'Expect the Unexpected' but with most conservative biomass CCS / NET technology cost assumptions</v>
      </c>
      <c r="B57" s="3" t="s">
        <v>31</v>
      </c>
      <c r="D57" s="14"/>
      <c r="E57" s="14"/>
      <c r="F57" s="14">
        <v>71.972612216295616</v>
      </c>
      <c r="G57" s="14">
        <v>52.791997043187216</v>
      </c>
      <c r="H57" s="14">
        <v>3462.7963808035761</v>
      </c>
      <c r="I57" s="14">
        <v>12677.040325103062</v>
      </c>
      <c r="J57" s="14">
        <v>27953.301772808689</v>
      </c>
      <c r="K57" s="14">
        <v>54.230377211295739</v>
      </c>
      <c r="L57" s="14">
        <v>88.335570047593549</v>
      </c>
      <c r="M57" s="14">
        <v>143.88933540384704</v>
      </c>
      <c r="N57" s="14">
        <v>234.3805652899045</v>
      </c>
    </row>
    <row r="58" spans="1:14" x14ac:dyDescent="0.3">
      <c r="A58" s="3" t="str">
        <f>INDEX('R1. Scenario specifications'!$C$11:$C$49,MATCH($B58,'R1. Scenario specifications'!$A$11:$A$49,0))</f>
        <v>Current 1.75DS, 2020 start, 'Expect the Unexpected'</v>
      </c>
      <c r="B58" s="3" t="s">
        <v>32</v>
      </c>
      <c r="D58" s="14"/>
      <c r="E58" s="14"/>
      <c r="F58" s="14">
        <v>71.972612216295616</v>
      </c>
      <c r="G58" s="14">
        <v>127.74474824942247</v>
      </c>
      <c r="H58" s="14">
        <v>139.82184003454506</v>
      </c>
      <c r="I58" s="14">
        <v>164.05976724594242</v>
      </c>
      <c r="J58" s="14">
        <v>242.03471427058847</v>
      </c>
      <c r="K58" s="14">
        <v>394.24904556897445</v>
      </c>
      <c r="L58" s="14">
        <v>642.19015193926828</v>
      </c>
      <c r="M58" s="14">
        <v>1046.0600878635387</v>
      </c>
      <c r="N58" s="14">
        <v>1703.9216564072599</v>
      </c>
    </row>
    <row r="59" spans="1:14" x14ac:dyDescent="0.3">
      <c r="A59" s="3" t="str">
        <f>INDEX('R1. Scenario specifications'!$C$11:$C$49,MATCH($B59,'R1. Scenario specifications'!$A$11:$A$49,0))</f>
        <v>Current 1.75DS, 2030 start, 'Expect the Unexpected'</v>
      </c>
      <c r="B59" s="3" t="s">
        <v>33</v>
      </c>
      <c r="D59" s="14"/>
      <c r="E59" s="14"/>
      <c r="F59" s="14">
        <v>71.972612216295616</v>
      </c>
      <c r="G59" s="14">
        <v>52.791997043187216</v>
      </c>
      <c r="H59" s="14">
        <v>139.52565352517007</v>
      </c>
      <c r="I59" s="14">
        <v>482.86328846251052</v>
      </c>
      <c r="J59" s="14">
        <v>1191.8023148083598</v>
      </c>
      <c r="K59" s="14">
        <v>325.71805591265542</v>
      </c>
      <c r="L59" s="14">
        <v>530.56039111140115</v>
      </c>
      <c r="M59" s="14">
        <v>864.22697026177559</v>
      </c>
      <c r="N59" s="14">
        <v>1407.7346681784638</v>
      </c>
    </row>
    <row r="60" spans="1:14" x14ac:dyDescent="0.3">
      <c r="A60" s="3" t="str">
        <f>INDEX('R1. Scenario specifications'!$C$11:$C$49,MATCH($B60,'R1. Scenario specifications'!$A$11:$A$49,0))</f>
        <v>Current 1.75DS, 2020 start, 'Expect the Unexpected' but with cheap renewables</v>
      </c>
      <c r="B60" s="3" t="s">
        <v>34</v>
      </c>
      <c r="D60" s="14"/>
      <c r="E60" s="14"/>
      <c r="F60" s="14">
        <v>71.972612216295616</v>
      </c>
      <c r="G60" s="14">
        <v>116.92183965605517</v>
      </c>
      <c r="H60" s="14">
        <v>134.07401435331388</v>
      </c>
      <c r="I60" s="14">
        <v>158.70045264618105</v>
      </c>
      <c r="J60" s="14">
        <v>232.55962301504198</v>
      </c>
      <c r="K60" s="14">
        <v>378.81512033491305</v>
      </c>
      <c r="L60" s="14">
        <v>617.0499140550636</v>
      </c>
      <c r="M60" s="14">
        <v>1005.1092894602689</v>
      </c>
      <c r="N60" s="14">
        <v>1637.2171209218563</v>
      </c>
    </row>
    <row r="61" spans="1:14" x14ac:dyDescent="0.3">
      <c r="A61" s="3" t="str">
        <f>INDEX('R1. Scenario specifications'!$C$11:$C$49,MATCH($B61,'R1. Scenario specifications'!$A$11:$A$49,0))</f>
        <v>Current 1.75DS, 2030 start, 'Expect the Unexpected' but with cheap renewables</v>
      </c>
      <c r="B61" s="3" t="s">
        <v>35</v>
      </c>
      <c r="D61" s="14"/>
      <c r="E61" s="14"/>
      <c r="F61" s="14">
        <v>71.972612216295616</v>
      </c>
      <c r="G61" s="14">
        <v>52.791997043187216</v>
      </c>
      <c r="H61" s="14">
        <v>134.65685822618912</v>
      </c>
      <c r="I61" s="14">
        <v>448.69045309993243</v>
      </c>
      <c r="J61" s="14">
        <v>1204.4743518022663</v>
      </c>
      <c r="K61" s="14">
        <v>321.14002685852012</v>
      </c>
      <c r="L61" s="14">
        <v>523.103264193006</v>
      </c>
      <c r="M61" s="14">
        <v>852.08009629372157</v>
      </c>
      <c r="N61" s="14">
        <v>1387.9486904368096</v>
      </c>
    </row>
    <row r="62" spans="1:14" x14ac:dyDescent="0.3">
      <c r="A62" s="3" t="str">
        <f>INDEX('R1. Scenario specifications'!$C$11:$C$49,MATCH($B62,'R1. Scenario specifications'!$A$11:$A$49,0))</f>
        <v>Current 1.75DS, 2020 start, 'Expect the Unexpected' but with cheap CCS</v>
      </c>
      <c r="B62" s="3" t="s">
        <v>36</v>
      </c>
      <c r="D62" s="14"/>
      <c r="E62" s="14"/>
      <c r="F62" s="14">
        <v>71.972612216295616</v>
      </c>
      <c r="G62" s="14">
        <v>127.74474825603782</v>
      </c>
      <c r="H62" s="14">
        <v>139.82184003672376</v>
      </c>
      <c r="I62" s="14">
        <v>164.05976723585482</v>
      </c>
      <c r="J62" s="14">
        <v>242.03471426966226</v>
      </c>
      <c r="K62" s="14">
        <v>394.24904556757616</v>
      </c>
      <c r="L62" s="14">
        <v>642.19015193715234</v>
      </c>
      <c r="M62" s="14">
        <v>1046.0600878585115</v>
      </c>
      <c r="N62" s="14">
        <v>1703.9216564031115</v>
      </c>
    </row>
    <row r="63" spans="1:14" x14ac:dyDescent="0.3">
      <c r="A63" s="3" t="str">
        <f>INDEX('R1. Scenario specifications'!$C$11:$C$49,MATCH($B63,'R1. Scenario specifications'!$A$11:$A$49,0))</f>
        <v>Current 2DS, 2020 start, 'Expect the Unexpected' but with cheap renewables</v>
      </c>
      <c r="B63" s="3" t="s">
        <v>37</v>
      </c>
      <c r="D63" s="14"/>
      <c r="E63" s="14"/>
      <c r="F63" s="14">
        <v>71.972612216295616</v>
      </c>
      <c r="G63" s="14">
        <v>80.643769899430453</v>
      </c>
      <c r="H63" s="14">
        <v>60.638309178284246</v>
      </c>
      <c r="I63" s="14">
        <v>73.655534488569728</v>
      </c>
      <c r="J63" s="14">
        <v>119.9771044022435</v>
      </c>
      <c r="K63" s="14">
        <v>195.4300606294932</v>
      </c>
      <c r="L63" s="14">
        <v>318.33497567112909</v>
      </c>
      <c r="M63" s="14">
        <v>518.53413138447024</v>
      </c>
      <c r="N63" s="14">
        <v>844.63746041280274</v>
      </c>
    </row>
    <row r="64" spans="1:14" x14ac:dyDescent="0.3">
      <c r="A64" s="3" t="str">
        <f>INDEX('R1. Scenario specifications'!$C$11:$C$49,MATCH($B64,'R1. Scenario specifications'!$A$11:$A$49,0))</f>
        <v>Current 1.75DS, 2030 start, 'Expect the Unexpected' but with cheap CCS</v>
      </c>
      <c r="B64" s="3" t="s">
        <v>38</v>
      </c>
      <c r="D64" s="14"/>
      <c r="E64" s="14"/>
      <c r="F64" s="14">
        <v>71.972612216295616</v>
      </c>
      <c r="G64" s="14">
        <v>52.791997043187216</v>
      </c>
      <c r="H64" s="14">
        <v>139.52565349293516</v>
      </c>
      <c r="I64" s="14">
        <v>482.86328844440283</v>
      </c>
      <c r="J64" s="14">
        <v>1191.8023155486728</v>
      </c>
      <c r="K64" s="14">
        <v>325.71805590729139</v>
      </c>
      <c r="L64" s="14">
        <v>530.56039111176244</v>
      </c>
      <c r="M64" s="14">
        <v>864.22697026291894</v>
      </c>
      <c r="N64" s="14">
        <v>1407.7346681774222</v>
      </c>
    </row>
    <row r="65" spans="1:14" x14ac:dyDescent="0.3">
      <c r="A65" s="3" t="str">
        <f>INDEX('R1. Scenario specifications'!$C$11:$C$49,MATCH($B65,'R1. Scenario specifications'!$A$11:$A$49,0))</f>
        <v>Current 1.75DS, 2020 start, 'Expect the Unexpected' but with cheap EVs</v>
      </c>
      <c r="B65" s="3" t="s">
        <v>39</v>
      </c>
      <c r="D65" s="14"/>
      <c r="E65" s="14"/>
      <c r="F65" s="14">
        <v>71.972612216295616</v>
      </c>
      <c r="G65" s="14">
        <v>121.18207515871649</v>
      </c>
      <c r="H65" s="14">
        <v>126.49008661580247</v>
      </c>
      <c r="I65" s="14">
        <v>163.67909410109328</v>
      </c>
      <c r="J65" s="14">
        <v>238.53500089579686</v>
      </c>
      <c r="K65" s="14">
        <v>388.54838125760108</v>
      </c>
      <c r="L65" s="14">
        <v>632.90437047336684</v>
      </c>
      <c r="M65" s="14">
        <v>1030.9345283280263</v>
      </c>
      <c r="N65" s="14">
        <v>1679.2837137525514</v>
      </c>
    </row>
    <row r="66" spans="1:14" x14ac:dyDescent="0.3">
      <c r="A66" s="3" t="str">
        <f>INDEX('R1. Scenario specifications'!$C$11:$C$49,MATCH($B66,'R1. Scenario specifications'!$A$11:$A$49,0))</f>
        <v>Current 1.75DS, 2030 start, 'Expect the Unexpected' but with cheap EVs</v>
      </c>
      <c r="B66" s="3" t="s">
        <v>40</v>
      </c>
      <c r="D66" s="14"/>
      <c r="E66" s="14"/>
      <c r="F66" s="14">
        <v>71.972612216295616</v>
      </c>
      <c r="G66" s="14">
        <v>52.791997043187216</v>
      </c>
      <c r="H66" s="14">
        <v>123.32956847501885</v>
      </c>
      <c r="I66" s="14">
        <v>413.27737213576546</v>
      </c>
      <c r="J66" s="14">
        <v>1195.0410398318229</v>
      </c>
      <c r="K66" s="14">
        <v>324.22152226417336</v>
      </c>
      <c r="L66" s="14">
        <v>528.1226955016848</v>
      </c>
      <c r="M66" s="14">
        <v>860.25622098191718</v>
      </c>
      <c r="N66" s="14">
        <v>1401.2667360082662</v>
      </c>
    </row>
    <row r="67" spans="1:14" x14ac:dyDescent="0.3">
      <c r="A67" s="3" t="str">
        <f>INDEX('R1. Scenario specifications'!$C$11:$C$49,MATCH($B67,'R1. Scenario specifications'!$A$11:$A$49,0))</f>
        <v>Current 1.75DS, 2020 start, 'Expect the Unexpected' but with cheap energy efficiency</v>
      </c>
      <c r="B67" s="3" t="s">
        <v>41</v>
      </c>
      <c r="D67" s="14"/>
      <c r="E67" s="14"/>
      <c r="F67" s="14">
        <v>71.972612216295616</v>
      </c>
      <c r="G67" s="14">
        <v>107.33220302077414</v>
      </c>
      <c r="H67" s="14">
        <v>112.07245898560298</v>
      </c>
      <c r="I67" s="14">
        <v>114.61513735614723</v>
      </c>
      <c r="J67" s="14">
        <v>186.69598138592545</v>
      </c>
      <c r="K67" s="14">
        <v>304.10808092134118</v>
      </c>
      <c r="L67" s="14">
        <v>495.36001897235809</v>
      </c>
      <c r="M67" s="14">
        <v>806.88927322446705</v>
      </c>
      <c r="N67" s="14">
        <v>1314.337601559693</v>
      </c>
    </row>
    <row r="68" spans="1:14" x14ac:dyDescent="0.3">
      <c r="A68" s="3" t="str">
        <f>INDEX('R1. Scenario specifications'!$C$11:$C$49,MATCH($B68,'R1. Scenario specifications'!$A$11:$A$49,0))</f>
        <v>Current 1.75DS, 2030 start, 'Expect the Unexpected' but with cheap energy efficiency</v>
      </c>
      <c r="B68" s="3" t="s">
        <v>42</v>
      </c>
      <c r="D68" s="14"/>
      <c r="E68" s="14"/>
      <c r="F68" s="14">
        <v>71.972612216295616</v>
      </c>
      <c r="G68" s="14">
        <v>52.791997043187216</v>
      </c>
      <c r="H68" s="14">
        <v>101.18462006389498</v>
      </c>
      <c r="I68" s="14">
        <v>239.02972919119537</v>
      </c>
      <c r="J68" s="14">
        <v>1164.1712386921979</v>
      </c>
      <c r="K68" s="14">
        <v>241.56005563074282</v>
      </c>
      <c r="L68" s="14">
        <v>393.47587666097877</v>
      </c>
      <c r="M68" s="14">
        <v>640.93074125961141</v>
      </c>
      <c r="N68" s="14">
        <v>1044.0086405742636</v>
      </c>
    </row>
    <row r="69" spans="1:14" x14ac:dyDescent="0.3">
      <c r="A69" s="3" t="str">
        <f>INDEX('R1. Scenario specifications'!$C$11:$C$49,MATCH($B69,'R1. Scenario specifications'!$A$11:$A$49,0))</f>
        <v>Current 1.75DS, 2020 start, 'Expect the Unexpected' but with most conservative biomass CCS / NET technology cost assumptions</v>
      </c>
      <c r="B69" s="3" t="s">
        <v>43</v>
      </c>
      <c r="D69" s="14"/>
      <c r="E69" s="14"/>
      <c r="F69" s="14">
        <v>71.972612216295616</v>
      </c>
      <c r="G69" s="14">
        <v>126.13456356801289</v>
      </c>
      <c r="H69" s="14">
        <v>139.13845346899566</v>
      </c>
      <c r="I69" s="14">
        <v>172.1221951011419</v>
      </c>
      <c r="J69" s="14">
        <v>239.95078874209113</v>
      </c>
      <c r="K69" s="14">
        <v>390.85455047300661</v>
      </c>
      <c r="L69" s="14">
        <v>636.66087711698628</v>
      </c>
      <c r="M69" s="14">
        <v>1037.0534818152701</v>
      </c>
      <c r="N69" s="14">
        <v>1689.2508442118713</v>
      </c>
    </row>
    <row r="70" spans="1:14" x14ac:dyDescent="0.3">
      <c r="A70" s="3" t="str">
        <f>INDEX('R1. Scenario specifications'!$C$11:$C$49,MATCH($B70,'R1. Scenario specifications'!$A$11:$A$49,0))</f>
        <v>Current 2DS, 2020 start, 'Expect the unexpceted' but with expensive renewables (cheap CCS)</v>
      </c>
      <c r="B70" s="3" t="s">
        <v>1026</v>
      </c>
      <c r="D70" s="14"/>
      <c r="E70" s="14"/>
      <c r="F70" s="14">
        <v>71.972612216295616</v>
      </c>
      <c r="G70" s="14">
        <v>91.858556334923762</v>
      </c>
      <c r="H70" s="14">
        <v>90.333472918906992</v>
      </c>
      <c r="I70" s="14">
        <v>91.324113093300099</v>
      </c>
      <c r="J70" s="14">
        <v>148.75735711288954</v>
      </c>
      <c r="K70" s="14">
        <v>242.31005969443615</v>
      </c>
      <c r="L70" s="14">
        <v>394.69755426777004</v>
      </c>
      <c r="M70" s="14">
        <v>642.92072532162035</v>
      </c>
      <c r="N70" s="14">
        <v>1047.2501149202283</v>
      </c>
    </row>
    <row r="71" spans="1:14" x14ac:dyDescent="0.3">
      <c r="A71" s="3" t="str">
        <f>INDEX('R1. Scenario specifications'!$C$11:$C$49,MATCH($B71,'R1. Scenario specifications'!$A$11:$A$49,0))</f>
        <v>Current 2DS, 2030 start, 'Expect the Unexpected' but with cheap renewables</v>
      </c>
      <c r="B71" s="3" t="s">
        <v>44</v>
      </c>
      <c r="D71" s="14"/>
      <c r="E71" s="14"/>
      <c r="F71" s="14">
        <v>71.972612216295616</v>
      </c>
      <c r="G71" s="14">
        <v>52.791997043187216</v>
      </c>
      <c r="H71" s="14">
        <v>74.986248560153001</v>
      </c>
      <c r="I71" s="14">
        <v>102.04079773415319</v>
      </c>
      <c r="J71" s="14">
        <v>174.9863672242513</v>
      </c>
      <c r="K71" s="14">
        <v>209.61850206026295</v>
      </c>
      <c r="L71" s="14">
        <v>341.44645167884033</v>
      </c>
      <c r="M71" s="14">
        <v>556.18029047206824</v>
      </c>
      <c r="N71" s="14">
        <v>905.95908666917285</v>
      </c>
    </row>
    <row r="72" spans="1:14" x14ac:dyDescent="0.3">
      <c r="A72" s="3" t="str">
        <f>INDEX('R1. Scenario specifications'!$C$11:$C$49,MATCH($B72,'R1. Scenario specifications'!$A$11:$A$49,0))</f>
        <v>Current 2DS, 2020 start, 'Expect the Unexpected' but with cheap CCS</v>
      </c>
      <c r="B72" s="3" t="s">
        <v>45</v>
      </c>
      <c r="D72" s="14"/>
      <c r="E72" s="14"/>
      <c r="F72" s="14">
        <v>71.972612216295616</v>
      </c>
      <c r="G72" s="14">
        <v>86.369914582105594</v>
      </c>
      <c r="H72" s="14">
        <v>66.446388506912882</v>
      </c>
      <c r="I72" s="14">
        <v>73.655861961172775</v>
      </c>
      <c r="J72" s="14">
        <v>119.97763777921548</v>
      </c>
      <c r="K72" s="14">
        <v>195.43092951211341</v>
      </c>
      <c r="L72" s="14">
        <v>318.3363909887247</v>
      </c>
      <c r="M72" s="14">
        <v>518.53643678770777</v>
      </c>
      <c r="N72" s="14">
        <v>844.6412156731119</v>
      </c>
    </row>
    <row r="73" spans="1:14" x14ac:dyDescent="0.3">
      <c r="A73" s="3" t="str">
        <f>INDEX('R1. Scenario specifications'!$C$11:$C$49,MATCH($B73,'R1. Scenario specifications'!$A$11:$A$49,0))</f>
        <v>Current 2DS, 2030 start, 'Expect the Unexpected' but with cheap CCS</v>
      </c>
      <c r="B73" s="3" t="s">
        <v>46</v>
      </c>
      <c r="D73" s="14"/>
      <c r="E73" s="14"/>
      <c r="F73" s="14">
        <v>71.972612216295616</v>
      </c>
      <c r="G73" s="14">
        <v>52.791997043187216</v>
      </c>
      <c r="H73" s="14">
        <v>76.535409901045327</v>
      </c>
      <c r="I73" s="14">
        <v>102.77679736250944</v>
      </c>
      <c r="J73" s="14">
        <v>176.54543082630161</v>
      </c>
      <c r="K73" s="14">
        <v>214.93657047956484</v>
      </c>
      <c r="L73" s="14">
        <v>350.10902475221297</v>
      </c>
      <c r="M73" s="14">
        <v>570.29070920504228</v>
      </c>
      <c r="N73" s="14">
        <v>928.94347192518853</v>
      </c>
    </row>
    <row r="74" spans="1:14" x14ac:dyDescent="0.3">
      <c r="A74" s="3" t="str">
        <f>INDEX('R1. Scenario specifications'!$C$11:$C$49,MATCH($B74,'R1. Scenario specifications'!$A$11:$A$49,0))</f>
        <v>Current 2DS, 2020 start, 'Expect the Unexpected' but with cheap EVs</v>
      </c>
      <c r="B74" s="3" t="s">
        <v>47</v>
      </c>
      <c r="D74" s="14"/>
      <c r="E74" s="14"/>
      <c r="F74" s="14">
        <v>71.972612216295616</v>
      </c>
      <c r="G74" s="14">
        <v>76.868670124549624</v>
      </c>
      <c r="H74" s="14">
        <v>58.016084984967605</v>
      </c>
      <c r="I74" s="14">
        <v>71.033295934439366</v>
      </c>
      <c r="J74" s="14">
        <v>115.70575406927063</v>
      </c>
      <c r="K74" s="14">
        <v>188.47248109066715</v>
      </c>
      <c r="L74" s="14">
        <v>307.0018117440452</v>
      </c>
      <c r="M74" s="14">
        <v>500.07360156312018</v>
      </c>
      <c r="N74" s="14">
        <v>814.56720257905101</v>
      </c>
    </row>
    <row r="75" spans="1:14" x14ac:dyDescent="0.3">
      <c r="A75" s="3" t="str">
        <f>INDEX('R1. Scenario specifications'!$C$11:$C$49,MATCH($B75,'R1. Scenario specifications'!$A$11:$A$49,0))</f>
        <v>Current 2DS, 2030 start, 'Expect the Unexpected' but with cheap EVs</v>
      </c>
      <c r="B75" s="3" t="s">
        <v>48</v>
      </c>
      <c r="D75" s="14"/>
      <c r="E75" s="14"/>
      <c r="F75" s="14">
        <v>71.972612216295616</v>
      </c>
      <c r="G75" s="14">
        <v>52.791997043187216</v>
      </c>
      <c r="H75" s="14">
        <v>65.495409430538317</v>
      </c>
      <c r="I75" s="14">
        <v>99.827623204335453</v>
      </c>
      <c r="J75" s="14">
        <v>178.7265507931983</v>
      </c>
      <c r="K75" s="14">
        <v>213.84731072317777</v>
      </c>
      <c r="L75" s="14">
        <v>348.33473538779339</v>
      </c>
      <c r="M75" s="14">
        <v>567.40057879294727</v>
      </c>
      <c r="N75" s="14">
        <v>924.2357540255598</v>
      </c>
    </row>
    <row r="76" spans="1:14" x14ac:dyDescent="0.3">
      <c r="A76" s="3" t="str">
        <f>INDEX('R1. Scenario specifications'!$C$11:$C$49,MATCH($B76,'R1. Scenario specifications'!$A$11:$A$49,0))</f>
        <v>Current 2DS, 2020 start, 'Expect the Unexpected' but with cheap energy efficiency</v>
      </c>
      <c r="B76" s="3" t="s">
        <v>49</v>
      </c>
      <c r="D76" s="14"/>
      <c r="E76" s="14"/>
      <c r="F76" s="14">
        <v>71.972612216295616</v>
      </c>
      <c r="G76" s="14">
        <v>77.164232762655018</v>
      </c>
      <c r="H76" s="14">
        <v>56.374572227392932</v>
      </c>
      <c r="I76" s="14">
        <v>57.326342665134227</v>
      </c>
      <c r="J76" s="14">
        <v>93.378571539775848</v>
      </c>
      <c r="K76" s="14">
        <v>152.1038534361675</v>
      </c>
      <c r="L76" s="14">
        <v>247.7611495761866</v>
      </c>
      <c r="M76" s="14">
        <v>403.57680526895734</v>
      </c>
      <c r="N76" s="14">
        <v>657.3840895942069</v>
      </c>
    </row>
  </sheetData>
  <conditionalFormatting sqref="A1:XFD12 A14:XFD1048576 A13:E13 J13:XFD13">
    <cfRule type="expression" dxfId="103" priority="2">
      <formula>_xlfn.ISFORMULA(A1)</formula>
    </cfRule>
  </conditionalFormatting>
  <conditionalFormatting sqref="F13:I13">
    <cfRule type="expression" dxfId="102" priority="1">
      <formula>_xlfn.ISFORMULA(F13)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430BD5CA-31BB-43D8-A2E4-0BC2D5755AA7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176BA-2321-428B-ADE8-932B0957E56B}">
  <sheetPr>
    <tabColor theme="5" tint="0.39997558519241921"/>
  </sheetPr>
  <dimension ref="A1:Z282"/>
  <sheetViews>
    <sheetView zoomScale="55" zoomScaleNormal="55" workbookViewId="0">
      <selection activeCell="E49" sqref="E49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322</v>
      </c>
    </row>
    <row r="2" spans="1:9" s="5" customFormat="1" x14ac:dyDescent="0.3">
      <c r="A2" s="5" t="s">
        <v>5</v>
      </c>
      <c r="B2" s="5" t="s">
        <v>315</v>
      </c>
    </row>
    <row r="3" spans="1:9" s="5" customFormat="1" x14ac:dyDescent="0.3">
      <c r="A3" s="5" t="s">
        <v>6</v>
      </c>
      <c r="B3" s="5" t="s">
        <v>288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309</v>
      </c>
    </row>
    <row r="7" spans="1:9" s="5" customFormat="1" x14ac:dyDescent="0.3">
      <c r="B7" s="5" t="s">
        <v>188</v>
      </c>
      <c r="C7" s="5" t="s">
        <v>9</v>
      </c>
      <c r="D7" s="5" t="s">
        <v>310</v>
      </c>
    </row>
    <row r="8" spans="1:9" s="5" customFormat="1" x14ac:dyDescent="0.3">
      <c r="B8" s="5" t="s">
        <v>190</v>
      </c>
      <c r="C8" s="5" t="s">
        <v>59</v>
      </c>
      <c r="D8" s="5" t="s">
        <v>311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$E$8:$P3300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CONCATENATE("Billion passenger km from new ",$B$23," capacity")</f>
        <v>Billion passenger km from new Alternative fuels capacity</v>
      </c>
    </row>
    <row r="14" spans="1:9" s="5" customFormat="1" x14ac:dyDescent="0.3">
      <c r="B14" s="5" t="s">
        <v>323</v>
      </c>
      <c r="F14" s="777" t="s">
        <v>1027</v>
      </c>
      <c r="G14" s="777"/>
      <c r="H14" s="777"/>
      <c r="I14" s="777"/>
    </row>
    <row r="15" spans="1:9" ht="15" thickBot="1" x14ac:dyDescent="0.35"/>
    <row r="16" spans="1:9" s="15" customFormat="1" ht="15" thickBot="1" x14ac:dyDescent="0.35">
      <c r="A16" s="15" t="s">
        <v>200</v>
      </c>
    </row>
    <row r="18" spans="1:13" x14ac:dyDescent="0.3">
      <c r="A18" s="4" t="s">
        <v>201</v>
      </c>
    </row>
    <row r="19" spans="1:13" x14ac:dyDescent="0.3">
      <c r="A19" s="3" t="s">
        <v>85</v>
      </c>
      <c r="B19" s="3">
        <v>1</v>
      </c>
      <c r="C19" s="3">
        <f>B19+1</f>
        <v>2</v>
      </c>
      <c r="D19" s="3">
        <f t="shared" ref="D19:M19" si="0">C19+1</f>
        <v>3</v>
      </c>
      <c r="E19" s="3">
        <f t="shared" si="0"/>
        <v>4</v>
      </c>
      <c r="F19" s="3">
        <f t="shared" si="0"/>
        <v>5</v>
      </c>
      <c r="G19" s="3">
        <f t="shared" si="0"/>
        <v>6</v>
      </c>
      <c r="H19" s="3">
        <f t="shared" si="0"/>
        <v>7</v>
      </c>
      <c r="I19" s="3">
        <f t="shared" si="0"/>
        <v>8</v>
      </c>
      <c r="J19" s="3">
        <f t="shared" si="0"/>
        <v>9</v>
      </c>
      <c r="K19" s="3">
        <f t="shared" si="0"/>
        <v>10</v>
      </c>
      <c r="L19" s="3">
        <f t="shared" si="0"/>
        <v>11</v>
      </c>
      <c r="M19" s="3">
        <f t="shared" si="0"/>
        <v>12</v>
      </c>
    </row>
    <row r="20" spans="1:13" ht="100.8" x14ac:dyDescent="0.3">
      <c r="A20" s="18" t="s">
        <v>86</v>
      </c>
      <c r="B20" s="18" t="str">
        <f>INDEX('R1. Scenario specifications'!$C$11:$C$49,MATCH(B$21,'R1. Scenario specifications'!$A$11:$A$49,0))</f>
        <v>TIAM BAU - No Policy Action</v>
      </c>
      <c r="C20" s="18" t="str">
        <f>INDEX('R1. Scenario specifications'!$C$11:$C$49,MATCH(C$21,'R1. Scenario specifications'!$A$11:$A$49,0))</f>
        <v>Vivid BAU - WEO Current Policies Scenario emissions pathway run through TIAM</v>
      </c>
      <c r="D20" s="18" t="str">
        <f>INDEX('R1. Scenario specifications'!$C$11:$C$49,MATCH(D$21,'R1. Scenario specifications'!$A$11:$A$49,0))</f>
        <v>Vivid Paris NDCs - WEO New Policies Scenario emissions pathway run through TIAM</v>
      </c>
      <c r="E20" s="18" t="str">
        <f>INDEX('R1. Scenario specifications'!$C$11:$C$49,MATCH(E$21,'R1. Scenario specifications'!$A$11:$A$49,0))</f>
        <v>Current 2DS, 2020 start, 'Expect the Unexpected'</v>
      </c>
      <c r="F20" s="18" t="str">
        <f>INDEX('R1. Scenario specifications'!$C$11:$C$49,MATCH(F$21,'R1. Scenario specifications'!$A$11:$A$49,0))</f>
        <v>Current 2DS, 2030 start, 'Expect the Unexpected'</v>
      </c>
      <c r="G20" s="18" t="str">
        <f>INDEX('R1. Scenario specifications'!$C$11:$C$49,MATCH(G$21,'R1. Scenario specifications'!$A$11:$A$49,0))</f>
        <v>Current 1.5DS, 2020 start, 'Expect the Unexpected'</v>
      </c>
      <c r="H20" s="18" t="str">
        <f>INDEX('R1. Scenario specifications'!$C$11:$C$49,MATCH(H$21,'R1. Scenario specifications'!$A$11:$A$49,0))</f>
        <v>Current 1.5DS, 2030 start, 'Expect the Unexpected'</v>
      </c>
      <c r="I20" s="18" t="str">
        <f>INDEX('R1. Scenario specifications'!$C$11:$C$49,MATCH(I$21,'R1. Scenario specifications'!$A$11:$A$49,0))</f>
        <v>Current 1.75DS, 2020 start, 'Expect the Unexpected'</v>
      </c>
      <c r="J20" s="18" t="str">
        <f>INDEX('R1. Scenario specifications'!$C$11:$C$49,MATCH(J$21,'R1. Scenario specifications'!$A$11:$A$49,0))</f>
        <v>Current 1.75DS, 2030 start, 'Expect the Unexpected'</v>
      </c>
      <c r="K20" s="18" t="e">
        <f>INDEX('R1. Scenario specifications'!$C$11:$C$49,MATCH(K$21,'R1. Scenario specifications'!$A$11:$A$49,0))</f>
        <v>#N/A</v>
      </c>
      <c r="L20" s="18" t="e">
        <f>INDEX('R1. Scenario specifications'!$C$11:$C$49,MATCH(L$21,'R1. Scenario specifications'!$A$11:$A$49,0))</f>
        <v>#N/A</v>
      </c>
      <c r="M20" s="18" t="e">
        <f>INDEX('R1. Scenario specifications'!$C$11:$C$49,MATCH(M$21,'R1. Scenario specifications'!$A$11:$A$49,0))</f>
        <v>#N/A</v>
      </c>
    </row>
    <row r="21" spans="1:13" x14ac:dyDescent="0.3">
      <c r="A21" s="3" t="s">
        <v>8</v>
      </c>
      <c r="B21" s="17" t="s">
        <v>11</v>
      </c>
      <c r="C21" s="17" t="s">
        <v>13</v>
      </c>
      <c r="D21" s="17" t="s">
        <v>14</v>
      </c>
      <c r="E21" s="17" t="s">
        <v>15</v>
      </c>
      <c r="F21" s="17" t="s">
        <v>26</v>
      </c>
      <c r="G21" s="17" t="s">
        <v>19</v>
      </c>
      <c r="H21" s="17" t="s">
        <v>20</v>
      </c>
      <c r="I21" s="17" t="s">
        <v>32</v>
      </c>
      <c r="J21" s="17" t="s">
        <v>33</v>
      </c>
      <c r="K21" s="17"/>
      <c r="L21" s="17"/>
      <c r="M21" s="17"/>
    </row>
    <row r="23" spans="1:13" x14ac:dyDescent="0.3">
      <c r="A23" s="3" t="s">
        <v>346</v>
      </c>
      <c r="B23" s="17" t="s">
        <v>325</v>
      </c>
    </row>
    <row r="25" spans="1:13" x14ac:dyDescent="0.3">
      <c r="A25" s="3" t="s">
        <v>192</v>
      </c>
      <c r="B25" s="3" t="str">
        <f>IF(ISBLANK(B21),"",B21)</f>
        <v>Vivid_0A</v>
      </c>
      <c r="C25" s="3" t="str">
        <f t="shared" ref="C25:M25" si="1">IF(ISBLANK(C21),"",C21)</f>
        <v>Vivid_0A_BAU</v>
      </c>
      <c r="D25" s="3" t="str">
        <f t="shared" si="1"/>
        <v>Vivid_0B</v>
      </c>
      <c r="E25" s="3" t="str">
        <f t="shared" si="1"/>
        <v>Vivid_1</v>
      </c>
      <c r="F25" s="3" t="str">
        <f t="shared" si="1"/>
        <v>Vivid_2</v>
      </c>
      <c r="G25" s="3" t="str">
        <f t="shared" si="1"/>
        <v>Vivid_13</v>
      </c>
      <c r="H25" s="3" t="str">
        <f t="shared" si="1"/>
        <v>Vivid_14</v>
      </c>
      <c r="I25" s="3" t="str">
        <f t="shared" si="1"/>
        <v>Vivid_25</v>
      </c>
      <c r="J25" s="3" t="str">
        <f t="shared" si="1"/>
        <v>Vivid_26</v>
      </c>
      <c r="K25" s="3" t="str">
        <f t="shared" si="1"/>
        <v/>
      </c>
      <c r="L25" s="3" t="str">
        <f t="shared" si="1"/>
        <v/>
      </c>
      <c r="M25" s="3" t="str">
        <f t="shared" si="1"/>
        <v/>
      </c>
    </row>
    <row r="26" spans="1:13" x14ac:dyDescent="0.3">
      <c r="A26" s="3">
        <v>2012</v>
      </c>
      <c r="B26" s="14">
        <f t="array" ref="B26">INDEX($E$49:$O$282,MATCH(B$25&amp;$B$23,$B$49:$B$282&amp;$D$49:$D$282,0),MATCH($A26,$E$48:$O$48,0))</f>
        <v>40.935839939176851</v>
      </c>
      <c r="C26" s="14">
        <f t="array" ref="C26">INDEX($E$49:$O$282,MATCH(C$25&amp;$B$23,$B$49:$B$282&amp;$D$49:$D$282,0),MATCH($A26,$E$48:$O$48,0))</f>
        <v>37.062883233062713</v>
      </c>
      <c r="D26" s="14">
        <f t="array" ref="D26">INDEX($E$49:$O$282,MATCH(D$25&amp;$B$23,$B$49:$B$282&amp;$D$49:$D$282,0),MATCH($A26,$E$48:$O$48,0))</f>
        <v>40.935839939176851</v>
      </c>
      <c r="E26" s="14">
        <f t="array" ref="E26">INDEX($E$49:$O$282,MATCH(E$25&amp;$B$23,$B$49:$B$282&amp;$D$49:$D$282,0),MATCH($A26,$E$48:$O$48,0))</f>
        <v>40.935839939176851</v>
      </c>
      <c r="F26" s="14">
        <f t="array" ref="F26">INDEX($E$49:$O$282,MATCH(F$25&amp;$B$23,$B$49:$B$282&amp;$D$49:$D$282,0),MATCH($A26,$E$48:$O$48,0))</f>
        <v>40.935839939176851</v>
      </c>
      <c r="G26" s="14">
        <f t="array" ref="G26">INDEX($E$49:$O$282,MATCH(G$25&amp;$B$23,$B$49:$B$282&amp;$D$49:$D$282,0),MATCH($A26,$E$48:$O$48,0))</f>
        <v>40.935839939176851</v>
      </c>
      <c r="H26" s="14">
        <f t="array" ref="H26">INDEX($E$49:$O$282,MATCH(H$25&amp;$B$23,$B$49:$B$282&amp;$D$49:$D$282,0),MATCH($A26,$E$48:$O$48,0))</f>
        <v>40.935839939176851</v>
      </c>
      <c r="I26" s="14">
        <f t="array" ref="I26">INDEX($E$49:$O$282,MATCH(I$25&amp;$B$23,$B$49:$B$282&amp;$D$49:$D$282,0),MATCH($A26,$E$48:$O$48,0))</f>
        <v>40.935839939176851</v>
      </c>
      <c r="J26" s="14">
        <f t="array" ref="J26">INDEX($E$49:$O$282,MATCH(J$25&amp;$B$23,$B$49:$B$282&amp;$D$49:$D$282,0),MATCH($A26,$E$48:$O$48,0))</f>
        <v>40.935839939176851</v>
      </c>
      <c r="K26" s="14" t="e">
        <f t="array" ref="K26">INDEX($E$49:$O$282,MATCH(K$25&amp;$B$23,$B$49:$B$282&amp;$D$49:$D$282,0),MATCH($A26,$E$48:$O$48,0))</f>
        <v>#N/A</v>
      </c>
      <c r="L26" s="14" t="e">
        <f t="array" ref="L26">INDEX($E$49:$O$282,MATCH(L$25&amp;$B$23,$B$49:$B$282&amp;$D$49:$D$282,0),MATCH($A26,$E$48:$O$48,0))</f>
        <v>#N/A</v>
      </c>
      <c r="M26" s="14" t="e">
        <f t="array" ref="M26">INDEX($E$49:$O$282,MATCH(M$25&amp;$B$23,$B$49:$B$282&amp;$D$49:$D$282,0),MATCH($A26,$E$48:$O$48,0))</f>
        <v>#N/A</v>
      </c>
    </row>
    <row r="27" spans="1:13" x14ac:dyDescent="0.3">
      <c r="A27" s="3">
        <v>2020</v>
      </c>
      <c r="B27" s="14">
        <f t="array" ref="B27">INDEX($E$49:$O$282,MATCH(B$25&amp;$B$23,$B$49:$B$282&amp;$D$49:$D$282,0),MATCH($A27,$E$48:$O$48,0))</f>
        <v>860.24212834963828</v>
      </c>
      <c r="C27" s="14">
        <f t="array" ref="C27">INDEX($E$49:$O$282,MATCH(C$25&amp;$B$23,$B$49:$B$282&amp;$D$49:$D$282,0),MATCH($A27,$E$48:$O$48,0))</f>
        <v>1143.0175561160122</v>
      </c>
      <c r="D27" s="14">
        <f t="array" ref="D27">INDEX($E$49:$O$282,MATCH(D$25&amp;$B$23,$B$49:$B$282&amp;$D$49:$D$282,0),MATCH($A27,$E$48:$O$48,0))</f>
        <v>1010.9701631029815</v>
      </c>
      <c r="E27" s="14">
        <f t="array" ref="E27">INDEX($E$49:$O$282,MATCH(E$25&amp;$B$23,$B$49:$B$282&amp;$D$49:$D$282,0),MATCH($A27,$E$48:$O$48,0))</f>
        <v>1010.9701631029815</v>
      </c>
      <c r="F27" s="14">
        <f t="array" ref="F27">INDEX($E$49:$O$282,MATCH(F$25&amp;$B$23,$B$49:$B$282&amp;$D$49:$D$282,0),MATCH($A27,$E$48:$O$48,0))</f>
        <v>1010.9701631029815</v>
      </c>
      <c r="G27" s="14">
        <f t="array" ref="G27">INDEX($E$49:$O$282,MATCH(G$25&amp;$B$23,$B$49:$B$282&amp;$D$49:$D$282,0),MATCH($A27,$E$48:$O$48,0))</f>
        <v>1010.9701631029815</v>
      </c>
      <c r="H27" s="14">
        <f t="array" ref="H27">INDEX($E$49:$O$282,MATCH(H$25&amp;$B$23,$B$49:$B$282&amp;$D$49:$D$282,0),MATCH($A27,$E$48:$O$48,0))</f>
        <v>1010.9701631029815</v>
      </c>
      <c r="I27" s="14">
        <f t="array" ref="I27">INDEX($E$49:$O$282,MATCH(I$25&amp;$B$23,$B$49:$B$282&amp;$D$49:$D$282,0),MATCH($A27,$E$48:$O$48,0))</f>
        <v>1010.9701631029815</v>
      </c>
      <c r="J27" s="14">
        <f t="array" ref="J27">INDEX($E$49:$O$282,MATCH(J$25&amp;$B$23,$B$49:$B$282&amp;$D$49:$D$282,0),MATCH($A27,$E$48:$O$48,0))</f>
        <v>1010.9701631029815</v>
      </c>
      <c r="K27" s="14" t="e">
        <f t="array" ref="K27">INDEX($E$49:$O$282,MATCH(K$25&amp;$B$23,$B$49:$B$282&amp;$D$49:$D$282,0),MATCH($A27,$E$48:$O$48,0))</f>
        <v>#N/A</v>
      </c>
      <c r="L27" s="14" t="e">
        <f t="array" ref="L27">INDEX($E$49:$O$282,MATCH(L$25&amp;$B$23,$B$49:$B$282&amp;$D$49:$D$282,0),MATCH($A27,$E$48:$O$48,0))</f>
        <v>#N/A</v>
      </c>
      <c r="M27" s="14" t="e">
        <f t="array" ref="M27">INDEX($E$49:$O$282,MATCH(M$25&amp;$B$23,$B$49:$B$282&amp;$D$49:$D$282,0),MATCH($A27,$E$48:$O$48,0))</f>
        <v>#N/A</v>
      </c>
    </row>
    <row r="28" spans="1:13" x14ac:dyDescent="0.3">
      <c r="A28" s="3">
        <v>2030</v>
      </c>
      <c r="B28" s="14">
        <f t="array" ref="B28">INDEX($E$49:$O$282,MATCH(B$25&amp;$B$23,$B$49:$B$282&amp;$D$49:$D$282,0),MATCH($A28,$E$48:$O$48,0))</f>
        <v>2287.9433290414941</v>
      </c>
      <c r="C28" s="14">
        <f t="array" ref="C28">INDEX($E$49:$O$282,MATCH(C$25&amp;$B$23,$B$49:$B$282&amp;$D$49:$D$282,0),MATCH($A28,$E$48:$O$48,0))</f>
        <v>2081.42632169014</v>
      </c>
      <c r="D28" s="14">
        <f t="array" ref="D28">INDEX($E$49:$O$282,MATCH(D$25&amp;$B$23,$B$49:$B$282&amp;$D$49:$D$282,0),MATCH($A28,$E$48:$O$48,0))</f>
        <v>1524.3877289706661</v>
      </c>
      <c r="E28" s="14">
        <f t="array" ref="E28">INDEX($E$49:$O$282,MATCH(E$25&amp;$B$23,$B$49:$B$282&amp;$D$49:$D$282,0),MATCH($A28,$E$48:$O$48,0))</f>
        <v>1250.3938066101891</v>
      </c>
      <c r="F28" s="14">
        <f t="array" ref="F28">INDEX($E$49:$O$282,MATCH(F$25&amp;$B$23,$B$49:$B$282&amp;$D$49:$D$282,0),MATCH($A28,$E$48:$O$48,0))</f>
        <v>1524.3877289706661</v>
      </c>
      <c r="G28" s="14">
        <f t="array" ref="G28">INDEX($E$49:$O$282,MATCH(G$25&amp;$B$23,$B$49:$B$282&amp;$D$49:$D$282,0),MATCH($A28,$E$48:$O$48,0))</f>
        <v>786.200296362833</v>
      </c>
      <c r="H28" s="14">
        <f t="array" ref="H28">INDEX($E$49:$O$282,MATCH(H$25&amp;$B$23,$B$49:$B$282&amp;$D$49:$D$282,0),MATCH($A28,$E$48:$O$48,0))</f>
        <v>1524.3877289706661</v>
      </c>
      <c r="I28" s="14">
        <f t="array" ref="I28">INDEX($E$49:$O$282,MATCH(I$25&amp;$B$23,$B$49:$B$282&amp;$D$49:$D$282,0),MATCH($A28,$E$48:$O$48,0))</f>
        <v>1142.9433699314973</v>
      </c>
      <c r="J28" s="14">
        <f t="array" ref="J28">INDEX($E$49:$O$282,MATCH(J$25&amp;$B$23,$B$49:$B$282&amp;$D$49:$D$282,0),MATCH($A28,$E$48:$O$48,0))</f>
        <v>1524.3877289706661</v>
      </c>
      <c r="K28" s="14" t="e">
        <f t="array" ref="K28">INDEX($E$49:$O$282,MATCH(K$25&amp;$B$23,$B$49:$B$282&amp;$D$49:$D$282,0),MATCH($A28,$E$48:$O$48,0))</f>
        <v>#N/A</v>
      </c>
      <c r="L28" s="14" t="e">
        <f t="array" ref="L28">INDEX($E$49:$O$282,MATCH(L$25&amp;$B$23,$B$49:$B$282&amp;$D$49:$D$282,0),MATCH($A28,$E$48:$O$48,0))</f>
        <v>#N/A</v>
      </c>
      <c r="M28" s="14" t="e">
        <f t="array" ref="M28">INDEX($E$49:$O$282,MATCH(M$25&amp;$B$23,$B$49:$B$282&amp;$D$49:$D$282,0),MATCH($A28,$E$48:$O$48,0))</f>
        <v>#N/A</v>
      </c>
    </row>
    <row r="29" spans="1:13" x14ac:dyDescent="0.3">
      <c r="A29" s="3">
        <v>2040</v>
      </c>
      <c r="B29" s="14">
        <f t="array" ref="B29">INDEX($E$49:$O$282,MATCH(B$25&amp;$B$23,$B$49:$B$282&amp;$D$49:$D$282,0),MATCH($A29,$E$48:$O$48,0))</f>
        <v>2331.2345207526619</v>
      </c>
      <c r="C29" s="14">
        <f t="array" ref="C29">INDEX($E$49:$O$282,MATCH(C$25&amp;$B$23,$B$49:$B$282&amp;$D$49:$D$282,0),MATCH($A29,$E$48:$O$48,0))</f>
        <v>2402.1458364691794</v>
      </c>
      <c r="D29" s="14">
        <f t="array" ref="D29">INDEX($E$49:$O$282,MATCH(D$25&amp;$B$23,$B$49:$B$282&amp;$D$49:$D$282,0),MATCH($A29,$E$48:$O$48,0))</f>
        <v>2252.7129147010387</v>
      </c>
      <c r="E29" s="14">
        <f t="array" ref="E29">INDEX($E$49:$O$282,MATCH(E$25&amp;$B$23,$B$49:$B$282&amp;$D$49:$D$282,0),MATCH($A29,$E$48:$O$48,0))</f>
        <v>1912.3966805555337</v>
      </c>
      <c r="F29" s="14">
        <f t="array" ref="F29">INDEX($E$49:$O$282,MATCH(F$25&amp;$B$23,$B$49:$B$282&amp;$D$49:$D$282,0),MATCH($A29,$E$48:$O$48,0))</f>
        <v>1814.1615937497345</v>
      </c>
      <c r="G29" s="14">
        <f t="array" ref="G29">INDEX($E$49:$O$282,MATCH(G$25&amp;$B$23,$B$49:$B$282&amp;$D$49:$D$282,0),MATCH($A29,$E$48:$O$48,0))</f>
        <v>919.82704981495954</v>
      </c>
      <c r="H29" s="14">
        <f t="array" ref="H29">INDEX($E$49:$O$282,MATCH(H$25&amp;$B$23,$B$49:$B$282&amp;$D$49:$D$282,0),MATCH($A29,$E$48:$O$48,0))</f>
        <v>1288.6427680285008</v>
      </c>
      <c r="I29" s="14">
        <f t="array" ref="I29">INDEX($E$49:$O$282,MATCH(I$25&amp;$B$23,$B$49:$B$282&amp;$D$49:$D$282,0),MATCH($A29,$E$48:$O$48,0))</f>
        <v>1404.0712932594606</v>
      </c>
      <c r="J29" s="14">
        <f t="array" ref="J29">INDEX($E$49:$O$282,MATCH(J$25&amp;$B$23,$B$49:$B$282&amp;$D$49:$D$282,0),MATCH($A29,$E$48:$O$48,0))</f>
        <v>917.04686310395698</v>
      </c>
      <c r="K29" s="14" t="e">
        <f t="array" ref="K29">INDEX($E$49:$O$282,MATCH(K$25&amp;$B$23,$B$49:$B$282&amp;$D$49:$D$282,0),MATCH($A29,$E$48:$O$48,0))</f>
        <v>#N/A</v>
      </c>
      <c r="L29" s="14" t="e">
        <f t="array" ref="L29">INDEX($E$49:$O$282,MATCH(L$25&amp;$B$23,$B$49:$B$282&amp;$D$49:$D$282,0),MATCH($A29,$E$48:$O$48,0))</f>
        <v>#N/A</v>
      </c>
      <c r="M29" s="14" t="e">
        <f t="array" ref="M29">INDEX($E$49:$O$282,MATCH(M$25&amp;$B$23,$B$49:$B$282&amp;$D$49:$D$282,0),MATCH($A29,$E$48:$O$48,0))</f>
        <v>#N/A</v>
      </c>
    </row>
    <row r="30" spans="1:13" x14ac:dyDescent="0.3">
      <c r="A30" s="3">
        <v>2050</v>
      </c>
      <c r="B30" s="14">
        <f t="array" ref="B30">INDEX($E$49:$O$282,MATCH(B$25&amp;$B$23,$B$49:$B$282&amp;$D$49:$D$282,0),MATCH($A30,$E$48:$O$48,0))</f>
        <v>3073.9401117142315</v>
      </c>
      <c r="C30" s="14">
        <f t="array" ref="C30">INDEX($E$49:$O$282,MATCH(C$25&amp;$B$23,$B$49:$B$282&amp;$D$49:$D$282,0),MATCH($A30,$E$48:$O$48,0))</f>
        <v>3065.0575528404511</v>
      </c>
      <c r="D30" s="14">
        <f t="array" ref="D30">INDEX($E$49:$O$282,MATCH(D$25&amp;$B$23,$B$49:$B$282&amp;$D$49:$D$282,0),MATCH($A30,$E$48:$O$48,0))</f>
        <v>2962.9407229908252</v>
      </c>
      <c r="E30" s="14">
        <f t="array" ref="E30">INDEX($E$49:$O$282,MATCH(E$25&amp;$B$23,$B$49:$B$282&amp;$D$49:$D$282,0),MATCH($A30,$E$48:$O$48,0))</f>
        <v>2357.2706036195209</v>
      </c>
      <c r="F30" s="14">
        <f t="array" ref="F30">INDEX($E$49:$O$282,MATCH(F$25&amp;$B$23,$B$49:$B$282&amp;$D$49:$D$282,0),MATCH($A30,$E$48:$O$48,0))</f>
        <v>1988.8280093051569</v>
      </c>
      <c r="G30" s="14">
        <f t="array" ref="G30">INDEX($E$49:$O$282,MATCH(G$25&amp;$B$23,$B$49:$B$282&amp;$D$49:$D$282,0),MATCH($A30,$E$48:$O$48,0))</f>
        <v>1400.9216632020436</v>
      </c>
      <c r="H30" s="14">
        <f t="array" ref="H30">INDEX($E$49:$O$282,MATCH(H$25&amp;$B$23,$B$49:$B$282&amp;$D$49:$D$282,0),MATCH($A30,$E$48:$O$48,0))</f>
        <v>1633.5432139162797</v>
      </c>
      <c r="I30" s="14">
        <f t="array" ref="I30">INDEX($E$49:$O$282,MATCH(I$25&amp;$B$23,$B$49:$B$282&amp;$D$49:$D$282,0),MATCH($A30,$E$48:$O$48,0))</f>
        <v>1491.7039938532398</v>
      </c>
      <c r="J30" s="14">
        <f t="array" ref="J30">INDEX($E$49:$O$282,MATCH(J$25&amp;$B$23,$B$49:$B$282&amp;$D$49:$D$282,0),MATCH($A30,$E$48:$O$48,0))</f>
        <v>1193.5946690720878</v>
      </c>
      <c r="K30" s="14" t="e">
        <f t="array" ref="K30">INDEX($E$49:$O$282,MATCH(K$25&amp;$B$23,$B$49:$B$282&amp;$D$49:$D$282,0),MATCH($A30,$E$48:$O$48,0))</f>
        <v>#N/A</v>
      </c>
      <c r="L30" s="14" t="e">
        <f t="array" ref="L30">INDEX($E$49:$O$282,MATCH(L$25&amp;$B$23,$B$49:$B$282&amp;$D$49:$D$282,0),MATCH($A30,$E$48:$O$48,0))</f>
        <v>#N/A</v>
      </c>
      <c r="M30" s="14" t="e">
        <f t="array" ref="M30">INDEX($E$49:$O$282,MATCH(M$25&amp;$B$23,$B$49:$B$282&amp;$D$49:$D$282,0),MATCH($A30,$E$48:$O$48,0))</f>
        <v>#N/A</v>
      </c>
    </row>
    <row r="31" spans="1:13" x14ac:dyDescent="0.3">
      <c r="A31" s="3">
        <v>2060</v>
      </c>
      <c r="B31" s="14">
        <f t="array" ref="B31">INDEX($E$49:$O$282,MATCH(B$25&amp;$B$23,$B$49:$B$282&amp;$D$49:$D$282,0),MATCH($A31,$E$48:$O$48,0))</f>
        <v>1752.3569690334552</v>
      </c>
      <c r="C31" s="14">
        <f t="array" ref="C31">INDEX($E$49:$O$282,MATCH(C$25&amp;$B$23,$B$49:$B$282&amp;$D$49:$D$282,0),MATCH($A31,$E$48:$O$48,0))</f>
        <v>1842.7888638877664</v>
      </c>
      <c r="D31" s="14">
        <f t="array" ref="D31">INDEX($E$49:$O$282,MATCH(D$25&amp;$B$23,$B$49:$B$282&amp;$D$49:$D$282,0),MATCH($A31,$E$48:$O$48,0))</f>
        <v>1783.6758079482206</v>
      </c>
      <c r="E31" s="14">
        <f t="array" ref="E31">INDEX($E$49:$O$282,MATCH(E$25&amp;$B$23,$B$49:$B$282&amp;$D$49:$D$282,0),MATCH($A31,$E$48:$O$48,0))</f>
        <v>1064.1091124871357</v>
      </c>
      <c r="F31" s="14">
        <f t="array" ref="F31">INDEX($E$49:$O$282,MATCH(F$25&amp;$B$23,$B$49:$B$282&amp;$D$49:$D$282,0),MATCH($A31,$E$48:$O$48,0))</f>
        <v>933.55903251069265</v>
      </c>
      <c r="G31" s="14">
        <f t="array" ref="G31">INDEX($E$49:$O$282,MATCH(G$25&amp;$B$23,$B$49:$B$282&amp;$D$49:$D$282,0),MATCH($A31,$E$48:$O$48,0))</f>
        <v>1524.961749124516</v>
      </c>
      <c r="H31" s="14">
        <f t="array" ref="H31">INDEX($E$49:$O$282,MATCH(H$25&amp;$B$23,$B$49:$B$282&amp;$D$49:$D$282,0),MATCH($A31,$E$48:$O$48,0))</f>
        <v>1179.6675889615622</v>
      </c>
      <c r="I31" s="14">
        <f t="array" ref="I31">INDEX($E$49:$O$282,MATCH(I$25&amp;$B$23,$B$49:$B$282&amp;$D$49:$D$282,0),MATCH($A31,$E$48:$O$48,0))</f>
        <v>522.11839795991</v>
      </c>
      <c r="J31" s="14">
        <f t="array" ref="J31">INDEX($E$49:$O$282,MATCH(J$25&amp;$B$23,$B$49:$B$282&amp;$D$49:$D$282,0),MATCH($A31,$E$48:$O$48,0))</f>
        <v>1537.4197123191402</v>
      </c>
      <c r="K31" s="14" t="e">
        <f t="array" ref="K31">INDEX($E$49:$O$282,MATCH(K$25&amp;$B$23,$B$49:$B$282&amp;$D$49:$D$282,0),MATCH($A31,$E$48:$O$48,0))</f>
        <v>#N/A</v>
      </c>
      <c r="L31" s="14" t="e">
        <f t="array" ref="L31">INDEX($E$49:$O$282,MATCH(L$25&amp;$B$23,$B$49:$B$282&amp;$D$49:$D$282,0),MATCH($A31,$E$48:$O$48,0))</f>
        <v>#N/A</v>
      </c>
      <c r="M31" s="14" t="e">
        <f t="array" ref="M31">INDEX($E$49:$O$282,MATCH(M$25&amp;$B$23,$B$49:$B$282&amp;$D$49:$D$282,0),MATCH($A31,$E$48:$O$48,0))</f>
        <v>#N/A</v>
      </c>
    </row>
    <row r="32" spans="1:13" x14ac:dyDescent="0.3">
      <c r="A32" s="3">
        <v>2070</v>
      </c>
      <c r="B32" s="14">
        <f t="array" ref="B32">INDEX($E$49:$O$282,MATCH(B$25&amp;$B$23,$B$49:$B$282&amp;$D$49:$D$282,0),MATCH($A32,$E$48:$O$48,0))</f>
        <v>2037.4111911801626</v>
      </c>
      <c r="C32" s="14">
        <f t="array" ref="C32">INDEX($E$49:$O$282,MATCH(C$25&amp;$B$23,$B$49:$B$282&amp;$D$49:$D$282,0),MATCH($A32,$E$48:$O$48,0))</f>
        <v>2016.7695215114488</v>
      </c>
      <c r="D32" s="14">
        <f t="array" ref="D32">INDEX($E$49:$O$282,MATCH(D$25&amp;$B$23,$B$49:$B$282&amp;$D$49:$D$282,0),MATCH($A32,$E$48:$O$48,0))</f>
        <v>2123.0481675706733</v>
      </c>
      <c r="E32" s="14">
        <f t="array" ref="E32">INDEX($E$49:$O$282,MATCH(E$25&amp;$B$23,$B$49:$B$282&amp;$D$49:$D$282,0),MATCH($A32,$E$48:$O$48,0))</f>
        <v>444.43525654250777</v>
      </c>
      <c r="F32" s="14">
        <f t="array" ref="F32">INDEX($E$49:$O$282,MATCH(F$25&amp;$B$23,$B$49:$B$282&amp;$D$49:$D$282,0),MATCH($A32,$E$48:$O$48,0))</f>
        <v>598.78659472190884</v>
      </c>
      <c r="G32" s="14">
        <f t="array" ref="G32">INDEX($E$49:$O$282,MATCH(G$25&amp;$B$23,$B$49:$B$282&amp;$D$49:$D$282,0),MATCH($A32,$E$48:$O$48,0))</f>
        <v>289.48256105563644</v>
      </c>
      <c r="H32" s="14">
        <f t="array" ref="H32">INDEX($E$49:$O$282,MATCH(H$25&amp;$B$23,$B$49:$B$282&amp;$D$49:$D$282,0),MATCH($A32,$E$48:$O$48,0))</f>
        <v>1612.4067317967999</v>
      </c>
      <c r="I32" s="14">
        <f t="array" ref="I32">INDEX($E$49:$O$282,MATCH(I$25&amp;$B$23,$B$49:$B$282&amp;$D$49:$D$282,0),MATCH($A32,$E$48:$O$48,0))</f>
        <v>658.37347541465078</v>
      </c>
      <c r="J32" s="14">
        <f t="array" ref="J32">INDEX($E$49:$O$282,MATCH(J$25&amp;$B$23,$B$49:$B$282&amp;$D$49:$D$282,0),MATCH($A32,$E$48:$O$48,0))</f>
        <v>508.42879186885472</v>
      </c>
      <c r="K32" s="14" t="e">
        <f t="array" ref="K32">INDEX($E$49:$O$282,MATCH(K$25&amp;$B$23,$B$49:$B$282&amp;$D$49:$D$282,0),MATCH($A32,$E$48:$O$48,0))</f>
        <v>#N/A</v>
      </c>
      <c r="L32" s="14" t="e">
        <f t="array" ref="L32">INDEX($E$49:$O$282,MATCH(L$25&amp;$B$23,$B$49:$B$282&amp;$D$49:$D$282,0),MATCH($A32,$E$48:$O$48,0))</f>
        <v>#N/A</v>
      </c>
      <c r="M32" s="14" t="e">
        <f t="array" ref="M32">INDEX($E$49:$O$282,MATCH(M$25&amp;$B$23,$B$49:$B$282&amp;$D$49:$D$282,0),MATCH($A32,$E$48:$O$48,0))</f>
        <v>#N/A</v>
      </c>
    </row>
    <row r="33" spans="1:26" x14ac:dyDescent="0.3">
      <c r="A33" s="3">
        <v>2080</v>
      </c>
      <c r="B33" s="14">
        <f t="array" ref="B33">INDEX($E$49:$O$282,MATCH(B$25&amp;$B$23,$B$49:$B$282&amp;$D$49:$D$282,0),MATCH($A33,$E$48:$O$48,0))</f>
        <v>2407.567427501253</v>
      </c>
      <c r="C33" s="14">
        <f t="array" ref="C33">INDEX($E$49:$O$282,MATCH(C$25&amp;$B$23,$B$49:$B$282&amp;$D$49:$D$282,0),MATCH($A33,$E$48:$O$48,0))</f>
        <v>2405.4458122252545</v>
      </c>
      <c r="D33" s="14">
        <f t="array" ref="D33">INDEX($E$49:$O$282,MATCH(D$25&amp;$B$23,$B$49:$B$282&amp;$D$49:$D$282,0),MATCH($A33,$E$48:$O$48,0))</f>
        <v>2251.3169776181144</v>
      </c>
      <c r="E33" s="14">
        <f t="array" ref="E33">INDEX($E$49:$O$282,MATCH(E$25&amp;$B$23,$B$49:$B$282&amp;$D$49:$D$282,0),MATCH($A33,$E$48:$O$48,0))</f>
        <v>294.73263197066302</v>
      </c>
      <c r="F33" s="14">
        <f t="array" ref="F33">INDEX($E$49:$O$282,MATCH(F$25&amp;$B$23,$B$49:$B$282&amp;$D$49:$D$282,0),MATCH($A33,$E$48:$O$48,0))</f>
        <v>416.62152325979014</v>
      </c>
      <c r="G33" s="14">
        <f t="array" ref="G33">INDEX($E$49:$O$282,MATCH(G$25&amp;$B$23,$B$49:$B$282&amp;$D$49:$D$282,0),MATCH($A33,$E$48:$O$48,0))</f>
        <v>712.27835915800051</v>
      </c>
      <c r="H33" s="14">
        <f t="array" ref="H33">INDEX($E$49:$O$282,MATCH(H$25&amp;$B$23,$B$49:$B$282&amp;$D$49:$D$282,0),MATCH($A33,$E$48:$O$48,0))</f>
        <v>1348.6639423656325</v>
      </c>
      <c r="I33" s="14">
        <f t="array" ref="I33">INDEX($E$49:$O$282,MATCH(I$25&amp;$B$23,$B$49:$B$282&amp;$D$49:$D$282,0),MATCH($A33,$E$48:$O$48,0))</f>
        <v>805.33164419772004</v>
      </c>
      <c r="J33" s="14">
        <f t="array" ref="J33">INDEX($E$49:$O$282,MATCH(J$25&amp;$B$23,$B$49:$B$282&amp;$D$49:$D$282,0),MATCH($A33,$E$48:$O$48,0))</f>
        <v>711.0462147692275</v>
      </c>
      <c r="K33" s="14" t="e">
        <f t="array" ref="K33">INDEX($E$49:$O$282,MATCH(K$25&amp;$B$23,$B$49:$B$282&amp;$D$49:$D$282,0),MATCH($A33,$E$48:$O$48,0))</f>
        <v>#N/A</v>
      </c>
      <c r="L33" s="14" t="e">
        <f t="array" ref="L33">INDEX($E$49:$O$282,MATCH(L$25&amp;$B$23,$B$49:$B$282&amp;$D$49:$D$282,0),MATCH($A33,$E$48:$O$48,0))</f>
        <v>#N/A</v>
      </c>
      <c r="M33" s="14" t="e">
        <f t="array" ref="M33">INDEX($E$49:$O$282,MATCH(M$25&amp;$B$23,$B$49:$B$282&amp;$D$49:$D$282,0),MATCH($A33,$E$48:$O$48,0))</f>
        <v>#N/A</v>
      </c>
    </row>
    <row r="34" spans="1:26" x14ac:dyDescent="0.3">
      <c r="A34" s="3">
        <v>2090</v>
      </c>
      <c r="B34" s="14">
        <f t="array" ref="B34">INDEX($E$49:$O$282,MATCH(B$25&amp;$B$23,$B$49:$B$282&amp;$D$49:$D$282,0),MATCH($A34,$E$48:$O$48,0))</f>
        <v>2523.9186151281338</v>
      </c>
      <c r="C34" s="14">
        <f t="array" ref="C34">INDEX($E$49:$O$282,MATCH(C$25&amp;$B$23,$B$49:$B$282&amp;$D$49:$D$282,0),MATCH($A34,$E$48:$O$48,0))</f>
        <v>2503.2606148810305</v>
      </c>
      <c r="D34" s="14">
        <f t="array" ref="D34">INDEX($E$49:$O$282,MATCH(D$25&amp;$B$23,$B$49:$B$282&amp;$D$49:$D$282,0),MATCH($A34,$E$48:$O$48,0))</f>
        <v>2440.3158027997542</v>
      </c>
      <c r="E34" s="14">
        <f t="array" ref="E34">INDEX($E$49:$O$282,MATCH(E$25&amp;$B$23,$B$49:$B$282&amp;$D$49:$D$282,0),MATCH($A34,$E$48:$O$48,0))</f>
        <v>740.1830540065115</v>
      </c>
      <c r="F34" s="14">
        <f t="array" ref="F34">INDEX($E$49:$O$282,MATCH(F$25&amp;$B$23,$B$49:$B$282&amp;$D$49:$D$282,0),MATCH($A34,$E$48:$O$48,0))</f>
        <v>784.027565809669</v>
      </c>
      <c r="G34" s="14">
        <f t="array" ref="G34">INDEX($E$49:$O$282,MATCH(G$25&amp;$B$23,$B$49:$B$282&amp;$D$49:$D$282,0),MATCH($A34,$E$48:$O$48,0))</f>
        <v>845.57336331755641</v>
      </c>
      <c r="H34" s="14">
        <f t="array" ref="H34">INDEX($E$49:$O$282,MATCH(H$25&amp;$B$23,$B$49:$B$282&amp;$D$49:$D$282,0),MATCH($A34,$E$48:$O$48,0))</f>
        <v>1288.2617760164344</v>
      </c>
      <c r="I34" s="14">
        <f t="array" ref="I34">INDEX($E$49:$O$282,MATCH(I$25&amp;$B$23,$B$49:$B$282&amp;$D$49:$D$282,0),MATCH($A34,$E$48:$O$48,0))</f>
        <v>1588.6458974171817</v>
      </c>
      <c r="J34" s="14">
        <f t="array" ref="J34">INDEX($E$49:$O$282,MATCH(J$25&amp;$B$23,$B$49:$B$282&amp;$D$49:$D$282,0),MATCH($A34,$E$48:$O$48,0))</f>
        <v>1454.9504243560427</v>
      </c>
      <c r="K34" s="14" t="e">
        <f t="array" ref="K34">INDEX($E$49:$O$282,MATCH(K$25&amp;$B$23,$B$49:$B$282&amp;$D$49:$D$282,0),MATCH($A34,$E$48:$O$48,0))</f>
        <v>#N/A</v>
      </c>
      <c r="L34" s="14" t="e">
        <f t="array" ref="L34">INDEX($E$49:$O$282,MATCH(L$25&amp;$B$23,$B$49:$B$282&amp;$D$49:$D$282,0),MATCH($A34,$E$48:$O$48,0))</f>
        <v>#N/A</v>
      </c>
      <c r="M34" s="14" t="e">
        <f t="array" ref="M34">INDEX($E$49:$O$282,MATCH(M$25&amp;$B$23,$B$49:$B$282&amp;$D$49:$D$282,0),MATCH($A34,$E$48:$O$48,0))</f>
        <v>#N/A</v>
      </c>
    </row>
    <row r="35" spans="1:26" x14ac:dyDescent="0.3">
      <c r="A35" s="3">
        <v>2100</v>
      </c>
      <c r="B35" s="14">
        <f t="array" ref="B35">INDEX($E$49:$O$282,MATCH(B$25&amp;$B$23,$B$49:$B$282&amp;$D$49:$D$282,0),MATCH($A35,$E$48:$O$48,0))</f>
        <v>4072.3555624811697</v>
      </c>
      <c r="C35" s="14">
        <f t="array" ref="C35">INDEX($E$49:$O$282,MATCH(C$25&amp;$B$23,$B$49:$B$282&amp;$D$49:$D$282,0),MATCH($A35,$E$48:$O$48,0))</f>
        <v>4039.910025561192</v>
      </c>
      <c r="D35" s="14">
        <f t="array" ref="D35">INDEX($E$49:$O$282,MATCH(D$25&amp;$B$23,$B$49:$B$282&amp;$D$49:$D$282,0),MATCH($A35,$E$48:$O$48,0))</f>
        <v>4038.0778824058461</v>
      </c>
      <c r="E35" s="14">
        <f t="array" ref="E35">INDEX($E$49:$O$282,MATCH(E$25&amp;$B$23,$B$49:$B$282&amp;$D$49:$D$282,0),MATCH($A35,$E$48:$O$48,0))</f>
        <v>1469.9957686509338</v>
      </c>
      <c r="F35" s="14">
        <f t="array" ref="F35">INDEX($E$49:$O$282,MATCH(F$25&amp;$B$23,$B$49:$B$282&amp;$D$49:$D$282,0),MATCH($A35,$E$48:$O$48,0))</f>
        <v>1623.430159697788</v>
      </c>
      <c r="G35" s="14">
        <f t="array" ref="G35">INDEX($E$49:$O$282,MATCH(G$25&amp;$B$23,$B$49:$B$282&amp;$D$49:$D$282,0),MATCH($A35,$E$48:$O$48,0))</f>
        <v>1801.0586361389182</v>
      </c>
      <c r="H35" s="14">
        <f t="array" ref="H35">INDEX($E$49:$O$282,MATCH(H$25&amp;$B$23,$B$49:$B$282&amp;$D$49:$D$282,0),MATCH($A35,$E$48:$O$48,0))</f>
        <v>1096.0177487369635</v>
      </c>
      <c r="I35" s="14">
        <f t="array" ref="I35">INDEX($E$49:$O$282,MATCH(I$25&amp;$B$23,$B$49:$B$282&amp;$D$49:$D$282,0),MATCH($A35,$E$48:$O$48,0))</f>
        <v>2315.0344844448568</v>
      </c>
      <c r="J35" s="14">
        <f t="array" ref="J35">INDEX($E$49:$O$282,MATCH(J$25&amp;$B$23,$B$49:$B$282&amp;$D$49:$D$282,0),MATCH($A35,$E$48:$O$48,0))</f>
        <v>2044.1392864428308</v>
      </c>
      <c r="K35" s="14" t="e">
        <f t="array" ref="K35">INDEX($E$49:$O$282,MATCH(K$25&amp;$B$23,$B$49:$B$282&amp;$D$49:$D$282,0),MATCH($A35,$E$48:$O$48,0))</f>
        <v>#N/A</v>
      </c>
      <c r="L35" s="14" t="e">
        <f t="array" ref="L35">INDEX($E$49:$O$282,MATCH(L$25&amp;$B$23,$B$49:$B$282&amp;$D$49:$D$282,0),MATCH($A35,$E$48:$O$48,0))</f>
        <v>#N/A</v>
      </c>
      <c r="M35" s="14" t="e">
        <f t="array" ref="M35">INDEX($E$49:$O$282,MATCH(M$25&amp;$B$23,$B$49:$B$282&amp;$D$49:$D$282,0),MATCH($A35,$E$48:$O$48,0))</f>
        <v>#N/A</v>
      </c>
    </row>
    <row r="37" spans="1:26" x14ac:dyDescent="0.3">
      <c r="A37" s="3" t="s">
        <v>192</v>
      </c>
      <c r="B37" s="3">
        <v>2012</v>
      </c>
      <c r="C37" s="3">
        <v>2030</v>
      </c>
      <c r="D37" s="3">
        <v>2030</v>
      </c>
      <c r="E37" s="3">
        <v>2030</v>
      </c>
      <c r="F37" s="3">
        <v>2030</v>
      </c>
      <c r="G37" s="3">
        <v>2030</v>
      </c>
      <c r="H37" s="3">
        <v>2030</v>
      </c>
      <c r="I37" s="3">
        <v>2030</v>
      </c>
      <c r="J37" s="3">
        <v>2030</v>
      </c>
      <c r="K37" s="3">
        <v>2030</v>
      </c>
      <c r="L37" s="3">
        <v>2030</v>
      </c>
      <c r="M37" s="3">
        <v>2030</v>
      </c>
      <c r="N37" s="3">
        <v>2030</v>
      </c>
      <c r="O37" s="3">
        <v>2050</v>
      </c>
      <c r="P37" s="3">
        <v>2050</v>
      </c>
      <c r="Q37" s="3">
        <v>2050</v>
      </c>
      <c r="R37" s="3">
        <v>2050</v>
      </c>
      <c r="S37" s="3">
        <v>2050</v>
      </c>
      <c r="T37" s="3">
        <v>2050</v>
      </c>
      <c r="U37" s="3">
        <v>2050</v>
      </c>
      <c r="V37" s="3">
        <v>2050</v>
      </c>
      <c r="W37" s="3">
        <v>2050</v>
      </c>
      <c r="X37" s="3">
        <v>2050</v>
      </c>
      <c r="Y37" s="3">
        <v>2050</v>
      </c>
      <c r="Z37" s="3">
        <v>2050</v>
      </c>
    </row>
    <row r="38" spans="1:26" x14ac:dyDescent="0.3">
      <c r="B38" s="3">
        <v>2012</v>
      </c>
      <c r="C38" s="786">
        <v>2030</v>
      </c>
      <c r="D38" s="786"/>
      <c r="E38" s="786"/>
      <c r="F38" s="786"/>
      <c r="G38" s="786"/>
      <c r="H38" s="786"/>
      <c r="I38" s="786"/>
      <c r="J38" s="786"/>
      <c r="K38" s="786"/>
      <c r="L38" s="786"/>
      <c r="M38" s="786"/>
      <c r="N38" s="786"/>
      <c r="O38" s="786">
        <v>2050</v>
      </c>
      <c r="P38" s="786"/>
      <c r="Q38" s="786"/>
      <c r="R38" s="786"/>
      <c r="S38" s="786"/>
      <c r="T38" s="786"/>
      <c r="U38" s="786"/>
      <c r="V38" s="786"/>
      <c r="W38" s="786"/>
      <c r="X38" s="786"/>
      <c r="Y38" s="786"/>
      <c r="Z38" s="786"/>
    </row>
    <row r="39" spans="1:26" x14ac:dyDescent="0.3">
      <c r="A39" s="3" t="s">
        <v>252</v>
      </c>
      <c r="B39" s="3" t="str">
        <f>$B$25</f>
        <v>Vivid_0A</v>
      </c>
      <c r="C39" s="3" t="str">
        <f>B$25</f>
        <v>Vivid_0A</v>
      </c>
      <c r="D39" s="3" t="str">
        <f t="shared" ref="D39:N39" si="2">C$25</f>
        <v>Vivid_0A_BAU</v>
      </c>
      <c r="E39" s="3" t="str">
        <f t="shared" si="2"/>
        <v>Vivid_0B</v>
      </c>
      <c r="F39" s="3" t="str">
        <f t="shared" si="2"/>
        <v>Vivid_1</v>
      </c>
      <c r="G39" s="3" t="str">
        <f t="shared" si="2"/>
        <v>Vivid_2</v>
      </c>
      <c r="H39" s="3" t="str">
        <f t="shared" si="2"/>
        <v>Vivid_13</v>
      </c>
      <c r="I39" s="3" t="str">
        <f t="shared" si="2"/>
        <v>Vivid_14</v>
      </c>
      <c r="J39" s="3" t="str">
        <f t="shared" si="2"/>
        <v>Vivid_25</v>
      </c>
      <c r="K39" s="3" t="str">
        <f t="shared" si="2"/>
        <v>Vivid_26</v>
      </c>
      <c r="L39" s="3" t="str">
        <f t="shared" si="2"/>
        <v/>
      </c>
      <c r="M39" s="3" t="str">
        <f t="shared" si="2"/>
        <v/>
      </c>
      <c r="N39" s="3" t="str">
        <f t="shared" si="2"/>
        <v/>
      </c>
      <c r="O39" s="3" t="str">
        <f>B$25</f>
        <v>Vivid_0A</v>
      </c>
      <c r="P39" s="3" t="str">
        <f t="shared" ref="P39:Z39" si="3">C$25</f>
        <v>Vivid_0A_BAU</v>
      </c>
      <c r="Q39" s="3" t="str">
        <f t="shared" si="3"/>
        <v>Vivid_0B</v>
      </c>
      <c r="R39" s="3" t="str">
        <f t="shared" si="3"/>
        <v>Vivid_1</v>
      </c>
      <c r="S39" s="3" t="str">
        <f t="shared" si="3"/>
        <v>Vivid_2</v>
      </c>
      <c r="T39" s="3" t="str">
        <f t="shared" si="3"/>
        <v>Vivid_13</v>
      </c>
      <c r="U39" s="3" t="str">
        <f t="shared" si="3"/>
        <v>Vivid_14</v>
      </c>
      <c r="V39" s="3" t="str">
        <f t="shared" si="3"/>
        <v>Vivid_25</v>
      </c>
      <c r="W39" s="3" t="str">
        <f t="shared" si="3"/>
        <v>Vivid_26</v>
      </c>
      <c r="X39" s="3" t="str">
        <f t="shared" si="3"/>
        <v/>
      </c>
      <c r="Y39" s="3" t="str">
        <f t="shared" si="3"/>
        <v/>
      </c>
      <c r="Z39" s="3" t="str">
        <f t="shared" si="3"/>
        <v/>
      </c>
    </row>
    <row r="40" spans="1:26" x14ac:dyDescent="0.3">
      <c r="A40" s="3" t="s">
        <v>325</v>
      </c>
      <c r="B40" s="14">
        <f t="array" ref="B40">INDEX($E$49:$O$282,MATCH(B$39&amp;$A40,$B$49:$B$282&amp;$D$49:$D$282,0),MATCH(B$37,$E$48:$O$48,0))</f>
        <v>40.935839939176851</v>
      </c>
      <c r="C40" s="14">
        <f t="array" ref="C40">INDEX($E$49:$O$282,MATCH(C$39&amp;$A40,$B$49:$B$282&amp;$D$49:$D$282,0),MATCH(C$37,$E$48:$O$48,0))</f>
        <v>2287.9433290414941</v>
      </c>
      <c r="D40" s="14">
        <f t="array" ref="D40">INDEX($E$49:$O$282,MATCH(D$39&amp;$A40,$B$49:$B$282&amp;$D$49:$D$282,0),MATCH(D$37,$E$48:$O$48,0))</f>
        <v>2081.42632169014</v>
      </c>
      <c r="E40" s="14">
        <f t="array" ref="E40">INDEX($E$49:$O$282,MATCH(E$39&amp;$A40,$B$49:$B$282&amp;$D$49:$D$282,0),MATCH(E$37,$E$48:$O$48,0))</f>
        <v>1524.3877289706661</v>
      </c>
      <c r="F40" s="14">
        <f t="array" ref="F40">INDEX($E$49:$O$282,MATCH(F$39&amp;$A40,$B$49:$B$282&amp;$D$49:$D$282,0),MATCH(F$37,$E$48:$O$48,0))</f>
        <v>1250.3938066101891</v>
      </c>
      <c r="G40" s="14">
        <f t="array" ref="G40">INDEX($E$49:$O$282,MATCH(G$39&amp;$A40,$B$49:$B$282&amp;$D$49:$D$282,0),MATCH(G$37,$E$48:$O$48,0))</f>
        <v>1524.3877289706661</v>
      </c>
      <c r="H40" s="14">
        <f t="array" ref="H40">INDEX($E$49:$O$282,MATCH(H$39&amp;$A40,$B$49:$B$282&amp;$D$49:$D$282,0),MATCH(H$37,$E$48:$O$48,0))</f>
        <v>786.200296362833</v>
      </c>
      <c r="I40" s="14">
        <f t="array" ref="I40">INDEX($E$49:$O$282,MATCH(I$39&amp;$A40,$B$49:$B$282&amp;$D$49:$D$282,0),MATCH(I$37,$E$48:$O$48,0))</f>
        <v>1524.3877289706661</v>
      </c>
      <c r="J40" s="14">
        <f t="array" ref="J40">INDEX($E$49:$O$282,MATCH(J$39&amp;$A40,$B$49:$B$282&amp;$D$49:$D$282,0),MATCH(J$37,$E$48:$O$48,0))</f>
        <v>1142.9433699314973</v>
      </c>
      <c r="K40" s="14">
        <f t="array" ref="K40">INDEX($E$49:$O$282,MATCH(K$39&amp;$A40,$B$49:$B$282&amp;$D$49:$D$282,0),MATCH(K$37,$E$48:$O$48,0))</f>
        <v>1524.3877289706661</v>
      </c>
      <c r="L40" s="14" t="e">
        <f t="array" ref="L40">INDEX($E$49:$O$282,MATCH(L$39&amp;$A40,$B$49:$B$282&amp;$D$49:$D$282,0),MATCH(L$37,$E$48:$O$48,0))</f>
        <v>#N/A</v>
      </c>
      <c r="M40" s="14" t="e">
        <f t="array" ref="M40">INDEX($E$49:$O$282,MATCH(M$39&amp;$A40,$B$49:$B$282&amp;$D$49:$D$282,0),MATCH(M$37,$E$48:$O$48,0))</f>
        <v>#N/A</v>
      </c>
      <c r="N40" s="14" t="e">
        <f t="array" ref="N40">INDEX($E$49:$O$282,MATCH(N$39&amp;$A40,$B$49:$B$282&amp;$D$49:$D$282,0),MATCH(N$37,$E$48:$O$48,0))</f>
        <v>#N/A</v>
      </c>
      <c r="O40" s="14">
        <f t="array" ref="O40">INDEX($E$49:$O$282,MATCH(O$39&amp;$A40,$B$49:$B$282&amp;$D$49:$D$282,0),MATCH(O$37,$E$48:$O$48,0))</f>
        <v>3073.9401117142315</v>
      </c>
      <c r="P40" s="14">
        <f t="array" ref="P40">INDEX($E$49:$O$282,MATCH(P$39&amp;$A40,$B$49:$B$282&amp;$D$49:$D$282,0),MATCH(P$37,$E$48:$O$48,0))</f>
        <v>3065.0575528404511</v>
      </c>
      <c r="Q40" s="14">
        <f t="array" ref="Q40">INDEX($E$49:$O$282,MATCH(Q$39&amp;$A40,$B$49:$B$282&amp;$D$49:$D$282,0),MATCH(Q$37,$E$48:$O$48,0))</f>
        <v>2962.9407229908252</v>
      </c>
      <c r="R40" s="14">
        <f t="array" ref="R40">INDEX($E$49:$O$282,MATCH(R$39&amp;$A40,$B$49:$B$282&amp;$D$49:$D$282,0),MATCH(R$37,$E$48:$O$48,0))</f>
        <v>2357.2706036195209</v>
      </c>
      <c r="S40" s="14">
        <f t="array" ref="S40">INDEX($E$49:$O$282,MATCH(S$39&amp;$A40,$B$49:$B$282&amp;$D$49:$D$282,0),MATCH(S$37,$E$48:$O$48,0))</f>
        <v>1988.8280093051569</v>
      </c>
      <c r="T40" s="14">
        <f t="array" ref="T40">INDEX($E$49:$O$282,MATCH(T$39&amp;$A40,$B$49:$B$282&amp;$D$49:$D$282,0),MATCH(T$37,$E$48:$O$48,0))</f>
        <v>1400.9216632020436</v>
      </c>
      <c r="U40" s="14">
        <f t="array" ref="U40">INDEX($E$49:$O$282,MATCH(U$39&amp;$A40,$B$49:$B$282&amp;$D$49:$D$282,0),MATCH(U$37,$E$48:$O$48,0))</f>
        <v>1633.5432139162797</v>
      </c>
      <c r="V40" s="14">
        <f t="array" ref="V40">INDEX($E$49:$O$282,MATCH(V$39&amp;$A40,$B$49:$B$282&amp;$D$49:$D$282,0),MATCH(V$37,$E$48:$O$48,0))</f>
        <v>1491.7039938532398</v>
      </c>
      <c r="W40" s="14">
        <f t="array" ref="W40">INDEX($E$49:$O$282,MATCH(W$39&amp;$A40,$B$49:$B$282&amp;$D$49:$D$282,0),MATCH(W$37,$E$48:$O$48,0))</f>
        <v>1193.5946690720878</v>
      </c>
      <c r="X40" s="14" t="e">
        <f t="array" ref="X40">INDEX($E$49:$O$282,MATCH(X$39&amp;$A40,$B$49:$B$282&amp;$D$49:$D$282,0),MATCH(X$37,$E$48:$O$48,0))</f>
        <v>#N/A</v>
      </c>
      <c r="Y40" s="14" t="e">
        <f t="array" ref="Y40">INDEX($E$49:$O$282,MATCH(Y$39&amp;$A40,$B$49:$B$282&amp;$D$49:$D$282,0),MATCH(Y$37,$E$48:$O$48,0))</f>
        <v>#N/A</v>
      </c>
      <c r="Z40" s="14" t="e">
        <f t="array" ref="Z40">INDEX($E$49:$O$282,MATCH(Z$39&amp;$A40,$B$49:$B$282&amp;$D$49:$D$282,0),MATCH(Z$37,$E$48:$O$48,0))</f>
        <v>#N/A</v>
      </c>
    </row>
    <row r="41" spans="1:26" x14ac:dyDescent="0.3">
      <c r="A41" s="3" t="s">
        <v>324</v>
      </c>
      <c r="B41" s="14">
        <f t="array" ref="B41">INDEX($E$49:$O$282,MATCH(B$39&amp;$A41,$B$49:$B$282&amp;$D$49:$D$282,0),MATCH(B$37,$E$48:$O$48,0))</f>
        <v>0</v>
      </c>
      <c r="C41" s="14">
        <f t="array" ref="C41">INDEX($E$49:$O$282,MATCH(C$39&amp;$A41,$B$49:$B$282&amp;$D$49:$D$282,0),MATCH(C$37,$E$48:$O$48,0))</f>
        <v>339.09076507627361</v>
      </c>
      <c r="D41" s="14">
        <f t="array" ref="D41">INDEX($E$49:$O$282,MATCH(D$39&amp;$A41,$B$49:$B$282&amp;$D$49:$D$282,0),MATCH(D$37,$E$48:$O$48,0))</f>
        <v>339.09076507627356</v>
      </c>
      <c r="E41" s="14">
        <f t="array" ref="E41">INDEX($E$49:$O$282,MATCH(E$39&amp;$A41,$B$49:$B$282&amp;$D$49:$D$282,0),MATCH(E$37,$E$48:$O$48,0))</f>
        <v>511.41867088878001</v>
      </c>
      <c r="F41" s="14">
        <f t="array" ref="F41">INDEX($E$49:$O$282,MATCH(F$39&amp;$A41,$B$49:$B$282&amp;$D$49:$D$282,0),MATCH(F$37,$E$48:$O$48,0))</f>
        <v>554.62990308928306</v>
      </c>
      <c r="G41" s="14">
        <f t="array" ref="G41">INDEX($E$49:$O$282,MATCH(G$39&amp;$A41,$B$49:$B$282&amp;$D$49:$D$282,0),MATCH(G$37,$E$48:$O$48,0))</f>
        <v>511.41867088878001</v>
      </c>
      <c r="H41" s="14">
        <f t="array" ref="H41">INDEX($E$49:$O$282,MATCH(H$39&amp;$A41,$B$49:$B$282&amp;$D$49:$D$282,0),MATCH(H$37,$E$48:$O$48,0))</f>
        <v>648.60333079607267</v>
      </c>
      <c r="I41" s="14">
        <f t="array" ref="I41">INDEX($E$49:$O$282,MATCH(I$39&amp;$A41,$B$49:$B$282&amp;$D$49:$D$282,0),MATCH(I$37,$E$48:$O$48,0))</f>
        <v>511.41867088878001</v>
      </c>
      <c r="J41" s="14">
        <f t="array" ref="J41">INDEX($E$49:$O$282,MATCH(J$39&amp;$A41,$B$49:$B$282&amp;$D$49:$D$282,0),MATCH(J$37,$E$48:$O$48,0))</f>
        <v>600.48863309316982</v>
      </c>
      <c r="K41" s="14">
        <f t="array" ref="K41">INDEX($E$49:$O$282,MATCH(K$39&amp;$A41,$B$49:$B$282&amp;$D$49:$D$282,0),MATCH(K$37,$E$48:$O$48,0))</f>
        <v>511.41867088878001</v>
      </c>
      <c r="L41" s="14" t="e">
        <f t="array" ref="L41">INDEX($E$49:$O$282,MATCH(L$39&amp;$A41,$B$49:$B$282&amp;$D$49:$D$282,0),MATCH(L$37,$E$48:$O$48,0))</f>
        <v>#N/A</v>
      </c>
      <c r="M41" s="14" t="e">
        <f t="array" ref="M41">INDEX($E$49:$O$282,MATCH(M$39&amp;$A41,$B$49:$B$282&amp;$D$49:$D$282,0),MATCH(M$37,$E$48:$O$48,0))</f>
        <v>#N/A</v>
      </c>
      <c r="N41" s="14" t="e">
        <f t="array" ref="N41">INDEX($E$49:$O$282,MATCH(N$39&amp;$A41,$B$49:$B$282&amp;$D$49:$D$282,0),MATCH(N$37,$E$48:$O$48,0))</f>
        <v>#N/A</v>
      </c>
      <c r="O41" s="14">
        <f t="array" ref="O41">INDEX($E$49:$O$282,MATCH(O$39&amp;$A41,$B$49:$B$282&amp;$D$49:$D$282,0),MATCH(O$37,$E$48:$O$48,0))</f>
        <v>11415.241132094006</v>
      </c>
      <c r="P41" s="14">
        <f t="array" ref="P41">INDEX($E$49:$O$282,MATCH(P$39&amp;$A41,$B$49:$B$282&amp;$D$49:$D$282,0),MATCH(P$37,$E$48:$O$48,0))</f>
        <v>11309.539995401801</v>
      </c>
      <c r="Q41" s="14">
        <f t="array" ref="Q41">INDEX($E$49:$O$282,MATCH(Q$39&amp;$A41,$B$49:$B$282&amp;$D$49:$D$282,0),MATCH(Q$37,$E$48:$O$48,0))</f>
        <v>12590.519901368216</v>
      </c>
      <c r="R41" s="14">
        <f t="array" ref="R41">INDEX($E$49:$O$282,MATCH(R$39&amp;$A41,$B$49:$B$282&amp;$D$49:$D$282,0),MATCH(R$37,$E$48:$O$48,0))</f>
        <v>13209.691522752013</v>
      </c>
      <c r="S41" s="14">
        <f t="array" ref="S41">INDEX($E$49:$O$282,MATCH(S$39&amp;$A41,$B$49:$B$282&amp;$D$49:$D$282,0),MATCH(S$37,$E$48:$O$48,0))</f>
        <v>12977.476735202006</v>
      </c>
      <c r="T41" s="14">
        <f t="array" ref="T41">INDEX($E$49:$O$282,MATCH(T$39&amp;$A41,$B$49:$B$282&amp;$D$49:$D$282,0),MATCH(T$37,$E$48:$O$48,0))</f>
        <v>10639.841173782937</v>
      </c>
      <c r="U41" s="14">
        <f t="array" ref="U41">INDEX($E$49:$O$282,MATCH(U$39&amp;$A41,$B$49:$B$282&amp;$D$49:$D$282,0),MATCH(U$37,$E$48:$O$48,0))</f>
        <v>5645.7212000528361</v>
      </c>
      <c r="V41" s="14">
        <f t="array" ref="V41">INDEX($E$49:$O$282,MATCH(V$39&amp;$A41,$B$49:$B$282&amp;$D$49:$D$282,0),MATCH(V$37,$E$48:$O$48,0))</f>
        <v>13924.520829408522</v>
      </c>
      <c r="W41" s="14">
        <f t="array" ref="W41">INDEX($E$49:$O$282,MATCH(W$39&amp;$A41,$B$49:$B$282&amp;$D$49:$D$282,0),MATCH(W$37,$E$48:$O$48,0))</f>
        <v>13010.665186049129</v>
      </c>
      <c r="X41" s="14" t="e">
        <f t="array" ref="X41">INDEX($E$49:$O$282,MATCH(X$39&amp;$A41,$B$49:$B$282&amp;$D$49:$D$282,0),MATCH(X$37,$E$48:$O$48,0))</f>
        <v>#N/A</v>
      </c>
      <c r="Y41" s="14" t="e">
        <f t="array" ref="Y41">INDEX($E$49:$O$282,MATCH(Y$39&amp;$A41,$B$49:$B$282&amp;$D$49:$D$282,0),MATCH(Y$37,$E$48:$O$48,0))</f>
        <v>#N/A</v>
      </c>
      <c r="Z41" s="14" t="e">
        <f t="array" ref="Z41">INDEX($E$49:$O$282,MATCH(Z$39&amp;$A41,$B$49:$B$282&amp;$D$49:$D$282,0),MATCH(Z$37,$E$48:$O$48,0))</f>
        <v>#N/A</v>
      </c>
    </row>
    <row r="42" spans="1:26" x14ac:dyDescent="0.3">
      <c r="A42" s="3" t="s">
        <v>326</v>
      </c>
      <c r="B42" s="14">
        <f t="array" ref="B42">INDEX($E$49:$O$282,MATCH(B$39&amp;$A42,$B$49:$B$282&amp;$D$49:$D$282,0),MATCH(B$37,$E$48:$O$48,0))</f>
        <v>0</v>
      </c>
      <c r="C42" s="14">
        <f t="array" ref="C42">INDEX($E$49:$O$282,MATCH(C$39&amp;$A42,$B$49:$B$282&amp;$D$49:$D$282,0),MATCH(C$37,$E$48:$O$48,0))</f>
        <v>433.88322972274511</v>
      </c>
      <c r="D42" s="14">
        <f t="array" ref="D42">INDEX($E$49:$O$282,MATCH(D$39&amp;$A42,$B$49:$B$282&amp;$D$49:$D$282,0),MATCH(D$37,$E$48:$O$48,0))</f>
        <v>433.88322972274432</v>
      </c>
      <c r="E42" s="14">
        <f t="array" ref="E42">INDEX($E$49:$O$282,MATCH(E$39&amp;$A42,$B$49:$B$282&amp;$D$49:$D$282,0),MATCH(E$37,$E$48:$O$48,0))</f>
        <v>435.43586128689685</v>
      </c>
      <c r="F42" s="14">
        <f t="array" ref="F42">INDEX($E$49:$O$282,MATCH(F$39&amp;$A42,$B$49:$B$282&amp;$D$49:$D$282,0),MATCH(F$37,$E$48:$O$48,0))</f>
        <v>434.28794031660675</v>
      </c>
      <c r="G42" s="14">
        <f t="array" ref="G42">INDEX($E$49:$O$282,MATCH(G$39&amp;$A42,$B$49:$B$282&amp;$D$49:$D$282,0),MATCH(G$37,$E$48:$O$48,0))</f>
        <v>435.43586128689685</v>
      </c>
      <c r="H42" s="14">
        <f t="array" ref="H42">INDEX($E$49:$O$282,MATCH(H$39&amp;$A42,$B$49:$B$282&amp;$D$49:$D$282,0),MATCH(H$37,$E$48:$O$48,0))</f>
        <v>278.96353125916244</v>
      </c>
      <c r="I42" s="14">
        <f t="array" ref="I42">INDEX($E$49:$O$282,MATCH(I$39&amp;$A42,$B$49:$B$282&amp;$D$49:$D$282,0),MATCH(I$37,$E$48:$O$48,0))</f>
        <v>435.43586128689685</v>
      </c>
      <c r="J42" s="14">
        <f t="array" ref="J42">INDEX($E$49:$O$282,MATCH(J$39&amp;$A42,$B$49:$B$282&amp;$D$49:$D$282,0),MATCH(J$37,$E$48:$O$48,0))</f>
        <v>424.5975595558682</v>
      </c>
      <c r="K42" s="14">
        <f t="array" ref="K42">INDEX($E$49:$O$282,MATCH(K$39&amp;$A42,$B$49:$B$282&amp;$D$49:$D$282,0),MATCH(K$37,$E$48:$O$48,0))</f>
        <v>435.43586128689685</v>
      </c>
      <c r="L42" s="14" t="e">
        <f t="array" ref="L42">INDEX($E$49:$O$282,MATCH(L$39&amp;$A42,$B$49:$B$282&amp;$D$49:$D$282,0),MATCH(L$37,$E$48:$O$48,0))</f>
        <v>#N/A</v>
      </c>
      <c r="M42" s="14" t="e">
        <f t="array" ref="M42">INDEX($E$49:$O$282,MATCH(M$39&amp;$A42,$B$49:$B$282&amp;$D$49:$D$282,0),MATCH(M$37,$E$48:$O$48,0))</f>
        <v>#N/A</v>
      </c>
      <c r="N42" s="14" t="e">
        <f t="array" ref="N42">INDEX($E$49:$O$282,MATCH(N$39&amp;$A42,$B$49:$B$282&amp;$D$49:$D$282,0),MATCH(N$37,$E$48:$O$48,0))</f>
        <v>#N/A</v>
      </c>
      <c r="O42" s="14">
        <f t="array" ref="O42">INDEX($E$49:$O$282,MATCH(O$39&amp;$A42,$B$49:$B$282&amp;$D$49:$D$282,0),MATCH(O$37,$E$48:$O$48,0))</f>
        <v>721.16559452232173</v>
      </c>
      <c r="P42" s="14">
        <f t="array" ref="P42">INDEX($E$49:$O$282,MATCH(P$39&amp;$A42,$B$49:$B$282&amp;$D$49:$D$282,0),MATCH(P$37,$E$48:$O$48,0))</f>
        <v>721.16559452232229</v>
      </c>
      <c r="Q42" s="14">
        <f t="array" ref="Q42">INDEX($E$49:$O$282,MATCH(Q$39&amp;$A42,$B$49:$B$282&amp;$D$49:$D$282,0),MATCH(Q$37,$E$48:$O$48,0))</f>
        <v>721.74075429728941</v>
      </c>
      <c r="R42" s="14">
        <f t="array" ref="R42">INDEX($E$49:$O$282,MATCH(R$39&amp;$A42,$B$49:$B$282&amp;$D$49:$D$282,0),MATCH(R$37,$E$48:$O$48,0))</f>
        <v>720.33405755567321</v>
      </c>
      <c r="S42" s="14">
        <f t="array" ref="S42">INDEX($E$49:$O$282,MATCH(S$39&amp;$A42,$B$49:$B$282&amp;$D$49:$D$282,0),MATCH(S$37,$E$48:$O$48,0))</f>
        <v>719.82022097472702</v>
      </c>
      <c r="T42" s="14">
        <f t="array" ref="T42">INDEX($E$49:$O$282,MATCH(T$39&amp;$A42,$B$49:$B$282&amp;$D$49:$D$282,0),MATCH(T$37,$E$48:$O$48,0))</f>
        <v>54.672733078563503</v>
      </c>
      <c r="U42" s="14">
        <f t="array" ref="U42">INDEX($E$49:$O$282,MATCH(U$39&amp;$A42,$B$49:$B$282&amp;$D$49:$D$282,0),MATCH(U$37,$E$48:$O$48,0))</f>
        <v>105.83019721727575</v>
      </c>
      <c r="V42" s="14">
        <f t="array" ref="V42">INDEX($E$49:$O$282,MATCH(V$39&amp;$A42,$B$49:$B$282&amp;$D$49:$D$282,0),MATCH(V$37,$E$48:$O$48,0))</f>
        <v>711.3050660186658</v>
      </c>
      <c r="W42" s="14">
        <f t="array" ref="W42">INDEX($E$49:$O$282,MATCH(W$39&amp;$A42,$B$49:$B$282&amp;$D$49:$D$282,0),MATCH(W$37,$E$48:$O$48,0))</f>
        <v>648.47995768166766</v>
      </c>
      <c r="X42" s="14" t="e">
        <f t="array" ref="X42">INDEX($E$49:$O$282,MATCH(X$39&amp;$A42,$B$49:$B$282&amp;$D$49:$D$282,0),MATCH(X$37,$E$48:$O$48,0))</f>
        <v>#N/A</v>
      </c>
      <c r="Y42" s="14" t="e">
        <f t="array" ref="Y42">INDEX($E$49:$O$282,MATCH(Y$39&amp;$A42,$B$49:$B$282&amp;$D$49:$D$282,0),MATCH(Y$37,$E$48:$O$48,0))</f>
        <v>#N/A</v>
      </c>
      <c r="Z42" s="14" t="e">
        <f t="array" ref="Z42">INDEX($E$49:$O$282,MATCH(Z$39&amp;$A42,$B$49:$B$282&amp;$D$49:$D$282,0),MATCH(Z$37,$E$48:$O$48,0))</f>
        <v>#N/A</v>
      </c>
    </row>
    <row r="43" spans="1:26" x14ac:dyDescent="0.3">
      <c r="A43" s="3" t="s">
        <v>327</v>
      </c>
      <c r="B43" s="14">
        <f t="array" ref="B43">INDEX($E$49:$O$282,MATCH(B$39&amp;$A43,$B$49:$B$282&amp;$D$49:$D$282,0),MATCH(B$37,$E$48:$O$48,0))</f>
        <v>9326.5813623263857</v>
      </c>
      <c r="C43" s="14">
        <f t="array" ref="C43">INDEX($E$49:$O$282,MATCH(C$39&amp;$A43,$B$49:$B$282&amp;$D$49:$D$282,0),MATCH(C$37,$E$48:$O$48,0))</f>
        <v>14909.860654530967</v>
      </c>
      <c r="D43" s="14">
        <f t="array" ref="D43">INDEX($E$49:$O$282,MATCH(D$39&amp;$A43,$B$49:$B$282&amp;$D$49:$D$282,0),MATCH(D$37,$E$48:$O$48,0))</f>
        <v>15099.809730699641</v>
      </c>
      <c r="E43" s="14">
        <f t="array" ref="E43">INDEX($E$49:$O$282,MATCH(E$39&amp;$A43,$B$49:$B$282&amp;$D$49:$D$282,0),MATCH(E$37,$E$48:$O$48,0))</f>
        <v>15585.649202815215</v>
      </c>
      <c r="F43" s="14">
        <f t="array" ref="F43">INDEX($E$49:$O$282,MATCH(F$39&amp;$A43,$B$49:$B$282&amp;$D$49:$D$282,0),MATCH(F$37,$E$48:$O$48,0))</f>
        <v>15822.099628537764</v>
      </c>
      <c r="G43" s="14">
        <f t="array" ref="G43">INDEX($E$49:$O$282,MATCH(G$39&amp;$A43,$B$49:$B$282&amp;$D$49:$D$282,0),MATCH(G$37,$E$48:$O$48,0))</f>
        <v>15585.649202815215</v>
      </c>
      <c r="H43" s="14">
        <f t="array" ref="H43">INDEX($E$49:$O$282,MATCH(H$39&amp;$A43,$B$49:$B$282&amp;$D$49:$D$282,0),MATCH(H$37,$E$48:$O$48,0))</f>
        <v>8563.0147009351931</v>
      </c>
      <c r="I43" s="14">
        <f t="array" ref="I43">INDEX($E$49:$O$282,MATCH(I$39&amp;$A43,$B$49:$B$282&amp;$D$49:$D$282,0),MATCH(I$37,$E$48:$O$48,0))</f>
        <v>15585.649202815215</v>
      </c>
      <c r="J43" s="14">
        <f t="array" ref="J43">INDEX($E$49:$O$282,MATCH(J$39&amp;$A43,$B$49:$B$282&amp;$D$49:$D$282,0),MATCH(J$37,$E$48:$O$48,0))</f>
        <v>15622.349472331807</v>
      </c>
      <c r="K43" s="14">
        <f t="array" ref="K43">INDEX($E$49:$O$282,MATCH(K$39&amp;$A43,$B$49:$B$282&amp;$D$49:$D$282,0),MATCH(K$37,$E$48:$O$48,0))</f>
        <v>15585.649202815215</v>
      </c>
      <c r="L43" s="14" t="e">
        <f t="array" ref="L43">INDEX($E$49:$O$282,MATCH(L$39&amp;$A43,$B$49:$B$282&amp;$D$49:$D$282,0),MATCH(L$37,$E$48:$O$48,0))</f>
        <v>#N/A</v>
      </c>
      <c r="M43" s="14" t="e">
        <f t="array" ref="M43">INDEX($E$49:$O$282,MATCH(M$39&amp;$A43,$B$49:$B$282&amp;$D$49:$D$282,0),MATCH(M$37,$E$48:$O$48,0))</f>
        <v>#N/A</v>
      </c>
      <c r="N43" s="14" t="e">
        <f t="array" ref="N43">INDEX($E$49:$O$282,MATCH(N$39&amp;$A43,$B$49:$B$282&amp;$D$49:$D$282,0),MATCH(N$37,$E$48:$O$48,0))</f>
        <v>#N/A</v>
      </c>
      <c r="O43" s="14">
        <f t="array" ref="O43">INDEX($E$49:$O$282,MATCH(O$39&amp;$A43,$B$49:$B$282&amp;$D$49:$D$282,0),MATCH(O$37,$E$48:$O$48,0))</f>
        <v>12018.325978796083</v>
      </c>
      <c r="P43" s="14">
        <f t="array" ref="P43">INDEX($E$49:$O$282,MATCH(P$39&amp;$A43,$B$49:$B$282&amp;$D$49:$D$282,0),MATCH(P$37,$E$48:$O$48,0))</f>
        <v>12132.906800318578</v>
      </c>
      <c r="Q43" s="14">
        <f t="array" ref="Q43">INDEX($E$49:$O$282,MATCH(Q$39&amp;$A43,$B$49:$B$282&amp;$D$49:$D$282,0),MATCH(Q$37,$E$48:$O$48,0))</f>
        <v>10956.103861789159</v>
      </c>
      <c r="R43" s="14">
        <f t="array" ref="R43">INDEX($E$49:$O$282,MATCH(R$39&amp;$A43,$B$49:$B$282&amp;$D$49:$D$282,0),MATCH(R$37,$E$48:$O$48,0))</f>
        <v>10893.878704765588</v>
      </c>
      <c r="S43" s="14">
        <f t="array" ref="S43">INDEX($E$49:$O$282,MATCH(S$39&amp;$A43,$B$49:$B$282&amp;$D$49:$D$282,0),MATCH(S$37,$E$48:$O$48,0))</f>
        <v>11475.898696623379</v>
      </c>
      <c r="T43" s="14">
        <f t="array" ref="T43">INDEX($E$49:$O$282,MATCH(T$39&amp;$A43,$B$49:$B$282&amp;$D$49:$D$282,0),MATCH(T$37,$E$48:$O$48,0))</f>
        <v>2348.0288842913101</v>
      </c>
      <c r="U43" s="14">
        <f t="array" ref="U43">INDEX($E$49:$O$282,MATCH(U$39&amp;$A43,$B$49:$B$282&amp;$D$49:$D$282,0),MATCH(U$37,$E$48:$O$48,0))</f>
        <v>2594.1079042470092</v>
      </c>
      <c r="V43" s="14">
        <f t="array" ref="V43">INDEX($E$49:$O$282,MATCH(V$39&amp;$A43,$B$49:$B$282&amp;$D$49:$D$282,0),MATCH(V$37,$E$48:$O$48,0))</f>
        <v>10742.911837242284</v>
      </c>
      <c r="W43" s="14">
        <f t="array" ref="W43">INDEX($E$49:$O$282,MATCH(W$39&amp;$A43,$B$49:$B$282&amp;$D$49:$D$282,0),MATCH(W$37,$E$48:$O$48,0))</f>
        <v>11624.399868893737</v>
      </c>
      <c r="X43" s="14" t="e">
        <f t="array" ref="X43">INDEX($E$49:$O$282,MATCH(X$39&amp;$A43,$B$49:$B$282&amp;$D$49:$D$282,0),MATCH(X$37,$E$48:$O$48,0))</f>
        <v>#N/A</v>
      </c>
      <c r="Y43" s="14" t="e">
        <f t="array" ref="Y43">INDEX($E$49:$O$282,MATCH(Y$39&amp;$A43,$B$49:$B$282&amp;$D$49:$D$282,0),MATCH(Y$37,$E$48:$O$48,0))</f>
        <v>#N/A</v>
      </c>
      <c r="Z43" s="14" t="e">
        <f t="array" ref="Z43">INDEX($E$49:$O$282,MATCH(Z$39&amp;$A43,$B$49:$B$282&amp;$D$49:$D$282,0),MATCH(Z$37,$E$48:$O$48,0))</f>
        <v>#N/A</v>
      </c>
    </row>
    <row r="44" spans="1:26" x14ac:dyDescent="0.3">
      <c r="A44" s="3" t="s">
        <v>328</v>
      </c>
      <c r="B44" s="14">
        <f t="array" ref="B44">INDEX($E$49:$O$282,MATCH(B$39&amp;$A44,$B$49:$B$282&amp;$D$49:$D$282,0),MATCH(B$37,$E$48:$O$48,0))</f>
        <v>0</v>
      </c>
      <c r="C44" s="14">
        <f t="array" ref="C44">INDEX($E$49:$O$282,MATCH(C$39&amp;$A44,$B$49:$B$282&amp;$D$49:$D$282,0),MATCH(C$37,$E$48:$O$48,0))</f>
        <v>1503.2694141973941</v>
      </c>
      <c r="D44" s="14">
        <f t="array" ref="D44">INDEX($E$49:$O$282,MATCH(D$39&amp;$A44,$B$49:$B$282&amp;$D$49:$D$282,0),MATCH(D$37,$E$48:$O$48,0))</f>
        <v>1503.2694141973941</v>
      </c>
      <c r="E44" s="14">
        <f t="array" ref="E44">INDEX($E$49:$O$282,MATCH(E$39&amp;$A44,$B$49:$B$282&amp;$D$49:$D$282,0),MATCH(E$37,$E$48:$O$48,0))</f>
        <v>1599.9746126235134</v>
      </c>
      <c r="F44" s="14">
        <f t="array" ref="F44">INDEX($E$49:$O$282,MATCH(F$39&amp;$A44,$B$49:$B$282&amp;$D$49:$D$282,0),MATCH(F$37,$E$48:$O$48,0))</f>
        <v>1596.4148336513342</v>
      </c>
      <c r="G44" s="14">
        <f t="array" ref="G44">INDEX($E$49:$O$282,MATCH(G$39&amp;$A44,$B$49:$B$282&amp;$D$49:$D$282,0),MATCH(G$37,$E$48:$O$48,0))</f>
        <v>1599.9746126235134</v>
      </c>
      <c r="H44" s="14">
        <f t="array" ref="H44">INDEX($E$49:$O$282,MATCH(H$39&amp;$A44,$B$49:$B$282&amp;$D$49:$D$282,0),MATCH(H$37,$E$48:$O$48,0))</f>
        <v>3143.6175705852752</v>
      </c>
      <c r="I44" s="14">
        <f t="array" ref="I44">INDEX($E$49:$O$282,MATCH(I$39&amp;$A44,$B$49:$B$282&amp;$D$49:$D$282,0),MATCH(I$37,$E$48:$O$48,0))</f>
        <v>1599.9746126235134</v>
      </c>
      <c r="J44" s="14">
        <f t="array" ref="J44">INDEX($E$49:$O$282,MATCH(J$39&amp;$A44,$B$49:$B$282&amp;$D$49:$D$282,0),MATCH(J$37,$E$48:$O$48,0))</f>
        <v>1493.2102756793911</v>
      </c>
      <c r="K44" s="14">
        <f t="array" ref="K44">INDEX($E$49:$O$282,MATCH(K$39&amp;$A44,$B$49:$B$282&amp;$D$49:$D$282,0),MATCH(K$37,$E$48:$O$48,0))</f>
        <v>1599.9746126235134</v>
      </c>
      <c r="L44" s="14" t="e">
        <f t="array" ref="L44">INDEX($E$49:$O$282,MATCH(L$39&amp;$A44,$B$49:$B$282&amp;$D$49:$D$282,0),MATCH(L$37,$E$48:$O$48,0))</f>
        <v>#N/A</v>
      </c>
      <c r="M44" s="14" t="e">
        <f t="array" ref="M44">INDEX($E$49:$O$282,MATCH(M$39&amp;$A44,$B$49:$B$282&amp;$D$49:$D$282,0),MATCH(M$37,$E$48:$O$48,0))</f>
        <v>#N/A</v>
      </c>
      <c r="N44" s="14" t="e">
        <f t="array" ref="N44">INDEX($E$49:$O$282,MATCH(N$39&amp;$A44,$B$49:$B$282&amp;$D$49:$D$282,0),MATCH(N$37,$E$48:$O$48,0))</f>
        <v>#N/A</v>
      </c>
      <c r="O44" s="14">
        <f t="array" ref="O44">INDEX($E$49:$O$282,MATCH(O$39&amp;$A44,$B$49:$B$282&amp;$D$49:$D$282,0),MATCH(O$37,$E$48:$O$48,0))</f>
        <v>0</v>
      </c>
      <c r="P44" s="14">
        <f t="array" ref="P44">INDEX($E$49:$O$282,MATCH(P$39&amp;$A44,$B$49:$B$282&amp;$D$49:$D$282,0),MATCH(P$37,$E$48:$O$48,0))</f>
        <v>0</v>
      </c>
      <c r="Q44" s="14">
        <f t="array" ref="Q44">INDEX($E$49:$O$282,MATCH(Q$39&amp;$A44,$B$49:$B$282&amp;$D$49:$D$282,0),MATCH(Q$37,$E$48:$O$48,0))</f>
        <v>0</v>
      </c>
      <c r="R44" s="14">
        <f t="array" ref="R44">INDEX($E$49:$O$282,MATCH(R$39&amp;$A44,$B$49:$B$282&amp;$D$49:$D$282,0),MATCH(R$37,$E$48:$O$48,0))</f>
        <v>0</v>
      </c>
      <c r="S44" s="14">
        <f t="array" ref="S44">INDEX($E$49:$O$282,MATCH(S$39&amp;$A44,$B$49:$B$282&amp;$D$49:$D$282,0),MATCH(S$37,$E$48:$O$48,0))</f>
        <v>0</v>
      </c>
      <c r="T44" s="14">
        <f t="array" ref="T44">INDEX($E$49:$O$282,MATCH(T$39&amp;$A44,$B$49:$B$282&amp;$D$49:$D$282,0),MATCH(T$37,$E$48:$O$48,0))</f>
        <v>0</v>
      </c>
      <c r="U44" s="14">
        <f t="array" ref="U44">INDEX($E$49:$O$282,MATCH(U$39&amp;$A44,$B$49:$B$282&amp;$D$49:$D$282,0),MATCH(U$37,$E$48:$O$48,0))</f>
        <v>8.9958917761979205</v>
      </c>
      <c r="V44" s="14">
        <f t="array" ref="V44">INDEX($E$49:$O$282,MATCH(V$39&amp;$A44,$B$49:$B$282&amp;$D$49:$D$282,0),MATCH(V$37,$E$48:$O$48,0))</f>
        <v>0</v>
      </c>
      <c r="W44" s="14">
        <f t="array" ref="W44">INDEX($E$49:$O$282,MATCH(W$39&amp;$A44,$B$49:$B$282&amp;$D$49:$D$282,0),MATCH(W$37,$E$48:$O$48,0))</f>
        <v>0</v>
      </c>
      <c r="X44" s="14" t="e">
        <f t="array" ref="X44">INDEX($E$49:$O$282,MATCH(X$39&amp;$A44,$B$49:$B$282&amp;$D$49:$D$282,0),MATCH(X$37,$E$48:$O$48,0))</f>
        <v>#N/A</v>
      </c>
      <c r="Y44" s="14" t="e">
        <f t="array" ref="Y44">INDEX($E$49:$O$282,MATCH(Y$39&amp;$A44,$B$49:$B$282&amp;$D$49:$D$282,0),MATCH(Y$37,$E$48:$O$48,0))</f>
        <v>#N/A</v>
      </c>
      <c r="Z44" s="14" t="e">
        <f t="array" ref="Z44">INDEX($E$49:$O$282,MATCH(Z$39&amp;$A44,$B$49:$B$282&amp;$D$49:$D$282,0),MATCH(Z$37,$E$48:$O$48,0))</f>
        <v>#N/A</v>
      </c>
    </row>
    <row r="45" spans="1:26" x14ac:dyDescent="0.3">
      <c r="A45" s="3" t="s">
        <v>329</v>
      </c>
      <c r="B45" s="14">
        <f t="array" ref="B45">INDEX($E$49:$O$282,MATCH(B$39&amp;$A45,$B$49:$B$282&amp;$D$49:$D$282,0),MATCH(B$37,$E$48:$O$48,0))</f>
        <v>0</v>
      </c>
      <c r="C45" s="14">
        <f t="array" ref="C45">INDEX($E$49:$O$282,MATCH(C$39&amp;$A45,$B$49:$B$282&amp;$D$49:$D$282,0),MATCH(C$37,$E$48:$O$48,0))</f>
        <v>3223.064024929854</v>
      </c>
      <c r="D45" s="14">
        <f t="array" ref="D45">INDEX($E$49:$O$282,MATCH(D$39&amp;$A45,$B$49:$B$282&amp;$D$49:$D$282,0),MATCH(D$37,$E$48:$O$48,0))</f>
        <v>3239.5994658359714</v>
      </c>
      <c r="E45" s="14">
        <f t="array" ref="E45">INDEX($E$49:$O$282,MATCH(E$39&amp;$A45,$B$49:$B$282&amp;$D$49:$D$282,0),MATCH(E$37,$E$48:$O$48,0))</f>
        <v>3040.2453409136619</v>
      </c>
      <c r="F45" s="14">
        <f t="array" ref="F45">INDEX($E$49:$O$282,MATCH(F$39&amp;$A45,$B$49:$B$282&amp;$D$49:$D$282,0),MATCH(F$37,$E$48:$O$48,0))</f>
        <v>2981.889256779049</v>
      </c>
      <c r="G45" s="14">
        <f t="array" ref="G45">INDEX($E$49:$O$282,MATCH(G$39&amp;$A45,$B$49:$B$282&amp;$D$49:$D$282,0),MATCH(G$37,$E$48:$O$48,0))</f>
        <v>3040.2453409136619</v>
      </c>
      <c r="H45" s="14">
        <f t="array" ref="H45">INDEX($E$49:$O$282,MATCH(H$39&amp;$A45,$B$49:$B$282&amp;$D$49:$D$282,0),MATCH(H$37,$E$48:$O$48,0))</f>
        <v>7633.309909055718</v>
      </c>
      <c r="I45" s="14">
        <f t="array" ref="I45">INDEX($E$49:$O$282,MATCH(I$39&amp;$A45,$B$49:$B$282&amp;$D$49:$D$282,0),MATCH(I$37,$E$48:$O$48,0))</f>
        <v>3040.2453409136619</v>
      </c>
      <c r="J45" s="14">
        <f t="array" ref="J45">INDEX($E$49:$O$282,MATCH(J$39&amp;$A45,$B$49:$B$282&amp;$D$49:$D$282,0),MATCH(J$37,$E$48:$O$48,0))</f>
        <v>3023.1510647418336</v>
      </c>
      <c r="K45" s="14">
        <f t="array" ref="K45">INDEX($E$49:$O$282,MATCH(K$39&amp;$A45,$B$49:$B$282&amp;$D$49:$D$282,0),MATCH(K$37,$E$48:$O$48,0))</f>
        <v>3040.2453409136619</v>
      </c>
      <c r="L45" s="14" t="e">
        <f t="array" ref="L45">INDEX($E$49:$O$282,MATCH(L$39&amp;$A45,$B$49:$B$282&amp;$D$49:$D$282,0),MATCH(L$37,$E$48:$O$48,0))</f>
        <v>#N/A</v>
      </c>
      <c r="M45" s="14" t="e">
        <f t="array" ref="M45">INDEX($E$49:$O$282,MATCH(M$39&amp;$A45,$B$49:$B$282&amp;$D$49:$D$282,0),MATCH(M$37,$E$48:$O$48,0))</f>
        <v>#N/A</v>
      </c>
      <c r="N45" s="14" t="e">
        <f t="array" ref="N45">INDEX($E$49:$O$282,MATCH(N$39&amp;$A45,$B$49:$B$282&amp;$D$49:$D$282,0),MATCH(N$37,$E$48:$O$48,0))</f>
        <v>#N/A</v>
      </c>
      <c r="O45" s="14">
        <f t="array" ref="O45">INDEX($E$49:$O$282,MATCH(O$39&amp;$A45,$B$49:$B$282&amp;$D$49:$D$282,0),MATCH(O$37,$E$48:$O$48,0))</f>
        <v>0</v>
      </c>
      <c r="P45" s="14">
        <f t="array" ref="P45">INDEX($E$49:$O$282,MATCH(P$39&amp;$A45,$B$49:$B$282&amp;$D$49:$D$282,0),MATCH(P$37,$E$48:$O$48,0))</f>
        <v>0</v>
      </c>
      <c r="Q45" s="14">
        <f t="array" ref="Q45">INDEX($E$49:$O$282,MATCH(Q$39&amp;$A45,$B$49:$B$282&amp;$D$49:$D$282,0),MATCH(Q$37,$E$48:$O$48,0))</f>
        <v>0</v>
      </c>
      <c r="R45" s="14">
        <f t="array" ref="R45">INDEX($E$49:$O$282,MATCH(R$39&amp;$A45,$B$49:$B$282&amp;$D$49:$D$282,0),MATCH(R$37,$E$48:$O$48,0))</f>
        <v>0</v>
      </c>
      <c r="S45" s="14">
        <f t="array" ref="S45">INDEX($E$49:$O$282,MATCH(S$39&amp;$A45,$B$49:$B$282&amp;$D$49:$D$282,0),MATCH(S$37,$E$48:$O$48,0))</f>
        <v>0</v>
      </c>
      <c r="T45" s="14">
        <f t="array" ref="T45">INDEX($E$49:$O$282,MATCH(T$39&amp;$A45,$B$49:$B$282&amp;$D$49:$D$282,0),MATCH(T$37,$E$48:$O$48,0))</f>
        <v>5429.6282513538226</v>
      </c>
      <c r="U45" s="14">
        <f t="array" ref="U45">INDEX($E$49:$O$282,MATCH(U$39&amp;$A45,$B$49:$B$282&amp;$D$49:$D$282,0),MATCH(U$37,$E$48:$O$48,0))</f>
        <v>11026.431677657829</v>
      </c>
      <c r="V45" s="14">
        <f t="array" ref="V45">INDEX($E$49:$O$282,MATCH(V$39&amp;$A45,$B$49:$B$282&amp;$D$49:$D$282,0),MATCH(V$37,$E$48:$O$48,0))</f>
        <v>0</v>
      </c>
      <c r="W45" s="14">
        <f t="array" ref="W45">INDEX($E$49:$O$282,MATCH(W$39&amp;$A45,$B$49:$B$282&amp;$D$49:$D$282,0),MATCH(W$37,$E$48:$O$48,0))</f>
        <v>0</v>
      </c>
      <c r="X45" s="14" t="e">
        <f t="array" ref="X45">INDEX($E$49:$O$282,MATCH(X$39&amp;$A45,$B$49:$B$282&amp;$D$49:$D$282,0),MATCH(X$37,$E$48:$O$48,0))</f>
        <v>#N/A</v>
      </c>
      <c r="Y45" s="14" t="e">
        <f t="array" ref="Y45">INDEX($E$49:$O$282,MATCH(Y$39&amp;$A45,$B$49:$B$282&amp;$D$49:$D$282,0),MATCH(Y$37,$E$48:$O$48,0))</f>
        <v>#N/A</v>
      </c>
      <c r="Z45" s="14" t="e">
        <f t="array" ref="Z45">INDEX($E$49:$O$282,MATCH(Z$39&amp;$A45,$B$49:$B$282&amp;$D$49:$D$282,0),MATCH(Z$37,$E$48:$O$48,0))</f>
        <v>#N/A</v>
      </c>
    </row>
    <row r="46" spans="1:26" ht="15" thickBot="1" x14ac:dyDescent="0.35"/>
    <row r="47" spans="1:26" s="15" customFormat="1" ht="15" thickBot="1" x14ac:dyDescent="0.35">
      <c r="A47" s="15" t="s">
        <v>198</v>
      </c>
      <c r="S47" s="16"/>
    </row>
    <row r="48" spans="1:26" x14ac:dyDescent="0.3">
      <c r="A48" s="3" t="s">
        <v>86</v>
      </c>
      <c r="B48" s="3" t="s">
        <v>8</v>
      </c>
      <c r="C48" s="3" t="s">
        <v>59</v>
      </c>
      <c r="D48" s="3" t="s">
        <v>346</v>
      </c>
      <c r="E48" s="3">
        <v>2007</v>
      </c>
      <c r="F48" s="3">
        <v>2012</v>
      </c>
      <c r="G48" s="3">
        <v>2020</v>
      </c>
      <c r="H48" s="3">
        <v>2030</v>
      </c>
      <c r="I48" s="3">
        <v>2040</v>
      </c>
      <c r="J48" s="3">
        <v>2050</v>
      </c>
      <c r="K48" s="3">
        <v>2060</v>
      </c>
      <c r="L48" s="3">
        <v>2070</v>
      </c>
      <c r="M48" s="3">
        <v>2080</v>
      </c>
      <c r="N48" s="3">
        <v>2090</v>
      </c>
      <c r="O48" s="3">
        <v>2100</v>
      </c>
    </row>
    <row r="49" spans="1:15" x14ac:dyDescent="0.3">
      <c r="A49" s="3" t="str">
        <f>INDEX('R1. Scenario specifications'!$C$11:$C$49,MATCH($B49,'R1. Scenario specifications'!$A$11:$A$49,0))</f>
        <v>TIAM BAU - No Policy Action</v>
      </c>
      <c r="B49" s="3" t="s">
        <v>11</v>
      </c>
      <c r="C49" s="3" t="s">
        <v>298</v>
      </c>
      <c r="D49" s="3" t="s">
        <v>325</v>
      </c>
      <c r="E49" s="14">
        <v>5.283714066875322</v>
      </c>
      <c r="F49" s="14">
        <v>40.935839939176851</v>
      </c>
      <c r="G49" s="14">
        <v>860.24212834963828</v>
      </c>
      <c r="H49" s="14">
        <v>2287.9433290414941</v>
      </c>
      <c r="I49" s="14">
        <v>2331.2345207526619</v>
      </c>
      <c r="J49" s="14">
        <v>3073.9401117142315</v>
      </c>
      <c r="K49" s="14">
        <v>1752.3569690334552</v>
      </c>
      <c r="L49" s="14">
        <v>2037.4111911801626</v>
      </c>
      <c r="M49" s="14">
        <v>2407.567427501253</v>
      </c>
      <c r="N49" s="14">
        <v>2523.9186151281338</v>
      </c>
      <c r="O49" s="14">
        <v>4072.3555624811697</v>
      </c>
    </row>
    <row r="50" spans="1:15" x14ac:dyDescent="0.3">
      <c r="A50" s="3" t="str">
        <f>INDEX('R1. Scenario specifications'!$C$11:$C$49,MATCH($B50,'R1. Scenario specifications'!$A$11:$A$49,0))</f>
        <v>TIAM BAU - No Policy Action</v>
      </c>
      <c r="B50" s="3" t="s">
        <v>11</v>
      </c>
      <c r="C50" s="3" t="s">
        <v>299</v>
      </c>
      <c r="D50" s="3" t="s">
        <v>324</v>
      </c>
      <c r="E50" s="14">
        <v>0</v>
      </c>
      <c r="F50" s="14">
        <v>0</v>
      </c>
      <c r="G50" s="14">
        <v>55.299999999999926</v>
      </c>
      <c r="H50" s="14">
        <v>339.09076507627361</v>
      </c>
      <c r="I50" s="14">
        <v>2082.501920620321</v>
      </c>
      <c r="J50" s="14">
        <v>11415.241132094006</v>
      </c>
      <c r="K50" s="14">
        <v>18002.983767329075</v>
      </c>
      <c r="L50" s="14">
        <v>20038.095925356465</v>
      </c>
      <c r="M50" s="14">
        <v>21526.170629171931</v>
      </c>
      <c r="N50" s="14">
        <v>23128.145914995461</v>
      </c>
      <c r="O50" s="14">
        <v>25105.541635225665</v>
      </c>
    </row>
    <row r="51" spans="1:15" x14ac:dyDescent="0.3">
      <c r="A51" s="3" t="str">
        <f>INDEX('R1. Scenario specifications'!$C$11:$C$49,MATCH($B51,'R1. Scenario specifications'!$A$11:$A$49,0))</f>
        <v>TIAM BAU - No Policy Action</v>
      </c>
      <c r="B51" s="3" t="s">
        <v>11</v>
      </c>
      <c r="C51" s="3" t="s">
        <v>302</v>
      </c>
      <c r="D51" s="3" t="s">
        <v>326</v>
      </c>
      <c r="E51" s="14">
        <v>0</v>
      </c>
      <c r="F51" s="14">
        <v>0</v>
      </c>
      <c r="G51" s="14">
        <v>137.17533571711004</v>
      </c>
      <c r="H51" s="14">
        <v>433.88322972274511</v>
      </c>
      <c r="I51" s="14">
        <v>447.31445581387658</v>
      </c>
      <c r="J51" s="14">
        <v>721.16559452232173</v>
      </c>
      <c r="K51" s="14">
        <v>684.86517295136935</v>
      </c>
      <c r="L51" s="14">
        <v>768.27643902938007</v>
      </c>
      <c r="M51" s="14">
        <v>804.05054302736016</v>
      </c>
      <c r="N51" s="14">
        <v>864.44518734551286</v>
      </c>
      <c r="O51" s="14">
        <v>917.55274033227988</v>
      </c>
    </row>
    <row r="52" spans="1:15" x14ac:dyDescent="0.3">
      <c r="A52" s="3" t="str">
        <f>INDEX('R1. Scenario specifications'!$C$11:$C$49,MATCH($B52,'R1. Scenario specifications'!$A$11:$A$49,0))</f>
        <v>TIAM BAU - No Policy Action</v>
      </c>
      <c r="B52" s="3" t="s">
        <v>11</v>
      </c>
      <c r="C52" s="3" t="s">
        <v>300</v>
      </c>
      <c r="D52" s="3" t="s">
        <v>327</v>
      </c>
      <c r="E52" s="14">
        <v>3713.3499864076566</v>
      </c>
      <c r="F52" s="14">
        <v>9326.5813623263857</v>
      </c>
      <c r="G52" s="14">
        <v>16526.526269401213</v>
      </c>
      <c r="H52" s="14">
        <v>14909.860654530967</v>
      </c>
      <c r="I52" s="14">
        <v>12250.621478042041</v>
      </c>
      <c r="J52" s="14">
        <v>12018.325978796083</v>
      </c>
      <c r="K52" s="14">
        <v>7824.8122377775708</v>
      </c>
      <c r="L52" s="14">
        <v>7843.4001362054478</v>
      </c>
      <c r="M52" s="14">
        <v>7785.6318692320428</v>
      </c>
      <c r="N52" s="14">
        <v>8110.8534596198169</v>
      </c>
      <c r="O52" s="14">
        <v>6663.6420528202289</v>
      </c>
    </row>
    <row r="53" spans="1:15" x14ac:dyDescent="0.3">
      <c r="A53" s="3" t="str">
        <f>INDEX('R1. Scenario specifications'!$C$11:$C$49,MATCH($B53,'R1. Scenario specifications'!$A$11:$A$49,0))</f>
        <v>TIAM BAU - No Policy Action</v>
      </c>
      <c r="B53" s="3" t="s">
        <v>11</v>
      </c>
      <c r="C53" s="3" t="s">
        <v>301</v>
      </c>
      <c r="D53" s="3" t="s">
        <v>328</v>
      </c>
      <c r="E53" s="14">
        <v>0</v>
      </c>
      <c r="F53" s="14">
        <v>0</v>
      </c>
      <c r="G53" s="14">
        <v>92.306852962776702</v>
      </c>
      <c r="H53" s="14">
        <v>1503.2694141973941</v>
      </c>
      <c r="I53" s="14">
        <v>1687.7350693641056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</row>
    <row r="54" spans="1:15" x14ac:dyDescent="0.3">
      <c r="A54" s="3" t="str">
        <f>INDEX('R1. Scenario specifications'!$C$11:$C$49,MATCH($B54,'R1. Scenario specifications'!$A$11:$A$49,0))</f>
        <v>TIAM BAU - No Policy Action</v>
      </c>
      <c r="B54" s="3" t="s">
        <v>11</v>
      </c>
      <c r="C54" s="3" t="s">
        <v>303</v>
      </c>
      <c r="D54" s="3" t="s">
        <v>329</v>
      </c>
      <c r="E54" s="14">
        <v>0</v>
      </c>
      <c r="F54" s="14">
        <v>0</v>
      </c>
      <c r="G54" s="14">
        <v>0</v>
      </c>
      <c r="H54" s="14">
        <v>3223.064024929854</v>
      </c>
      <c r="I54" s="14">
        <v>2838.637047450512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</row>
    <row r="55" spans="1:15" x14ac:dyDescent="0.3">
      <c r="A55" s="3" t="str">
        <f>INDEX('R1. Scenario specifications'!$C$11:$C$49,MATCH($B55,'R1. Scenario specifications'!$A$11:$A$49,0))</f>
        <v>Vivid BAU - WEO Current Policies Scenario emissions pathway run through TIAM</v>
      </c>
      <c r="B55" s="3" t="s">
        <v>13</v>
      </c>
      <c r="C55" s="3" t="s">
        <v>298</v>
      </c>
      <c r="D55" s="3" t="s">
        <v>325</v>
      </c>
      <c r="E55" s="14">
        <v>4.7785802989792892</v>
      </c>
      <c r="F55" s="14">
        <v>37.062883233062713</v>
      </c>
      <c r="G55" s="14">
        <v>1143.0175561160122</v>
      </c>
      <c r="H55" s="14">
        <v>2081.42632169014</v>
      </c>
      <c r="I55" s="14">
        <v>2402.1458364691794</v>
      </c>
      <c r="J55" s="14">
        <v>3065.0575528404511</v>
      </c>
      <c r="K55" s="14">
        <v>1842.7888638877664</v>
      </c>
      <c r="L55" s="14">
        <v>2016.7695215114488</v>
      </c>
      <c r="M55" s="14">
        <v>2405.4458122252545</v>
      </c>
      <c r="N55" s="14">
        <v>2503.2606148810305</v>
      </c>
      <c r="O55" s="14">
        <v>4039.910025561192</v>
      </c>
    </row>
    <row r="56" spans="1:15" x14ac:dyDescent="0.3">
      <c r="A56" s="3" t="str">
        <f>INDEX('R1. Scenario specifications'!$C$11:$C$49,MATCH($B56,'R1. Scenario specifications'!$A$11:$A$49,0))</f>
        <v>Vivid BAU - WEO Current Policies Scenario emissions pathway run through TIAM</v>
      </c>
      <c r="B56" s="3" t="s">
        <v>13</v>
      </c>
      <c r="C56" s="3" t="s">
        <v>299</v>
      </c>
      <c r="D56" s="3" t="s">
        <v>324</v>
      </c>
      <c r="E56" s="14">
        <v>0</v>
      </c>
      <c r="F56" s="14">
        <v>0</v>
      </c>
      <c r="G56" s="14">
        <v>55.29999999999994</v>
      </c>
      <c r="H56" s="14">
        <v>339.09076507627356</v>
      </c>
      <c r="I56" s="14">
        <v>2082.501920620321</v>
      </c>
      <c r="J56" s="14">
        <v>11309.539995401801</v>
      </c>
      <c r="K56" s="14">
        <v>18025.183457152169</v>
      </c>
      <c r="L56" s="14">
        <v>20030.807603967685</v>
      </c>
      <c r="M56" s="14">
        <v>21528.338267166357</v>
      </c>
      <c r="N56" s="14">
        <v>23127.494301272571</v>
      </c>
      <c r="O56" s="14">
        <v>25105.541641914388</v>
      </c>
    </row>
    <row r="57" spans="1:15" x14ac:dyDescent="0.3">
      <c r="A57" s="3" t="str">
        <f>INDEX('R1. Scenario specifications'!$C$11:$C$49,MATCH($B57,'R1. Scenario specifications'!$A$11:$A$49,0))</f>
        <v>Vivid BAU - WEO Current Policies Scenario emissions pathway run through TIAM</v>
      </c>
      <c r="B57" s="3" t="s">
        <v>13</v>
      </c>
      <c r="C57" s="3" t="s">
        <v>302</v>
      </c>
      <c r="D57" s="3" t="s">
        <v>326</v>
      </c>
      <c r="E57" s="14">
        <v>0</v>
      </c>
      <c r="F57" s="14">
        <v>0</v>
      </c>
      <c r="G57" s="14">
        <v>137.17533571710985</v>
      </c>
      <c r="H57" s="14">
        <v>433.88322972274432</v>
      </c>
      <c r="I57" s="14">
        <v>447.31445581387624</v>
      </c>
      <c r="J57" s="14">
        <v>721.16559452232229</v>
      </c>
      <c r="K57" s="14">
        <v>684.86517295136866</v>
      </c>
      <c r="L57" s="14">
        <v>768.2764390293803</v>
      </c>
      <c r="M57" s="14">
        <v>804.05054302735925</v>
      </c>
      <c r="N57" s="14">
        <v>864.44518734551366</v>
      </c>
      <c r="O57" s="14">
        <v>917.55274033228045</v>
      </c>
    </row>
    <row r="58" spans="1:15" x14ac:dyDescent="0.3">
      <c r="A58" s="3" t="str">
        <f>INDEX('R1. Scenario specifications'!$C$11:$C$49,MATCH($B58,'R1. Scenario specifications'!$A$11:$A$49,0))</f>
        <v>Vivid BAU - WEO Current Policies Scenario emissions pathway run through TIAM</v>
      </c>
      <c r="B58" s="3" t="s">
        <v>13</v>
      </c>
      <c r="C58" s="3" t="s">
        <v>300</v>
      </c>
      <c r="D58" s="3" t="s">
        <v>327</v>
      </c>
      <c r="E58" s="14">
        <v>3714.1238642586795</v>
      </c>
      <c r="F58" s="14">
        <v>9330.1855749493734</v>
      </c>
      <c r="G58" s="14">
        <v>16243.860082075678</v>
      </c>
      <c r="H58" s="14">
        <v>15099.809730699641</v>
      </c>
      <c r="I58" s="14">
        <v>12196.783004768662</v>
      </c>
      <c r="J58" s="14">
        <v>12132.906800318578</v>
      </c>
      <c r="K58" s="14">
        <v>7712.1815078977716</v>
      </c>
      <c r="L58" s="14">
        <v>7871.3298730291572</v>
      </c>
      <c r="M58" s="14">
        <v>7785.5859221277797</v>
      </c>
      <c r="N58" s="14">
        <v>8132.1630511006551</v>
      </c>
      <c r="O58" s="14">
        <v>6696.0875897402093</v>
      </c>
    </row>
    <row r="59" spans="1:15" x14ac:dyDescent="0.3">
      <c r="A59" s="3" t="str">
        <f>INDEX('R1. Scenario specifications'!$C$11:$C$49,MATCH($B59,'R1. Scenario specifications'!$A$11:$A$49,0))</f>
        <v>Vivid BAU - WEO Current Policies Scenario emissions pathway run through TIAM</v>
      </c>
      <c r="B59" s="3" t="s">
        <v>13</v>
      </c>
      <c r="C59" s="3" t="s">
        <v>301</v>
      </c>
      <c r="D59" s="3" t="s">
        <v>328</v>
      </c>
      <c r="E59" s="14">
        <v>0</v>
      </c>
      <c r="F59" s="14">
        <v>0</v>
      </c>
      <c r="G59" s="14">
        <v>92.306852962777</v>
      </c>
      <c r="H59" s="14">
        <v>1503.2694141973941</v>
      </c>
      <c r="I59" s="14">
        <v>1687.7350693641056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</row>
    <row r="60" spans="1:15" x14ac:dyDescent="0.3">
      <c r="A60" s="3" t="str">
        <f>INDEX('R1. Scenario specifications'!$C$11:$C$49,MATCH($B60,'R1. Scenario specifications'!$A$11:$A$49,0))</f>
        <v>Vivid BAU - WEO Current Policies Scenario emissions pathway run through TIAM</v>
      </c>
      <c r="B60" s="3" t="s">
        <v>13</v>
      </c>
      <c r="C60" s="3" t="s">
        <v>303</v>
      </c>
      <c r="D60" s="3" t="s">
        <v>329</v>
      </c>
      <c r="E60" s="14">
        <v>0</v>
      </c>
      <c r="F60" s="14">
        <v>0</v>
      </c>
      <c r="G60" s="14">
        <v>0</v>
      </c>
      <c r="H60" s="14">
        <v>3239.5994658359714</v>
      </c>
      <c r="I60" s="14">
        <v>2821.5738682608658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</row>
    <row r="61" spans="1:15" x14ac:dyDescent="0.3">
      <c r="A61" s="3" t="str">
        <f>INDEX('R1. Scenario specifications'!$C$11:$C$49,MATCH($B61,'R1. Scenario specifications'!$A$11:$A$49,0))</f>
        <v>Vivid Paris NDCs - WEO New Policies Scenario emissions pathway run through TIAM</v>
      </c>
      <c r="B61" s="3" t="s">
        <v>14</v>
      </c>
      <c r="C61" s="3" t="s">
        <v>298</v>
      </c>
      <c r="D61" s="3" t="s">
        <v>325</v>
      </c>
      <c r="E61" s="14">
        <v>5.283714066875322</v>
      </c>
      <c r="F61" s="14">
        <v>40.935839939176851</v>
      </c>
      <c r="G61" s="14">
        <v>1010.9701631029815</v>
      </c>
      <c r="H61" s="14">
        <v>1524.3877289706661</v>
      </c>
      <c r="I61" s="14">
        <v>2252.7129147010387</v>
      </c>
      <c r="J61" s="14">
        <v>2962.9407229908252</v>
      </c>
      <c r="K61" s="14">
        <v>1783.6758079482206</v>
      </c>
      <c r="L61" s="14">
        <v>2123.0481675706733</v>
      </c>
      <c r="M61" s="14">
        <v>2251.3169776181144</v>
      </c>
      <c r="N61" s="14">
        <v>2440.3158027997542</v>
      </c>
      <c r="O61" s="14">
        <v>4038.0778824058461</v>
      </c>
    </row>
    <row r="62" spans="1:15" x14ac:dyDescent="0.3">
      <c r="A62" s="3" t="str">
        <f>INDEX('R1. Scenario specifications'!$C$11:$C$49,MATCH($B62,'R1. Scenario specifications'!$A$11:$A$49,0))</f>
        <v>Vivid Paris NDCs - WEO New Policies Scenario emissions pathway run through TIAM</v>
      </c>
      <c r="B62" s="3" t="s">
        <v>14</v>
      </c>
      <c r="C62" s="3" t="s">
        <v>299</v>
      </c>
      <c r="D62" s="3" t="s">
        <v>324</v>
      </c>
      <c r="E62" s="14">
        <v>0</v>
      </c>
      <c r="F62" s="14">
        <v>0</v>
      </c>
      <c r="G62" s="14">
        <v>55.300000000000061</v>
      </c>
      <c r="H62" s="14">
        <v>511.41867088878001</v>
      </c>
      <c r="I62" s="14">
        <v>4746.748657923159</v>
      </c>
      <c r="J62" s="14">
        <v>12590.519901368216</v>
      </c>
      <c r="K62" s="14">
        <v>18058.832894070591</v>
      </c>
      <c r="L62" s="14">
        <v>20024.882702086408</v>
      </c>
      <c r="M62" s="14">
        <v>21533.970001480164</v>
      </c>
      <c r="N62" s="14">
        <v>23191.618795607777</v>
      </c>
      <c r="O62" s="14">
        <v>25105.53571143419</v>
      </c>
    </row>
    <row r="63" spans="1:15" x14ac:dyDescent="0.3">
      <c r="A63" s="3" t="str">
        <f>INDEX('R1. Scenario specifications'!$C$11:$C$49,MATCH($B63,'R1. Scenario specifications'!$A$11:$A$49,0))</f>
        <v>Vivid Paris NDCs - WEO New Policies Scenario emissions pathway run through TIAM</v>
      </c>
      <c r="B63" s="3" t="s">
        <v>14</v>
      </c>
      <c r="C63" s="3" t="s">
        <v>302</v>
      </c>
      <c r="D63" s="3" t="s">
        <v>326</v>
      </c>
      <c r="E63" s="14">
        <v>0</v>
      </c>
      <c r="F63" s="14">
        <v>0</v>
      </c>
      <c r="G63" s="14">
        <v>137.17533571710985</v>
      </c>
      <c r="H63" s="14">
        <v>435.43586128689685</v>
      </c>
      <c r="I63" s="14">
        <v>446.57985731620226</v>
      </c>
      <c r="J63" s="14">
        <v>721.74075429728941</v>
      </c>
      <c r="K63" s="14">
        <v>685.33481023637944</v>
      </c>
      <c r="L63" s="14">
        <v>768.84449363163287</v>
      </c>
      <c r="M63" s="14">
        <v>804.8866623483874</v>
      </c>
      <c r="N63" s="14">
        <v>865.3619528032159</v>
      </c>
      <c r="O63" s="14">
        <v>917.51872336553834</v>
      </c>
    </row>
    <row r="64" spans="1:15" x14ac:dyDescent="0.3">
      <c r="A64" s="3" t="str">
        <f>INDEX('R1. Scenario specifications'!$C$11:$C$49,MATCH($B64,'R1. Scenario specifications'!$A$11:$A$49,0))</f>
        <v>Vivid Paris NDCs - WEO New Policies Scenario emissions pathway run through TIAM</v>
      </c>
      <c r="B64" s="3" t="s">
        <v>14</v>
      </c>
      <c r="C64" s="3" t="s">
        <v>300</v>
      </c>
      <c r="D64" s="3" t="s">
        <v>327</v>
      </c>
      <c r="E64" s="14">
        <v>3713.3499864076566</v>
      </c>
      <c r="F64" s="14">
        <v>9326.5813623263857</v>
      </c>
      <c r="G64" s="14">
        <v>16373.844252739889</v>
      </c>
      <c r="H64" s="14">
        <v>15585.649202815215</v>
      </c>
      <c r="I64" s="14">
        <v>12376.508490397815</v>
      </c>
      <c r="J64" s="14">
        <v>10956.103861789159</v>
      </c>
      <c r="K64" s="14">
        <v>7736.3581356980012</v>
      </c>
      <c r="L64" s="14">
        <v>7770.6699905337182</v>
      </c>
      <c r="M64" s="14">
        <v>7933.1584524306381</v>
      </c>
      <c r="N64" s="14">
        <v>8130.0988265003252</v>
      </c>
      <c r="O64" s="14">
        <v>6697.9467794543089</v>
      </c>
    </row>
    <row r="65" spans="1:15" x14ac:dyDescent="0.3">
      <c r="A65" s="3" t="str">
        <f>INDEX('R1. Scenario specifications'!$C$11:$C$49,MATCH($B65,'R1. Scenario specifications'!$A$11:$A$49,0))</f>
        <v>Vivid Paris NDCs - WEO New Policies Scenario emissions pathway run through TIAM</v>
      </c>
      <c r="B65" s="3" t="s">
        <v>14</v>
      </c>
      <c r="C65" s="3" t="s">
        <v>301</v>
      </c>
      <c r="D65" s="3" t="s">
        <v>328</v>
      </c>
      <c r="E65" s="14">
        <v>0</v>
      </c>
      <c r="F65" s="14">
        <v>0</v>
      </c>
      <c r="G65" s="14">
        <v>94.260834870759595</v>
      </c>
      <c r="H65" s="14">
        <v>1599.9746126235134</v>
      </c>
      <c r="I65" s="14">
        <v>828.78345025077408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</row>
    <row r="66" spans="1:15" x14ac:dyDescent="0.3">
      <c r="A66" s="3" t="str">
        <f>INDEX('R1. Scenario specifications'!$C$11:$C$49,MATCH($B66,'R1. Scenario specifications'!$A$11:$A$49,0))</f>
        <v>Vivid Paris NDCs - WEO New Policies Scenario emissions pathway run through TIAM</v>
      </c>
      <c r="B66" s="3" t="s">
        <v>14</v>
      </c>
      <c r="C66" s="3" t="s">
        <v>303</v>
      </c>
      <c r="D66" s="3" t="s">
        <v>329</v>
      </c>
      <c r="E66" s="14">
        <v>0</v>
      </c>
      <c r="F66" s="14">
        <v>0</v>
      </c>
      <c r="G66" s="14">
        <v>0</v>
      </c>
      <c r="H66" s="14">
        <v>3040.2453409136619</v>
      </c>
      <c r="I66" s="14">
        <v>992.14879716601308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</row>
    <row r="67" spans="1:15" x14ac:dyDescent="0.3">
      <c r="A67" s="3" t="str">
        <f>INDEX('R1. Scenario specifications'!$C$11:$C$49,MATCH($B67,'R1. Scenario specifications'!$A$11:$A$49,0))</f>
        <v>Current 2DS, 2020 start, 'Expect the Unexpected'</v>
      </c>
      <c r="B67" s="3" t="s">
        <v>15</v>
      </c>
      <c r="C67" s="3" t="s">
        <v>298</v>
      </c>
      <c r="D67" s="3" t="s">
        <v>325</v>
      </c>
      <c r="E67" s="14">
        <v>5.283714066875322</v>
      </c>
      <c r="F67" s="14">
        <v>40.935839939176851</v>
      </c>
      <c r="G67" s="14">
        <v>1010.9701631029815</v>
      </c>
      <c r="H67" s="14">
        <v>1250.3938066101891</v>
      </c>
      <c r="I67" s="14">
        <v>1912.3966805555337</v>
      </c>
      <c r="J67" s="14">
        <v>2357.2706036195209</v>
      </c>
      <c r="K67" s="14">
        <v>1064.1091124871357</v>
      </c>
      <c r="L67" s="14">
        <v>444.43525654250777</v>
      </c>
      <c r="M67" s="14">
        <v>294.73263197066302</v>
      </c>
      <c r="N67" s="14">
        <v>740.1830540065115</v>
      </c>
      <c r="O67" s="14">
        <v>1469.9957686509338</v>
      </c>
    </row>
    <row r="68" spans="1:15" x14ac:dyDescent="0.3">
      <c r="A68" s="3" t="str">
        <f>INDEX('R1. Scenario specifications'!$C$11:$C$49,MATCH($B68,'R1. Scenario specifications'!$A$11:$A$49,0))</f>
        <v>Current 2DS, 2020 start, 'Expect the Unexpected'</v>
      </c>
      <c r="B68" s="3" t="s">
        <v>15</v>
      </c>
      <c r="C68" s="3" t="s">
        <v>299</v>
      </c>
      <c r="D68" s="3" t="s">
        <v>324</v>
      </c>
      <c r="E68" s="14">
        <v>0</v>
      </c>
      <c r="F68" s="14">
        <v>0</v>
      </c>
      <c r="G68" s="14">
        <v>55.300000000000061</v>
      </c>
      <c r="H68" s="14">
        <v>554.62990308928306</v>
      </c>
      <c r="I68" s="14">
        <v>5376.5475367405797</v>
      </c>
      <c r="J68" s="14">
        <v>13209.691522752013</v>
      </c>
      <c r="K68" s="14">
        <v>18363.213727340117</v>
      </c>
      <c r="L68" s="14">
        <v>20117.068178000922</v>
      </c>
      <c r="M68" s="14">
        <v>23797.994995439076</v>
      </c>
      <c r="N68" s="14">
        <v>26742.868647473108</v>
      </c>
      <c r="O68" s="14">
        <v>29256.516443468885</v>
      </c>
    </row>
    <row r="69" spans="1:15" x14ac:dyDescent="0.3">
      <c r="A69" s="3" t="str">
        <f>INDEX('R1. Scenario specifications'!$C$11:$C$49,MATCH($B69,'R1. Scenario specifications'!$A$11:$A$49,0))</f>
        <v>Current 2DS, 2020 start, 'Expect the Unexpected'</v>
      </c>
      <c r="B69" s="3" t="s">
        <v>15</v>
      </c>
      <c r="C69" s="3" t="s">
        <v>302</v>
      </c>
      <c r="D69" s="3" t="s">
        <v>326</v>
      </c>
      <c r="E69" s="14">
        <v>0</v>
      </c>
      <c r="F69" s="14">
        <v>0</v>
      </c>
      <c r="G69" s="14">
        <v>137.17533571710985</v>
      </c>
      <c r="H69" s="14">
        <v>434.28794031660675</v>
      </c>
      <c r="I69" s="14">
        <v>449.78650763164632</v>
      </c>
      <c r="J69" s="14">
        <v>720.33405755567321</v>
      </c>
      <c r="K69" s="14">
        <v>685.19768021699372</v>
      </c>
      <c r="L69" s="14">
        <v>760.76693750296567</v>
      </c>
      <c r="M69" s="14">
        <v>798.7565643960138</v>
      </c>
      <c r="N69" s="14">
        <v>863.44824000173082</v>
      </c>
      <c r="O69" s="14">
        <v>916.46162503563255</v>
      </c>
    </row>
    <row r="70" spans="1:15" x14ac:dyDescent="0.3">
      <c r="A70" s="3" t="str">
        <f>INDEX('R1. Scenario specifications'!$C$11:$C$49,MATCH($B70,'R1. Scenario specifications'!$A$11:$A$49,0))</f>
        <v>Current 2DS, 2020 start, 'Expect the Unexpected'</v>
      </c>
      <c r="B70" s="3" t="s">
        <v>15</v>
      </c>
      <c r="C70" s="3" t="s">
        <v>300</v>
      </c>
      <c r="D70" s="3" t="s">
        <v>327</v>
      </c>
      <c r="E70" s="14">
        <v>3713.3499864076566</v>
      </c>
      <c r="F70" s="14">
        <v>9326.5813623263857</v>
      </c>
      <c r="G70" s="14">
        <v>16373.844252739889</v>
      </c>
      <c r="H70" s="14">
        <v>15822.099628537764</v>
      </c>
      <c r="I70" s="14">
        <v>12645.180770477902</v>
      </c>
      <c r="J70" s="14">
        <v>10893.878704765588</v>
      </c>
      <c r="K70" s="14">
        <v>8169.2750537459551</v>
      </c>
      <c r="L70" s="14">
        <v>9047.6435084117493</v>
      </c>
      <c r="M70" s="14">
        <v>7314.661470208719</v>
      </c>
      <c r="N70" s="14">
        <v>5645.2177791966333</v>
      </c>
      <c r="O70" s="14">
        <v>4568.9504529775704</v>
      </c>
    </row>
    <row r="71" spans="1:15" x14ac:dyDescent="0.3">
      <c r="A71" s="3" t="str">
        <f>INDEX('R1. Scenario specifications'!$C$11:$C$49,MATCH($B71,'R1. Scenario specifications'!$A$11:$A$49,0))</f>
        <v>Current 2DS, 2020 start, 'Expect the Unexpected'</v>
      </c>
      <c r="B71" s="3" t="s">
        <v>15</v>
      </c>
      <c r="C71" s="3" t="s">
        <v>301</v>
      </c>
      <c r="D71" s="3" t="s">
        <v>328</v>
      </c>
      <c r="E71" s="14">
        <v>0</v>
      </c>
      <c r="F71" s="14">
        <v>0</v>
      </c>
      <c r="G71" s="14">
        <v>94.260834870759595</v>
      </c>
      <c r="H71" s="14">
        <v>1596.4148336513342</v>
      </c>
      <c r="I71" s="14">
        <v>129.46968993238397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</row>
    <row r="72" spans="1:15" x14ac:dyDescent="0.3">
      <c r="A72" s="3" t="str">
        <f>INDEX('R1. Scenario specifications'!$C$11:$C$49,MATCH($B72,'R1. Scenario specifications'!$A$11:$A$49,0))</f>
        <v>Current 2DS, 2020 start, 'Expect the Unexpected'</v>
      </c>
      <c r="B72" s="3" t="s">
        <v>15</v>
      </c>
      <c r="C72" s="3" t="s">
        <v>303</v>
      </c>
      <c r="D72" s="3" t="s">
        <v>329</v>
      </c>
      <c r="E72" s="14">
        <v>0</v>
      </c>
      <c r="F72" s="14">
        <v>0</v>
      </c>
      <c r="G72" s="14">
        <v>0</v>
      </c>
      <c r="H72" s="14">
        <v>2981.889256779049</v>
      </c>
      <c r="I72" s="14">
        <v>1249.9949533561271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</row>
    <row r="73" spans="1:15" x14ac:dyDescent="0.3">
      <c r="A73" s="3" t="str">
        <f>INDEX('R1. Scenario specifications'!$C$11:$C$49,MATCH($B73,'R1. Scenario specifications'!$A$11:$A$49,0))</f>
        <v>Current 2DS, 2030 start, 'Expect the Unexpected' but with cheap energy efficiency</v>
      </c>
      <c r="B73" s="3" t="s">
        <v>16</v>
      </c>
      <c r="C73" s="3" t="s">
        <v>298</v>
      </c>
      <c r="D73" s="3" t="s">
        <v>325</v>
      </c>
      <c r="E73" s="14">
        <v>5.283714066875322</v>
      </c>
      <c r="F73" s="14">
        <v>40.935839939176851</v>
      </c>
      <c r="G73" s="14">
        <v>1010.9701631029815</v>
      </c>
      <c r="H73" s="14">
        <v>1524.3877289706661</v>
      </c>
      <c r="I73" s="14">
        <v>1751.2720362443947</v>
      </c>
      <c r="J73" s="14">
        <v>2273.7239259126068</v>
      </c>
      <c r="K73" s="14">
        <v>955.77590525745825</v>
      </c>
      <c r="L73" s="14">
        <v>382.3721284714876</v>
      </c>
      <c r="M73" s="14">
        <v>364.2729313051849</v>
      </c>
      <c r="N73" s="14">
        <v>749.53204420164718</v>
      </c>
      <c r="O73" s="14">
        <v>1489.6400399947213</v>
      </c>
    </row>
    <row r="74" spans="1:15" x14ac:dyDescent="0.3">
      <c r="A74" s="3" t="str">
        <f>INDEX('R1. Scenario specifications'!$C$11:$C$49,MATCH($B74,'R1. Scenario specifications'!$A$11:$A$49,0))</f>
        <v>Current 2DS, 2030 start, 'Expect the Unexpected' but with cheap energy efficiency</v>
      </c>
      <c r="B74" s="3" t="s">
        <v>16</v>
      </c>
      <c r="C74" s="3" t="s">
        <v>299</v>
      </c>
      <c r="D74" s="3" t="s">
        <v>324</v>
      </c>
      <c r="E74" s="14">
        <v>0</v>
      </c>
      <c r="F74" s="14">
        <v>0</v>
      </c>
      <c r="G74" s="14">
        <v>55.300000000000061</v>
      </c>
      <c r="H74" s="14">
        <v>511.41867088878001</v>
      </c>
      <c r="I74" s="14">
        <v>4305.5951494901155</v>
      </c>
      <c r="J74" s="14">
        <v>10617.271804285687</v>
      </c>
      <c r="K74" s="14">
        <v>14098.544523802566</v>
      </c>
      <c r="L74" s="14">
        <v>15667.651677715394</v>
      </c>
      <c r="M74" s="14">
        <v>17825.138825199298</v>
      </c>
      <c r="N74" s="14">
        <v>20359.06478902062</v>
      </c>
      <c r="O74" s="14">
        <v>22592.712654128914</v>
      </c>
    </row>
    <row r="75" spans="1:15" x14ac:dyDescent="0.3">
      <c r="A75" s="3" t="str">
        <f>INDEX('R1. Scenario specifications'!$C$11:$C$49,MATCH($B75,'R1. Scenario specifications'!$A$11:$A$49,0))</f>
        <v>Current 2DS, 2030 start, 'Expect the Unexpected' but with cheap energy efficiency</v>
      </c>
      <c r="B75" s="3" t="s">
        <v>16</v>
      </c>
      <c r="C75" s="3" t="s">
        <v>302</v>
      </c>
      <c r="D75" s="3" t="s">
        <v>326</v>
      </c>
      <c r="E75" s="14">
        <v>0</v>
      </c>
      <c r="F75" s="14">
        <v>0</v>
      </c>
      <c r="G75" s="14">
        <v>137.17533571710985</v>
      </c>
      <c r="H75" s="14">
        <v>435.43586128689685</v>
      </c>
      <c r="I75" s="14">
        <v>342.96101847702755</v>
      </c>
      <c r="J75" s="14">
        <v>573.51182693620467</v>
      </c>
      <c r="K75" s="14">
        <v>534.46631613246961</v>
      </c>
      <c r="L75" s="14">
        <v>598.2890047966805</v>
      </c>
      <c r="M75" s="14">
        <v>625.27147694996881</v>
      </c>
      <c r="N75" s="14">
        <v>671.2117737291029</v>
      </c>
      <c r="O75" s="14">
        <v>725.93511093464281</v>
      </c>
    </row>
    <row r="76" spans="1:15" x14ac:dyDescent="0.3">
      <c r="A76" s="3" t="str">
        <f>INDEX('R1. Scenario specifications'!$C$11:$C$49,MATCH($B76,'R1. Scenario specifications'!$A$11:$A$49,0))</f>
        <v>Current 2DS, 2030 start, 'Expect the Unexpected' but with cheap energy efficiency</v>
      </c>
      <c r="B76" s="3" t="s">
        <v>16</v>
      </c>
      <c r="C76" s="3" t="s">
        <v>300</v>
      </c>
      <c r="D76" s="3" t="s">
        <v>327</v>
      </c>
      <c r="E76" s="14">
        <v>3713.3499864076566</v>
      </c>
      <c r="F76" s="14">
        <v>9326.5813623263857</v>
      </c>
      <c r="G76" s="14">
        <v>16373.844252739889</v>
      </c>
      <c r="H76" s="14">
        <v>15585.649202815215</v>
      </c>
      <c r="I76" s="14">
        <v>10176.013601208988</v>
      </c>
      <c r="J76" s="14">
        <v>8796.0720470563665</v>
      </c>
      <c r="K76" s="14">
        <v>7418.1870785351339</v>
      </c>
      <c r="L76" s="14">
        <v>8125.3147798296286</v>
      </c>
      <c r="M76" s="14">
        <v>7413.380040056295</v>
      </c>
      <c r="N76" s="14">
        <v>6046.570860460346</v>
      </c>
      <c r="O76" s="14">
        <v>4599.0028925440747</v>
      </c>
    </row>
    <row r="77" spans="1:15" x14ac:dyDescent="0.3">
      <c r="A77" s="3" t="str">
        <f>INDEX('R1. Scenario specifications'!$C$11:$C$49,MATCH($B77,'R1. Scenario specifications'!$A$11:$A$49,0))</f>
        <v>Current 2DS, 2030 start, 'Expect the Unexpected' but with cheap energy efficiency</v>
      </c>
      <c r="B77" s="3" t="s">
        <v>16</v>
      </c>
      <c r="C77" s="3" t="s">
        <v>301</v>
      </c>
      <c r="D77" s="3" t="s">
        <v>328</v>
      </c>
      <c r="E77" s="14">
        <v>0</v>
      </c>
      <c r="F77" s="14">
        <v>0</v>
      </c>
      <c r="G77" s="14">
        <v>94.260834870759595</v>
      </c>
      <c r="H77" s="14">
        <v>1599.9746126235134</v>
      </c>
      <c r="I77" s="14">
        <v>162.82927271525509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</row>
    <row r="78" spans="1:15" x14ac:dyDescent="0.3">
      <c r="A78" s="3" t="str">
        <f>INDEX('R1. Scenario specifications'!$C$11:$C$49,MATCH($B78,'R1. Scenario specifications'!$A$11:$A$49,0))</f>
        <v>Current 2DS, 2030 start, 'Expect the Unexpected' but with cheap energy efficiency</v>
      </c>
      <c r="B78" s="3" t="s">
        <v>16</v>
      </c>
      <c r="C78" s="3" t="s">
        <v>303</v>
      </c>
      <c r="D78" s="3" t="s">
        <v>329</v>
      </c>
      <c r="E78" s="14">
        <v>0</v>
      </c>
      <c r="F78" s="14">
        <v>0</v>
      </c>
      <c r="G78" s="14">
        <v>0</v>
      </c>
      <c r="H78" s="14">
        <v>3040.2453409136619</v>
      </c>
      <c r="I78" s="14">
        <v>779.29501471486299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</row>
    <row r="79" spans="1:15" x14ac:dyDescent="0.3">
      <c r="A79" s="3" t="str">
        <f>INDEX('R1. Scenario specifications'!$C$11:$C$49,MATCH($B79,'R1. Scenario specifications'!$A$11:$A$49,0))</f>
        <v>Current 2DS, 2020 start, 'Expect the Unexpected' but with most conservative biomass CCS / NET technology cost assumptions</v>
      </c>
      <c r="B79" s="3" t="s">
        <v>17</v>
      </c>
      <c r="C79" s="3" t="s">
        <v>298</v>
      </c>
      <c r="D79" s="3" t="s">
        <v>325</v>
      </c>
      <c r="E79" s="14">
        <v>5.283714066875322</v>
      </c>
      <c r="F79" s="14">
        <v>40.935839939176851</v>
      </c>
      <c r="G79" s="14">
        <v>1010.9701631029815</v>
      </c>
      <c r="H79" s="14">
        <v>1250.3938066102003</v>
      </c>
      <c r="I79" s="14">
        <v>1958.6059940934051</v>
      </c>
      <c r="J79" s="14">
        <v>2394.9931853568778</v>
      </c>
      <c r="K79" s="14">
        <v>1064.2525584853788</v>
      </c>
      <c r="L79" s="14">
        <v>403.60070955446878</v>
      </c>
      <c r="M79" s="14">
        <v>271.76577483885904</v>
      </c>
      <c r="N79" s="14">
        <v>752.82563621314694</v>
      </c>
      <c r="O79" s="14">
        <v>1467.9658094844544</v>
      </c>
    </row>
    <row r="80" spans="1:15" x14ac:dyDescent="0.3">
      <c r="A80" s="3" t="str">
        <f>INDEX('R1. Scenario specifications'!$C$11:$C$49,MATCH($B80,'R1. Scenario specifications'!$A$11:$A$49,0))</f>
        <v>Current 2DS, 2020 start, 'Expect the Unexpected' but with most conservative biomass CCS / NET technology cost assumptions</v>
      </c>
      <c r="B80" s="3" t="s">
        <v>17</v>
      </c>
      <c r="C80" s="3" t="s">
        <v>299</v>
      </c>
      <c r="D80" s="3" t="s">
        <v>324</v>
      </c>
      <c r="E80" s="14">
        <v>0</v>
      </c>
      <c r="F80" s="14">
        <v>0</v>
      </c>
      <c r="G80" s="14">
        <v>55.300000000000061</v>
      </c>
      <c r="H80" s="14">
        <v>554.62990308928306</v>
      </c>
      <c r="I80" s="14">
        <v>5376.5475367405797</v>
      </c>
      <c r="J80" s="14">
        <v>13208.823304269523</v>
      </c>
      <c r="K80" s="14">
        <v>18341.940854089793</v>
      </c>
      <c r="L80" s="14">
        <v>20035.079043501326</v>
      </c>
      <c r="M80" s="14">
        <v>23796.825111744474</v>
      </c>
      <c r="N80" s="14">
        <v>26734.090757956139</v>
      </c>
      <c r="O80" s="14">
        <v>29255.177145351125</v>
      </c>
    </row>
    <row r="81" spans="1:15" x14ac:dyDescent="0.3">
      <c r="A81" s="3" t="str">
        <f>INDEX('R1. Scenario specifications'!$C$11:$C$49,MATCH($B81,'R1. Scenario specifications'!$A$11:$A$49,0))</f>
        <v>Current 2DS, 2020 start, 'Expect the Unexpected' but with most conservative biomass CCS / NET technology cost assumptions</v>
      </c>
      <c r="B81" s="3" t="s">
        <v>17</v>
      </c>
      <c r="C81" s="3" t="s">
        <v>302</v>
      </c>
      <c r="D81" s="3" t="s">
        <v>326</v>
      </c>
      <c r="E81" s="14">
        <v>0</v>
      </c>
      <c r="F81" s="14">
        <v>0</v>
      </c>
      <c r="G81" s="14">
        <v>137.17533571710985</v>
      </c>
      <c r="H81" s="14">
        <v>434.28794031660675</v>
      </c>
      <c r="I81" s="14">
        <v>449.78650763164632</v>
      </c>
      <c r="J81" s="14">
        <v>720.33405755567435</v>
      </c>
      <c r="K81" s="14">
        <v>685.19768021699326</v>
      </c>
      <c r="L81" s="14">
        <v>760.76693750296613</v>
      </c>
      <c r="M81" s="14">
        <v>798.75656439601312</v>
      </c>
      <c r="N81" s="14">
        <v>863.58750975775013</v>
      </c>
      <c r="O81" s="14">
        <v>916.38353828885738</v>
      </c>
    </row>
    <row r="82" spans="1:15" x14ac:dyDescent="0.3">
      <c r="A82" s="3" t="str">
        <f>INDEX('R1. Scenario specifications'!$C$11:$C$49,MATCH($B82,'R1. Scenario specifications'!$A$11:$A$49,0))</f>
        <v>Current 2DS, 2020 start, 'Expect the Unexpected' but with most conservative biomass CCS / NET technology cost assumptions</v>
      </c>
      <c r="B82" s="3" t="s">
        <v>17</v>
      </c>
      <c r="C82" s="3" t="s">
        <v>300</v>
      </c>
      <c r="D82" s="3" t="s">
        <v>327</v>
      </c>
      <c r="E82" s="14">
        <v>3713.3499864076566</v>
      </c>
      <c r="F82" s="14">
        <v>9326.5813623263857</v>
      </c>
      <c r="G82" s="14">
        <v>16373.844252739889</v>
      </c>
      <c r="H82" s="14">
        <v>15822.099628537753</v>
      </c>
      <c r="I82" s="14">
        <v>12598.971456940031</v>
      </c>
      <c r="J82" s="14">
        <v>10858.216109990408</v>
      </c>
      <c r="K82" s="14">
        <v>8189.7362718609793</v>
      </c>
      <c r="L82" s="14">
        <v>9170.8418461001966</v>
      </c>
      <c r="M82" s="14">
        <v>7338.5881461601894</v>
      </c>
      <c r="N82" s="14">
        <v>5645.9739226037873</v>
      </c>
      <c r="O82" s="14">
        <v>4570.9143740592135</v>
      </c>
    </row>
    <row r="83" spans="1:15" x14ac:dyDescent="0.3">
      <c r="A83" s="3" t="str">
        <f>INDEX('R1. Scenario specifications'!$C$11:$C$49,MATCH($B83,'R1. Scenario specifications'!$A$11:$A$49,0))</f>
        <v>Current 2DS, 2020 start, 'Expect the Unexpected' but with most conservative biomass CCS / NET technology cost assumptions</v>
      </c>
      <c r="B83" s="3" t="s">
        <v>17</v>
      </c>
      <c r="C83" s="3" t="s">
        <v>301</v>
      </c>
      <c r="D83" s="3" t="s">
        <v>328</v>
      </c>
      <c r="E83" s="14">
        <v>0</v>
      </c>
      <c r="F83" s="14">
        <v>0</v>
      </c>
      <c r="G83" s="14">
        <v>94.260834870759595</v>
      </c>
      <c r="H83" s="14">
        <v>1596.4148336513342</v>
      </c>
      <c r="I83" s="14">
        <v>129.46968993238397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1:15" x14ac:dyDescent="0.3">
      <c r="A84" s="3" t="str">
        <f>INDEX('R1. Scenario specifications'!$C$11:$C$49,MATCH($B84,'R1. Scenario specifications'!$A$11:$A$49,0))</f>
        <v>Current 2DS, 2020 start, 'Expect the Unexpected' but with most conservative biomass CCS / NET technology cost assumptions</v>
      </c>
      <c r="B84" s="3" t="s">
        <v>17</v>
      </c>
      <c r="C84" s="3" t="s">
        <v>303</v>
      </c>
      <c r="D84" s="3" t="s">
        <v>329</v>
      </c>
      <c r="E84" s="14">
        <v>0</v>
      </c>
      <c r="F84" s="14">
        <v>0</v>
      </c>
      <c r="G84" s="14">
        <v>0</v>
      </c>
      <c r="H84" s="14">
        <v>2981.889256779049</v>
      </c>
      <c r="I84" s="14">
        <v>1249.9949533561271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</row>
    <row r="85" spans="1:15" x14ac:dyDescent="0.3">
      <c r="A85" s="3" t="str">
        <f>INDEX('R1. Scenario specifications'!$C$11:$C$49,MATCH($B85,'R1. Scenario specifications'!$A$11:$A$49,0))</f>
        <v>Current 2DS, 2030 start, 'Expect the Unexpected' but with most conservative biomass CCS / NET technology cost assumptions</v>
      </c>
      <c r="B85" s="3" t="s">
        <v>18</v>
      </c>
      <c r="C85" s="3" t="s">
        <v>298</v>
      </c>
      <c r="D85" s="3" t="s">
        <v>325</v>
      </c>
      <c r="E85" s="14">
        <v>5.283714066875322</v>
      </c>
      <c r="F85" s="14">
        <v>40.935839939176851</v>
      </c>
      <c r="G85" s="14">
        <v>1010.9701631029815</v>
      </c>
      <c r="H85" s="14">
        <v>1524.3877289706661</v>
      </c>
      <c r="I85" s="14">
        <v>1816.6408517129516</v>
      </c>
      <c r="J85" s="14">
        <v>1978.4834676583553</v>
      </c>
      <c r="K85" s="14">
        <v>900.34782898987305</v>
      </c>
      <c r="L85" s="14">
        <v>489.68138918073709</v>
      </c>
      <c r="M85" s="14">
        <v>404.23848754993537</v>
      </c>
      <c r="N85" s="14">
        <v>786.6360888672516</v>
      </c>
      <c r="O85" s="14">
        <v>1624.4977747276548</v>
      </c>
    </row>
    <row r="86" spans="1:15" x14ac:dyDescent="0.3">
      <c r="A86" s="3" t="str">
        <f>INDEX('R1. Scenario specifications'!$C$11:$C$49,MATCH($B86,'R1. Scenario specifications'!$A$11:$A$49,0))</f>
        <v>Current 2DS, 2030 start, 'Expect the Unexpected' but with most conservative biomass CCS / NET technology cost assumptions</v>
      </c>
      <c r="B86" s="3" t="s">
        <v>18</v>
      </c>
      <c r="C86" s="3" t="s">
        <v>299</v>
      </c>
      <c r="D86" s="3" t="s">
        <v>324</v>
      </c>
      <c r="E86" s="14">
        <v>0</v>
      </c>
      <c r="F86" s="14">
        <v>0</v>
      </c>
      <c r="G86" s="14">
        <v>55.300000000000061</v>
      </c>
      <c r="H86" s="14">
        <v>511.41867088878001</v>
      </c>
      <c r="I86" s="14">
        <v>5103.8901350274746</v>
      </c>
      <c r="J86" s="14">
        <v>12977.476735202006</v>
      </c>
      <c r="K86" s="14">
        <v>18072.607289353004</v>
      </c>
      <c r="L86" s="14">
        <v>20404.423749900725</v>
      </c>
      <c r="M86" s="14">
        <v>24589.485566023737</v>
      </c>
      <c r="N86" s="14">
        <v>26719.027289595862</v>
      </c>
      <c r="O86" s="14">
        <v>29291.668312177499</v>
      </c>
    </row>
    <row r="87" spans="1:15" x14ac:dyDescent="0.3">
      <c r="A87" s="3" t="str">
        <f>INDEX('R1. Scenario specifications'!$C$11:$C$49,MATCH($B87,'R1. Scenario specifications'!$A$11:$A$49,0))</f>
        <v>Current 2DS, 2030 start, 'Expect the Unexpected' but with most conservative biomass CCS / NET technology cost assumptions</v>
      </c>
      <c r="B87" s="3" t="s">
        <v>18</v>
      </c>
      <c r="C87" s="3" t="s">
        <v>302</v>
      </c>
      <c r="D87" s="3" t="s">
        <v>326</v>
      </c>
      <c r="E87" s="14">
        <v>0</v>
      </c>
      <c r="F87" s="14">
        <v>0</v>
      </c>
      <c r="G87" s="14">
        <v>137.17533571710985</v>
      </c>
      <c r="H87" s="14">
        <v>435.43586128689685</v>
      </c>
      <c r="I87" s="14">
        <v>449.14288322469247</v>
      </c>
      <c r="J87" s="14">
        <v>719.82022097472702</v>
      </c>
      <c r="K87" s="14">
        <v>673.48306434827123</v>
      </c>
      <c r="L87" s="14">
        <v>766.20402551935604</v>
      </c>
      <c r="M87" s="14">
        <v>796.27204048250439</v>
      </c>
      <c r="N87" s="14">
        <v>860.69915631594131</v>
      </c>
      <c r="O87" s="14">
        <v>917.20082038425699</v>
      </c>
    </row>
    <row r="88" spans="1:15" x14ac:dyDescent="0.3">
      <c r="A88" s="3" t="str">
        <f>INDEX('R1. Scenario specifications'!$C$11:$C$49,MATCH($B88,'R1. Scenario specifications'!$A$11:$A$49,0))</f>
        <v>Current 2DS, 2030 start, 'Expect the Unexpected' but with most conservative biomass CCS / NET technology cost assumptions</v>
      </c>
      <c r="B88" s="3" t="s">
        <v>18</v>
      </c>
      <c r="C88" s="3" t="s">
        <v>300</v>
      </c>
      <c r="D88" s="3" t="s">
        <v>327</v>
      </c>
      <c r="E88" s="14">
        <v>3713.3499864076566</v>
      </c>
      <c r="F88" s="14">
        <v>9326.5813623263857</v>
      </c>
      <c r="G88" s="14">
        <v>16373.844252739889</v>
      </c>
      <c r="H88" s="14">
        <v>15585.649202815215</v>
      </c>
      <c r="I88" s="14">
        <v>12772.635667191342</v>
      </c>
      <c r="J88" s="14">
        <v>11481.900640142663</v>
      </c>
      <c r="K88" s="14">
        <v>8346.3228707606759</v>
      </c>
      <c r="L88" s="14">
        <v>8796.1109133136579</v>
      </c>
      <c r="M88" s="14">
        <v>6390.0316122002187</v>
      </c>
      <c r="N88" s="14">
        <v>5483.2439083985173</v>
      </c>
      <c r="O88" s="14">
        <v>4349.0933715476458</v>
      </c>
    </row>
    <row r="89" spans="1:15" x14ac:dyDescent="0.3">
      <c r="A89" s="3" t="str">
        <f>INDEX('R1. Scenario specifications'!$C$11:$C$49,MATCH($B89,'R1. Scenario specifications'!$A$11:$A$49,0))</f>
        <v>Current 2DS, 2030 start, 'Expect the Unexpected' but with most conservative biomass CCS / NET technology cost assumptions</v>
      </c>
      <c r="B89" s="3" t="s">
        <v>18</v>
      </c>
      <c r="C89" s="3" t="s">
        <v>301</v>
      </c>
      <c r="D89" s="3" t="s">
        <v>328</v>
      </c>
      <c r="E89" s="14">
        <v>0</v>
      </c>
      <c r="F89" s="14">
        <v>0</v>
      </c>
      <c r="G89" s="14">
        <v>94.260834870759595</v>
      </c>
      <c r="H89" s="14">
        <v>1599.9746126235134</v>
      </c>
      <c r="I89" s="14">
        <v>143.78768070811429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</row>
    <row r="90" spans="1:15" x14ac:dyDescent="0.3">
      <c r="A90" s="3" t="str">
        <f>INDEX('R1. Scenario specifications'!$C$11:$C$49,MATCH($B90,'R1. Scenario specifications'!$A$11:$A$49,0))</f>
        <v>Current 2DS, 2030 start, 'Expect the Unexpected' but with most conservative biomass CCS / NET technology cost assumptions</v>
      </c>
      <c r="B90" s="3" t="s">
        <v>18</v>
      </c>
      <c r="C90" s="3" t="s">
        <v>303</v>
      </c>
      <c r="D90" s="3" t="s">
        <v>329</v>
      </c>
      <c r="E90" s="14">
        <v>0</v>
      </c>
      <c r="F90" s="14">
        <v>0</v>
      </c>
      <c r="G90" s="14">
        <v>0</v>
      </c>
      <c r="H90" s="14">
        <v>3040.2453409136619</v>
      </c>
      <c r="I90" s="14">
        <v>1459.905986230048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</row>
    <row r="91" spans="1:15" x14ac:dyDescent="0.3">
      <c r="A91" s="3" t="str">
        <f>INDEX('R1. Scenario specifications'!$C$11:$C$49,MATCH($B91,'R1. Scenario specifications'!$A$11:$A$49,0))</f>
        <v>Current 1.5DS, 2020 start, 'Expect the Unexpected'</v>
      </c>
      <c r="B91" s="3" t="s">
        <v>19</v>
      </c>
      <c r="C91" s="3" t="s">
        <v>298</v>
      </c>
      <c r="D91" s="3" t="s">
        <v>325</v>
      </c>
      <c r="E91" s="14">
        <v>5.283714066875322</v>
      </c>
      <c r="F91" s="14">
        <v>40.935839939176851</v>
      </c>
      <c r="G91" s="14">
        <v>1010.9701631029815</v>
      </c>
      <c r="H91" s="14">
        <v>786.200296362833</v>
      </c>
      <c r="I91" s="14">
        <v>919.82704981495954</v>
      </c>
      <c r="J91" s="14">
        <v>1400.9216632020436</v>
      </c>
      <c r="K91" s="14">
        <v>1524.961749124516</v>
      </c>
      <c r="L91" s="14">
        <v>289.48256105563644</v>
      </c>
      <c r="M91" s="14">
        <v>712.27835915800051</v>
      </c>
      <c r="N91" s="14">
        <v>845.57336331755641</v>
      </c>
      <c r="O91" s="14">
        <v>1801.0586361389182</v>
      </c>
    </row>
    <row r="92" spans="1:15" x14ac:dyDescent="0.3">
      <c r="A92" s="3" t="str">
        <f>INDEX('R1. Scenario specifications'!$C$11:$C$49,MATCH($B92,'R1. Scenario specifications'!$A$11:$A$49,0))</f>
        <v>Current 1.5DS, 2020 start, 'Expect the Unexpected'</v>
      </c>
      <c r="B92" s="3" t="s">
        <v>19</v>
      </c>
      <c r="C92" s="3" t="s">
        <v>299</v>
      </c>
      <c r="D92" s="3" t="s">
        <v>324</v>
      </c>
      <c r="E92" s="14">
        <v>0</v>
      </c>
      <c r="F92" s="14">
        <v>0</v>
      </c>
      <c r="G92" s="14">
        <v>55.300000000000061</v>
      </c>
      <c r="H92" s="14">
        <v>648.60333079607267</v>
      </c>
      <c r="I92" s="14">
        <v>2657.477069717067</v>
      </c>
      <c r="J92" s="14">
        <v>10639.841173782937</v>
      </c>
      <c r="K92" s="14">
        <v>20810.014697971284</v>
      </c>
      <c r="L92" s="14">
        <v>21290.318298947601</v>
      </c>
      <c r="M92" s="14">
        <v>24646.5380343541</v>
      </c>
      <c r="N92" s="14">
        <v>27127.176015992594</v>
      </c>
      <c r="O92" s="14">
        <v>29259.636623118771</v>
      </c>
    </row>
    <row r="93" spans="1:15" x14ac:dyDescent="0.3">
      <c r="A93" s="3" t="str">
        <f>INDEX('R1. Scenario specifications'!$C$11:$C$49,MATCH($B93,'R1. Scenario specifications'!$A$11:$A$49,0))</f>
        <v>Current 1.5DS, 2020 start, 'Expect the Unexpected'</v>
      </c>
      <c r="B93" s="3" t="s">
        <v>19</v>
      </c>
      <c r="C93" s="3" t="s">
        <v>302</v>
      </c>
      <c r="D93" s="3" t="s">
        <v>326</v>
      </c>
      <c r="E93" s="14">
        <v>0</v>
      </c>
      <c r="F93" s="14">
        <v>0</v>
      </c>
      <c r="G93" s="14">
        <v>137.17533571710985</v>
      </c>
      <c r="H93" s="14">
        <v>278.96353125916244</v>
      </c>
      <c r="I93" s="14">
        <v>48.178412819845995</v>
      </c>
      <c r="J93" s="14">
        <v>54.672733078563503</v>
      </c>
      <c r="K93" s="14">
        <v>460.15357347070159</v>
      </c>
      <c r="L93" s="14">
        <v>858.2694480292547</v>
      </c>
      <c r="M93" s="14">
        <v>766.15429766257296</v>
      </c>
      <c r="N93" s="14">
        <v>879.94875821729534</v>
      </c>
      <c r="O93" s="14">
        <v>890.88066111542662</v>
      </c>
    </row>
    <row r="94" spans="1:15" x14ac:dyDescent="0.3">
      <c r="A94" s="3" t="str">
        <f>INDEX('R1. Scenario specifications'!$C$11:$C$49,MATCH($B94,'R1. Scenario specifications'!$A$11:$A$49,0))</f>
        <v>Current 1.5DS, 2020 start, 'Expect the Unexpected'</v>
      </c>
      <c r="B94" s="3" t="s">
        <v>19</v>
      </c>
      <c r="C94" s="3" t="s">
        <v>300</v>
      </c>
      <c r="D94" s="3" t="s">
        <v>327</v>
      </c>
      <c r="E94" s="14">
        <v>3713.3499864076566</v>
      </c>
      <c r="F94" s="14">
        <v>9326.5813623263857</v>
      </c>
      <c r="G94" s="14">
        <v>16373.844252739889</v>
      </c>
      <c r="H94" s="14">
        <v>8563.0147009351931</v>
      </c>
      <c r="I94" s="14">
        <v>2296.3517052108227</v>
      </c>
      <c r="J94" s="14">
        <v>2348.0288842913101</v>
      </c>
      <c r="K94" s="14">
        <v>5278.727528422387</v>
      </c>
      <c r="L94" s="14">
        <v>7944.466158045615</v>
      </c>
      <c r="M94" s="14">
        <v>6021.2491967015776</v>
      </c>
      <c r="N94" s="14">
        <v>5164.1696370958562</v>
      </c>
      <c r="O94" s="14">
        <v>4148.7020826688013</v>
      </c>
    </row>
    <row r="95" spans="1:15" x14ac:dyDescent="0.3">
      <c r="A95" s="3" t="str">
        <f>INDEX('R1. Scenario specifications'!$C$11:$C$49,MATCH($B95,'R1. Scenario specifications'!$A$11:$A$49,0))</f>
        <v>Current 1.5DS, 2020 start, 'Expect the Unexpected'</v>
      </c>
      <c r="B95" s="3" t="s">
        <v>19</v>
      </c>
      <c r="C95" s="3" t="s">
        <v>301</v>
      </c>
      <c r="D95" s="3" t="s">
        <v>328</v>
      </c>
      <c r="E95" s="14">
        <v>0</v>
      </c>
      <c r="F95" s="14">
        <v>0</v>
      </c>
      <c r="G95" s="14">
        <v>94.260834870759595</v>
      </c>
      <c r="H95" s="14">
        <v>3143.6175705852752</v>
      </c>
      <c r="I95" s="14">
        <v>1555.0167327842148</v>
      </c>
      <c r="J95" s="14">
        <v>0</v>
      </c>
      <c r="K95" s="14">
        <v>2.4053151546095402</v>
      </c>
      <c r="L95" s="14">
        <v>0</v>
      </c>
      <c r="M95" s="14">
        <v>0</v>
      </c>
      <c r="N95" s="14">
        <v>0</v>
      </c>
      <c r="O95" s="14">
        <v>0</v>
      </c>
    </row>
    <row r="96" spans="1:15" x14ac:dyDescent="0.3">
      <c r="A96" s="3" t="str">
        <f>INDEX('R1. Scenario specifications'!$C$11:$C$49,MATCH($B96,'R1. Scenario specifications'!$A$11:$A$49,0))</f>
        <v>Current 1.5DS, 2020 start, 'Expect the Unexpected'</v>
      </c>
      <c r="B96" s="3" t="s">
        <v>19</v>
      </c>
      <c r="C96" s="3" t="s">
        <v>303</v>
      </c>
      <c r="D96" s="3" t="s">
        <v>329</v>
      </c>
      <c r="E96" s="14">
        <v>0</v>
      </c>
      <c r="F96" s="14">
        <v>0</v>
      </c>
      <c r="G96" s="14">
        <v>0</v>
      </c>
      <c r="H96" s="14">
        <v>7633.309909055718</v>
      </c>
      <c r="I96" s="14">
        <v>9481.7189700589133</v>
      </c>
      <c r="J96" s="14">
        <v>5429.6282513538226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</row>
    <row r="97" spans="1:15" x14ac:dyDescent="0.3">
      <c r="A97" s="3" t="str">
        <f>INDEX('R1. Scenario specifications'!$C$11:$C$49,MATCH($B97,'R1. Scenario specifications'!$A$11:$A$49,0))</f>
        <v>Current 1.5DS, 2030 start, 'Expect the Unexpected'</v>
      </c>
      <c r="B97" s="3" t="s">
        <v>20</v>
      </c>
      <c r="C97" s="3" t="s">
        <v>298</v>
      </c>
      <c r="D97" s="3" t="s">
        <v>325</v>
      </c>
      <c r="E97" s="14">
        <v>5.283714066875322</v>
      </c>
      <c r="F97" s="14">
        <v>40.935839939176851</v>
      </c>
      <c r="G97" s="14">
        <v>1010.9701631029815</v>
      </c>
      <c r="H97" s="14">
        <v>1524.3877289706661</v>
      </c>
      <c r="I97" s="14">
        <v>1288.6427680285008</v>
      </c>
      <c r="J97" s="14">
        <v>1633.5432139162797</v>
      </c>
      <c r="K97" s="14">
        <v>1179.6675889615622</v>
      </c>
      <c r="L97" s="14">
        <v>1612.4067317967999</v>
      </c>
      <c r="M97" s="14">
        <v>1348.6639423656325</v>
      </c>
      <c r="N97" s="14">
        <v>1288.2617760164344</v>
      </c>
      <c r="O97" s="14">
        <v>1096.0177487369635</v>
      </c>
    </row>
    <row r="98" spans="1:15" x14ac:dyDescent="0.3">
      <c r="A98" s="3" t="str">
        <f>INDEX('R1. Scenario specifications'!$C$11:$C$49,MATCH($B98,'R1. Scenario specifications'!$A$11:$A$49,0))</f>
        <v>Current 1.5DS, 2030 start, 'Expect the Unexpected'</v>
      </c>
      <c r="B98" s="3" t="s">
        <v>20</v>
      </c>
      <c r="C98" s="3" t="s">
        <v>299</v>
      </c>
      <c r="D98" s="3" t="s">
        <v>324</v>
      </c>
      <c r="E98" s="14">
        <v>0</v>
      </c>
      <c r="F98" s="14">
        <v>0</v>
      </c>
      <c r="G98" s="14">
        <v>55.300000000000061</v>
      </c>
      <c r="H98" s="14">
        <v>511.41867088878001</v>
      </c>
      <c r="I98" s="14">
        <v>2612.9558654141647</v>
      </c>
      <c r="J98" s="14">
        <v>5645.7212000528361</v>
      </c>
      <c r="K98" s="14">
        <v>12818.94506292338</v>
      </c>
      <c r="L98" s="14">
        <v>21565.310962778858</v>
      </c>
      <c r="M98" s="14">
        <v>21369.131925774403</v>
      </c>
      <c r="N98" s="14">
        <v>23481.508571452945</v>
      </c>
      <c r="O98" s="14">
        <v>24770.085759559181</v>
      </c>
    </row>
    <row r="99" spans="1:15" x14ac:dyDescent="0.3">
      <c r="A99" s="3" t="str">
        <f>INDEX('R1. Scenario specifications'!$C$11:$C$49,MATCH($B99,'R1. Scenario specifications'!$A$11:$A$49,0))</f>
        <v>Current 1.5DS, 2030 start, 'Expect the Unexpected'</v>
      </c>
      <c r="B99" s="3" t="s">
        <v>20</v>
      </c>
      <c r="C99" s="3" t="s">
        <v>302</v>
      </c>
      <c r="D99" s="3" t="s">
        <v>326</v>
      </c>
      <c r="E99" s="14">
        <v>0</v>
      </c>
      <c r="F99" s="14">
        <v>0</v>
      </c>
      <c r="G99" s="14">
        <v>137.17533571710985</v>
      </c>
      <c r="H99" s="14">
        <v>435.43586128689685</v>
      </c>
      <c r="I99" s="14">
        <v>100.32693820478876</v>
      </c>
      <c r="J99" s="14">
        <v>105.83019721727575</v>
      </c>
      <c r="K99" s="14">
        <v>78.572413250945374</v>
      </c>
      <c r="L99" s="14">
        <v>990.68363916812029</v>
      </c>
      <c r="M99" s="14">
        <v>716.5383193029154</v>
      </c>
      <c r="N99" s="14">
        <v>902.56220519509247</v>
      </c>
      <c r="O99" s="14">
        <v>898.68625721646129</v>
      </c>
    </row>
    <row r="100" spans="1:15" x14ac:dyDescent="0.3">
      <c r="A100" s="3" t="str">
        <f>INDEX('R1. Scenario specifications'!$C$11:$C$49,MATCH($B100,'R1. Scenario specifications'!$A$11:$A$49,0))</f>
        <v>Current 1.5DS, 2030 start, 'Expect the Unexpected'</v>
      </c>
      <c r="B100" s="3" t="s">
        <v>20</v>
      </c>
      <c r="C100" s="3" t="s">
        <v>300</v>
      </c>
      <c r="D100" s="3" t="s">
        <v>327</v>
      </c>
      <c r="E100" s="14">
        <v>3713.3499864076566</v>
      </c>
      <c r="F100" s="14">
        <v>9326.5813623263857</v>
      </c>
      <c r="G100" s="14">
        <v>16373.844252739889</v>
      </c>
      <c r="H100" s="14">
        <v>15585.649202815215</v>
      </c>
      <c r="I100" s="14">
        <v>2246.261730978571</v>
      </c>
      <c r="J100" s="14">
        <v>2594.1079042470092</v>
      </c>
      <c r="K100" s="14">
        <v>2584.3121092851557</v>
      </c>
      <c r="L100" s="14">
        <v>9258.165214162269</v>
      </c>
      <c r="M100" s="14">
        <v>8080.1618976774835</v>
      </c>
      <c r="N100" s="14">
        <v>9369.6293047283252</v>
      </c>
      <c r="O100" s="14">
        <v>9672.4924397201485</v>
      </c>
    </row>
    <row r="101" spans="1:15" x14ac:dyDescent="0.3">
      <c r="A101" s="3" t="str">
        <f>INDEX('R1. Scenario specifications'!$C$11:$C$49,MATCH($B101,'R1. Scenario specifications'!$A$11:$A$49,0))</f>
        <v>Current 1.5DS, 2030 start, 'Expect the Unexpected'</v>
      </c>
      <c r="B101" s="3" t="s">
        <v>20</v>
      </c>
      <c r="C101" s="3" t="s">
        <v>301</v>
      </c>
      <c r="D101" s="3" t="s">
        <v>328</v>
      </c>
      <c r="E101" s="14">
        <v>0</v>
      </c>
      <c r="F101" s="14">
        <v>0</v>
      </c>
      <c r="G101" s="14">
        <v>94.260834870759595</v>
      </c>
      <c r="H101" s="14">
        <v>1599.9746126235134</v>
      </c>
      <c r="I101" s="14">
        <v>2096.0152510761236</v>
      </c>
      <c r="J101" s="14">
        <v>8.9958917761979205</v>
      </c>
      <c r="K101" s="14">
        <v>116.977295170964</v>
      </c>
      <c r="L101" s="14">
        <v>0</v>
      </c>
      <c r="M101" s="14">
        <v>0</v>
      </c>
      <c r="N101" s="14">
        <v>0</v>
      </c>
      <c r="O101" s="14">
        <v>0</v>
      </c>
    </row>
    <row r="102" spans="1:15" x14ac:dyDescent="0.3">
      <c r="A102" s="3" t="str">
        <f>INDEX('R1. Scenario specifications'!$C$11:$C$49,MATCH($B102,'R1. Scenario specifications'!$A$11:$A$49,0))</f>
        <v>Current 1.5DS, 2030 start, 'Expect the Unexpected'</v>
      </c>
      <c r="B102" s="3" t="s">
        <v>20</v>
      </c>
      <c r="C102" s="3" t="s">
        <v>303</v>
      </c>
      <c r="D102" s="3" t="s">
        <v>329</v>
      </c>
      <c r="E102" s="14">
        <v>0</v>
      </c>
      <c r="F102" s="14">
        <v>0</v>
      </c>
      <c r="G102" s="14">
        <v>0</v>
      </c>
      <c r="H102" s="14">
        <v>3040.2453409136619</v>
      </c>
      <c r="I102" s="14">
        <v>9879.2749234323492</v>
      </c>
      <c r="J102" s="14">
        <v>11026.431677657829</v>
      </c>
      <c r="K102" s="14">
        <v>3528.2742873360162</v>
      </c>
      <c r="L102" s="14">
        <v>0</v>
      </c>
      <c r="M102" s="14">
        <v>0</v>
      </c>
      <c r="N102" s="14">
        <v>0</v>
      </c>
      <c r="O102" s="14">
        <v>0</v>
      </c>
    </row>
    <row r="103" spans="1:15" x14ac:dyDescent="0.3">
      <c r="A103" s="3" t="str">
        <f>INDEX('R1. Scenario specifications'!$C$11:$C$49,MATCH($B103,'R1. Scenario specifications'!$A$11:$A$49,0))</f>
        <v>Current 1.5DS, 2020 start, 'Expect the Unexpected' but with cheap renewables</v>
      </c>
      <c r="B103" s="3" t="s">
        <v>21</v>
      </c>
      <c r="C103" s="3" t="s">
        <v>298</v>
      </c>
      <c r="D103" s="3" t="s">
        <v>325</v>
      </c>
      <c r="E103" s="14">
        <v>5.283714066875322</v>
      </c>
      <c r="F103" s="14">
        <v>40.935839939176851</v>
      </c>
      <c r="G103" s="14">
        <v>1010.9701631029815</v>
      </c>
      <c r="H103" s="14">
        <v>798.90446890077294</v>
      </c>
      <c r="I103" s="14">
        <v>915.41551986540617</v>
      </c>
      <c r="J103" s="14">
        <v>1409.8061285272504</v>
      </c>
      <c r="K103" s="14">
        <v>1538.6310609514189</v>
      </c>
      <c r="L103" s="14">
        <v>286.41170421446333</v>
      </c>
      <c r="M103" s="14">
        <v>560.72212515594515</v>
      </c>
      <c r="N103" s="14">
        <v>809.53570731286391</v>
      </c>
      <c r="O103" s="14">
        <v>1669.26833781544</v>
      </c>
    </row>
    <row r="104" spans="1:15" x14ac:dyDescent="0.3">
      <c r="A104" s="3" t="str">
        <f>INDEX('R1. Scenario specifications'!$C$11:$C$49,MATCH($B104,'R1. Scenario specifications'!$A$11:$A$49,0))</f>
        <v>Current 1.5DS, 2020 start, 'Expect the Unexpected' but with cheap renewables</v>
      </c>
      <c r="B104" s="3" t="s">
        <v>21</v>
      </c>
      <c r="C104" s="3" t="s">
        <v>299</v>
      </c>
      <c r="D104" s="3" t="s">
        <v>324</v>
      </c>
      <c r="E104" s="14">
        <v>0</v>
      </c>
      <c r="F104" s="14">
        <v>0</v>
      </c>
      <c r="G104" s="14">
        <v>55.300000000000061</v>
      </c>
      <c r="H104" s="14">
        <v>649.23871908326601</v>
      </c>
      <c r="I104" s="14">
        <v>2655.8867701269073</v>
      </c>
      <c r="J104" s="14">
        <v>10823.247342851195</v>
      </c>
      <c r="K104" s="14">
        <v>20922.289371857882</v>
      </c>
      <c r="L104" s="14">
        <v>21306.022113649862</v>
      </c>
      <c r="M104" s="14">
        <v>24695.428243598344</v>
      </c>
      <c r="N104" s="14">
        <v>26898.50401453075</v>
      </c>
      <c r="O104" s="14">
        <v>29327.999540371122</v>
      </c>
    </row>
    <row r="105" spans="1:15" x14ac:dyDescent="0.3">
      <c r="A105" s="3" t="str">
        <f>INDEX('R1. Scenario specifications'!$C$11:$C$49,MATCH($B105,'R1. Scenario specifications'!$A$11:$A$49,0))</f>
        <v>Current 1.5DS, 2020 start, 'Expect the Unexpected' but with cheap renewables</v>
      </c>
      <c r="B105" s="3" t="s">
        <v>21</v>
      </c>
      <c r="C105" s="3" t="s">
        <v>302</v>
      </c>
      <c r="D105" s="3" t="s">
        <v>326</v>
      </c>
      <c r="E105" s="14">
        <v>0</v>
      </c>
      <c r="F105" s="14">
        <v>0</v>
      </c>
      <c r="G105" s="14">
        <v>137.17533571710985</v>
      </c>
      <c r="H105" s="14">
        <v>280.81838642699449</v>
      </c>
      <c r="I105" s="14">
        <v>48.440651921194004</v>
      </c>
      <c r="J105" s="14">
        <v>54.706765223295299</v>
      </c>
      <c r="K105" s="14">
        <v>487.96380675170656</v>
      </c>
      <c r="L105" s="14">
        <v>844.7214241519531</v>
      </c>
      <c r="M105" s="14">
        <v>775.32969731504534</v>
      </c>
      <c r="N105" s="14">
        <v>868.58648556399635</v>
      </c>
      <c r="O105" s="14">
        <v>895.50004723387701</v>
      </c>
    </row>
    <row r="106" spans="1:15" x14ac:dyDescent="0.3">
      <c r="A106" s="3" t="str">
        <f>INDEX('R1. Scenario specifications'!$C$11:$C$49,MATCH($B106,'R1. Scenario specifications'!$A$11:$A$49,0))</f>
        <v>Current 1.5DS, 2020 start, 'Expect the Unexpected' but with cheap renewables</v>
      </c>
      <c r="B106" s="3" t="s">
        <v>21</v>
      </c>
      <c r="C106" s="3" t="s">
        <v>300</v>
      </c>
      <c r="D106" s="3" t="s">
        <v>327</v>
      </c>
      <c r="E106" s="14">
        <v>3713.3499864076566</v>
      </c>
      <c r="F106" s="14">
        <v>9326.5813623263857</v>
      </c>
      <c r="G106" s="14">
        <v>16373.844252739889</v>
      </c>
      <c r="H106" s="14">
        <v>8618.2864412283889</v>
      </c>
      <c r="I106" s="14">
        <v>2298.8532455369759</v>
      </c>
      <c r="J106" s="14">
        <v>2341.8236228292276</v>
      </c>
      <c r="K106" s="14">
        <v>5406.3499207668092</v>
      </c>
      <c r="L106" s="14">
        <v>7872.3770260058054</v>
      </c>
      <c r="M106" s="14">
        <v>6205.6590840001463</v>
      </c>
      <c r="N106" s="14">
        <v>5199.9636275216235</v>
      </c>
      <c r="O106" s="14">
        <v>4283.254859992976</v>
      </c>
    </row>
    <row r="107" spans="1:15" x14ac:dyDescent="0.3">
      <c r="A107" s="3" t="str">
        <f>INDEX('R1. Scenario specifications'!$C$11:$C$49,MATCH($B107,'R1. Scenario specifications'!$A$11:$A$49,0))</f>
        <v>Current 1.5DS, 2020 start, 'Expect the Unexpected' but with cheap renewables</v>
      </c>
      <c r="B107" s="3" t="s">
        <v>21</v>
      </c>
      <c r="C107" s="3" t="s">
        <v>301</v>
      </c>
      <c r="D107" s="3" t="s">
        <v>328</v>
      </c>
      <c r="E107" s="14">
        <v>0</v>
      </c>
      <c r="F107" s="14">
        <v>0</v>
      </c>
      <c r="G107" s="14">
        <v>94.260834870759595</v>
      </c>
      <c r="H107" s="14">
        <v>3152.3055834929951</v>
      </c>
      <c r="I107" s="14">
        <v>1560.3286796066186</v>
      </c>
      <c r="J107" s="14">
        <v>0</v>
      </c>
      <c r="K107" s="14">
        <v>2.56089788396788</v>
      </c>
      <c r="L107" s="14">
        <v>0</v>
      </c>
      <c r="M107" s="14">
        <v>0</v>
      </c>
      <c r="N107" s="14">
        <v>0</v>
      </c>
      <c r="O107" s="14">
        <v>0</v>
      </c>
    </row>
    <row r="108" spans="1:15" x14ac:dyDescent="0.3">
      <c r="A108" s="3" t="str">
        <f>INDEX('R1. Scenario specifications'!$C$11:$C$49,MATCH($B108,'R1. Scenario specifications'!$A$11:$A$49,0))</f>
        <v>Current 1.5DS, 2020 start, 'Expect the Unexpected' but with cheap renewables</v>
      </c>
      <c r="B108" s="3" t="s">
        <v>21</v>
      </c>
      <c r="C108" s="3" t="s">
        <v>303</v>
      </c>
      <c r="D108" s="3" t="s">
        <v>329</v>
      </c>
      <c r="E108" s="14">
        <v>0</v>
      </c>
      <c r="F108" s="14">
        <v>0</v>
      </c>
      <c r="G108" s="14">
        <v>0</v>
      </c>
      <c r="H108" s="14">
        <v>7688.3304224558642</v>
      </c>
      <c r="I108" s="14">
        <v>9460.5921590030011</v>
      </c>
      <c r="J108" s="14">
        <v>5253.5287564081427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</row>
    <row r="109" spans="1:15" x14ac:dyDescent="0.3">
      <c r="A109" s="3" t="str">
        <f>INDEX('R1. Scenario specifications'!$C$11:$C$49,MATCH($B109,'R1. Scenario specifications'!$A$11:$A$49,0))</f>
        <v>Current 1.5DS, 2030 start, 'Expect the Unexpected' but with cheap renewables</v>
      </c>
      <c r="B109" s="3" t="s">
        <v>22</v>
      </c>
      <c r="C109" s="3" t="s">
        <v>298</v>
      </c>
      <c r="D109" s="3" t="s">
        <v>325</v>
      </c>
      <c r="E109" s="14">
        <v>5.283714066875322</v>
      </c>
      <c r="F109" s="14">
        <v>40.935839939176851</v>
      </c>
      <c r="G109" s="14">
        <v>1010.9701631029815</v>
      </c>
      <c r="H109" s="14">
        <v>1524.3877289706661</v>
      </c>
      <c r="I109" s="14">
        <v>1282.9357617641547</v>
      </c>
      <c r="J109" s="14">
        <v>1636.7170468135457</v>
      </c>
      <c r="K109" s="14">
        <v>1089.8500563418979</v>
      </c>
      <c r="L109" s="14">
        <v>1615.7277671376319</v>
      </c>
      <c r="M109" s="14">
        <v>1278.9201856126258</v>
      </c>
      <c r="N109" s="14">
        <v>1252.6037020801054</v>
      </c>
      <c r="O109" s="14">
        <v>1114.4573367392827</v>
      </c>
    </row>
    <row r="110" spans="1:15" x14ac:dyDescent="0.3">
      <c r="A110" s="3" t="str">
        <f>INDEX('R1. Scenario specifications'!$C$11:$C$49,MATCH($B110,'R1. Scenario specifications'!$A$11:$A$49,0))</f>
        <v>Current 1.5DS, 2030 start, 'Expect the Unexpected' but with cheap renewables</v>
      </c>
      <c r="B110" s="3" t="s">
        <v>22</v>
      </c>
      <c r="C110" s="3" t="s">
        <v>299</v>
      </c>
      <c r="D110" s="3" t="s">
        <v>324</v>
      </c>
      <c r="E110" s="14">
        <v>0</v>
      </c>
      <c r="F110" s="14">
        <v>0</v>
      </c>
      <c r="G110" s="14">
        <v>55.300000000000061</v>
      </c>
      <c r="H110" s="14">
        <v>511.41867088878001</v>
      </c>
      <c r="I110" s="14">
        <v>2592.7865470026791</v>
      </c>
      <c r="J110" s="14">
        <v>7217.0881261427949</v>
      </c>
      <c r="K110" s="14">
        <v>13523.80710781123</v>
      </c>
      <c r="L110" s="14">
        <v>21598.311046706731</v>
      </c>
      <c r="M110" s="14">
        <v>21347.644960415826</v>
      </c>
      <c r="N110" s="14">
        <v>23488.557913628851</v>
      </c>
      <c r="O110" s="14">
        <v>24768.030972847959</v>
      </c>
    </row>
    <row r="111" spans="1:15" x14ac:dyDescent="0.3">
      <c r="A111" s="3" t="str">
        <f>INDEX('R1. Scenario specifications'!$C$11:$C$49,MATCH($B111,'R1. Scenario specifications'!$A$11:$A$49,0))</f>
        <v>Current 1.5DS, 2030 start, 'Expect the Unexpected' but with cheap renewables</v>
      </c>
      <c r="B111" s="3" t="s">
        <v>22</v>
      </c>
      <c r="C111" s="3" t="s">
        <v>302</v>
      </c>
      <c r="D111" s="3" t="s">
        <v>326</v>
      </c>
      <c r="E111" s="14">
        <v>0</v>
      </c>
      <c r="F111" s="14">
        <v>0</v>
      </c>
      <c r="G111" s="14">
        <v>137.17533571710985</v>
      </c>
      <c r="H111" s="14">
        <v>435.43586128689685</v>
      </c>
      <c r="I111" s="14">
        <v>99.809776194237855</v>
      </c>
      <c r="J111" s="14">
        <v>106.1471842927068</v>
      </c>
      <c r="K111" s="14">
        <v>78.784036387032714</v>
      </c>
      <c r="L111" s="14">
        <v>991.26767605788132</v>
      </c>
      <c r="M111" s="14">
        <v>715.91784569119466</v>
      </c>
      <c r="N111" s="14">
        <v>902.84745722770401</v>
      </c>
      <c r="O111" s="14">
        <v>898.51139210009103</v>
      </c>
    </row>
    <row r="112" spans="1:15" x14ac:dyDescent="0.3">
      <c r="A112" s="3" t="str">
        <f>INDEX('R1. Scenario specifications'!$C$11:$C$49,MATCH($B112,'R1. Scenario specifications'!$A$11:$A$49,0))</f>
        <v>Current 1.5DS, 2030 start, 'Expect the Unexpected' but with cheap renewables</v>
      </c>
      <c r="B112" s="3" t="s">
        <v>22</v>
      </c>
      <c r="C112" s="3" t="s">
        <v>300</v>
      </c>
      <c r="D112" s="3" t="s">
        <v>327</v>
      </c>
      <c r="E112" s="14">
        <v>3713.3499864076566</v>
      </c>
      <c r="F112" s="14">
        <v>9326.5813623263857</v>
      </c>
      <c r="G112" s="14">
        <v>16373.844252739889</v>
      </c>
      <c r="H112" s="14">
        <v>15585.649202815215</v>
      </c>
      <c r="I112" s="14">
        <v>2251.9687372429171</v>
      </c>
      <c r="J112" s="14">
        <v>2590.9340713497422</v>
      </c>
      <c r="K112" s="14">
        <v>2668.3616635027238</v>
      </c>
      <c r="L112" s="14">
        <v>9258.0782095382365</v>
      </c>
      <c r="M112" s="14">
        <v>8147.9570734272083</v>
      </c>
      <c r="N112" s="14">
        <v>9406.9177766863759</v>
      </c>
      <c r="O112" s="14">
        <v>9675.6131309900447</v>
      </c>
    </row>
    <row r="113" spans="1:15" x14ac:dyDescent="0.3">
      <c r="A113" s="3" t="str">
        <f>INDEX('R1. Scenario specifications'!$C$11:$C$49,MATCH($B113,'R1. Scenario specifications'!$A$11:$A$49,0))</f>
        <v>Current 1.5DS, 2030 start, 'Expect the Unexpected' but with cheap renewables</v>
      </c>
      <c r="B113" s="3" t="s">
        <v>22</v>
      </c>
      <c r="C113" s="3" t="s">
        <v>301</v>
      </c>
      <c r="D113" s="3" t="s">
        <v>328</v>
      </c>
      <c r="E113" s="14">
        <v>0</v>
      </c>
      <c r="F113" s="14">
        <v>0</v>
      </c>
      <c r="G113" s="14">
        <v>94.260834870759595</v>
      </c>
      <c r="H113" s="14">
        <v>1599.9746126235134</v>
      </c>
      <c r="I113" s="14">
        <v>2096.8896632419423</v>
      </c>
      <c r="J113" s="14">
        <v>8.9958917761979205</v>
      </c>
      <c r="K113" s="14">
        <v>116.977295170964</v>
      </c>
      <c r="L113" s="14">
        <v>0</v>
      </c>
      <c r="M113" s="14">
        <v>0</v>
      </c>
      <c r="N113" s="14">
        <v>0</v>
      </c>
      <c r="O113" s="14">
        <v>0</v>
      </c>
    </row>
    <row r="114" spans="1:15" x14ac:dyDescent="0.3">
      <c r="A114" s="3" t="str">
        <f>INDEX('R1. Scenario specifications'!$C$11:$C$49,MATCH($B114,'R1. Scenario specifications'!$A$11:$A$49,0))</f>
        <v>Current 1.5DS, 2030 start, 'Expect the Unexpected' but with cheap renewables</v>
      </c>
      <c r="B114" s="3" t="s">
        <v>22</v>
      </c>
      <c r="C114" s="3" t="s">
        <v>303</v>
      </c>
      <c r="D114" s="3" t="s">
        <v>329</v>
      </c>
      <c r="E114" s="14">
        <v>0</v>
      </c>
      <c r="F114" s="14">
        <v>0</v>
      </c>
      <c r="G114" s="14">
        <v>0</v>
      </c>
      <c r="H114" s="14">
        <v>3040.2453409136619</v>
      </c>
      <c r="I114" s="14">
        <v>9918.4182776964954</v>
      </c>
      <c r="J114" s="14">
        <v>9742.1124416240455</v>
      </c>
      <c r="K114" s="14">
        <v>2782.7924443794841</v>
      </c>
      <c r="L114" s="14">
        <v>0</v>
      </c>
      <c r="M114" s="14">
        <v>0</v>
      </c>
      <c r="N114" s="14">
        <v>0</v>
      </c>
      <c r="O114" s="14">
        <v>0</v>
      </c>
    </row>
    <row r="115" spans="1:15" x14ac:dyDescent="0.3">
      <c r="A115" s="3" t="str">
        <f>INDEX('R1. Scenario specifications'!$C$11:$C$49,MATCH($B115,'R1. Scenario specifications'!$A$11:$A$49,0))</f>
        <v>Current 1.5DS, 2020 start, 'Expect the Unexpected' but with cheap CCS</v>
      </c>
      <c r="B115" s="3" t="s">
        <v>23</v>
      </c>
      <c r="C115" s="3" t="s">
        <v>298</v>
      </c>
      <c r="D115" s="3" t="s">
        <v>325</v>
      </c>
      <c r="E115" s="14">
        <v>5.283714066875322</v>
      </c>
      <c r="F115" s="14">
        <v>40.935839939176851</v>
      </c>
      <c r="G115" s="14">
        <v>1010.9701631029815</v>
      </c>
      <c r="H115" s="14">
        <v>786.20029636283391</v>
      </c>
      <c r="I115" s="14">
        <v>919.82704981495931</v>
      </c>
      <c r="J115" s="14">
        <v>1400.9216632020436</v>
      </c>
      <c r="K115" s="14">
        <v>1524.9617491666379</v>
      </c>
      <c r="L115" s="14">
        <v>289.48255385769488</v>
      </c>
      <c r="M115" s="14">
        <v>712.27836318055449</v>
      </c>
      <c r="N115" s="14">
        <v>845.57322877614138</v>
      </c>
      <c r="O115" s="14">
        <v>1801.0588966359289</v>
      </c>
    </row>
    <row r="116" spans="1:15" x14ac:dyDescent="0.3">
      <c r="A116" s="3" t="str">
        <f>INDEX('R1. Scenario specifications'!$C$11:$C$49,MATCH($B116,'R1. Scenario specifications'!$A$11:$A$49,0))</f>
        <v>Current 1.5DS, 2020 start, 'Expect the Unexpected' but with cheap CCS</v>
      </c>
      <c r="B116" s="3" t="s">
        <v>23</v>
      </c>
      <c r="C116" s="3" t="s">
        <v>299</v>
      </c>
      <c r="D116" s="3" t="s">
        <v>324</v>
      </c>
      <c r="E116" s="14">
        <v>0</v>
      </c>
      <c r="F116" s="14">
        <v>0</v>
      </c>
      <c r="G116" s="14">
        <v>55.300000000000061</v>
      </c>
      <c r="H116" s="14">
        <v>648.60333079607267</v>
      </c>
      <c r="I116" s="14">
        <v>2657.477069717067</v>
      </c>
      <c r="J116" s="14">
        <v>10639.841172627286</v>
      </c>
      <c r="K116" s="14">
        <v>20810.014697971284</v>
      </c>
      <c r="L116" s="14">
        <v>21290.318298947601</v>
      </c>
      <c r="M116" s="14">
        <v>24646.534729883086</v>
      </c>
      <c r="N116" s="14">
        <v>27127.170541383268</v>
      </c>
      <c r="O116" s="14">
        <v>29259.638251449767</v>
      </c>
    </row>
    <row r="117" spans="1:15" x14ac:dyDescent="0.3">
      <c r="A117" s="3" t="str">
        <f>INDEX('R1. Scenario specifications'!$C$11:$C$49,MATCH($B117,'R1. Scenario specifications'!$A$11:$A$49,0))</f>
        <v>Current 1.5DS, 2020 start, 'Expect the Unexpected' but with cheap CCS</v>
      </c>
      <c r="B117" s="3" t="s">
        <v>23</v>
      </c>
      <c r="C117" s="3" t="s">
        <v>302</v>
      </c>
      <c r="D117" s="3" t="s">
        <v>326</v>
      </c>
      <c r="E117" s="14">
        <v>0</v>
      </c>
      <c r="F117" s="14">
        <v>0</v>
      </c>
      <c r="G117" s="14">
        <v>137.17533571710985</v>
      </c>
      <c r="H117" s="14">
        <v>278.96353125916244</v>
      </c>
      <c r="I117" s="14">
        <v>48.178412819845981</v>
      </c>
      <c r="J117" s="14">
        <v>54.672733078563503</v>
      </c>
      <c r="K117" s="14">
        <v>460.15357347070159</v>
      </c>
      <c r="L117" s="14">
        <v>858.2694480292547</v>
      </c>
      <c r="M117" s="14">
        <v>766.15429766257296</v>
      </c>
      <c r="N117" s="14">
        <v>879.94858889184115</v>
      </c>
      <c r="O117" s="14">
        <v>890.88071147617961</v>
      </c>
    </row>
    <row r="118" spans="1:15" x14ac:dyDescent="0.3">
      <c r="A118" s="3" t="str">
        <f>INDEX('R1. Scenario specifications'!$C$11:$C$49,MATCH($B118,'R1. Scenario specifications'!$A$11:$A$49,0))</f>
        <v>Current 1.5DS, 2020 start, 'Expect the Unexpected' but with cheap CCS</v>
      </c>
      <c r="B118" s="3" t="s">
        <v>23</v>
      </c>
      <c r="C118" s="3" t="s">
        <v>300</v>
      </c>
      <c r="D118" s="3" t="s">
        <v>327</v>
      </c>
      <c r="E118" s="14">
        <v>3713.3499864076566</v>
      </c>
      <c r="F118" s="14">
        <v>9326.5813623263857</v>
      </c>
      <c r="G118" s="14">
        <v>16373.844252739889</v>
      </c>
      <c r="H118" s="14">
        <v>8563.0147009351931</v>
      </c>
      <c r="I118" s="14">
        <v>2296.3517052108227</v>
      </c>
      <c r="J118" s="14">
        <v>2348.0288842913096</v>
      </c>
      <c r="K118" s="14">
        <v>5278.7275283802655</v>
      </c>
      <c r="L118" s="14">
        <v>7944.466165243557</v>
      </c>
      <c r="M118" s="14">
        <v>6021.252497150037</v>
      </c>
      <c r="N118" s="14">
        <v>5164.1697716021963</v>
      </c>
      <c r="O118" s="14">
        <v>4148.7018220791842</v>
      </c>
    </row>
    <row r="119" spans="1:15" x14ac:dyDescent="0.3">
      <c r="A119" s="3" t="str">
        <f>INDEX('R1. Scenario specifications'!$C$11:$C$49,MATCH($B119,'R1. Scenario specifications'!$A$11:$A$49,0))</f>
        <v>Current 1.5DS, 2020 start, 'Expect the Unexpected' but with cheap CCS</v>
      </c>
      <c r="B119" s="3" t="s">
        <v>23</v>
      </c>
      <c r="C119" s="3" t="s">
        <v>301</v>
      </c>
      <c r="D119" s="3" t="s">
        <v>328</v>
      </c>
      <c r="E119" s="14">
        <v>0</v>
      </c>
      <c r="F119" s="14">
        <v>0</v>
      </c>
      <c r="G119" s="14">
        <v>94.260834870759595</v>
      </c>
      <c r="H119" s="14">
        <v>3143.6175705852743</v>
      </c>
      <c r="I119" s="14">
        <v>1555.0167327842148</v>
      </c>
      <c r="J119" s="14">
        <v>0</v>
      </c>
      <c r="K119" s="14">
        <v>2.4053151546095402</v>
      </c>
      <c r="L119" s="14">
        <v>0</v>
      </c>
      <c r="M119" s="14">
        <v>0</v>
      </c>
      <c r="N119" s="14">
        <v>0</v>
      </c>
      <c r="O119" s="14">
        <v>0</v>
      </c>
    </row>
    <row r="120" spans="1:15" x14ac:dyDescent="0.3">
      <c r="A120" s="3" t="str">
        <f>INDEX('R1. Scenario specifications'!$C$11:$C$49,MATCH($B120,'R1. Scenario specifications'!$A$11:$A$49,0))</f>
        <v>Current 1.5DS, 2020 start, 'Expect the Unexpected' but with cheap CCS</v>
      </c>
      <c r="B120" s="3" t="s">
        <v>23</v>
      </c>
      <c r="C120" s="3" t="s">
        <v>303</v>
      </c>
      <c r="D120" s="3" t="s">
        <v>329</v>
      </c>
      <c r="E120" s="14">
        <v>0</v>
      </c>
      <c r="F120" s="14">
        <v>0</v>
      </c>
      <c r="G120" s="14">
        <v>0</v>
      </c>
      <c r="H120" s="14">
        <v>7633.309909055718</v>
      </c>
      <c r="I120" s="14">
        <v>9481.7189700589133</v>
      </c>
      <c r="J120" s="14">
        <v>5429.628252509483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</row>
    <row r="121" spans="1:15" x14ac:dyDescent="0.3">
      <c r="A121" s="3" t="str">
        <f>INDEX('R1. Scenario specifications'!$C$11:$C$49,MATCH($B121,'R1. Scenario specifications'!$A$11:$A$49,0))</f>
        <v>Current 1.5DS, 2030 start, 'Expect the Unexpected' but with cheap CCS</v>
      </c>
      <c r="B121" s="3" t="s">
        <v>24</v>
      </c>
      <c r="C121" s="3" t="s">
        <v>298</v>
      </c>
      <c r="D121" s="3" t="s">
        <v>325</v>
      </c>
      <c r="E121" s="14">
        <v>5.283714066875322</v>
      </c>
      <c r="F121" s="14">
        <v>40.935839939176851</v>
      </c>
      <c r="G121" s="14">
        <v>1010.9701631029815</v>
      </c>
      <c r="H121" s="14">
        <v>1524.3877289706661</v>
      </c>
      <c r="I121" s="14">
        <v>1288.6427680285008</v>
      </c>
      <c r="J121" s="14">
        <v>1633.5432139162797</v>
      </c>
      <c r="K121" s="14">
        <v>1179.6675889615622</v>
      </c>
      <c r="L121" s="14">
        <v>1612.4067317967676</v>
      </c>
      <c r="M121" s="14">
        <v>1348.6639423656366</v>
      </c>
      <c r="N121" s="14">
        <v>1288.2617760164335</v>
      </c>
      <c r="O121" s="14">
        <v>1096.0177487370572</v>
      </c>
    </row>
    <row r="122" spans="1:15" x14ac:dyDescent="0.3">
      <c r="A122" s="3" t="str">
        <f>INDEX('R1. Scenario specifications'!$C$11:$C$49,MATCH($B122,'R1. Scenario specifications'!$A$11:$A$49,0))</f>
        <v>Current 1.5DS, 2030 start, 'Expect the Unexpected' but with cheap CCS</v>
      </c>
      <c r="B122" s="3" t="s">
        <v>24</v>
      </c>
      <c r="C122" s="3" t="s">
        <v>299</v>
      </c>
      <c r="D122" s="3" t="s">
        <v>324</v>
      </c>
      <c r="E122" s="14">
        <v>0</v>
      </c>
      <c r="F122" s="14">
        <v>0</v>
      </c>
      <c r="G122" s="14">
        <v>55.300000000000061</v>
      </c>
      <c r="H122" s="14">
        <v>511.41867088878001</v>
      </c>
      <c r="I122" s="14">
        <v>2612.9558654141647</v>
      </c>
      <c r="J122" s="14">
        <v>5645.7212000528361</v>
      </c>
      <c r="K122" s="14">
        <v>12818.945062923376</v>
      </c>
      <c r="L122" s="14">
        <v>21565.310962778858</v>
      </c>
      <c r="M122" s="14">
        <v>21369.131925774403</v>
      </c>
      <c r="N122" s="14">
        <v>23481.508571452945</v>
      </c>
      <c r="O122" s="14">
        <v>24770.085759559181</v>
      </c>
    </row>
    <row r="123" spans="1:15" x14ac:dyDescent="0.3">
      <c r="A123" s="3" t="str">
        <f>INDEX('R1. Scenario specifications'!$C$11:$C$49,MATCH($B123,'R1. Scenario specifications'!$A$11:$A$49,0))</f>
        <v>Current 1.5DS, 2030 start, 'Expect the Unexpected' but with cheap CCS</v>
      </c>
      <c r="B123" s="3" t="s">
        <v>24</v>
      </c>
      <c r="C123" s="3" t="s">
        <v>302</v>
      </c>
      <c r="D123" s="3" t="s">
        <v>326</v>
      </c>
      <c r="E123" s="14">
        <v>0</v>
      </c>
      <c r="F123" s="14">
        <v>0</v>
      </c>
      <c r="G123" s="14">
        <v>137.17533571710985</v>
      </c>
      <c r="H123" s="14">
        <v>435.43586128689685</v>
      </c>
      <c r="I123" s="14">
        <v>100.32693820478876</v>
      </c>
      <c r="J123" s="14">
        <v>105.83019721727577</v>
      </c>
      <c r="K123" s="14">
        <v>78.572413250945402</v>
      </c>
      <c r="L123" s="14">
        <v>990.68363916811927</v>
      </c>
      <c r="M123" s="14">
        <v>716.53831930291562</v>
      </c>
      <c r="N123" s="14">
        <v>902.56220519509259</v>
      </c>
      <c r="O123" s="14">
        <v>898.68625721646129</v>
      </c>
    </row>
    <row r="124" spans="1:15" x14ac:dyDescent="0.3">
      <c r="A124" s="3" t="str">
        <f>INDEX('R1. Scenario specifications'!$C$11:$C$49,MATCH($B124,'R1. Scenario specifications'!$A$11:$A$49,0))</f>
        <v>Current 1.5DS, 2030 start, 'Expect the Unexpected' but with cheap CCS</v>
      </c>
      <c r="B124" s="3" t="s">
        <v>24</v>
      </c>
      <c r="C124" s="3" t="s">
        <v>300</v>
      </c>
      <c r="D124" s="3" t="s">
        <v>327</v>
      </c>
      <c r="E124" s="14">
        <v>3713.3499864076566</v>
      </c>
      <c r="F124" s="14">
        <v>9326.5813623263857</v>
      </c>
      <c r="G124" s="14">
        <v>16373.844252739889</v>
      </c>
      <c r="H124" s="14">
        <v>15585.649202815215</v>
      </c>
      <c r="I124" s="14">
        <v>2246.261730978571</v>
      </c>
      <c r="J124" s="14">
        <v>2594.1079042470092</v>
      </c>
      <c r="K124" s="14">
        <v>2584.3121092851557</v>
      </c>
      <c r="L124" s="14">
        <v>9258.1652141623017</v>
      </c>
      <c r="M124" s="14">
        <v>8080.1618976774807</v>
      </c>
      <c r="N124" s="14">
        <v>9369.6293047283252</v>
      </c>
      <c r="O124" s="14">
        <v>9672.4924397200539</v>
      </c>
    </row>
    <row r="125" spans="1:15" x14ac:dyDescent="0.3">
      <c r="A125" s="3" t="str">
        <f>INDEX('R1. Scenario specifications'!$C$11:$C$49,MATCH($B125,'R1. Scenario specifications'!$A$11:$A$49,0))</f>
        <v>Current 1.5DS, 2030 start, 'Expect the Unexpected' but with cheap CCS</v>
      </c>
      <c r="B125" s="3" t="s">
        <v>24</v>
      </c>
      <c r="C125" s="3" t="s">
        <v>301</v>
      </c>
      <c r="D125" s="3" t="s">
        <v>328</v>
      </c>
      <c r="E125" s="14">
        <v>0</v>
      </c>
      <c r="F125" s="14">
        <v>0</v>
      </c>
      <c r="G125" s="14">
        <v>94.260834870759595</v>
      </c>
      <c r="H125" s="14">
        <v>1599.9746126235134</v>
      </c>
      <c r="I125" s="14">
        <v>2096.0152510761236</v>
      </c>
      <c r="J125" s="14">
        <v>8.9958917761979205</v>
      </c>
      <c r="K125" s="14">
        <v>116.977295170964</v>
      </c>
      <c r="L125" s="14">
        <v>0</v>
      </c>
      <c r="M125" s="14">
        <v>0</v>
      </c>
      <c r="N125" s="14">
        <v>0</v>
      </c>
      <c r="O125" s="14">
        <v>0</v>
      </c>
    </row>
    <row r="126" spans="1:15" x14ac:dyDescent="0.3">
      <c r="A126" s="3" t="str">
        <f>INDEX('R1. Scenario specifications'!$C$11:$C$49,MATCH($B126,'R1. Scenario specifications'!$A$11:$A$49,0))</f>
        <v>Current 1.5DS, 2030 start, 'Expect the Unexpected' but with cheap CCS</v>
      </c>
      <c r="B126" s="3" t="s">
        <v>24</v>
      </c>
      <c r="C126" s="3" t="s">
        <v>303</v>
      </c>
      <c r="D126" s="3" t="s">
        <v>329</v>
      </c>
      <c r="E126" s="14">
        <v>0</v>
      </c>
      <c r="F126" s="14">
        <v>0</v>
      </c>
      <c r="G126" s="14">
        <v>0</v>
      </c>
      <c r="H126" s="14">
        <v>3040.2453409136619</v>
      </c>
      <c r="I126" s="14">
        <v>9879.2749234323492</v>
      </c>
      <c r="J126" s="14">
        <v>11026.431677657829</v>
      </c>
      <c r="K126" s="14">
        <v>3528.2742873360162</v>
      </c>
      <c r="L126" s="14">
        <v>0</v>
      </c>
      <c r="M126" s="14">
        <v>0</v>
      </c>
      <c r="N126" s="14">
        <v>0</v>
      </c>
      <c r="O126" s="14">
        <v>0</v>
      </c>
    </row>
    <row r="127" spans="1:15" x14ac:dyDescent="0.3">
      <c r="A127" s="3" t="str">
        <f>INDEX('R1. Scenario specifications'!$C$11:$C$49,MATCH($B127,'R1. Scenario specifications'!$A$11:$A$49,0))</f>
        <v>Current 1.5DS, 2020 start, 'Expect the Unexpected' but with cheap EVs</v>
      </c>
      <c r="B127" s="3" t="s">
        <v>25</v>
      </c>
      <c r="C127" s="3" t="s">
        <v>298</v>
      </c>
      <c r="D127" s="3" t="s">
        <v>325</v>
      </c>
      <c r="E127" s="14">
        <v>5.283714066875322</v>
      </c>
      <c r="F127" s="14">
        <v>40.935839939176851</v>
      </c>
      <c r="G127" s="14">
        <v>1010.9701631029815</v>
      </c>
      <c r="H127" s="14">
        <v>773.78833007696721</v>
      </c>
      <c r="I127" s="14">
        <v>916.19620547995737</v>
      </c>
      <c r="J127" s="14">
        <v>1390.0455214167664</v>
      </c>
      <c r="K127" s="14">
        <v>1823.2559558524479</v>
      </c>
      <c r="L127" s="14">
        <v>225.13950993616515</v>
      </c>
      <c r="M127" s="14">
        <v>633.08637661867965</v>
      </c>
      <c r="N127" s="14">
        <v>819.39721631496673</v>
      </c>
      <c r="O127" s="14">
        <v>1876.3661077601057</v>
      </c>
    </row>
    <row r="128" spans="1:15" x14ac:dyDescent="0.3">
      <c r="A128" s="3" t="str">
        <f>INDEX('R1. Scenario specifications'!$C$11:$C$49,MATCH($B128,'R1. Scenario specifications'!$A$11:$A$49,0))</f>
        <v>Current 1.5DS, 2020 start, 'Expect the Unexpected' but with cheap EVs</v>
      </c>
      <c r="B128" s="3" t="s">
        <v>25</v>
      </c>
      <c r="C128" s="3" t="s">
        <v>299</v>
      </c>
      <c r="D128" s="3" t="s">
        <v>324</v>
      </c>
      <c r="E128" s="14">
        <v>0</v>
      </c>
      <c r="F128" s="14">
        <v>0</v>
      </c>
      <c r="G128" s="14">
        <v>55.300000000000061</v>
      </c>
      <c r="H128" s="14">
        <v>467.65236763011421</v>
      </c>
      <c r="I128" s="14">
        <v>2689.6462497330936</v>
      </c>
      <c r="J128" s="14">
        <v>9679.2471070541033</v>
      </c>
      <c r="K128" s="14">
        <v>21759.329163177073</v>
      </c>
      <c r="L128" s="14">
        <v>24395.810879748675</v>
      </c>
      <c r="M128" s="14">
        <v>26826.021524023377</v>
      </c>
      <c r="N128" s="14">
        <v>28710.033822795747</v>
      </c>
      <c r="O128" s="14">
        <v>30991.544728675912</v>
      </c>
    </row>
    <row r="129" spans="1:15" x14ac:dyDescent="0.3">
      <c r="A129" s="3" t="str">
        <f>INDEX('R1. Scenario specifications'!$C$11:$C$49,MATCH($B129,'R1. Scenario specifications'!$A$11:$A$49,0))</f>
        <v>Current 1.5DS, 2020 start, 'Expect the Unexpected' but with cheap EVs</v>
      </c>
      <c r="B129" s="3" t="s">
        <v>25</v>
      </c>
      <c r="C129" s="3" t="s">
        <v>302</v>
      </c>
      <c r="D129" s="3" t="s">
        <v>326</v>
      </c>
      <c r="E129" s="14">
        <v>0</v>
      </c>
      <c r="F129" s="14">
        <v>0</v>
      </c>
      <c r="G129" s="14">
        <v>137.17533571710985</v>
      </c>
      <c r="H129" s="14">
        <v>225.85592299180291</v>
      </c>
      <c r="I129" s="14">
        <v>42.059415617169236</v>
      </c>
      <c r="J129" s="14">
        <v>54.470532518466321</v>
      </c>
      <c r="K129" s="14">
        <v>274.72624706468355</v>
      </c>
      <c r="L129" s="14">
        <v>961.44479608765391</v>
      </c>
      <c r="M129" s="14">
        <v>758.0606570520772</v>
      </c>
      <c r="N129" s="14">
        <v>832.30615219090157</v>
      </c>
      <c r="O129" s="14">
        <v>806.54687927495411</v>
      </c>
    </row>
    <row r="130" spans="1:15" x14ac:dyDescent="0.3">
      <c r="A130" s="3" t="str">
        <f>INDEX('R1. Scenario specifications'!$C$11:$C$49,MATCH($B130,'R1. Scenario specifications'!$A$11:$A$49,0))</f>
        <v>Current 1.5DS, 2020 start, 'Expect the Unexpected' but with cheap EVs</v>
      </c>
      <c r="B130" s="3" t="s">
        <v>25</v>
      </c>
      <c r="C130" s="3" t="s">
        <v>300</v>
      </c>
      <c r="D130" s="3" t="s">
        <v>327</v>
      </c>
      <c r="E130" s="14">
        <v>3713.3499864076566</v>
      </c>
      <c r="F130" s="14">
        <v>9326.5813623263857</v>
      </c>
      <c r="G130" s="14">
        <v>16373.844252739889</v>
      </c>
      <c r="H130" s="14">
        <v>2726.8408150589485</v>
      </c>
      <c r="I130" s="14">
        <v>2279.8978124159189</v>
      </c>
      <c r="J130" s="14">
        <v>2198.7939015849565</v>
      </c>
      <c r="K130" s="14">
        <v>3875.1764936455284</v>
      </c>
      <c r="L130" s="14">
        <v>5940.0675563804916</v>
      </c>
      <c r="M130" s="14">
        <v>4981.9854782979974</v>
      </c>
      <c r="N130" s="14">
        <v>5000.9824752651029</v>
      </c>
      <c r="O130" s="14">
        <v>4074.0951660812625</v>
      </c>
    </row>
    <row r="131" spans="1:15" x14ac:dyDescent="0.3">
      <c r="A131" s="3" t="str">
        <f>INDEX('R1. Scenario specifications'!$C$11:$C$49,MATCH($B131,'R1. Scenario specifications'!$A$11:$A$49,0))</f>
        <v>Current 1.5DS, 2020 start, 'Expect the Unexpected' but with cheap EVs</v>
      </c>
      <c r="B131" s="3" t="s">
        <v>25</v>
      </c>
      <c r="C131" s="3" t="s">
        <v>301</v>
      </c>
      <c r="D131" s="3" t="s">
        <v>328</v>
      </c>
      <c r="E131" s="14">
        <v>0</v>
      </c>
      <c r="F131" s="14">
        <v>0</v>
      </c>
      <c r="G131" s="14">
        <v>94.260834870759595</v>
      </c>
      <c r="H131" s="14">
        <v>4456.6842740219581</v>
      </c>
      <c r="I131" s="14">
        <v>1648.8387722552152</v>
      </c>
      <c r="J131" s="14">
        <v>165.95044883453801</v>
      </c>
      <c r="K131" s="14">
        <v>7.51977707864528</v>
      </c>
      <c r="L131" s="14">
        <v>6.9351259146952797</v>
      </c>
      <c r="M131" s="14">
        <v>176.82410070002487</v>
      </c>
      <c r="N131" s="14">
        <v>108.42085674370115</v>
      </c>
      <c r="O131" s="14">
        <v>0</v>
      </c>
    </row>
    <row r="132" spans="1:15" x14ac:dyDescent="0.3">
      <c r="A132" s="3" t="str">
        <f>INDEX('R1. Scenario specifications'!$C$11:$C$49,MATCH($B132,'R1. Scenario specifications'!$A$11:$A$49,0))</f>
        <v>Current 1.5DS, 2020 start, 'Expect the Unexpected' but with cheap EVs</v>
      </c>
      <c r="B132" s="3" t="s">
        <v>25</v>
      </c>
      <c r="C132" s="3" t="s">
        <v>303</v>
      </c>
      <c r="D132" s="3" t="s">
        <v>329</v>
      </c>
      <c r="E132" s="14">
        <v>0</v>
      </c>
      <c r="F132" s="14">
        <v>0</v>
      </c>
      <c r="G132" s="14">
        <v>0</v>
      </c>
      <c r="H132" s="14">
        <v>13872.70535086073</v>
      </c>
      <c r="I132" s="14">
        <v>9784.9194729216888</v>
      </c>
      <c r="J132" s="14">
        <v>6734.1772873649861</v>
      </c>
      <c r="K132" s="14">
        <v>1672.7177813597143</v>
      </c>
      <c r="L132" s="14">
        <v>0</v>
      </c>
      <c r="M132" s="14">
        <v>0</v>
      </c>
      <c r="N132" s="14">
        <v>0</v>
      </c>
      <c r="O132" s="14">
        <v>0</v>
      </c>
    </row>
    <row r="133" spans="1:15" x14ac:dyDescent="0.3">
      <c r="A133" s="3" t="str">
        <f>INDEX('R1. Scenario specifications'!$C$11:$C$49,MATCH($B133,'R1. Scenario specifications'!$A$11:$A$49,0))</f>
        <v>Current 2DS, 2030 start, 'Expect the Unexpected'</v>
      </c>
      <c r="B133" s="3" t="s">
        <v>26</v>
      </c>
      <c r="C133" s="3" t="s">
        <v>298</v>
      </c>
      <c r="D133" s="3" t="s">
        <v>325</v>
      </c>
      <c r="E133" s="14">
        <v>5.283714066875322</v>
      </c>
      <c r="F133" s="14">
        <v>40.935839939176851</v>
      </c>
      <c r="G133" s="14">
        <v>1010.9701631029815</v>
      </c>
      <c r="H133" s="14">
        <v>1524.3877289706661</v>
      </c>
      <c r="I133" s="14">
        <v>1814.1615937497345</v>
      </c>
      <c r="J133" s="14">
        <v>1988.8280093051569</v>
      </c>
      <c r="K133" s="14">
        <v>933.55903251069265</v>
      </c>
      <c r="L133" s="14">
        <v>598.78659472190884</v>
      </c>
      <c r="M133" s="14">
        <v>416.62152325979014</v>
      </c>
      <c r="N133" s="14">
        <v>784.027565809669</v>
      </c>
      <c r="O133" s="14">
        <v>1623.430159697788</v>
      </c>
    </row>
    <row r="134" spans="1:15" x14ac:dyDescent="0.3">
      <c r="A134" s="3" t="str">
        <f>INDEX('R1. Scenario specifications'!$C$11:$C$49,MATCH($B134,'R1. Scenario specifications'!$A$11:$A$49,0))</f>
        <v>Current 2DS, 2030 start, 'Expect the Unexpected'</v>
      </c>
      <c r="B134" s="3" t="s">
        <v>26</v>
      </c>
      <c r="C134" s="3" t="s">
        <v>299</v>
      </c>
      <c r="D134" s="3" t="s">
        <v>324</v>
      </c>
      <c r="E134" s="14">
        <v>0</v>
      </c>
      <c r="F134" s="14">
        <v>0</v>
      </c>
      <c r="G134" s="14">
        <v>55.300000000000061</v>
      </c>
      <c r="H134" s="14">
        <v>511.41867088878001</v>
      </c>
      <c r="I134" s="14">
        <v>5103.8901350274746</v>
      </c>
      <c r="J134" s="14">
        <v>12977.476735202006</v>
      </c>
      <c r="K134" s="14">
        <v>18088.889950601791</v>
      </c>
      <c r="L134" s="14">
        <v>20394.576593284215</v>
      </c>
      <c r="M134" s="14">
        <v>24594.11163108451</v>
      </c>
      <c r="N134" s="14">
        <v>26664.047266910275</v>
      </c>
      <c r="O134" s="14">
        <v>29311.700068728249</v>
      </c>
    </row>
    <row r="135" spans="1:15" x14ac:dyDescent="0.3">
      <c r="A135" s="3" t="str">
        <f>INDEX('R1. Scenario specifications'!$C$11:$C$49,MATCH($B135,'R1. Scenario specifications'!$A$11:$A$49,0))</f>
        <v>Current 2DS, 2030 start, 'Expect the Unexpected'</v>
      </c>
      <c r="B135" s="3" t="s">
        <v>26</v>
      </c>
      <c r="C135" s="3" t="s">
        <v>302</v>
      </c>
      <c r="D135" s="3" t="s">
        <v>326</v>
      </c>
      <c r="E135" s="14">
        <v>0</v>
      </c>
      <c r="F135" s="14">
        <v>0</v>
      </c>
      <c r="G135" s="14">
        <v>137.17533571710985</v>
      </c>
      <c r="H135" s="14">
        <v>435.43586128689685</v>
      </c>
      <c r="I135" s="14">
        <v>449.14288322469247</v>
      </c>
      <c r="J135" s="14">
        <v>719.82022097472702</v>
      </c>
      <c r="K135" s="14">
        <v>674.0733288947431</v>
      </c>
      <c r="L135" s="14">
        <v>765.37615920090366</v>
      </c>
      <c r="M135" s="14">
        <v>796.65645028698714</v>
      </c>
      <c r="N135" s="14">
        <v>860.53683216321883</v>
      </c>
      <c r="O135" s="14">
        <v>898.21117763621453</v>
      </c>
    </row>
    <row r="136" spans="1:15" x14ac:dyDescent="0.3">
      <c r="A136" s="3" t="str">
        <f>INDEX('R1. Scenario specifications'!$C$11:$C$49,MATCH($B136,'R1. Scenario specifications'!$A$11:$A$49,0))</f>
        <v>Current 2DS, 2030 start, 'Expect the Unexpected'</v>
      </c>
      <c r="B136" s="3" t="s">
        <v>26</v>
      </c>
      <c r="C136" s="3" t="s">
        <v>300</v>
      </c>
      <c r="D136" s="3" t="s">
        <v>327</v>
      </c>
      <c r="E136" s="14">
        <v>3713.3499864076566</v>
      </c>
      <c r="F136" s="14">
        <v>9326.5813623263857</v>
      </c>
      <c r="G136" s="14">
        <v>16373.844252739889</v>
      </c>
      <c r="H136" s="14">
        <v>15585.649202815215</v>
      </c>
      <c r="I136" s="14">
        <v>12775.114925154561</v>
      </c>
      <c r="J136" s="14">
        <v>11475.898696623379</v>
      </c>
      <c r="K136" s="14">
        <v>8313.4793878522123</v>
      </c>
      <c r="L136" s="14">
        <v>8672.2435471836579</v>
      </c>
      <c r="M136" s="14">
        <v>6383.1879090308039</v>
      </c>
      <c r="N136" s="14">
        <v>5538.0105782579903</v>
      </c>
      <c r="O136" s="14">
        <v>4349.9203552229837</v>
      </c>
    </row>
    <row r="137" spans="1:15" x14ac:dyDescent="0.3">
      <c r="A137" s="3" t="str">
        <f>INDEX('R1. Scenario specifications'!$C$11:$C$49,MATCH($B137,'R1. Scenario specifications'!$A$11:$A$49,0))</f>
        <v>Current 2DS, 2030 start, 'Expect the Unexpected'</v>
      </c>
      <c r="B137" s="3" t="s">
        <v>26</v>
      </c>
      <c r="C137" s="3" t="s">
        <v>301</v>
      </c>
      <c r="D137" s="3" t="s">
        <v>328</v>
      </c>
      <c r="E137" s="14">
        <v>0</v>
      </c>
      <c r="F137" s="14">
        <v>0</v>
      </c>
      <c r="G137" s="14">
        <v>94.260834870759595</v>
      </c>
      <c r="H137" s="14">
        <v>1599.9746126235134</v>
      </c>
      <c r="I137" s="14">
        <v>143.78768070811429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</row>
    <row r="138" spans="1:15" x14ac:dyDescent="0.3">
      <c r="A138" s="3" t="str">
        <f>INDEX('R1. Scenario specifications'!$C$11:$C$49,MATCH($B138,'R1. Scenario specifications'!$A$11:$A$49,0))</f>
        <v>Current 2DS, 2030 start, 'Expect the Unexpected'</v>
      </c>
      <c r="B138" s="3" t="s">
        <v>26</v>
      </c>
      <c r="C138" s="3" t="s">
        <v>303</v>
      </c>
      <c r="D138" s="3" t="s">
        <v>329</v>
      </c>
      <c r="E138" s="14">
        <v>0</v>
      </c>
      <c r="F138" s="14">
        <v>0</v>
      </c>
      <c r="G138" s="14">
        <v>0</v>
      </c>
      <c r="H138" s="14">
        <v>3040.2453409136619</v>
      </c>
      <c r="I138" s="14">
        <v>1459.905986230048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</row>
    <row r="139" spans="1:15" x14ac:dyDescent="0.3">
      <c r="A139" s="3" t="str">
        <f>INDEX('R1. Scenario specifications'!$C$11:$C$49,MATCH($B139,'R1. Scenario specifications'!$A$11:$A$49,0))</f>
        <v>Current 1.5DS, 2030 start, 'Expect the Unexpected' but with cheap EVs</v>
      </c>
      <c r="B139" s="3" t="s">
        <v>27</v>
      </c>
      <c r="C139" s="3" t="s">
        <v>298</v>
      </c>
      <c r="D139" s="3" t="s">
        <v>325</v>
      </c>
      <c r="E139" s="14">
        <v>5.283714066875322</v>
      </c>
      <c r="F139" s="14">
        <v>40.935839939176851</v>
      </c>
      <c r="G139" s="14">
        <v>1010.9701631029815</v>
      </c>
      <c r="H139" s="14">
        <v>1524.3877289706661</v>
      </c>
      <c r="I139" s="14">
        <v>1281.4013467880875</v>
      </c>
      <c r="J139" s="14">
        <v>1639.6522460965159</v>
      </c>
      <c r="K139" s="14">
        <v>1192.579603780563</v>
      </c>
      <c r="L139" s="14">
        <v>976.70349419057663</v>
      </c>
      <c r="M139" s="14">
        <v>888.80204957415674</v>
      </c>
      <c r="N139" s="14">
        <v>896.79717679759608</v>
      </c>
      <c r="O139" s="14">
        <v>1092.3440562023734</v>
      </c>
    </row>
    <row r="140" spans="1:15" x14ac:dyDescent="0.3">
      <c r="A140" s="3" t="str">
        <f>INDEX('R1. Scenario specifications'!$C$11:$C$49,MATCH($B140,'R1. Scenario specifications'!$A$11:$A$49,0))</f>
        <v>Current 1.5DS, 2030 start, 'Expect the Unexpected' but with cheap EVs</v>
      </c>
      <c r="B140" s="3" t="s">
        <v>27</v>
      </c>
      <c r="C140" s="3" t="s">
        <v>299</v>
      </c>
      <c r="D140" s="3" t="s">
        <v>324</v>
      </c>
      <c r="E140" s="14">
        <v>0</v>
      </c>
      <c r="F140" s="14">
        <v>0</v>
      </c>
      <c r="G140" s="14">
        <v>55.300000000000061</v>
      </c>
      <c r="H140" s="14">
        <v>511.41867088878001</v>
      </c>
      <c r="I140" s="14">
        <v>2727.0465560417815</v>
      </c>
      <c r="J140" s="14">
        <v>6201.2445479029329</v>
      </c>
      <c r="K140" s="14">
        <v>13137.395189280087</v>
      </c>
      <c r="L140" s="14">
        <v>26710.327824278636</v>
      </c>
      <c r="M140" s="14">
        <v>26788.972401151565</v>
      </c>
      <c r="N140" s="14">
        <v>29160.95850610374</v>
      </c>
      <c r="O140" s="14">
        <v>30818.440938049087</v>
      </c>
    </row>
    <row r="141" spans="1:15" x14ac:dyDescent="0.3">
      <c r="A141" s="3" t="str">
        <f>INDEX('R1. Scenario specifications'!$C$11:$C$49,MATCH($B141,'R1. Scenario specifications'!$A$11:$A$49,0))</f>
        <v>Current 1.5DS, 2030 start, 'Expect the Unexpected' but with cheap EVs</v>
      </c>
      <c r="B141" s="3" t="s">
        <v>27</v>
      </c>
      <c r="C141" s="3" t="s">
        <v>302</v>
      </c>
      <c r="D141" s="3" t="s">
        <v>326</v>
      </c>
      <c r="E141" s="14">
        <v>0</v>
      </c>
      <c r="F141" s="14">
        <v>0</v>
      </c>
      <c r="G141" s="14">
        <v>137.17533571710985</v>
      </c>
      <c r="H141" s="14">
        <v>435.43586128689685</v>
      </c>
      <c r="I141" s="14">
        <v>111.00884213079308</v>
      </c>
      <c r="J141" s="14">
        <v>110.75212234292258</v>
      </c>
      <c r="K141" s="14">
        <v>54.400322373684077</v>
      </c>
      <c r="L141" s="14">
        <v>1046.7940394887689</v>
      </c>
      <c r="M141" s="14">
        <v>761.28658429060818</v>
      </c>
      <c r="N141" s="14">
        <v>953.20328456168181</v>
      </c>
      <c r="O141" s="14">
        <v>943.71022330639789</v>
      </c>
    </row>
    <row r="142" spans="1:15" x14ac:dyDescent="0.3">
      <c r="A142" s="3" t="str">
        <f>INDEX('R1. Scenario specifications'!$C$11:$C$49,MATCH($B142,'R1. Scenario specifications'!$A$11:$A$49,0))</f>
        <v>Current 1.5DS, 2030 start, 'Expect the Unexpected' but with cheap EVs</v>
      </c>
      <c r="B142" s="3" t="s">
        <v>27</v>
      </c>
      <c r="C142" s="3" t="s">
        <v>300</v>
      </c>
      <c r="D142" s="3" t="s">
        <v>327</v>
      </c>
      <c r="E142" s="14">
        <v>3713.3499864076566</v>
      </c>
      <c r="F142" s="14">
        <v>9326.5813623263857</v>
      </c>
      <c r="G142" s="14">
        <v>16373.844252739889</v>
      </c>
      <c r="H142" s="14">
        <v>15585.649202815215</v>
      </c>
      <c r="I142" s="14">
        <v>2210.8281625611608</v>
      </c>
      <c r="J142" s="14">
        <v>2230.8225944316355</v>
      </c>
      <c r="K142" s="14">
        <v>2440.3720925165007</v>
      </c>
      <c r="L142" s="14">
        <v>5933.321945437161</v>
      </c>
      <c r="M142" s="14">
        <v>4435.9074507708938</v>
      </c>
      <c r="N142" s="14">
        <v>5368.9637315735845</v>
      </c>
      <c r="O142" s="14">
        <v>5004.0868040763689</v>
      </c>
    </row>
    <row r="143" spans="1:15" x14ac:dyDescent="0.3">
      <c r="A143" s="3" t="str">
        <f>INDEX('R1. Scenario specifications'!$C$11:$C$49,MATCH($B143,'R1. Scenario specifications'!$A$11:$A$49,0))</f>
        <v>Current 1.5DS, 2030 start, 'Expect the Unexpected' but with cheap EVs</v>
      </c>
      <c r="B143" s="3" t="s">
        <v>27</v>
      </c>
      <c r="C143" s="3" t="s">
        <v>301</v>
      </c>
      <c r="D143" s="3" t="s">
        <v>328</v>
      </c>
      <c r="E143" s="14">
        <v>0</v>
      </c>
      <c r="F143" s="14">
        <v>0</v>
      </c>
      <c r="G143" s="14">
        <v>94.260834870759595</v>
      </c>
      <c r="H143" s="14">
        <v>1599.9746126235134</v>
      </c>
      <c r="I143" s="14">
        <v>2282.2263777757344</v>
      </c>
      <c r="J143" s="14">
        <v>356.92903696265</v>
      </c>
      <c r="K143" s="14">
        <v>97.037941175074835</v>
      </c>
      <c r="L143" s="14">
        <v>8.1893312531516909</v>
      </c>
      <c r="M143" s="14">
        <v>6.2584453924312804</v>
      </c>
      <c r="N143" s="14">
        <v>7.0942659415562304</v>
      </c>
      <c r="O143" s="14">
        <v>0</v>
      </c>
    </row>
    <row r="144" spans="1:15" x14ac:dyDescent="0.3">
      <c r="A144" s="3" t="str">
        <f>INDEX('R1. Scenario specifications'!$C$11:$C$49,MATCH($B144,'R1. Scenario specifications'!$A$11:$A$49,0))</f>
        <v>Current 1.5DS, 2030 start, 'Expect the Unexpected' but with cheap EVs</v>
      </c>
      <c r="B144" s="3" t="s">
        <v>27</v>
      </c>
      <c r="C144" s="3" t="s">
        <v>303</v>
      </c>
      <c r="D144" s="3" t="s">
        <v>329</v>
      </c>
      <c r="E144" s="14">
        <v>0</v>
      </c>
      <c r="F144" s="14">
        <v>0</v>
      </c>
      <c r="G144" s="14">
        <v>0</v>
      </c>
      <c r="H144" s="14">
        <v>3040.2453409136619</v>
      </c>
      <c r="I144" s="14">
        <v>10817.775582165475</v>
      </c>
      <c r="J144" s="14">
        <v>11402.545838865968</v>
      </c>
      <c r="K144" s="14">
        <v>3478.8594364054052</v>
      </c>
      <c r="L144" s="14">
        <v>0</v>
      </c>
      <c r="M144" s="14">
        <v>0</v>
      </c>
      <c r="N144" s="14">
        <v>0</v>
      </c>
      <c r="O144" s="14">
        <v>0</v>
      </c>
    </row>
    <row r="145" spans="1:15" x14ac:dyDescent="0.3">
      <c r="A145" s="3" t="str">
        <f>INDEX('R1. Scenario specifications'!$C$11:$C$49,MATCH($B145,'R1. Scenario specifications'!$A$11:$A$49,0))</f>
        <v>Current 1.5DS, 2020 start, 'Expect the Unexpected' but with cheap energy efficiency</v>
      </c>
      <c r="B145" s="3" t="s">
        <v>28</v>
      </c>
      <c r="C145" s="3" t="s">
        <v>298</v>
      </c>
      <c r="D145" s="3" t="s">
        <v>325</v>
      </c>
      <c r="E145" s="14">
        <v>5.283714066875322</v>
      </c>
      <c r="F145" s="14">
        <v>40.935839939176851</v>
      </c>
      <c r="G145" s="14">
        <v>1010.9701631029815</v>
      </c>
      <c r="H145" s="14">
        <v>877.85460724155439</v>
      </c>
      <c r="I145" s="14">
        <v>1052.7156180489551</v>
      </c>
      <c r="J145" s="14">
        <v>1561.5874053929633</v>
      </c>
      <c r="K145" s="14">
        <v>1530.6326289530632</v>
      </c>
      <c r="L145" s="14">
        <v>358.91349059078243</v>
      </c>
      <c r="M145" s="14">
        <v>625.73941618026981</v>
      </c>
      <c r="N145" s="14">
        <v>860.92272857048624</v>
      </c>
      <c r="O145" s="14">
        <v>1761.3027837727336</v>
      </c>
    </row>
    <row r="146" spans="1:15" x14ac:dyDescent="0.3">
      <c r="A146" s="3" t="str">
        <f>INDEX('R1. Scenario specifications'!$C$11:$C$49,MATCH($B146,'R1. Scenario specifications'!$A$11:$A$49,0))</f>
        <v>Current 1.5DS, 2020 start, 'Expect the Unexpected' but with cheap energy efficiency</v>
      </c>
      <c r="B146" s="3" t="s">
        <v>28</v>
      </c>
      <c r="C146" s="3" t="s">
        <v>299</v>
      </c>
      <c r="D146" s="3" t="s">
        <v>324</v>
      </c>
      <c r="E146" s="14">
        <v>0</v>
      </c>
      <c r="F146" s="14">
        <v>0</v>
      </c>
      <c r="G146" s="14">
        <v>55.300000000000061</v>
      </c>
      <c r="H146" s="14">
        <v>628.65741905604455</v>
      </c>
      <c r="I146" s="14">
        <v>2137.9291805212729</v>
      </c>
      <c r="J146" s="14">
        <v>10363.393677206974</v>
      </c>
      <c r="K146" s="14">
        <v>16186.837893933816</v>
      </c>
      <c r="L146" s="14">
        <v>16151.98585977786</v>
      </c>
      <c r="M146" s="14">
        <v>18227.123131144224</v>
      </c>
      <c r="N146" s="14">
        <v>21027.620539494987</v>
      </c>
      <c r="O146" s="14">
        <v>22614.972669561295</v>
      </c>
    </row>
    <row r="147" spans="1:15" x14ac:dyDescent="0.3">
      <c r="A147" s="3" t="str">
        <f>INDEX('R1. Scenario specifications'!$C$11:$C$49,MATCH($B147,'R1. Scenario specifications'!$A$11:$A$49,0))</f>
        <v>Current 1.5DS, 2020 start, 'Expect the Unexpected' but with cheap energy efficiency</v>
      </c>
      <c r="B147" s="3" t="s">
        <v>28</v>
      </c>
      <c r="C147" s="3" t="s">
        <v>302</v>
      </c>
      <c r="D147" s="3" t="s">
        <v>326</v>
      </c>
      <c r="E147" s="14">
        <v>0</v>
      </c>
      <c r="F147" s="14">
        <v>0</v>
      </c>
      <c r="G147" s="14">
        <v>137.17533571710985</v>
      </c>
      <c r="H147" s="14">
        <v>169.19652321054897</v>
      </c>
      <c r="I147" s="14">
        <v>80.604397014885066</v>
      </c>
      <c r="J147" s="14">
        <v>92.221268096583543</v>
      </c>
      <c r="K147" s="14">
        <v>357.66865715798934</v>
      </c>
      <c r="L147" s="14">
        <v>675.16718732343008</v>
      </c>
      <c r="M147" s="14">
        <v>589.88332982713007</v>
      </c>
      <c r="N147" s="14">
        <v>698.10182819604631</v>
      </c>
      <c r="O147" s="14">
        <v>710.50284099888211</v>
      </c>
    </row>
    <row r="148" spans="1:15" x14ac:dyDescent="0.3">
      <c r="A148" s="3" t="str">
        <f>INDEX('R1. Scenario specifications'!$C$11:$C$49,MATCH($B148,'R1. Scenario specifications'!$A$11:$A$49,0))</f>
        <v>Current 1.5DS, 2020 start, 'Expect the Unexpected' but with cheap energy efficiency</v>
      </c>
      <c r="B148" s="3" t="s">
        <v>28</v>
      </c>
      <c r="C148" s="3" t="s">
        <v>300</v>
      </c>
      <c r="D148" s="3" t="s">
        <v>327</v>
      </c>
      <c r="E148" s="14">
        <v>3713.3499864076566</v>
      </c>
      <c r="F148" s="14">
        <v>9326.5813623263857</v>
      </c>
      <c r="G148" s="14">
        <v>16373.844252739889</v>
      </c>
      <c r="H148" s="14">
        <v>4830.7213879484116</v>
      </c>
      <c r="I148" s="14">
        <v>2260.2247012528901</v>
      </c>
      <c r="J148" s="14">
        <v>2540.591718505385</v>
      </c>
      <c r="K148" s="14">
        <v>4735.0093535251781</v>
      </c>
      <c r="L148" s="14">
        <v>7650.2840620193019</v>
      </c>
      <c r="M148" s="14">
        <v>6708.4833944344318</v>
      </c>
      <c r="N148" s="14">
        <v>5079.9093918709441</v>
      </c>
      <c r="O148" s="14">
        <v>4221.7022066088248</v>
      </c>
    </row>
    <row r="149" spans="1:15" x14ac:dyDescent="0.3">
      <c r="A149" s="3" t="str">
        <f>INDEX('R1. Scenario specifications'!$C$11:$C$49,MATCH($B149,'R1. Scenario specifications'!$A$11:$A$49,0))</f>
        <v>Current 1.5DS, 2020 start, 'Expect the Unexpected' but with cheap energy efficiency</v>
      </c>
      <c r="B149" s="3" t="s">
        <v>28</v>
      </c>
      <c r="C149" s="3" t="s">
        <v>301</v>
      </c>
      <c r="D149" s="3" t="s">
        <v>328</v>
      </c>
      <c r="E149" s="14">
        <v>0</v>
      </c>
      <c r="F149" s="14">
        <v>0</v>
      </c>
      <c r="G149" s="14">
        <v>94.260834870759595</v>
      </c>
      <c r="H149" s="14">
        <v>2480.3753770009171</v>
      </c>
      <c r="I149" s="14">
        <v>1513.6165436662907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</row>
    <row r="150" spans="1:15" x14ac:dyDescent="0.3">
      <c r="A150" s="3" t="str">
        <f>INDEX('R1. Scenario specifications'!$C$11:$C$49,MATCH($B150,'R1. Scenario specifications'!$A$11:$A$49,0))</f>
        <v>Current 1.5DS, 2020 start, 'Expect the Unexpected' but with cheap energy efficiency</v>
      </c>
      <c r="B150" s="3" t="s">
        <v>28</v>
      </c>
      <c r="C150" s="3" t="s">
        <v>303</v>
      </c>
      <c r="D150" s="3" t="s">
        <v>329</v>
      </c>
      <c r="E150" s="14">
        <v>0</v>
      </c>
      <c r="F150" s="14">
        <v>0</v>
      </c>
      <c r="G150" s="14">
        <v>0</v>
      </c>
      <c r="H150" s="14">
        <v>5681.4745198631408</v>
      </c>
      <c r="I150" s="14">
        <v>8567.5163065100587</v>
      </c>
      <c r="J150" s="14">
        <v>3868.5570192473065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</row>
    <row r="151" spans="1:15" x14ac:dyDescent="0.3">
      <c r="A151" s="3" t="str">
        <f>INDEX('R1. Scenario specifications'!$C$11:$C$49,MATCH($B151,'R1. Scenario specifications'!$A$11:$A$49,0))</f>
        <v>Current 1.5DS, 2030 start, 'Expect the Unexpected' but with cheap energy efficiency</v>
      </c>
      <c r="B151" s="3" t="s">
        <v>29</v>
      </c>
      <c r="C151" s="3" t="s">
        <v>298</v>
      </c>
      <c r="D151" s="3" t="s">
        <v>325</v>
      </c>
      <c r="E151" s="14">
        <v>5.283714066875322</v>
      </c>
      <c r="F151" s="14">
        <v>40.935839939176851</v>
      </c>
      <c r="G151" s="14">
        <v>1010.9701631029815</v>
      </c>
      <c r="H151" s="14">
        <v>1524.3877289706661</v>
      </c>
      <c r="I151" s="14">
        <v>1327.9102853626212</v>
      </c>
      <c r="J151" s="14">
        <v>1620.5965702957249</v>
      </c>
      <c r="K151" s="14">
        <v>1427.1177883708199</v>
      </c>
      <c r="L151" s="14">
        <v>1502.0752791022289</v>
      </c>
      <c r="M151" s="14">
        <v>1245.6355188675479</v>
      </c>
      <c r="N151" s="14">
        <v>717.11310353160843</v>
      </c>
      <c r="O151" s="14">
        <v>1160.4630946956843</v>
      </c>
    </row>
    <row r="152" spans="1:15" x14ac:dyDescent="0.3">
      <c r="A152" s="3" t="str">
        <f>INDEX('R1. Scenario specifications'!$C$11:$C$49,MATCH($B152,'R1. Scenario specifications'!$A$11:$A$49,0))</f>
        <v>Current 1.5DS, 2030 start, 'Expect the Unexpected' but with cheap energy efficiency</v>
      </c>
      <c r="B152" s="3" t="s">
        <v>29</v>
      </c>
      <c r="C152" s="3" t="s">
        <v>299</v>
      </c>
      <c r="D152" s="3" t="s">
        <v>324</v>
      </c>
      <c r="E152" s="14">
        <v>0</v>
      </c>
      <c r="F152" s="14">
        <v>0</v>
      </c>
      <c r="G152" s="14">
        <v>55.300000000000061</v>
      </c>
      <c r="H152" s="14">
        <v>511.41867088878001</v>
      </c>
      <c r="I152" s="14">
        <v>2013.8273294650082</v>
      </c>
      <c r="J152" s="14">
        <v>4457.7159670295141</v>
      </c>
      <c r="K152" s="14">
        <v>9986.9577370210554</v>
      </c>
      <c r="L152" s="14">
        <v>16817.675974472932</v>
      </c>
      <c r="M152" s="14">
        <v>16652.43251218538</v>
      </c>
      <c r="N152" s="14">
        <v>18296.248595866538</v>
      </c>
      <c r="O152" s="14">
        <v>19215.677049843707</v>
      </c>
    </row>
    <row r="153" spans="1:15" x14ac:dyDescent="0.3">
      <c r="A153" s="3" t="str">
        <f>INDEX('R1. Scenario specifications'!$C$11:$C$49,MATCH($B153,'R1. Scenario specifications'!$A$11:$A$49,0))</f>
        <v>Current 1.5DS, 2030 start, 'Expect the Unexpected' but with cheap energy efficiency</v>
      </c>
      <c r="B153" s="3" t="s">
        <v>29</v>
      </c>
      <c r="C153" s="3" t="s">
        <v>302</v>
      </c>
      <c r="D153" s="3" t="s">
        <v>326</v>
      </c>
      <c r="E153" s="14">
        <v>0</v>
      </c>
      <c r="F153" s="14">
        <v>0</v>
      </c>
      <c r="G153" s="14">
        <v>137.17533571710985</v>
      </c>
      <c r="H153" s="14">
        <v>435.43586128689685</v>
      </c>
      <c r="I153" s="14">
        <v>61.829306081174899</v>
      </c>
      <c r="J153" s="14">
        <v>86.871890650493469</v>
      </c>
      <c r="K153" s="14">
        <v>78.35395190223349</v>
      </c>
      <c r="L153" s="14">
        <v>776.44060352901329</v>
      </c>
      <c r="M153" s="14">
        <v>560.15594036811797</v>
      </c>
      <c r="N153" s="14">
        <v>707.04368596585391</v>
      </c>
      <c r="O153" s="14">
        <v>702.64785538876413</v>
      </c>
    </row>
    <row r="154" spans="1:15" x14ac:dyDescent="0.3">
      <c r="A154" s="3" t="str">
        <f>INDEX('R1. Scenario specifications'!$C$11:$C$49,MATCH($B154,'R1. Scenario specifications'!$A$11:$A$49,0))</f>
        <v>Current 1.5DS, 2030 start, 'Expect the Unexpected' but with cheap energy efficiency</v>
      </c>
      <c r="B154" s="3" t="s">
        <v>29</v>
      </c>
      <c r="C154" s="3" t="s">
        <v>300</v>
      </c>
      <c r="D154" s="3" t="s">
        <v>327</v>
      </c>
      <c r="E154" s="14">
        <v>3713.3499864076566</v>
      </c>
      <c r="F154" s="14">
        <v>9326.5813623263857</v>
      </c>
      <c r="G154" s="14">
        <v>16373.844252739889</v>
      </c>
      <c r="H154" s="14">
        <v>15585.649202815215</v>
      </c>
      <c r="I154" s="14">
        <v>2370.9572003007706</v>
      </c>
      <c r="J154" s="14">
        <v>2501.2533950460602</v>
      </c>
      <c r="K154" s="14">
        <v>2309.2793351087184</v>
      </c>
      <c r="L154" s="14">
        <v>8143.8654277560063</v>
      </c>
      <c r="M154" s="14">
        <v>7111.4705398057176</v>
      </c>
      <c r="N154" s="14">
        <v>8774.1988280915321</v>
      </c>
      <c r="O154" s="14">
        <v>8480.5880283126062</v>
      </c>
    </row>
    <row r="155" spans="1:15" x14ac:dyDescent="0.3">
      <c r="A155" s="3" t="str">
        <f>INDEX('R1. Scenario specifications'!$C$11:$C$49,MATCH($B155,'R1. Scenario specifications'!$A$11:$A$49,0))</f>
        <v>Current 1.5DS, 2030 start, 'Expect the Unexpected' but with cheap energy efficiency</v>
      </c>
      <c r="B155" s="3" t="s">
        <v>29</v>
      </c>
      <c r="C155" s="3" t="s">
        <v>301</v>
      </c>
      <c r="D155" s="3" t="s">
        <v>328</v>
      </c>
      <c r="E155" s="14">
        <v>0</v>
      </c>
      <c r="F155" s="14">
        <v>0</v>
      </c>
      <c r="G155" s="14">
        <v>94.260834870759595</v>
      </c>
      <c r="H155" s="14">
        <v>1599.9746126235134</v>
      </c>
      <c r="I155" s="14">
        <v>1631.816851673726</v>
      </c>
      <c r="J155" s="14">
        <v>10.9491508135921</v>
      </c>
      <c r="K155" s="14">
        <v>81.596230203370993</v>
      </c>
      <c r="L155" s="14">
        <v>0</v>
      </c>
      <c r="M155" s="14">
        <v>0</v>
      </c>
      <c r="N155" s="14">
        <v>0</v>
      </c>
      <c r="O155" s="14">
        <v>0</v>
      </c>
    </row>
    <row r="156" spans="1:15" x14ac:dyDescent="0.3">
      <c r="A156" s="3" t="str">
        <f>INDEX('R1. Scenario specifications'!$C$11:$C$49,MATCH($B156,'R1. Scenario specifications'!$A$11:$A$49,0))</f>
        <v>Current 1.5DS, 2030 start, 'Expect the Unexpected' but with cheap energy efficiency</v>
      </c>
      <c r="B156" s="3" t="s">
        <v>29</v>
      </c>
      <c r="C156" s="3" t="s">
        <v>303</v>
      </c>
      <c r="D156" s="3" t="s">
        <v>329</v>
      </c>
      <c r="E156" s="14">
        <v>0</v>
      </c>
      <c r="F156" s="14">
        <v>0</v>
      </c>
      <c r="G156" s="14">
        <v>0</v>
      </c>
      <c r="H156" s="14">
        <v>3040.2453409136619</v>
      </c>
      <c r="I156" s="14">
        <v>7422.1484539445491</v>
      </c>
      <c r="J156" s="14">
        <v>8572.7765352718106</v>
      </c>
      <c r="K156" s="14">
        <v>2730.9512684064271</v>
      </c>
      <c r="L156" s="14">
        <v>0</v>
      </c>
      <c r="M156" s="14">
        <v>0</v>
      </c>
      <c r="N156" s="14">
        <v>0</v>
      </c>
      <c r="O156" s="14">
        <v>0</v>
      </c>
    </row>
    <row r="157" spans="1:15" x14ac:dyDescent="0.3">
      <c r="A157" s="3" t="str">
        <f>INDEX('R1. Scenario specifications'!$C$11:$C$49,MATCH($B157,'R1. Scenario specifications'!$A$11:$A$49,0))</f>
        <v>Current 1.5DS, 2020 start, 'Expect the Unexpected' but with most conservative biomass CCS / NET technology cost assumptions</v>
      </c>
      <c r="B157" s="3" t="s">
        <v>30</v>
      </c>
      <c r="C157" s="3" t="s">
        <v>298</v>
      </c>
      <c r="D157" s="3" t="s">
        <v>325</v>
      </c>
      <c r="E157" s="14">
        <v>5.283714066875322</v>
      </c>
      <c r="F157" s="14">
        <v>40.935839939176851</v>
      </c>
      <c r="G157" s="14">
        <v>1010.9701631029815</v>
      </c>
      <c r="H157" s="14">
        <v>780.18848451671568</v>
      </c>
      <c r="I157" s="14">
        <v>773.50051815346444</v>
      </c>
      <c r="J157" s="14">
        <v>1202.9369596810338</v>
      </c>
      <c r="K157" s="14">
        <v>1573.5148673457197</v>
      </c>
      <c r="L157" s="14">
        <v>292.49471823938762</v>
      </c>
      <c r="M157" s="14">
        <v>542.31894346357535</v>
      </c>
      <c r="N157" s="14">
        <v>766.16542419162784</v>
      </c>
      <c r="O157" s="14">
        <v>1711.5250231445407</v>
      </c>
    </row>
    <row r="158" spans="1:15" x14ac:dyDescent="0.3">
      <c r="A158" s="3" t="str">
        <f>INDEX('R1. Scenario specifications'!$C$11:$C$49,MATCH($B158,'R1. Scenario specifications'!$A$11:$A$49,0))</f>
        <v>Current 1.5DS, 2020 start, 'Expect the Unexpected' but with most conservative biomass CCS / NET technology cost assumptions</v>
      </c>
      <c r="B158" s="3" t="s">
        <v>30</v>
      </c>
      <c r="C158" s="3" t="s">
        <v>299</v>
      </c>
      <c r="D158" s="3" t="s">
        <v>324</v>
      </c>
      <c r="E158" s="14">
        <v>0</v>
      </c>
      <c r="F158" s="14">
        <v>0</v>
      </c>
      <c r="G158" s="14">
        <v>55.300000000000061</v>
      </c>
      <c r="H158" s="14">
        <v>648.60333079607267</v>
      </c>
      <c r="I158" s="14">
        <v>2658.2996322313102</v>
      </c>
      <c r="J158" s="14">
        <v>10810.561627547344</v>
      </c>
      <c r="K158" s="14">
        <v>21369.298734929209</v>
      </c>
      <c r="L158" s="14">
        <v>21185.226796682975</v>
      </c>
      <c r="M158" s="14">
        <v>23917.168757826574</v>
      </c>
      <c r="N158" s="14">
        <v>26907.535927136025</v>
      </c>
      <c r="O158" s="14">
        <v>29298.104153969241</v>
      </c>
    </row>
    <row r="159" spans="1:15" x14ac:dyDescent="0.3">
      <c r="A159" s="3" t="str">
        <f>INDEX('R1. Scenario specifications'!$C$11:$C$49,MATCH($B159,'R1. Scenario specifications'!$A$11:$A$49,0))</f>
        <v>Current 1.5DS, 2020 start, 'Expect the Unexpected' but with most conservative biomass CCS / NET technology cost assumptions</v>
      </c>
      <c r="B159" s="3" t="s">
        <v>30</v>
      </c>
      <c r="C159" s="3" t="s">
        <v>302</v>
      </c>
      <c r="D159" s="3" t="s">
        <v>326</v>
      </c>
      <c r="E159" s="14">
        <v>0</v>
      </c>
      <c r="F159" s="14">
        <v>0</v>
      </c>
      <c r="G159" s="14">
        <v>137.17533571710985</v>
      </c>
      <c r="H159" s="14">
        <v>278.67337648227578</v>
      </c>
      <c r="I159" s="14">
        <v>48.178412819846031</v>
      </c>
      <c r="J159" s="14">
        <v>54.708039950581295</v>
      </c>
      <c r="K159" s="14">
        <v>543.68746284309304</v>
      </c>
      <c r="L159" s="14">
        <v>820.37091919567047</v>
      </c>
      <c r="M159" s="14">
        <v>773.03528282130105</v>
      </c>
      <c r="N159" s="14">
        <v>873.8747200274463</v>
      </c>
      <c r="O159" s="14">
        <v>893.95306763102803</v>
      </c>
    </row>
    <row r="160" spans="1:15" x14ac:dyDescent="0.3">
      <c r="A160" s="3" t="str">
        <f>INDEX('R1. Scenario specifications'!$C$11:$C$49,MATCH($B160,'R1. Scenario specifications'!$A$11:$A$49,0))</f>
        <v>Current 1.5DS, 2020 start, 'Expect the Unexpected' but with most conservative biomass CCS / NET technology cost assumptions</v>
      </c>
      <c r="B160" s="3" t="s">
        <v>30</v>
      </c>
      <c r="C160" s="3" t="s">
        <v>300</v>
      </c>
      <c r="D160" s="3" t="s">
        <v>327</v>
      </c>
      <c r="E160" s="14">
        <v>3713.3499864076566</v>
      </c>
      <c r="F160" s="14">
        <v>9326.5813623263857</v>
      </c>
      <c r="G160" s="14">
        <v>16373.844252739889</v>
      </c>
      <c r="H160" s="14">
        <v>8562.9025719404071</v>
      </c>
      <c r="I160" s="14">
        <v>2444.5516209834632</v>
      </c>
      <c r="J160" s="14">
        <v>2538.2253434955237</v>
      </c>
      <c r="K160" s="14">
        <v>5486.0437770846311</v>
      </c>
      <c r="L160" s="14">
        <v>7800.8424186874845</v>
      </c>
      <c r="M160" s="14">
        <v>7092.9533324740787</v>
      </c>
      <c r="N160" s="14">
        <v>5317.8573185960831</v>
      </c>
      <c r="O160" s="14">
        <v>4288.3815018186524</v>
      </c>
    </row>
    <row r="161" spans="1:15" x14ac:dyDescent="0.3">
      <c r="A161" s="3" t="str">
        <f>INDEX('R1. Scenario specifications'!$C$11:$C$49,MATCH($B161,'R1. Scenario specifications'!$A$11:$A$49,0))</f>
        <v>Current 1.5DS, 2020 start, 'Expect the Unexpected' but with most conservative biomass CCS / NET technology cost assumptions</v>
      </c>
      <c r="B161" s="3" t="s">
        <v>30</v>
      </c>
      <c r="C161" s="3" t="s">
        <v>301</v>
      </c>
      <c r="D161" s="3" t="s">
        <v>328</v>
      </c>
      <c r="E161" s="14">
        <v>0</v>
      </c>
      <c r="F161" s="14">
        <v>0</v>
      </c>
      <c r="G161" s="14">
        <v>94.260834870759595</v>
      </c>
      <c r="H161" s="14">
        <v>3141.716859287862</v>
      </c>
      <c r="I161" s="14">
        <v>1555.079602058006</v>
      </c>
      <c r="J161" s="14">
        <v>0</v>
      </c>
      <c r="K161" s="14">
        <v>1.63040509930647</v>
      </c>
      <c r="L161" s="14">
        <v>0</v>
      </c>
      <c r="M161" s="14">
        <v>0</v>
      </c>
      <c r="N161" s="14">
        <v>0</v>
      </c>
      <c r="O161" s="14">
        <v>0</v>
      </c>
    </row>
    <row r="162" spans="1:15" x14ac:dyDescent="0.3">
      <c r="A162" s="3" t="str">
        <f>INDEX('R1. Scenario specifications'!$C$11:$C$49,MATCH($B162,'R1. Scenario specifications'!$A$11:$A$49,0))</f>
        <v>Current 1.5DS, 2020 start, 'Expect the Unexpected' but with most conservative biomass CCS / NET technology cost assumptions</v>
      </c>
      <c r="B162" s="3" t="s">
        <v>30</v>
      </c>
      <c r="C162" s="3" t="s">
        <v>303</v>
      </c>
      <c r="D162" s="3" t="s">
        <v>329</v>
      </c>
      <c r="E162" s="14">
        <v>0</v>
      </c>
      <c r="F162" s="14">
        <v>0</v>
      </c>
      <c r="G162" s="14">
        <v>0</v>
      </c>
      <c r="H162" s="14">
        <v>7619.0923249882608</v>
      </c>
      <c r="I162" s="14">
        <v>9486.0338597079881</v>
      </c>
      <c r="J162" s="14">
        <v>5257.1467121614678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</row>
    <row r="163" spans="1:15" x14ac:dyDescent="0.3">
      <c r="A163" s="3" t="str">
        <f>INDEX('R1. Scenario specifications'!$C$11:$C$49,MATCH($B163,'R1. Scenario specifications'!$A$11:$A$49,0))</f>
        <v>Current 1.5DS, 2030 start, 'Expect the Unexpected' but with most conservative biomass CCS / NET technology cost assumptions</v>
      </c>
      <c r="B163" s="3" t="s">
        <v>31</v>
      </c>
      <c r="C163" s="3" t="s">
        <v>298</v>
      </c>
      <c r="D163" s="3" t="s">
        <v>325</v>
      </c>
      <c r="E163" s="14">
        <v>5.283714066875322</v>
      </c>
      <c r="F163" s="14">
        <v>40.935839939176851</v>
      </c>
      <c r="G163" s="14">
        <v>1010.9701631029815</v>
      </c>
      <c r="H163" s="14">
        <v>1524.3877289706661</v>
      </c>
      <c r="I163" s="14">
        <v>1259.9900099537385</v>
      </c>
      <c r="J163" s="14">
        <v>1632.7056354539229</v>
      </c>
      <c r="K163" s="14">
        <v>1190.289080760298</v>
      </c>
      <c r="L163" s="14">
        <v>1671.3695564817267</v>
      </c>
      <c r="M163" s="14">
        <v>1430.4282487527171</v>
      </c>
      <c r="N163" s="14">
        <v>1253.1469133652142</v>
      </c>
      <c r="O163" s="14">
        <v>1160.7040848700242</v>
      </c>
    </row>
    <row r="164" spans="1:15" x14ac:dyDescent="0.3">
      <c r="A164" s="3" t="str">
        <f>INDEX('R1. Scenario specifications'!$C$11:$C$49,MATCH($B164,'R1. Scenario specifications'!$A$11:$A$49,0))</f>
        <v>Current 1.5DS, 2030 start, 'Expect the Unexpected' but with most conservative biomass CCS / NET technology cost assumptions</v>
      </c>
      <c r="B164" s="3" t="s">
        <v>31</v>
      </c>
      <c r="C164" s="3" t="s">
        <v>299</v>
      </c>
      <c r="D164" s="3" t="s">
        <v>324</v>
      </c>
      <c r="E164" s="14">
        <v>0</v>
      </c>
      <c r="F164" s="14">
        <v>0</v>
      </c>
      <c r="G164" s="14">
        <v>55.300000000000061</v>
      </c>
      <c r="H164" s="14">
        <v>511.41867088878001</v>
      </c>
      <c r="I164" s="14">
        <v>2592.7865470026791</v>
      </c>
      <c r="J164" s="14">
        <v>7056.9741219823391</v>
      </c>
      <c r="K164" s="14">
        <v>12867.064650772449</v>
      </c>
      <c r="L164" s="14">
        <v>21466.907044361251</v>
      </c>
      <c r="M164" s="14">
        <v>21436.286642040865</v>
      </c>
      <c r="N164" s="14">
        <v>23461.774254977394</v>
      </c>
      <c r="O164" s="14">
        <v>24796.221418772842</v>
      </c>
    </row>
    <row r="165" spans="1:15" x14ac:dyDescent="0.3">
      <c r="A165" s="3" t="str">
        <f>INDEX('R1. Scenario specifications'!$C$11:$C$49,MATCH($B165,'R1. Scenario specifications'!$A$11:$A$49,0))</f>
        <v>Current 1.5DS, 2030 start, 'Expect the Unexpected' but with most conservative biomass CCS / NET technology cost assumptions</v>
      </c>
      <c r="B165" s="3" t="s">
        <v>31</v>
      </c>
      <c r="C165" s="3" t="s">
        <v>302</v>
      </c>
      <c r="D165" s="3" t="s">
        <v>326</v>
      </c>
      <c r="E165" s="14">
        <v>0</v>
      </c>
      <c r="F165" s="14">
        <v>0</v>
      </c>
      <c r="G165" s="14">
        <v>137.17533571710985</v>
      </c>
      <c r="H165" s="14">
        <v>435.43586128689685</v>
      </c>
      <c r="I165" s="14">
        <v>99.498285315803329</v>
      </c>
      <c r="J165" s="14">
        <v>106.23629150804376</v>
      </c>
      <c r="K165" s="14">
        <v>79.797922355938269</v>
      </c>
      <c r="L165" s="14">
        <v>990.33629017137287</v>
      </c>
      <c r="M165" s="14">
        <v>717.78767265726128</v>
      </c>
      <c r="N165" s="14">
        <v>902.19601154680731</v>
      </c>
      <c r="O165" s="14">
        <v>899.47459606371683</v>
      </c>
    </row>
    <row r="166" spans="1:15" x14ac:dyDescent="0.3">
      <c r="A166" s="3" t="str">
        <f>INDEX('R1. Scenario specifications'!$C$11:$C$49,MATCH($B166,'R1. Scenario specifications'!$A$11:$A$49,0))</f>
        <v>Current 1.5DS, 2030 start, 'Expect the Unexpected' but with most conservative biomass CCS / NET technology cost assumptions</v>
      </c>
      <c r="B166" s="3" t="s">
        <v>31</v>
      </c>
      <c r="C166" s="3" t="s">
        <v>300</v>
      </c>
      <c r="D166" s="3" t="s">
        <v>327</v>
      </c>
      <c r="E166" s="14">
        <v>3713.3499864076566</v>
      </c>
      <c r="F166" s="14">
        <v>9326.5813623263857</v>
      </c>
      <c r="G166" s="14">
        <v>16373.844252739889</v>
      </c>
      <c r="H166" s="14">
        <v>15585.649202815215</v>
      </c>
      <c r="I166" s="14">
        <v>2265.15420334995</v>
      </c>
      <c r="J166" s="14">
        <v>2588.8626291717251</v>
      </c>
      <c r="K166" s="14">
        <v>2595.5774298130927</v>
      </c>
      <c r="L166" s="14">
        <v>9275.8314843304488</v>
      </c>
      <c r="M166" s="14">
        <v>7976.7244025263899</v>
      </c>
      <c r="N166" s="14">
        <v>9411.2376975116385</v>
      </c>
      <c r="O166" s="14">
        <v>9630.5257474145146</v>
      </c>
    </row>
    <row r="167" spans="1:15" x14ac:dyDescent="0.3">
      <c r="A167" s="3" t="str">
        <f>INDEX('R1. Scenario specifications'!$C$11:$C$49,MATCH($B167,'R1. Scenario specifications'!$A$11:$A$49,0))</f>
        <v>Current 1.5DS, 2030 start, 'Expect the Unexpected' but with most conservative biomass CCS / NET technology cost assumptions</v>
      </c>
      <c r="B167" s="3" t="s">
        <v>31</v>
      </c>
      <c r="C167" s="3" t="s">
        <v>301</v>
      </c>
      <c r="D167" s="3" t="s">
        <v>328</v>
      </c>
      <c r="E167" s="14">
        <v>0</v>
      </c>
      <c r="F167" s="14">
        <v>0</v>
      </c>
      <c r="G167" s="14">
        <v>94.260834870759595</v>
      </c>
      <c r="H167" s="14">
        <v>1599.9746126235134</v>
      </c>
      <c r="I167" s="14">
        <v>2088.7028872936144</v>
      </c>
      <c r="J167" s="14">
        <v>8.9958917761979205</v>
      </c>
      <c r="K167" s="14">
        <v>119.13010375915</v>
      </c>
      <c r="L167" s="14">
        <v>0</v>
      </c>
      <c r="M167" s="14">
        <v>0</v>
      </c>
      <c r="N167" s="14">
        <v>0</v>
      </c>
      <c r="O167" s="14">
        <v>0</v>
      </c>
    </row>
    <row r="168" spans="1:15" x14ac:dyDescent="0.3">
      <c r="A168" s="3" t="str">
        <f>INDEX('R1. Scenario specifications'!$C$11:$C$49,MATCH($B168,'R1. Scenario specifications'!$A$11:$A$49,0))</f>
        <v>Current 1.5DS, 2030 start, 'Expect the Unexpected' but with most conservative biomass CCS / NET technology cost assumptions</v>
      </c>
      <c r="B168" s="3" t="s">
        <v>31</v>
      </c>
      <c r="C168" s="3" t="s">
        <v>303</v>
      </c>
      <c r="D168" s="3" t="s">
        <v>329</v>
      </c>
      <c r="E168" s="14">
        <v>0</v>
      </c>
      <c r="F168" s="14">
        <v>0</v>
      </c>
      <c r="G168" s="14">
        <v>0</v>
      </c>
      <c r="H168" s="14">
        <v>3040.2453409136619</v>
      </c>
      <c r="I168" s="14">
        <v>9866.360398593657</v>
      </c>
      <c r="J168" s="14">
        <v>9644.9869563024822</v>
      </c>
      <c r="K168" s="14">
        <v>3528.8238889704448</v>
      </c>
      <c r="L168" s="14">
        <v>0</v>
      </c>
      <c r="M168" s="14">
        <v>0</v>
      </c>
      <c r="N168" s="14">
        <v>0</v>
      </c>
      <c r="O168" s="14">
        <v>0</v>
      </c>
    </row>
    <row r="169" spans="1:15" x14ac:dyDescent="0.3">
      <c r="A169" s="3" t="str">
        <f>INDEX('R1. Scenario specifications'!$C$11:$C$49,MATCH($B169,'R1. Scenario specifications'!$A$11:$A$49,0))</f>
        <v>Current 1.75DS, 2020 start, 'Expect the Unexpected'</v>
      </c>
      <c r="B169" s="3" t="s">
        <v>32</v>
      </c>
      <c r="C169" s="3" t="s">
        <v>298</v>
      </c>
      <c r="D169" s="3" t="s">
        <v>325</v>
      </c>
      <c r="E169" s="14">
        <v>5.283714066875322</v>
      </c>
      <c r="F169" s="14">
        <v>40.935839939176851</v>
      </c>
      <c r="G169" s="14">
        <v>1010.9701631029815</v>
      </c>
      <c r="H169" s="14">
        <v>1142.9433699314973</v>
      </c>
      <c r="I169" s="14">
        <v>1404.0712932594606</v>
      </c>
      <c r="J169" s="14">
        <v>1491.7039938532398</v>
      </c>
      <c r="K169" s="14">
        <v>522.11839795991</v>
      </c>
      <c r="L169" s="14">
        <v>658.37347541465078</v>
      </c>
      <c r="M169" s="14">
        <v>805.33164419772004</v>
      </c>
      <c r="N169" s="14">
        <v>1588.6458974171817</v>
      </c>
      <c r="O169" s="14">
        <v>2315.0344844448568</v>
      </c>
    </row>
    <row r="170" spans="1:15" x14ac:dyDescent="0.3">
      <c r="A170" s="3" t="str">
        <f>INDEX('R1. Scenario specifications'!$C$11:$C$49,MATCH($B170,'R1. Scenario specifications'!$A$11:$A$49,0))</f>
        <v>Current 1.75DS, 2020 start, 'Expect the Unexpected'</v>
      </c>
      <c r="B170" s="3" t="s">
        <v>32</v>
      </c>
      <c r="C170" s="3" t="s">
        <v>299</v>
      </c>
      <c r="D170" s="3" t="s">
        <v>324</v>
      </c>
      <c r="E170" s="14">
        <v>0</v>
      </c>
      <c r="F170" s="14">
        <v>0</v>
      </c>
      <c r="G170" s="14">
        <v>55.300000000000061</v>
      </c>
      <c r="H170" s="14">
        <v>600.48863309316982</v>
      </c>
      <c r="I170" s="14">
        <v>5773.9107606003008</v>
      </c>
      <c r="J170" s="14">
        <v>13924.520829408522</v>
      </c>
      <c r="K170" s="14">
        <v>18712.820467604837</v>
      </c>
      <c r="L170" s="14">
        <v>23057.651031703117</v>
      </c>
      <c r="M170" s="14">
        <v>25400.803317227481</v>
      </c>
      <c r="N170" s="14">
        <v>26663.289079365964</v>
      </c>
      <c r="O170" s="14">
        <v>29387.802491475552</v>
      </c>
    </row>
    <row r="171" spans="1:15" x14ac:dyDescent="0.3">
      <c r="A171" s="3" t="str">
        <f>INDEX('R1. Scenario specifications'!$C$11:$C$49,MATCH($B171,'R1. Scenario specifications'!$A$11:$A$49,0))</f>
        <v>Current 1.75DS, 2020 start, 'Expect the Unexpected'</v>
      </c>
      <c r="B171" s="3" t="s">
        <v>32</v>
      </c>
      <c r="C171" s="3" t="s">
        <v>302</v>
      </c>
      <c r="D171" s="3" t="s">
        <v>326</v>
      </c>
      <c r="E171" s="14">
        <v>0</v>
      </c>
      <c r="F171" s="14">
        <v>0</v>
      </c>
      <c r="G171" s="14">
        <v>137.17533571710985</v>
      </c>
      <c r="H171" s="14">
        <v>424.5975595558682</v>
      </c>
      <c r="I171" s="14">
        <v>452.24183923869253</v>
      </c>
      <c r="J171" s="14">
        <v>711.3050660186658</v>
      </c>
      <c r="K171" s="14">
        <v>681.00487181275344</v>
      </c>
      <c r="L171" s="14">
        <v>762.32796584695166</v>
      </c>
      <c r="M171" s="14">
        <v>803.51247400631723</v>
      </c>
      <c r="N171" s="14">
        <v>760.81469861536459</v>
      </c>
      <c r="O171" s="14">
        <v>830.13426763227017</v>
      </c>
    </row>
    <row r="172" spans="1:15" x14ac:dyDescent="0.3">
      <c r="A172" s="3" t="str">
        <f>INDEX('R1. Scenario specifications'!$C$11:$C$49,MATCH($B172,'R1. Scenario specifications'!$A$11:$A$49,0))</f>
        <v>Current 1.75DS, 2020 start, 'Expect the Unexpected'</v>
      </c>
      <c r="B172" s="3" t="s">
        <v>32</v>
      </c>
      <c r="C172" s="3" t="s">
        <v>300</v>
      </c>
      <c r="D172" s="3" t="s">
        <v>327</v>
      </c>
      <c r="E172" s="14">
        <v>3713.3499864076566</v>
      </c>
      <c r="F172" s="14">
        <v>9326.5813623263857</v>
      </c>
      <c r="G172" s="14">
        <v>16373.844252739889</v>
      </c>
      <c r="H172" s="14">
        <v>15622.349472331807</v>
      </c>
      <c r="I172" s="14">
        <v>12918.554832545866</v>
      </c>
      <c r="J172" s="14">
        <v>10742.911837242284</v>
      </c>
      <c r="K172" s="14">
        <v>8144.0138232048603</v>
      </c>
      <c r="L172" s="14">
        <v>5841.5589683353264</v>
      </c>
      <c r="M172" s="14">
        <v>4890.0229577575838</v>
      </c>
      <c r="N172" s="14">
        <v>4328.7524387057892</v>
      </c>
      <c r="O172" s="14">
        <v>3485.1651417561184</v>
      </c>
    </row>
    <row r="173" spans="1:15" x14ac:dyDescent="0.3">
      <c r="A173" s="3" t="str">
        <f>INDEX('R1. Scenario specifications'!$C$11:$C$49,MATCH($B173,'R1. Scenario specifications'!$A$11:$A$49,0))</f>
        <v>Current 1.75DS, 2020 start, 'Expect the Unexpected'</v>
      </c>
      <c r="B173" s="3" t="s">
        <v>32</v>
      </c>
      <c r="C173" s="3" t="s">
        <v>301</v>
      </c>
      <c r="D173" s="3" t="s">
        <v>328</v>
      </c>
      <c r="E173" s="14">
        <v>0</v>
      </c>
      <c r="F173" s="14">
        <v>0</v>
      </c>
      <c r="G173" s="14">
        <v>94.260834870759595</v>
      </c>
      <c r="H173" s="14">
        <v>1493.2102756793911</v>
      </c>
      <c r="I173" s="14">
        <v>94.527982920013898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</row>
    <row r="174" spans="1:15" x14ac:dyDescent="0.3">
      <c r="A174" s="3" t="str">
        <f>INDEX('R1. Scenario specifications'!$C$11:$C$49,MATCH($B174,'R1. Scenario specifications'!$A$11:$A$49,0))</f>
        <v>Current 1.75DS, 2020 start, 'Expect the Unexpected'</v>
      </c>
      <c r="B174" s="3" t="s">
        <v>32</v>
      </c>
      <c r="C174" s="3" t="s">
        <v>303</v>
      </c>
      <c r="D174" s="3" t="s">
        <v>329</v>
      </c>
      <c r="E174" s="14">
        <v>0</v>
      </c>
      <c r="F174" s="14">
        <v>0</v>
      </c>
      <c r="G174" s="14">
        <v>0</v>
      </c>
      <c r="H174" s="14">
        <v>3023.1510647418336</v>
      </c>
      <c r="I174" s="14">
        <v>1144.444823337556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</row>
    <row r="175" spans="1:15" x14ac:dyDescent="0.3">
      <c r="A175" s="3" t="str">
        <f>INDEX('R1. Scenario specifications'!$C$11:$C$49,MATCH($B175,'R1. Scenario specifications'!$A$11:$A$49,0))</f>
        <v>Current 1.75DS, 2030 start, 'Expect the Unexpected'</v>
      </c>
      <c r="B175" s="3" t="s">
        <v>33</v>
      </c>
      <c r="C175" s="3" t="s">
        <v>298</v>
      </c>
      <c r="D175" s="3" t="s">
        <v>325</v>
      </c>
      <c r="E175" s="14">
        <v>5.283714066875322</v>
      </c>
      <c r="F175" s="14">
        <v>40.935839939176851</v>
      </c>
      <c r="G175" s="14">
        <v>1010.9701631029815</v>
      </c>
      <c r="H175" s="14">
        <v>1524.3877289706661</v>
      </c>
      <c r="I175" s="14">
        <v>917.04686310395698</v>
      </c>
      <c r="J175" s="14">
        <v>1193.5946690720878</v>
      </c>
      <c r="K175" s="14">
        <v>1537.4197123191402</v>
      </c>
      <c r="L175" s="14">
        <v>508.42879186885472</v>
      </c>
      <c r="M175" s="14">
        <v>711.0462147692275</v>
      </c>
      <c r="N175" s="14">
        <v>1454.9504243560427</v>
      </c>
      <c r="O175" s="14">
        <v>2044.1392864428308</v>
      </c>
    </row>
    <row r="176" spans="1:15" x14ac:dyDescent="0.3">
      <c r="A176" s="3" t="str">
        <f>INDEX('R1. Scenario specifications'!$C$11:$C$49,MATCH($B176,'R1. Scenario specifications'!$A$11:$A$49,0))</f>
        <v>Current 1.75DS, 2030 start, 'Expect the Unexpected'</v>
      </c>
      <c r="B176" s="3" t="s">
        <v>33</v>
      </c>
      <c r="C176" s="3" t="s">
        <v>299</v>
      </c>
      <c r="D176" s="3" t="s">
        <v>324</v>
      </c>
      <c r="E176" s="14">
        <v>0</v>
      </c>
      <c r="F176" s="14">
        <v>0</v>
      </c>
      <c r="G176" s="14">
        <v>55.300000000000061</v>
      </c>
      <c r="H176" s="14">
        <v>511.41867088878001</v>
      </c>
      <c r="I176" s="14">
        <v>5361.4766705651291</v>
      </c>
      <c r="J176" s="14">
        <v>13010.665186049129</v>
      </c>
      <c r="K176" s="14">
        <v>16554.158883067892</v>
      </c>
      <c r="L176" s="14">
        <v>21378.116279760306</v>
      </c>
      <c r="M176" s="14">
        <v>25408.109164641719</v>
      </c>
      <c r="N176" s="14">
        <v>26665.611820977414</v>
      </c>
      <c r="O176" s="14">
        <v>29457.301175868284</v>
      </c>
    </row>
    <row r="177" spans="1:15" x14ac:dyDescent="0.3">
      <c r="A177" s="3" t="str">
        <f>INDEX('R1. Scenario specifications'!$C$11:$C$49,MATCH($B177,'R1. Scenario specifications'!$A$11:$A$49,0))</f>
        <v>Current 1.75DS, 2030 start, 'Expect the Unexpected'</v>
      </c>
      <c r="B177" s="3" t="s">
        <v>33</v>
      </c>
      <c r="C177" s="3" t="s">
        <v>302</v>
      </c>
      <c r="D177" s="3" t="s">
        <v>326</v>
      </c>
      <c r="E177" s="14">
        <v>0</v>
      </c>
      <c r="F177" s="14">
        <v>0</v>
      </c>
      <c r="G177" s="14">
        <v>137.17533571710985</v>
      </c>
      <c r="H177" s="14">
        <v>435.43586128689685</v>
      </c>
      <c r="I177" s="14">
        <v>443.5280349936537</v>
      </c>
      <c r="J177" s="14">
        <v>648.47995768166766</v>
      </c>
      <c r="K177" s="14">
        <v>420.02364111826802</v>
      </c>
      <c r="L177" s="14">
        <v>860.35938621752746</v>
      </c>
      <c r="M177" s="14">
        <v>766.91691130159893</v>
      </c>
      <c r="N177" s="14">
        <v>779.57242123585286</v>
      </c>
      <c r="O177" s="14">
        <v>839.55444226495422</v>
      </c>
    </row>
    <row r="178" spans="1:15" x14ac:dyDescent="0.3">
      <c r="A178" s="3" t="str">
        <f>INDEX('R1. Scenario specifications'!$C$11:$C$49,MATCH($B178,'R1. Scenario specifications'!$A$11:$A$49,0))</f>
        <v>Current 1.75DS, 2030 start, 'Expect the Unexpected'</v>
      </c>
      <c r="B178" s="3" t="s">
        <v>33</v>
      </c>
      <c r="C178" s="3" t="s">
        <v>300</v>
      </c>
      <c r="D178" s="3" t="s">
        <v>327</v>
      </c>
      <c r="E178" s="14">
        <v>3713.3499864076566</v>
      </c>
      <c r="F178" s="14">
        <v>9326.5813623263857</v>
      </c>
      <c r="G178" s="14">
        <v>16373.844252739889</v>
      </c>
      <c r="H178" s="14">
        <v>15585.649202815215</v>
      </c>
      <c r="I178" s="14">
        <v>13405.867555223242</v>
      </c>
      <c r="J178" s="14">
        <v>11624.399868893737</v>
      </c>
      <c r="K178" s="14">
        <v>7906.0847153413233</v>
      </c>
      <c r="L178" s="14">
        <v>8160.7199758854249</v>
      </c>
      <c r="M178" s="14">
        <v>4945.974546383909</v>
      </c>
      <c r="N178" s="14">
        <v>4590.252420449172</v>
      </c>
      <c r="O178" s="14">
        <v>3777.8344546131161</v>
      </c>
    </row>
    <row r="179" spans="1:15" x14ac:dyDescent="0.3">
      <c r="A179" s="3" t="str">
        <f>INDEX('R1. Scenario specifications'!$C$11:$C$49,MATCH($B179,'R1. Scenario specifications'!$A$11:$A$49,0))</f>
        <v>Current 1.75DS, 2030 start, 'Expect the Unexpected'</v>
      </c>
      <c r="B179" s="3" t="s">
        <v>33</v>
      </c>
      <c r="C179" s="3" t="s">
        <v>301</v>
      </c>
      <c r="D179" s="3" t="s">
        <v>328</v>
      </c>
      <c r="E179" s="14">
        <v>0</v>
      </c>
      <c r="F179" s="14">
        <v>0</v>
      </c>
      <c r="G179" s="14">
        <v>94.260834870759595</v>
      </c>
      <c r="H179" s="14">
        <v>1599.9746126235134</v>
      </c>
      <c r="I179" s="14">
        <v>126.73681679713229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</row>
    <row r="180" spans="1:15" x14ac:dyDescent="0.3">
      <c r="A180" s="3" t="str">
        <f>INDEX('R1. Scenario specifications'!$C$11:$C$49,MATCH($B180,'R1. Scenario specifications'!$A$11:$A$49,0))</f>
        <v>Current 1.75DS, 2030 start, 'Expect the Unexpected'</v>
      </c>
      <c r="B180" s="3" t="s">
        <v>33</v>
      </c>
      <c r="C180" s="3" t="s">
        <v>303</v>
      </c>
      <c r="D180" s="3" t="s">
        <v>329</v>
      </c>
      <c r="E180" s="14">
        <v>0</v>
      </c>
      <c r="F180" s="14">
        <v>0</v>
      </c>
      <c r="G180" s="14">
        <v>0</v>
      </c>
      <c r="H180" s="14">
        <v>3040.2453409136619</v>
      </c>
      <c r="I180" s="14">
        <v>1243.7422784159394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</row>
    <row r="181" spans="1:15" x14ac:dyDescent="0.3">
      <c r="A181" s="3" t="str">
        <f>INDEX('R1. Scenario specifications'!$C$11:$C$49,MATCH($B181,'R1. Scenario specifications'!$A$11:$A$49,0))</f>
        <v>Current 1.75DS, 2020 start, 'Expect the Unexpected' but with cheap renewables</v>
      </c>
      <c r="B181" s="3" t="s">
        <v>34</v>
      </c>
      <c r="C181" s="3" t="s">
        <v>298</v>
      </c>
      <c r="D181" s="3" t="s">
        <v>325</v>
      </c>
      <c r="E181" s="14">
        <v>5.283714066875322</v>
      </c>
      <c r="F181" s="14">
        <v>40.935839939176851</v>
      </c>
      <c r="G181" s="14">
        <v>1010.9701631029815</v>
      </c>
      <c r="H181" s="14">
        <v>1156.7087234770638</v>
      </c>
      <c r="I181" s="14">
        <v>1364.5516823732582</v>
      </c>
      <c r="J181" s="14">
        <v>1372.7235077411738</v>
      </c>
      <c r="K181" s="14">
        <v>509.20876866193623</v>
      </c>
      <c r="L181" s="14">
        <v>575.31000603944221</v>
      </c>
      <c r="M181" s="14">
        <v>806.3531550723842</v>
      </c>
      <c r="N181" s="14">
        <v>1611.0914845566961</v>
      </c>
      <c r="O181" s="14">
        <v>2318.285709157441</v>
      </c>
    </row>
    <row r="182" spans="1:15" x14ac:dyDescent="0.3">
      <c r="A182" s="3" t="str">
        <f>INDEX('R1. Scenario specifications'!$C$11:$C$49,MATCH($B182,'R1. Scenario specifications'!$A$11:$A$49,0))</f>
        <v>Current 1.75DS, 2020 start, 'Expect the Unexpected' but with cheap renewables</v>
      </c>
      <c r="B182" s="3" t="s">
        <v>34</v>
      </c>
      <c r="C182" s="3" t="s">
        <v>299</v>
      </c>
      <c r="D182" s="3" t="s">
        <v>324</v>
      </c>
      <c r="E182" s="14">
        <v>0</v>
      </c>
      <c r="F182" s="14">
        <v>0</v>
      </c>
      <c r="G182" s="14">
        <v>55.300000000000061</v>
      </c>
      <c r="H182" s="14">
        <v>600.48863309316982</v>
      </c>
      <c r="I182" s="14">
        <v>5773.9107606003008</v>
      </c>
      <c r="J182" s="14">
        <v>13924.520829408522</v>
      </c>
      <c r="K182" s="14">
        <v>18714.353685290687</v>
      </c>
      <c r="L182" s="14">
        <v>23055.443438152735</v>
      </c>
      <c r="M182" s="14">
        <v>25462.842988660697</v>
      </c>
      <c r="N182" s="14">
        <v>26646.521702215239</v>
      </c>
      <c r="O182" s="14">
        <v>29444.606020482963</v>
      </c>
    </row>
    <row r="183" spans="1:15" x14ac:dyDescent="0.3">
      <c r="A183" s="3" t="str">
        <f>INDEX('R1. Scenario specifications'!$C$11:$C$49,MATCH($B183,'R1. Scenario specifications'!$A$11:$A$49,0))</f>
        <v>Current 1.75DS, 2020 start, 'Expect the Unexpected' but with cheap renewables</v>
      </c>
      <c r="B183" s="3" t="s">
        <v>34</v>
      </c>
      <c r="C183" s="3" t="s">
        <v>302</v>
      </c>
      <c r="D183" s="3" t="s">
        <v>326</v>
      </c>
      <c r="E183" s="14">
        <v>0</v>
      </c>
      <c r="F183" s="14">
        <v>0</v>
      </c>
      <c r="G183" s="14">
        <v>137.17533571710985</v>
      </c>
      <c r="H183" s="14">
        <v>428.17523825522517</v>
      </c>
      <c r="I183" s="14">
        <v>450.86015457766092</v>
      </c>
      <c r="J183" s="14">
        <v>712.20392661935853</v>
      </c>
      <c r="K183" s="14">
        <v>680.46396232019708</v>
      </c>
      <c r="L183" s="14">
        <v>761.44752755669924</v>
      </c>
      <c r="M183" s="14">
        <v>805.31865917185769</v>
      </c>
      <c r="N183" s="14">
        <v>760.09075523091303</v>
      </c>
      <c r="O183" s="14">
        <v>832.02255252600537</v>
      </c>
    </row>
    <row r="184" spans="1:15" x14ac:dyDescent="0.3">
      <c r="A184" s="3" t="str">
        <f>INDEX('R1. Scenario specifications'!$C$11:$C$49,MATCH($B184,'R1. Scenario specifications'!$A$11:$A$49,0))</f>
        <v>Current 1.75DS, 2020 start, 'Expect the Unexpected' but with cheap renewables</v>
      </c>
      <c r="B184" s="3" t="s">
        <v>34</v>
      </c>
      <c r="C184" s="3" t="s">
        <v>300</v>
      </c>
      <c r="D184" s="3" t="s">
        <v>327</v>
      </c>
      <c r="E184" s="14">
        <v>3713.3499864076566</v>
      </c>
      <c r="F184" s="14">
        <v>9326.5813623263857</v>
      </c>
      <c r="G184" s="14">
        <v>16373.844252739889</v>
      </c>
      <c r="H184" s="14">
        <v>15618.617523464827</v>
      </c>
      <c r="I184" s="14">
        <v>12976.641958305125</v>
      </c>
      <c r="J184" s="14">
        <v>10852.348982943047</v>
      </c>
      <c r="K184" s="14">
        <v>8161.0906689392177</v>
      </c>
      <c r="L184" s="14">
        <v>5925.2609794134614</v>
      </c>
      <c r="M184" s="14">
        <v>4878.3399327431607</v>
      </c>
      <c r="N184" s="14">
        <v>4330.6558865514016</v>
      </c>
      <c r="O184" s="14">
        <v>3497.8988804004116</v>
      </c>
    </row>
    <row r="185" spans="1:15" x14ac:dyDescent="0.3">
      <c r="A185" s="3" t="str">
        <f>INDEX('R1. Scenario specifications'!$C$11:$C$49,MATCH($B185,'R1. Scenario specifications'!$A$11:$A$49,0))</f>
        <v>Current 1.75DS, 2020 start, 'Expect the Unexpected' but with cheap renewables</v>
      </c>
      <c r="B185" s="3" t="s">
        <v>34</v>
      </c>
      <c r="C185" s="3" t="s">
        <v>301</v>
      </c>
      <c r="D185" s="3" t="s">
        <v>328</v>
      </c>
      <c r="E185" s="14">
        <v>0</v>
      </c>
      <c r="F185" s="14">
        <v>0</v>
      </c>
      <c r="G185" s="14">
        <v>94.260834870759595</v>
      </c>
      <c r="H185" s="14">
        <v>1406.2327585420512</v>
      </c>
      <c r="I185" s="14">
        <v>94.527982920013898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</row>
    <row r="186" spans="1:15" x14ac:dyDescent="0.3">
      <c r="A186" s="3" t="str">
        <f>INDEX('R1. Scenario specifications'!$C$11:$C$49,MATCH($B186,'R1. Scenario specifications'!$A$11:$A$49,0))</f>
        <v>Current 1.75DS, 2020 start, 'Expect the Unexpected' but with cheap renewables</v>
      </c>
      <c r="B186" s="3" t="s">
        <v>34</v>
      </c>
      <c r="C186" s="3" t="s">
        <v>303</v>
      </c>
      <c r="D186" s="3" t="s">
        <v>329</v>
      </c>
      <c r="E186" s="14">
        <v>0</v>
      </c>
      <c r="F186" s="14">
        <v>0</v>
      </c>
      <c r="G186" s="14">
        <v>0</v>
      </c>
      <c r="H186" s="14">
        <v>3110.1285818791739</v>
      </c>
      <c r="I186" s="14">
        <v>1144.444823337556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</row>
    <row r="187" spans="1:15" x14ac:dyDescent="0.3">
      <c r="A187" s="3" t="str">
        <f>INDEX('R1. Scenario specifications'!$C$11:$C$49,MATCH($B187,'R1. Scenario specifications'!$A$11:$A$49,0))</f>
        <v>Current 1.75DS, 2030 start, 'Expect the Unexpected' but with cheap renewables</v>
      </c>
      <c r="B187" s="3" t="s">
        <v>35</v>
      </c>
      <c r="C187" s="3" t="s">
        <v>298</v>
      </c>
      <c r="D187" s="3" t="s">
        <v>325</v>
      </c>
      <c r="E187" s="14">
        <v>5.283714066875322</v>
      </c>
      <c r="F187" s="14">
        <v>40.935839939176851</v>
      </c>
      <c r="G187" s="14">
        <v>1010.9701631029815</v>
      </c>
      <c r="H187" s="14">
        <v>1524.3877289706661</v>
      </c>
      <c r="I187" s="14">
        <v>1005.653461156477</v>
      </c>
      <c r="J187" s="14">
        <v>1005.2281556023554</v>
      </c>
      <c r="K187" s="14">
        <v>1535.4483815848162</v>
      </c>
      <c r="L187" s="14">
        <v>506.76250633518725</v>
      </c>
      <c r="M187" s="14">
        <v>720.77245706471501</v>
      </c>
      <c r="N187" s="14">
        <v>1465.0270021358897</v>
      </c>
      <c r="O187" s="14">
        <v>2041.2372123564703</v>
      </c>
    </row>
    <row r="188" spans="1:15" x14ac:dyDescent="0.3">
      <c r="A188" s="3" t="str">
        <f>INDEX('R1. Scenario specifications'!$C$11:$C$49,MATCH($B188,'R1. Scenario specifications'!$A$11:$A$49,0))</f>
        <v>Current 1.75DS, 2030 start, 'Expect the Unexpected' but with cheap renewables</v>
      </c>
      <c r="B188" s="3" t="s">
        <v>35</v>
      </c>
      <c r="C188" s="3" t="s">
        <v>299</v>
      </c>
      <c r="D188" s="3" t="s">
        <v>324</v>
      </c>
      <c r="E188" s="14">
        <v>0</v>
      </c>
      <c r="F188" s="14">
        <v>0</v>
      </c>
      <c r="G188" s="14">
        <v>55.300000000000061</v>
      </c>
      <c r="H188" s="14">
        <v>511.41867088878001</v>
      </c>
      <c r="I188" s="14">
        <v>5365.487665435996</v>
      </c>
      <c r="J188" s="14">
        <v>13191.415228621572</v>
      </c>
      <c r="K188" s="14">
        <v>16532.624097731015</v>
      </c>
      <c r="L188" s="14">
        <v>21419.965707192507</v>
      </c>
      <c r="M188" s="14">
        <v>25385.772455595514</v>
      </c>
      <c r="N188" s="14">
        <v>26659.675174039417</v>
      </c>
      <c r="O188" s="14">
        <v>29451.090531546004</v>
      </c>
    </row>
    <row r="189" spans="1:15" x14ac:dyDescent="0.3">
      <c r="A189" s="3" t="str">
        <f>INDEX('R1. Scenario specifications'!$C$11:$C$49,MATCH($B189,'R1. Scenario specifications'!$A$11:$A$49,0))</f>
        <v>Current 1.75DS, 2030 start, 'Expect the Unexpected' but with cheap renewables</v>
      </c>
      <c r="B189" s="3" t="s">
        <v>35</v>
      </c>
      <c r="C189" s="3" t="s">
        <v>302</v>
      </c>
      <c r="D189" s="3" t="s">
        <v>326</v>
      </c>
      <c r="E189" s="14">
        <v>0</v>
      </c>
      <c r="F189" s="14">
        <v>0</v>
      </c>
      <c r="G189" s="14">
        <v>137.17533571710985</v>
      </c>
      <c r="H189" s="14">
        <v>435.43586128689685</v>
      </c>
      <c r="I189" s="14">
        <v>443.52803499365331</v>
      </c>
      <c r="J189" s="14">
        <v>662.02364877110097</v>
      </c>
      <c r="K189" s="14">
        <v>419.31225524707082</v>
      </c>
      <c r="L189" s="14">
        <v>860.40862896278759</v>
      </c>
      <c r="M189" s="14">
        <v>766.84151326833114</v>
      </c>
      <c r="N189" s="14">
        <v>839.18232783140559</v>
      </c>
      <c r="O189" s="14">
        <v>839.56271704570827</v>
      </c>
    </row>
    <row r="190" spans="1:15" x14ac:dyDescent="0.3">
      <c r="A190" s="3" t="str">
        <f>INDEX('R1. Scenario specifications'!$C$11:$C$49,MATCH($B190,'R1. Scenario specifications'!$A$11:$A$49,0))</f>
        <v>Current 1.75DS, 2030 start, 'Expect the Unexpected' but with cheap renewables</v>
      </c>
      <c r="B190" s="3" t="s">
        <v>35</v>
      </c>
      <c r="C190" s="3" t="s">
        <v>300</v>
      </c>
      <c r="D190" s="3" t="s">
        <v>327</v>
      </c>
      <c r="E190" s="14">
        <v>3713.3499864076566</v>
      </c>
      <c r="F190" s="14">
        <v>9326.5813623263857</v>
      </c>
      <c r="G190" s="14">
        <v>16373.844252739889</v>
      </c>
      <c r="H190" s="14">
        <v>15585.649202815215</v>
      </c>
      <c r="I190" s="14">
        <v>13313.249962299855</v>
      </c>
      <c r="J190" s="14">
        <v>11794.606768803749</v>
      </c>
      <c r="K190" s="14">
        <v>7902.4785429088752</v>
      </c>
      <c r="L190" s="14">
        <v>8122.7602650681447</v>
      </c>
      <c r="M190" s="14">
        <v>4936.0481978304942</v>
      </c>
      <c r="N190" s="14">
        <v>4607.6545975661638</v>
      </c>
      <c r="O190" s="14">
        <v>3769.4309546332224</v>
      </c>
    </row>
    <row r="191" spans="1:15" x14ac:dyDescent="0.3">
      <c r="A191" s="3" t="str">
        <f>INDEX('R1. Scenario specifications'!$C$11:$C$49,MATCH($B191,'R1. Scenario specifications'!$A$11:$A$49,0))</f>
        <v>Current 1.75DS, 2030 start, 'Expect the Unexpected' but with cheap renewables</v>
      </c>
      <c r="B191" s="3" t="s">
        <v>35</v>
      </c>
      <c r="C191" s="3" t="s">
        <v>301</v>
      </c>
      <c r="D191" s="3" t="s">
        <v>328</v>
      </c>
      <c r="E191" s="14">
        <v>0</v>
      </c>
      <c r="F191" s="14">
        <v>0</v>
      </c>
      <c r="G191" s="14">
        <v>94.260834870759595</v>
      </c>
      <c r="H191" s="14">
        <v>1599.9746126235134</v>
      </c>
      <c r="I191" s="14">
        <v>126.73681679713229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</row>
    <row r="192" spans="1:15" x14ac:dyDescent="0.3">
      <c r="A192" s="3" t="str">
        <f>INDEX('R1. Scenario specifications'!$C$11:$C$49,MATCH($B192,'R1. Scenario specifications'!$A$11:$A$49,0))</f>
        <v>Current 1.75DS, 2030 start, 'Expect the Unexpected' but with cheap renewables</v>
      </c>
      <c r="B192" s="3" t="s">
        <v>35</v>
      </c>
      <c r="C192" s="3" t="s">
        <v>303</v>
      </c>
      <c r="D192" s="3" t="s">
        <v>329</v>
      </c>
      <c r="E192" s="14">
        <v>0</v>
      </c>
      <c r="F192" s="14">
        <v>0</v>
      </c>
      <c r="G192" s="14">
        <v>0</v>
      </c>
      <c r="H192" s="14">
        <v>3040.2453409136619</v>
      </c>
      <c r="I192" s="14">
        <v>1243.7422784159385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</row>
    <row r="193" spans="1:15" x14ac:dyDescent="0.3">
      <c r="A193" s="3" t="str">
        <f>INDEX('R1. Scenario specifications'!$C$11:$C$49,MATCH($B193,'R1. Scenario specifications'!$A$11:$A$49,0))</f>
        <v>Current 1.75DS, 2020 start, 'Expect the Unexpected' but with cheap CCS</v>
      </c>
      <c r="B193" s="3" t="s">
        <v>36</v>
      </c>
      <c r="C193" s="3" t="s">
        <v>298</v>
      </c>
      <c r="D193" s="3" t="s">
        <v>325</v>
      </c>
      <c r="E193" s="14">
        <v>5.283714066875322</v>
      </c>
      <c r="F193" s="14">
        <v>40.935839939176851</v>
      </c>
      <c r="G193" s="14">
        <v>1010.9701631029815</v>
      </c>
      <c r="H193" s="14">
        <v>1142.9433699315039</v>
      </c>
      <c r="I193" s="14">
        <v>1404.0712932594561</v>
      </c>
      <c r="J193" s="14">
        <v>1491.7039938547791</v>
      </c>
      <c r="K193" s="14">
        <v>522.11839795975459</v>
      </c>
      <c r="L193" s="14">
        <v>658.37347541443603</v>
      </c>
      <c r="M193" s="14">
        <v>805.33164419745594</v>
      </c>
      <c r="N193" s="14">
        <v>1588.6458974171826</v>
      </c>
      <c r="O193" s="14">
        <v>2315.0344844444712</v>
      </c>
    </row>
    <row r="194" spans="1:15" x14ac:dyDescent="0.3">
      <c r="A194" s="3" t="str">
        <f>INDEX('R1. Scenario specifications'!$C$11:$C$49,MATCH($B194,'R1. Scenario specifications'!$A$11:$A$49,0))</f>
        <v>Current 1.75DS, 2020 start, 'Expect the Unexpected' but with cheap CCS</v>
      </c>
      <c r="B194" s="3" t="s">
        <v>36</v>
      </c>
      <c r="C194" s="3" t="s">
        <v>299</v>
      </c>
      <c r="D194" s="3" t="s">
        <v>324</v>
      </c>
      <c r="E194" s="14">
        <v>0</v>
      </c>
      <c r="F194" s="14">
        <v>0</v>
      </c>
      <c r="G194" s="14">
        <v>55.300000000000061</v>
      </c>
      <c r="H194" s="14">
        <v>600.48863309316982</v>
      </c>
      <c r="I194" s="14">
        <v>5773.9107606003008</v>
      </c>
      <c r="J194" s="14">
        <v>13924.520829408522</v>
      </c>
      <c r="K194" s="14">
        <v>18712.820467604837</v>
      </c>
      <c r="L194" s="14">
        <v>23057.651031703568</v>
      </c>
      <c r="M194" s="14">
        <v>25400.803317227481</v>
      </c>
      <c r="N194" s="14">
        <v>26663.289079365964</v>
      </c>
      <c r="O194" s="14">
        <v>29387.802491475552</v>
      </c>
    </row>
    <row r="195" spans="1:15" x14ac:dyDescent="0.3">
      <c r="A195" s="3" t="str">
        <f>INDEX('R1. Scenario specifications'!$C$11:$C$49,MATCH($B195,'R1. Scenario specifications'!$A$11:$A$49,0))</f>
        <v>Current 1.75DS, 2020 start, 'Expect the Unexpected' but with cheap CCS</v>
      </c>
      <c r="B195" s="3" t="s">
        <v>36</v>
      </c>
      <c r="C195" s="3" t="s">
        <v>302</v>
      </c>
      <c r="D195" s="3" t="s">
        <v>326</v>
      </c>
      <c r="E195" s="14">
        <v>0</v>
      </c>
      <c r="F195" s="14">
        <v>0</v>
      </c>
      <c r="G195" s="14">
        <v>137.17533571710985</v>
      </c>
      <c r="H195" s="14">
        <v>424.5975595558682</v>
      </c>
      <c r="I195" s="14">
        <v>452.24183923869253</v>
      </c>
      <c r="J195" s="14">
        <v>711.30506601866591</v>
      </c>
      <c r="K195" s="14">
        <v>681.00487181275332</v>
      </c>
      <c r="L195" s="14">
        <v>762.32796584695211</v>
      </c>
      <c r="M195" s="14">
        <v>803.51247400631701</v>
      </c>
      <c r="N195" s="14">
        <v>760.81469861536459</v>
      </c>
      <c r="O195" s="14">
        <v>830.13426763227039</v>
      </c>
    </row>
    <row r="196" spans="1:15" x14ac:dyDescent="0.3">
      <c r="A196" s="3" t="str">
        <f>INDEX('R1. Scenario specifications'!$C$11:$C$49,MATCH($B196,'R1. Scenario specifications'!$A$11:$A$49,0))</f>
        <v>Current 1.75DS, 2020 start, 'Expect the Unexpected' but with cheap CCS</v>
      </c>
      <c r="B196" s="3" t="s">
        <v>36</v>
      </c>
      <c r="C196" s="3" t="s">
        <v>300</v>
      </c>
      <c r="D196" s="3" t="s">
        <v>327</v>
      </c>
      <c r="E196" s="14">
        <v>3713.3499864076566</v>
      </c>
      <c r="F196" s="14">
        <v>9326.5813623263857</v>
      </c>
      <c r="G196" s="14">
        <v>16373.844252739889</v>
      </c>
      <c r="H196" s="14">
        <v>15622.3494723318</v>
      </c>
      <c r="I196" s="14">
        <v>12918.554832545869</v>
      </c>
      <c r="J196" s="14">
        <v>10742.911837240745</v>
      </c>
      <c r="K196" s="14">
        <v>8144.0138232050149</v>
      </c>
      <c r="L196" s="14">
        <v>5841.5589683350918</v>
      </c>
      <c r="M196" s="14">
        <v>4890.0229577578466</v>
      </c>
      <c r="N196" s="14">
        <v>4328.7524387057883</v>
      </c>
      <c r="O196" s="14">
        <v>3485.1651417565045</v>
      </c>
    </row>
    <row r="197" spans="1:15" x14ac:dyDescent="0.3">
      <c r="A197" s="3" t="str">
        <f>INDEX('R1. Scenario specifications'!$C$11:$C$49,MATCH($B197,'R1. Scenario specifications'!$A$11:$A$49,0))</f>
        <v>Current 1.75DS, 2020 start, 'Expect the Unexpected' but with cheap CCS</v>
      </c>
      <c r="B197" s="3" t="s">
        <v>36</v>
      </c>
      <c r="C197" s="3" t="s">
        <v>301</v>
      </c>
      <c r="D197" s="3" t="s">
        <v>328</v>
      </c>
      <c r="E197" s="14">
        <v>0</v>
      </c>
      <c r="F197" s="14">
        <v>0</v>
      </c>
      <c r="G197" s="14">
        <v>94.260834870759595</v>
      </c>
      <c r="H197" s="14">
        <v>1493.2102756793911</v>
      </c>
      <c r="I197" s="14">
        <v>94.527982920013898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</row>
    <row r="198" spans="1:15" x14ac:dyDescent="0.3">
      <c r="A198" s="3" t="str">
        <f>INDEX('R1. Scenario specifications'!$C$11:$C$49,MATCH($B198,'R1. Scenario specifications'!$A$11:$A$49,0))</f>
        <v>Current 1.75DS, 2020 start, 'Expect the Unexpected' but with cheap CCS</v>
      </c>
      <c r="B198" s="3" t="s">
        <v>36</v>
      </c>
      <c r="C198" s="3" t="s">
        <v>303</v>
      </c>
      <c r="D198" s="3" t="s">
        <v>329</v>
      </c>
      <c r="E198" s="14">
        <v>0</v>
      </c>
      <c r="F198" s="14">
        <v>0</v>
      </c>
      <c r="G198" s="14">
        <v>0</v>
      </c>
      <c r="H198" s="14">
        <v>3023.1510647418336</v>
      </c>
      <c r="I198" s="14">
        <v>1144.444823337556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</row>
    <row r="199" spans="1:15" x14ac:dyDescent="0.3">
      <c r="A199" s="3" t="str">
        <f>INDEX('R1. Scenario specifications'!$C$11:$C$49,MATCH($B199,'R1. Scenario specifications'!$A$11:$A$49,0))</f>
        <v>Current 2DS, 2020 start, 'Expect the Unexpected' but with cheap renewables</v>
      </c>
      <c r="B199" s="3" t="s">
        <v>37</v>
      </c>
      <c r="C199" s="3" t="s">
        <v>298</v>
      </c>
      <c r="D199" s="3" t="s">
        <v>325</v>
      </c>
      <c r="E199" s="14">
        <v>5.283714066875322</v>
      </c>
      <c r="F199" s="14">
        <v>40.935839939176851</v>
      </c>
      <c r="G199" s="14">
        <v>1010.9701631029815</v>
      </c>
      <c r="H199" s="14">
        <v>1334.2334567295836</v>
      </c>
      <c r="I199" s="14">
        <v>1910.4746668089826</v>
      </c>
      <c r="J199" s="14">
        <v>2305.7413268437394</v>
      </c>
      <c r="K199" s="14">
        <v>1051.3010448222697</v>
      </c>
      <c r="L199" s="14">
        <v>485.11853477600096</v>
      </c>
      <c r="M199" s="14">
        <v>269.70543677134202</v>
      </c>
      <c r="N199" s="14">
        <v>753.60117166422242</v>
      </c>
      <c r="O199" s="14">
        <v>1466.4767109470397</v>
      </c>
    </row>
    <row r="200" spans="1:15" x14ac:dyDescent="0.3">
      <c r="A200" s="3" t="str">
        <f>INDEX('R1. Scenario specifications'!$C$11:$C$49,MATCH($B200,'R1. Scenario specifications'!$A$11:$A$49,0))</f>
        <v>Current 2DS, 2020 start, 'Expect the Unexpected' but with cheap renewables</v>
      </c>
      <c r="B200" s="3" t="s">
        <v>37</v>
      </c>
      <c r="C200" s="3" t="s">
        <v>299</v>
      </c>
      <c r="D200" s="3" t="s">
        <v>324</v>
      </c>
      <c r="E200" s="14">
        <v>0</v>
      </c>
      <c r="F200" s="14">
        <v>0</v>
      </c>
      <c r="G200" s="14">
        <v>55.300000000000061</v>
      </c>
      <c r="H200" s="14">
        <v>554.62990308928306</v>
      </c>
      <c r="I200" s="14">
        <v>5376.6566149060654</v>
      </c>
      <c r="J200" s="14">
        <v>13210.7592088865</v>
      </c>
      <c r="K200" s="14">
        <v>18331.295443963121</v>
      </c>
      <c r="L200" s="14">
        <v>20227.235221622737</v>
      </c>
      <c r="M200" s="14">
        <v>23681.512147023801</v>
      </c>
      <c r="N200" s="14">
        <v>26739.529929537581</v>
      </c>
      <c r="O200" s="14">
        <v>29270.373119492244</v>
      </c>
    </row>
    <row r="201" spans="1:15" x14ac:dyDescent="0.3">
      <c r="A201" s="3" t="str">
        <f>INDEX('R1. Scenario specifications'!$C$11:$C$49,MATCH($B201,'R1. Scenario specifications'!$A$11:$A$49,0))</f>
        <v>Current 2DS, 2020 start, 'Expect the Unexpected' but with cheap renewables</v>
      </c>
      <c r="B201" s="3" t="s">
        <v>37</v>
      </c>
      <c r="C201" s="3" t="s">
        <v>302</v>
      </c>
      <c r="D201" s="3" t="s">
        <v>326</v>
      </c>
      <c r="E201" s="14">
        <v>0</v>
      </c>
      <c r="F201" s="14">
        <v>0</v>
      </c>
      <c r="G201" s="14">
        <v>137.17533571710985</v>
      </c>
      <c r="H201" s="14">
        <v>434.37611063883958</v>
      </c>
      <c r="I201" s="14">
        <v>449.63118410314746</v>
      </c>
      <c r="J201" s="14">
        <v>720.36177565572041</v>
      </c>
      <c r="K201" s="14">
        <v>685.18213903762148</v>
      </c>
      <c r="L201" s="14">
        <v>760.77565124077205</v>
      </c>
      <c r="M201" s="14">
        <v>798.75167871618714</v>
      </c>
      <c r="N201" s="14">
        <v>864.19163218495225</v>
      </c>
      <c r="O201" s="14">
        <v>916.85200846752582</v>
      </c>
    </row>
    <row r="202" spans="1:15" x14ac:dyDescent="0.3">
      <c r="A202" s="3" t="str">
        <f>INDEX('R1. Scenario specifications'!$C$11:$C$49,MATCH($B202,'R1. Scenario specifications'!$A$11:$A$49,0))</f>
        <v>Current 2DS, 2020 start, 'Expect the Unexpected' but with cheap renewables</v>
      </c>
      <c r="B202" s="3" t="s">
        <v>37</v>
      </c>
      <c r="C202" s="3" t="s">
        <v>300</v>
      </c>
      <c r="D202" s="3" t="s">
        <v>327</v>
      </c>
      <c r="E202" s="14">
        <v>3713.3499864076566</v>
      </c>
      <c r="F202" s="14">
        <v>9326.5813623263857</v>
      </c>
      <c r="G202" s="14">
        <v>16373.844252739889</v>
      </c>
      <c r="H202" s="14">
        <v>15742.580324207776</v>
      </c>
      <c r="I202" s="14">
        <v>12645.708749421192</v>
      </c>
      <c r="J202" s="14">
        <v>10944.722467029584</v>
      </c>
      <c r="K202" s="14">
        <v>8204.6997793626197</v>
      </c>
      <c r="L202" s="14">
        <v>8901.9785629736489</v>
      </c>
      <c r="M202" s="14">
        <v>7453.273040590866</v>
      </c>
      <c r="N202" s="14">
        <v>5660.708644123838</v>
      </c>
      <c r="O202" s="14">
        <v>4571.7349652399944</v>
      </c>
    </row>
    <row r="203" spans="1:15" x14ac:dyDescent="0.3">
      <c r="A203" s="3" t="str">
        <f>INDEX('R1. Scenario specifications'!$C$11:$C$49,MATCH($B203,'R1. Scenario specifications'!$A$11:$A$49,0))</f>
        <v>Current 2DS, 2020 start, 'Expect the Unexpected' but with cheap renewables</v>
      </c>
      <c r="B203" s="3" t="s">
        <v>37</v>
      </c>
      <c r="C203" s="3" t="s">
        <v>301</v>
      </c>
      <c r="D203" s="3" t="s">
        <v>328</v>
      </c>
      <c r="E203" s="14">
        <v>0</v>
      </c>
      <c r="F203" s="14">
        <v>0</v>
      </c>
      <c r="G203" s="14">
        <v>94.260834870759595</v>
      </c>
      <c r="H203" s="14">
        <v>1596.4148336513342</v>
      </c>
      <c r="I203" s="14">
        <v>138.42756573487685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</row>
    <row r="204" spans="1:15" x14ac:dyDescent="0.3">
      <c r="A204" s="3" t="str">
        <f>INDEX('R1. Scenario specifications'!$C$11:$C$49,MATCH($B204,'R1. Scenario specifications'!$A$11:$A$49,0))</f>
        <v>Current 2DS, 2020 start, 'Expect the Unexpected' but with cheap renewables</v>
      </c>
      <c r="B204" s="3" t="s">
        <v>37</v>
      </c>
      <c r="C204" s="3" t="s">
        <v>303</v>
      </c>
      <c r="D204" s="3" t="s">
        <v>329</v>
      </c>
      <c r="E204" s="14">
        <v>0</v>
      </c>
      <c r="F204" s="14">
        <v>0</v>
      </c>
      <c r="G204" s="14">
        <v>0</v>
      </c>
      <c r="H204" s="14">
        <v>2981.889256779049</v>
      </c>
      <c r="I204" s="14">
        <v>1241.1429651254541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</row>
    <row r="205" spans="1:15" x14ac:dyDescent="0.3">
      <c r="A205" s="3" t="str">
        <f>INDEX('R1. Scenario specifications'!$C$11:$C$49,MATCH($B205,'R1. Scenario specifications'!$A$11:$A$49,0))</f>
        <v>Current 1.75DS, 2030 start, 'Expect the Unexpected' but with cheap CCS</v>
      </c>
      <c r="B205" s="3" t="s">
        <v>38</v>
      </c>
      <c r="C205" s="3" t="s">
        <v>298</v>
      </c>
      <c r="D205" s="3" t="s">
        <v>325</v>
      </c>
      <c r="E205" s="14">
        <v>5.283714066875322</v>
      </c>
      <c r="F205" s="14">
        <v>40.935839939176851</v>
      </c>
      <c r="G205" s="14">
        <v>1010.9701631029815</v>
      </c>
      <c r="H205" s="14">
        <v>1524.3877289706661</v>
      </c>
      <c r="I205" s="14">
        <v>917.04686265152475</v>
      </c>
      <c r="J205" s="14">
        <v>1193.5946690723506</v>
      </c>
      <c r="K205" s="14">
        <v>1537.41971231914</v>
      </c>
      <c r="L205" s="14">
        <v>508.42879187079706</v>
      </c>
      <c r="M205" s="14">
        <v>711.04621476839668</v>
      </c>
      <c r="N205" s="14">
        <v>1454.9504243560475</v>
      </c>
      <c r="O205" s="14">
        <v>2044.139286442715</v>
      </c>
    </row>
    <row r="206" spans="1:15" x14ac:dyDescent="0.3">
      <c r="A206" s="3" t="str">
        <f>INDEX('R1. Scenario specifications'!$C$11:$C$49,MATCH($B206,'R1. Scenario specifications'!$A$11:$A$49,0))</f>
        <v>Current 1.75DS, 2030 start, 'Expect the Unexpected' but with cheap CCS</v>
      </c>
      <c r="B206" s="3" t="s">
        <v>38</v>
      </c>
      <c r="C206" s="3" t="s">
        <v>299</v>
      </c>
      <c r="D206" s="3" t="s">
        <v>324</v>
      </c>
      <c r="E206" s="14">
        <v>0</v>
      </c>
      <c r="F206" s="14">
        <v>0</v>
      </c>
      <c r="G206" s="14">
        <v>55.300000000000061</v>
      </c>
      <c r="H206" s="14">
        <v>511.41867088878001</v>
      </c>
      <c r="I206" s="14">
        <v>5361.4766705651255</v>
      </c>
      <c r="J206" s="14">
        <v>13010.665186049091</v>
      </c>
      <c r="K206" s="14">
        <v>16554.158883067899</v>
      </c>
      <c r="L206" s="14">
        <v>21378.116279760303</v>
      </c>
      <c r="M206" s="14">
        <v>25408.109164642665</v>
      </c>
      <c r="N206" s="14">
        <v>26665.611820977134</v>
      </c>
      <c r="O206" s="14">
        <v>29457.301175868368</v>
      </c>
    </row>
    <row r="207" spans="1:15" x14ac:dyDescent="0.3">
      <c r="A207" s="3" t="str">
        <f>INDEX('R1. Scenario specifications'!$C$11:$C$49,MATCH($B207,'R1. Scenario specifications'!$A$11:$A$49,0))</f>
        <v>Current 1.75DS, 2030 start, 'Expect the Unexpected' but with cheap CCS</v>
      </c>
      <c r="B207" s="3" t="s">
        <v>38</v>
      </c>
      <c r="C207" s="3" t="s">
        <v>302</v>
      </c>
      <c r="D207" s="3" t="s">
        <v>326</v>
      </c>
      <c r="E207" s="14">
        <v>0</v>
      </c>
      <c r="F207" s="14">
        <v>0</v>
      </c>
      <c r="G207" s="14">
        <v>137.17533571710985</v>
      </c>
      <c r="H207" s="14">
        <v>435.43586128689685</v>
      </c>
      <c r="I207" s="14">
        <v>443.5280349936537</v>
      </c>
      <c r="J207" s="14">
        <v>648.47995768166766</v>
      </c>
      <c r="K207" s="14">
        <v>420.02364111826807</v>
      </c>
      <c r="L207" s="14">
        <v>860.35938621752746</v>
      </c>
      <c r="M207" s="14">
        <v>766.91691130162826</v>
      </c>
      <c r="N207" s="14">
        <v>779.57242123583649</v>
      </c>
      <c r="O207" s="14">
        <v>839.55444226496343</v>
      </c>
    </row>
    <row r="208" spans="1:15" x14ac:dyDescent="0.3">
      <c r="A208" s="3" t="str">
        <f>INDEX('R1. Scenario specifications'!$C$11:$C$49,MATCH($B208,'R1. Scenario specifications'!$A$11:$A$49,0))</f>
        <v>Current 1.75DS, 2030 start, 'Expect the Unexpected' but with cheap CCS</v>
      </c>
      <c r="B208" s="3" t="s">
        <v>38</v>
      </c>
      <c r="C208" s="3" t="s">
        <v>300</v>
      </c>
      <c r="D208" s="3" t="s">
        <v>327</v>
      </c>
      <c r="E208" s="14">
        <v>3713.3499864076566</v>
      </c>
      <c r="F208" s="14">
        <v>9326.5813623263857</v>
      </c>
      <c r="G208" s="14">
        <v>16373.844252739889</v>
      </c>
      <c r="H208" s="14">
        <v>15585.649202815215</v>
      </c>
      <c r="I208" s="14">
        <v>13405.867555675675</v>
      </c>
      <c r="J208" s="14">
        <v>11624.399868893508</v>
      </c>
      <c r="K208" s="14">
        <v>7906.084715341306</v>
      </c>
      <c r="L208" s="14">
        <v>8160.7199758834849</v>
      </c>
      <c r="M208" s="14">
        <v>4945.9745463847403</v>
      </c>
      <c r="N208" s="14">
        <v>4590.2524204491665</v>
      </c>
      <c r="O208" s="14">
        <v>3777.8344546132316</v>
      </c>
    </row>
    <row r="209" spans="1:15" x14ac:dyDescent="0.3">
      <c r="A209" s="3" t="str">
        <f>INDEX('R1. Scenario specifications'!$C$11:$C$49,MATCH($B209,'R1. Scenario specifications'!$A$11:$A$49,0))</f>
        <v>Current 1.75DS, 2030 start, 'Expect the Unexpected' but with cheap CCS</v>
      </c>
      <c r="B209" s="3" t="s">
        <v>38</v>
      </c>
      <c r="C209" s="3" t="s">
        <v>301</v>
      </c>
      <c r="D209" s="3" t="s">
        <v>328</v>
      </c>
      <c r="E209" s="14">
        <v>0</v>
      </c>
      <c r="F209" s="14">
        <v>0</v>
      </c>
      <c r="G209" s="14">
        <v>94.260834870759595</v>
      </c>
      <c r="H209" s="14">
        <v>1599.9746126235134</v>
      </c>
      <c r="I209" s="14">
        <v>126.73681679713229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</row>
    <row r="210" spans="1:15" x14ac:dyDescent="0.3">
      <c r="A210" s="3" t="str">
        <f>INDEX('R1. Scenario specifications'!$C$11:$C$49,MATCH($B210,'R1. Scenario specifications'!$A$11:$A$49,0))</f>
        <v>Current 1.75DS, 2030 start, 'Expect the Unexpected' but with cheap CCS</v>
      </c>
      <c r="B210" s="3" t="s">
        <v>38</v>
      </c>
      <c r="C210" s="3" t="s">
        <v>303</v>
      </c>
      <c r="D210" s="3" t="s">
        <v>329</v>
      </c>
      <c r="E210" s="14">
        <v>0</v>
      </c>
      <c r="F210" s="14">
        <v>0</v>
      </c>
      <c r="G210" s="14">
        <v>0</v>
      </c>
      <c r="H210" s="14">
        <v>3040.2453409136619</v>
      </c>
      <c r="I210" s="14">
        <v>1243.7422784159394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</row>
    <row r="211" spans="1:15" x14ac:dyDescent="0.3">
      <c r="A211" s="3" t="str">
        <f>INDEX('R1. Scenario specifications'!$C$11:$C$49,MATCH($B211,'R1. Scenario specifications'!$A$11:$A$49,0))</f>
        <v>Current 1.75DS, 2020 start, 'Expect the Unexpected' but with cheap EVs</v>
      </c>
      <c r="B211" s="3" t="s">
        <v>39</v>
      </c>
      <c r="C211" s="3" t="s">
        <v>298</v>
      </c>
      <c r="D211" s="3" t="s">
        <v>325</v>
      </c>
      <c r="E211" s="14">
        <v>5.283714066875322</v>
      </c>
      <c r="F211" s="14">
        <v>40.935839939176851</v>
      </c>
      <c r="G211" s="14">
        <v>1010.9701631029815</v>
      </c>
      <c r="H211" s="14">
        <v>453.6180399390073</v>
      </c>
      <c r="I211" s="14">
        <v>974.382702429397</v>
      </c>
      <c r="J211" s="14">
        <v>1450.8198142710889</v>
      </c>
      <c r="K211" s="14">
        <v>222.4474540535374</v>
      </c>
      <c r="L211" s="14">
        <v>642.03545836458193</v>
      </c>
      <c r="M211" s="14">
        <v>719.67120106724326</v>
      </c>
      <c r="N211" s="14">
        <v>1616.1573582077287</v>
      </c>
      <c r="O211" s="14">
        <v>2303.2203377018182</v>
      </c>
    </row>
    <row r="212" spans="1:15" x14ac:dyDescent="0.3">
      <c r="A212" s="3" t="str">
        <f>INDEX('R1. Scenario specifications'!$C$11:$C$49,MATCH($B212,'R1. Scenario specifications'!$A$11:$A$49,0))</f>
        <v>Current 1.75DS, 2020 start, 'Expect the Unexpected' but with cheap EVs</v>
      </c>
      <c r="B212" s="3" t="s">
        <v>39</v>
      </c>
      <c r="C212" s="3" t="s">
        <v>299</v>
      </c>
      <c r="D212" s="3" t="s">
        <v>324</v>
      </c>
      <c r="E212" s="14">
        <v>0</v>
      </c>
      <c r="F212" s="14">
        <v>0</v>
      </c>
      <c r="G212" s="14">
        <v>55.300000000000061</v>
      </c>
      <c r="H212" s="14">
        <v>602.18178353250039</v>
      </c>
      <c r="I212" s="14">
        <v>5975.8622782090661</v>
      </c>
      <c r="J212" s="14">
        <v>14707.054228398005</v>
      </c>
      <c r="K212" s="14">
        <v>21276.944014671466</v>
      </c>
      <c r="L212" s="14">
        <v>25293.967812798764</v>
      </c>
      <c r="M212" s="14">
        <v>26896.485390378715</v>
      </c>
      <c r="N212" s="14">
        <v>28736.211596225792</v>
      </c>
      <c r="O212" s="14">
        <v>30913.856601724998</v>
      </c>
    </row>
    <row r="213" spans="1:15" x14ac:dyDescent="0.3">
      <c r="A213" s="3" t="str">
        <f>INDEX('R1. Scenario specifications'!$C$11:$C$49,MATCH($B213,'R1. Scenario specifications'!$A$11:$A$49,0))</f>
        <v>Current 1.75DS, 2020 start, 'Expect the Unexpected' but with cheap EVs</v>
      </c>
      <c r="B213" s="3" t="s">
        <v>39</v>
      </c>
      <c r="C213" s="3" t="s">
        <v>302</v>
      </c>
      <c r="D213" s="3" t="s">
        <v>326</v>
      </c>
      <c r="E213" s="14">
        <v>0</v>
      </c>
      <c r="F213" s="14">
        <v>0</v>
      </c>
      <c r="G213" s="14">
        <v>137.17533571710985</v>
      </c>
      <c r="H213" s="14">
        <v>441.84080674415623</v>
      </c>
      <c r="I213" s="14">
        <v>475.2944202507789</v>
      </c>
      <c r="J213" s="14">
        <v>724.17437687891402</v>
      </c>
      <c r="K213" s="14">
        <v>700.75082824976164</v>
      </c>
      <c r="L213" s="14">
        <v>787.27313289848144</v>
      </c>
      <c r="M213" s="14">
        <v>749.61000515438468</v>
      </c>
      <c r="N213" s="14">
        <v>625.23064186143938</v>
      </c>
      <c r="O213" s="14">
        <v>669.45571873816959</v>
      </c>
    </row>
    <row r="214" spans="1:15" x14ac:dyDescent="0.3">
      <c r="A214" s="3" t="str">
        <f>INDEX('R1. Scenario specifications'!$C$11:$C$49,MATCH($B214,'R1. Scenario specifications'!$A$11:$A$49,0))</f>
        <v>Current 1.75DS, 2020 start, 'Expect the Unexpected' but with cheap EVs</v>
      </c>
      <c r="B214" s="3" t="s">
        <v>39</v>
      </c>
      <c r="C214" s="3" t="s">
        <v>300</v>
      </c>
      <c r="D214" s="3" t="s">
        <v>327</v>
      </c>
      <c r="E214" s="14">
        <v>3713.3499864076566</v>
      </c>
      <c r="F214" s="14">
        <v>9326.5813623263857</v>
      </c>
      <c r="G214" s="14">
        <v>16373.844252739889</v>
      </c>
      <c r="H214" s="14">
        <v>9303.6385806143026</v>
      </c>
      <c r="I214" s="14">
        <v>6408.7352805201954</v>
      </c>
      <c r="J214" s="14">
        <v>7695.3861037148781</v>
      </c>
      <c r="K214" s="14">
        <v>6652.1283785963324</v>
      </c>
      <c r="L214" s="14">
        <v>4662.7443882472235</v>
      </c>
      <c r="M214" s="14">
        <v>4805.7133311555981</v>
      </c>
      <c r="N214" s="14">
        <v>4095.7339275593176</v>
      </c>
      <c r="O214" s="14">
        <v>3496.5670246661002</v>
      </c>
    </row>
    <row r="215" spans="1:15" x14ac:dyDescent="0.3">
      <c r="A215" s="3" t="str">
        <f>INDEX('R1. Scenario specifications'!$C$11:$C$49,MATCH($B215,'R1. Scenario specifications'!$A$11:$A$49,0))</f>
        <v>Current 1.75DS, 2020 start, 'Expect the Unexpected' but with cheap EVs</v>
      </c>
      <c r="B215" s="3" t="s">
        <v>39</v>
      </c>
      <c r="C215" s="3" t="s">
        <v>301</v>
      </c>
      <c r="D215" s="3" t="s">
        <v>328</v>
      </c>
      <c r="E215" s="14">
        <v>0</v>
      </c>
      <c r="F215" s="14">
        <v>0</v>
      </c>
      <c r="G215" s="14">
        <v>94.260834870759595</v>
      </c>
      <c r="H215" s="14">
        <v>3781.3655114194366</v>
      </c>
      <c r="I215" s="14">
        <v>2017.2827352981396</v>
      </c>
      <c r="J215" s="14">
        <v>0</v>
      </c>
      <c r="K215" s="14">
        <v>7.2559422256374599</v>
      </c>
      <c r="L215" s="14">
        <v>200.07196740706246</v>
      </c>
      <c r="M215" s="14">
        <v>123.21569770186238</v>
      </c>
      <c r="N215" s="14">
        <v>152.02669430072231</v>
      </c>
      <c r="O215" s="14">
        <v>0</v>
      </c>
    </row>
    <row r="216" spans="1:15" x14ac:dyDescent="0.3">
      <c r="A216" s="3" t="str">
        <f>INDEX('R1. Scenario specifications'!$C$11:$C$49,MATCH($B216,'R1. Scenario specifications'!$A$11:$A$49,0))</f>
        <v>Current 1.75DS, 2020 start, 'Expect the Unexpected' but with cheap EVs</v>
      </c>
      <c r="B216" s="3" t="s">
        <v>39</v>
      </c>
      <c r="C216" s="3" t="s">
        <v>303</v>
      </c>
      <c r="D216" s="3" t="s">
        <v>329</v>
      </c>
      <c r="E216" s="14">
        <v>0</v>
      </c>
      <c r="F216" s="14">
        <v>0</v>
      </c>
      <c r="G216" s="14">
        <v>0</v>
      </c>
      <c r="H216" s="14">
        <v>8485.2519698306842</v>
      </c>
      <c r="I216" s="14">
        <v>6288.0276169517192</v>
      </c>
      <c r="J216" s="14">
        <v>3039.7074235748191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</row>
    <row r="217" spans="1:15" x14ac:dyDescent="0.3">
      <c r="A217" s="3" t="str">
        <f>INDEX('R1. Scenario specifications'!$C$11:$C$49,MATCH($B217,'R1. Scenario specifications'!$A$11:$A$49,0))</f>
        <v>Current 1.75DS, 2030 start, 'Expect the Unexpected' but with cheap EVs</v>
      </c>
      <c r="B217" s="3" t="s">
        <v>40</v>
      </c>
      <c r="C217" s="3" t="s">
        <v>298</v>
      </c>
      <c r="D217" s="3" t="s">
        <v>325</v>
      </c>
      <c r="E217" s="14">
        <v>5.283714066875322</v>
      </c>
      <c r="F217" s="14">
        <v>40.935839939176851</v>
      </c>
      <c r="G217" s="14">
        <v>1010.9701631029815</v>
      </c>
      <c r="H217" s="14">
        <v>1524.3877289706661</v>
      </c>
      <c r="I217" s="14">
        <v>672.08380519436935</v>
      </c>
      <c r="J217" s="14">
        <v>935.82715249875434</v>
      </c>
      <c r="K217" s="14">
        <v>1454.6429885774596</v>
      </c>
      <c r="L217" s="14">
        <v>414.38131975402621</v>
      </c>
      <c r="M217" s="14">
        <v>698.3005985125086</v>
      </c>
      <c r="N217" s="14">
        <v>1459.7332267682311</v>
      </c>
      <c r="O217" s="14">
        <v>2041.2108901210911</v>
      </c>
    </row>
    <row r="218" spans="1:15" x14ac:dyDescent="0.3">
      <c r="A218" s="3" t="str">
        <f>INDEX('R1. Scenario specifications'!$C$11:$C$49,MATCH($B218,'R1. Scenario specifications'!$A$11:$A$49,0))</f>
        <v>Current 1.75DS, 2030 start, 'Expect the Unexpected' but with cheap EVs</v>
      </c>
      <c r="B218" s="3" t="s">
        <v>40</v>
      </c>
      <c r="C218" s="3" t="s">
        <v>299</v>
      </c>
      <c r="D218" s="3" t="s">
        <v>324</v>
      </c>
      <c r="E218" s="14">
        <v>0</v>
      </c>
      <c r="F218" s="14">
        <v>0</v>
      </c>
      <c r="G218" s="14">
        <v>55.300000000000061</v>
      </c>
      <c r="H218" s="14">
        <v>511.41867088878001</v>
      </c>
      <c r="I218" s="14">
        <v>5486.833465995297</v>
      </c>
      <c r="J218" s="14">
        <v>13911.076881375402</v>
      </c>
      <c r="K218" s="14">
        <v>18703.016590569765</v>
      </c>
      <c r="L218" s="14">
        <v>23157.132170050794</v>
      </c>
      <c r="M218" s="14">
        <v>26932.563166062788</v>
      </c>
      <c r="N218" s="14">
        <v>28599.590159249183</v>
      </c>
      <c r="O218" s="14">
        <v>30934.1726404578</v>
      </c>
    </row>
    <row r="219" spans="1:15" x14ac:dyDescent="0.3">
      <c r="A219" s="3" t="str">
        <f>INDEX('R1. Scenario specifications'!$C$11:$C$49,MATCH($B219,'R1. Scenario specifications'!$A$11:$A$49,0))</f>
        <v>Current 1.75DS, 2030 start, 'Expect the Unexpected' but with cheap EVs</v>
      </c>
      <c r="B219" s="3" t="s">
        <v>40</v>
      </c>
      <c r="C219" s="3" t="s">
        <v>302</v>
      </c>
      <c r="D219" s="3" t="s">
        <v>326</v>
      </c>
      <c r="E219" s="14">
        <v>0</v>
      </c>
      <c r="F219" s="14">
        <v>0</v>
      </c>
      <c r="G219" s="14">
        <v>137.17533571710985</v>
      </c>
      <c r="H219" s="14">
        <v>435.43586128689685</v>
      </c>
      <c r="I219" s="14">
        <v>475.10392409595806</v>
      </c>
      <c r="J219" s="14">
        <v>629.45357801398461</v>
      </c>
      <c r="K219" s="14">
        <v>412.34193834058192</v>
      </c>
      <c r="L219" s="14">
        <v>904.07498380815423</v>
      </c>
      <c r="M219" s="14">
        <v>735.96880374086095</v>
      </c>
      <c r="N219" s="14">
        <v>812.90527922372428</v>
      </c>
      <c r="O219" s="14">
        <v>687.62542578733724</v>
      </c>
    </row>
    <row r="220" spans="1:15" x14ac:dyDescent="0.3">
      <c r="A220" s="3" t="str">
        <f>INDEX('R1. Scenario specifications'!$C$11:$C$49,MATCH($B220,'R1. Scenario specifications'!$A$11:$A$49,0))</f>
        <v>Current 1.75DS, 2030 start, 'Expect the Unexpected' but with cheap EVs</v>
      </c>
      <c r="B220" s="3" t="s">
        <v>40</v>
      </c>
      <c r="C220" s="3" t="s">
        <v>300</v>
      </c>
      <c r="D220" s="3" t="s">
        <v>327</v>
      </c>
      <c r="E220" s="14">
        <v>3713.3499864076566</v>
      </c>
      <c r="F220" s="14">
        <v>9326.5813623263857</v>
      </c>
      <c r="G220" s="14">
        <v>16373.844252739889</v>
      </c>
      <c r="H220" s="14">
        <v>15585.649202815215</v>
      </c>
      <c r="I220" s="14">
        <v>6731.9167766264154</v>
      </c>
      <c r="J220" s="14">
        <v>5010.0788248626286</v>
      </c>
      <c r="K220" s="14">
        <v>3612.9138837621649</v>
      </c>
      <c r="L220" s="14">
        <v>5031.2768596978622</v>
      </c>
      <c r="M220" s="14">
        <v>4769.9040034112113</v>
      </c>
      <c r="N220" s="14">
        <v>4384.7489093344711</v>
      </c>
      <c r="O220" s="14">
        <v>3779.6592468656645</v>
      </c>
    </row>
    <row r="221" spans="1:15" x14ac:dyDescent="0.3">
      <c r="A221" s="3" t="str">
        <f>INDEX('R1. Scenario specifications'!$C$11:$C$49,MATCH($B221,'R1. Scenario specifications'!$A$11:$A$49,0))</f>
        <v>Current 1.75DS, 2030 start, 'Expect the Unexpected' but with cheap EVs</v>
      </c>
      <c r="B221" s="3" t="s">
        <v>40</v>
      </c>
      <c r="C221" s="3" t="s">
        <v>301</v>
      </c>
      <c r="D221" s="3" t="s">
        <v>328</v>
      </c>
      <c r="E221" s="14">
        <v>0</v>
      </c>
      <c r="F221" s="14">
        <v>0</v>
      </c>
      <c r="G221" s="14">
        <v>94.260834870759595</v>
      </c>
      <c r="H221" s="14">
        <v>1599.9746126235134</v>
      </c>
      <c r="I221" s="14">
        <v>2129.8201551010752</v>
      </c>
      <c r="J221" s="14">
        <v>0</v>
      </c>
      <c r="K221" s="14">
        <v>134.82398787004786</v>
      </c>
      <c r="L221" s="14">
        <v>38.414125418900078</v>
      </c>
      <c r="M221" s="14">
        <v>155.67448287561183</v>
      </c>
      <c r="N221" s="14">
        <v>137.50626393752876</v>
      </c>
      <c r="O221" s="14">
        <v>0</v>
      </c>
    </row>
    <row r="222" spans="1:15" x14ac:dyDescent="0.3">
      <c r="A222" s="3" t="str">
        <f>INDEX('R1. Scenario specifications'!$C$11:$C$49,MATCH($B222,'R1. Scenario specifications'!$A$11:$A$49,0))</f>
        <v>Current 1.75DS, 2030 start, 'Expect the Unexpected' but with cheap EVs</v>
      </c>
      <c r="B222" s="3" t="s">
        <v>40</v>
      </c>
      <c r="C222" s="3" t="s">
        <v>303</v>
      </c>
      <c r="D222" s="3" t="s">
        <v>329</v>
      </c>
      <c r="E222" s="14">
        <v>0</v>
      </c>
      <c r="F222" s="14">
        <v>0</v>
      </c>
      <c r="G222" s="14">
        <v>0</v>
      </c>
      <c r="H222" s="14">
        <v>3040.2453409136619</v>
      </c>
      <c r="I222" s="14">
        <v>6659.070205600975</v>
      </c>
      <c r="J222" s="14">
        <v>6751.6613124127125</v>
      </c>
      <c r="K222" s="14">
        <v>3466.0628946727779</v>
      </c>
      <c r="L222" s="14">
        <v>2089.5281541593699</v>
      </c>
      <c r="M222" s="14">
        <v>0</v>
      </c>
      <c r="N222" s="14">
        <v>0</v>
      </c>
      <c r="O222" s="14">
        <v>0</v>
      </c>
    </row>
    <row r="223" spans="1:15" x14ac:dyDescent="0.3">
      <c r="A223" s="3" t="str">
        <f>INDEX('R1. Scenario specifications'!$C$11:$C$49,MATCH($B223,'R1. Scenario specifications'!$A$11:$A$49,0))</f>
        <v>Current 1.75DS, 2020 start, 'Expect the Unexpected' but with cheap energy efficiency</v>
      </c>
      <c r="B223" s="3" t="s">
        <v>41</v>
      </c>
      <c r="C223" s="3" t="s">
        <v>298</v>
      </c>
      <c r="D223" s="3" t="s">
        <v>325</v>
      </c>
      <c r="E223" s="14">
        <v>5.283714066875322</v>
      </c>
      <c r="F223" s="14">
        <v>40.935839939176851</v>
      </c>
      <c r="G223" s="14">
        <v>1010.9701631029815</v>
      </c>
      <c r="H223" s="14">
        <v>743.70113679713768</v>
      </c>
      <c r="I223" s="14">
        <v>1449.3089544435984</v>
      </c>
      <c r="J223" s="14">
        <v>1757.673311405204</v>
      </c>
      <c r="K223" s="14">
        <v>355.39335178770654</v>
      </c>
      <c r="L223" s="14">
        <v>430.323674162359</v>
      </c>
      <c r="M223" s="14">
        <v>798.08943054473764</v>
      </c>
      <c r="N223" s="14">
        <v>1341.2928962788662</v>
      </c>
      <c r="O223" s="14">
        <v>2272.5520234228097</v>
      </c>
    </row>
    <row r="224" spans="1:15" x14ac:dyDescent="0.3">
      <c r="A224" s="3" t="str">
        <f>INDEX('R1. Scenario specifications'!$C$11:$C$49,MATCH($B224,'R1. Scenario specifications'!$A$11:$A$49,0))</f>
        <v>Current 1.75DS, 2020 start, 'Expect the Unexpected' but with cheap energy efficiency</v>
      </c>
      <c r="B224" s="3" t="s">
        <v>41</v>
      </c>
      <c r="C224" s="3" t="s">
        <v>299</v>
      </c>
      <c r="D224" s="3" t="s">
        <v>324</v>
      </c>
      <c r="E224" s="14">
        <v>0</v>
      </c>
      <c r="F224" s="14">
        <v>0</v>
      </c>
      <c r="G224" s="14">
        <v>55.300000000000061</v>
      </c>
      <c r="H224" s="14">
        <v>600.35442874146543</v>
      </c>
      <c r="I224" s="14">
        <v>4759.2029219034703</v>
      </c>
      <c r="J224" s="14">
        <v>11496.426459816859</v>
      </c>
      <c r="K224" s="14">
        <v>14493.578243206659</v>
      </c>
      <c r="L224" s="14">
        <v>17050.360346338592</v>
      </c>
      <c r="M224" s="14">
        <v>19676.793868445515</v>
      </c>
      <c r="N224" s="14">
        <v>20915.781070759196</v>
      </c>
      <c r="O224" s="14">
        <v>22647.087256669809</v>
      </c>
    </row>
    <row r="225" spans="1:15" x14ac:dyDescent="0.3">
      <c r="A225" s="3" t="str">
        <f>INDEX('R1. Scenario specifications'!$C$11:$C$49,MATCH($B225,'R1. Scenario specifications'!$A$11:$A$49,0))</f>
        <v>Current 1.75DS, 2020 start, 'Expect the Unexpected' but with cheap energy efficiency</v>
      </c>
      <c r="B225" s="3" t="s">
        <v>41</v>
      </c>
      <c r="C225" s="3" t="s">
        <v>302</v>
      </c>
      <c r="D225" s="3" t="s">
        <v>326</v>
      </c>
      <c r="E225" s="14">
        <v>0</v>
      </c>
      <c r="F225" s="14">
        <v>0</v>
      </c>
      <c r="G225" s="14">
        <v>137.17533571710985</v>
      </c>
      <c r="H225" s="14">
        <v>287.08734988213524</v>
      </c>
      <c r="I225" s="14">
        <v>393.54173649138374</v>
      </c>
      <c r="J225" s="14">
        <v>553.88057449429539</v>
      </c>
      <c r="K225" s="14">
        <v>537.28420102198743</v>
      </c>
      <c r="L225" s="14">
        <v>610.07009624788145</v>
      </c>
      <c r="M225" s="14">
        <v>631.02836114776039</v>
      </c>
      <c r="N225" s="14">
        <v>674.5512242623978</v>
      </c>
      <c r="O225" s="14">
        <v>654.36526215000106</v>
      </c>
    </row>
    <row r="226" spans="1:15" x14ac:dyDescent="0.3">
      <c r="A226" s="3" t="str">
        <f>INDEX('R1. Scenario specifications'!$C$11:$C$49,MATCH($B226,'R1. Scenario specifications'!$A$11:$A$49,0))</f>
        <v>Current 1.75DS, 2020 start, 'Expect the Unexpected' but with cheap energy efficiency</v>
      </c>
      <c r="B226" s="3" t="s">
        <v>41</v>
      </c>
      <c r="C226" s="3" t="s">
        <v>300</v>
      </c>
      <c r="D226" s="3" t="s">
        <v>327</v>
      </c>
      <c r="E226" s="14">
        <v>3713.3499864076566</v>
      </c>
      <c r="F226" s="14">
        <v>9326.5813623263857</v>
      </c>
      <c r="G226" s="14">
        <v>16373.844252739889</v>
      </c>
      <c r="H226" s="14">
        <v>10398.505478863952</v>
      </c>
      <c r="I226" s="14">
        <v>12075.941474273119</v>
      </c>
      <c r="J226" s="14">
        <v>7784.0771588214302</v>
      </c>
      <c r="K226" s="14">
        <v>7611.0470236566671</v>
      </c>
      <c r="L226" s="14">
        <v>6591.269768103346</v>
      </c>
      <c r="M226" s="14">
        <v>5019.0210914943127</v>
      </c>
      <c r="N226" s="14">
        <v>4580.6614292516761</v>
      </c>
      <c r="O226" s="14">
        <v>3586.9726846469275</v>
      </c>
    </row>
    <row r="227" spans="1:15" x14ac:dyDescent="0.3">
      <c r="A227" s="3" t="str">
        <f>INDEX('R1. Scenario specifications'!$C$11:$C$49,MATCH($B227,'R1. Scenario specifications'!$A$11:$A$49,0))</f>
        <v>Current 1.75DS, 2020 start, 'Expect the Unexpected' but with cheap energy efficiency</v>
      </c>
      <c r="B227" s="3" t="s">
        <v>41</v>
      </c>
      <c r="C227" s="3" t="s">
        <v>301</v>
      </c>
      <c r="D227" s="3" t="s">
        <v>328</v>
      </c>
      <c r="E227" s="14">
        <v>0</v>
      </c>
      <c r="F227" s="14">
        <v>0</v>
      </c>
      <c r="G227" s="14">
        <v>94.260834870759595</v>
      </c>
      <c r="H227" s="14">
        <v>1448.4709229007635</v>
      </c>
      <c r="I227" s="14">
        <v>49.120595216108001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</row>
    <row r="228" spans="1:15" x14ac:dyDescent="0.3">
      <c r="A228" s="3" t="str">
        <f>INDEX('R1. Scenario specifications'!$C$11:$C$49,MATCH($B228,'R1. Scenario specifications'!$A$11:$A$49,0))</f>
        <v>Current 1.75DS, 2020 start, 'Expect the Unexpected' but with cheap energy efficiency</v>
      </c>
      <c r="B228" s="3" t="s">
        <v>41</v>
      </c>
      <c r="C228" s="3" t="s">
        <v>303</v>
      </c>
      <c r="D228" s="3" t="s">
        <v>329</v>
      </c>
      <c r="E228" s="14">
        <v>0</v>
      </c>
      <c r="F228" s="14">
        <v>0</v>
      </c>
      <c r="G228" s="14">
        <v>0</v>
      </c>
      <c r="H228" s="14">
        <v>1858.8939958235489</v>
      </c>
      <c r="I228" s="14">
        <v>931.85564038309394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</row>
    <row r="229" spans="1:15" x14ac:dyDescent="0.3">
      <c r="A229" s="3" t="str">
        <f>INDEX('R1. Scenario specifications'!$C$11:$C$49,MATCH($B229,'R1. Scenario specifications'!$A$11:$A$49,0))</f>
        <v>Current 1.75DS, 2030 start, 'Expect the Unexpected' but with cheap energy efficiency</v>
      </c>
      <c r="B229" s="3" t="s">
        <v>42</v>
      </c>
      <c r="C229" s="3" t="s">
        <v>298</v>
      </c>
      <c r="D229" s="3" t="s">
        <v>325</v>
      </c>
      <c r="E229" s="14">
        <v>5.283714066875322</v>
      </c>
      <c r="F229" s="14">
        <v>40.935839939176851</v>
      </c>
      <c r="G229" s="14">
        <v>1010.9701631029815</v>
      </c>
      <c r="H229" s="14">
        <v>1524.3877289706661</v>
      </c>
      <c r="I229" s="14">
        <v>1380.3863244163763</v>
      </c>
      <c r="J229" s="14">
        <v>874.81326122306564</v>
      </c>
      <c r="K229" s="14">
        <v>1431.7767192733652</v>
      </c>
      <c r="L229" s="14">
        <v>441.30194500160559</v>
      </c>
      <c r="M229" s="14">
        <v>686.18868788026543</v>
      </c>
      <c r="N229" s="14">
        <v>911.77440529714227</v>
      </c>
      <c r="O229" s="14">
        <v>1924.0067203891117</v>
      </c>
    </row>
    <row r="230" spans="1:15" x14ac:dyDescent="0.3">
      <c r="A230" s="3" t="str">
        <f>INDEX('R1. Scenario specifications'!$C$11:$C$49,MATCH($B230,'R1. Scenario specifications'!$A$11:$A$49,0))</f>
        <v>Current 1.75DS, 2030 start, 'Expect the Unexpected' but with cheap energy efficiency</v>
      </c>
      <c r="B230" s="3" t="s">
        <v>42</v>
      </c>
      <c r="C230" s="3" t="s">
        <v>299</v>
      </c>
      <c r="D230" s="3" t="s">
        <v>324</v>
      </c>
      <c r="E230" s="14">
        <v>0</v>
      </c>
      <c r="F230" s="14">
        <v>0</v>
      </c>
      <c r="G230" s="14">
        <v>55.300000000000061</v>
      </c>
      <c r="H230" s="14">
        <v>511.41867088878001</v>
      </c>
      <c r="I230" s="14">
        <v>4360.2668431416123</v>
      </c>
      <c r="J230" s="14">
        <v>10995.279487281114</v>
      </c>
      <c r="K230" s="14">
        <v>12380.639762546394</v>
      </c>
      <c r="L230" s="14">
        <v>17031.071161692413</v>
      </c>
      <c r="M230" s="14">
        <v>19496.025980118091</v>
      </c>
      <c r="N230" s="14">
        <v>20946.503331993088</v>
      </c>
      <c r="O230" s="14">
        <v>22635.278969360708</v>
      </c>
    </row>
    <row r="231" spans="1:15" x14ac:dyDescent="0.3">
      <c r="A231" s="3" t="str">
        <f>INDEX('R1. Scenario specifications'!$C$11:$C$49,MATCH($B231,'R1. Scenario specifications'!$A$11:$A$49,0))</f>
        <v>Current 1.75DS, 2030 start, 'Expect the Unexpected' but with cheap energy efficiency</v>
      </c>
      <c r="B231" s="3" t="s">
        <v>42</v>
      </c>
      <c r="C231" s="3" t="s">
        <v>302</v>
      </c>
      <c r="D231" s="3" t="s">
        <v>326</v>
      </c>
      <c r="E231" s="14">
        <v>0</v>
      </c>
      <c r="F231" s="14">
        <v>0</v>
      </c>
      <c r="G231" s="14">
        <v>137.17533571710985</v>
      </c>
      <c r="H231" s="14">
        <v>435.43586128689685</v>
      </c>
      <c r="I231" s="14">
        <v>342.60072718733909</v>
      </c>
      <c r="J231" s="14">
        <v>528.42202200211557</v>
      </c>
      <c r="K231" s="14">
        <v>319.95258429682053</v>
      </c>
      <c r="L231" s="14">
        <v>681.30711986220808</v>
      </c>
      <c r="M231" s="14">
        <v>589.31568694293719</v>
      </c>
      <c r="N231" s="14">
        <v>693.9792313320944</v>
      </c>
      <c r="O231" s="14">
        <v>655.86786581812498</v>
      </c>
    </row>
    <row r="232" spans="1:15" x14ac:dyDescent="0.3">
      <c r="A232" s="3" t="str">
        <f>INDEX('R1. Scenario specifications'!$C$11:$C$49,MATCH($B232,'R1. Scenario specifications'!$A$11:$A$49,0))</f>
        <v>Current 1.75DS, 2030 start, 'Expect the Unexpected' but with cheap energy efficiency</v>
      </c>
      <c r="B232" s="3" t="s">
        <v>42</v>
      </c>
      <c r="C232" s="3" t="s">
        <v>300</v>
      </c>
      <c r="D232" s="3" t="s">
        <v>327</v>
      </c>
      <c r="E232" s="14">
        <v>3713.3499864076566</v>
      </c>
      <c r="F232" s="14">
        <v>9326.5813623263857</v>
      </c>
      <c r="G232" s="14">
        <v>16373.844252739889</v>
      </c>
      <c r="H232" s="14">
        <v>15585.649202815215</v>
      </c>
      <c r="I232" s="14">
        <v>10491.625346830411</v>
      </c>
      <c r="J232" s="14">
        <v>9511.1973285557451</v>
      </c>
      <c r="K232" s="14">
        <v>7568.1742153471223</v>
      </c>
      <c r="L232" s="14">
        <v>7008.674580506472</v>
      </c>
      <c r="M232" s="14">
        <v>5231.5189283070449</v>
      </c>
      <c r="N232" s="14">
        <v>5031.5175800806919</v>
      </c>
      <c r="O232" s="14">
        <v>4002.3341447883577</v>
      </c>
    </row>
    <row r="233" spans="1:15" x14ac:dyDescent="0.3">
      <c r="A233" s="3" t="str">
        <f>INDEX('R1. Scenario specifications'!$C$11:$C$49,MATCH($B233,'R1. Scenario specifications'!$A$11:$A$49,0))</f>
        <v>Current 1.75DS, 2030 start, 'Expect the Unexpected' but with cheap energy efficiency</v>
      </c>
      <c r="B233" s="3" t="s">
        <v>42</v>
      </c>
      <c r="C233" s="3" t="s">
        <v>301</v>
      </c>
      <c r="D233" s="3" t="s">
        <v>328</v>
      </c>
      <c r="E233" s="14">
        <v>0</v>
      </c>
      <c r="F233" s="14">
        <v>0</v>
      </c>
      <c r="G233" s="14">
        <v>94.260834870759595</v>
      </c>
      <c r="H233" s="14">
        <v>1599.9746126235134</v>
      </c>
      <c r="I233" s="14">
        <v>55.828459583498599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</row>
    <row r="234" spans="1:15" x14ac:dyDescent="0.3">
      <c r="A234" s="3" t="str">
        <f>INDEX('R1. Scenario specifications'!$C$11:$C$49,MATCH($B234,'R1. Scenario specifications'!$A$11:$A$49,0))</f>
        <v>Current 1.75DS, 2030 start, 'Expect the Unexpected' but with cheap energy efficiency</v>
      </c>
      <c r="B234" s="3" t="s">
        <v>42</v>
      </c>
      <c r="C234" s="3" t="s">
        <v>303</v>
      </c>
      <c r="D234" s="3" t="s">
        <v>329</v>
      </c>
      <c r="E234" s="14">
        <v>0</v>
      </c>
      <c r="F234" s="14">
        <v>0</v>
      </c>
      <c r="G234" s="14">
        <v>0</v>
      </c>
      <c r="H234" s="14">
        <v>3040.2453409136619</v>
      </c>
      <c r="I234" s="14">
        <v>869.13907636381805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</row>
    <row r="235" spans="1:15" x14ac:dyDescent="0.3">
      <c r="A235" s="3" t="str">
        <f>INDEX('R1. Scenario specifications'!$C$11:$C$49,MATCH($B235,'R1. Scenario specifications'!$A$11:$A$49,0))</f>
        <v>Current 1.75DS, 2020 start, 'Expect the Unexpected' but with most conservative biomass CCS / NET technology cost assumptions</v>
      </c>
      <c r="B235" s="3" t="s">
        <v>43</v>
      </c>
      <c r="C235" s="3" t="s">
        <v>298</v>
      </c>
      <c r="D235" s="3" t="s">
        <v>325</v>
      </c>
      <c r="E235" s="14">
        <v>5.283714066875322</v>
      </c>
      <c r="F235" s="14">
        <v>40.935839939176851</v>
      </c>
      <c r="G235" s="14">
        <v>1010.9701631029815</v>
      </c>
      <c r="H235" s="14">
        <v>1153.245780790307</v>
      </c>
      <c r="I235" s="14">
        <v>1431.5934000406005</v>
      </c>
      <c r="J235" s="14">
        <v>1333.5903710039597</v>
      </c>
      <c r="K235" s="14">
        <v>525.88927634654988</v>
      </c>
      <c r="L235" s="14">
        <v>636.28174192681979</v>
      </c>
      <c r="M235" s="14">
        <v>803.69550655646356</v>
      </c>
      <c r="N235" s="14">
        <v>1598.9764587972618</v>
      </c>
      <c r="O235" s="14">
        <v>2310.0005899357047</v>
      </c>
    </row>
    <row r="236" spans="1:15" x14ac:dyDescent="0.3">
      <c r="A236" s="3" t="str">
        <f>INDEX('R1. Scenario specifications'!$C$11:$C$49,MATCH($B236,'R1. Scenario specifications'!$A$11:$A$49,0))</f>
        <v>Current 1.75DS, 2020 start, 'Expect the Unexpected' but with most conservative biomass CCS / NET technology cost assumptions</v>
      </c>
      <c r="B236" s="3" t="s">
        <v>43</v>
      </c>
      <c r="C236" s="3" t="s">
        <v>299</v>
      </c>
      <c r="D236" s="3" t="s">
        <v>324</v>
      </c>
      <c r="E236" s="14">
        <v>0</v>
      </c>
      <c r="F236" s="14">
        <v>0</v>
      </c>
      <c r="G236" s="14">
        <v>55.300000000000061</v>
      </c>
      <c r="H236" s="14">
        <v>600.48863309316982</v>
      </c>
      <c r="I236" s="14">
        <v>5773.9107606002999</v>
      </c>
      <c r="J236" s="14">
        <v>13924.520829408522</v>
      </c>
      <c r="K236" s="14">
        <v>18586.106725126738</v>
      </c>
      <c r="L236" s="14">
        <v>23036.164031181786</v>
      </c>
      <c r="M236" s="14">
        <v>25386.021457049486</v>
      </c>
      <c r="N236" s="14">
        <v>26665.923717476802</v>
      </c>
      <c r="O236" s="14">
        <v>29383.871355332951</v>
      </c>
    </row>
    <row r="237" spans="1:15" x14ac:dyDescent="0.3">
      <c r="A237" s="3" t="str">
        <f>INDEX('R1. Scenario specifications'!$C$11:$C$49,MATCH($B237,'R1. Scenario specifications'!$A$11:$A$49,0))</f>
        <v>Current 1.75DS, 2020 start, 'Expect the Unexpected' but with most conservative biomass CCS / NET technology cost assumptions</v>
      </c>
      <c r="B237" s="3" t="s">
        <v>43</v>
      </c>
      <c r="C237" s="3" t="s">
        <v>302</v>
      </c>
      <c r="D237" s="3" t="s">
        <v>326</v>
      </c>
      <c r="E237" s="14">
        <v>0</v>
      </c>
      <c r="F237" s="14">
        <v>0</v>
      </c>
      <c r="G237" s="14">
        <v>137.17533571710985</v>
      </c>
      <c r="H237" s="14">
        <v>427.90301658766668</v>
      </c>
      <c r="I237" s="14">
        <v>450.94111870778522</v>
      </c>
      <c r="J237" s="14">
        <v>712.17984627915087</v>
      </c>
      <c r="K237" s="14">
        <v>680.47112429159893</v>
      </c>
      <c r="L237" s="14">
        <v>774.33132368533711</v>
      </c>
      <c r="M237" s="14">
        <v>796.77744934885015</v>
      </c>
      <c r="N237" s="14">
        <v>764.48938177001105</v>
      </c>
      <c r="O237" s="14">
        <v>827.93796990231317</v>
      </c>
    </row>
    <row r="238" spans="1:15" x14ac:dyDescent="0.3">
      <c r="A238" s="3" t="str">
        <f>INDEX('R1. Scenario specifications'!$C$11:$C$49,MATCH($B238,'R1. Scenario specifications'!$A$11:$A$49,0))</f>
        <v>Current 1.75DS, 2020 start, 'Expect the Unexpected' but with most conservative biomass CCS / NET technology cost assumptions</v>
      </c>
      <c r="B238" s="3" t="s">
        <v>43</v>
      </c>
      <c r="C238" s="3" t="s">
        <v>300</v>
      </c>
      <c r="D238" s="3" t="s">
        <v>327</v>
      </c>
      <c r="E238" s="14">
        <v>3713.3499864076566</v>
      </c>
      <c r="F238" s="14">
        <v>9326.5813623263857</v>
      </c>
      <c r="G238" s="14">
        <v>16373.844252739889</v>
      </c>
      <c r="H238" s="14">
        <v>15608.741604441198</v>
      </c>
      <c r="I238" s="14">
        <v>12913.567483013874</v>
      </c>
      <c r="J238" s="14">
        <v>10888.665522757876</v>
      </c>
      <c r="K238" s="14">
        <v>8272.1222524549157</v>
      </c>
      <c r="L238" s="14">
        <v>5852.713147523833</v>
      </c>
      <c r="M238" s="14">
        <v>4919.7769156616969</v>
      </c>
      <c r="N238" s="14">
        <v>4320.3559663732631</v>
      </c>
      <c r="O238" s="14">
        <v>3488.6100057325998</v>
      </c>
    </row>
    <row r="239" spans="1:15" x14ac:dyDescent="0.3">
      <c r="A239" s="3" t="str">
        <f>INDEX('R1. Scenario specifications'!$C$11:$C$49,MATCH($B239,'R1. Scenario specifications'!$A$11:$A$49,0))</f>
        <v>Current 1.75DS, 2020 start, 'Expect the Unexpected' but with most conservative biomass CCS / NET technology cost assumptions</v>
      </c>
      <c r="B239" s="3" t="s">
        <v>43</v>
      </c>
      <c r="C239" s="3" t="s">
        <v>301</v>
      </c>
      <c r="D239" s="3" t="s">
        <v>328</v>
      </c>
      <c r="E239" s="14">
        <v>0</v>
      </c>
      <c r="F239" s="14">
        <v>0</v>
      </c>
      <c r="G239" s="14">
        <v>94.260834870759595</v>
      </c>
      <c r="H239" s="14">
        <v>1493.2102756793911</v>
      </c>
      <c r="I239" s="14">
        <v>94.527982920013898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</row>
    <row r="240" spans="1:15" x14ac:dyDescent="0.3">
      <c r="A240" s="3" t="str">
        <f>INDEX('R1. Scenario specifications'!$C$11:$C$49,MATCH($B240,'R1. Scenario specifications'!$A$11:$A$49,0))</f>
        <v>Current 1.75DS, 2020 start, 'Expect the Unexpected' but with most conservative biomass CCS / NET technology cost assumptions</v>
      </c>
      <c r="B240" s="3" t="s">
        <v>43</v>
      </c>
      <c r="C240" s="3" t="s">
        <v>303</v>
      </c>
      <c r="D240" s="3" t="s">
        <v>329</v>
      </c>
      <c r="E240" s="14">
        <v>0</v>
      </c>
      <c r="F240" s="14">
        <v>0</v>
      </c>
      <c r="G240" s="14">
        <v>0</v>
      </c>
      <c r="H240" s="14">
        <v>3023.1510647418336</v>
      </c>
      <c r="I240" s="14">
        <v>1144.444823337556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</row>
    <row r="241" spans="1:15" x14ac:dyDescent="0.3">
      <c r="A241" s="3" t="str">
        <f>INDEX('R1. Scenario specifications'!$C$11:$C$49,MATCH($B241,'R1. Scenario specifications'!$A$11:$A$49,0))</f>
        <v>Current 2DS, 2020 start, 'Expect the unexpceted' but with expensive renewables (cheap CCS)</v>
      </c>
      <c r="B241" s="3" t="s">
        <v>1026</v>
      </c>
      <c r="C241" s="3" t="s">
        <v>298</v>
      </c>
      <c r="D241" s="3" t="s">
        <v>325</v>
      </c>
      <c r="E241" s="14">
        <v>5.283714066875322</v>
      </c>
      <c r="F241" s="14">
        <v>40.935839939176851</v>
      </c>
      <c r="G241" s="14">
        <v>1010.9701631029815</v>
      </c>
      <c r="H241" s="14">
        <v>1240.151453157579</v>
      </c>
      <c r="I241" s="14">
        <v>1962.2859197904916</v>
      </c>
      <c r="J241" s="14">
        <v>2347.1022914531386</v>
      </c>
      <c r="K241" s="14">
        <v>1029.8969543557903</v>
      </c>
      <c r="L241" s="14">
        <v>1182.1469568631671</v>
      </c>
      <c r="M241" s="14">
        <v>537.08931389291251</v>
      </c>
      <c r="N241" s="14">
        <v>915.30076518221654</v>
      </c>
      <c r="O241" s="14">
        <v>1899.7359724138212</v>
      </c>
    </row>
    <row r="242" spans="1:15" x14ac:dyDescent="0.3">
      <c r="A242" s="3" t="str">
        <f>INDEX('R1. Scenario specifications'!$C$11:$C$49,MATCH($B242,'R1. Scenario specifications'!$A$11:$A$49,0))</f>
        <v>Current 2DS, 2020 start, 'Expect the unexpceted' but with expensive renewables (cheap CCS)</v>
      </c>
      <c r="B242" s="3" t="s">
        <v>1026</v>
      </c>
      <c r="C242" s="3" t="s">
        <v>299</v>
      </c>
      <c r="D242" s="3" t="s">
        <v>324</v>
      </c>
      <c r="E242" s="14">
        <v>0</v>
      </c>
      <c r="F242" s="14">
        <v>0</v>
      </c>
      <c r="G242" s="14">
        <v>55.300000000000061</v>
      </c>
      <c r="H242" s="14">
        <v>554.60839476547449</v>
      </c>
      <c r="I242" s="14">
        <v>5376.4527948048708</v>
      </c>
      <c r="J242" s="14">
        <v>13208.699645291503</v>
      </c>
      <c r="K242" s="14">
        <v>18373.664422905025</v>
      </c>
      <c r="L242" s="14">
        <v>20251.831869111844</v>
      </c>
      <c r="M242" s="14">
        <v>25597.771314072284</v>
      </c>
      <c r="N242" s="14">
        <v>27067.5657414405</v>
      </c>
      <c r="O242" s="14">
        <v>29267.70990055221</v>
      </c>
    </row>
    <row r="243" spans="1:15" x14ac:dyDescent="0.3">
      <c r="A243" s="3" t="str">
        <f>INDEX('R1. Scenario specifications'!$C$11:$C$49,MATCH($B243,'R1. Scenario specifications'!$A$11:$A$49,0))</f>
        <v>Current 2DS, 2020 start, 'Expect the unexpceted' but with expensive renewables (cheap CCS)</v>
      </c>
      <c r="B243" s="3" t="s">
        <v>1026</v>
      </c>
      <c r="C243" s="3" t="s">
        <v>302</v>
      </c>
      <c r="D243" s="3" t="s">
        <v>326</v>
      </c>
      <c r="E243" s="14">
        <v>0</v>
      </c>
      <c r="F243" s="14">
        <v>0</v>
      </c>
      <c r="G243" s="14">
        <v>137.17533571710985</v>
      </c>
      <c r="H243" s="14">
        <v>434.2879403166063</v>
      </c>
      <c r="I243" s="14">
        <v>449.78650763164717</v>
      </c>
      <c r="J243" s="14">
        <v>719.45934911338031</v>
      </c>
      <c r="K243" s="14">
        <v>677.95038618700107</v>
      </c>
      <c r="L243" s="14">
        <v>777.42648592547619</v>
      </c>
      <c r="M243" s="14">
        <v>802.59976852013142</v>
      </c>
      <c r="N243" s="14">
        <v>856.89093409352404</v>
      </c>
      <c r="O243" s="14">
        <v>815.31075685048529</v>
      </c>
    </row>
    <row r="244" spans="1:15" x14ac:dyDescent="0.3">
      <c r="A244" s="3" t="str">
        <f>INDEX('R1. Scenario specifications'!$C$11:$C$49,MATCH($B244,'R1. Scenario specifications'!$A$11:$A$49,0))</f>
        <v>Current 2DS, 2020 start, 'Expect the unexpceted' but with expensive renewables (cheap CCS)</v>
      </c>
      <c r="B244" s="3" t="s">
        <v>1026</v>
      </c>
      <c r="C244" s="3" t="s">
        <v>300</v>
      </c>
      <c r="D244" s="3" t="s">
        <v>327</v>
      </c>
      <c r="E244" s="14">
        <v>3713.3499864076566</v>
      </c>
      <c r="F244" s="14">
        <v>9326.5813623263857</v>
      </c>
      <c r="G244" s="14">
        <v>16373.844252739889</v>
      </c>
      <c r="H244" s="14">
        <v>15824.889559779078</v>
      </c>
      <c r="I244" s="14">
        <v>12595.274769348718</v>
      </c>
      <c r="J244" s="14">
        <v>10895.910398941072</v>
      </c>
      <c r="K244" s="14">
        <v>7926.9929156310327</v>
      </c>
      <c r="L244" s="14">
        <v>8207.9047236292954</v>
      </c>
      <c r="M244" s="14">
        <v>5192.5919886828842</v>
      </c>
      <c r="N244" s="14">
        <v>5134.9755270470077</v>
      </c>
      <c r="O244" s="14">
        <v>4031.5337301208165</v>
      </c>
    </row>
    <row r="245" spans="1:15" x14ac:dyDescent="0.3">
      <c r="A245" s="3" t="str">
        <f>INDEX('R1. Scenario specifications'!$C$11:$C$49,MATCH($B245,'R1. Scenario specifications'!$A$11:$A$49,0))</f>
        <v>Current 2DS, 2020 start, 'Expect the unexpceted' but with expensive renewables (cheap CCS)</v>
      </c>
      <c r="B245" s="3" t="s">
        <v>1026</v>
      </c>
      <c r="C245" s="3" t="s">
        <v>301</v>
      </c>
      <c r="D245" s="3" t="s">
        <v>328</v>
      </c>
      <c r="E245" s="14">
        <v>0</v>
      </c>
      <c r="F245" s="14">
        <v>0</v>
      </c>
      <c r="G245" s="14">
        <v>94.260834870759595</v>
      </c>
      <c r="H245" s="14">
        <v>1491.3523921722713</v>
      </c>
      <c r="I245" s="14">
        <v>129.46968993238397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</row>
    <row r="246" spans="1:15" x14ac:dyDescent="0.3">
      <c r="A246" s="3" t="str">
        <f>INDEX('R1. Scenario specifications'!$C$11:$C$49,MATCH($B246,'R1. Scenario specifications'!$A$11:$A$49,0))</f>
        <v>Current 2DS, 2020 start, 'Expect the unexpceted' but with expensive renewables (cheap CCS)</v>
      </c>
      <c r="B246" s="3" t="s">
        <v>1026</v>
      </c>
      <c r="C246" s="3" t="s">
        <v>303</v>
      </c>
      <c r="D246" s="3" t="s">
        <v>329</v>
      </c>
      <c r="E246" s="14">
        <v>0</v>
      </c>
      <c r="F246" s="14">
        <v>0</v>
      </c>
      <c r="G246" s="14">
        <v>0</v>
      </c>
      <c r="H246" s="14">
        <v>3086.9516982581117</v>
      </c>
      <c r="I246" s="14">
        <v>1249.9949533561271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</row>
    <row r="247" spans="1:15" x14ac:dyDescent="0.3">
      <c r="A247" s="3" t="str">
        <f>INDEX('R1. Scenario specifications'!$C$11:$C$49,MATCH($B247,'R1. Scenario specifications'!$A$11:$A$49,0))</f>
        <v>Current 2DS, 2030 start, 'Expect the Unexpected' but with cheap renewables</v>
      </c>
      <c r="B247" s="3" t="s">
        <v>44</v>
      </c>
      <c r="C247" s="3" t="s">
        <v>298</v>
      </c>
      <c r="D247" s="3" t="s">
        <v>325</v>
      </c>
      <c r="E247" s="14">
        <v>5.283714066875322</v>
      </c>
      <c r="F247" s="14">
        <v>40.935839939176851</v>
      </c>
      <c r="G247" s="14">
        <v>1010.9701631029815</v>
      </c>
      <c r="H247" s="14">
        <v>1524.3877289706661</v>
      </c>
      <c r="I247" s="14">
        <v>1813.4600978108815</v>
      </c>
      <c r="J247" s="14">
        <v>1980.9656480406313</v>
      </c>
      <c r="K247" s="14">
        <v>849.14179743540706</v>
      </c>
      <c r="L247" s="14">
        <v>648.30815970961419</v>
      </c>
      <c r="M247" s="14">
        <v>324.12672140312634</v>
      </c>
      <c r="N247" s="14">
        <v>808.35780405352762</v>
      </c>
      <c r="O247" s="14">
        <v>1608.9616261864498</v>
      </c>
    </row>
    <row r="248" spans="1:15" x14ac:dyDescent="0.3">
      <c r="A248" s="3" t="str">
        <f>INDEX('R1. Scenario specifications'!$C$11:$C$49,MATCH($B248,'R1. Scenario specifications'!$A$11:$A$49,0))</f>
        <v>Current 2DS, 2030 start, 'Expect the Unexpected' but with cheap renewables</v>
      </c>
      <c r="B248" s="3" t="s">
        <v>44</v>
      </c>
      <c r="C248" s="3" t="s">
        <v>299</v>
      </c>
      <c r="D248" s="3" t="s">
        <v>324</v>
      </c>
      <c r="E248" s="14">
        <v>0</v>
      </c>
      <c r="F248" s="14">
        <v>0</v>
      </c>
      <c r="G248" s="14">
        <v>55.300000000000061</v>
      </c>
      <c r="H248" s="14">
        <v>511.41867088878001</v>
      </c>
      <c r="I248" s="14">
        <v>5103.8901350274746</v>
      </c>
      <c r="J248" s="14">
        <v>12977.476735202006</v>
      </c>
      <c r="K248" s="14">
        <v>18071.993343048849</v>
      </c>
      <c r="L248" s="14">
        <v>20247.882075138241</v>
      </c>
      <c r="M248" s="14">
        <v>24340.090185945206</v>
      </c>
      <c r="N248" s="14">
        <v>26702.844358341274</v>
      </c>
      <c r="O248" s="14">
        <v>29274.984309215484</v>
      </c>
    </row>
    <row r="249" spans="1:15" x14ac:dyDescent="0.3">
      <c r="A249" s="3" t="str">
        <f>INDEX('R1. Scenario specifications'!$C$11:$C$49,MATCH($B249,'R1. Scenario specifications'!$A$11:$A$49,0))</f>
        <v>Current 2DS, 2030 start, 'Expect the Unexpected' but with cheap renewables</v>
      </c>
      <c r="B249" s="3" t="s">
        <v>44</v>
      </c>
      <c r="C249" s="3" t="s">
        <v>302</v>
      </c>
      <c r="D249" s="3" t="s">
        <v>326</v>
      </c>
      <c r="E249" s="14">
        <v>0</v>
      </c>
      <c r="F249" s="14">
        <v>0</v>
      </c>
      <c r="G249" s="14">
        <v>137.17533571710985</v>
      </c>
      <c r="H249" s="14">
        <v>435.43586128689685</v>
      </c>
      <c r="I249" s="14">
        <v>449.03699565287229</v>
      </c>
      <c r="J249" s="14">
        <v>719.82022097472611</v>
      </c>
      <c r="K249" s="14">
        <v>673.48306434827145</v>
      </c>
      <c r="L249" s="14">
        <v>766.20402551935581</v>
      </c>
      <c r="M249" s="14">
        <v>796.27204048250394</v>
      </c>
      <c r="N249" s="14">
        <v>862.43407775809828</v>
      </c>
      <c r="O249" s="14">
        <v>915.78862125152909</v>
      </c>
    </row>
    <row r="250" spans="1:15" x14ac:dyDescent="0.3">
      <c r="A250" s="3" t="str">
        <f>INDEX('R1. Scenario specifications'!$C$11:$C$49,MATCH($B250,'R1. Scenario specifications'!$A$11:$A$49,0))</f>
        <v>Current 2DS, 2030 start, 'Expect the Unexpected' but with cheap renewables</v>
      </c>
      <c r="B250" s="3" t="s">
        <v>44</v>
      </c>
      <c r="C250" s="3" t="s">
        <v>300</v>
      </c>
      <c r="D250" s="3" t="s">
        <v>327</v>
      </c>
      <c r="E250" s="14">
        <v>3713.3499864076566</v>
      </c>
      <c r="F250" s="14">
        <v>9326.5813623263857</v>
      </c>
      <c r="G250" s="14">
        <v>16373.844252739889</v>
      </c>
      <c r="H250" s="14">
        <v>15585.649202815215</v>
      </c>
      <c r="I250" s="14">
        <v>12775.816421093416</v>
      </c>
      <c r="J250" s="14">
        <v>11483.342745631084</v>
      </c>
      <c r="K250" s="14">
        <v>8400.8831926579223</v>
      </c>
      <c r="L250" s="14">
        <v>8792.4893421692832</v>
      </c>
      <c r="M250" s="14">
        <v>6722.9612347293578</v>
      </c>
      <c r="N250" s="14">
        <v>5542.277851250954</v>
      </c>
      <c r="O250" s="14">
        <v>4375.2184224384364</v>
      </c>
    </row>
    <row r="251" spans="1:15" x14ac:dyDescent="0.3">
      <c r="A251" s="3" t="str">
        <f>INDEX('R1. Scenario specifications'!$C$11:$C$49,MATCH($B251,'R1. Scenario specifications'!$A$11:$A$49,0))</f>
        <v>Current 2DS, 2030 start, 'Expect the Unexpected' but with cheap renewables</v>
      </c>
      <c r="B251" s="3" t="s">
        <v>44</v>
      </c>
      <c r="C251" s="3" t="s">
        <v>301</v>
      </c>
      <c r="D251" s="3" t="s">
        <v>328</v>
      </c>
      <c r="E251" s="14">
        <v>0</v>
      </c>
      <c r="F251" s="14">
        <v>0</v>
      </c>
      <c r="G251" s="14">
        <v>94.260834870759595</v>
      </c>
      <c r="H251" s="14">
        <v>1599.9746126235134</v>
      </c>
      <c r="I251" s="14">
        <v>143.89356827993441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</row>
    <row r="252" spans="1:15" x14ac:dyDescent="0.3">
      <c r="A252" s="3" t="str">
        <f>INDEX('R1. Scenario specifications'!$C$11:$C$49,MATCH($B252,'R1. Scenario specifications'!$A$11:$A$49,0))</f>
        <v>Current 2DS, 2030 start, 'Expect the Unexpected' but with cheap renewables</v>
      </c>
      <c r="B252" s="3" t="s">
        <v>44</v>
      </c>
      <c r="C252" s="3" t="s">
        <v>303</v>
      </c>
      <c r="D252" s="3" t="s">
        <v>329</v>
      </c>
      <c r="E252" s="14">
        <v>0</v>
      </c>
      <c r="F252" s="14">
        <v>0</v>
      </c>
      <c r="G252" s="14">
        <v>0</v>
      </c>
      <c r="H252" s="14">
        <v>3040.2453409136619</v>
      </c>
      <c r="I252" s="14">
        <v>1459.905986230048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</row>
    <row r="253" spans="1:15" x14ac:dyDescent="0.3">
      <c r="A253" s="3" t="str">
        <f>INDEX('R1. Scenario specifications'!$C$11:$C$49,MATCH($B253,'R1. Scenario specifications'!$A$11:$A$49,0))</f>
        <v>Current 2DS, 2020 start, 'Expect the Unexpected' but with cheap CCS</v>
      </c>
      <c r="B253" s="3" t="s">
        <v>45</v>
      </c>
      <c r="C253" s="3" t="s">
        <v>298</v>
      </c>
      <c r="D253" s="3" t="s">
        <v>325</v>
      </c>
      <c r="E253" s="14">
        <v>5.283714066875322</v>
      </c>
      <c r="F253" s="14">
        <v>40.935839939176851</v>
      </c>
      <c r="G253" s="14">
        <v>1010.9701631029815</v>
      </c>
      <c r="H253" s="14">
        <v>1250.3938126110322</v>
      </c>
      <c r="I253" s="14">
        <v>1913.7313908103406</v>
      </c>
      <c r="J253" s="14">
        <v>2351.897061872658</v>
      </c>
      <c r="K253" s="14">
        <v>1063.5636591125501</v>
      </c>
      <c r="L253" s="14">
        <v>394.59608399332564</v>
      </c>
      <c r="M253" s="14">
        <v>295.73857740833051</v>
      </c>
      <c r="N253" s="14">
        <v>739.21614184704515</v>
      </c>
      <c r="O253" s="14">
        <v>1470.2989356775761</v>
      </c>
    </row>
    <row r="254" spans="1:15" x14ac:dyDescent="0.3">
      <c r="A254" s="3" t="str">
        <f>INDEX('R1. Scenario specifications'!$C$11:$C$49,MATCH($B254,'R1. Scenario specifications'!$A$11:$A$49,0))</f>
        <v>Current 2DS, 2020 start, 'Expect the Unexpected' but with cheap CCS</v>
      </c>
      <c r="B254" s="3" t="s">
        <v>45</v>
      </c>
      <c r="C254" s="3" t="s">
        <v>299</v>
      </c>
      <c r="D254" s="3" t="s">
        <v>324</v>
      </c>
      <c r="E254" s="14">
        <v>0</v>
      </c>
      <c r="F254" s="14">
        <v>0</v>
      </c>
      <c r="G254" s="14">
        <v>55.300000000000061</v>
      </c>
      <c r="H254" s="14">
        <v>554.62990308928306</v>
      </c>
      <c r="I254" s="14">
        <v>5376.6565809822914</v>
      </c>
      <c r="J254" s="14">
        <v>13210.758876831553</v>
      </c>
      <c r="K254" s="14">
        <v>18317.431369451999</v>
      </c>
      <c r="L254" s="14">
        <v>20233.832732844756</v>
      </c>
      <c r="M254" s="14">
        <v>23805.815824527876</v>
      </c>
      <c r="N254" s="14">
        <v>26729.240238272403</v>
      </c>
      <c r="O254" s="14">
        <v>29249.011067196567</v>
      </c>
    </row>
    <row r="255" spans="1:15" x14ac:dyDescent="0.3">
      <c r="A255" s="3" t="str">
        <f>INDEX('R1. Scenario specifications'!$C$11:$C$49,MATCH($B255,'R1. Scenario specifications'!$A$11:$A$49,0))</f>
        <v>Current 2DS, 2020 start, 'Expect the Unexpected' but with cheap CCS</v>
      </c>
      <c r="B255" s="3" t="s">
        <v>45</v>
      </c>
      <c r="C255" s="3" t="s">
        <v>302</v>
      </c>
      <c r="D255" s="3" t="s">
        <v>326</v>
      </c>
      <c r="E255" s="14">
        <v>0</v>
      </c>
      <c r="F255" s="14">
        <v>0</v>
      </c>
      <c r="G255" s="14">
        <v>137.17533571710985</v>
      </c>
      <c r="H255" s="14">
        <v>434.28794031660675</v>
      </c>
      <c r="I255" s="14">
        <v>449.78650763164637</v>
      </c>
      <c r="J255" s="14">
        <v>720.33405755567424</v>
      </c>
      <c r="K255" s="14">
        <v>685.19768021699338</v>
      </c>
      <c r="L255" s="14">
        <v>761.21697447220686</v>
      </c>
      <c r="M255" s="14">
        <v>798.62271446384193</v>
      </c>
      <c r="N255" s="14">
        <v>864.2287024756323</v>
      </c>
      <c r="O255" s="14">
        <v>916.19283484077823</v>
      </c>
    </row>
    <row r="256" spans="1:15" x14ac:dyDescent="0.3">
      <c r="A256" s="3" t="str">
        <f>INDEX('R1. Scenario specifications'!$C$11:$C$49,MATCH($B256,'R1. Scenario specifications'!$A$11:$A$49,0))</f>
        <v>Current 2DS, 2020 start, 'Expect the Unexpected' but with cheap CCS</v>
      </c>
      <c r="B256" s="3" t="s">
        <v>45</v>
      </c>
      <c r="C256" s="3" t="s">
        <v>300</v>
      </c>
      <c r="D256" s="3" t="s">
        <v>327</v>
      </c>
      <c r="E256" s="14">
        <v>3713.3499864076566</v>
      </c>
      <c r="F256" s="14">
        <v>9326.5813623263857</v>
      </c>
      <c r="G256" s="14">
        <v>16373.844252739889</v>
      </c>
      <c r="H256" s="14">
        <v>15822.09962253692</v>
      </c>
      <c r="I256" s="14">
        <v>12643.737015981385</v>
      </c>
      <c r="J256" s="14">
        <v>10898.184892432908</v>
      </c>
      <c r="K256" s="14">
        <v>8215.6028650086628</v>
      </c>
      <c r="L256" s="14">
        <v>8995.269321455884</v>
      </c>
      <c r="M256" s="14">
        <v>7301.5068812086975</v>
      </c>
      <c r="N256" s="14">
        <v>5685.0480538795973</v>
      </c>
      <c r="O256" s="14">
        <v>4568.8207725131533</v>
      </c>
    </row>
    <row r="257" spans="1:15" x14ac:dyDescent="0.3">
      <c r="A257" s="3" t="str">
        <f>INDEX('R1. Scenario specifications'!$C$11:$C$49,MATCH($B257,'R1. Scenario specifications'!$A$11:$A$49,0))</f>
        <v>Current 2DS, 2020 start, 'Expect the Unexpected' but with cheap CCS</v>
      </c>
      <c r="B257" s="3" t="s">
        <v>45</v>
      </c>
      <c r="C257" s="3" t="s">
        <v>301</v>
      </c>
      <c r="D257" s="3" t="s">
        <v>328</v>
      </c>
      <c r="E257" s="14">
        <v>0</v>
      </c>
      <c r="F257" s="14">
        <v>0</v>
      </c>
      <c r="G257" s="14">
        <v>94.260834870759595</v>
      </c>
      <c r="H257" s="14">
        <v>1596.4148336513342</v>
      </c>
      <c r="I257" s="14">
        <v>129.46968993238397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</row>
    <row r="258" spans="1:15" x14ac:dyDescent="0.3">
      <c r="A258" s="3" t="str">
        <f>INDEX('R1. Scenario specifications'!$C$11:$C$49,MATCH($B258,'R1. Scenario specifications'!$A$11:$A$49,0))</f>
        <v>Current 2DS, 2020 start, 'Expect the Unexpected' but with cheap CCS</v>
      </c>
      <c r="B258" s="3" t="s">
        <v>45</v>
      </c>
      <c r="C258" s="3" t="s">
        <v>303</v>
      </c>
      <c r="D258" s="3" t="s">
        <v>329</v>
      </c>
      <c r="E258" s="14">
        <v>0</v>
      </c>
      <c r="F258" s="14">
        <v>0</v>
      </c>
      <c r="G258" s="14">
        <v>0</v>
      </c>
      <c r="H258" s="14">
        <v>2981.889256779049</v>
      </c>
      <c r="I258" s="14">
        <v>1249.9949533561271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</row>
    <row r="259" spans="1:15" x14ac:dyDescent="0.3">
      <c r="A259" s="3" t="str">
        <f>INDEX('R1. Scenario specifications'!$C$11:$C$49,MATCH($B259,'R1. Scenario specifications'!$A$11:$A$49,0))</f>
        <v>Current 2DS, 2030 start, 'Expect the Unexpected' but with cheap CCS</v>
      </c>
      <c r="B259" s="3" t="s">
        <v>46</v>
      </c>
      <c r="C259" s="3" t="s">
        <v>298</v>
      </c>
      <c r="D259" s="3" t="s">
        <v>325</v>
      </c>
      <c r="E259" s="14">
        <v>5.283714066875322</v>
      </c>
      <c r="F259" s="14">
        <v>40.935839939176851</v>
      </c>
      <c r="G259" s="14">
        <v>1010.9701631029815</v>
      </c>
      <c r="H259" s="14">
        <v>1524.3877289706661</v>
      </c>
      <c r="I259" s="14">
        <v>1814.1615937497345</v>
      </c>
      <c r="J259" s="14">
        <v>1988.8280093051553</v>
      </c>
      <c r="K259" s="14">
        <v>933.55903251058146</v>
      </c>
      <c r="L259" s="14">
        <v>598.78659468925719</v>
      </c>
      <c r="M259" s="14">
        <v>416.6215232590896</v>
      </c>
      <c r="N259" s="14">
        <v>784.02756580997016</v>
      </c>
      <c r="O259" s="14">
        <v>1623.4301596962937</v>
      </c>
    </row>
    <row r="260" spans="1:15" x14ac:dyDescent="0.3">
      <c r="A260" s="3" t="str">
        <f>INDEX('R1. Scenario specifications'!$C$11:$C$49,MATCH($B260,'R1. Scenario specifications'!$A$11:$A$49,0))</f>
        <v>Current 2DS, 2030 start, 'Expect the Unexpected' but with cheap CCS</v>
      </c>
      <c r="B260" s="3" t="s">
        <v>46</v>
      </c>
      <c r="C260" s="3" t="s">
        <v>299</v>
      </c>
      <c r="D260" s="3" t="s">
        <v>324</v>
      </c>
      <c r="E260" s="14">
        <v>0</v>
      </c>
      <c r="F260" s="14">
        <v>0</v>
      </c>
      <c r="G260" s="14">
        <v>55.300000000000061</v>
      </c>
      <c r="H260" s="14">
        <v>511.41867088878001</v>
      </c>
      <c r="I260" s="14">
        <v>5103.8901350274746</v>
      </c>
      <c r="J260" s="14">
        <v>12977.476735202006</v>
      </c>
      <c r="K260" s="14">
        <v>18088.889950606761</v>
      </c>
      <c r="L260" s="14">
        <v>20394.576593324578</v>
      </c>
      <c r="M260" s="14">
        <v>24594.111631092157</v>
      </c>
      <c r="N260" s="14">
        <v>26664.047266873764</v>
      </c>
      <c r="O260" s="14">
        <v>29311.70006872854</v>
      </c>
    </row>
    <row r="261" spans="1:15" x14ac:dyDescent="0.3">
      <c r="A261" s="3" t="str">
        <f>INDEX('R1. Scenario specifications'!$C$11:$C$49,MATCH($B261,'R1. Scenario specifications'!$A$11:$A$49,0))</f>
        <v>Current 2DS, 2030 start, 'Expect the Unexpected' but with cheap CCS</v>
      </c>
      <c r="B261" s="3" t="s">
        <v>46</v>
      </c>
      <c r="C261" s="3" t="s">
        <v>302</v>
      </c>
      <c r="D261" s="3" t="s">
        <v>326</v>
      </c>
      <c r="E261" s="14">
        <v>0</v>
      </c>
      <c r="F261" s="14">
        <v>0</v>
      </c>
      <c r="G261" s="14">
        <v>137.17533571710985</v>
      </c>
      <c r="H261" s="14">
        <v>435.43586128689685</v>
      </c>
      <c r="I261" s="14">
        <v>449.14288322469247</v>
      </c>
      <c r="J261" s="14">
        <v>719.82022097472702</v>
      </c>
      <c r="K261" s="14">
        <v>674.07332889474299</v>
      </c>
      <c r="L261" s="14">
        <v>765.37615920090366</v>
      </c>
      <c r="M261" s="14">
        <v>796.65645028698725</v>
      </c>
      <c r="N261" s="14">
        <v>860.53683216321883</v>
      </c>
      <c r="O261" s="14">
        <v>898.21117763592235</v>
      </c>
    </row>
    <row r="262" spans="1:15" x14ac:dyDescent="0.3">
      <c r="A262" s="3" t="str">
        <f>INDEX('R1. Scenario specifications'!$C$11:$C$49,MATCH($B262,'R1. Scenario specifications'!$A$11:$A$49,0))</f>
        <v>Current 2DS, 2030 start, 'Expect the Unexpected' but with cheap CCS</v>
      </c>
      <c r="B262" s="3" t="s">
        <v>46</v>
      </c>
      <c r="C262" s="3" t="s">
        <v>300</v>
      </c>
      <c r="D262" s="3" t="s">
        <v>327</v>
      </c>
      <c r="E262" s="14">
        <v>3713.3499864076566</v>
      </c>
      <c r="F262" s="14">
        <v>9326.5813623263857</v>
      </c>
      <c r="G262" s="14">
        <v>16373.844252739889</v>
      </c>
      <c r="H262" s="14">
        <v>15585.649202815215</v>
      </c>
      <c r="I262" s="14">
        <v>12775.114925154559</v>
      </c>
      <c r="J262" s="14">
        <v>11475.898696623381</v>
      </c>
      <c r="K262" s="14">
        <v>8313.4793878473574</v>
      </c>
      <c r="L262" s="14">
        <v>8672.2435471759509</v>
      </c>
      <c r="M262" s="14">
        <v>6383.1879090238444</v>
      </c>
      <c r="N262" s="14">
        <v>5538.0105782941946</v>
      </c>
      <c r="O262" s="14">
        <v>4349.920355224479</v>
      </c>
    </row>
    <row r="263" spans="1:15" x14ac:dyDescent="0.3">
      <c r="A263" s="3" t="str">
        <f>INDEX('R1. Scenario specifications'!$C$11:$C$49,MATCH($B263,'R1. Scenario specifications'!$A$11:$A$49,0))</f>
        <v>Current 2DS, 2030 start, 'Expect the Unexpected' but with cheap CCS</v>
      </c>
      <c r="B263" s="3" t="s">
        <v>46</v>
      </c>
      <c r="C263" s="3" t="s">
        <v>301</v>
      </c>
      <c r="D263" s="3" t="s">
        <v>328</v>
      </c>
      <c r="E263" s="14">
        <v>0</v>
      </c>
      <c r="F263" s="14">
        <v>0</v>
      </c>
      <c r="G263" s="14">
        <v>94.260834870759595</v>
      </c>
      <c r="H263" s="14">
        <v>1599.9746126235134</v>
      </c>
      <c r="I263" s="14">
        <v>143.78768070811429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</row>
    <row r="264" spans="1:15" x14ac:dyDescent="0.3">
      <c r="A264" s="3" t="str">
        <f>INDEX('R1. Scenario specifications'!$C$11:$C$49,MATCH($B264,'R1. Scenario specifications'!$A$11:$A$49,0))</f>
        <v>Current 2DS, 2030 start, 'Expect the Unexpected' but with cheap CCS</v>
      </c>
      <c r="B264" s="3" t="s">
        <v>46</v>
      </c>
      <c r="C264" s="3" t="s">
        <v>303</v>
      </c>
      <c r="D264" s="3" t="s">
        <v>329</v>
      </c>
      <c r="E264" s="14">
        <v>0</v>
      </c>
      <c r="F264" s="14">
        <v>0</v>
      </c>
      <c r="G264" s="14">
        <v>0</v>
      </c>
      <c r="H264" s="14">
        <v>3040.2453409136619</v>
      </c>
      <c r="I264" s="14">
        <v>1459.905986230048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</row>
    <row r="265" spans="1:15" x14ac:dyDescent="0.3">
      <c r="A265" s="3" t="str">
        <f>INDEX('R1. Scenario specifications'!$C$11:$C$49,MATCH($B265,'R1. Scenario specifications'!$A$11:$A$49,0))</f>
        <v>Current 2DS, 2020 start, 'Expect the Unexpected' but with cheap EVs</v>
      </c>
      <c r="B265" s="3" t="s">
        <v>47</v>
      </c>
      <c r="C265" s="3" t="s">
        <v>298</v>
      </c>
      <c r="D265" s="3" t="s">
        <v>325</v>
      </c>
      <c r="E265" s="14">
        <v>5.283714066875322</v>
      </c>
      <c r="F265" s="14">
        <v>40.935839939176851</v>
      </c>
      <c r="G265" s="14">
        <v>1010.9701631029815</v>
      </c>
      <c r="H265" s="14">
        <v>402.91224952413654</v>
      </c>
      <c r="I265" s="14">
        <v>1250.9667127201283</v>
      </c>
      <c r="J265" s="14">
        <v>2131.822812314284</v>
      </c>
      <c r="K265" s="14">
        <v>725.96095998836688</v>
      </c>
      <c r="L265" s="14">
        <v>322.38455141325386</v>
      </c>
      <c r="M265" s="14">
        <v>261.24076474289552</v>
      </c>
      <c r="N265" s="14">
        <v>708.8313826285505</v>
      </c>
      <c r="O265" s="14">
        <v>1424.8285626982904</v>
      </c>
    </row>
    <row r="266" spans="1:15" x14ac:dyDescent="0.3">
      <c r="A266" s="3" t="str">
        <f>INDEX('R1. Scenario specifications'!$C$11:$C$49,MATCH($B266,'R1. Scenario specifications'!$A$11:$A$49,0))</f>
        <v>Current 2DS, 2020 start, 'Expect the Unexpected' but with cheap EVs</v>
      </c>
      <c r="B266" s="3" t="s">
        <v>47</v>
      </c>
      <c r="C266" s="3" t="s">
        <v>299</v>
      </c>
      <c r="D266" s="3" t="s">
        <v>324</v>
      </c>
      <c r="E266" s="14">
        <v>0</v>
      </c>
      <c r="F266" s="14">
        <v>0</v>
      </c>
      <c r="G266" s="14">
        <v>55.300000000000061</v>
      </c>
      <c r="H266" s="14">
        <v>556.30200902740012</v>
      </c>
      <c r="I266" s="14">
        <v>5433.1758045938686</v>
      </c>
      <c r="J266" s="14">
        <v>14168.197314273157</v>
      </c>
      <c r="K266" s="14">
        <v>21295.567447227604</v>
      </c>
      <c r="L266" s="14">
        <v>25804.530537763214</v>
      </c>
      <c r="M266" s="14">
        <v>27471.91124858132</v>
      </c>
      <c r="N266" s="14">
        <v>29283.901481742392</v>
      </c>
      <c r="O266" s="14">
        <v>31704.94124976105</v>
      </c>
    </row>
    <row r="267" spans="1:15" x14ac:dyDescent="0.3">
      <c r="A267" s="3" t="str">
        <f>INDEX('R1. Scenario specifications'!$C$11:$C$49,MATCH($B267,'R1. Scenario specifications'!$A$11:$A$49,0))</f>
        <v>Current 2DS, 2020 start, 'Expect the Unexpected' but with cheap EVs</v>
      </c>
      <c r="B267" s="3" t="s">
        <v>47</v>
      </c>
      <c r="C267" s="3" t="s">
        <v>302</v>
      </c>
      <c r="D267" s="3" t="s">
        <v>326</v>
      </c>
      <c r="E267" s="14">
        <v>0</v>
      </c>
      <c r="F267" s="14">
        <v>0</v>
      </c>
      <c r="G267" s="14">
        <v>137.17533571710985</v>
      </c>
      <c r="H267" s="14">
        <v>452.7644458154648</v>
      </c>
      <c r="I267" s="14">
        <v>476.75897389249371</v>
      </c>
      <c r="J267" s="14">
        <v>741.50026413507601</v>
      </c>
      <c r="K267" s="14">
        <v>727.69902876174729</v>
      </c>
      <c r="L267" s="14">
        <v>807.40232240094201</v>
      </c>
      <c r="M267" s="14">
        <v>842.02098887642705</v>
      </c>
      <c r="N267" s="14">
        <v>827.62631100875774</v>
      </c>
      <c r="O267" s="14">
        <v>725.50704204384192</v>
      </c>
    </row>
    <row r="268" spans="1:15" x14ac:dyDescent="0.3">
      <c r="A268" s="3" t="str">
        <f>INDEX('R1. Scenario specifications'!$C$11:$C$49,MATCH($B268,'R1. Scenario specifications'!$A$11:$A$49,0))</f>
        <v>Current 2DS, 2020 start, 'Expect the Unexpected' but with cheap EVs</v>
      </c>
      <c r="B268" s="3" t="s">
        <v>47</v>
      </c>
      <c r="C268" s="3" t="s">
        <v>300</v>
      </c>
      <c r="D268" s="3" t="s">
        <v>327</v>
      </c>
      <c r="E268" s="14">
        <v>3713.3499864076566</v>
      </c>
      <c r="F268" s="14">
        <v>9326.5813623263857</v>
      </c>
      <c r="G268" s="14">
        <v>16373.844252739889</v>
      </c>
      <c r="H268" s="14">
        <v>3232.8910122960378</v>
      </c>
      <c r="I268" s="14">
        <v>2835.7085127563382</v>
      </c>
      <c r="J268" s="14">
        <v>2726.1134355012464</v>
      </c>
      <c r="K268" s="14">
        <v>4266.2975898223813</v>
      </c>
      <c r="L268" s="14">
        <v>5082.9803317756359</v>
      </c>
      <c r="M268" s="14">
        <v>5326.8990017759861</v>
      </c>
      <c r="N268" s="14">
        <v>5157.959976237943</v>
      </c>
      <c r="O268" s="14">
        <v>4635.6258301206408</v>
      </c>
    </row>
    <row r="269" spans="1:15" x14ac:dyDescent="0.3">
      <c r="A269" s="3" t="str">
        <f>INDEX('R1. Scenario specifications'!$C$11:$C$49,MATCH($B269,'R1. Scenario specifications'!$A$11:$A$49,0))</f>
        <v>Current 2DS, 2020 start, 'Expect the Unexpected' but with cheap EVs</v>
      </c>
      <c r="B269" s="3" t="s">
        <v>47</v>
      </c>
      <c r="C269" s="3" t="s">
        <v>301</v>
      </c>
      <c r="D269" s="3" t="s">
        <v>328</v>
      </c>
      <c r="E269" s="14">
        <v>0</v>
      </c>
      <c r="F269" s="14">
        <v>0</v>
      </c>
      <c r="G269" s="14">
        <v>94.260834870759595</v>
      </c>
      <c r="H269" s="14">
        <v>4960.2093337062497</v>
      </c>
      <c r="I269" s="14">
        <v>2623.8029503258927</v>
      </c>
      <c r="J269" s="14">
        <v>453.12609001667789</v>
      </c>
      <c r="K269" s="14">
        <v>7.3542815538133599</v>
      </c>
      <c r="L269" s="14">
        <v>210.32327858392742</v>
      </c>
      <c r="M269" s="14">
        <v>117.92882620086115</v>
      </c>
      <c r="N269" s="14">
        <v>128.56903223889924</v>
      </c>
      <c r="O269" s="14">
        <v>0</v>
      </c>
    </row>
    <row r="270" spans="1:15" x14ac:dyDescent="0.3">
      <c r="A270" s="3" t="str">
        <f>INDEX('R1. Scenario specifications'!$C$11:$C$49,MATCH($B270,'R1. Scenario specifications'!$A$11:$A$49,0))</f>
        <v>Current 2DS, 2020 start, 'Expect the Unexpected' but with cheap EVs</v>
      </c>
      <c r="B270" s="3" t="s">
        <v>47</v>
      </c>
      <c r="C270" s="3" t="s">
        <v>303</v>
      </c>
      <c r="D270" s="3" t="s">
        <v>329</v>
      </c>
      <c r="E270" s="14">
        <v>0</v>
      </c>
      <c r="F270" s="14">
        <v>0</v>
      </c>
      <c r="G270" s="14">
        <v>0</v>
      </c>
      <c r="H270" s="14">
        <v>13810.919368588373</v>
      </c>
      <c r="I270" s="14">
        <v>9663.4222039689375</v>
      </c>
      <c r="J270" s="14">
        <v>7963.7176091315378</v>
      </c>
      <c r="K270" s="14">
        <v>2363.5687823977501</v>
      </c>
      <c r="L270" s="14">
        <v>0</v>
      </c>
      <c r="M270" s="14">
        <v>0</v>
      </c>
      <c r="N270" s="14">
        <v>0</v>
      </c>
      <c r="O270" s="14">
        <v>0</v>
      </c>
    </row>
    <row r="271" spans="1:15" x14ac:dyDescent="0.3">
      <c r="A271" s="3" t="str">
        <f>INDEX('R1. Scenario specifications'!$C$11:$C$49,MATCH($B271,'R1. Scenario specifications'!$A$11:$A$49,0))</f>
        <v>Current 2DS, 2030 start, 'Expect the Unexpected' but with cheap EVs</v>
      </c>
      <c r="B271" s="3" t="s">
        <v>48</v>
      </c>
      <c r="C271" s="3" t="s">
        <v>298</v>
      </c>
      <c r="D271" s="3" t="s">
        <v>325</v>
      </c>
      <c r="E271" s="14">
        <v>5.283714066875322</v>
      </c>
      <c r="F271" s="14">
        <v>40.935839939176851</v>
      </c>
      <c r="G271" s="14">
        <v>1010.9701631029815</v>
      </c>
      <c r="H271" s="14">
        <v>1524.3877289706661</v>
      </c>
      <c r="I271" s="14">
        <v>1227.0732388209492</v>
      </c>
      <c r="J271" s="14">
        <v>1839.7000260127386</v>
      </c>
      <c r="K271" s="14">
        <v>893.30771219087433</v>
      </c>
      <c r="L271" s="14">
        <v>363.28928990208294</v>
      </c>
      <c r="M271" s="14">
        <v>335.22237514772894</v>
      </c>
      <c r="N271" s="14">
        <v>767.35596839656557</v>
      </c>
      <c r="O271" s="14">
        <v>1575.4903997304207</v>
      </c>
    </row>
    <row r="272" spans="1:15" x14ac:dyDescent="0.3">
      <c r="A272" s="3" t="str">
        <f>INDEX('R1. Scenario specifications'!$C$11:$C$49,MATCH($B272,'R1. Scenario specifications'!$A$11:$A$49,0))</f>
        <v>Current 2DS, 2030 start, 'Expect the Unexpected' but with cheap EVs</v>
      </c>
      <c r="B272" s="3" t="s">
        <v>48</v>
      </c>
      <c r="C272" s="3" t="s">
        <v>299</v>
      </c>
      <c r="D272" s="3" t="s">
        <v>324</v>
      </c>
      <c r="E272" s="14">
        <v>0</v>
      </c>
      <c r="F272" s="14">
        <v>0</v>
      </c>
      <c r="G272" s="14">
        <v>55.300000000000061</v>
      </c>
      <c r="H272" s="14">
        <v>511.41867088878001</v>
      </c>
      <c r="I272" s="14">
        <v>5155.7554974541763</v>
      </c>
      <c r="J272" s="14">
        <v>13538.559641116377</v>
      </c>
      <c r="K272" s="14">
        <v>19068.179256953292</v>
      </c>
      <c r="L272" s="14">
        <v>22590.3000153053</v>
      </c>
      <c r="M272" s="14">
        <v>27066.30552394774</v>
      </c>
      <c r="N272" s="14">
        <v>28673.0897017963</v>
      </c>
      <c r="O272" s="14">
        <v>30912.976016913381</v>
      </c>
    </row>
    <row r="273" spans="1:15" x14ac:dyDescent="0.3">
      <c r="A273" s="3" t="str">
        <f>INDEX('R1. Scenario specifications'!$C$11:$C$49,MATCH($B273,'R1. Scenario specifications'!$A$11:$A$49,0))</f>
        <v>Current 2DS, 2030 start, 'Expect the Unexpected' but with cheap EVs</v>
      </c>
      <c r="B273" s="3" t="s">
        <v>48</v>
      </c>
      <c r="C273" s="3" t="s">
        <v>302</v>
      </c>
      <c r="D273" s="3" t="s">
        <v>326</v>
      </c>
      <c r="E273" s="14">
        <v>0</v>
      </c>
      <c r="F273" s="14">
        <v>0</v>
      </c>
      <c r="G273" s="14">
        <v>137.17533571710985</v>
      </c>
      <c r="H273" s="14">
        <v>435.43586128689685</v>
      </c>
      <c r="I273" s="14">
        <v>475.95973294377211</v>
      </c>
      <c r="J273" s="14">
        <v>729.0905469182353</v>
      </c>
      <c r="K273" s="14">
        <v>712.83613793773213</v>
      </c>
      <c r="L273" s="14">
        <v>785.24086103629395</v>
      </c>
      <c r="M273" s="14">
        <v>833.35272035827052</v>
      </c>
      <c r="N273" s="14">
        <v>808.08373920924464</v>
      </c>
      <c r="O273" s="14">
        <v>877.53059282934294</v>
      </c>
    </row>
    <row r="274" spans="1:15" x14ac:dyDescent="0.3">
      <c r="A274" s="3" t="str">
        <f>INDEX('R1. Scenario specifications'!$C$11:$C$49,MATCH($B274,'R1. Scenario specifications'!$A$11:$A$49,0))</f>
        <v>Current 2DS, 2030 start, 'Expect the Unexpected' but with cheap EVs</v>
      </c>
      <c r="B274" s="3" t="s">
        <v>48</v>
      </c>
      <c r="C274" s="3" t="s">
        <v>300</v>
      </c>
      <c r="D274" s="3" t="s">
        <v>327</v>
      </c>
      <c r="E274" s="14">
        <v>3713.3499864076566</v>
      </c>
      <c r="F274" s="14">
        <v>9326.5813623263857</v>
      </c>
      <c r="G274" s="14">
        <v>16373.844252739889</v>
      </c>
      <c r="H274" s="14">
        <v>15585.649202815215</v>
      </c>
      <c r="I274" s="14">
        <v>6219.7728555997746</v>
      </c>
      <c r="J274" s="14">
        <v>7644.9255856605605</v>
      </c>
      <c r="K274" s="14">
        <v>8270.1081528942923</v>
      </c>
      <c r="L274" s="14">
        <v>7301.7781266961692</v>
      </c>
      <c r="M274" s="14">
        <v>5244.6842712239632</v>
      </c>
      <c r="N274" s="14">
        <v>5096.646394699269</v>
      </c>
      <c r="O274" s="14">
        <v>4395.345859342915</v>
      </c>
    </row>
    <row r="275" spans="1:15" x14ac:dyDescent="0.3">
      <c r="A275" s="3" t="str">
        <f>INDEX('R1. Scenario specifications'!$C$11:$C$49,MATCH($B275,'R1. Scenario specifications'!$A$11:$A$49,0))</f>
        <v>Current 2DS, 2030 start, 'Expect the Unexpected' but with cheap EVs</v>
      </c>
      <c r="B275" s="3" t="s">
        <v>48</v>
      </c>
      <c r="C275" s="3" t="s">
        <v>301</v>
      </c>
      <c r="D275" s="3" t="s">
        <v>328</v>
      </c>
      <c r="E275" s="14">
        <v>0</v>
      </c>
      <c r="F275" s="14">
        <v>0</v>
      </c>
      <c r="G275" s="14">
        <v>94.260834870759595</v>
      </c>
      <c r="H275" s="14">
        <v>1599.9746126235134</v>
      </c>
      <c r="I275" s="14">
        <v>2195.2099857632561</v>
      </c>
      <c r="J275" s="14">
        <v>0</v>
      </c>
      <c r="K275" s="14">
        <v>7.2559422256374599</v>
      </c>
      <c r="L275" s="14">
        <v>157.63935051771145</v>
      </c>
      <c r="M275" s="14">
        <v>117.52223885073425</v>
      </c>
      <c r="N275" s="14">
        <v>111.38937047873037</v>
      </c>
      <c r="O275" s="14">
        <v>0</v>
      </c>
    </row>
    <row r="276" spans="1:15" x14ac:dyDescent="0.3">
      <c r="A276" s="3" t="str">
        <f>INDEX('R1. Scenario specifications'!$C$11:$C$49,MATCH($B276,'R1. Scenario specifications'!$A$11:$A$49,0))</f>
        <v>Current 2DS, 2030 start, 'Expect the Unexpected' but with cheap EVs</v>
      </c>
      <c r="B276" s="3" t="s">
        <v>48</v>
      </c>
      <c r="C276" s="3" t="s">
        <v>303</v>
      </c>
      <c r="D276" s="3" t="s">
        <v>329</v>
      </c>
      <c r="E276" s="14">
        <v>0</v>
      </c>
      <c r="F276" s="14">
        <v>0</v>
      </c>
      <c r="G276" s="14">
        <v>0</v>
      </c>
      <c r="H276" s="14">
        <v>3040.2453409136619</v>
      </c>
      <c r="I276" s="14">
        <v>6909.7288131101368</v>
      </c>
      <c r="J276" s="14">
        <v>3992.2408122017641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</row>
    <row r="277" spans="1:15" x14ac:dyDescent="0.3">
      <c r="A277" s="3" t="str">
        <f>INDEX('R1. Scenario specifications'!$C$11:$C$49,MATCH($B277,'R1. Scenario specifications'!$A$11:$A$49,0))</f>
        <v>Current 2DS, 2020 start, 'Expect the Unexpected' but with cheap energy efficiency</v>
      </c>
      <c r="B277" s="3" t="s">
        <v>49</v>
      </c>
      <c r="C277" s="3" t="s">
        <v>298</v>
      </c>
      <c r="D277" s="3" t="s">
        <v>325</v>
      </c>
      <c r="E277" s="14">
        <v>5.283714066875322</v>
      </c>
      <c r="F277" s="14">
        <v>40.935839939176851</v>
      </c>
      <c r="G277" s="14">
        <v>1010.9701631029815</v>
      </c>
      <c r="H277" s="14">
        <v>779.49245728329424</v>
      </c>
      <c r="I277" s="14">
        <v>1839.2315947059653</v>
      </c>
      <c r="J277" s="14">
        <v>2358.9772691862122</v>
      </c>
      <c r="K277" s="14">
        <v>1208.8350775210267</v>
      </c>
      <c r="L277" s="14">
        <v>356.29425057040231</v>
      </c>
      <c r="M277" s="14">
        <v>370.88741513634267</v>
      </c>
      <c r="N277" s="14">
        <v>600.71635210619456</v>
      </c>
      <c r="O277" s="14">
        <v>1411.0199183464945</v>
      </c>
    </row>
    <row r="278" spans="1:15" x14ac:dyDescent="0.3">
      <c r="A278" s="3" t="str">
        <f>INDEX('R1. Scenario specifications'!$C$11:$C$49,MATCH($B278,'R1. Scenario specifications'!$A$11:$A$49,0))</f>
        <v>Current 2DS, 2020 start, 'Expect the Unexpected' but with cheap energy efficiency</v>
      </c>
      <c r="B278" s="3" t="s">
        <v>49</v>
      </c>
      <c r="C278" s="3" t="s">
        <v>299</v>
      </c>
      <c r="D278" s="3" t="s">
        <v>324</v>
      </c>
      <c r="E278" s="14">
        <v>0</v>
      </c>
      <c r="F278" s="14">
        <v>0</v>
      </c>
      <c r="G278" s="14">
        <v>55.300000000000061</v>
      </c>
      <c r="H278" s="14">
        <v>554.09180865279041</v>
      </c>
      <c r="I278" s="14">
        <v>4631.5128711701491</v>
      </c>
      <c r="J278" s="14">
        <v>10703.490287325618</v>
      </c>
      <c r="K278" s="14">
        <v>14420.108199533368</v>
      </c>
      <c r="L278" s="14">
        <v>15644.188840941049</v>
      </c>
      <c r="M278" s="14">
        <v>17341.41049017652</v>
      </c>
      <c r="N278" s="14">
        <v>19900.220468186704</v>
      </c>
      <c r="O278" s="14">
        <v>22595.060245179295</v>
      </c>
    </row>
    <row r="279" spans="1:15" x14ac:dyDescent="0.3">
      <c r="A279" s="3" t="str">
        <f>INDEX('R1. Scenario specifications'!$C$11:$C$49,MATCH($B279,'R1. Scenario specifications'!$A$11:$A$49,0))</f>
        <v>Current 2DS, 2020 start, 'Expect the Unexpected' but with cheap energy efficiency</v>
      </c>
      <c r="B279" s="3" t="s">
        <v>49</v>
      </c>
      <c r="C279" s="3" t="s">
        <v>302</v>
      </c>
      <c r="D279" s="3" t="s">
        <v>326</v>
      </c>
      <c r="E279" s="14">
        <v>0</v>
      </c>
      <c r="F279" s="14">
        <v>0</v>
      </c>
      <c r="G279" s="14">
        <v>137.17533571710985</v>
      </c>
      <c r="H279" s="14">
        <v>285.28607046595181</v>
      </c>
      <c r="I279" s="14">
        <v>394.90685200747009</v>
      </c>
      <c r="J279" s="14">
        <v>553.92970160766674</v>
      </c>
      <c r="K279" s="14">
        <v>542.73377318649943</v>
      </c>
      <c r="L279" s="14">
        <v>595.94144494540808</v>
      </c>
      <c r="M279" s="14">
        <v>626.60884446880016</v>
      </c>
      <c r="N279" s="14">
        <v>671.22767594924812</v>
      </c>
      <c r="O279" s="14">
        <v>726.07684158981363</v>
      </c>
    </row>
    <row r="280" spans="1:15" x14ac:dyDescent="0.3">
      <c r="A280" s="3" t="str">
        <f>INDEX('R1. Scenario specifications'!$C$11:$C$49,MATCH($B280,'R1. Scenario specifications'!$A$11:$A$49,0))</f>
        <v>Current 2DS, 2020 start, 'Expect the Unexpected' but with cheap energy efficiency</v>
      </c>
      <c r="B280" s="3" t="s">
        <v>49</v>
      </c>
      <c r="C280" s="3" t="s">
        <v>300</v>
      </c>
      <c r="D280" s="3" t="s">
        <v>327</v>
      </c>
      <c r="E280" s="14">
        <v>3713.3499864076566</v>
      </c>
      <c r="F280" s="14">
        <v>9326.5813623263857</v>
      </c>
      <c r="G280" s="14">
        <v>16373.844252739889</v>
      </c>
      <c r="H280" s="14">
        <v>10647.222572526387</v>
      </c>
      <c r="I280" s="14">
        <v>11813.171940205919</v>
      </c>
      <c r="J280" s="14">
        <v>8002.5237152699419</v>
      </c>
      <c r="K280" s="14">
        <v>7022.2583663866972</v>
      </c>
      <c r="L280" s="14">
        <v>8164.7845816732288</v>
      </c>
      <c r="M280" s="14">
        <v>7894.5421577195675</v>
      </c>
      <c r="N280" s="14">
        <v>6650.9622720793996</v>
      </c>
      <c r="O280" s="14">
        <v>4691.5925714633395</v>
      </c>
    </row>
    <row r="281" spans="1:15" x14ac:dyDescent="0.3">
      <c r="A281" s="3" t="str">
        <f>INDEX('R1. Scenario specifications'!$C$11:$C$49,MATCH($B281,'R1. Scenario specifications'!$A$11:$A$49,0))</f>
        <v>Current 2DS, 2020 start, 'Expect the Unexpected' but with cheap energy efficiency</v>
      </c>
      <c r="B281" s="3" t="s">
        <v>49</v>
      </c>
      <c r="C281" s="3" t="s">
        <v>301</v>
      </c>
      <c r="D281" s="3" t="s">
        <v>328</v>
      </c>
      <c r="E281" s="14">
        <v>0</v>
      </c>
      <c r="F281" s="14">
        <v>0</v>
      </c>
      <c r="G281" s="14">
        <v>94.260834870759595</v>
      </c>
      <c r="H281" s="14">
        <v>1109.8063191627684</v>
      </c>
      <c r="I281" s="14">
        <v>176.13573576703141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</row>
    <row r="282" spans="1:15" x14ac:dyDescent="0.3">
      <c r="A282" s="3" t="str">
        <f>INDEX('R1. Scenario specifications'!$C$11:$C$49,MATCH($B282,'R1. Scenario specifications'!$A$11:$A$49,0))</f>
        <v>Current 2DS, 2020 start, 'Expect the Unexpected' but with cheap energy efficiency</v>
      </c>
      <c r="B282" s="3" t="s">
        <v>49</v>
      </c>
      <c r="C282" s="3" t="s">
        <v>303</v>
      </c>
      <c r="D282" s="3" t="s">
        <v>329</v>
      </c>
      <c r="E282" s="14">
        <v>0</v>
      </c>
      <c r="F282" s="14">
        <v>0</v>
      </c>
      <c r="G282" s="14">
        <v>0</v>
      </c>
      <c r="H282" s="14">
        <v>1962.1425540759597</v>
      </c>
      <c r="I282" s="14">
        <v>840.01515950254498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</row>
  </sheetData>
  <mergeCells count="2">
    <mergeCell ref="C38:N38"/>
    <mergeCell ref="O38:Z38"/>
  </mergeCells>
  <conditionalFormatting sqref="A1:XFD13 N20:XFD20 A3269:XFD1048576 A315:A3268 E323:XFD3268 A283:B314 D283:E314 C90:C332 E315:E322 H283:XFD322 B90:B282 B88:C89 A88:A282 A38:C38 A37:N37 AA37:XFD38 A48:C87 A39:XFD47 A21:XFD36 E48:XFD282 A15:XFD19 A14:E14 J14:XFD14">
    <cfRule type="expression" dxfId="101" priority="5">
      <formula>_xlfn.ISFORMULA(A1)</formula>
    </cfRule>
  </conditionalFormatting>
  <conditionalFormatting sqref="A20:M20">
    <cfRule type="expression" dxfId="100" priority="4">
      <formula>_xlfn.ISFORMULA(A20)</formula>
    </cfRule>
  </conditionalFormatting>
  <conditionalFormatting sqref="G283:G314 F283:F322">
    <cfRule type="expression" dxfId="99" priority="3">
      <formula>_xlfn.ISFORMULA(F283)</formula>
    </cfRule>
  </conditionalFormatting>
  <conditionalFormatting sqref="O38 O37:Z37">
    <cfRule type="expression" dxfId="98" priority="2">
      <formula>_xlfn.ISFORMULA(O37)</formula>
    </cfRule>
  </conditionalFormatting>
  <conditionalFormatting sqref="F14:I14">
    <cfRule type="expression" dxfId="97" priority="1">
      <formula>_xlfn.ISFORMULA(F14)</formula>
    </cfRule>
  </conditionalFormatting>
  <dataValidations disablePrompts="1" count="1">
    <dataValidation type="list" allowBlank="1" showInputMessage="1" showErrorMessage="1" sqref="B23" xr:uid="{D9488A89-8D76-447A-AD0F-F5528BB5EB74}">
      <formula1>$D$49:$D$54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99A4197E-04C5-4AB7-9A39-DAB12C984665}">
          <x14:formula1>
            <xm:f>'R1. Scenario specifications'!$A$11:$A$49</xm:f>
          </x14:formula1>
          <xm:sqref>B21:M21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32AB-A8F7-4EB2-8774-2685D756663B}">
  <sheetPr>
    <tabColor theme="5" tint="0.39997558519241921"/>
  </sheetPr>
  <dimension ref="A1:Z361"/>
  <sheetViews>
    <sheetView zoomScale="70" zoomScaleNormal="70" workbookViewId="0">
      <selection activeCell="C26" sqref="C26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312</v>
      </c>
    </row>
    <row r="2" spans="1:9" s="5" customFormat="1" x14ac:dyDescent="0.3">
      <c r="A2" s="5" t="s">
        <v>5</v>
      </c>
      <c r="B2" s="5" t="s">
        <v>314</v>
      </c>
    </row>
    <row r="3" spans="1:9" s="5" customFormat="1" x14ac:dyDescent="0.3">
      <c r="A3" s="5" t="s">
        <v>6</v>
      </c>
      <c r="B3" s="5" t="s">
        <v>313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1023</v>
      </c>
    </row>
    <row r="7" spans="1:9" s="5" customFormat="1" x14ac:dyDescent="0.3">
      <c r="B7" s="5" t="s">
        <v>188</v>
      </c>
      <c r="C7" s="5" t="s">
        <v>50</v>
      </c>
      <c r="D7" s="5" t="s">
        <v>1024</v>
      </c>
    </row>
    <row r="8" spans="1:9" s="5" customFormat="1" x14ac:dyDescent="0.3">
      <c r="B8" s="5" t="s">
        <v>190</v>
      </c>
      <c r="C8" s="5" t="s">
        <v>10</v>
      </c>
      <c r="D8" s="5" t="s">
        <v>1025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$E$8:$P5000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CONCATENATE("Transport service output from ",$B$22)</f>
        <v>Transport service output from Cars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330</v>
      </c>
      <c r="B22" s="17" t="s">
        <v>337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INDEX($E$50:$O$361,MATCH(B$24&amp;$B$22,$B$50:$B$361&amp;$D$50:$D$361,0),MATCH($A25,$E$49:$O$49,0))</f>
        <v>9604.0566614851487</v>
      </c>
      <c r="C25" s="14">
        <f t="array" ref="C25">INDEX($E$50:$O$361,MATCH(C$24&amp;$B$22,$B$50:$B$361&amp;$D$50:$D$361,0),MATCH($A25,$E$49:$O$49,0))</f>
        <v>9604.0566614851487</v>
      </c>
      <c r="D25" s="14">
        <f t="array" ref="D25">INDEX($E$50:$O$361,MATCH(D$24&amp;$B$22,$B$50:$B$361&amp;$D$50:$D$361,0),MATCH($A25,$E$49:$O$49,0))</f>
        <v>9604.0566614851487</v>
      </c>
      <c r="E25" s="14">
        <f t="array" ref="E25">INDEX($E$50:$O$361,MATCH(E$24&amp;$B$22,$B$50:$B$361&amp;$D$50:$D$361,0),MATCH($A25,$E$49:$O$49,0))</f>
        <v>9604.0566614851487</v>
      </c>
      <c r="F25" s="14">
        <f t="array" ref="F25">INDEX($E$50:$O$361,MATCH(F$24&amp;$B$22,$B$50:$B$361&amp;$D$50:$D$361,0),MATCH($A25,$E$49:$O$49,0))</f>
        <v>9604.0566614851487</v>
      </c>
      <c r="G25" s="14">
        <f t="array" ref="G25">INDEX($E$50:$O$361,MATCH(G$24&amp;$B$22,$B$50:$B$361&amp;$D$50:$D$361,0),MATCH($A25,$E$49:$O$49,0))</f>
        <v>9604.0566614851487</v>
      </c>
      <c r="H25" s="14">
        <f t="array" ref="H25">INDEX($E$50:$O$361,MATCH(H$24&amp;$B$22,$B$50:$B$361&amp;$D$50:$D$361,0),MATCH($A25,$E$49:$O$49,0))</f>
        <v>9604.0566614851487</v>
      </c>
      <c r="I25" s="14">
        <f t="array" ref="I25">INDEX($E$50:$O$361,MATCH(I$24&amp;$B$22,$B$50:$B$361&amp;$D$50:$D$361,0),MATCH($A25,$E$49:$O$49,0))</f>
        <v>9604.0566614851487</v>
      </c>
      <c r="J25" s="14">
        <f t="array" ref="J25">INDEX($E$50:$O$361,MATCH(J$24&amp;$B$22,$B$50:$B$361&amp;$D$50:$D$361,0),MATCH($A25,$E$49:$O$49,0))</f>
        <v>9604.0566614851487</v>
      </c>
      <c r="K25" s="14" t="e">
        <f t="array" ref="K25">INDEX($E$50:$O$361,MATCH(K$24&amp;$B$22,$B$50:$B$361&amp;$D$50:$D$361,0),MATCH($A25,$E$49:$O$49,0))</f>
        <v>#N/A</v>
      </c>
      <c r="L25" s="14" t="e">
        <f t="array" ref="L25">INDEX($E$50:$O$361,MATCH(L$24&amp;$B$22,$B$50:$B$361&amp;$D$50:$D$361,0),MATCH($A25,$E$49:$O$49,0))</f>
        <v>#N/A</v>
      </c>
      <c r="M25" s="14" t="e">
        <f t="array" ref="M25">INDEX($E$50:$O$361,MATCH(M$24&amp;$B$22,$B$50:$B$361&amp;$D$50:$D$361,0),MATCH($A25,$E$49:$O$49,0))</f>
        <v>#N/A</v>
      </c>
    </row>
    <row r="26" spans="1:13" x14ac:dyDescent="0.3">
      <c r="A26" s="3">
        <v>2020</v>
      </c>
      <c r="B26" s="14">
        <f t="array" ref="B26">INDEX($E$50:$O$361,MATCH(B$24&amp;$B$22,$B$50:$B$361&amp;$D$50:$D$361,0),MATCH($A26,$E$49:$O$49,0))</f>
        <v>16237.412608619816</v>
      </c>
      <c r="C26" s="14">
        <f t="array" ref="C26">INDEX($E$50:$O$361,MATCH(C$24&amp;$B$22,$B$50:$B$361&amp;$D$50:$D$361,0),MATCH($A26,$E$49:$O$49,0))</f>
        <v>16237.412608619816</v>
      </c>
      <c r="D26" s="14">
        <f t="array" ref="D26">INDEX($E$50:$O$361,MATCH(D$24&amp;$B$22,$B$50:$B$361&amp;$D$50:$D$361,0),MATCH($A26,$E$49:$O$49,0))</f>
        <v>16237.412608619818</v>
      </c>
      <c r="E26" s="14">
        <f t="array" ref="E26">INDEX($E$50:$O$361,MATCH(E$24&amp;$B$22,$B$50:$B$361&amp;$D$50:$D$361,0),MATCH($A26,$E$49:$O$49,0))</f>
        <v>16237.412608619818</v>
      </c>
      <c r="F26" s="14">
        <f t="array" ref="F26">INDEX($E$50:$O$361,MATCH(F$24&amp;$B$22,$B$50:$B$361&amp;$D$50:$D$361,0),MATCH($A26,$E$49:$O$49,0))</f>
        <v>16237.412608619818</v>
      </c>
      <c r="G26" s="14">
        <f t="array" ref="G26">INDEX($E$50:$O$361,MATCH(G$24&amp;$B$22,$B$50:$B$361&amp;$D$50:$D$361,0),MATCH($A26,$E$49:$O$49,0))</f>
        <v>16237.412608619818</v>
      </c>
      <c r="H26" s="14">
        <f t="array" ref="H26">INDEX($E$50:$O$361,MATCH(H$24&amp;$B$22,$B$50:$B$361&amp;$D$50:$D$361,0),MATCH($A26,$E$49:$O$49,0))</f>
        <v>16237.412608619818</v>
      </c>
      <c r="I26" s="14">
        <f t="array" ref="I26">INDEX($E$50:$O$361,MATCH(I$24&amp;$B$22,$B$50:$B$361&amp;$D$50:$D$361,0),MATCH($A26,$E$49:$O$49,0))</f>
        <v>16237.412608619818</v>
      </c>
      <c r="J26" s="14">
        <f t="array" ref="J26">INDEX($E$50:$O$361,MATCH(J$24&amp;$B$22,$B$50:$B$361&amp;$D$50:$D$361,0),MATCH($A26,$E$49:$O$49,0))</f>
        <v>16237.412608619818</v>
      </c>
      <c r="K26" s="14" t="e">
        <f t="array" ref="K26">INDEX($E$50:$O$361,MATCH(K$24&amp;$B$22,$B$50:$B$361&amp;$D$50:$D$361,0),MATCH($A26,$E$49:$O$49,0))</f>
        <v>#N/A</v>
      </c>
      <c r="L26" s="14" t="e">
        <f t="array" ref="L26">INDEX($E$50:$O$361,MATCH(L$24&amp;$B$22,$B$50:$B$361&amp;$D$50:$D$361,0),MATCH($A26,$E$49:$O$49,0))</f>
        <v>#N/A</v>
      </c>
      <c r="M26" s="14" t="e">
        <f t="array" ref="M26">INDEX($E$50:$O$361,MATCH(M$24&amp;$B$22,$B$50:$B$361&amp;$D$50:$D$361,0),MATCH($A26,$E$49:$O$49,0))</f>
        <v>#N/A</v>
      </c>
    </row>
    <row r="27" spans="1:13" x14ac:dyDescent="0.3">
      <c r="A27" s="3">
        <v>2030</v>
      </c>
      <c r="B27" s="14">
        <f t="array" ref="B27">INDEX($E$50:$O$361,MATCH(B$24&amp;$B$22,$B$50:$B$361&amp;$D$50:$D$361,0),MATCH($A27,$E$49:$O$49,0))</f>
        <v>17601.175858707185</v>
      </c>
      <c r="C27" s="14">
        <f t="array" ref="C27">INDEX($E$50:$O$361,MATCH(C$24&amp;$B$22,$B$50:$B$361&amp;$D$50:$D$361,0),MATCH($A27,$E$49:$O$49,0))</f>
        <v>17601.175858707185</v>
      </c>
      <c r="D27" s="14">
        <f t="array" ref="D27">INDEX($E$50:$O$361,MATCH(D$24&amp;$B$22,$B$50:$B$361&amp;$D$50:$D$361,0),MATCH($A27,$E$49:$O$49,0))</f>
        <v>17601.175858707189</v>
      </c>
      <c r="E27" s="14">
        <f t="array" ref="E27">INDEX($E$50:$O$361,MATCH(E$24&amp;$B$22,$B$50:$B$361&amp;$D$50:$D$361,0),MATCH($A27,$E$49:$O$49,0))</f>
        <v>17601.175858707185</v>
      </c>
      <c r="F27" s="14">
        <f t="array" ref="F27">INDEX($E$50:$O$361,MATCH(F$24&amp;$B$22,$B$50:$B$361&amp;$D$50:$D$361,0),MATCH($A27,$E$49:$O$49,0))</f>
        <v>17601.175858707189</v>
      </c>
      <c r="G27" s="14">
        <f t="array" ref="G27">INDEX($E$50:$O$361,MATCH(G$24&amp;$B$22,$B$50:$B$361&amp;$D$50:$D$361,0),MATCH($A27,$E$49:$O$49,0))</f>
        <v>16396.083010115988</v>
      </c>
      <c r="H27" s="14">
        <f t="array" ref="H27">INDEX($E$50:$O$361,MATCH(H$24&amp;$B$22,$B$50:$B$361&amp;$D$50:$D$361,0),MATCH($A27,$E$49:$O$49,0))</f>
        <v>17601.175858707189</v>
      </c>
      <c r="I27" s="14">
        <f t="array" ref="I27">INDEX($E$50:$O$361,MATCH(I$24&amp;$B$22,$B$50:$B$361&amp;$D$50:$D$361,0),MATCH($A27,$E$49:$O$49,0))</f>
        <v>17302.633767432406</v>
      </c>
      <c r="J27" s="14">
        <f t="array" ref="J27">INDEX($E$50:$O$361,MATCH(J$24&amp;$B$22,$B$50:$B$361&amp;$D$50:$D$361,0),MATCH($A27,$E$49:$O$49,0))</f>
        <v>17601.175858707189</v>
      </c>
      <c r="K27" s="14" t="e">
        <f t="array" ref="K27">INDEX($E$50:$O$361,MATCH(K$24&amp;$B$22,$B$50:$B$361&amp;$D$50:$D$361,0),MATCH($A27,$E$49:$O$49,0))</f>
        <v>#N/A</v>
      </c>
      <c r="L27" s="14" t="e">
        <f t="array" ref="L27">INDEX($E$50:$O$361,MATCH(L$24&amp;$B$22,$B$50:$B$361&amp;$D$50:$D$361,0),MATCH($A27,$E$49:$O$49,0))</f>
        <v>#N/A</v>
      </c>
      <c r="M27" s="14" t="e">
        <f t="array" ref="M27">INDEX($E$50:$O$361,MATCH(M$24&amp;$B$22,$B$50:$B$361&amp;$D$50:$D$361,0),MATCH($A27,$E$49:$O$49,0))</f>
        <v>#N/A</v>
      </c>
    </row>
    <row r="28" spans="1:13" x14ac:dyDescent="0.3">
      <c r="A28" s="3">
        <v>2040</v>
      </c>
      <c r="B28" s="14">
        <f t="array" ref="B28">INDEX($E$50:$O$361,MATCH(B$24&amp;$B$22,$B$50:$B$361&amp;$D$50:$D$361,0),MATCH($A28,$E$49:$O$49,0))</f>
        <v>16779.146430788529</v>
      </c>
      <c r="C28" s="14">
        <f t="array" ref="C28">INDEX($E$50:$O$361,MATCH(C$24&amp;$B$22,$B$50:$B$361&amp;$D$50:$D$361,0),MATCH($A28,$E$49:$O$49,0))</f>
        <v>16779.146430788529</v>
      </c>
      <c r="D28" s="14">
        <f t="array" ref="D28">INDEX($E$50:$O$361,MATCH(D$24&amp;$B$22,$B$50:$B$361&amp;$D$50:$D$361,0),MATCH($A28,$E$49:$O$49,0))</f>
        <v>16784.584106500006</v>
      </c>
      <c r="E28" s="14">
        <f t="array" ref="E28">INDEX($E$50:$O$361,MATCH(E$24&amp;$B$22,$B$50:$B$361&amp;$D$50:$D$361,0),MATCH($A28,$E$49:$O$49,0))</f>
        <v>16847.459696406273</v>
      </c>
      <c r="F28" s="14">
        <f t="array" ref="F28">INDEX($E$50:$O$361,MATCH(F$24&amp;$B$22,$B$50:$B$361&amp;$D$50:$D$361,0),MATCH($A28,$E$49:$O$49,0))</f>
        <v>16847.45969640628</v>
      </c>
      <c r="G28" s="14">
        <f t="array" ref="G28">INDEX($E$50:$O$361,MATCH(G$24&amp;$B$22,$B$50:$B$361&amp;$D$50:$D$361,0),MATCH($A28,$E$49:$O$49,0))</f>
        <v>13845.401174821078</v>
      </c>
      <c r="H28" s="14">
        <f t="array" ref="H28">INDEX($E$50:$O$361,MATCH(H$24&amp;$B$22,$B$50:$B$361&amp;$D$50:$D$361,0),MATCH($A28,$E$49:$O$49,0))</f>
        <v>14736.632139614647</v>
      </c>
      <c r="I28" s="14">
        <f t="array" ref="I28">INDEX($E$50:$O$361,MATCH(I$24&amp;$B$22,$B$50:$B$361&amp;$D$50:$D$361,0),MATCH($A28,$E$49:$O$49,0))</f>
        <v>16779.234440560096</v>
      </c>
      <c r="J28" s="14">
        <f t="array" ref="J28">INDEX($E$50:$O$361,MATCH(J$24&amp;$B$22,$B$50:$B$361&amp;$D$50:$D$361,0),MATCH($A28,$E$49:$O$49,0))</f>
        <v>16661.66063434798</v>
      </c>
      <c r="K28" s="14" t="e">
        <f t="array" ref="K28">INDEX($E$50:$O$361,MATCH(K$24&amp;$B$22,$B$50:$B$361&amp;$D$50:$D$361,0),MATCH($A28,$E$49:$O$49,0))</f>
        <v>#N/A</v>
      </c>
      <c r="L28" s="14" t="e">
        <f t="array" ref="L28">INDEX($E$50:$O$361,MATCH(L$24&amp;$B$22,$B$50:$B$361&amp;$D$50:$D$361,0),MATCH($A28,$E$49:$O$49,0))</f>
        <v>#N/A</v>
      </c>
      <c r="M28" s="14" t="e">
        <f t="array" ref="M28">INDEX($E$50:$O$361,MATCH(M$24&amp;$B$22,$B$50:$B$361&amp;$D$50:$D$361,0),MATCH($A28,$E$49:$O$49,0))</f>
        <v>#N/A</v>
      </c>
    </row>
    <row r="29" spans="1:13" x14ac:dyDescent="0.3">
      <c r="A29" s="3">
        <v>2050</v>
      </c>
      <c r="B29" s="14">
        <f t="array" ref="B29">INDEX($E$50:$O$361,MATCH(B$24&amp;$B$22,$B$50:$B$361&amp;$D$50:$D$361,0),MATCH($A29,$E$49:$O$49,0))</f>
        <v>20017.263086372117</v>
      </c>
      <c r="C29" s="14">
        <f t="array" ref="C29">INDEX($E$50:$O$361,MATCH(C$24&amp;$B$22,$B$50:$B$361&amp;$D$50:$D$361,0),MATCH($A29,$E$49:$O$49,0))</f>
        <v>20017.263086372117</v>
      </c>
      <c r="D29" s="14">
        <f t="array" ref="D29">INDEX($E$50:$O$361,MATCH(D$24&amp;$B$22,$B$50:$B$361&amp;$D$50:$D$361,0),MATCH($A29,$E$49:$O$49,0))</f>
        <v>20017.263086372117</v>
      </c>
      <c r="E29" s="14">
        <f t="array" ref="E29">INDEX($E$50:$O$361,MATCH(E$24&amp;$B$22,$B$50:$B$361&amp;$D$50:$D$361,0),MATCH($A29,$E$49:$O$49,0))</f>
        <v>20017.263086372117</v>
      </c>
      <c r="F29" s="14">
        <f t="array" ref="F29">INDEX($E$50:$O$361,MATCH(F$24&amp;$B$22,$B$50:$B$361&amp;$D$50:$D$361,0),MATCH($A29,$E$49:$O$49,0))</f>
        <v>20017.263086372106</v>
      </c>
      <c r="G29" s="14">
        <f t="array" ref="G29">INDEX($E$50:$O$361,MATCH(G$24&amp;$B$22,$B$50:$B$361&amp;$D$50:$D$361,0),MATCH($A29,$E$49:$O$49,0))</f>
        <v>14249.711509726358</v>
      </c>
      <c r="H29" s="14">
        <f t="array" ref="H29">INDEX($E$50:$O$361,MATCH(H$24&amp;$B$22,$B$50:$B$361&amp;$D$50:$D$361,0),MATCH($A29,$E$49:$O$49,0))</f>
        <v>15557.889701427179</v>
      </c>
      <c r="I29" s="14">
        <f t="array" ref="I29">INDEX($E$50:$O$361,MATCH(I$24&amp;$B$22,$B$50:$B$361&amp;$D$50:$D$361,0),MATCH($A29,$E$49:$O$49,0))</f>
        <v>19816.62329391194</v>
      </c>
      <c r="J29" s="14">
        <f t="array" ref="J29">INDEX($E$50:$O$361,MATCH(J$24&amp;$B$22,$B$50:$B$361&amp;$D$50:$D$361,0),MATCH($A29,$E$49:$O$49,0))</f>
        <v>19581.222259002254</v>
      </c>
      <c r="K29" s="14" t="e">
        <f t="array" ref="K29">INDEX($E$50:$O$361,MATCH(K$24&amp;$B$22,$B$50:$B$361&amp;$D$50:$D$361,0),MATCH($A29,$E$49:$O$49,0))</f>
        <v>#N/A</v>
      </c>
      <c r="L29" s="14" t="e">
        <f t="array" ref="L29">INDEX($E$50:$O$361,MATCH(L$24&amp;$B$22,$B$50:$B$361&amp;$D$50:$D$361,0),MATCH($A29,$E$49:$O$49,0))</f>
        <v>#N/A</v>
      </c>
      <c r="M29" s="14" t="e">
        <f t="array" ref="M29">INDEX($E$50:$O$361,MATCH(M$24&amp;$B$22,$B$50:$B$361&amp;$D$50:$D$361,0),MATCH($A29,$E$49:$O$49,0))</f>
        <v>#N/A</v>
      </c>
    </row>
    <row r="30" spans="1:13" x14ac:dyDescent="0.3">
      <c r="A30" s="3">
        <v>2060</v>
      </c>
      <c r="B30" s="14">
        <f t="array" ref="B30">INDEX($E$50:$O$361,MATCH(B$24&amp;$B$22,$B$50:$B$361&amp;$D$50:$D$361,0),MATCH($A30,$E$49:$O$49,0))</f>
        <v>21780.524686421086</v>
      </c>
      <c r="C30" s="14">
        <f t="array" ref="C30">INDEX($E$50:$O$361,MATCH(C$24&amp;$B$22,$B$50:$B$361&amp;$D$50:$D$361,0),MATCH($A30,$E$49:$O$49,0))</f>
        <v>21780.524686421086</v>
      </c>
      <c r="D30" s="14">
        <f t="array" ref="D30">INDEX($E$50:$O$361,MATCH(D$24&amp;$B$22,$B$50:$B$361&amp;$D$50:$D$361,0),MATCH($A30,$E$49:$O$49,0))</f>
        <v>21780.524686421082</v>
      </c>
      <c r="E30" s="14">
        <f t="array" ref="E30">INDEX($E$50:$O$361,MATCH(E$24&amp;$B$22,$B$50:$B$361&amp;$D$50:$D$361,0),MATCH($A30,$E$49:$O$49,0))</f>
        <v>21780.524686421086</v>
      </c>
      <c r="F30" s="14">
        <f t="array" ref="F30">INDEX($E$50:$O$361,MATCH(F$24&amp;$B$22,$B$50:$B$361&amp;$D$50:$D$361,0),MATCH($A30,$E$49:$O$49,0))</f>
        <v>21574.389624117837</v>
      </c>
      <c r="G30" s="14">
        <f t="array" ref="G30">INDEX($E$50:$O$361,MATCH(G$24&amp;$B$22,$B$50:$B$361&amp;$D$50:$D$361,0),MATCH($A30,$E$49:$O$49,0))</f>
        <v>20138.315622170478</v>
      </c>
      <c r="H30" s="14">
        <f t="array" ref="H30">INDEX($E$50:$O$361,MATCH(H$24&amp;$B$22,$B$50:$B$361&amp;$D$50:$D$361,0),MATCH($A30,$E$49:$O$49,0))</f>
        <v>15607.094656003297</v>
      </c>
      <c r="I30" s="14">
        <f t="array" ref="I30">INDEX($E$50:$O$361,MATCH(I$24&amp;$B$22,$B$50:$B$361&amp;$D$50:$D$361,0),MATCH($A30,$E$49:$O$49,0))</f>
        <v>21557.820144873418</v>
      </c>
      <c r="J30" s="14">
        <f t="array" ref="J30">INDEX($E$50:$O$361,MATCH(J$24&amp;$B$22,$B$50:$B$361&amp;$D$50:$D$361,0),MATCH($A30,$E$49:$O$49,0))</f>
        <v>20443.527669593746</v>
      </c>
      <c r="K30" s="14" t="e">
        <f t="array" ref="K30">INDEX($E$50:$O$361,MATCH(K$24&amp;$B$22,$B$50:$B$361&amp;$D$50:$D$361,0),MATCH($A30,$E$49:$O$49,0))</f>
        <v>#N/A</v>
      </c>
      <c r="L30" s="14" t="e">
        <f t="array" ref="L30">INDEX($E$50:$O$361,MATCH(L$24&amp;$B$22,$B$50:$B$361&amp;$D$50:$D$361,0),MATCH($A30,$E$49:$O$49,0))</f>
        <v>#N/A</v>
      </c>
      <c r="M30" s="14" t="e">
        <f t="array" ref="M30">INDEX($E$50:$O$361,MATCH(M$24&amp;$B$22,$B$50:$B$361&amp;$D$50:$D$361,0),MATCH($A30,$E$49:$O$49,0))</f>
        <v>#N/A</v>
      </c>
    </row>
    <row r="31" spans="1:13" x14ac:dyDescent="0.3">
      <c r="A31" s="3">
        <v>2070</v>
      </c>
      <c r="B31" s="14">
        <f t="array" ref="B31">INDEX($E$50:$O$361,MATCH(B$24&amp;$B$22,$B$50:$B$361&amp;$D$50:$D$361,0),MATCH($A31,$E$49:$O$49,0))</f>
        <v>23398.308457327003</v>
      </c>
      <c r="C31" s="14">
        <f t="array" ref="C31">INDEX($E$50:$O$361,MATCH(C$24&amp;$B$22,$B$50:$B$361&amp;$D$50:$D$361,0),MATCH($A31,$E$49:$O$49,0))</f>
        <v>23398.30845732701</v>
      </c>
      <c r="D31" s="14">
        <f t="array" ref="D31">INDEX($E$50:$O$361,MATCH(D$24&amp;$B$22,$B$50:$B$361&amp;$D$50:$D$361,0),MATCH($A31,$E$49:$O$49,0))</f>
        <v>23398.308457327003</v>
      </c>
      <c r="E31" s="14">
        <f t="array" ref="E31">INDEX($E$50:$O$361,MATCH(E$24&amp;$B$22,$B$50:$B$361&amp;$D$50:$D$361,0),MATCH($A31,$E$49:$O$49,0))</f>
        <v>23168.721069809351</v>
      </c>
      <c r="F31" s="14">
        <f t="array" ref="F31">INDEX($E$50:$O$361,MATCH(F$24&amp;$B$22,$B$50:$B$361&amp;$D$50:$D$361,0),MATCH($A31,$E$49:$O$49,0))</f>
        <v>23168.721069809355</v>
      </c>
      <c r="G31" s="14">
        <f t="array" ref="G31">INDEX($E$50:$O$361,MATCH(G$24&amp;$B$22,$B$50:$B$361&amp;$D$50:$D$361,0),MATCH($A31,$E$49:$O$49,0))</f>
        <v>23168.721069809362</v>
      </c>
      <c r="H31" s="14">
        <f t="array" ref="H31">INDEX($E$50:$O$361,MATCH(H$24&amp;$B$22,$B$50:$B$361&amp;$D$50:$D$361,0),MATCH($A31,$E$49:$O$49,0))</f>
        <v>23432.485514893779</v>
      </c>
      <c r="I31" s="14">
        <f t="array" ref="I31">INDEX($E$50:$O$361,MATCH(I$24&amp;$B$22,$B$50:$B$361&amp;$D$50:$D$361,0),MATCH($A31,$E$49:$O$49,0))</f>
        <v>23186.444675675008</v>
      </c>
      <c r="J31" s="14">
        <f t="array" ref="J31">INDEX($E$50:$O$361,MATCH(J$24&amp;$B$22,$B$50:$B$361&amp;$D$50:$D$361,0),MATCH($A31,$E$49:$O$49,0))</f>
        <v>23186.444675675019</v>
      </c>
      <c r="K31" s="14" t="e">
        <f t="array" ref="K31">INDEX($E$50:$O$361,MATCH(K$24&amp;$B$22,$B$50:$B$361&amp;$D$50:$D$361,0),MATCH($A31,$E$49:$O$49,0))</f>
        <v>#N/A</v>
      </c>
      <c r="L31" s="14" t="e">
        <f t="array" ref="L31">INDEX($E$50:$O$361,MATCH(L$24&amp;$B$22,$B$50:$B$361&amp;$D$50:$D$361,0),MATCH($A31,$E$49:$O$49,0))</f>
        <v>#N/A</v>
      </c>
      <c r="M31" s="14" t="e">
        <f t="array" ref="M31">INDEX($E$50:$O$361,MATCH(M$24&amp;$B$22,$B$50:$B$361&amp;$D$50:$D$361,0),MATCH($A31,$E$49:$O$49,0))</f>
        <v>#N/A</v>
      </c>
    </row>
    <row r="32" spans="1:13" x14ac:dyDescent="0.3">
      <c r="A32" s="3">
        <v>2080</v>
      </c>
      <c r="B32" s="14">
        <f t="array" ref="B32">INDEX($E$50:$O$361,MATCH(B$24&amp;$B$22,$B$50:$B$361&amp;$D$50:$D$361,0),MATCH($A32,$E$49:$O$49,0))</f>
        <v>25059.689178762699</v>
      </c>
      <c r="C32" s="14">
        <f t="array" ref="C32">INDEX($E$50:$O$361,MATCH(C$24&amp;$B$22,$B$50:$B$361&amp;$D$50:$D$361,0),MATCH($A32,$E$49:$O$49,0))</f>
        <v>25059.689178762688</v>
      </c>
      <c r="D32" s="14">
        <f t="array" ref="D32">INDEX($E$50:$O$361,MATCH(D$24&amp;$B$22,$B$50:$B$361&amp;$D$50:$D$361,0),MATCH($A32,$E$49:$O$49,0))</f>
        <v>25059.689178762699</v>
      </c>
      <c r="E32" s="14">
        <f t="array" ref="E32">INDEX($E$50:$O$361,MATCH(E$24&amp;$B$22,$B$50:$B$361&amp;$D$50:$D$361,0),MATCH($A32,$E$49:$O$49,0))</f>
        <v>24842.038645199056</v>
      </c>
      <c r="F32" s="14">
        <f t="array" ref="F32">INDEX($E$50:$O$361,MATCH(F$24&amp;$B$22,$B$50:$B$361&amp;$D$50:$D$361,0),MATCH($A32,$E$49:$O$49,0))</f>
        <v>24842.038645199053</v>
      </c>
      <c r="G32" s="14">
        <f t="array" ref="G32">INDEX($E$50:$O$361,MATCH(G$24&amp;$B$22,$B$50:$B$361&amp;$D$50:$D$361,0),MATCH($A32,$E$49:$O$49,0))</f>
        <v>24842.038645199053</v>
      </c>
      <c r="H32" s="14">
        <f t="array" ref="H32">INDEX($E$50:$O$361,MATCH(H$24&amp;$B$22,$B$50:$B$361&amp;$D$50:$D$361,0),MATCH($A32,$E$49:$O$49,0))</f>
        <v>25059.68917876271</v>
      </c>
      <c r="I32" s="14">
        <f t="array" ref="I32">INDEX($E$50:$O$361,MATCH(I$24&amp;$B$22,$B$50:$B$361&amp;$D$50:$D$361,0),MATCH($A32,$E$49:$O$49,0))</f>
        <v>24664.654912235452</v>
      </c>
      <c r="J32" s="14">
        <f t="array" ref="J32">INDEX($E$50:$O$361,MATCH(J$24&amp;$B$22,$B$50:$B$361&amp;$D$50:$D$361,0),MATCH($A32,$E$49:$O$49,0))</f>
        <v>24770.64457108896</v>
      </c>
      <c r="K32" s="14" t="e">
        <f t="array" ref="K32">INDEX($E$50:$O$361,MATCH(K$24&amp;$B$22,$B$50:$B$361&amp;$D$50:$D$361,0),MATCH($A32,$E$49:$O$49,0))</f>
        <v>#N/A</v>
      </c>
      <c r="L32" s="14" t="e">
        <f t="array" ref="L32">INDEX($E$50:$O$361,MATCH(L$24&amp;$B$22,$B$50:$B$361&amp;$D$50:$D$361,0),MATCH($A32,$E$49:$O$49,0))</f>
        <v>#N/A</v>
      </c>
      <c r="M32" s="14" t="e">
        <f t="array" ref="M32">INDEX($E$50:$O$361,MATCH(M$24&amp;$B$22,$B$50:$B$361&amp;$D$50:$D$361,0),MATCH($A32,$E$49:$O$49,0))</f>
        <v>#N/A</v>
      </c>
    </row>
    <row r="33" spans="1:26" x14ac:dyDescent="0.3">
      <c r="A33" s="3">
        <v>2090</v>
      </c>
      <c r="B33" s="14">
        <f t="array" ref="B33">INDEX($E$50:$O$361,MATCH(B$24&amp;$B$22,$B$50:$B$361&amp;$D$50:$D$361,0),MATCH($A33,$E$49:$O$49,0))</f>
        <v>26803.274541214014</v>
      </c>
      <c r="C33" s="14">
        <f t="array" ref="C33">INDEX($E$50:$O$361,MATCH(C$24&amp;$B$22,$B$50:$B$361&amp;$D$50:$D$361,0),MATCH($A33,$E$49:$O$49,0))</f>
        <v>26803.274541214014</v>
      </c>
      <c r="D33" s="14">
        <f t="array" ref="D33">INDEX($E$50:$O$361,MATCH(D$24&amp;$B$22,$B$50:$B$361&amp;$D$50:$D$361,0),MATCH($A33,$E$49:$O$49,0))</f>
        <v>26803.274541214021</v>
      </c>
      <c r="E33" s="14">
        <f t="array" ref="E33">INDEX($E$50:$O$361,MATCH(E$24&amp;$B$22,$B$50:$B$361&amp;$D$50:$D$361,0),MATCH($A33,$E$49:$O$49,0))</f>
        <v>26452.523214068009</v>
      </c>
      <c r="F33" s="14">
        <f t="array" ref="F33">INDEX($E$50:$O$361,MATCH(F$24&amp;$B$22,$B$50:$B$361&amp;$D$50:$D$361,0),MATCH($A33,$E$49:$O$49,0))</f>
        <v>26316.384258259961</v>
      </c>
      <c r="G33" s="14">
        <f t="array" ref="G33">INDEX($E$50:$O$361,MATCH(G$24&amp;$B$22,$B$50:$B$361&amp;$D$50:$D$361,0),MATCH($A33,$E$49:$O$49,0))</f>
        <v>26497.129012964695</v>
      </c>
      <c r="H33" s="14">
        <f t="array" ref="H33">INDEX($E$50:$O$361,MATCH(H$24&amp;$B$22,$B$50:$B$361&amp;$D$50:$D$361,0),MATCH($A33,$E$49:$O$49,0))</f>
        <v>26803.274541214025</v>
      </c>
      <c r="I33" s="14">
        <f t="array" ref="I33">INDEX($E$50:$O$361,MATCH(I$24&amp;$B$22,$B$50:$B$361&amp;$D$50:$D$361,0),MATCH($A33,$E$49:$O$49,0))</f>
        <v>25910.322765595352</v>
      </c>
      <c r="J33" s="14">
        <f t="array" ref="J33">INDEX($E$50:$O$361,MATCH(J$24&amp;$B$22,$B$50:$B$361&amp;$D$50:$D$361,0),MATCH($A33,$E$49:$O$49,0))</f>
        <v>25910.322765595356</v>
      </c>
      <c r="K33" s="14" t="e">
        <f t="array" ref="K33">INDEX($E$50:$O$361,MATCH(K$24&amp;$B$22,$B$50:$B$361&amp;$D$50:$D$361,0),MATCH($A33,$E$49:$O$49,0))</f>
        <v>#N/A</v>
      </c>
      <c r="L33" s="14" t="e">
        <f t="array" ref="L33">INDEX($E$50:$O$361,MATCH(L$24&amp;$B$22,$B$50:$B$361&amp;$D$50:$D$361,0),MATCH($A33,$E$49:$O$49,0))</f>
        <v>#N/A</v>
      </c>
      <c r="M33" s="14" t="e">
        <f t="array" ref="M33">INDEX($E$50:$O$361,MATCH(M$24&amp;$B$22,$B$50:$B$361&amp;$D$50:$D$361,0),MATCH($A33,$E$49:$O$49,0))</f>
        <v>#N/A</v>
      </c>
    </row>
    <row r="34" spans="1:26" x14ac:dyDescent="0.3">
      <c r="A34" s="3">
        <v>2100</v>
      </c>
      <c r="B34" s="14">
        <f t="array" ref="B34">INDEX($E$50:$O$361,MATCH(B$24&amp;$B$22,$B$50:$B$361&amp;$D$50:$D$361,0),MATCH($A34,$E$49:$O$49,0))</f>
        <v>28739.059332887773</v>
      </c>
      <c r="C34" s="14">
        <f t="array" ref="C34">INDEX($E$50:$O$361,MATCH(C$24&amp;$B$22,$B$50:$B$361&amp;$D$50:$D$361,0),MATCH($A34,$E$49:$O$49,0))</f>
        <v>28739.059332887773</v>
      </c>
      <c r="D34" s="14">
        <f t="array" ref="D34">INDEX($E$50:$O$361,MATCH(D$24&amp;$B$22,$B$50:$B$361&amp;$D$50:$D$361,0),MATCH($A34,$E$49:$O$49,0))</f>
        <v>28739.059332887769</v>
      </c>
      <c r="E34" s="14">
        <f t="array" ref="E34">INDEX($E$50:$O$361,MATCH(E$24&amp;$B$22,$B$50:$B$361&amp;$D$50:$D$361,0),MATCH($A34,$E$49:$O$49,0))</f>
        <v>28404.542404349631</v>
      </c>
      <c r="F34" s="14">
        <f t="array" ref="F34">INDEX($E$50:$O$361,MATCH(F$24&amp;$B$22,$B$50:$B$361&amp;$D$50:$D$361,0),MATCH($A34,$E$49:$O$49,0))</f>
        <v>28404.542404349635</v>
      </c>
      <c r="G34" s="14">
        <f t="array" ref="G34">INDEX($E$50:$O$361,MATCH(G$24&amp;$B$22,$B$50:$B$361&amp;$D$50:$D$361,0),MATCH($A34,$E$49:$O$49,0))</f>
        <v>28404.542404349631</v>
      </c>
      <c r="H34" s="14">
        <f t="array" ref="H34">INDEX($E$50:$O$361,MATCH(H$24&amp;$B$22,$B$50:$B$361&amp;$D$50:$D$361,0),MATCH($A34,$E$49:$O$49,0))</f>
        <v>28739.059332887769</v>
      </c>
      <c r="I34" s="14">
        <f t="array" ref="I34">INDEX($E$50:$O$361,MATCH(I$24&amp;$B$22,$B$50:$B$361&amp;$D$50:$D$361,0),MATCH($A34,$E$49:$O$49,0))</f>
        <v>28329.905297318073</v>
      </c>
      <c r="J34" s="14">
        <f t="array" ref="J34">INDEX($E$50:$O$361,MATCH(J$24&amp;$B$22,$B$50:$B$361&amp;$D$50:$D$361,0),MATCH($A34,$E$49:$O$49,0))</f>
        <v>28383.394739241128</v>
      </c>
      <c r="K34" s="14" t="e">
        <f t="array" ref="K34">INDEX($E$50:$O$361,MATCH(K$24&amp;$B$22,$B$50:$B$361&amp;$D$50:$D$361,0),MATCH($A34,$E$49:$O$49,0))</f>
        <v>#N/A</v>
      </c>
      <c r="L34" s="14" t="e">
        <f t="array" ref="L34">INDEX($E$50:$O$361,MATCH(L$24&amp;$B$22,$B$50:$B$361&amp;$D$50:$D$361,0),MATCH($A34,$E$49:$O$49,0))</f>
        <v>#N/A</v>
      </c>
      <c r="M34" s="14" t="e">
        <f t="array" ref="M34">INDEX($E$50:$O$361,MATCH(M$24&amp;$B$22,$B$50:$B$361&amp;$D$50:$D$361,0),MATCH($A34,$E$49:$O$49,0))</f>
        <v>#N/A</v>
      </c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50</v>
      </c>
      <c r="B38" s="3" t="str">
        <f>$B$24</f>
        <v>Vivid_0A</v>
      </c>
      <c r="C38" s="3" t="str">
        <f>B$24</f>
        <v>Vivid_0A</v>
      </c>
      <c r="D38" s="3" t="str">
        <f t="shared" ref="D38:N38" si="2">C$24</f>
        <v>Vivid_0A_BAU</v>
      </c>
      <c r="E38" s="3" t="str">
        <f t="shared" si="2"/>
        <v>Vivid_0B</v>
      </c>
      <c r="F38" s="3" t="str">
        <f t="shared" si="2"/>
        <v>Vivid_1</v>
      </c>
      <c r="G38" s="3" t="str">
        <f t="shared" si="2"/>
        <v>Vivid_2</v>
      </c>
      <c r="H38" s="3" t="str">
        <f t="shared" si="2"/>
        <v>Vivid_13</v>
      </c>
      <c r="I38" s="3" t="str">
        <f t="shared" si="2"/>
        <v>Vivid_14</v>
      </c>
      <c r="J38" s="3" t="str">
        <f t="shared" si="2"/>
        <v>Vivid_25</v>
      </c>
      <c r="K38" s="3" t="str">
        <f t="shared" si="2"/>
        <v>Vivid_26</v>
      </c>
      <c r="L38" s="3" t="str">
        <f t="shared" si="2"/>
        <v/>
      </c>
      <c r="M38" s="3" t="str">
        <f t="shared" si="2"/>
        <v/>
      </c>
      <c r="N38" s="3" t="str">
        <f t="shared" si="2"/>
        <v/>
      </c>
      <c r="O38" s="3" t="str">
        <f>B$24</f>
        <v>Vivid_0A</v>
      </c>
      <c r="P38" s="3" t="str">
        <f t="shared" ref="P38:Z38" si="3">C$24</f>
        <v>Vivid_0A_BAU</v>
      </c>
      <c r="Q38" s="3" t="str">
        <f t="shared" si="3"/>
        <v>Vivid_0B</v>
      </c>
      <c r="R38" s="3" t="str">
        <f t="shared" si="3"/>
        <v>Vivid_1</v>
      </c>
      <c r="S38" s="3" t="str">
        <f t="shared" si="3"/>
        <v>Vivid_2</v>
      </c>
      <c r="T38" s="3" t="str">
        <f t="shared" si="3"/>
        <v>Vivid_13</v>
      </c>
      <c r="U38" s="3" t="str">
        <f t="shared" si="3"/>
        <v>Vivid_14</v>
      </c>
      <c r="V38" s="3" t="str">
        <f t="shared" si="3"/>
        <v>Vivid_25</v>
      </c>
      <c r="W38" s="3" t="str">
        <f t="shared" si="3"/>
        <v>Vivid_26</v>
      </c>
      <c r="X38" s="3" t="str">
        <f t="shared" si="3"/>
        <v/>
      </c>
      <c r="Y38" s="3" t="str">
        <f t="shared" si="3"/>
        <v/>
      </c>
      <c r="Z38" s="3" t="str">
        <f t="shared" si="3"/>
        <v/>
      </c>
    </row>
    <row r="39" spans="1:26" x14ac:dyDescent="0.3">
      <c r="A39" s="3" t="s">
        <v>331</v>
      </c>
      <c r="B39" s="14">
        <f t="array" ref="B39">INDEX($E$50:$O$361,MATCH(B$38&amp;$A39,$B$50:$B$361&amp;$D$50:$D$361,0),MATCH(B$36,$E$49:$O$49,0))</f>
        <v>326.15031746610555</v>
      </c>
      <c r="C39" s="14">
        <f t="array" ref="C39">INDEX($E$50:$O$361,MATCH(C$38&amp;$A39,$B$50:$B$361&amp;$D$50:$D$361,0),MATCH(C$36,$E$49:$O$49,0))</f>
        <v>353.33506067595152</v>
      </c>
      <c r="D39" s="14">
        <f t="array" ref="D39">INDEX($E$50:$O$361,MATCH(D$38&amp;$A39,$B$50:$B$361&amp;$D$50:$D$361,0),MATCH(D$36,$E$49:$O$49,0))</f>
        <v>353.33506067595152</v>
      </c>
      <c r="E39" s="14">
        <f t="array" ref="E39">INDEX($E$50:$O$361,MATCH(E$38&amp;$A39,$B$50:$B$361&amp;$D$50:$D$361,0),MATCH(E$36,$E$49:$O$49,0))</f>
        <v>353.33506067595158</v>
      </c>
      <c r="F39" s="14">
        <f t="array" ref="F39">INDEX($E$50:$O$361,MATCH(F$38&amp;$A39,$B$50:$B$361&amp;$D$50:$D$361,0),MATCH(F$36,$E$49:$O$49,0))</f>
        <v>353.33506067595158</v>
      </c>
      <c r="G39" s="14">
        <f t="array" ref="G39">INDEX($E$50:$O$361,MATCH(G$38&amp;$A39,$B$50:$B$361&amp;$D$50:$D$361,0),MATCH(G$36,$E$49:$O$49,0))</f>
        <v>353.33506067595158</v>
      </c>
      <c r="H39" s="14">
        <f t="array" ref="H39">INDEX($E$50:$O$361,MATCH(H$38&amp;$A39,$B$50:$B$361&amp;$D$50:$D$361,0),MATCH(H$36,$E$49:$O$49,0))</f>
        <v>342.21967183620529</v>
      </c>
      <c r="I39" s="14">
        <f t="array" ref="I39">INDEX($E$50:$O$361,MATCH(I$38&amp;$A39,$B$50:$B$361&amp;$D$50:$D$361,0),MATCH(I$36,$E$49:$O$49,0))</f>
        <v>353.33506067595158</v>
      </c>
      <c r="J39" s="14">
        <f t="array" ref="J39">INDEX($E$50:$O$361,MATCH(J$38&amp;$A39,$B$50:$B$361&amp;$D$50:$D$361,0),MATCH(J$36,$E$49:$O$49,0))</f>
        <v>353.33506067595158</v>
      </c>
      <c r="K39" s="14">
        <f t="array" ref="K39">INDEX($E$50:$O$361,MATCH(K$38&amp;$A39,$B$50:$B$361&amp;$D$50:$D$361,0),MATCH(K$36,$E$49:$O$49,0))</f>
        <v>353.33506067595158</v>
      </c>
      <c r="L39" s="14" t="e">
        <f t="array" ref="L39">INDEX($E$50:$O$361,MATCH(L$38&amp;$A39,$B$50:$B$361&amp;$D$50:$D$361,0),MATCH(L$36,$E$49:$O$49,0))</f>
        <v>#N/A</v>
      </c>
      <c r="M39" s="14" t="e">
        <f t="array" ref="M39">INDEX($E$50:$O$361,MATCH(M$38&amp;$A39,$B$50:$B$361&amp;$D$50:$D$361,0),MATCH(M$36,$E$49:$O$49,0))</f>
        <v>#N/A</v>
      </c>
      <c r="N39" s="14" t="e">
        <f t="array" ref="N39">INDEX($E$50:$O$361,MATCH(N$38&amp;$A39,$B$50:$B$361&amp;$D$50:$D$361,0),MATCH(N$36,$E$49:$O$49,0))</f>
        <v>#N/A</v>
      </c>
      <c r="O39" s="14">
        <f t="array" ref="O39">INDEX($E$50:$O$361,MATCH(O$38&amp;$A39,$B$50:$B$361&amp;$D$50:$D$361,0),MATCH(O$36,$E$49:$O$49,0))</f>
        <v>380.92275123968454</v>
      </c>
      <c r="P39" s="14">
        <f t="array" ref="P39">INDEX($E$50:$O$361,MATCH(P$38&amp;$A39,$B$50:$B$361&amp;$D$50:$D$361,0),MATCH(P$36,$E$49:$O$49,0))</f>
        <v>380.92275123968454</v>
      </c>
      <c r="Q39" s="14">
        <f t="array" ref="Q39">INDEX($E$50:$O$361,MATCH(Q$38&amp;$A39,$B$50:$B$361&amp;$D$50:$D$361,0),MATCH(Q$36,$E$49:$O$49,0))</f>
        <v>380.92275123968443</v>
      </c>
      <c r="R39" s="14">
        <f t="array" ref="R39">INDEX($E$50:$O$361,MATCH(R$38&amp;$A39,$B$50:$B$361&amp;$D$50:$D$361,0),MATCH(R$36,$E$49:$O$49,0))</f>
        <v>380.92275123968466</v>
      </c>
      <c r="S39" s="14">
        <f t="array" ref="S39">INDEX($E$50:$O$361,MATCH(S$38&amp;$A39,$B$50:$B$361&amp;$D$50:$D$361,0),MATCH(S$36,$E$49:$O$49,0))</f>
        <v>380.92275123968454</v>
      </c>
      <c r="T39" s="14">
        <f t="array" ref="T39">INDEX($E$50:$O$361,MATCH(T$38&amp;$A39,$B$50:$B$361&amp;$D$50:$D$361,0),MATCH(T$36,$E$49:$O$49,0))</f>
        <v>310.2629033721206</v>
      </c>
      <c r="U39" s="14">
        <f t="array" ref="U39">INDEX($E$50:$O$361,MATCH(U$38&amp;$A39,$B$50:$B$361&amp;$D$50:$D$361,0),MATCH(U$36,$E$49:$O$49,0))</f>
        <v>322.49204591426229</v>
      </c>
      <c r="V39" s="14">
        <f t="array" ref="V39">INDEX($E$50:$O$361,MATCH(V$38&amp;$A39,$B$50:$B$361&amp;$D$50:$D$361,0),MATCH(V$36,$E$49:$O$49,0))</f>
        <v>380.92275123968466</v>
      </c>
      <c r="W39" s="14">
        <f t="array" ref="W39">INDEX($E$50:$O$361,MATCH(W$38&amp;$A39,$B$50:$B$361&amp;$D$50:$D$361,0),MATCH(W$36,$E$49:$O$49,0))</f>
        <v>376.64546628809899</v>
      </c>
      <c r="X39" s="14" t="e">
        <f t="array" ref="X39">INDEX($E$50:$O$361,MATCH(X$38&amp;$A39,$B$50:$B$361&amp;$D$50:$D$361,0),MATCH(X$36,$E$49:$O$49,0))</f>
        <v>#N/A</v>
      </c>
      <c r="Y39" s="14" t="e">
        <f t="array" ref="Y39">INDEX($E$50:$O$361,MATCH(Y$38&amp;$A39,$B$50:$B$361&amp;$D$50:$D$361,0),MATCH(Y$36,$E$49:$O$49,0))</f>
        <v>#N/A</v>
      </c>
      <c r="Z39" s="14" t="e">
        <f t="array" ref="Z39">INDEX($E$50:$O$361,MATCH(Z$38&amp;$A39,$B$50:$B$361&amp;$D$50:$D$361,0),MATCH(Z$36,$E$49:$O$49,0))</f>
        <v>#N/A</v>
      </c>
    </row>
    <row r="40" spans="1:26" x14ac:dyDescent="0.3">
      <c r="A40" s="3" t="s">
        <v>332</v>
      </c>
      <c r="B40" s="14">
        <f t="array" ref="B40">INDEX($E$50:$O$361,MATCH(B$38&amp;$A40,$B$50:$B$361&amp;$D$50:$D$361,0),MATCH(B$36,$E$49:$O$49,0))</f>
        <v>860.97149986110526</v>
      </c>
      <c r="C40" s="14">
        <f t="array" ref="C40">INDEX($E$50:$O$361,MATCH(C$38&amp;$A40,$B$50:$B$361&amp;$D$50:$D$361,0),MATCH(C$36,$E$49:$O$49,0))</f>
        <v>1500.2632370055157</v>
      </c>
      <c r="D40" s="14">
        <f t="array" ref="D40">INDEX($E$50:$O$361,MATCH(D$38&amp;$A40,$B$50:$B$361&amp;$D$50:$D$361,0),MATCH(D$36,$E$49:$O$49,0))</f>
        <v>1500.2632370055157</v>
      </c>
      <c r="E40" s="14">
        <f t="array" ref="E40">INDEX($E$50:$O$361,MATCH(E$38&amp;$A40,$B$50:$B$361&amp;$D$50:$D$361,0),MATCH(E$36,$E$49:$O$49,0))</f>
        <v>1500.2632370055153</v>
      </c>
      <c r="F40" s="14">
        <f t="array" ref="F40">INDEX($E$50:$O$361,MATCH(F$38&amp;$A40,$B$50:$B$361&amp;$D$50:$D$361,0),MATCH(F$36,$E$49:$O$49,0))</f>
        <v>1500.2632370055148</v>
      </c>
      <c r="G40" s="14">
        <f t="array" ref="G40">INDEX($E$50:$O$361,MATCH(G$38&amp;$A40,$B$50:$B$361&amp;$D$50:$D$361,0),MATCH(G$36,$E$49:$O$49,0))</f>
        <v>1500.2632370055153</v>
      </c>
      <c r="H40" s="14">
        <f t="array" ref="H40">INDEX($E$50:$O$361,MATCH(H$38&amp;$A40,$B$50:$B$361&amp;$D$50:$D$361,0),MATCH(H$36,$E$49:$O$49,0))</f>
        <v>1441.4038607292196</v>
      </c>
      <c r="I40" s="14">
        <f t="array" ref="I40">INDEX($E$50:$O$361,MATCH(I$38&amp;$A40,$B$50:$B$361&amp;$D$50:$D$361,0),MATCH(I$36,$E$49:$O$49,0))</f>
        <v>1500.2632370055153</v>
      </c>
      <c r="J40" s="14">
        <f t="array" ref="J40">INDEX($E$50:$O$361,MATCH(J$38&amp;$A40,$B$50:$B$361&amp;$D$50:$D$361,0),MATCH(J$36,$E$49:$O$49,0))</f>
        <v>1498.4248051282871</v>
      </c>
      <c r="K40" s="14">
        <f t="array" ref="K40">INDEX($E$50:$O$361,MATCH(K$38&amp;$A40,$B$50:$B$361&amp;$D$50:$D$361,0),MATCH(K$36,$E$49:$O$49,0))</f>
        <v>1500.2632370055153</v>
      </c>
      <c r="L40" s="14" t="e">
        <f t="array" ref="L40">INDEX($E$50:$O$361,MATCH(L$38&amp;$A40,$B$50:$B$361&amp;$D$50:$D$361,0),MATCH(L$36,$E$49:$O$49,0))</f>
        <v>#N/A</v>
      </c>
      <c r="M40" s="14" t="e">
        <f t="array" ref="M40">INDEX($E$50:$O$361,MATCH(M$38&amp;$A40,$B$50:$B$361&amp;$D$50:$D$361,0),MATCH(M$36,$E$49:$O$49,0))</f>
        <v>#N/A</v>
      </c>
      <c r="N40" s="14" t="e">
        <f t="array" ref="N40">INDEX($E$50:$O$361,MATCH(N$38&amp;$A40,$B$50:$B$361&amp;$D$50:$D$361,0),MATCH(N$36,$E$49:$O$49,0))</f>
        <v>#N/A</v>
      </c>
      <c r="O40" s="14">
        <f t="array" ref="O40">INDEX($E$50:$O$361,MATCH(O$38&amp;$A40,$B$50:$B$361&amp;$D$50:$D$361,0),MATCH(O$36,$E$49:$O$49,0))</f>
        <v>2354.8824149802972</v>
      </c>
      <c r="P40" s="14">
        <f t="array" ref="P40">INDEX($E$50:$O$361,MATCH(P$38&amp;$A40,$B$50:$B$361&amp;$D$50:$D$361,0),MATCH(P$36,$E$49:$O$49,0))</f>
        <v>2354.8824149802977</v>
      </c>
      <c r="Q40" s="14">
        <f t="array" ref="Q40">INDEX($E$50:$O$361,MATCH(Q$38&amp;$A40,$B$50:$B$361&amp;$D$50:$D$361,0),MATCH(Q$36,$E$49:$O$49,0))</f>
        <v>2354.8824149802967</v>
      </c>
      <c r="R40" s="14">
        <f t="array" ref="R40">INDEX($E$50:$O$361,MATCH(R$38&amp;$A40,$B$50:$B$361&amp;$D$50:$D$361,0),MATCH(R$36,$E$49:$O$49,0))</f>
        <v>2347.7648944910593</v>
      </c>
      <c r="S40" s="14">
        <f t="array" ref="S40">INDEX($E$50:$O$361,MATCH(S$38&amp;$A40,$B$50:$B$361&amp;$D$50:$D$361,0),MATCH(S$36,$E$49:$O$49,0))</f>
        <v>2347.7648944910584</v>
      </c>
      <c r="T40" s="14">
        <f t="array" ref="T40">INDEX($E$50:$O$361,MATCH(T$38&amp;$A40,$B$50:$B$361&amp;$D$50:$D$361,0),MATCH(T$36,$E$49:$O$49,0))</f>
        <v>1682.2234202809798</v>
      </c>
      <c r="U40" s="14">
        <f t="array" ref="U40">INDEX($E$50:$O$361,MATCH(U$38&amp;$A40,$B$50:$B$361&amp;$D$50:$D$361,0),MATCH(U$36,$E$49:$O$49,0))</f>
        <v>1824.8492496032618</v>
      </c>
      <c r="V40" s="14">
        <f t="array" ref="V40">INDEX($E$50:$O$361,MATCH(V$38&amp;$A40,$B$50:$B$361&amp;$D$50:$D$361,0),MATCH(V$36,$E$49:$O$49,0))</f>
        <v>2303.6010357385239</v>
      </c>
      <c r="W40" s="14">
        <f t="array" ref="W40">INDEX($E$50:$O$361,MATCH(W$38&amp;$A40,$B$50:$B$361&amp;$D$50:$D$361,0),MATCH(W$36,$E$49:$O$49,0))</f>
        <v>2236.6223339332651</v>
      </c>
      <c r="X40" s="14" t="e">
        <f t="array" ref="X40">INDEX($E$50:$O$361,MATCH(X$38&amp;$A40,$B$50:$B$361&amp;$D$50:$D$361,0),MATCH(X$36,$E$49:$O$49,0))</f>
        <v>#N/A</v>
      </c>
      <c r="Y40" s="14" t="e">
        <f t="array" ref="Y40">INDEX($E$50:$O$361,MATCH(Y$38&amp;$A40,$B$50:$B$361&amp;$D$50:$D$361,0),MATCH(Y$36,$E$49:$O$49,0))</f>
        <v>#N/A</v>
      </c>
      <c r="Z40" s="14" t="e">
        <f t="array" ref="Z40">INDEX($E$50:$O$361,MATCH(Z$38&amp;$A40,$B$50:$B$361&amp;$D$50:$D$361,0),MATCH(Z$36,$E$49:$O$49,0))</f>
        <v>#N/A</v>
      </c>
    </row>
    <row r="41" spans="1:26" x14ac:dyDescent="0.3">
      <c r="A41" s="3" t="s">
        <v>333</v>
      </c>
      <c r="B41" s="14">
        <f t="array" ref="B41">INDEX($E$50:$O$361,MATCH(B$38&amp;$A41,$B$50:$B$361&amp;$D$50:$D$361,0),MATCH(B$36,$E$49:$O$49,0))</f>
        <v>169.39599598719545</v>
      </c>
      <c r="C41" s="14">
        <f t="array" ref="C41">INDEX($E$50:$O$361,MATCH(C$38&amp;$A41,$B$50:$B$361&amp;$D$50:$D$361,0),MATCH(C$36,$E$49:$O$49,0))</f>
        <v>175.15830181655548</v>
      </c>
      <c r="D41" s="14">
        <f t="array" ref="D41">INDEX($E$50:$O$361,MATCH(D$38&amp;$A41,$B$50:$B$361&amp;$D$50:$D$361,0),MATCH(D$36,$E$49:$O$49,0))</f>
        <v>175.15830181655548</v>
      </c>
      <c r="E41" s="14">
        <f t="array" ref="E41">INDEX($E$50:$O$361,MATCH(E$38&amp;$A41,$B$50:$B$361&amp;$D$50:$D$361,0),MATCH(E$36,$E$49:$O$49,0))</f>
        <v>175.15830181655548</v>
      </c>
      <c r="F41" s="14">
        <f t="array" ref="F41">INDEX($E$50:$O$361,MATCH(F$38&amp;$A41,$B$50:$B$361&amp;$D$50:$D$361,0),MATCH(F$36,$E$49:$O$49,0))</f>
        <v>175.15830181655548</v>
      </c>
      <c r="G41" s="14">
        <f t="array" ref="G41">INDEX($E$50:$O$361,MATCH(G$38&amp;$A41,$B$50:$B$361&amp;$D$50:$D$361,0),MATCH(G$36,$E$49:$O$49,0))</f>
        <v>175.15830181655548</v>
      </c>
      <c r="H41" s="14">
        <f t="array" ref="H41">INDEX($E$50:$O$361,MATCH(H$38&amp;$A41,$B$50:$B$361&amp;$D$50:$D$361,0),MATCH(H$36,$E$49:$O$49,0))</f>
        <v>175.15830181655548</v>
      </c>
      <c r="I41" s="14">
        <f t="array" ref="I41">INDEX($E$50:$O$361,MATCH(I$38&amp;$A41,$B$50:$B$361&amp;$D$50:$D$361,0),MATCH(I$36,$E$49:$O$49,0))</f>
        <v>175.15830181655548</v>
      </c>
      <c r="J41" s="14">
        <f t="array" ref="J41">INDEX($E$50:$O$361,MATCH(J$38&amp;$A41,$B$50:$B$361&amp;$D$50:$D$361,0),MATCH(J$36,$E$49:$O$49,0))</f>
        <v>175.15830181655548</v>
      </c>
      <c r="K41" s="14">
        <f t="array" ref="K41">INDEX($E$50:$O$361,MATCH(K$38&amp;$A41,$B$50:$B$361&amp;$D$50:$D$361,0),MATCH(K$36,$E$49:$O$49,0))</f>
        <v>175.15830181655548</v>
      </c>
      <c r="L41" s="14" t="e">
        <f t="array" ref="L41">INDEX($E$50:$O$361,MATCH(L$38&amp;$A41,$B$50:$B$361&amp;$D$50:$D$361,0),MATCH(L$36,$E$49:$O$49,0))</f>
        <v>#N/A</v>
      </c>
      <c r="M41" s="14" t="e">
        <f t="array" ref="M41">INDEX($E$50:$O$361,MATCH(M$38&amp;$A41,$B$50:$B$361&amp;$D$50:$D$361,0),MATCH(M$36,$E$49:$O$49,0))</f>
        <v>#N/A</v>
      </c>
      <c r="N41" s="14" t="e">
        <f t="array" ref="N41">INDEX($E$50:$O$361,MATCH(N$38&amp;$A41,$B$50:$B$361&amp;$D$50:$D$361,0),MATCH(N$36,$E$49:$O$49,0))</f>
        <v>#N/A</v>
      </c>
      <c r="O41" s="14">
        <f t="array" ref="O41">INDEX($E$50:$O$361,MATCH(O$38&amp;$A41,$B$50:$B$361&amp;$D$50:$D$361,0),MATCH(O$36,$E$49:$O$49,0))</f>
        <v>180.1031409584196</v>
      </c>
      <c r="P41" s="14">
        <f t="array" ref="P41">INDEX($E$50:$O$361,MATCH(P$38&amp;$A41,$B$50:$B$361&amp;$D$50:$D$361,0),MATCH(P$36,$E$49:$O$49,0))</f>
        <v>180.1031409584196</v>
      </c>
      <c r="Q41" s="14">
        <f t="array" ref="Q41">INDEX($E$50:$O$361,MATCH(Q$38&amp;$A41,$B$50:$B$361&amp;$D$50:$D$361,0),MATCH(Q$36,$E$49:$O$49,0))</f>
        <v>180.1031409584196</v>
      </c>
      <c r="R41" s="14">
        <f t="array" ref="R41">INDEX($E$50:$O$361,MATCH(R$38&amp;$A41,$B$50:$B$361&amp;$D$50:$D$361,0),MATCH(R$36,$E$49:$O$49,0))</f>
        <v>180.1031409584196</v>
      </c>
      <c r="S41" s="14">
        <f t="array" ref="S41">INDEX($E$50:$O$361,MATCH(S$38&amp;$A41,$B$50:$B$361&amp;$D$50:$D$361,0),MATCH(S$36,$E$49:$O$49,0))</f>
        <v>180.1031409584196</v>
      </c>
      <c r="T41" s="14">
        <f t="array" ref="T41">INDEX($E$50:$O$361,MATCH(T$38&amp;$A41,$B$50:$B$361&amp;$D$50:$D$361,0),MATCH(T$36,$E$49:$O$49,0))</f>
        <v>147.14316499568608</v>
      </c>
      <c r="U41" s="14">
        <f t="array" ref="U41">INDEX($E$50:$O$361,MATCH(U$38&amp;$A41,$B$50:$B$361&amp;$D$50:$D$361,0),MATCH(U$36,$E$49:$O$49,0))</f>
        <v>155.71598893546371</v>
      </c>
      <c r="V41" s="14">
        <f t="array" ref="V41">INDEX($E$50:$O$361,MATCH(V$38&amp;$A41,$B$50:$B$361&amp;$D$50:$D$361,0),MATCH(V$36,$E$49:$O$49,0))</f>
        <v>180.1031409584196</v>
      </c>
      <c r="W41" s="14">
        <f t="array" ref="W41">INDEX($E$50:$O$361,MATCH(W$38&amp;$A41,$B$50:$B$361&amp;$D$50:$D$361,0),MATCH(W$36,$E$49:$O$49,0))</f>
        <v>180.08177711199255</v>
      </c>
      <c r="X41" s="14" t="e">
        <f t="array" ref="X41">INDEX($E$50:$O$361,MATCH(X$38&amp;$A41,$B$50:$B$361&amp;$D$50:$D$361,0),MATCH(X$36,$E$49:$O$49,0))</f>
        <v>#N/A</v>
      </c>
      <c r="Y41" s="14" t="e">
        <f t="array" ref="Y41">INDEX($E$50:$O$361,MATCH(Y$38&amp;$A41,$B$50:$B$361&amp;$D$50:$D$361,0),MATCH(Y$36,$E$49:$O$49,0))</f>
        <v>#N/A</v>
      </c>
      <c r="Z41" s="14" t="e">
        <f t="array" ref="Z41">INDEX($E$50:$O$361,MATCH(Z$38&amp;$A41,$B$50:$B$361&amp;$D$50:$D$361,0),MATCH(Z$36,$E$49:$O$49,0))</f>
        <v>#N/A</v>
      </c>
    </row>
    <row r="42" spans="1:26" x14ac:dyDescent="0.3">
      <c r="A42" s="3" t="s">
        <v>334</v>
      </c>
      <c r="B42" s="14">
        <f t="array" ref="B42">INDEX($E$50:$O$361,MATCH(B$38&amp;$A42,$B$50:$B$361&amp;$D$50:$D$361,0),MATCH(B$36,$E$49:$O$49,0))</f>
        <v>894.21413961009341</v>
      </c>
      <c r="C42" s="14">
        <f t="array" ref="C42">INDEX($E$50:$O$361,MATCH(C$38&amp;$A42,$B$50:$B$361&amp;$D$50:$D$361,0),MATCH(C$36,$E$49:$O$49,0))</f>
        <v>1375.5475785566452</v>
      </c>
      <c r="D42" s="14">
        <f t="array" ref="D42">INDEX($E$50:$O$361,MATCH(D$38&amp;$A42,$B$50:$B$361&amp;$D$50:$D$361,0),MATCH(D$36,$E$49:$O$49,0))</f>
        <v>1375.5475785566457</v>
      </c>
      <c r="E42" s="14">
        <f t="array" ref="E42">INDEX($E$50:$O$361,MATCH(E$38&amp;$A42,$B$50:$B$361&amp;$D$50:$D$361,0),MATCH(E$36,$E$49:$O$49,0))</f>
        <v>1375.5475785566455</v>
      </c>
      <c r="F42" s="14">
        <f t="array" ref="F42">INDEX($E$50:$O$361,MATCH(F$38&amp;$A42,$B$50:$B$361&amp;$D$50:$D$361,0),MATCH(F$36,$E$49:$O$49,0))</f>
        <v>1375.5475785566455</v>
      </c>
      <c r="G42" s="14">
        <f t="array" ref="G42">INDEX($E$50:$O$361,MATCH(G$38&amp;$A42,$B$50:$B$361&amp;$D$50:$D$361,0),MATCH(G$36,$E$49:$O$49,0))</f>
        <v>1375.5475785566455</v>
      </c>
      <c r="H42" s="14">
        <f t="array" ref="H42">INDEX($E$50:$O$361,MATCH(H$38&amp;$A42,$B$50:$B$361&amp;$D$50:$D$361,0),MATCH(H$36,$E$49:$O$49,0))</f>
        <v>1360.3776299758706</v>
      </c>
      <c r="I42" s="14">
        <f t="array" ref="I42">INDEX($E$50:$O$361,MATCH(I$38&amp;$A42,$B$50:$B$361&amp;$D$50:$D$361,0),MATCH(I$36,$E$49:$O$49,0))</f>
        <v>1375.5475785566455</v>
      </c>
      <c r="J42" s="14">
        <f t="array" ref="J42">INDEX($E$50:$O$361,MATCH(J$38&amp;$A42,$B$50:$B$361&amp;$D$50:$D$361,0),MATCH(J$36,$E$49:$O$49,0))</f>
        <v>1375.5475785566452</v>
      </c>
      <c r="K42" s="14">
        <f t="array" ref="K42">INDEX($E$50:$O$361,MATCH(K$38&amp;$A42,$B$50:$B$361&amp;$D$50:$D$361,0),MATCH(K$36,$E$49:$O$49,0))</f>
        <v>1375.5475785566455</v>
      </c>
      <c r="L42" s="14" t="e">
        <f t="array" ref="L42">INDEX($E$50:$O$361,MATCH(L$38&amp;$A42,$B$50:$B$361&amp;$D$50:$D$361,0),MATCH(L$36,$E$49:$O$49,0))</f>
        <v>#N/A</v>
      </c>
      <c r="M42" s="14" t="e">
        <f t="array" ref="M42">INDEX($E$50:$O$361,MATCH(M$38&amp;$A42,$B$50:$B$361&amp;$D$50:$D$361,0),MATCH(M$36,$E$49:$O$49,0))</f>
        <v>#N/A</v>
      </c>
      <c r="N42" s="14" t="e">
        <f t="array" ref="N42">INDEX($E$50:$O$361,MATCH(N$38&amp;$A42,$B$50:$B$361&amp;$D$50:$D$361,0),MATCH(N$36,$E$49:$O$49,0))</f>
        <v>#N/A</v>
      </c>
      <c r="O42" s="14">
        <f t="array" ref="O42">INDEX($E$50:$O$361,MATCH(O$38&amp;$A42,$B$50:$B$361&amp;$D$50:$D$361,0),MATCH(O$36,$E$49:$O$49,0))</f>
        <v>2025.3126300276215</v>
      </c>
      <c r="P42" s="14">
        <f t="array" ref="P42">INDEX($E$50:$O$361,MATCH(P$38&amp;$A42,$B$50:$B$361&amp;$D$50:$D$361,0),MATCH(P$36,$E$49:$O$49,0))</f>
        <v>2025.3126300276206</v>
      </c>
      <c r="Q42" s="14">
        <f t="array" ref="Q42">INDEX($E$50:$O$361,MATCH(Q$38&amp;$A42,$B$50:$B$361&amp;$D$50:$D$361,0),MATCH(Q$36,$E$49:$O$49,0))</f>
        <v>2025.3126300276215</v>
      </c>
      <c r="R42" s="14">
        <f t="array" ref="R42">INDEX($E$50:$O$361,MATCH(R$38&amp;$A42,$B$50:$B$361&amp;$D$50:$D$361,0),MATCH(R$36,$E$49:$O$49,0))</f>
        <v>2025.312630027621</v>
      </c>
      <c r="S42" s="14">
        <f t="array" ref="S42">INDEX($E$50:$O$361,MATCH(S$38&amp;$A42,$B$50:$B$361&amp;$D$50:$D$361,0),MATCH(S$36,$E$49:$O$49,0))</f>
        <v>2025.3126300276215</v>
      </c>
      <c r="T42" s="14">
        <f t="array" ref="T42">INDEX($E$50:$O$361,MATCH(T$38&amp;$A42,$B$50:$B$361&amp;$D$50:$D$361,0),MATCH(T$36,$E$49:$O$49,0))</f>
        <v>1592.053645630758</v>
      </c>
      <c r="U42" s="14">
        <f t="array" ref="U42">INDEX($E$50:$O$361,MATCH(U$38&amp;$A42,$B$50:$B$361&amp;$D$50:$D$361,0),MATCH(U$36,$E$49:$O$49,0))</f>
        <v>1717.659817267066</v>
      </c>
      <c r="V42" s="14">
        <f t="array" ref="V42">INDEX($E$50:$O$361,MATCH(V$38&amp;$A42,$B$50:$B$361&amp;$D$50:$D$361,0),MATCH(V$36,$E$49:$O$49,0))</f>
        <v>2025.3126300276215</v>
      </c>
      <c r="W42" s="14">
        <f t="array" ref="W42">INDEX($E$50:$O$361,MATCH(W$38&amp;$A42,$B$50:$B$361&amp;$D$50:$D$361,0),MATCH(W$36,$E$49:$O$49,0))</f>
        <v>2007.1760341254005</v>
      </c>
      <c r="X42" s="14" t="e">
        <f t="array" ref="X42">INDEX($E$50:$O$361,MATCH(X$38&amp;$A42,$B$50:$B$361&amp;$D$50:$D$361,0),MATCH(X$36,$E$49:$O$49,0))</f>
        <v>#N/A</v>
      </c>
      <c r="Y42" s="14" t="e">
        <f t="array" ref="Y42">INDEX($E$50:$O$361,MATCH(Y$38&amp;$A42,$B$50:$B$361&amp;$D$50:$D$361,0),MATCH(Y$36,$E$49:$O$49,0))</f>
        <v>#N/A</v>
      </c>
      <c r="Z42" s="14" t="e">
        <f t="array" ref="Z42">INDEX($E$50:$O$361,MATCH(Z$38&amp;$A42,$B$50:$B$361&amp;$D$50:$D$361,0),MATCH(Z$36,$E$49:$O$49,0))</f>
        <v>#N/A</v>
      </c>
    </row>
    <row r="43" spans="1:26" x14ac:dyDescent="0.3">
      <c r="A43" s="3" t="s">
        <v>335</v>
      </c>
      <c r="B43" s="14">
        <f t="array" ref="B43">INDEX($E$50:$O$361,MATCH(B$38&amp;$A43,$B$50:$B$361&amp;$D$50:$D$361,0),MATCH(B$36,$E$49:$O$49,0))</f>
        <v>4082.6935657435747</v>
      </c>
      <c r="C43" s="14">
        <f t="array" ref="C43">INDEX($E$50:$O$361,MATCH(C$38&amp;$A43,$B$50:$B$361&amp;$D$50:$D$361,0),MATCH(C$36,$E$49:$O$49,0))</f>
        <v>5690.8087984717567</v>
      </c>
      <c r="D43" s="14">
        <f t="array" ref="D43">INDEX($E$50:$O$361,MATCH(D$38&amp;$A43,$B$50:$B$361&amp;$D$50:$D$361,0),MATCH(D$36,$E$49:$O$49,0))</f>
        <v>5690.8087984717595</v>
      </c>
      <c r="E43" s="14">
        <f t="array" ref="E43">INDEX($E$50:$O$361,MATCH(E$38&amp;$A43,$B$50:$B$361&amp;$D$50:$D$361,0),MATCH(E$36,$E$49:$O$49,0))</f>
        <v>5690.8087984717622</v>
      </c>
      <c r="F43" s="14">
        <f t="array" ref="F43">INDEX($E$50:$O$361,MATCH(F$38&amp;$A43,$B$50:$B$361&amp;$D$50:$D$361,0),MATCH(F$36,$E$49:$O$49,0))</f>
        <v>5633.4127499572569</v>
      </c>
      <c r="G43" s="14">
        <f t="array" ref="G43">INDEX($E$50:$O$361,MATCH(G$38&amp;$A43,$B$50:$B$361&amp;$D$50:$D$361,0),MATCH(G$36,$E$49:$O$49,0))</f>
        <v>5690.8087984717622</v>
      </c>
      <c r="H43" s="14">
        <f t="array" ref="H43">INDEX($E$50:$O$361,MATCH(H$38&amp;$A43,$B$50:$B$361&amp;$D$50:$D$361,0),MATCH(H$36,$E$49:$O$49,0))</f>
        <v>5384.017397644845</v>
      </c>
      <c r="I43" s="14">
        <f t="array" ref="I43">INDEX($E$50:$O$361,MATCH(I$38&amp;$A43,$B$50:$B$361&amp;$D$50:$D$361,0),MATCH(I$36,$E$49:$O$49,0))</f>
        <v>5690.8087984717622</v>
      </c>
      <c r="J43" s="14">
        <f t="array" ref="J43">INDEX($E$50:$O$361,MATCH(J$38&amp;$A43,$B$50:$B$361&amp;$D$50:$D$361,0),MATCH(J$36,$E$49:$O$49,0))</f>
        <v>5612.7086547850195</v>
      </c>
      <c r="K43" s="14">
        <f t="array" ref="K43">INDEX($E$50:$O$361,MATCH(K$38&amp;$A43,$B$50:$B$361&amp;$D$50:$D$361,0),MATCH(K$36,$E$49:$O$49,0))</f>
        <v>5690.8087984717622</v>
      </c>
      <c r="L43" s="14" t="e">
        <f t="array" ref="L43">INDEX($E$50:$O$361,MATCH(L$38&amp;$A43,$B$50:$B$361&amp;$D$50:$D$361,0),MATCH(L$36,$E$49:$O$49,0))</f>
        <v>#N/A</v>
      </c>
      <c r="M43" s="14" t="e">
        <f t="array" ref="M43">INDEX($E$50:$O$361,MATCH(M$38&amp;$A43,$B$50:$B$361&amp;$D$50:$D$361,0),MATCH(M$36,$E$49:$O$49,0))</f>
        <v>#N/A</v>
      </c>
      <c r="N43" s="14" t="e">
        <f t="array" ref="N43">INDEX($E$50:$O$361,MATCH(N$38&amp;$A43,$B$50:$B$361&amp;$D$50:$D$361,0),MATCH(N$36,$E$49:$O$49,0))</f>
        <v>#N/A</v>
      </c>
      <c r="O43" s="14">
        <f t="array" ref="O43">INDEX($E$50:$O$361,MATCH(O$38&amp;$A43,$B$50:$B$361&amp;$D$50:$D$361,0),MATCH(O$36,$E$49:$O$49,0))</f>
        <v>7201.0651902290756</v>
      </c>
      <c r="P43" s="14">
        <f t="array" ref="P43">INDEX($E$50:$O$361,MATCH(P$38&amp;$A43,$B$50:$B$361&amp;$D$50:$D$361,0),MATCH(P$36,$E$49:$O$49,0))</f>
        <v>7201.0651902290774</v>
      </c>
      <c r="Q43" s="14">
        <f t="array" ref="Q43">INDEX($E$50:$O$361,MATCH(Q$38&amp;$A43,$B$50:$B$361&amp;$D$50:$D$361,0),MATCH(Q$36,$E$49:$O$49,0))</f>
        <v>7205.3148862941634</v>
      </c>
      <c r="R43" s="14">
        <f t="array" ref="R43">INDEX($E$50:$O$361,MATCH(R$38&amp;$A43,$B$50:$B$361&amp;$D$50:$D$361,0),MATCH(R$36,$E$49:$O$49,0))</f>
        <v>7204.5616711087714</v>
      </c>
      <c r="S43" s="14">
        <f t="array" ref="S43">INDEX($E$50:$O$361,MATCH(S$38&amp;$A43,$B$50:$B$361&amp;$D$50:$D$361,0),MATCH(S$36,$E$49:$O$49,0))</f>
        <v>7203.5812793083469</v>
      </c>
      <c r="T43" s="14">
        <f t="array" ref="T43">INDEX($E$50:$O$361,MATCH(T$38&amp;$A43,$B$50:$B$361&amp;$D$50:$D$361,0),MATCH(T$36,$E$49:$O$49,0))</f>
        <v>5389.7989283291754</v>
      </c>
      <c r="U43" s="14">
        <f t="array" ref="U43">INDEX($E$50:$O$361,MATCH(U$38&amp;$A43,$B$50:$B$361&amp;$D$50:$D$361,0),MATCH(U$36,$E$49:$O$49,0))</f>
        <v>5644.6024803577438</v>
      </c>
      <c r="V43" s="14">
        <f t="array" ref="V43">INDEX($E$50:$O$361,MATCH(V$38&amp;$A43,$B$50:$B$361&amp;$D$50:$D$361,0),MATCH(V$36,$E$49:$O$49,0))</f>
        <v>7179.6635334108987</v>
      </c>
      <c r="W43" s="14">
        <f t="array" ref="W43">INDEX($E$50:$O$361,MATCH(W$38&amp;$A43,$B$50:$B$361&amp;$D$50:$D$361,0),MATCH(W$36,$E$49:$O$49,0))</f>
        <v>7066.359367646497</v>
      </c>
      <c r="X43" s="14" t="e">
        <f t="array" ref="X43">INDEX($E$50:$O$361,MATCH(X$38&amp;$A43,$B$50:$B$361&amp;$D$50:$D$361,0),MATCH(X$36,$E$49:$O$49,0))</f>
        <v>#N/A</v>
      </c>
      <c r="Y43" s="14" t="e">
        <f t="array" ref="Y43">INDEX($E$50:$O$361,MATCH(Y$38&amp;$A43,$B$50:$B$361&amp;$D$50:$D$361,0),MATCH(Y$36,$E$49:$O$49,0))</f>
        <v>#N/A</v>
      </c>
      <c r="Z43" s="14" t="e">
        <f t="array" ref="Z43">INDEX($E$50:$O$361,MATCH(Z$38&amp;$A43,$B$50:$B$361&amp;$D$50:$D$361,0),MATCH(Z$36,$E$49:$O$49,0))</f>
        <v>#N/A</v>
      </c>
    </row>
    <row r="44" spans="1:26" x14ac:dyDescent="0.3">
      <c r="A44" s="3" t="s">
        <v>336</v>
      </c>
      <c r="B44" s="14">
        <f t="array" ref="B44">INDEX($E$50:$O$361,MATCH(B$38&amp;$A44,$B$50:$B$361&amp;$D$50:$D$361,0),MATCH(B$36,$E$49:$O$49,0))</f>
        <v>667.25533606737827</v>
      </c>
      <c r="C44" s="14">
        <f t="array" ref="C44">INDEX($E$50:$O$361,MATCH(C$38&amp;$A44,$B$50:$B$361&amp;$D$50:$D$361,0),MATCH(C$36,$E$49:$O$49,0))</f>
        <v>1088.2132483847263</v>
      </c>
      <c r="D44" s="14">
        <f t="array" ref="D44">INDEX($E$50:$O$361,MATCH(D$38&amp;$A44,$B$50:$B$361&amp;$D$50:$D$361,0),MATCH(D$36,$E$49:$O$49,0))</f>
        <v>1088.2132483847263</v>
      </c>
      <c r="E44" s="14">
        <f t="array" ref="E44">INDEX($E$50:$O$361,MATCH(E$38&amp;$A44,$B$50:$B$361&amp;$D$50:$D$361,0),MATCH(E$36,$E$49:$O$49,0))</f>
        <v>1088.2132483847263</v>
      </c>
      <c r="F44" s="14">
        <f t="array" ref="F44">INDEX($E$50:$O$361,MATCH(F$38&amp;$A44,$B$50:$B$361&amp;$D$50:$D$361,0),MATCH(F$36,$E$49:$O$49,0))</f>
        <v>1088.2132483847263</v>
      </c>
      <c r="G44" s="14">
        <f t="array" ref="G44">INDEX($E$50:$O$361,MATCH(G$38&amp;$A44,$B$50:$B$361&amp;$D$50:$D$361,0),MATCH(G$36,$E$49:$O$49,0))</f>
        <v>1088.2132483847263</v>
      </c>
      <c r="H44" s="14">
        <f t="array" ref="H44">INDEX($E$50:$O$361,MATCH(H$38&amp;$A44,$B$50:$B$361&amp;$D$50:$D$361,0),MATCH(H$36,$E$49:$O$49,0))</f>
        <v>1041.8401329951803</v>
      </c>
      <c r="I44" s="14">
        <f t="array" ref="I44">INDEX($E$50:$O$361,MATCH(I$38&amp;$A44,$B$50:$B$361&amp;$D$50:$D$361,0),MATCH(I$36,$E$49:$O$49,0))</f>
        <v>1088.2132483847263</v>
      </c>
      <c r="J44" s="14">
        <f t="array" ref="J44">INDEX($E$50:$O$361,MATCH(J$38&amp;$A44,$B$50:$B$361&amp;$D$50:$D$361,0),MATCH(J$36,$E$49:$O$49,0))</f>
        <v>1076.3228730583121</v>
      </c>
      <c r="K44" s="14">
        <f t="array" ref="K44">INDEX($E$50:$O$361,MATCH(K$38&amp;$A44,$B$50:$B$361&amp;$D$50:$D$361,0),MATCH(K$36,$E$49:$O$49,0))</f>
        <v>1088.2132483847263</v>
      </c>
      <c r="L44" s="14" t="e">
        <f t="array" ref="L44">INDEX($E$50:$O$361,MATCH(L$38&amp;$A44,$B$50:$B$361&amp;$D$50:$D$361,0),MATCH(L$36,$E$49:$O$49,0))</f>
        <v>#N/A</v>
      </c>
      <c r="M44" s="14" t="e">
        <f t="array" ref="M44">INDEX($E$50:$O$361,MATCH(M$38&amp;$A44,$B$50:$B$361&amp;$D$50:$D$361,0),MATCH(M$36,$E$49:$O$49,0))</f>
        <v>#N/A</v>
      </c>
      <c r="N44" s="14" t="e">
        <f t="array" ref="N44">INDEX($E$50:$O$361,MATCH(N$38&amp;$A44,$B$50:$B$361&amp;$D$50:$D$361,0),MATCH(N$36,$E$49:$O$49,0))</f>
        <v>#N/A</v>
      </c>
      <c r="O44" s="14">
        <f t="array" ref="O44">INDEX($E$50:$O$361,MATCH(O$38&amp;$A44,$B$50:$B$361&amp;$D$50:$D$361,0),MATCH(O$36,$E$49:$O$49,0))</f>
        <v>1654.7087339928396</v>
      </c>
      <c r="P44" s="14">
        <f t="array" ref="P44">INDEX($E$50:$O$361,MATCH(P$38&amp;$A44,$B$50:$B$361&amp;$D$50:$D$361,0),MATCH(P$36,$E$49:$O$49,0))</f>
        <v>1654.7087339928401</v>
      </c>
      <c r="Q44" s="14">
        <f t="array" ref="Q44">INDEX($E$50:$O$361,MATCH(Q$38&amp;$A44,$B$50:$B$361&amp;$D$50:$D$361,0),MATCH(Q$36,$E$49:$O$49,0))</f>
        <v>1654.7087339928398</v>
      </c>
      <c r="R44" s="14">
        <f t="array" ref="R44">INDEX($E$50:$O$361,MATCH(R$38&amp;$A44,$B$50:$B$361&amp;$D$50:$D$361,0),MATCH(R$36,$E$49:$O$49,0))</f>
        <v>1648.7929174419889</v>
      </c>
      <c r="S44" s="14">
        <f t="array" ref="S44">INDEX($E$50:$O$361,MATCH(S$38&amp;$A44,$B$50:$B$361&amp;$D$50:$D$361,0),MATCH(S$36,$E$49:$O$49,0))</f>
        <v>1625.2855817061566</v>
      </c>
      <c r="T44" s="14">
        <f t="array" ref="T44">INDEX($E$50:$O$361,MATCH(T$38&amp;$A44,$B$50:$B$361&amp;$D$50:$D$361,0),MATCH(T$36,$E$49:$O$49,0))</f>
        <v>1152.1452512347007</v>
      </c>
      <c r="U44" s="14">
        <f t="array" ref="U44">INDEX($E$50:$O$361,MATCH(U$38&amp;$A44,$B$50:$B$361&amp;$D$50:$D$361,0),MATCH(U$36,$E$49:$O$49,0))</f>
        <v>1257.0549456507295</v>
      </c>
      <c r="V44" s="14">
        <f t="array" ref="V44">INDEX($E$50:$O$361,MATCH(V$38&amp;$A44,$B$50:$B$361&amp;$D$50:$D$361,0),MATCH(V$36,$E$49:$O$49,0))</f>
        <v>1610.6320598895131</v>
      </c>
      <c r="W44" s="14">
        <f t="array" ref="W44">INDEX($E$50:$O$361,MATCH(W$38&amp;$A44,$B$50:$B$361&amp;$D$50:$D$361,0),MATCH(W$36,$E$49:$O$49,0))</f>
        <v>1566.1549878573155</v>
      </c>
      <c r="X44" s="14" t="e">
        <f t="array" ref="X44">INDEX($E$50:$O$361,MATCH(X$38&amp;$A44,$B$50:$B$361&amp;$D$50:$D$361,0),MATCH(X$36,$E$49:$O$49,0))</f>
        <v>#N/A</v>
      </c>
      <c r="Y44" s="14" t="e">
        <f t="array" ref="Y44">INDEX($E$50:$O$361,MATCH(Y$38&amp;$A44,$B$50:$B$361&amp;$D$50:$D$361,0),MATCH(Y$36,$E$49:$O$49,0))</f>
        <v>#N/A</v>
      </c>
      <c r="Z44" s="14" t="e">
        <f t="array" ref="Z44">INDEX($E$50:$O$361,MATCH(Z$38&amp;$A44,$B$50:$B$361&amp;$D$50:$D$361,0),MATCH(Z$36,$E$49:$O$49,0))</f>
        <v>#N/A</v>
      </c>
    </row>
    <row r="45" spans="1:26" x14ac:dyDescent="0.3">
      <c r="A45" s="3" t="s">
        <v>337</v>
      </c>
      <c r="B45" s="14">
        <f t="array" ref="B45">INDEX($E$50:$O$361,MATCH(B$38&amp;$A45,$B$50:$B$361&amp;$D$50:$D$361,0),MATCH(B$36,$E$49:$O$49,0))</f>
        <v>9604.0566614851487</v>
      </c>
      <c r="C45" s="14">
        <f t="array" ref="C45">INDEX($E$50:$O$361,MATCH(C$38&amp;$A45,$B$50:$B$361&amp;$D$50:$D$361,0),MATCH(C$36,$E$49:$O$49,0))</f>
        <v>17601.175858707185</v>
      </c>
      <c r="D45" s="14">
        <f t="array" ref="D45">INDEX($E$50:$O$361,MATCH(D$38&amp;$A45,$B$50:$B$361&amp;$D$50:$D$361,0),MATCH(D$36,$E$49:$O$49,0))</f>
        <v>17601.175858707185</v>
      </c>
      <c r="E45" s="14">
        <f t="array" ref="E45">INDEX($E$50:$O$361,MATCH(E$38&amp;$A45,$B$50:$B$361&amp;$D$50:$D$361,0),MATCH(E$36,$E$49:$O$49,0))</f>
        <v>17601.175858707189</v>
      </c>
      <c r="F45" s="14">
        <f t="array" ref="F45">INDEX($E$50:$O$361,MATCH(F$38&amp;$A45,$B$50:$B$361&amp;$D$50:$D$361,0),MATCH(F$36,$E$49:$O$49,0))</f>
        <v>17601.175858707185</v>
      </c>
      <c r="G45" s="14">
        <f t="array" ref="G45">INDEX($E$50:$O$361,MATCH(G$38&amp;$A45,$B$50:$B$361&amp;$D$50:$D$361,0),MATCH(G$36,$E$49:$O$49,0))</f>
        <v>17601.175858707189</v>
      </c>
      <c r="H45" s="14">
        <f t="array" ref="H45">INDEX($E$50:$O$361,MATCH(H$38&amp;$A45,$B$50:$B$361&amp;$D$50:$D$361,0),MATCH(H$36,$E$49:$O$49,0))</f>
        <v>16396.083010115988</v>
      </c>
      <c r="I45" s="14">
        <f t="array" ref="I45">INDEX($E$50:$O$361,MATCH(I$38&amp;$A45,$B$50:$B$361&amp;$D$50:$D$361,0),MATCH(I$36,$E$49:$O$49,0))</f>
        <v>17601.175858707189</v>
      </c>
      <c r="J45" s="14">
        <f t="array" ref="J45">INDEX($E$50:$O$361,MATCH(J$38&amp;$A45,$B$50:$B$361&amp;$D$50:$D$361,0),MATCH(J$36,$E$49:$O$49,0))</f>
        <v>17302.633767432406</v>
      </c>
      <c r="K45" s="14">
        <f t="array" ref="K45">INDEX($E$50:$O$361,MATCH(K$38&amp;$A45,$B$50:$B$361&amp;$D$50:$D$361,0),MATCH(K$36,$E$49:$O$49,0))</f>
        <v>17601.175858707189</v>
      </c>
      <c r="L45" s="14" t="e">
        <f t="array" ref="L45">INDEX($E$50:$O$361,MATCH(L$38&amp;$A45,$B$50:$B$361&amp;$D$50:$D$361,0),MATCH(L$36,$E$49:$O$49,0))</f>
        <v>#N/A</v>
      </c>
      <c r="M45" s="14" t="e">
        <f t="array" ref="M45">INDEX($E$50:$O$361,MATCH(M$38&amp;$A45,$B$50:$B$361&amp;$D$50:$D$361,0),MATCH(M$36,$E$49:$O$49,0))</f>
        <v>#N/A</v>
      </c>
      <c r="N45" s="14" t="e">
        <f t="array" ref="N45">INDEX($E$50:$O$361,MATCH(N$38&amp;$A45,$B$50:$B$361&amp;$D$50:$D$361,0),MATCH(N$36,$E$49:$O$49,0))</f>
        <v>#N/A</v>
      </c>
      <c r="O45" s="14">
        <f t="array" ref="O45">INDEX($E$50:$O$361,MATCH(O$38&amp;$A45,$B$50:$B$361&amp;$D$50:$D$361,0),MATCH(O$36,$E$49:$O$49,0))</f>
        <v>20017.263086372117</v>
      </c>
      <c r="P45" s="14">
        <f t="array" ref="P45">INDEX($E$50:$O$361,MATCH(P$38&amp;$A45,$B$50:$B$361&amp;$D$50:$D$361,0),MATCH(P$36,$E$49:$O$49,0))</f>
        <v>20017.263086372117</v>
      </c>
      <c r="Q45" s="14">
        <f t="array" ref="Q45">INDEX($E$50:$O$361,MATCH(Q$38&amp;$A45,$B$50:$B$361&amp;$D$50:$D$361,0),MATCH(Q$36,$E$49:$O$49,0))</f>
        <v>20017.263086372117</v>
      </c>
      <c r="R45" s="14">
        <f t="array" ref="R45">INDEX($E$50:$O$361,MATCH(R$38&amp;$A45,$B$50:$B$361&amp;$D$50:$D$361,0),MATCH(R$36,$E$49:$O$49,0))</f>
        <v>20017.263086372117</v>
      </c>
      <c r="S45" s="14">
        <f t="array" ref="S45">INDEX($E$50:$O$361,MATCH(S$38&amp;$A45,$B$50:$B$361&amp;$D$50:$D$361,0),MATCH(S$36,$E$49:$O$49,0))</f>
        <v>20017.263086372106</v>
      </c>
      <c r="T45" s="14">
        <f t="array" ref="T45">INDEX($E$50:$O$361,MATCH(T$38&amp;$A45,$B$50:$B$361&amp;$D$50:$D$361,0),MATCH(T$36,$E$49:$O$49,0))</f>
        <v>14249.711509726358</v>
      </c>
      <c r="U45" s="14">
        <f t="array" ref="U45">INDEX($E$50:$O$361,MATCH(U$38&amp;$A45,$B$50:$B$361&amp;$D$50:$D$361,0),MATCH(U$36,$E$49:$O$49,0))</f>
        <v>15557.889701427179</v>
      </c>
      <c r="V45" s="14">
        <f t="array" ref="V45">INDEX($E$50:$O$361,MATCH(V$38&amp;$A45,$B$50:$B$361&amp;$D$50:$D$361,0),MATCH(V$36,$E$49:$O$49,0))</f>
        <v>19816.62329391194</v>
      </c>
      <c r="W45" s="14">
        <f t="array" ref="W45">INDEX($E$50:$O$361,MATCH(W$38&amp;$A45,$B$50:$B$361&amp;$D$50:$D$361,0),MATCH(W$36,$E$49:$O$49,0))</f>
        <v>19581.222259002254</v>
      </c>
      <c r="X45" s="14" t="e">
        <f t="array" ref="X45">INDEX($E$50:$O$361,MATCH(X$38&amp;$A45,$B$50:$B$361&amp;$D$50:$D$361,0),MATCH(X$36,$E$49:$O$49,0))</f>
        <v>#N/A</v>
      </c>
      <c r="Y45" s="14" t="e">
        <f t="array" ref="Y45">INDEX($E$50:$O$361,MATCH(Y$38&amp;$A45,$B$50:$B$361&amp;$D$50:$D$361,0),MATCH(Y$36,$E$49:$O$49,0))</f>
        <v>#N/A</v>
      </c>
      <c r="Z45" s="14" t="e">
        <f t="array" ref="Z45">INDEX($E$50:$O$361,MATCH(Z$38&amp;$A45,$B$50:$B$361&amp;$D$50:$D$361,0),MATCH(Z$36,$E$49:$O$49,0))</f>
        <v>#N/A</v>
      </c>
    </row>
    <row r="46" spans="1:26" x14ac:dyDescent="0.3">
      <c r="A46" s="3" t="s">
        <v>338</v>
      </c>
      <c r="B46" s="14">
        <f t="array" ref="B46">INDEX($E$50:$O$361,MATCH(B$38&amp;$A46,$B$50:$B$361&amp;$D$50:$D$361,0),MATCH(B$36,$E$49:$O$49,0))</f>
        <v>524.93618944866842</v>
      </c>
      <c r="C46" s="14">
        <f t="array" ref="C46">INDEX($E$50:$O$361,MATCH(C$38&amp;$A46,$B$50:$B$361&amp;$D$50:$D$361,0),MATCH(C$36,$E$49:$O$49,0))</f>
        <v>559.27948645064043</v>
      </c>
      <c r="D46" s="14">
        <f t="array" ref="D46">INDEX($E$50:$O$361,MATCH(D$38&amp;$A46,$B$50:$B$361&amp;$D$50:$D$361,0),MATCH(D$36,$E$49:$O$49,0))</f>
        <v>559.27948645064043</v>
      </c>
      <c r="E46" s="14">
        <f t="array" ref="E46">INDEX($E$50:$O$361,MATCH(E$38&amp;$A46,$B$50:$B$361&amp;$D$50:$D$361,0),MATCH(E$36,$E$49:$O$49,0))</f>
        <v>559.27948645064043</v>
      </c>
      <c r="F46" s="14">
        <f t="array" ref="F46">INDEX($E$50:$O$361,MATCH(F$38&amp;$A46,$B$50:$B$361&amp;$D$50:$D$361,0),MATCH(F$36,$E$49:$O$49,0))</f>
        <v>559.27948645064043</v>
      </c>
      <c r="G46" s="14">
        <f t="array" ref="G46">INDEX($E$50:$O$361,MATCH(G$38&amp;$A46,$B$50:$B$361&amp;$D$50:$D$361,0),MATCH(G$36,$E$49:$O$49,0))</f>
        <v>559.27948645064043</v>
      </c>
      <c r="H46" s="14">
        <f t="array" ref="H46">INDEX($E$50:$O$361,MATCH(H$38&amp;$A46,$B$50:$B$361&amp;$D$50:$D$361,0),MATCH(H$36,$E$49:$O$49,0))</f>
        <v>559.27948645064043</v>
      </c>
      <c r="I46" s="14">
        <f t="array" ref="I46">INDEX($E$50:$O$361,MATCH(I$38&amp;$A46,$B$50:$B$361&amp;$D$50:$D$361,0),MATCH(I$36,$E$49:$O$49,0))</f>
        <v>559.27948645064043</v>
      </c>
      <c r="J46" s="14">
        <f t="array" ref="J46">INDEX($E$50:$O$361,MATCH(J$38&amp;$A46,$B$50:$B$361&amp;$D$50:$D$361,0),MATCH(J$36,$E$49:$O$49,0))</f>
        <v>559.27948645064043</v>
      </c>
      <c r="K46" s="14">
        <f t="array" ref="K46">INDEX($E$50:$O$361,MATCH(K$38&amp;$A46,$B$50:$B$361&amp;$D$50:$D$361,0),MATCH(K$36,$E$49:$O$49,0))</f>
        <v>559.27948645064043</v>
      </c>
      <c r="L46" s="14" t="e">
        <f t="array" ref="L46">INDEX($E$50:$O$361,MATCH(L$38&amp;$A46,$B$50:$B$361&amp;$D$50:$D$361,0),MATCH(L$36,$E$49:$O$49,0))</f>
        <v>#N/A</v>
      </c>
      <c r="M46" s="14" t="e">
        <f t="array" ref="M46">INDEX($E$50:$O$361,MATCH(M$38&amp;$A46,$B$50:$B$361&amp;$D$50:$D$361,0),MATCH(M$36,$E$49:$O$49,0))</f>
        <v>#N/A</v>
      </c>
      <c r="N46" s="14" t="e">
        <f t="array" ref="N46">INDEX($E$50:$O$361,MATCH(N$38&amp;$A46,$B$50:$B$361&amp;$D$50:$D$361,0),MATCH(N$36,$E$49:$O$49,0))</f>
        <v>#N/A</v>
      </c>
      <c r="O46" s="14">
        <f t="array" ref="O46">INDEX($E$50:$O$361,MATCH(O$38&amp;$A46,$B$50:$B$361&amp;$D$50:$D$361,0),MATCH(O$36,$E$49:$O$49,0))</f>
        <v>595.35266871306351</v>
      </c>
      <c r="P46" s="14">
        <f t="array" ref="P46">INDEX($E$50:$O$361,MATCH(P$38&amp;$A46,$B$50:$B$361&amp;$D$50:$D$361,0),MATCH(P$36,$E$49:$O$49,0))</f>
        <v>595.35266871306351</v>
      </c>
      <c r="Q46" s="14">
        <f t="array" ref="Q46">INDEX($E$50:$O$361,MATCH(Q$38&amp;$A46,$B$50:$B$361&amp;$D$50:$D$361,0),MATCH(Q$36,$E$49:$O$49,0))</f>
        <v>595.35266871306351</v>
      </c>
      <c r="R46" s="14">
        <f t="array" ref="R46">INDEX($E$50:$O$361,MATCH(R$38&amp;$A46,$B$50:$B$361&amp;$D$50:$D$361,0),MATCH(R$36,$E$49:$O$49,0))</f>
        <v>595.35266871306351</v>
      </c>
      <c r="S46" s="14">
        <f t="array" ref="S46">INDEX($E$50:$O$361,MATCH(S$38&amp;$A46,$B$50:$B$361&amp;$D$50:$D$361,0),MATCH(S$36,$E$49:$O$49,0))</f>
        <v>595.35266871306351</v>
      </c>
      <c r="T46" s="14">
        <f t="array" ref="T46">INDEX($E$50:$O$361,MATCH(T$38&amp;$A46,$B$50:$B$361&amp;$D$50:$D$361,0),MATCH(T$36,$E$49:$O$49,0))</f>
        <v>489.35723635159337</v>
      </c>
      <c r="U46" s="14">
        <f t="array" ref="U46">INDEX($E$50:$O$361,MATCH(U$38&amp;$A46,$B$50:$B$361&amp;$D$50:$D$361,0),MATCH(U$36,$E$49:$O$49,0))</f>
        <v>517.882617294331</v>
      </c>
      <c r="V46" s="14">
        <f t="array" ref="V46">INDEX($E$50:$O$361,MATCH(V$38&amp;$A46,$B$50:$B$361&amp;$D$50:$D$361,0),MATCH(V$36,$E$49:$O$49,0))</f>
        <v>595.35266871306351</v>
      </c>
      <c r="W46" s="14">
        <f t="array" ref="W46">INDEX($E$50:$O$361,MATCH(W$38&amp;$A46,$B$50:$B$361&amp;$D$50:$D$361,0),MATCH(W$36,$E$49:$O$49,0))</f>
        <v>595.21752712452201</v>
      </c>
      <c r="X46" s="14" t="e">
        <f t="array" ref="X46">INDEX($E$50:$O$361,MATCH(X$38&amp;$A46,$B$50:$B$361&amp;$D$50:$D$361,0),MATCH(X$36,$E$49:$O$49,0))</f>
        <v>#N/A</v>
      </c>
      <c r="Y46" s="14" t="e">
        <f t="array" ref="Y46">INDEX($E$50:$O$361,MATCH(Y$38&amp;$A46,$B$50:$B$361&amp;$D$50:$D$361,0),MATCH(Y$36,$E$49:$O$49,0))</f>
        <v>#N/A</v>
      </c>
      <c r="Z46" s="14" t="e">
        <f t="array" ref="Z46">INDEX($E$50:$O$361,MATCH(Z$38&amp;$A46,$B$50:$B$361&amp;$D$50:$D$361,0),MATCH(Z$36,$E$49:$O$49,0))</f>
        <v>#N/A</v>
      </c>
    </row>
    <row r="47" spans="1:26" ht="15" thickBot="1" x14ac:dyDescent="0.35"/>
    <row r="48" spans="1:26" s="15" customFormat="1" ht="15" thickBot="1" x14ac:dyDescent="0.35">
      <c r="A48" s="15" t="s">
        <v>198</v>
      </c>
      <c r="S48" s="16"/>
    </row>
    <row r="49" spans="1:15" x14ac:dyDescent="0.3">
      <c r="A49" s="3" t="s">
        <v>86</v>
      </c>
      <c r="B49" s="3" t="s">
        <v>8</v>
      </c>
      <c r="C49" s="3" t="s">
        <v>289</v>
      </c>
      <c r="D49" s="3" t="s">
        <v>330</v>
      </c>
      <c r="E49" s="3">
        <v>2007</v>
      </c>
      <c r="F49" s="3">
        <v>2012</v>
      </c>
      <c r="G49" s="3">
        <v>2020</v>
      </c>
      <c r="H49" s="3">
        <v>2030</v>
      </c>
      <c r="I49" s="3">
        <v>2040</v>
      </c>
      <c r="J49" s="3">
        <v>2050</v>
      </c>
      <c r="K49" s="3">
        <v>2060</v>
      </c>
      <c r="L49" s="3">
        <v>2070</v>
      </c>
      <c r="M49" s="3">
        <v>2080</v>
      </c>
      <c r="N49" s="3">
        <v>2090</v>
      </c>
      <c r="O49" s="3">
        <v>2100</v>
      </c>
    </row>
    <row r="50" spans="1:15" x14ac:dyDescent="0.3">
      <c r="A50" s="3" t="str">
        <f>INDEX('R1. Scenario specifications'!$C$11:$C$49,MATCH($B50,'R1. Scenario specifications'!$A$11:$A$49,0))</f>
        <v>TIAM BAU - No Policy Action</v>
      </c>
      <c r="B50" s="3" t="s">
        <v>11</v>
      </c>
      <c r="C50" s="3" t="s">
        <v>290</v>
      </c>
      <c r="D50" s="3" t="s">
        <v>331</v>
      </c>
      <c r="E50" s="14">
        <v>303.90443076149791</v>
      </c>
      <c r="F50" s="14">
        <v>326.15031746610555</v>
      </c>
      <c r="G50" s="14">
        <v>347.05566024922416</v>
      </c>
      <c r="H50" s="14">
        <v>353.33506067595152</v>
      </c>
      <c r="I50" s="14">
        <v>370.02282354897739</v>
      </c>
      <c r="J50" s="14">
        <v>380.92275123968454</v>
      </c>
      <c r="K50" s="14">
        <v>387.07184299541922</v>
      </c>
      <c r="L50" s="14">
        <v>389.28835008534401</v>
      </c>
      <c r="M50" s="14">
        <v>387.7366974374512</v>
      </c>
      <c r="N50" s="14">
        <v>383.00735356521182</v>
      </c>
      <c r="O50" s="14">
        <v>376.08776823080092</v>
      </c>
    </row>
    <row r="51" spans="1:15" x14ac:dyDescent="0.3">
      <c r="A51" s="3" t="str">
        <f>INDEX('R1. Scenario specifications'!$C$11:$C$49,MATCH($B51,'R1. Scenario specifications'!$A$11:$A$49,0))</f>
        <v>TIAM BAU - No Policy Action</v>
      </c>
      <c r="B51" s="3" t="s">
        <v>11</v>
      </c>
      <c r="C51" s="3" t="s">
        <v>291</v>
      </c>
      <c r="D51" s="3" t="s">
        <v>332</v>
      </c>
      <c r="E51" s="14">
        <v>704.60532435919743</v>
      </c>
      <c r="F51" s="14">
        <v>860.97149986110526</v>
      </c>
      <c r="G51" s="14">
        <v>1146.4631336452248</v>
      </c>
      <c r="H51" s="14">
        <v>1500.2632370055157</v>
      </c>
      <c r="I51" s="14">
        <v>1914.960114441913</v>
      </c>
      <c r="J51" s="14">
        <v>2354.8824149802972</v>
      </c>
      <c r="K51" s="14">
        <v>2571.6540711055554</v>
      </c>
      <c r="L51" s="14">
        <v>2787.171298024607</v>
      </c>
      <c r="M51" s="14">
        <v>2990.1838120222883</v>
      </c>
      <c r="N51" s="14">
        <v>3182.4847600124795</v>
      </c>
      <c r="O51" s="14">
        <v>3366.5555907419866</v>
      </c>
    </row>
    <row r="52" spans="1:15" x14ac:dyDescent="0.3">
      <c r="A52" s="3" t="str">
        <f>INDEX('R1. Scenario specifications'!$C$11:$C$49,MATCH($B52,'R1. Scenario specifications'!$A$11:$A$49,0))</f>
        <v>TIAM BAU - No Policy Action</v>
      </c>
      <c r="B52" s="3" t="s">
        <v>11</v>
      </c>
      <c r="C52" s="3" t="s">
        <v>292</v>
      </c>
      <c r="D52" s="3" t="s">
        <v>333</v>
      </c>
      <c r="E52" s="14">
        <v>159.73830278697653</v>
      </c>
      <c r="F52" s="14">
        <v>169.39599598719545</v>
      </c>
      <c r="G52" s="14">
        <v>176.71914238919692</v>
      </c>
      <c r="H52" s="14">
        <v>175.15830181655548</v>
      </c>
      <c r="I52" s="14">
        <v>178.93494630264837</v>
      </c>
      <c r="J52" s="14">
        <v>180.1031409584196</v>
      </c>
      <c r="K52" s="14">
        <v>178.82582710171826</v>
      </c>
      <c r="L52" s="14">
        <v>175.78189501677815</v>
      </c>
      <c r="M52" s="14">
        <v>171.47940350173073</v>
      </c>
      <c r="N52" s="14">
        <v>166.23136037709438</v>
      </c>
      <c r="O52" s="14">
        <v>160.73057164452095</v>
      </c>
    </row>
    <row r="53" spans="1:15" x14ac:dyDescent="0.3">
      <c r="A53" s="3" t="str">
        <f>INDEX('R1. Scenario specifications'!$C$11:$C$49,MATCH($B53,'R1. Scenario specifications'!$A$11:$A$49,0))</f>
        <v>TIAM BAU - No Policy Action</v>
      </c>
      <c r="B53" s="3" t="s">
        <v>11</v>
      </c>
      <c r="C53" s="3" t="s">
        <v>293</v>
      </c>
      <c r="D53" s="3" t="s">
        <v>334</v>
      </c>
      <c r="E53" s="14">
        <v>773.46518919181767</v>
      </c>
      <c r="F53" s="14">
        <v>894.21413961009341</v>
      </c>
      <c r="G53" s="14">
        <v>1118.0496051339931</v>
      </c>
      <c r="H53" s="14">
        <v>1375.5475785566452</v>
      </c>
      <c r="I53" s="14">
        <v>1689.2067853781325</v>
      </c>
      <c r="J53" s="14">
        <v>2025.3126300276215</v>
      </c>
      <c r="K53" s="14">
        <v>2195.4707514569668</v>
      </c>
      <c r="L53" s="14">
        <v>2366.5190259502397</v>
      </c>
      <c r="M53" s="14">
        <v>2529.9920647358485</v>
      </c>
      <c r="N53" s="14">
        <v>2686.1979558801263</v>
      </c>
      <c r="O53" s="14">
        <v>2834.7797992863784</v>
      </c>
    </row>
    <row r="54" spans="1:15" x14ac:dyDescent="0.3">
      <c r="A54" s="3" t="str">
        <f>INDEX('R1. Scenario specifications'!$C$11:$C$49,MATCH($B54,'R1. Scenario specifications'!$A$11:$A$49,0))</f>
        <v>TIAM BAU - No Policy Action</v>
      </c>
      <c r="B54" s="3" t="s">
        <v>11</v>
      </c>
      <c r="C54" s="3" t="s">
        <v>294</v>
      </c>
      <c r="D54" s="3" t="s">
        <v>335</v>
      </c>
      <c r="E54" s="14">
        <v>3279.7723348946201</v>
      </c>
      <c r="F54" s="14">
        <v>4082.6935657435747</v>
      </c>
      <c r="G54" s="14">
        <v>5207.7532954788758</v>
      </c>
      <c r="H54" s="14">
        <v>5690.8087984717567</v>
      </c>
      <c r="I54" s="14">
        <v>6139.8503589514557</v>
      </c>
      <c r="J54" s="14">
        <v>7201.0651902290756</v>
      </c>
      <c r="K54" s="14">
        <v>7812.9959600712618</v>
      </c>
      <c r="L54" s="14">
        <v>8399.8605286232523</v>
      </c>
      <c r="M54" s="14">
        <v>8919.287943000294</v>
      </c>
      <c r="N54" s="14">
        <v>9411.3990970713694</v>
      </c>
      <c r="O54" s="14">
        <v>9879.680342487236</v>
      </c>
    </row>
    <row r="55" spans="1:15" x14ac:dyDescent="0.3">
      <c r="A55" s="3" t="str">
        <f>INDEX('R1. Scenario specifications'!$C$11:$C$49,MATCH($B55,'R1. Scenario specifications'!$A$11:$A$49,0))</f>
        <v>TIAM BAU - No Policy Action</v>
      </c>
      <c r="B55" s="3" t="s">
        <v>11</v>
      </c>
      <c r="C55" s="3" t="s">
        <v>295</v>
      </c>
      <c r="D55" s="3" t="s">
        <v>336</v>
      </c>
      <c r="E55" s="14">
        <v>554.93024628706178</v>
      </c>
      <c r="F55" s="14">
        <v>667.25533606737827</v>
      </c>
      <c r="G55" s="14">
        <v>860.61058351424708</v>
      </c>
      <c r="H55" s="14">
        <v>1088.2132483847263</v>
      </c>
      <c r="I55" s="14">
        <v>1361.5777300071209</v>
      </c>
      <c r="J55" s="14">
        <v>1654.7087339928396</v>
      </c>
      <c r="K55" s="14">
        <v>1806.3004080184432</v>
      </c>
      <c r="L55" s="14">
        <v>1964.8695278465248</v>
      </c>
      <c r="M55" s="14">
        <v>2124.4753931053388</v>
      </c>
      <c r="N55" s="14">
        <v>2277.7871303535885</v>
      </c>
      <c r="O55" s="14">
        <v>2425.7106529082253</v>
      </c>
    </row>
    <row r="56" spans="1:15" x14ac:dyDescent="0.3">
      <c r="A56" s="3" t="str">
        <f>INDEX('R1. Scenario specifications'!$C$11:$C$49,MATCH($B56,'R1. Scenario specifications'!$A$11:$A$49,0))</f>
        <v>TIAM BAU - No Policy Action</v>
      </c>
      <c r="B56" s="3" t="s">
        <v>11</v>
      </c>
      <c r="C56" s="3" t="s">
        <v>296</v>
      </c>
      <c r="D56" s="3" t="s">
        <v>337</v>
      </c>
      <c r="E56" s="14">
        <v>6768.21079303233</v>
      </c>
      <c r="F56" s="14">
        <v>9604.0566614851487</v>
      </c>
      <c r="G56" s="14">
        <v>16237.412608619816</v>
      </c>
      <c r="H56" s="14">
        <v>17601.175858707185</v>
      </c>
      <c r="I56" s="14">
        <v>16779.146430788529</v>
      </c>
      <c r="J56" s="14">
        <v>20017.263086372117</v>
      </c>
      <c r="K56" s="14">
        <v>21780.524686421086</v>
      </c>
      <c r="L56" s="14">
        <v>23398.308457327003</v>
      </c>
      <c r="M56" s="14">
        <v>25059.689178762699</v>
      </c>
      <c r="N56" s="14">
        <v>26803.274541214014</v>
      </c>
      <c r="O56" s="14">
        <v>28739.059332887773</v>
      </c>
    </row>
    <row r="57" spans="1:15" x14ac:dyDescent="0.3">
      <c r="A57" s="3" t="str">
        <f>INDEX('R1. Scenario specifications'!$C$11:$C$49,MATCH($B57,'R1. Scenario specifications'!$A$11:$A$49,0))</f>
        <v>TIAM BAU - No Policy Action</v>
      </c>
      <c r="B57" s="3" t="s">
        <v>11</v>
      </c>
      <c r="C57" s="3" t="s">
        <v>297</v>
      </c>
      <c r="D57" s="3" t="s">
        <v>338</v>
      </c>
      <c r="E57" s="14">
        <v>490.51449976830594</v>
      </c>
      <c r="F57" s="14">
        <v>524.93618944866842</v>
      </c>
      <c r="G57" s="14">
        <v>555.19395083536801</v>
      </c>
      <c r="H57" s="14">
        <v>559.27948645064043</v>
      </c>
      <c r="I57" s="14">
        <v>581.30123858818172</v>
      </c>
      <c r="J57" s="14">
        <v>595.35266871306351</v>
      </c>
      <c r="K57" s="14">
        <v>601.15064540820595</v>
      </c>
      <c r="L57" s="14">
        <v>600.62628992940495</v>
      </c>
      <c r="M57" s="14">
        <v>595.1473363544626</v>
      </c>
      <c r="N57" s="14">
        <v>585.49041985978283</v>
      </c>
      <c r="O57" s="14">
        <v>573.55260782751282</v>
      </c>
    </row>
    <row r="58" spans="1:15" x14ac:dyDescent="0.3">
      <c r="A58" s="3" t="str">
        <f>INDEX('R1. Scenario specifications'!$C$11:$C$49,MATCH($B58,'R1. Scenario specifications'!$A$11:$A$49,0))</f>
        <v>Vivid BAU - WEO Current Policies Scenario emissions pathway run through TIAM</v>
      </c>
      <c r="B58" s="3" t="s">
        <v>13</v>
      </c>
      <c r="C58" s="3" t="s">
        <v>290</v>
      </c>
      <c r="D58" s="3" t="s">
        <v>331</v>
      </c>
      <c r="E58" s="14">
        <v>303.90443076149791</v>
      </c>
      <c r="F58" s="14">
        <v>326.15031746610555</v>
      </c>
      <c r="G58" s="14">
        <v>347.05566024922416</v>
      </c>
      <c r="H58" s="14">
        <v>353.33506067595152</v>
      </c>
      <c r="I58" s="14">
        <v>370.02282354897739</v>
      </c>
      <c r="J58" s="14">
        <v>380.92275123968454</v>
      </c>
      <c r="K58" s="14">
        <v>387.07184299541922</v>
      </c>
      <c r="L58" s="14">
        <v>389.28835008534401</v>
      </c>
      <c r="M58" s="14">
        <v>387.7366974374512</v>
      </c>
      <c r="N58" s="14">
        <v>383.00735356521182</v>
      </c>
      <c r="O58" s="14">
        <v>376.08776823080092</v>
      </c>
    </row>
    <row r="59" spans="1:15" x14ac:dyDescent="0.3">
      <c r="A59" s="3" t="str">
        <f>INDEX('R1. Scenario specifications'!$C$11:$C$49,MATCH($B59,'R1. Scenario specifications'!$A$11:$A$49,0))</f>
        <v>Vivid BAU - WEO Current Policies Scenario emissions pathway run through TIAM</v>
      </c>
      <c r="B59" s="3" t="s">
        <v>13</v>
      </c>
      <c r="C59" s="3" t="s">
        <v>291</v>
      </c>
      <c r="D59" s="3" t="s">
        <v>332</v>
      </c>
      <c r="E59" s="14">
        <v>704.60532435919743</v>
      </c>
      <c r="F59" s="14">
        <v>860.97149986110526</v>
      </c>
      <c r="G59" s="14">
        <v>1146.4631336452248</v>
      </c>
      <c r="H59" s="14">
        <v>1500.2632370055157</v>
      </c>
      <c r="I59" s="14">
        <v>1914.9601144419125</v>
      </c>
      <c r="J59" s="14">
        <v>2354.8824149802977</v>
      </c>
      <c r="K59" s="14">
        <v>2571.6540711055563</v>
      </c>
      <c r="L59" s="14">
        <v>2787.1712980246052</v>
      </c>
      <c r="M59" s="14">
        <v>2990.1838120222892</v>
      </c>
      <c r="N59" s="14">
        <v>3182.4847600124781</v>
      </c>
      <c r="O59" s="14">
        <v>3366.5555907419862</v>
      </c>
    </row>
    <row r="60" spans="1:15" x14ac:dyDescent="0.3">
      <c r="A60" s="3" t="str">
        <f>INDEX('R1. Scenario specifications'!$C$11:$C$49,MATCH($B60,'R1. Scenario specifications'!$A$11:$A$49,0))</f>
        <v>Vivid BAU - WEO Current Policies Scenario emissions pathway run through TIAM</v>
      </c>
      <c r="B60" s="3" t="s">
        <v>13</v>
      </c>
      <c r="C60" s="3" t="s">
        <v>292</v>
      </c>
      <c r="D60" s="3" t="s">
        <v>333</v>
      </c>
      <c r="E60" s="14">
        <v>159.73830278697653</v>
      </c>
      <c r="F60" s="14">
        <v>169.39599598719545</v>
      </c>
      <c r="G60" s="14">
        <v>176.71914238919692</v>
      </c>
      <c r="H60" s="14">
        <v>175.15830181655548</v>
      </c>
      <c r="I60" s="14">
        <v>178.93494630264837</v>
      </c>
      <c r="J60" s="14">
        <v>180.1031409584196</v>
      </c>
      <c r="K60" s="14">
        <v>178.82582710171826</v>
      </c>
      <c r="L60" s="14">
        <v>175.78189501677815</v>
      </c>
      <c r="M60" s="14">
        <v>171.47940350173073</v>
      </c>
      <c r="N60" s="14">
        <v>166.23136037709438</v>
      </c>
      <c r="O60" s="14">
        <v>160.73057164452095</v>
      </c>
    </row>
    <row r="61" spans="1:15" x14ac:dyDescent="0.3">
      <c r="A61" s="3" t="str">
        <f>INDEX('R1. Scenario specifications'!$C$11:$C$49,MATCH($B61,'R1. Scenario specifications'!$A$11:$A$49,0))</f>
        <v>Vivid BAU - WEO Current Policies Scenario emissions pathway run through TIAM</v>
      </c>
      <c r="B61" s="3" t="s">
        <v>13</v>
      </c>
      <c r="C61" s="3" t="s">
        <v>293</v>
      </c>
      <c r="D61" s="3" t="s">
        <v>334</v>
      </c>
      <c r="E61" s="14">
        <v>773.46518919181767</v>
      </c>
      <c r="F61" s="14">
        <v>894.21413961009296</v>
      </c>
      <c r="G61" s="14">
        <v>1118.049605133994</v>
      </c>
      <c r="H61" s="14">
        <v>1375.5475785566457</v>
      </c>
      <c r="I61" s="14">
        <v>1689.206785378133</v>
      </c>
      <c r="J61" s="14">
        <v>2025.3126300276206</v>
      </c>
      <c r="K61" s="14">
        <v>2195.4707514569673</v>
      </c>
      <c r="L61" s="14">
        <v>2366.5190259502378</v>
      </c>
      <c r="M61" s="14">
        <v>2529.9920647358485</v>
      </c>
      <c r="N61" s="14">
        <v>2686.1979558801263</v>
      </c>
      <c r="O61" s="14">
        <v>2834.7797992863789</v>
      </c>
    </row>
    <row r="62" spans="1:15" x14ac:dyDescent="0.3">
      <c r="A62" s="3" t="str">
        <f>INDEX('R1. Scenario specifications'!$C$11:$C$49,MATCH($B62,'R1. Scenario specifications'!$A$11:$A$49,0))</f>
        <v>Vivid BAU - WEO Current Policies Scenario emissions pathway run through TIAM</v>
      </c>
      <c r="B62" s="3" t="s">
        <v>13</v>
      </c>
      <c r="C62" s="3" t="s">
        <v>294</v>
      </c>
      <c r="D62" s="3" t="s">
        <v>335</v>
      </c>
      <c r="E62" s="14">
        <v>3279.7723348946201</v>
      </c>
      <c r="F62" s="14">
        <v>4082.6935657435747</v>
      </c>
      <c r="G62" s="14">
        <v>5207.7532954788785</v>
      </c>
      <c r="H62" s="14">
        <v>5690.8087984717595</v>
      </c>
      <c r="I62" s="14">
        <v>6139.8503589514557</v>
      </c>
      <c r="J62" s="14">
        <v>7201.0651902290774</v>
      </c>
      <c r="K62" s="14">
        <v>7812.9959600712609</v>
      </c>
      <c r="L62" s="14">
        <v>8399.8605286232523</v>
      </c>
      <c r="M62" s="14">
        <v>8919.2879430002959</v>
      </c>
      <c r="N62" s="14">
        <v>9411.3990970713694</v>
      </c>
      <c r="O62" s="14">
        <v>9879.680342487236</v>
      </c>
    </row>
    <row r="63" spans="1:15" x14ac:dyDescent="0.3">
      <c r="A63" s="3" t="str">
        <f>INDEX('R1. Scenario specifications'!$C$11:$C$49,MATCH($B63,'R1. Scenario specifications'!$A$11:$A$49,0))</f>
        <v>Vivid BAU - WEO Current Policies Scenario emissions pathway run through TIAM</v>
      </c>
      <c r="B63" s="3" t="s">
        <v>13</v>
      </c>
      <c r="C63" s="3" t="s">
        <v>295</v>
      </c>
      <c r="D63" s="3" t="s">
        <v>336</v>
      </c>
      <c r="E63" s="14">
        <v>554.93024628706178</v>
      </c>
      <c r="F63" s="14">
        <v>667.25533606737827</v>
      </c>
      <c r="G63" s="14">
        <v>860.61058351424685</v>
      </c>
      <c r="H63" s="14">
        <v>1088.2132483847263</v>
      </c>
      <c r="I63" s="14">
        <v>1361.5777300071206</v>
      </c>
      <c r="J63" s="14">
        <v>1654.7087339928401</v>
      </c>
      <c r="K63" s="14">
        <v>1806.3004080184426</v>
      </c>
      <c r="L63" s="14">
        <v>1964.8695278465252</v>
      </c>
      <c r="M63" s="14">
        <v>2124.4753931053388</v>
      </c>
      <c r="N63" s="14">
        <v>2277.7871303535899</v>
      </c>
      <c r="O63" s="14">
        <v>2425.7106529082253</v>
      </c>
    </row>
    <row r="64" spans="1:15" x14ac:dyDescent="0.3">
      <c r="A64" s="3" t="str">
        <f>INDEX('R1. Scenario specifications'!$C$11:$C$49,MATCH($B64,'R1. Scenario specifications'!$A$11:$A$49,0))</f>
        <v>Vivid BAU - WEO Current Policies Scenario emissions pathway run through TIAM</v>
      </c>
      <c r="B64" s="3" t="s">
        <v>13</v>
      </c>
      <c r="C64" s="3" t="s">
        <v>296</v>
      </c>
      <c r="D64" s="3" t="s">
        <v>337</v>
      </c>
      <c r="E64" s="14">
        <v>6768.21079303233</v>
      </c>
      <c r="F64" s="14">
        <v>9604.0566614851487</v>
      </c>
      <c r="G64" s="14">
        <v>16237.412608619816</v>
      </c>
      <c r="H64" s="14">
        <v>17601.175858707185</v>
      </c>
      <c r="I64" s="14">
        <v>16779.146430788529</v>
      </c>
      <c r="J64" s="14">
        <v>20017.263086372117</v>
      </c>
      <c r="K64" s="14">
        <v>21780.524686421086</v>
      </c>
      <c r="L64" s="14">
        <v>23398.30845732701</v>
      </c>
      <c r="M64" s="14">
        <v>25059.689178762688</v>
      </c>
      <c r="N64" s="14">
        <v>26803.274541214014</v>
      </c>
      <c r="O64" s="14">
        <v>28739.059332887773</v>
      </c>
    </row>
    <row r="65" spans="1:15" x14ac:dyDescent="0.3">
      <c r="A65" s="3" t="str">
        <f>INDEX('R1. Scenario specifications'!$C$11:$C$49,MATCH($B65,'R1. Scenario specifications'!$A$11:$A$49,0))</f>
        <v>Vivid BAU - WEO Current Policies Scenario emissions pathway run through TIAM</v>
      </c>
      <c r="B65" s="3" t="s">
        <v>13</v>
      </c>
      <c r="C65" s="3" t="s">
        <v>297</v>
      </c>
      <c r="D65" s="3" t="s">
        <v>338</v>
      </c>
      <c r="E65" s="14">
        <v>490.51449976830594</v>
      </c>
      <c r="F65" s="14">
        <v>524.93618944866842</v>
      </c>
      <c r="G65" s="14">
        <v>555.19395083536801</v>
      </c>
      <c r="H65" s="14">
        <v>559.27948645064043</v>
      </c>
      <c r="I65" s="14">
        <v>581.30123858818172</v>
      </c>
      <c r="J65" s="14">
        <v>595.35266871306351</v>
      </c>
      <c r="K65" s="14">
        <v>601.15064540820595</v>
      </c>
      <c r="L65" s="14">
        <v>600.62628992940495</v>
      </c>
      <c r="M65" s="14">
        <v>595.1473363544626</v>
      </c>
      <c r="N65" s="14">
        <v>585.49041985978283</v>
      </c>
      <c r="O65" s="14">
        <v>573.55260782751282</v>
      </c>
    </row>
    <row r="66" spans="1:15" x14ac:dyDescent="0.3">
      <c r="A66" s="3" t="str">
        <f>INDEX('R1. Scenario specifications'!$C$11:$C$49,MATCH($B66,'R1. Scenario specifications'!$A$11:$A$49,0))</f>
        <v>Vivid Paris NDCs - WEO New Policies Scenario emissions pathway run through TIAM</v>
      </c>
      <c r="B66" s="3" t="s">
        <v>14</v>
      </c>
      <c r="C66" s="3" t="s">
        <v>290</v>
      </c>
      <c r="D66" s="3" t="s">
        <v>331</v>
      </c>
      <c r="E66" s="14">
        <v>303.90443076149791</v>
      </c>
      <c r="F66" s="14">
        <v>326.15031746610555</v>
      </c>
      <c r="G66" s="14">
        <v>347.05566024922416</v>
      </c>
      <c r="H66" s="14">
        <v>353.33506067595158</v>
      </c>
      <c r="I66" s="14">
        <v>370.02282354897739</v>
      </c>
      <c r="J66" s="14">
        <v>380.92275123968443</v>
      </c>
      <c r="K66" s="14">
        <v>387.07184299541927</v>
      </c>
      <c r="L66" s="14">
        <v>389.28835008534412</v>
      </c>
      <c r="M66" s="14">
        <v>387.73669743745131</v>
      </c>
      <c r="N66" s="14">
        <v>383.00735356521176</v>
      </c>
      <c r="O66" s="14">
        <v>376.08776823080103</v>
      </c>
    </row>
    <row r="67" spans="1:15" x14ac:dyDescent="0.3">
      <c r="A67" s="3" t="str">
        <f>INDEX('R1. Scenario specifications'!$C$11:$C$49,MATCH($B67,'R1. Scenario specifications'!$A$11:$A$49,0))</f>
        <v>Vivid Paris NDCs - WEO New Policies Scenario emissions pathway run through TIAM</v>
      </c>
      <c r="B67" s="3" t="s">
        <v>14</v>
      </c>
      <c r="C67" s="3" t="s">
        <v>291</v>
      </c>
      <c r="D67" s="3" t="s">
        <v>332</v>
      </c>
      <c r="E67" s="14">
        <v>704.60532435919743</v>
      </c>
      <c r="F67" s="14">
        <v>860.97149986110526</v>
      </c>
      <c r="G67" s="14">
        <v>1146.4631336452248</v>
      </c>
      <c r="H67" s="14">
        <v>1500.2632370055153</v>
      </c>
      <c r="I67" s="14">
        <v>1914.960114441913</v>
      </c>
      <c r="J67" s="14">
        <v>2354.8824149802967</v>
      </c>
      <c r="K67" s="14">
        <v>2571.6540711055563</v>
      </c>
      <c r="L67" s="14">
        <v>2787.1712980246066</v>
      </c>
      <c r="M67" s="14">
        <v>2990.1838120222883</v>
      </c>
      <c r="N67" s="14">
        <v>3182.4847600124785</v>
      </c>
      <c r="O67" s="14">
        <v>3366.5555907419866</v>
      </c>
    </row>
    <row r="68" spans="1:15" x14ac:dyDescent="0.3">
      <c r="A68" s="3" t="str">
        <f>INDEX('R1. Scenario specifications'!$C$11:$C$49,MATCH($B68,'R1. Scenario specifications'!$A$11:$A$49,0))</f>
        <v>Vivid Paris NDCs - WEO New Policies Scenario emissions pathway run through TIAM</v>
      </c>
      <c r="B68" s="3" t="s">
        <v>14</v>
      </c>
      <c r="C68" s="3" t="s">
        <v>292</v>
      </c>
      <c r="D68" s="3" t="s">
        <v>333</v>
      </c>
      <c r="E68" s="14">
        <v>159.73830278697653</v>
      </c>
      <c r="F68" s="14">
        <v>169.39599598719545</v>
      </c>
      <c r="G68" s="14">
        <v>176.71914238919692</v>
      </c>
      <c r="H68" s="14">
        <v>175.15830181655548</v>
      </c>
      <c r="I68" s="14">
        <v>178.93494630264837</v>
      </c>
      <c r="J68" s="14">
        <v>180.1031409584196</v>
      </c>
      <c r="K68" s="14">
        <v>178.82582710171826</v>
      </c>
      <c r="L68" s="14">
        <v>175.78189501677815</v>
      </c>
      <c r="M68" s="14">
        <v>171.47940350173073</v>
      </c>
      <c r="N68" s="14">
        <v>166.23136037709438</v>
      </c>
      <c r="O68" s="14">
        <v>160.73057164452095</v>
      </c>
    </row>
    <row r="69" spans="1:15" x14ac:dyDescent="0.3">
      <c r="A69" s="3" t="str">
        <f>INDEX('R1. Scenario specifications'!$C$11:$C$49,MATCH($B69,'R1. Scenario specifications'!$A$11:$A$49,0))</f>
        <v>Vivid Paris NDCs - WEO New Policies Scenario emissions pathway run through TIAM</v>
      </c>
      <c r="B69" s="3" t="s">
        <v>14</v>
      </c>
      <c r="C69" s="3" t="s">
        <v>293</v>
      </c>
      <c r="D69" s="3" t="s">
        <v>334</v>
      </c>
      <c r="E69" s="14">
        <v>773.46518919181767</v>
      </c>
      <c r="F69" s="14">
        <v>894.21413961009341</v>
      </c>
      <c r="G69" s="14">
        <v>1118.0496051339933</v>
      </c>
      <c r="H69" s="14">
        <v>1375.5475785566455</v>
      </c>
      <c r="I69" s="14">
        <v>1689.2067853781327</v>
      </c>
      <c r="J69" s="14">
        <v>2025.3126300276215</v>
      </c>
      <c r="K69" s="14">
        <v>2195.4707514569664</v>
      </c>
      <c r="L69" s="14">
        <v>2366.5190259502378</v>
      </c>
      <c r="M69" s="14">
        <v>2529.9920647358481</v>
      </c>
      <c r="N69" s="14">
        <v>2686.1979558801281</v>
      </c>
      <c r="O69" s="14">
        <v>2834.7797992863793</v>
      </c>
    </row>
    <row r="70" spans="1:15" x14ac:dyDescent="0.3">
      <c r="A70" s="3" t="str">
        <f>INDEX('R1. Scenario specifications'!$C$11:$C$49,MATCH($B70,'R1. Scenario specifications'!$A$11:$A$49,0))</f>
        <v>Vivid Paris NDCs - WEO New Policies Scenario emissions pathway run through TIAM</v>
      </c>
      <c r="B70" s="3" t="s">
        <v>14</v>
      </c>
      <c r="C70" s="3" t="s">
        <v>294</v>
      </c>
      <c r="D70" s="3" t="s">
        <v>335</v>
      </c>
      <c r="E70" s="14">
        <v>3279.7723348946201</v>
      </c>
      <c r="F70" s="14">
        <v>4082.6935657435747</v>
      </c>
      <c r="G70" s="14">
        <v>5207.7532954788776</v>
      </c>
      <c r="H70" s="14">
        <v>5690.8087984717622</v>
      </c>
      <c r="I70" s="14">
        <v>6139.8503589514603</v>
      </c>
      <c r="J70" s="14">
        <v>7205.3148862941634</v>
      </c>
      <c r="K70" s="14">
        <v>7812.9959600712618</v>
      </c>
      <c r="L70" s="14">
        <v>8399.8605286232523</v>
      </c>
      <c r="M70" s="14">
        <v>8919.2879430002959</v>
      </c>
      <c r="N70" s="14">
        <v>9411.3990970713694</v>
      </c>
      <c r="O70" s="14">
        <v>9879.6803424872342</v>
      </c>
    </row>
    <row r="71" spans="1:15" x14ac:dyDescent="0.3">
      <c r="A71" s="3" t="str">
        <f>INDEX('R1. Scenario specifications'!$C$11:$C$49,MATCH($B71,'R1. Scenario specifications'!$A$11:$A$49,0))</f>
        <v>Vivid Paris NDCs - WEO New Policies Scenario emissions pathway run through TIAM</v>
      </c>
      <c r="B71" s="3" t="s">
        <v>14</v>
      </c>
      <c r="C71" s="3" t="s">
        <v>295</v>
      </c>
      <c r="D71" s="3" t="s">
        <v>336</v>
      </c>
      <c r="E71" s="14">
        <v>554.93024628706178</v>
      </c>
      <c r="F71" s="14">
        <v>667.25533606737827</v>
      </c>
      <c r="G71" s="14">
        <v>860.61058351424708</v>
      </c>
      <c r="H71" s="14">
        <v>1088.2132483847263</v>
      </c>
      <c r="I71" s="14">
        <v>1361.5777300071209</v>
      </c>
      <c r="J71" s="14">
        <v>1654.7087339928398</v>
      </c>
      <c r="K71" s="14">
        <v>1806.3004080184432</v>
      </c>
      <c r="L71" s="14">
        <v>1964.8695278465241</v>
      </c>
      <c r="M71" s="14">
        <v>2124.4753931053392</v>
      </c>
      <c r="N71" s="14">
        <v>2277.7871303535881</v>
      </c>
      <c r="O71" s="14">
        <v>2425.7106529082257</v>
      </c>
    </row>
    <row r="72" spans="1:15" x14ac:dyDescent="0.3">
      <c r="A72" s="3" t="str">
        <f>INDEX('R1. Scenario specifications'!$C$11:$C$49,MATCH($B72,'R1. Scenario specifications'!$A$11:$A$49,0))</f>
        <v>Vivid Paris NDCs - WEO New Policies Scenario emissions pathway run through TIAM</v>
      </c>
      <c r="B72" s="3" t="s">
        <v>14</v>
      </c>
      <c r="C72" s="3" t="s">
        <v>296</v>
      </c>
      <c r="D72" s="3" t="s">
        <v>337</v>
      </c>
      <c r="E72" s="14">
        <v>6768.21079303233</v>
      </c>
      <c r="F72" s="14">
        <v>9604.0566614851487</v>
      </c>
      <c r="G72" s="14">
        <v>16237.412608619818</v>
      </c>
      <c r="H72" s="14">
        <v>17601.175858707189</v>
      </c>
      <c r="I72" s="14">
        <v>16784.584106500006</v>
      </c>
      <c r="J72" s="14">
        <v>20017.263086372117</v>
      </c>
      <c r="K72" s="14">
        <v>21780.524686421082</v>
      </c>
      <c r="L72" s="14">
        <v>23398.308457327003</v>
      </c>
      <c r="M72" s="14">
        <v>25059.689178762699</v>
      </c>
      <c r="N72" s="14">
        <v>26803.274541214021</v>
      </c>
      <c r="O72" s="14">
        <v>28739.059332887769</v>
      </c>
    </row>
    <row r="73" spans="1:15" x14ac:dyDescent="0.3">
      <c r="A73" s="3" t="str">
        <f>INDEX('R1. Scenario specifications'!$C$11:$C$49,MATCH($B73,'R1. Scenario specifications'!$A$11:$A$49,0))</f>
        <v>Vivid Paris NDCs - WEO New Policies Scenario emissions pathway run through TIAM</v>
      </c>
      <c r="B73" s="3" t="s">
        <v>14</v>
      </c>
      <c r="C73" s="3" t="s">
        <v>297</v>
      </c>
      <c r="D73" s="3" t="s">
        <v>338</v>
      </c>
      <c r="E73" s="14">
        <v>490.51449976830594</v>
      </c>
      <c r="F73" s="14">
        <v>524.93618944866842</v>
      </c>
      <c r="G73" s="14">
        <v>555.19395083536801</v>
      </c>
      <c r="H73" s="14">
        <v>559.27948645064043</v>
      </c>
      <c r="I73" s="14">
        <v>581.30123858818172</v>
      </c>
      <c r="J73" s="14">
        <v>595.35266871306351</v>
      </c>
      <c r="K73" s="14">
        <v>601.15064540820595</v>
      </c>
      <c r="L73" s="14">
        <v>600.62628992940495</v>
      </c>
      <c r="M73" s="14">
        <v>595.1473363544626</v>
      </c>
      <c r="N73" s="14">
        <v>585.49041985978283</v>
      </c>
      <c r="O73" s="14">
        <v>573.55260782751282</v>
      </c>
    </row>
    <row r="74" spans="1:15" x14ac:dyDescent="0.3">
      <c r="A74" s="3" t="str">
        <f>INDEX('R1. Scenario specifications'!$C$11:$C$49,MATCH($B74,'R1. Scenario specifications'!$A$11:$A$49,0))</f>
        <v>Current 2DS, 2020 start, 'Expect the Unexpected'</v>
      </c>
      <c r="B74" s="3" t="s">
        <v>15</v>
      </c>
      <c r="C74" s="3" t="s">
        <v>290</v>
      </c>
      <c r="D74" s="3" t="s">
        <v>331</v>
      </c>
      <c r="E74" s="14">
        <v>303.90443076149791</v>
      </c>
      <c r="F74" s="14">
        <v>326.15031746610555</v>
      </c>
      <c r="G74" s="14">
        <v>347.05566024922416</v>
      </c>
      <c r="H74" s="14">
        <v>353.33506067595158</v>
      </c>
      <c r="I74" s="14">
        <v>371.01459260345575</v>
      </c>
      <c r="J74" s="14">
        <v>380.92275123968466</v>
      </c>
      <c r="K74" s="14">
        <v>387.07184299541927</v>
      </c>
      <c r="L74" s="14">
        <v>389.28835008534378</v>
      </c>
      <c r="M74" s="14">
        <v>387.7366974374512</v>
      </c>
      <c r="N74" s="14">
        <v>383.00735356521193</v>
      </c>
      <c r="O74" s="14">
        <v>376.08776823080092</v>
      </c>
    </row>
    <row r="75" spans="1:15" x14ac:dyDescent="0.3">
      <c r="A75" s="3" t="str">
        <f>INDEX('R1. Scenario specifications'!$C$11:$C$49,MATCH($B75,'R1. Scenario specifications'!$A$11:$A$49,0))</f>
        <v>Current 2DS, 2020 start, 'Expect the Unexpected'</v>
      </c>
      <c r="B75" s="3" t="s">
        <v>15</v>
      </c>
      <c r="C75" s="3" t="s">
        <v>291</v>
      </c>
      <c r="D75" s="3" t="s">
        <v>332</v>
      </c>
      <c r="E75" s="14">
        <v>704.60532435919743</v>
      </c>
      <c r="F75" s="14">
        <v>860.97149986110526</v>
      </c>
      <c r="G75" s="14">
        <v>1146.4631336452248</v>
      </c>
      <c r="H75" s="14">
        <v>1500.2632370055148</v>
      </c>
      <c r="I75" s="14">
        <v>1914.9601144419128</v>
      </c>
      <c r="J75" s="14">
        <v>2347.7648944910593</v>
      </c>
      <c r="K75" s="14">
        <v>2571.6540711055573</v>
      </c>
      <c r="L75" s="14">
        <v>2752.7345010796885</v>
      </c>
      <c r="M75" s="14">
        <v>2887.5065495135623</v>
      </c>
      <c r="N75" s="14">
        <v>3067.2222324194154</v>
      </c>
      <c r="O75" s="14">
        <v>3209.483525610593</v>
      </c>
    </row>
    <row r="76" spans="1:15" x14ac:dyDescent="0.3">
      <c r="A76" s="3" t="str">
        <f>INDEX('R1. Scenario specifications'!$C$11:$C$49,MATCH($B76,'R1. Scenario specifications'!$A$11:$A$49,0))</f>
        <v>Current 2DS, 2020 start, 'Expect the Unexpected'</v>
      </c>
      <c r="B76" s="3" t="s">
        <v>15</v>
      </c>
      <c r="C76" s="3" t="s">
        <v>292</v>
      </c>
      <c r="D76" s="3" t="s">
        <v>333</v>
      </c>
      <c r="E76" s="14">
        <v>159.73830278697653</v>
      </c>
      <c r="F76" s="14">
        <v>169.39599598719545</v>
      </c>
      <c r="G76" s="14">
        <v>176.71914238919692</v>
      </c>
      <c r="H76" s="14">
        <v>175.15830181655548</v>
      </c>
      <c r="I76" s="14">
        <v>178.93494630264837</v>
      </c>
      <c r="J76" s="14">
        <v>180.1031409584196</v>
      </c>
      <c r="K76" s="14">
        <v>178.82582710171826</v>
      </c>
      <c r="L76" s="14">
        <v>175.78189501677815</v>
      </c>
      <c r="M76" s="14">
        <v>171.47940350173073</v>
      </c>
      <c r="N76" s="14">
        <v>166.23136037709438</v>
      </c>
      <c r="O76" s="14">
        <v>160.18001933266896</v>
      </c>
    </row>
    <row r="77" spans="1:15" x14ac:dyDescent="0.3">
      <c r="A77" s="3" t="str">
        <f>INDEX('R1. Scenario specifications'!$C$11:$C$49,MATCH($B77,'R1. Scenario specifications'!$A$11:$A$49,0))</f>
        <v>Current 2DS, 2020 start, 'Expect the Unexpected'</v>
      </c>
      <c r="B77" s="3" t="s">
        <v>15</v>
      </c>
      <c r="C77" s="3" t="s">
        <v>293</v>
      </c>
      <c r="D77" s="3" t="s">
        <v>334</v>
      </c>
      <c r="E77" s="14">
        <v>773.46518919181767</v>
      </c>
      <c r="F77" s="14">
        <v>894.21413961009341</v>
      </c>
      <c r="G77" s="14">
        <v>1118.0496051339933</v>
      </c>
      <c r="H77" s="14">
        <v>1375.5475785566455</v>
      </c>
      <c r="I77" s="14">
        <v>1689.2067853781323</v>
      </c>
      <c r="J77" s="14">
        <v>2025.312630027621</v>
      </c>
      <c r="K77" s="14">
        <v>2195.4707514569668</v>
      </c>
      <c r="L77" s="14">
        <v>2366.5190259502374</v>
      </c>
      <c r="M77" s="14">
        <v>2529.9920647358485</v>
      </c>
      <c r="N77" s="14">
        <v>2652.8606561084143</v>
      </c>
      <c r="O77" s="14">
        <v>2778.0698433674506</v>
      </c>
    </row>
    <row r="78" spans="1:15" x14ac:dyDescent="0.3">
      <c r="A78" s="3" t="str">
        <f>INDEX('R1. Scenario specifications'!$C$11:$C$49,MATCH($B78,'R1. Scenario specifications'!$A$11:$A$49,0))</f>
        <v>Current 2DS, 2020 start, 'Expect the Unexpected'</v>
      </c>
      <c r="B78" s="3" t="s">
        <v>15</v>
      </c>
      <c r="C78" s="3" t="s">
        <v>294</v>
      </c>
      <c r="D78" s="3" t="s">
        <v>335</v>
      </c>
      <c r="E78" s="14">
        <v>3279.7723348946201</v>
      </c>
      <c r="F78" s="14">
        <v>4082.6935657435747</v>
      </c>
      <c r="G78" s="14">
        <v>5207.7532954788776</v>
      </c>
      <c r="H78" s="14">
        <v>5633.4127499572569</v>
      </c>
      <c r="I78" s="14">
        <v>6178.5040363303324</v>
      </c>
      <c r="J78" s="14">
        <v>7204.5616711087714</v>
      </c>
      <c r="K78" s="14">
        <v>7812.9959600712618</v>
      </c>
      <c r="L78" s="14">
        <v>8385.5214179117029</v>
      </c>
      <c r="M78" s="14">
        <v>8884.4284126902676</v>
      </c>
      <c r="N78" s="14">
        <v>9249.2704351285283</v>
      </c>
      <c r="O78" s="14">
        <v>9801.0400626348874</v>
      </c>
    </row>
    <row r="79" spans="1:15" x14ac:dyDescent="0.3">
      <c r="A79" s="3" t="str">
        <f>INDEX('R1. Scenario specifications'!$C$11:$C$49,MATCH($B79,'R1. Scenario specifications'!$A$11:$A$49,0))</f>
        <v>Current 2DS, 2020 start, 'Expect the Unexpected'</v>
      </c>
      <c r="B79" s="3" t="s">
        <v>15</v>
      </c>
      <c r="C79" s="3" t="s">
        <v>295</v>
      </c>
      <c r="D79" s="3" t="s">
        <v>336</v>
      </c>
      <c r="E79" s="14">
        <v>554.93024628706178</v>
      </c>
      <c r="F79" s="14">
        <v>667.25533606737827</v>
      </c>
      <c r="G79" s="14">
        <v>860.61058351424708</v>
      </c>
      <c r="H79" s="14">
        <v>1088.2132483847263</v>
      </c>
      <c r="I79" s="14">
        <v>1361.5777300071213</v>
      </c>
      <c r="J79" s="14">
        <v>1648.7929174419889</v>
      </c>
      <c r="K79" s="14">
        <v>1805.163329480187</v>
      </c>
      <c r="L79" s="14">
        <v>1932.7772981148478</v>
      </c>
      <c r="M79" s="14">
        <v>2049.3745228613971</v>
      </c>
      <c r="N79" s="14">
        <v>2172.6365939205939</v>
      </c>
      <c r="O79" s="14">
        <v>2272.515247575328</v>
      </c>
    </row>
    <row r="80" spans="1:15" x14ac:dyDescent="0.3">
      <c r="A80" s="3" t="str">
        <f>INDEX('R1. Scenario specifications'!$C$11:$C$49,MATCH($B80,'R1. Scenario specifications'!$A$11:$A$49,0))</f>
        <v>Current 2DS, 2020 start, 'Expect the Unexpected'</v>
      </c>
      <c r="B80" s="3" t="s">
        <v>15</v>
      </c>
      <c r="C80" s="3" t="s">
        <v>296</v>
      </c>
      <c r="D80" s="3" t="s">
        <v>337</v>
      </c>
      <c r="E80" s="14">
        <v>6768.21079303233</v>
      </c>
      <c r="F80" s="14">
        <v>9604.0566614851487</v>
      </c>
      <c r="G80" s="14">
        <v>16237.412608619818</v>
      </c>
      <c r="H80" s="14">
        <v>17601.175858707185</v>
      </c>
      <c r="I80" s="14">
        <v>16847.459696406273</v>
      </c>
      <c r="J80" s="14">
        <v>20017.263086372117</v>
      </c>
      <c r="K80" s="14">
        <v>21780.524686421086</v>
      </c>
      <c r="L80" s="14">
        <v>23168.721069809351</v>
      </c>
      <c r="M80" s="14">
        <v>24842.038645199056</v>
      </c>
      <c r="N80" s="14">
        <v>26452.523214068009</v>
      </c>
      <c r="O80" s="14">
        <v>28404.542404349631</v>
      </c>
    </row>
    <row r="81" spans="1:15" x14ac:dyDescent="0.3">
      <c r="A81" s="3" t="str">
        <f>INDEX('R1. Scenario specifications'!$C$11:$C$49,MATCH($B81,'R1. Scenario specifications'!$A$11:$A$49,0))</f>
        <v>Current 2DS, 2020 start, 'Expect the Unexpected'</v>
      </c>
      <c r="B81" s="3" t="s">
        <v>15</v>
      </c>
      <c r="C81" s="3" t="s">
        <v>297</v>
      </c>
      <c r="D81" s="3" t="s">
        <v>338</v>
      </c>
      <c r="E81" s="14">
        <v>490.51449976830594</v>
      </c>
      <c r="F81" s="14">
        <v>524.93618944866842</v>
      </c>
      <c r="G81" s="14">
        <v>555.19395083536801</v>
      </c>
      <c r="H81" s="14">
        <v>559.27948645064043</v>
      </c>
      <c r="I81" s="14">
        <v>581.30123858818172</v>
      </c>
      <c r="J81" s="14">
        <v>595.35266871306351</v>
      </c>
      <c r="K81" s="14">
        <v>601.15064540820595</v>
      </c>
      <c r="L81" s="14">
        <v>600.62628992940495</v>
      </c>
      <c r="M81" s="14">
        <v>595.1473363544626</v>
      </c>
      <c r="N81" s="14">
        <v>585.49041985978283</v>
      </c>
      <c r="O81" s="14">
        <v>570.46483332414027</v>
      </c>
    </row>
    <row r="82" spans="1:15" x14ac:dyDescent="0.3">
      <c r="A82" s="3" t="str">
        <f>INDEX('R1. Scenario specifications'!$C$11:$C$49,MATCH($B82,'R1. Scenario specifications'!$A$11:$A$49,0))</f>
        <v>Current 2DS, 2030 start, 'Expect the Unexpected' but with cheap energy efficiency</v>
      </c>
      <c r="B82" s="3" t="s">
        <v>16</v>
      </c>
      <c r="C82" s="3" t="s">
        <v>290</v>
      </c>
      <c r="D82" s="3" t="s">
        <v>331</v>
      </c>
      <c r="E82" s="14">
        <v>303.90443076149791</v>
      </c>
      <c r="F82" s="14">
        <v>326.15031746610555</v>
      </c>
      <c r="G82" s="14">
        <v>347.05566024922416</v>
      </c>
      <c r="H82" s="14">
        <v>353.33506067595158</v>
      </c>
      <c r="I82" s="14">
        <v>446.19510656302771</v>
      </c>
      <c r="J82" s="14">
        <v>457.10730148762104</v>
      </c>
      <c r="K82" s="14">
        <v>464.48621159450335</v>
      </c>
      <c r="L82" s="14">
        <v>467.14602010241299</v>
      </c>
      <c r="M82" s="14">
        <v>465.28403692494106</v>
      </c>
      <c r="N82" s="14">
        <v>459.6088242782543</v>
      </c>
      <c r="O82" s="14">
        <v>451.30532187696087</v>
      </c>
    </row>
    <row r="83" spans="1:15" x14ac:dyDescent="0.3">
      <c r="A83" s="3" t="str">
        <f>INDEX('R1. Scenario specifications'!$C$11:$C$49,MATCH($B83,'R1. Scenario specifications'!$A$11:$A$49,0))</f>
        <v>Current 2DS, 2030 start, 'Expect the Unexpected' but with cheap energy efficiency</v>
      </c>
      <c r="B83" s="3" t="s">
        <v>16</v>
      </c>
      <c r="C83" s="3" t="s">
        <v>291</v>
      </c>
      <c r="D83" s="3" t="s">
        <v>332</v>
      </c>
      <c r="E83" s="14">
        <v>704.60532435919743</v>
      </c>
      <c r="F83" s="14">
        <v>860.97149986110526</v>
      </c>
      <c r="G83" s="14">
        <v>1146.4631336452248</v>
      </c>
      <c r="H83" s="14">
        <v>1500.2632370055153</v>
      </c>
      <c r="I83" s="14">
        <v>1914.9601144419125</v>
      </c>
      <c r="J83" s="14">
        <v>2348.9566629707488</v>
      </c>
      <c r="K83" s="14">
        <v>2571.6540711055573</v>
      </c>
      <c r="L83" s="14">
        <v>2766.9589156602742</v>
      </c>
      <c r="M83" s="14">
        <v>2938.8378176293036</v>
      </c>
      <c r="N83" s="14">
        <v>3073.0909220782742</v>
      </c>
      <c r="O83" s="14">
        <v>3226.7485692998112</v>
      </c>
    </row>
    <row r="84" spans="1:15" x14ac:dyDescent="0.3">
      <c r="A84" s="3" t="str">
        <f>INDEX('R1. Scenario specifications'!$C$11:$C$49,MATCH($B84,'R1. Scenario specifications'!$A$11:$A$49,0))</f>
        <v>Current 2DS, 2030 start, 'Expect the Unexpected' but with cheap energy efficiency</v>
      </c>
      <c r="B84" s="3" t="s">
        <v>16</v>
      </c>
      <c r="C84" s="3" t="s">
        <v>292</v>
      </c>
      <c r="D84" s="3" t="s">
        <v>333</v>
      </c>
      <c r="E84" s="14">
        <v>159.73830278697653</v>
      </c>
      <c r="F84" s="14">
        <v>169.39599598719545</v>
      </c>
      <c r="G84" s="14">
        <v>176.71914238919692</v>
      </c>
      <c r="H84" s="14">
        <v>175.15830181655548</v>
      </c>
      <c r="I84" s="14">
        <v>178.93494630264837</v>
      </c>
      <c r="J84" s="14">
        <v>180.1031409584196</v>
      </c>
      <c r="K84" s="14">
        <v>178.82582710171826</v>
      </c>
      <c r="L84" s="14">
        <v>175.78189501677815</v>
      </c>
      <c r="M84" s="14">
        <v>171.47940350173073</v>
      </c>
      <c r="N84" s="14">
        <v>166.23136037709438</v>
      </c>
      <c r="O84" s="14">
        <v>160.71472907984685</v>
      </c>
    </row>
    <row r="85" spans="1:15" x14ac:dyDescent="0.3">
      <c r="A85" s="3" t="str">
        <f>INDEX('R1. Scenario specifications'!$C$11:$C$49,MATCH($B85,'R1. Scenario specifications'!$A$11:$A$49,0))</f>
        <v>Current 2DS, 2030 start, 'Expect the Unexpected' but with cheap energy efficiency</v>
      </c>
      <c r="B85" s="3" t="s">
        <v>16</v>
      </c>
      <c r="C85" s="3" t="s">
        <v>293</v>
      </c>
      <c r="D85" s="3" t="s">
        <v>334</v>
      </c>
      <c r="E85" s="14">
        <v>773.46518919181767</v>
      </c>
      <c r="F85" s="14">
        <v>894.21413961009341</v>
      </c>
      <c r="G85" s="14">
        <v>1118.0496051339933</v>
      </c>
      <c r="H85" s="14">
        <v>1375.5475785566455</v>
      </c>
      <c r="I85" s="14">
        <v>1689.2067853781327</v>
      </c>
      <c r="J85" s="14">
        <v>2025.3126300276219</v>
      </c>
      <c r="K85" s="14">
        <v>2195.4707514569677</v>
      </c>
      <c r="L85" s="14">
        <v>2366.5190259502369</v>
      </c>
      <c r="M85" s="14">
        <v>2529.9920647358481</v>
      </c>
      <c r="N85" s="14">
        <v>2686.1979558801268</v>
      </c>
      <c r="O85" s="14">
        <v>2797.9719901275539</v>
      </c>
    </row>
    <row r="86" spans="1:15" x14ac:dyDescent="0.3">
      <c r="A86" s="3" t="str">
        <f>INDEX('R1. Scenario specifications'!$C$11:$C$49,MATCH($B86,'R1. Scenario specifications'!$A$11:$A$49,0))</f>
        <v>Current 2DS, 2030 start, 'Expect the Unexpected' but with cheap energy efficiency</v>
      </c>
      <c r="B86" s="3" t="s">
        <v>16</v>
      </c>
      <c r="C86" s="3" t="s">
        <v>294</v>
      </c>
      <c r="D86" s="3" t="s">
        <v>335</v>
      </c>
      <c r="E86" s="14">
        <v>3279.7723348946201</v>
      </c>
      <c r="F86" s="14">
        <v>4082.6935657435747</v>
      </c>
      <c r="G86" s="14">
        <v>5207.7532954788776</v>
      </c>
      <c r="H86" s="14">
        <v>5690.8087984717622</v>
      </c>
      <c r="I86" s="14">
        <v>5070.9733025336145</v>
      </c>
      <c r="J86" s="14">
        <v>5584.6572314529212</v>
      </c>
      <c r="K86" s="14">
        <v>6047.2686946193662</v>
      </c>
      <c r="L86" s="14">
        <v>6485.1871972874751</v>
      </c>
      <c r="M86" s="14">
        <v>6884.1368392019058</v>
      </c>
      <c r="N86" s="14">
        <v>7242.549646328679</v>
      </c>
      <c r="O86" s="14">
        <v>7567.8825708237428</v>
      </c>
    </row>
    <row r="87" spans="1:15" x14ac:dyDescent="0.3">
      <c r="A87" s="3" t="str">
        <f>INDEX('R1. Scenario specifications'!$C$11:$C$49,MATCH($B87,'R1. Scenario specifications'!$A$11:$A$49,0))</f>
        <v>Current 2DS, 2030 start, 'Expect the Unexpected' but with cheap energy efficiency</v>
      </c>
      <c r="B87" s="3" t="s">
        <v>16</v>
      </c>
      <c r="C87" s="3" t="s">
        <v>295</v>
      </c>
      <c r="D87" s="3" t="s">
        <v>336</v>
      </c>
      <c r="E87" s="14">
        <v>554.93024628706178</v>
      </c>
      <c r="F87" s="14">
        <v>667.25533606737827</v>
      </c>
      <c r="G87" s="14">
        <v>860.61058351424708</v>
      </c>
      <c r="H87" s="14">
        <v>1088.2132483847263</v>
      </c>
      <c r="I87" s="14">
        <v>1361.5777300071211</v>
      </c>
      <c r="J87" s="14">
        <v>1648.7929174419885</v>
      </c>
      <c r="K87" s="14">
        <v>1806.3004080184423</v>
      </c>
      <c r="L87" s="14">
        <v>1945.3878401222778</v>
      </c>
      <c r="M87" s="14">
        <v>2061.997673155347</v>
      </c>
      <c r="N87" s="14">
        <v>2197.7531210290304</v>
      </c>
      <c r="O87" s="14">
        <v>2310.3113938598399</v>
      </c>
    </row>
    <row r="88" spans="1:15" x14ac:dyDescent="0.3">
      <c r="A88" s="3" t="str">
        <f>INDEX('R1. Scenario specifications'!$C$11:$C$49,MATCH($B88,'R1. Scenario specifications'!$A$11:$A$49,0))</f>
        <v>Current 2DS, 2030 start, 'Expect the Unexpected' but with cheap energy efficiency</v>
      </c>
      <c r="B88" s="3" t="s">
        <v>16</v>
      </c>
      <c r="C88" s="3" t="s">
        <v>296</v>
      </c>
      <c r="D88" s="3" t="s">
        <v>337</v>
      </c>
      <c r="E88" s="14">
        <v>6768.21079303233</v>
      </c>
      <c r="F88" s="14">
        <v>9604.0566614851487</v>
      </c>
      <c r="G88" s="14">
        <v>16237.412608619818</v>
      </c>
      <c r="H88" s="14">
        <v>17601.175858707189</v>
      </c>
      <c r="I88" s="14">
        <v>13651.772804999444</v>
      </c>
      <c r="J88" s="14">
        <v>15388.860367598303</v>
      </c>
      <c r="K88" s="14">
        <v>16730.057263236504</v>
      </c>
      <c r="L88" s="14">
        <v>17805.603143285331</v>
      </c>
      <c r="M88" s="14">
        <v>19067.284714409281</v>
      </c>
      <c r="N88" s="14">
        <v>20391.397818196165</v>
      </c>
      <c r="O88" s="14">
        <v>21857.716148573505</v>
      </c>
    </row>
    <row r="89" spans="1:15" x14ac:dyDescent="0.3">
      <c r="A89" s="3" t="str">
        <f>INDEX('R1. Scenario specifications'!$C$11:$C$49,MATCH($B89,'R1. Scenario specifications'!$A$11:$A$49,0))</f>
        <v>Current 2DS, 2030 start, 'Expect the Unexpected' but with cheap energy efficiency</v>
      </c>
      <c r="B89" s="3" t="s">
        <v>16</v>
      </c>
      <c r="C89" s="3" t="s">
        <v>297</v>
      </c>
      <c r="D89" s="3" t="s">
        <v>338</v>
      </c>
      <c r="E89" s="14">
        <v>490.51449976830594</v>
      </c>
      <c r="F89" s="14">
        <v>524.93618944866842</v>
      </c>
      <c r="G89" s="14">
        <v>555.19395083536801</v>
      </c>
      <c r="H89" s="14">
        <v>559.27948645064043</v>
      </c>
      <c r="I89" s="14">
        <v>581.30123858818172</v>
      </c>
      <c r="J89" s="14">
        <v>595.35266871306351</v>
      </c>
      <c r="K89" s="14">
        <v>601.15064540820595</v>
      </c>
      <c r="L89" s="14">
        <v>600.62628992940495</v>
      </c>
      <c r="M89" s="14">
        <v>595.1473363544626</v>
      </c>
      <c r="N89" s="14">
        <v>585.49041985978283</v>
      </c>
      <c r="O89" s="14">
        <v>573.45239228983155</v>
      </c>
    </row>
    <row r="90" spans="1:15" x14ac:dyDescent="0.3">
      <c r="A90" s="3" t="str">
        <f>INDEX('R1. Scenario specifications'!$C$11:$C$49,MATCH($B90,'R1. Scenario specifications'!$A$11:$A$49,0))</f>
        <v>Current 2DS, 2020 start, 'Expect the Unexpected' but with most conservative biomass CCS / NET technology cost assumptions</v>
      </c>
      <c r="B90" s="3" t="s">
        <v>17</v>
      </c>
      <c r="C90" s="3" t="s">
        <v>290</v>
      </c>
      <c r="D90" s="3" t="s">
        <v>331</v>
      </c>
      <c r="E90" s="14">
        <v>303.90443076149791</v>
      </c>
      <c r="F90" s="14">
        <v>326.15031746610555</v>
      </c>
      <c r="G90" s="14">
        <v>347.05566024922416</v>
      </c>
      <c r="H90" s="14">
        <v>353.33506067595158</v>
      </c>
      <c r="I90" s="14">
        <v>371.01459260345575</v>
      </c>
      <c r="J90" s="14">
        <v>380.92275123968466</v>
      </c>
      <c r="K90" s="14">
        <v>387.07184299541927</v>
      </c>
      <c r="L90" s="14">
        <v>389.28835008534378</v>
      </c>
      <c r="M90" s="14">
        <v>387.7366974374512</v>
      </c>
      <c r="N90" s="14">
        <v>383.00735356521193</v>
      </c>
      <c r="O90" s="14">
        <v>376.08776823080092</v>
      </c>
    </row>
    <row r="91" spans="1:15" x14ac:dyDescent="0.3">
      <c r="A91" s="3" t="str">
        <f>INDEX('R1. Scenario specifications'!$C$11:$C$49,MATCH($B91,'R1. Scenario specifications'!$A$11:$A$49,0))</f>
        <v>Current 2DS, 2020 start, 'Expect the Unexpected' but with most conservative biomass CCS / NET technology cost assumptions</v>
      </c>
      <c r="B91" s="3" t="s">
        <v>17</v>
      </c>
      <c r="C91" s="3" t="s">
        <v>291</v>
      </c>
      <c r="D91" s="3" t="s">
        <v>332</v>
      </c>
      <c r="E91" s="14">
        <v>704.60532435919743</v>
      </c>
      <c r="F91" s="14">
        <v>860.97149986110526</v>
      </c>
      <c r="G91" s="14">
        <v>1146.4631336452248</v>
      </c>
      <c r="H91" s="14">
        <v>1500.2632370055153</v>
      </c>
      <c r="I91" s="14">
        <v>1914.9601144419128</v>
      </c>
      <c r="J91" s="14">
        <v>2348.9566629707492</v>
      </c>
      <c r="K91" s="14">
        <v>2571.6540711055568</v>
      </c>
      <c r="L91" s="14">
        <v>2752.734501079688</v>
      </c>
      <c r="M91" s="14">
        <v>2887.5065495135632</v>
      </c>
      <c r="N91" s="14">
        <v>3067.2222324194158</v>
      </c>
      <c r="O91" s="14">
        <v>3209.483525610593</v>
      </c>
    </row>
    <row r="92" spans="1:15" x14ac:dyDescent="0.3">
      <c r="A92" s="3" t="str">
        <f>INDEX('R1. Scenario specifications'!$C$11:$C$49,MATCH($B92,'R1. Scenario specifications'!$A$11:$A$49,0))</f>
        <v>Current 2DS, 2020 start, 'Expect the Unexpected' but with most conservative biomass CCS / NET technology cost assumptions</v>
      </c>
      <c r="B92" s="3" t="s">
        <v>17</v>
      </c>
      <c r="C92" s="3" t="s">
        <v>292</v>
      </c>
      <c r="D92" s="3" t="s">
        <v>333</v>
      </c>
      <c r="E92" s="14">
        <v>159.73830278697653</v>
      </c>
      <c r="F92" s="14">
        <v>169.39599598719545</v>
      </c>
      <c r="G92" s="14">
        <v>176.71914238919692</v>
      </c>
      <c r="H92" s="14">
        <v>175.15830181655548</v>
      </c>
      <c r="I92" s="14">
        <v>178.93494630264837</v>
      </c>
      <c r="J92" s="14">
        <v>180.1031409584196</v>
      </c>
      <c r="K92" s="14">
        <v>178.82582710171826</v>
      </c>
      <c r="L92" s="14">
        <v>175.78189501677815</v>
      </c>
      <c r="M92" s="14">
        <v>171.47940350173073</v>
      </c>
      <c r="N92" s="14">
        <v>166.23136037709438</v>
      </c>
      <c r="O92" s="14">
        <v>160.18001933266896</v>
      </c>
    </row>
    <row r="93" spans="1:15" x14ac:dyDescent="0.3">
      <c r="A93" s="3" t="str">
        <f>INDEX('R1. Scenario specifications'!$C$11:$C$49,MATCH($B93,'R1. Scenario specifications'!$A$11:$A$49,0))</f>
        <v>Current 2DS, 2020 start, 'Expect the Unexpected' but with most conservative biomass CCS / NET technology cost assumptions</v>
      </c>
      <c r="B93" s="3" t="s">
        <v>17</v>
      </c>
      <c r="C93" s="3" t="s">
        <v>293</v>
      </c>
      <c r="D93" s="3" t="s">
        <v>334</v>
      </c>
      <c r="E93" s="14">
        <v>773.46518919181767</v>
      </c>
      <c r="F93" s="14">
        <v>894.21413961009341</v>
      </c>
      <c r="G93" s="14">
        <v>1118.0496051339933</v>
      </c>
      <c r="H93" s="14">
        <v>1375.5475785566455</v>
      </c>
      <c r="I93" s="14">
        <v>1689.2067853781327</v>
      </c>
      <c r="J93" s="14">
        <v>2025.3126300276208</v>
      </c>
      <c r="K93" s="14">
        <v>2195.4707514569668</v>
      </c>
      <c r="L93" s="14">
        <v>2366.5190259502374</v>
      </c>
      <c r="M93" s="14">
        <v>2529.992064735849</v>
      </c>
      <c r="N93" s="14">
        <v>2652.8606561084143</v>
      </c>
      <c r="O93" s="14">
        <v>2778.0698433674497</v>
      </c>
    </row>
    <row r="94" spans="1:15" x14ac:dyDescent="0.3">
      <c r="A94" s="3" t="str">
        <f>INDEX('R1. Scenario specifications'!$C$11:$C$49,MATCH($B94,'R1. Scenario specifications'!$A$11:$A$49,0))</f>
        <v>Current 2DS, 2020 start, 'Expect the Unexpected' but with most conservative biomass CCS / NET technology cost assumptions</v>
      </c>
      <c r="B94" s="3" t="s">
        <v>17</v>
      </c>
      <c r="C94" s="3" t="s">
        <v>294</v>
      </c>
      <c r="D94" s="3" t="s">
        <v>335</v>
      </c>
      <c r="E94" s="14">
        <v>3279.7723348946201</v>
      </c>
      <c r="F94" s="14">
        <v>4082.6935657435747</v>
      </c>
      <c r="G94" s="14">
        <v>5207.7532954788776</v>
      </c>
      <c r="H94" s="14">
        <v>5633.4127499572569</v>
      </c>
      <c r="I94" s="14">
        <v>6178.5040363303324</v>
      </c>
      <c r="J94" s="14">
        <v>7204.5616711087705</v>
      </c>
      <c r="K94" s="14">
        <v>7812.9959600712618</v>
      </c>
      <c r="L94" s="14">
        <v>8385.5214179117011</v>
      </c>
      <c r="M94" s="14">
        <v>8884.4284126902676</v>
      </c>
      <c r="N94" s="14">
        <v>9253.9127603291709</v>
      </c>
      <c r="O94" s="14">
        <v>9801.0400626348874</v>
      </c>
    </row>
    <row r="95" spans="1:15" x14ac:dyDescent="0.3">
      <c r="A95" s="3" t="str">
        <f>INDEX('R1. Scenario specifications'!$C$11:$C$49,MATCH($B95,'R1. Scenario specifications'!$A$11:$A$49,0))</f>
        <v>Current 2DS, 2020 start, 'Expect the Unexpected' but with most conservative biomass CCS / NET technology cost assumptions</v>
      </c>
      <c r="B95" s="3" t="s">
        <v>17</v>
      </c>
      <c r="C95" s="3" t="s">
        <v>295</v>
      </c>
      <c r="D95" s="3" t="s">
        <v>336</v>
      </c>
      <c r="E95" s="14">
        <v>554.93024628706178</v>
      </c>
      <c r="F95" s="14">
        <v>667.25533606737827</v>
      </c>
      <c r="G95" s="14">
        <v>860.61058351424708</v>
      </c>
      <c r="H95" s="14">
        <v>1088.2132483847263</v>
      </c>
      <c r="I95" s="14">
        <v>1361.5777300071215</v>
      </c>
      <c r="J95" s="14">
        <v>1648.7929174419887</v>
      </c>
      <c r="K95" s="14">
        <v>1805.1633294801875</v>
      </c>
      <c r="L95" s="14">
        <v>1932.7772981148478</v>
      </c>
      <c r="M95" s="14">
        <v>2049.374522861398</v>
      </c>
      <c r="N95" s="14">
        <v>2172.6365939205944</v>
      </c>
      <c r="O95" s="14">
        <v>2272.515247575328</v>
      </c>
    </row>
    <row r="96" spans="1:15" x14ac:dyDescent="0.3">
      <c r="A96" s="3" t="str">
        <f>INDEX('R1. Scenario specifications'!$C$11:$C$49,MATCH($B96,'R1. Scenario specifications'!$A$11:$A$49,0))</f>
        <v>Current 2DS, 2020 start, 'Expect the Unexpected' but with most conservative biomass CCS / NET technology cost assumptions</v>
      </c>
      <c r="B96" s="3" t="s">
        <v>17</v>
      </c>
      <c r="C96" s="3" t="s">
        <v>296</v>
      </c>
      <c r="D96" s="3" t="s">
        <v>337</v>
      </c>
      <c r="E96" s="14">
        <v>6768.21079303233</v>
      </c>
      <c r="F96" s="14">
        <v>9604.0566614851487</v>
      </c>
      <c r="G96" s="14">
        <v>16237.412608619818</v>
      </c>
      <c r="H96" s="14">
        <v>17601.175858707185</v>
      </c>
      <c r="I96" s="14">
        <v>16847.459696406273</v>
      </c>
      <c r="J96" s="14">
        <v>20017.263086372113</v>
      </c>
      <c r="K96" s="14">
        <v>21780.524686421086</v>
      </c>
      <c r="L96" s="14">
        <v>23168.721069809351</v>
      </c>
      <c r="M96" s="14">
        <v>24842.038645199053</v>
      </c>
      <c r="N96" s="14">
        <v>26452.523214068009</v>
      </c>
      <c r="O96" s="14">
        <v>28404.542404349631</v>
      </c>
    </row>
    <row r="97" spans="1:15" x14ac:dyDescent="0.3">
      <c r="A97" s="3" t="str">
        <f>INDEX('R1. Scenario specifications'!$C$11:$C$49,MATCH($B97,'R1. Scenario specifications'!$A$11:$A$49,0))</f>
        <v>Current 2DS, 2020 start, 'Expect the Unexpected' but with most conservative biomass CCS / NET technology cost assumptions</v>
      </c>
      <c r="B97" s="3" t="s">
        <v>17</v>
      </c>
      <c r="C97" s="3" t="s">
        <v>297</v>
      </c>
      <c r="D97" s="3" t="s">
        <v>338</v>
      </c>
      <c r="E97" s="14">
        <v>490.51449976830594</v>
      </c>
      <c r="F97" s="14">
        <v>524.93618944866842</v>
      </c>
      <c r="G97" s="14">
        <v>555.19395083536801</v>
      </c>
      <c r="H97" s="14">
        <v>559.27948645064043</v>
      </c>
      <c r="I97" s="14">
        <v>581.30123858818172</v>
      </c>
      <c r="J97" s="14">
        <v>595.35266871306351</v>
      </c>
      <c r="K97" s="14">
        <v>601.15064540820595</v>
      </c>
      <c r="L97" s="14">
        <v>600.62628992940495</v>
      </c>
      <c r="M97" s="14">
        <v>595.1473363544626</v>
      </c>
      <c r="N97" s="14">
        <v>585.49041985978283</v>
      </c>
      <c r="O97" s="14">
        <v>570.46483332414027</v>
      </c>
    </row>
    <row r="98" spans="1:15" x14ac:dyDescent="0.3">
      <c r="A98" s="3" t="str">
        <f>INDEX('R1. Scenario specifications'!$C$11:$C$49,MATCH($B98,'R1. Scenario specifications'!$A$11:$A$49,0))</f>
        <v>Current 2DS, 2030 start, 'Expect the Unexpected' but with most conservative biomass CCS / NET technology cost assumptions</v>
      </c>
      <c r="B98" s="3" t="s">
        <v>18</v>
      </c>
      <c r="C98" s="3" t="s">
        <v>290</v>
      </c>
      <c r="D98" s="3" t="s">
        <v>331</v>
      </c>
      <c r="E98" s="14">
        <v>303.90443076149791</v>
      </c>
      <c r="F98" s="14">
        <v>326.15031746610555</v>
      </c>
      <c r="G98" s="14">
        <v>347.05566024922416</v>
      </c>
      <c r="H98" s="14">
        <v>353.33506067595158</v>
      </c>
      <c r="I98" s="14">
        <v>371.01459260345575</v>
      </c>
      <c r="J98" s="14">
        <v>380.92275123968466</v>
      </c>
      <c r="K98" s="14">
        <v>387.07184299541916</v>
      </c>
      <c r="L98" s="14">
        <v>389.28835008534378</v>
      </c>
      <c r="M98" s="14">
        <v>387.7366974374512</v>
      </c>
      <c r="N98" s="14">
        <v>383.00735356521187</v>
      </c>
      <c r="O98" s="14">
        <v>376.08776823080092</v>
      </c>
    </row>
    <row r="99" spans="1:15" x14ac:dyDescent="0.3">
      <c r="A99" s="3" t="str">
        <f>INDEX('R1. Scenario specifications'!$C$11:$C$49,MATCH($B99,'R1. Scenario specifications'!$A$11:$A$49,0))</f>
        <v>Current 2DS, 2030 start, 'Expect the Unexpected' but with most conservative biomass CCS / NET technology cost assumptions</v>
      </c>
      <c r="B99" s="3" t="s">
        <v>18</v>
      </c>
      <c r="C99" s="3" t="s">
        <v>291</v>
      </c>
      <c r="D99" s="3" t="s">
        <v>332</v>
      </c>
      <c r="E99" s="14">
        <v>704.60532435919743</v>
      </c>
      <c r="F99" s="14">
        <v>860.97149986110526</v>
      </c>
      <c r="G99" s="14">
        <v>1146.4631336452248</v>
      </c>
      <c r="H99" s="14">
        <v>1500.2632370055153</v>
      </c>
      <c r="I99" s="14">
        <v>1914.9601144419121</v>
      </c>
      <c r="J99" s="14">
        <v>2347.7648944910584</v>
      </c>
      <c r="K99" s="14">
        <v>2553.8577005463108</v>
      </c>
      <c r="L99" s="14">
        <v>2750.962571817141</v>
      </c>
      <c r="M99" s="14">
        <v>2887.5065495135627</v>
      </c>
      <c r="N99" s="14">
        <v>3050.4480857941221</v>
      </c>
      <c r="O99" s="14">
        <v>3191.1624856039061</v>
      </c>
    </row>
    <row r="100" spans="1:15" x14ac:dyDescent="0.3">
      <c r="A100" s="3" t="str">
        <f>INDEX('R1. Scenario specifications'!$C$11:$C$49,MATCH($B100,'R1. Scenario specifications'!$A$11:$A$49,0))</f>
        <v>Current 2DS, 2030 start, 'Expect the Unexpected' but with most conservative biomass CCS / NET technology cost assumptions</v>
      </c>
      <c r="B100" s="3" t="s">
        <v>18</v>
      </c>
      <c r="C100" s="3" t="s">
        <v>292</v>
      </c>
      <c r="D100" s="3" t="s">
        <v>333</v>
      </c>
      <c r="E100" s="14">
        <v>159.73830278697653</v>
      </c>
      <c r="F100" s="14">
        <v>169.39599598719545</v>
      </c>
      <c r="G100" s="14">
        <v>176.71914238919692</v>
      </c>
      <c r="H100" s="14">
        <v>175.15830181655548</v>
      </c>
      <c r="I100" s="14">
        <v>178.93494630264837</v>
      </c>
      <c r="J100" s="14">
        <v>180.1031409584196</v>
      </c>
      <c r="K100" s="14">
        <v>178.82582710171826</v>
      </c>
      <c r="L100" s="14">
        <v>175.78189501677815</v>
      </c>
      <c r="M100" s="14">
        <v>171.47940350173073</v>
      </c>
      <c r="N100" s="14">
        <v>166.23136037709438</v>
      </c>
      <c r="O100" s="14">
        <v>156.67471579428266</v>
      </c>
    </row>
    <row r="101" spans="1:15" x14ac:dyDescent="0.3">
      <c r="A101" s="3" t="str">
        <f>INDEX('R1. Scenario specifications'!$C$11:$C$49,MATCH($B101,'R1. Scenario specifications'!$A$11:$A$49,0))</f>
        <v>Current 2DS, 2030 start, 'Expect the Unexpected' but with most conservative biomass CCS / NET technology cost assumptions</v>
      </c>
      <c r="B101" s="3" t="s">
        <v>18</v>
      </c>
      <c r="C101" s="3" t="s">
        <v>293</v>
      </c>
      <c r="D101" s="3" t="s">
        <v>334</v>
      </c>
      <c r="E101" s="14">
        <v>773.46518919181767</v>
      </c>
      <c r="F101" s="14">
        <v>894.21413961009341</v>
      </c>
      <c r="G101" s="14">
        <v>1118.0496051339933</v>
      </c>
      <c r="H101" s="14">
        <v>1375.5475785566455</v>
      </c>
      <c r="I101" s="14">
        <v>1689.2067853781323</v>
      </c>
      <c r="J101" s="14">
        <v>2025.3126300276206</v>
      </c>
      <c r="K101" s="14">
        <v>2195.4707514569686</v>
      </c>
      <c r="L101" s="14">
        <v>2366.5190259502374</v>
      </c>
      <c r="M101" s="14">
        <v>2529.992064735849</v>
      </c>
      <c r="N101" s="14">
        <v>2652.8606561084157</v>
      </c>
      <c r="O101" s="14">
        <v>2749.4808556435901</v>
      </c>
    </row>
    <row r="102" spans="1:15" x14ac:dyDescent="0.3">
      <c r="A102" s="3" t="str">
        <f>INDEX('R1. Scenario specifications'!$C$11:$C$49,MATCH($B102,'R1. Scenario specifications'!$A$11:$A$49,0))</f>
        <v>Current 2DS, 2030 start, 'Expect the Unexpected' but with most conservative biomass CCS / NET technology cost assumptions</v>
      </c>
      <c r="B102" s="3" t="s">
        <v>18</v>
      </c>
      <c r="C102" s="3" t="s">
        <v>294</v>
      </c>
      <c r="D102" s="3" t="s">
        <v>335</v>
      </c>
      <c r="E102" s="14">
        <v>3279.7723348946201</v>
      </c>
      <c r="F102" s="14">
        <v>4082.6935657435747</v>
      </c>
      <c r="G102" s="14">
        <v>5207.7532954788776</v>
      </c>
      <c r="H102" s="14">
        <v>5690.8087984717622</v>
      </c>
      <c r="I102" s="14">
        <v>6178.5040363303306</v>
      </c>
      <c r="J102" s="14">
        <v>7203.5812793083469</v>
      </c>
      <c r="K102" s="14">
        <v>7777.7884243308908</v>
      </c>
      <c r="L102" s="14">
        <v>8388.7237667087411</v>
      </c>
      <c r="M102" s="14">
        <v>8881.1237676971632</v>
      </c>
      <c r="N102" s="14">
        <v>9253.9127603291709</v>
      </c>
      <c r="O102" s="14">
        <v>9801.0400626348892</v>
      </c>
    </row>
    <row r="103" spans="1:15" x14ac:dyDescent="0.3">
      <c r="A103" s="3" t="str">
        <f>INDEX('R1. Scenario specifications'!$C$11:$C$49,MATCH($B103,'R1. Scenario specifications'!$A$11:$A$49,0))</f>
        <v>Current 2DS, 2030 start, 'Expect the Unexpected' but with most conservative biomass CCS / NET technology cost assumptions</v>
      </c>
      <c r="B103" s="3" t="s">
        <v>18</v>
      </c>
      <c r="C103" s="3" t="s">
        <v>295</v>
      </c>
      <c r="D103" s="3" t="s">
        <v>336</v>
      </c>
      <c r="E103" s="14">
        <v>554.93024628706178</v>
      </c>
      <c r="F103" s="14">
        <v>667.25533606737827</v>
      </c>
      <c r="G103" s="14">
        <v>860.61058351424708</v>
      </c>
      <c r="H103" s="14">
        <v>1088.2132483847263</v>
      </c>
      <c r="I103" s="14">
        <v>1361.5777300071213</v>
      </c>
      <c r="J103" s="14">
        <v>1620.9429835786382</v>
      </c>
      <c r="K103" s="14">
        <v>1777.6050160425602</v>
      </c>
      <c r="L103" s="14">
        <v>1906.0084099453602</v>
      </c>
      <c r="M103" s="14">
        <v>2049.3745228613975</v>
      </c>
      <c r="N103" s="14">
        <v>2172.636593920593</v>
      </c>
      <c r="O103" s="14">
        <v>2252.9977469647843</v>
      </c>
    </row>
    <row r="104" spans="1:15" x14ac:dyDescent="0.3">
      <c r="A104" s="3" t="str">
        <f>INDEX('R1. Scenario specifications'!$C$11:$C$49,MATCH($B104,'R1. Scenario specifications'!$A$11:$A$49,0))</f>
        <v>Current 2DS, 2030 start, 'Expect the Unexpected' but with most conservative biomass CCS / NET technology cost assumptions</v>
      </c>
      <c r="B104" s="3" t="s">
        <v>18</v>
      </c>
      <c r="C104" s="3" t="s">
        <v>296</v>
      </c>
      <c r="D104" s="3" t="s">
        <v>337</v>
      </c>
      <c r="E104" s="14">
        <v>6768.21079303233</v>
      </c>
      <c r="F104" s="14">
        <v>9604.0566614851487</v>
      </c>
      <c r="G104" s="14">
        <v>16237.412608619818</v>
      </c>
      <c r="H104" s="14">
        <v>17601.175858707189</v>
      </c>
      <c r="I104" s="14">
        <v>16847.45969640628</v>
      </c>
      <c r="J104" s="14">
        <v>20017.26308637211</v>
      </c>
      <c r="K104" s="14">
        <v>21557.820144873422</v>
      </c>
      <c r="L104" s="14">
        <v>23186.444675675015</v>
      </c>
      <c r="M104" s="14">
        <v>24842.038645199045</v>
      </c>
      <c r="N104" s="14">
        <v>26316.384258259961</v>
      </c>
      <c r="O104" s="14">
        <v>28404.542404349635</v>
      </c>
    </row>
    <row r="105" spans="1:15" x14ac:dyDescent="0.3">
      <c r="A105" s="3" t="str">
        <f>INDEX('R1. Scenario specifications'!$C$11:$C$49,MATCH($B105,'R1. Scenario specifications'!$A$11:$A$49,0))</f>
        <v>Current 2DS, 2030 start, 'Expect the Unexpected' but with most conservative biomass CCS / NET technology cost assumptions</v>
      </c>
      <c r="B105" s="3" t="s">
        <v>18</v>
      </c>
      <c r="C105" s="3" t="s">
        <v>297</v>
      </c>
      <c r="D105" s="3" t="s">
        <v>338</v>
      </c>
      <c r="E105" s="14">
        <v>490.51449976830594</v>
      </c>
      <c r="F105" s="14">
        <v>524.93618944866842</v>
      </c>
      <c r="G105" s="14">
        <v>555.19395083536801</v>
      </c>
      <c r="H105" s="14">
        <v>559.27948645064043</v>
      </c>
      <c r="I105" s="14">
        <v>581.30123858818172</v>
      </c>
      <c r="J105" s="14">
        <v>595.35266871306351</v>
      </c>
      <c r="K105" s="14">
        <v>601.15064540820595</v>
      </c>
      <c r="L105" s="14">
        <v>600.62628992940495</v>
      </c>
      <c r="M105" s="14">
        <v>595.1473363544626</v>
      </c>
      <c r="N105" s="14">
        <v>585.49041985978283</v>
      </c>
      <c r="O105" s="14">
        <v>563.38565610671276</v>
      </c>
    </row>
    <row r="106" spans="1:15" x14ac:dyDescent="0.3">
      <c r="A106" s="3" t="str">
        <f>INDEX('R1. Scenario specifications'!$C$11:$C$49,MATCH($B106,'R1. Scenario specifications'!$A$11:$A$49,0))</f>
        <v>Current 1.5DS, 2020 start, 'Expect the Unexpected'</v>
      </c>
      <c r="B106" s="3" t="s">
        <v>19</v>
      </c>
      <c r="C106" s="3" t="s">
        <v>290</v>
      </c>
      <c r="D106" s="3" t="s">
        <v>331</v>
      </c>
      <c r="E106" s="14">
        <v>303.90443076149791</v>
      </c>
      <c r="F106" s="14">
        <v>326.15031746610555</v>
      </c>
      <c r="G106" s="14">
        <v>347.05566024922416</v>
      </c>
      <c r="H106" s="14">
        <v>342.21967183620529</v>
      </c>
      <c r="I106" s="14">
        <v>314.00981194122824</v>
      </c>
      <c r="J106" s="14">
        <v>310.2629033721206</v>
      </c>
      <c r="K106" s="14">
        <v>370.84651655496157</v>
      </c>
      <c r="L106" s="14">
        <v>389.28835008534401</v>
      </c>
      <c r="M106" s="14">
        <v>387.73669743745143</v>
      </c>
      <c r="N106" s="14">
        <v>382.29294818276662</v>
      </c>
      <c r="O106" s="14">
        <v>376.08776823080086</v>
      </c>
    </row>
    <row r="107" spans="1:15" x14ac:dyDescent="0.3">
      <c r="A107" s="3" t="str">
        <f>INDEX('R1. Scenario specifications'!$C$11:$C$49,MATCH($B107,'R1. Scenario specifications'!$A$11:$A$49,0))</f>
        <v>Current 1.5DS, 2020 start, 'Expect the Unexpected'</v>
      </c>
      <c r="B107" s="3" t="s">
        <v>19</v>
      </c>
      <c r="C107" s="3" t="s">
        <v>291</v>
      </c>
      <c r="D107" s="3" t="s">
        <v>332</v>
      </c>
      <c r="E107" s="14">
        <v>704.60532435919743</v>
      </c>
      <c r="F107" s="14">
        <v>860.97149986110526</v>
      </c>
      <c r="G107" s="14">
        <v>1146.4631336452248</v>
      </c>
      <c r="H107" s="14">
        <v>1441.4038607292196</v>
      </c>
      <c r="I107" s="14">
        <v>1540.5388763206429</v>
      </c>
      <c r="J107" s="14">
        <v>1682.2234202809798</v>
      </c>
      <c r="K107" s="14">
        <v>2334.4426810317968</v>
      </c>
      <c r="L107" s="14">
        <v>2739.5024443289276</v>
      </c>
      <c r="M107" s="14">
        <v>2884.8918363589596</v>
      </c>
      <c r="N107" s="14">
        <v>3039.0796070279603</v>
      </c>
      <c r="O107" s="14">
        <v>3167.3965157825696</v>
      </c>
    </row>
    <row r="108" spans="1:15" x14ac:dyDescent="0.3">
      <c r="A108" s="3" t="str">
        <f>INDEX('R1. Scenario specifications'!$C$11:$C$49,MATCH($B108,'R1. Scenario specifications'!$A$11:$A$49,0))</f>
        <v>Current 1.5DS, 2020 start, 'Expect the Unexpected'</v>
      </c>
      <c r="B108" s="3" t="s">
        <v>19</v>
      </c>
      <c r="C108" s="3" t="s">
        <v>292</v>
      </c>
      <c r="D108" s="3" t="s">
        <v>333</v>
      </c>
      <c r="E108" s="14">
        <v>159.73830278697653</v>
      </c>
      <c r="F108" s="14">
        <v>169.39599598719545</v>
      </c>
      <c r="G108" s="14">
        <v>176.71914238919692</v>
      </c>
      <c r="H108" s="14">
        <v>175.15830181655548</v>
      </c>
      <c r="I108" s="14">
        <v>160.12859420509855</v>
      </c>
      <c r="J108" s="14">
        <v>147.14316499568608</v>
      </c>
      <c r="K108" s="14">
        <v>171.80311515093859</v>
      </c>
      <c r="L108" s="14">
        <v>175.78189501677815</v>
      </c>
      <c r="M108" s="14">
        <v>171.47940350173073</v>
      </c>
      <c r="N108" s="14">
        <v>166.23136037709438</v>
      </c>
      <c r="O108" s="14">
        <v>156.57306841562979</v>
      </c>
    </row>
    <row r="109" spans="1:15" x14ac:dyDescent="0.3">
      <c r="A109" s="3" t="str">
        <f>INDEX('R1. Scenario specifications'!$C$11:$C$49,MATCH($B109,'R1. Scenario specifications'!$A$11:$A$49,0))</f>
        <v>Current 1.5DS, 2020 start, 'Expect the Unexpected'</v>
      </c>
      <c r="B109" s="3" t="s">
        <v>19</v>
      </c>
      <c r="C109" s="3" t="s">
        <v>293</v>
      </c>
      <c r="D109" s="3" t="s">
        <v>334</v>
      </c>
      <c r="E109" s="14">
        <v>773.46518919181767</v>
      </c>
      <c r="F109" s="14">
        <v>894.21413961009341</v>
      </c>
      <c r="G109" s="14">
        <v>1118.0496051339933</v>
      </c>
      <c r="H109" s="14">
        <v>1360.3776299758706</v>
      </c>
      <c r="I109" s="14">
        <v>1465.9741851143801</v>
      </c>
      <c r="J109" s="14">
        <v>1592.053645630758</v>
      </c>
      <c r="K109" s="14">
        <v>2077.4899649401723</v>
      </c>
      <c r="L109" s="14">
        <v>2366.519025950241</v>
      </c>
      <c r="M109" s="14">
        <v>2529.992064735849</v>
      </c>
      <c r="N109" s="14">
        <v>2651.9703329563922</v>
      </c>
      <c r="O109" s="14">
        <v>2747.6618566057982</v>
      </c>
    </row>
    <row r="110" spans="1:15" x14ac:dyDescent="0.3">
      <c r="A110" s="3" t="str">
        <f>INDEX('R1. Scenario specifications'!$C$11:$C$49,MATCH($B110,'R1. Scenario specifications'!$A$11:$A$49,0))</f>
        <v>Current 1.5DS, 2020 start, 'Expect the Unexpected'</v>
      </c>
      <c r="B110" s="3" t="s">
        <v>19</v>
      </c>
      <c r="C110" s="3" t="s">
        <v>294</v>
      </c>
      <c r="D110" s="3" t="s">
        <v>335</v>
      </c>
      <c r="E110" s="14">
        <v>3279.7723348946201</v>
      </c>
      <c r="F110" s="14">
        <v>4082.6935657435747</v>
      </c>
      <c r="G110" s="14">
        <v>5207.7532954788776</v>
      </c>
      <c r="H110" s="14">
        <v>5384.017397644845</v>
      </c>
      <c r="I110" s="14">
        <v>4859.4476529409785</v>
      </c>
      <c r="J110" s="14">
        <v>5389.7989283291754</v>
      </c>
      <c r="K110" s="14">
        <v>7353.2953838891754</v>
      </c>
      <c r="L110" s="14">
        <v>8396.6581798262105</v>
      </c>
      <c r="M110" s="14">
        <v>8817.3850594860305</v>
      </c>
      <c r="N110" s="14">
        <v>9249.2704351285283</v>
      </c>
      <c r="O110" s="14">
        <v>9804.4732585748534</v>
      </c>
    </row>
    <row r="111" spans="1:15" x14ac:dyDescent="0.3">
      <c r="A111" s="3" t="str">
        <f>INDEX('R1. Scenario specifications'!$C$11:$C$49,MATCH($B111,'R1. Scenario specifications'!$A$11:$A$49,0))</f>
        <v>Current 1.5DS, 2020 start, 'Expect the Unexpected'</v>
      </c>
      <c r="B111" s="3" t="s">
        <v>19</v>
      </c>
      <c r="C111" s="3" t="s">
        <v>295</v>
      </c>
      <c r="D111" s="3" t="s">
        <v>336</v>
      </c>
      <c r="E111" s="14">
        <v>554.93024628706178</v>
      </c>
      <c r="F111" s="14">
        <v>667.25533606737827</v>
      </c>
      <c r="G111" s="14">
        <v>860.61058351424708</v>
      </c>
      <c r="H111" s="14">
        <v>1041.8401329951803</v>
      </c>
      <c r="I111" s="14">
        <v>1079.4773559876242</v>
      </c>
      <c r="J111" s="14">
        <v>1152.1452512347007</v>
      </c>
      <c r="K111" s="14">
        <v>1618.0999294049107</v>
      </c>
      <c r="L111" s="14">
        <v>1898.4808157198772</v>
      </c>
      <c r="M111" s="14">
        <v>2048.7411559025645</v>
      </c>
      <c r="N111" s="14">
        <v>2171.6372915408579</v>
      </c>
      <c r="O111" s="14">
        <v>2238.5070293993454</v>
      </c>
    </row>
    <row r="112" spans="1:15" x14ac:dyDescent="0.3">
      <c r="A112" s="3" t="str">
        <f>INDEX('R1. Scenario specifications'!$C$11:$C$49,MATCH($B112,'R1. Scenario specifications'!$A$11:$A$49,0))</f>
        <v>Current 1.5DS, 2020 start, 'Expect the Unexpected'</v>
      </c>
      <c r="B112" s="3" t="s">
        <v>19</v>
      </c>
      <c r="C112" s="3" t="s">
        <v>296</v>
      </c>
      <c r="D112" s="3" t="s">
        <v>337</v>
      </c>
      <c r="E112" s="14">
        <v>6768.21079303233</v>
      </c>
      <c r="F112" s="14">
        <v>9604.0566614851487</v>
      </c>
      <c r="G112" s="14">
        <v>16237.412608619818</v>
      </c>
      <c r="H112" s="14">
        <v>16396.083010115988</v>
      </c>
      <c r="I112" s="14">
        <v>13845.401174821078</v>
      </c>
      <c r="J112" s="14">
        <v>14249.711509726358</v>
      </c>
      <c r="K112" s="14">
        <v>20138.315622170478</v>
      </c>
      <c r="L112" s="14">
        <v>23168.721069809362</v>
      </c>
      <c r="M112" s="14">
        <v>24842.038645199053</v>
      </c>
      <c r="N112" s="14">
        <v>26497.129012964695</v>
      </c>
      <c r="O112" s="14">
        <v>28404.542404349631</v>
      </c>
    </row>
    <row r="113" spans="1:15" x14ac:dyDescent="0.3">
      <c r="A113" s="3" t="str">
        <f>INDEX('R1. Scenario specifications'!$C$11:$C$49,MATCH($B113,'R1. Scenario specifications'!$A$11:$A$49,0))</f>
        <v>Current 1.5DS, 2020 start, 'Expect the Unexpected'</v>
      </c>
      <c r="B113" s="3" t="s">
        <v>19</v>
      </c>
      <c r="C113" s="3" t="s">
        <v>297</v>
      </c>
      <c r="D113" s="3" t="s">
        <v>338</v>
      </c>
      <c r="E113" s="14">
        <v>490.51449976830594</v>
      </c>
      <c r="F113" s="14">
        <v>524.93618944866842</v>
      </c>
      <c r="G113" s="14">
        <v>555.19395083536801</v>
      </c>
      <c r="H113" s="14">
        <v>559.27948645064043</v>
      </c>
      <c r="I113" s="14">
        <v>525.39118815422353</v>
      </c>
      <c r="J113" s="14">
        <v>489.35723635159337</v>
      </c>
      <c r="K113" s="14">
        <v>577.60426733935594</v>
      </c>
      <c r="L113" s="14">
        <v>600.62628992940495</v>
      </c>
      <c r="M113" s="14">
        <v>595.1473363544626</v>
      </c>
      <c r="N113" s="14">
        <v>585.49041985978283</v>
      </c>
      <c r="O113" s="14">
        <v>561.21853399383326</v>
      </c>
    </row>
    <row r="114" spans="1:15" x14ac:dyDescent="0.3">
      <c r="A114" s="3" t="str">
        <f>INDEX('R1. Scenario specifications'!$C$11:$C$49,MATCH($B114,'R1. Scenario specifications'!$A$11:$A$49,0))</f>
        <v>Current 1.5DS, 2030 start, 'Expect the Unexpected'</v>
      </c>
      <c r="B114" s="3" t="s">
        <v>20</v>
      </c>
      <c r="C114" s="3" t="s">
        <v>290</v>
      </c>
      <c r="D114" s="3" t="s">
        <v>331</v>
      </c>
      <c r="E114" s="14">
        <v>303.90443076149791</v>
      </c>
      <c r="F114" s="14">
        <v>326.15031746610555</v>
      </c>
      <c r="G114" s="14">
        <v>347.05566024922416</v>
      </c>
      <c r="H114" s="14">
        <v>353.33506067595158</v>
      </c>
      <c r="I114" s="14">
        <v>335.57083497223624</v>
      </c>
      <c r="J114" s="14">
        <v>322.49204591426229</v>
      </c>
      <c r="K114" s="14">
        <v>318.5180117109619</v>
      </c>
      <c r="L114" s="14">
        <v>389.74364985484794</v>
      </c>
      <c r="M114" s="14">
        <v>387.7366974374512</v>
      </c>
      <c r="N114" s="14">
        <v>383.0073535652117</v>
      </c>
      <c r="O114" s="14">
        <v>376.08776823080103</v>
      </c>
    </row>
    <row r="115" spans="1:15" x14ac:dyDescent="0.3">
      <c r="A115" s="3" t="str">
        <f>INDEX('R1. Scenario specifications'!$C$11:$C$49,MATCH($B115,'R1. Scenario specifications'!$A$11:$A$49,0))</f>
        <v>Current 1.5DS, 2030 start, 'Expect the Unexpected'</v>
      </c>
      <c r="B115" s="3" t="s">
        <v>20</v>
      </c>
      <c r="C115" s="3" t="s">
        <v>291</v>
      </c>
      <c r="D115" s="3" t="s">
        <v>332</v>
      </c>
      <c r="E115" s="14">
        <v>704.60532435919743</v>
      </c>
      <c r="F115" s="14">
        <v>860.97149986110526</v>
      </c>
      <c r="G115" s="14">
        <v>1146.4631336452248</v>
      </c>
      <c r="H115" s="14">
        <v>1500.2632370055153</v>
      </c>
      <c r="I115" s="14">
        <v>1690.0465557759399</v>
      </c>
      <c r="J115" s="14">
        <v>1824.8492496032618</v>
      </c>
      <c r="K115" s="14">
        <v>1857.0750081351414</v>
      </c>
      <c r="L115" s="14">
        <v>2787.1712980246048</v>
      </c>
      <c r="M115" s="14">
        <v>2990.1838120222892</v>
      </c>
      <c r="N115" s="14">
        <v>3182.4847600124804</v>
      </c>
      <c r="O115" s="14">
        <v>3305.4520200289326</v>
      </c>
    </row>
    <row r="116" spans="1:15" x14ac:dyDescent="0.3">
      <c r="A116" s="3" t="str">
        <f>INDEX('R1. Scenario specifications'!$C$11:$C$49,MATCH($B116,'R1. Scenario specifications'!$A$11:$A$49,0))</f>
        <v>Current 1.5DS, 2030 start, 'Expect the Unexpected'</v>
      </c>
      <c r="B116" s="3" t="s">
        <v>20</v>
      </c>
      <c r="C116" s="3" t="s">
        <v>292</v>
      </c>
      <c r="D116" s="3" t="s">
        <v>333</v>
      </c>
      <c r="E116" s="14">
        <v>159.73830278697653</v>
      </c>
      <c r="F116" s="14">
        <v>169.39599598719545</v>
      </c>
      <c r="G116" s="14">
        <v>176.71914238919692</v>
      </c>
      <c r="H116" s="14">
        <v>175.15830181655548</v>
      </c>
      <c r="I116" s="14">
        <v>166.84087895861114</v>
      </c>
      <c r="J116" s="14">
        <v>155.71598893546371</v>
      </c>
      <c r="K116" s="14">
        <v>145.1592987754278</v>
      </c>
      <c r="L116" s="14">
        <v>175.78189501677815</v>
      </c>
      <c r="M116" s="14">
        <v>171.47940350173073</v>
      </c>
      <c r="N116" s="14">
        <v>166.23136037709438</v>
      </c>
      <c r="O116" s="14">
        <v>160.73057164452095</v>
      </c>
    </row>
    <row r="117" spans="1:15" x14ac:dyDescent="0.3">
      <c r="A117" s="3" t="str">
        <f>INDEX('R1. Scenario specifications'!$C$11:$C$49,MATCH($B117,'R1. Scenario specifications'!$A$11:$A$49,0))</f>
        <v>Current 1.5DS, 2030 start, 'Expect the Unexpected'</v>
      </c>
      <c r="B117" s="3" t="s">
        <v>20</v>
      </c>
      <c r="C117" s="3" t="s">
        <v>293</v>
      </c>
      <c r="D117" s="3" t="s">
        <v>334</v>
      </c>
      <c r="E117" s="14">
        <v>773.46518919181767</v>
      </c>
      <c r="F117" s="14">
        <v>894.21413961009341</v>
      </c>
      <c r="G117" s="14">
        <v>1118.0496051339933</v>
      </c>
      <c r="H117" s="14">
        <v>1375.5475785566455</v>
      </c>
      <c r="I117" s="14">
        <v>1561.802366335311</v>
      </c>
      <c r="J117" s="14">
        <v>1717.659817267066</v>
      </c>
      <c r="K117" s="14">
        <v>1728.9338071117293</v>
      </c>
      <c r="L117" s="14">
        <v>2369.1726850824625</v>
      </c>
      <c r="M117" s="14">
        <v>2529.9920647358467</v>
      </c>
      <c r="N117" s="14">
        <v>2686.1979558801258</v>
      </c>
      <c r="O117" s="14">
        <v>2834.7797992863793</v>
      </c>
    </row>
    <row r="118" spans="1:15" x14ac:dyDescent="0.3">
      <c r="A118" s="3" t="str">
        <f>INDEX('R1. Scenario specifications'!$C$11:$C$49,MATCH($B118,'R1. Scenario specifications'!$A$11:$A$49,0))</f>
        <v>Current 1.5DS, 2030 start, 'Expect the Unexpected'</v>
      </c>
      <c r="B118" s="3" t="s">
        <v>20</v>
      </c>
      <c r="C118" s="3" t="s">
        <v>294</v>
      </c>
      <c r="D118" s="3" t="s">
        <v>335</v>
      </c>
      <c r="E118" s="14">
        <v>3279.7723348946201</v>
      </c>
      <c r="F118" s="14">
        <v>4082.6935657435747</v>
      </c>
      <c r="G118" s="14">
        <v>5207.7532954788776</v>
      </c>
      <c r="H118" s="14">
        <v>5690.8087984717622</v>
      </c>
      <c r="I118" s="14">
        <v>5276.0391464108889</v>
      </c>
      <c r="J118" s="14">
        <v>5644.6024803577438</v>
      </c>
      <c r="K118" s="14">
        <v>5835.6973298533421</v>
      </c>
      <c r="L118" s="14">
        <v>8411.1893015885871</v>
      </c>
      <c r="M118" s="14">
        <v>8931.6923712261723</v>
      </c>
      <c r="N118" s="14">
        <v>9411.3990970713767</v>
      </c>
      <c r="O118" s="14">
        <v>9856.9321077325112</v>
      </c>
    </row>
    <row r="119" spans="1:15" x14ac:dyDescent="0.3">
      <c r="A119" s="3" t="str">
        <f>INDEX('R1. Scenario specifications'!$C$11:$C$49,MATCH($B119,'R1. Scenario specifications'!$A$11:$A$49,0))</f>
        <v>Current 1.5DS, 2030 start, 'Expect the Unexpected'</v>
      </c>
      <c r="B119" s="3" t="s">
        <v>20</v>
      </c>
      <c r="C119" s="3" t="s">
        <v>295</v>
      </c>
      <c r="D119" s="3" t="s">
        <v>336</v>
      </c>
      <c r="E119" s="14">
        <v>554.93024628706178</v>
      </c>
      <c r="F119" s="14">
        <v>667.25533606737827</v>
      </c>
      <c r="G119" s="14">
        <v>860.61058351424708</v>
      </c>
      <c r="H119" s="14">
        <v>1088.2132483847263</v>
      </c>
      <c r="I119" s="14">
        <v>1154.4591214521995</v>
      </c>
      <c r="J119" s="14">
        <v>1257.0549456507295</v>
      </c>
      <c r="K119" s="14">
        <v>1264.9946306373795</v>
      </c>
      <c r="L119" s="14">
        <v>1964.8695278465248</v>
      </c>
      <c r="M119" s="14">
        <v>2124.4753931053397</v>
      </c>
      <c r="N119" s="14">
        <v>2276.5818124219968</v>
      </c>
      <c r="O119" s="14">
        <v>2375.6334598345093</v>
      </c>
    </row>
    <row r="120" spans="1:15" x14ac:dyDescent="0.3">
      <c r="A120" s="3" t="str">
        <f>INDEX('R1. Scenario specifications'!$C$11:$C$49,MATCH($B120,'R1. Scenario specifications'!$A$11:$A$49,0))</f>
        <v>Current 1.5DS, 2030 start, 'Expect the Unexpected'</v>
      </c>
      <c r="B120" s="3" t="s">
        <v>20</v>
      </c>
      <c r="C120" s="3" t="s">
        <v>296</v>
      </c>
      <c r="D120" s="3" t="s">
        <v>337</v>
      </c>
      <c r="E120" s="14">
        <v>6768.21079303233</v>
      </c>
      <c r="F120" s="14">
        <v>9604.0566614851487</v>
      </c>
      <c r="G120" s="14">
        <v>16237.412608619818</v>
      </c>
      <c r="H120" s="14">
        <v>17601.175858707189</v>
      </c>
      <c r="I120" s="14">
        <v>14736.632139614647</v>
      </c>
      <c r="J120" s="14">
        <v>15557.889701427179</v>
      </c>
      <c r="K120" s="14">
        <v>15607.094656003297</v>
      </c>
      <c r="L120" s="14">
        <v>23432.485514893779</v>
      </c>
      <c r="M120" s="14">
        <v>25059.68917876271</v>
      </c>
      <c r="N120" s="14">
        <v>26803.274541214025</v>
      </c>
      <c r="O120" s="14">
        <v>28739.059332887769</v>
      </c>
    </row>
    <row r="121" spans="1:15" x14ac:dyDescent="0.3">
      <c r="A121" s="3" t="str">
        <f>INDEX('R1. Scenario specifications'!$C$11:$C$49,MATCH($B121,'R1. Scenario specifications'!$A$11:$A$49,0))</f>
        <v>Current 1.5DS, 2030 start, 'Expect the Unexpected'</v>
      </c>
      <c r="B121" s="3" t="s">
        <v>20</v>
      </c>
      <c r="C121" s="3" t="s">
        <v>297</v>
      </c>
      <c r="D121" s="3" t="s">
        <v>338</v>
      </c>
      <c r="E121" s="14">
        <v>490.51449976830594</v>
      </c>
      <c r="F121" s="14">
        <v>524.93618944866842</v>
      </c>
      <c r="G121" s="14">
        <v>555.19395083536801</v>
      </c>
      <c r="H121" s="14">
        <v>559.27948645064043</v>
      </c>
      <c r="I121" s="14">
        <v>547.11400104460631</v>
      </c>
      <c r="J121" s="14">
        <v>517.882617294331</v>
      </c>
      <c r="K121" s="14">
        <v>490.22617978591558</v>
      </c>
      <c r="L121" s="14">
        <v>600.62628992940495</v>
      </c>
      <c r="M121" s="14">
        <v>595.1473363544626</v>
      </c>
      <c r="N121" s="14">
        <v>585.49041985978283</v>
      </c>
      <c r="O121" s="14">
        <v>573.55260782751282</v>
      </c>
    </row>
    <row r="122" spans="1:15" x14ac:dyDescent="0.3">
      <c r="A122" s="3" t="str">
        <f>INDEX('R1. Scenario specifications'!$C$11:$C$49,MATCH($B122,'R1. Scenario specifications'!$A$11:$A$49,0))</f>
        <v>Current 1.5DS, 2020 start, 'Expect the Unexpected' but with cheap renewables</v>
      </c>
      <c r="B122" s="3" t="s">
        <v>21</v>
      </c>
      <c r="C122" s="3" t="s">
        <v>290</v>
      </c>
      <c r="D122" s="3" t="s">
        <v>331</v>
      </c>
      <c r="E122" s="14">
        <v>303.90443076149791</v>
      </c>
      <c r="F122" s="14">
        <v>326.15031746610555</v>
      </c>
      <c r="G122" s="14">
        <v>347.05566024922416</v>
      </c>
      <c r="H122" s="14">
        <v>346.89509347574227</v>
      </c>
      <c r="I122" s="14">
        <v>314.00981194122812</v>
      </c>
      <c r="J122" s="14">
        <v>310.26290337212066</v>
      </c>
      <c r="K122" s="14">
        <v>372.8973007846148</v>
      </c>
      <c r="L122" s="14">
        <v>389.28835008534401</v>
      </c>
      <c r="M122" s="14">
        <v>387.73669743745137</v>
      </c>
      <c r="N122" s="14">
        <v>383.00735356521176</v>
      </c>
      <c r="O122" s="14">
        <v>376.08776823080098</v>
      </c>
    </row>
    <row r="123" spans="1:15" x14ac:dyDescent="0.3">
      <c r="A123" s="3" t="str">
        <f>INDEX('R1. Scenario specifications'!$C$11:$C$49,MATCH($B123,'R1. Scenario specifications'!$A$11:$A$49,0))</f>
        <v>Current 1.5DS, 2020 start, 'Expect the Unexpected' but with cheap renewables</v>
      </c>
      <c r="B123" s="3" t="s">
        <v>21</v>
      </c>
      <c r="C123" s="3" t="s">
        <v>291</v>
      </c>
      <c r="D123" s="3" t="s">
        <v>332</v>
      </c>
      <c r="E123" s="14">
        <v>704.60532435919743</v>
      </c>
      <c r="F123" s="14">
        <v>860.97149986110526</v>
      </c>
      <c r="G123" s="14">
        <v>1146.4631336452248</v>
      </c>
      <c r="H123" s="14">
        <v>1460.8749571193464</v>
      </c>
      <c r="I123" s="14">
        <v>1540.538876320642</v>
      </c>
      <c r="J123" s="14">
        <v>1682.2234202809802</v>
      </c>
      <c r="K123" s="14">
        <v>2361.8067669941024</v>
      </c>
      <c r="L123" s="14">
        <v>2750.8234650928375</v>
      </c>
      <c r="M123" s="14">
        <v>2884.8918363589619</v>
      </c>
      <c r="N123" s="14">
        <v>3039.1271703036414</v>
      </c>
      <c r="O123" s="14">
        <v>3167.3965157825701</v>
      </c>
    </row>
    <row r="124" spans="1:15" x14ac:dyDescent="0.3">
      <c r="A124" s="3" t="str">
        <f>INDEX('R1. Scenario specifications'!$C$11:$C$49,MATCH($B124,'R1. Scenario specifications'!$A$11:$A$49,0))</f>
        <v>Current 1.5DS, 2020 start, 'Expect the Unexpected' but with cheap renewables</v>
      </c>
      <c r="B124" s="3" t="s">
        <v>21</v>
      </c>
      <c r="C124" s="3" t="s">
        <v>292</v>
      </c>
      <c r="D124" s="3" t="s">
        <v>333</v>
      </c>
      <c r="E124" s="14">
        <v>159.73830278697653</v>
      </c>
      <c r="F124" s="14">
        <v>169.39599598719545</v>
      </c>
      <c r="G124" s="14">
        <v>176.71914238919692</v>
      </c>
      <c r="H124" s="14">
        <v>175.15830181655548</v>
      </c>
      <c r="I124" s="14">
        <v>160.16072413572442</v>
      </c>
      <c r="J124" s="14">
        <v>147.14316499568608</v>
      </c>
      <c r="K124" s="14">
        <v>171.93541404145822</v>
      </c>
      <c r="L124" s="14">
        <v>175.78189501677815</v>
      </c>
      <c r="M124" s="14">
        <v>171.47940350173073</v>
      </c>
      <c r="N124" s="14">
        <v>166.23136037709438</v>
      </c>
      <c r="O124" s="14">
        <v>156.57306841562979</v>
      </c>
    </row>
    <row r="125" spans="1:15" x14ac:dyDescent="0.3">
      <c r="A125" s="3" t="str">
        <f>INDEX('R1. Scenario specifications'!$C$11:$C$49,MATCH($B125,'R1. Scenario specifications'!$A$11:$A$49,0))</f>
        <v>Current 1.5DS, 2020 start, 'Expect the Unexpected' but with cheap renewables</v>
      </c>
      <c r="B125" s="3" t="s">
        <v>21</v>
      </c>
      <c r="C125" s="3" t="s">
        <v>293</v>
      </c>
      <c r="D125" s="3" t="s">
        <v>334</v>
      </c>
      <c r="E125" s="14">
        <v>773.46518919181767</v>
      </c>
      <c r="F125" s="14">
        <v>894.21413961009341</v>
      </c>
      <c r="G125" s="14">
        <v>1118.0496051339933</v>
      </c>
      <c r="H125" s="14">
        <v>1375.0461734053113</v>
      </c>
      <c r="I125" s="14">
        <v>1482.4635591335739</v>
      </c>
      <c r="J125" s="14">
        <v>1592.053645630758</v>
      </c>
      <c r="K125" s="14">
        <v>2088.399232926487</v>
      </c>
      <c r="L125" s="14">
        <v>2366.5190259502397</v>
      </c>
      <c r="M125" s="14">
        <v>2529.992064735849</v>
      </c>
      <c r="N125" s="14">
        <v>2651.9703329563927</v>
      </c>
      <c r="O125" s="14">
        <v>2747.6618566057978</v>
      </c>
    </row>
    <row r="126" spans="1:15" x14ac:dyDescent="0.3">
      <c r="A126" s="3" t="str">
        <f>INDEX('R1. Scenario specifications'!$C$11:$C$49,MATCH($B126,'R1. Scenario specifications'!$A$11:$A$49,0))</f>
        <v>Current 1.5DS, 2020 start, 'Expect the Unexpected' but with cheap renewables</v>
      </c>
      <c r="B126" s="3" t="s">
        <v>21</v>
      </c>
      <c r="C126" s="3" t="s">
        <v>294</v>
      </c>
      <c r="D126" s="3" t="s">
        <v>335</v>
      </c>
      <c r="E126" s="14">
        <v>3279.7723348946201</v>
      </c>
      <c r="F126" s="14">
        <v>4082.6935657435747</v>
      </c>
      <c r="G126" s="14">
        <v>5207.7532954788776</v>
      </c>
      <c r="H126" s="14">
        <v>5391.0324000251194</v>
      </c>
      <c r="I126" s="14">
        <v>4874.8586904525437</v>
      </c>
      <c r="J126" s="14">
        <v>5389.7989283291754</v>
      </c>
      <c r="K126" s="14">
        <v>7387.3705537551541</v>
      </c>
      <c r="L126" s="14">
        <v>8396.6581798262105</v>
      </c>
      <c r="M126" s="14">
        <v>8884.4284126902603</v>
      </c>
      <c r="N126" s="14">
        <v>9253.912760329169</v>
      </c>
      <c r="O126" s="14">
        <v>9804.4732585748534</v>
      </c>
    </row>
    <row r="127" spans="1:15" x14ac:dyDescent="0.3">
      <c r="A127" s="3" t="str">
        <f>INDEX('R1. Scenario specifications'!$C$11:$C$49,MATCH($B127,'R1. Scenario specifications'!$A$11:$A$49,0))</f>
        <v>Current 1.5DS, 2020 start, 'Expect the Unexpected' but with cheap renewables</v>
      </c>
      <c r="B127" s="3" t="s">
        <v>21</v>
      </c>
      <c r="C127" s="3" t="s">
        <v>295</v>
      </c>
      <c r="D127" s="3" t="s">
        <v>336</v>
      </c>
      <c r="E127" s="14">
        <v>554.93024628706178</v>
      </c>
      <c r="F127" s="14">
        <v>667.25533606737827</v>
      </c>
      <c r="G127" s="14">
        <v>860.61058351424708</v>
      </c>
      <c r="H127" s="14">
        <v>1045.1780985448195</v>
      </c>
      <c r="I127" s="14">
        <v>1079.4773559876242</v>
      </c>
      <c r="J127" s="14">
        <v>1152.1452512347005</v>
      </c>
      <c r="K127" s="14">
        <v>1627.4360676349438</v>
      </c>
      <c r="L127" s="14">
        <v>1913.9225416307963</v>
      </c>
      <c r="M127" s="14">
        <v>2048.741155902565</v>
      </c>
      <c r="N127" s="14">
        <v>2171.637291540856</v>
      </c>
      <c r="O127" s="14">
        <v>2242.04877256183</v>
      </c>
    </row>
    <row r="128" spans="1:15" x14ac:dyDescent="0.3">
      <c r="A128" s="3" t="str">
        <f>INDEX('R1. Scenario specifications'!$C$11:$C$49,MATCH($B128,'R1. Scenario specifications'!$A$11:$A$49,0))</f>
        <v>Current 1.5DS, 2020 start, 'Expect the Unexpected' but with cheap renewables</v>
      </c>
      <c r="B128" s="3" t="s">
        <v>21</v>
      </c>
      <c r="C128" s="3" t="s">
        <v>296</v>
      </c>
      <c r="D128" s="3" t="s">
        <v>337</v>
      </c>
      <c r="E128" s="14">
        <v>6768.21079303233</v>
      </c>
      <c r="F128" s="14">
        <v>9604.0566614851487</v>
      </c>
      <c r="G128" s="14">
        <v>16237.412608619818</v>
      </c>
      <c r="H128" s="14">
        <v>16481.089663320996</v>
      </c>
      <c r="I128" s="14">
        <v>13845.401174821076</v>
      </c>
      <c r="J128" s="14">
        <v>14249.711509726376</v>
      </c>
      <c r="K128" s="14">
        <v>20338.834615229043</v>
      </c>
      <c r="L128" s="14">
        <v>23168.721069809362</v>
      </c>
      <c r="M128" s="14">
        <v>24842.038645199049</v>
      </c>
      <c r="N128" s="14">
        <v>26280.230255067319</v>
      </c>
      <c r="O128" s="14">
        <v>28404.542404349624</v>
      </c>
    </row>
    <row r="129" spans="1:15" x14ac:dyDescent="0.3">
      <c r="A129" s="3" t="str">
        <f>INDEX('R1. Scenario specifications'!$C$11:$C$49,MATCH($B129,'R1. Scenario specifications'!$A$11:$A$49,0))</f>
        <v>Current 1.5DS, 2020 start, 'Expect the Unexpected' but with cheap renewables</v>
      </c>
      <c r="B129" s="3" t="s">
        <v>21</v>
      </c>
      <c r="C129" s="3" t="s">
        <v>297</v>
      </c>
      <c r="D129" s="3" t="s">
        <v>338</v>
      </c>
      <c r="E129" s="14">
        <v>490.51449976830594</v>
      </c>
      <c r="F129" s="14">
        <v>524.93618944866842</v>
      </c>
      <c r="G129" s="14">
        <v>555.19395083536801</v>
      </c>
      <c r="H129" s="14">
        <v>559.27948645064043</v>
      </c>
      <c r="I129" s="14">
        <v>525.57212556354807</v>
      </c>
      <c r="J129" s="14">
        <v>489.35723635159337</v>
      </c>
      <c r="K129" s="14">
        <v>578.78456201470567</v>
      </c>
      <c r="L129" s="14">
        <v>600.62628992940495</v>
      </c>
      <c r="M129" s="14">
        <v>595.1473363544626</v>
      </c>
      <c r="N129" s="14">
        <v>585.49041985978283</v>
      </c>
      <c r="O129" s="14">
        <v>561.21853399383326</v>
      </c>
    </row>
    <row r="130" spans="1:15" x14ac:dyDescent="0.3">
      <c r="A130" s="3" t="str">
        <f>INDEX('R1. Scenario specifications'!$C$11:$C$49,MATCH($B130,'R1. Scenario specifications'!$A$11:$A$49,0))</f>
        <v>Current 1.5DS, 2030 start, 'Expect the Unexpected' but with cheap renewables</v>
      </c>
      <c r="B130" s="3" t="s">
        <v>22</v>
      </c>
      <c r="C130" s="3" t="s">
        <v>290</v>
      </c>
      <c r="D130" s="3" t="s">
        <v>331</v>
      </c>
      <c r="E130" s="14">
        <v>303.90443076149791</v>
      </c>
      <c r="F130" s="14">
        <v>326.15031746610555</v>
      </c>
      <c r="G130" s="14">
        <v>347.05566024922416</v>
      </c>
      <c r="H130" s="14">
        <v>353.33506067595158</v>
      </c>
      <c r="I130" s="14">
        <v>335.57083497223624</v>
      </c>
      <c r="J130" s="14">
        <v>323.39274725929704</v>
      </c>
      <c r="K130" s="14">
        <v>318.51801171096196</v>
      </c>
      <c r="L130" s="14">
        <v>390.07868039604261</v>
      </c>
      <c r="M130" s="14">
        <v>387.73669743745126</v>
      </c>
      <c r="N130" s="14">
        <v>383.00735356521187</v>
      </c>
      <c r="O130" s="14">
        <v>376.08776823080086</v>
      </c>
    </row>
    <row r="131" spans="1:15" x14ac:dyDescent="0.3">
      <c r="A131" s="3" t="str">
        <f>INDEX('R1. Scenario specifications'!$C$11:$C$49,MATCH($B131,'R1. Scenario specifications'!$A$11:$A$49,0))</f>
        <v>Current 1.5DS, 2030 start, 'Expect the Unexpected' but with cheap renewables</v>
      </c>
      <c r="B131" s="3" t="s">
        <v>22</v>
      </c>
      <c r="C131" s="3" t="s">
        <v>291</v>
      </c>
      <c r="D131" s="3" t="s">
        <v>332</v>
      </c>
      <c r="E131" s="14">
        <v>704.60532435919743</v>
      </c>
      <c r="F131" s="14">
        <v>860.97149986110526</v>
      </c>
      <c r="G131" s="14">
        <v>1146.4631336452248</v>
      </c>
      <c r="H131" s="14">
        <v>1500.2632370055153</v>
      </c>
      <c r="I131" s="14">
        <v>1690.0465557759399</v>
      </c>
      <c r="J131" s="14">
        <v>1824.8492496032618</v>
      </c>
      <c r="K131" s="14">
        <v>1857.0750081351403</v>
      </c>
      <c r="L131" s="14">
        <v>2787.1712980246034</v>
      </c>
      <c r="M131" s="14">
        <v>2990.5665855889984</v>
      </c>
      <c r="N131" s="14">
        <v>3182.4847600124804</v>
      </c>
      <c r="O131" s="14">
        <v>3328.1055147475063</v>
      </c>
    </row>
    <row r="132" spans="1:15" x14ac:dyDescent="0.3">
      <c r="A132" s="3" t="str">
        <f>INDEX('R1. Scenario specifications'!$C$11:$C$49,MATCH($B132,'R1. Scenario specifications'!$A$11:$A$49,0))</f>
        <v>Current 1.5DS, 2030 start, 'Expect the Unexpected' but with cheap renewables</v>
      </c>
      <c r="B132" s="3" t="s">
        <v>22</v>
      </c>
      <c r="C132" s="3" t="s">
        <v>292</v>
      </c>
      <c r="D132" s="3" t="s">
        <v>333</v>
      </c>
      <c r="E132" s="14">
        <v>159.73830278697653</v>
      </c>
      <c r="F132" s="14">
        <v>169.39599598719545</v>
      </c>
      <c r="G132" s="14">
        <v>176.71914238919692</v>
      </c>
      <c r="H132" s="14">
        <v>175.15830181655548</v>
      </c>
      <c r="I132" s="14">
        <v>166.84087895861114</v>
      </c>
      <c r="J132" s="14">
        <v>155.71598893546371</v>
      </c>
      <c r="K132" s="14">
        <v>145.1592987754278</v>
      </c>
      <c r="L132" s="14">
        <v>175.78189501677815</v>
      </c>
      <c r="M132" s="14">
        <v>171.47940350173073</v>
      </c>
      <c r="N132" s="14">
        <v>166.23136037709438</v>
      </c>
      <c r="O132" s="14">
        <v>160.73057164452095</v>
      </c>
    </row>
    <row r="133" spans="1:15" x14ac:dyDescent="0.3">
      <c r="A133" s="3" t="str">
        <f>INDEX('R1. Scenario specifications'!$C$11:$C$49,MATCH($B133,'R1. Scenario specifications'!$A$11:$A$49,0))</f>
        <v>Current 1.5DS, 2030 start, 'Expect the Unexpected' but with cheap renewables</v>
      </c>
      <c r="B133" s="3" t="s">
        <v>22</v>
      </c>
      <c r="C133" s="3" t="s">
        <v>293</v>
      </c>
      <c r="D133" s="3" t="s">
        <v>334</v>
      </c>
      <c r="E133" s="14">
        <v>773.46518919181767</v>
      </c>
      <c r="F133" s="14">
        <v>894.21413961009341</v>
      </c>
      <c r="G133" s="14">
        <v>1118.0496051339933</v>
      </c>
      <c r="H133" s="14">
        <v>1375.5475785566455</v>
      </c>
      <c r="I133" s="14">
        <v>1561.802366335311</v>
      </c>
      <c r="J133" s="14">
        <v>1717.6598172670656</v>
      </c>
      <c r="K133" s="14">
        <v>1728.9338071117293</v>
      </c>
      <c r="L133" s="14">
        <v>2369.1726850824621</v>
      </c>
      <c r="M133" s="14">
        <v>2529.9920647358463</v>
      </c>
      <c r="N133" s="14">
        <v>2686.1979558801268</v>
      </c>
      <c r="O133" s="14">
        <v>2834.7797992863789</v>
      </c>
    </row>
    <row r="134" spans="1:15" x14ac:dyDescent="0.3">
      <c r="A134" s="3" t="str">
        <f>INDEX('R1. Scenario specifications'!$C$11:$C$49,MATCH($B134,'R1. Scenario specifications'!$A$11:$A$49,0))</f>
        <v>Current 1.5DS, 2030 start, 'Expect the Unexpected' but with cheap renewables</v>
      </c>
      <c r="B134" s="3" t="s">
        <v>22</v>
      </c>
      <c r="C134" s="3" t="s">
        <v>294</v>
      </c>
      <c r="D134" s="3" t="s">
        <v>335</v>
      </c>
      <c r="E134" s="14">
        <v>3279.7723348946201</v>
      </c>
      <c r="F134" s="14">
        <v>4082.6935657435747</v>
      </c>
      <c r="G134" s="14">
        <v>5207.7532954788776</v>
      </c>
      <c r="H134" s="14">
        <v>5690.8087984717622</v>
      </c>
      <c r="I134" s="14">
        <v>5255.3526659888521</v>
      </c>
      <c r="J134" s="14">
        <v>5644.6024803577384</v>
      </c>
      <c r="K134" s="14">
        <v>5854.3003042744331</v>
      </c>
      <c r="L134" s="14">
        <v>8420.0211619945258</v>
      </c>
      <c r="M134" s="14">
        <v>8919.2879430002922</v>
      </c>
      <c r="N134" s="14">
        <v>9411.3990970713749</v>
      </c>
      <c r="O134" s="14">
        <v>9856.9321077325094</v>
      </c>
    </row>
    <row r="135" spans="1:15" x14ac:dyDescent="0.3">
      <c r="A135" s="3" t="str">
        <f>INDEX('R1. Scenario specifications'!$C$11:$C$49,MATCH($B135,'R1. Scenario specifications'!$A$11:$A$49,0))</f>
        <v>Current 1.5DS, 2030 start, 'Expect the Unexpected' but with cheap renewables</v>
      </c>
      <c r="B135" s="3" t="s">
        <v>22</v>
      </c>
      <c r="C135" s="3" t="s">
        <v>295</v>
      </c>
      <c r="D135" s="3" t="s">
        <v>336</v>
      </c>
      <c r="E135" s="14">
        <v>554.93024628706178</v>
      </c>
      <c r="F135" s="14">
        <v>667.25533606737827</v>
      </c>
      <c r="G135" s="14">
        <v>860.61058351424708</v>
      </c>
      <c r="H135" s="14">
        <v>1088.2132483847263</v>
      </c>
      <c r="I135" s="14">
        <v>1154.4591214521997</v>
      </c>
      <c r="J135" s="14">
        <v>1257.0549456507295</v>
      </c>
      <c r="K135" s="14">
        <v>1259.2266522352841</v>
      </c>
      <c r="L135" s="14">
        <v>1964.8695278465252</v>
      </c>
      <c r="M135" s="14">
        <v>2124.4753931053388</v>
      </c>
      <c r="N135" s="14">
        <v>2277.7871303535903</v>
      </c>
      <c r="O135" s="14">
        <v>2375.6334598345079</v>
      </c>
    </row>
    <row r="136" spans="1:15" x14ac:dyDescent="0.3">
      <c r="A136" s="3" t="str">
        <f>INDEX('R1. Scenario specifications'!$C$11:$C$49,MATCH($B136,'R1. Scenario specifications'!$A$11:$A$49,0))</f>
        <v>Current 1.5DS, 2030 start, 'Expect the Unexpected' but with cheap renewables</v>
      </c>
      <c r="B136" s="3" t="s">
        <v>22</v>
      </c>
      <c r="C136" s="3" t="s">
        <v>296</v>
      </c>
      <c r="D136" s="3" t="s">
        <v>337</v>
      </c>
      <c r="E136" s="14">
        <v>6768.21079303233</v>
      </c>
      <c r="F136" s="14">
        <v>9604.0566614851487</v>
      </c>
      <c r="G136" s="14">
        <v>16237.412608619818</v>
      </c>
      <c r="H136" s="14">
        <v>17601.175858707189</v>
      </c>
      <c r="I136" s="14">
        <v>14775.775493878793</v>
      </c>
      <c r="J136" s="14">
        <v>15557.889701427186</v>
      </c>
      <c r="K136" s="14">
        <v>15623.550335724733</v>
      </c>
      <c r="L136" s="14">
        <v>23444.751598082446</v>
      </c>
      <c r="M136" s="14">
        <v>25059.689178762696</v>
      </c>
      <c r="N136" s="14">
        <v>26803.274541214021</v>
      </c>
      <c r="O136" s="14">
        <v>28739.05933288778</v>
      </c>
    </row>
    <row r="137" spans="1:15" x14ac:dyDescent="0.3">
      <c r="A137" s="3" t="str">
        <f>INDEX('R1. Scenario specifications'!$C$11:$C$49,MATCH($B137,'R1. Scenario specifications'!$A$11:$A$49,0))</f>
        <v>Current 1.5DS, 2030 start, 'Expect the Unexpected' but with cheap renewables</v>
      </c>
      <c r="B137" s="3" t="s">
        <v>22</v>
      </c>
      <c r="C137" s="3" t="s">
        <v>297</v>
      </c>
      <c r="D137" s="3" t="s">
        <v>338</v>
      </c>
      <c r="E137" s="14">
        <v>490.51449976830594</v>
      </c>
      <c r="F137" s="14">
        <v>524.93618944866842</v>
      </c>
      <c r="G137" s="14">
        <v>555.19395083536801</v>
      </c>
      <c r="H137" s="14">
        <v>559.27948645064043</v>
      </c>
      <c r="I137" s="14">
        <v>547.11400104460631</v>
      </c>
      <c r="J137" s="14">
        <v>517.882617294331</v>
      </c>
      <c r="K137" s="14">
        <v>490.22617978591558</v>
      </c>
      <c r="L137" s="14">
        <v>600.62628992940495</v>
      </c>
      <c r="M137" s="14">
        <v>595.1473363544626</v>
      </c>
      <c r="N137" s="14">
        <v>585.49041985978283</v>
      </c>
      <c r="O137" s="14">
        <v>573.55260782751282</v>
      </c>
    </row>
    <row r="138" spans="1:15" x14ac:dyDescent="0.3">
      <c r="A138" s="3" t="str">
        <f>INDEX('R1. Scenario specifications'!$C$11:$C$49,MATCH($B138,'R1. Scenario specifications'!$A$11:$A$49,0))</f>
        <v>Current 1.5DS, 2020 start, 'Expect the Unexpected' but with cheap CCS</v>
      </c>
      <c r="B138" s="3" t="s">
        <v>23</v>
      </c>
      <c r="C138" s="3" t="s">
        <v>290</v>
      </c>
      <c r="D138" s="3" t="s">
        <v>331</v>
      </c>
      <c r="E138" s="14">
        <v>303.90443076149791</v>
      </c>
      <c r="F138" s="14">
        <v>326.15031746610555</v>
      </c>
      <c r="G138" s="14">
        <v>347.05566024922416</v>
      </c>
      <c r="H138" s="14">
        <v>342.21967183620529</v>
      </c>
      <c r="I138" s="14">
        <v>314.00981194122824</v>
      </c>
      <c r="J138" s="14">
        <v>310.2629033721206</v>
      </c>
      <c r="K138" s="14">
        <v>370.84651655496157</v>
      </c>
      <c r="L138" s="14">
        <v>389.28835008534401</v>
      </c>
      <c r="M138" s="14">
        <v>387.73669743745137</v>
      </c>
      <c r="N138" s="14">
        <v>382.29294818276662</v>
      </c>
      <c r="O138" s="14">
        <v>376.08776823080086</v>
      </c>
    </row>
    <row r="139" spans="1:15" x14ac:dyDescent="0.3">
      <c r="A139" s="3" t="str">
        <f>INDEX('R1. Scenario specifications'!$C$11:$C$49,MATCH($B139,'R1. Scenario specifications'!$A$11:$A$49,0))</f>
        <v>Current 1.5DS, 2020 start, 'Expect the Unexpected' but with cheap CCS</v>
      </c>
      <c r="B139" s="3" t="s">
        <v>23</v>
      </c>
      <c r="C139" s="3" t="s">
        <v>291</v>
      </c>
      <c r="D139" s="3" t="s">
        <v>332</v>
      </c>
      <c r="E139" s="14">
        <v>704.60532435919743</v>
      </c>
      <c r="F139" s="14">
        <v>860.97149986110526</v>
      </c>
      <c r="G139" s="14">
        <v>1146.4631336452248</v>
      </c>
      <c r="H139" s="14">
        <v>1441.4038607292196</v>
      </c>
      <c r="I139" s="14">
        <v>1540.5388763206429</v>
      </c>
      <c r="J139" s="14">
        <v>1682.2234202809798</v>
      </c>
      <c r="K139" s="14">
        <v>2334.4426810317968</v>
      </c>
      <c r="L139" s="14">
        <v>2739.502444328928</v>
      </c>
      <c r="M139" s="14">
        <v>2884.8918363589596</v>
      </c>
      <c r="N139" s="14">
        <v>3039.0796072399207</v>
      </c>
      <c r="O139" s="14">
        <v>3167.3965157825701</v>
      </c>
    </row>
    <row r="140" spans="1:15" x14ac:dyDescent="0.3">
      <c r="A140" s="3" t="str">
        <f>INDEX('R1. Scenario specifications'!$C$11:$C$49,MATCH($B140,'R1. Scenario specifications'!$A$11:$A$49,0))</f>
        <v>Current 1.5DS, 2020 start, 'Expect the Unexpected' but with cheap CCS</v>
      </c>
      <c r="B140" s="3" t="s">
        <v>23</v>
      </c>
      <c r="C140" s="3" t="s">
        <v>292</v>
      </c>
      <c r="D140" s="3" t="s">
        <v>333</v>
      </c>
      <c r="E140" s="14">
        <v>159.73830278697653</v>
      </c>
      <c r="F140" s="14">
        <v>169.39599598719545</v>
      </c>
      <c r="G140" s="14">
        <v>176.71914238919692</v>
      </c>
      <c r="H140" s="14">
        <v>175.15830181655548</v>
      </c>
      <c r="I140" s="14">
        <v>160.12859420509855</v>
      </c>
      <c r="J140" s="14">
        <v>147.14316499568608</v>
      </c>
      <c r="K140" s="14">
        <v>171.80311515093859</v>
      </c>
      <c r="L140" s="14">
        <v>175.78189501677815</v>
      </c>
      <c r="M140" s="14">
        <v>171.47940350173073</v>
      </c>
      <c r="N140" s="14">
        <v>166.23136037709438</v>
      </c>
      <c r="O140" s="14">
        <v>156.57306841562979</v>
      </c>
    </row>
    <row r="141" spans="1:15" x14ac:dyDescent="0.3">
      <c r="A141" s="3" t="str">
        <f>INDEX('R1. Scenario specifications'!$C$11:$C$49,MATCH($B141,'R1. Scenario specifications'!$A$11:$A$49,0))</f>
        <v>Current 1.5DS, 2020 start, 'Expect the Unexpected' but with cheap CCS</v>
      </c>
      <c r="B141" s="3" t="s">
        <v>23</v>
      </c>
      <c r="C141" s="3" t="s">
        <v>293</v>
      </c>
      <c r="D141" s="3" t="s">
        <v>334</v>
      </c>
      <c r="E141" s="14">
        <v>773.46518919181767</v>
      </c>
      <c r="F141" s="14">
        <v>894.21413961009341</v>
      </c>
      <c r="G141" s="14">
        <v>1118.0496051339933</v>
      </c>
      <c r="H141" s="14">
        <v>1360.3776299758706</v>
      </c>
      <c r="I141" s="14">
        <v>1465.9741851143801</v>
      </c>
      <c r="J141" s="14">
        <v>1592.0536456307577</v>
      </c>
      <c r="K141" s="14">
        <v>2077.4899649401723</v>
      </c>
      <c r="L141" s="14">
        <v>2366.519025950241</v>
      </c>
      <c r="M141" s="14">
        <v>2529.992064735849</v>
      </c>
      <c r="N141" s="14">
        <v>2651.9703329563922</v>
      </c>
      <c r="O141" s="14">
        <v>2747.6618566057982</v>
      </c>
    </row>
    <row r="142" spans="1:15" x14ac:dyDescent="0.3">
      <c r="A142" s="3" t="str">
        <f>INDEX('R1. Scenario specifications'!$C$11:$C$49,MATCH($B142,'R1. Scenario specifications'!$A$11:$A$49,0))</f>
        <v>Current 1.5DS, 2020 start, 'Expect the Unexpected' but with cheap CCS</v>
      </c>
      <c r="B142" s="3" t="s">
        <v>23</v>
      </c>
      <c r="C142" s="3" t="s">
        <v>294</v>
      </c>
      <c r="D142" s="3" t="s">
        <v>335</v>
      </c>
      <c r="E142" s="14">
        <v>3279.7723348946201</v>
      </c>
      <c r="F142" s="14">
        <v>4082.6935657435747</v>
      </c>
      <c r="G142" s="14">
        <v>5207.7532954788776</v>
      </c>
      <c r="H142" s="14">
        <v>5384.017397644845</v>
      </c>
      <c r="I142" s="14">
        <v>4859.4476529409785</v>
      </c>
      <c r="J142" s="14">
        <v>5389.7989283291754</v>
      </c>
      <c r="K142" s="14">
        <v>7353.2953838891754</v>
      </c>
      <c r="L142" s="14">
        <v>8396.6581798262105</v>
      </c>
      <c r="M142" s="14">
        <v>8817.3850594860305</v>
      </c>
      <c r="N142" s="14">
        <v>9249.2704351285283</v>
      </c>
      <c r="O142" s="14">
        <v>9804.4732585748534</v>
      </c>
    </row>
    <row r="143" spans="1:15" x14ac:dyDescent="0.3">
      <c r="A143" s="3" t="str">
        <f>INDEX('R1. Scenario specifications'!$C$11:$C$49,MATCH($B143,'R1. Scenario specifications'!$A$11:$A$49,0))</f>
        <v>Current 1.5DS, 2020 start, 'Expect the Unexpected' but with cheap CCS</v>
      </c>
      <c r="B143" s="3" t="s">
        <v>23</v>
      </c>
      <c r="C143" s="3" t="s">
        <v>295</v>
      </c>
      <c r="D143" s="3" t="s">
        <v>336</v>
      </c>
      <c r="E143" s="14">
        <v>554.93024628706178</v>
      </c>
      <c r="F143" s="14">
        <v>667.25533606737827</v>
      </c>
      <c r="G143" s="14">
        <v>860.61058351424708</v>
      </c>
      <c r="H143" s="14">
        <v>1041.8401329951803</v>
      </c>
      <c r="I143" s="14">
        <v>1079.4773559876242</v>
      </c>
      <c r="J143" s="14">
        <v>1152.1452512347007</v>
      </c>
      <c r="K143" s="14">
        <v>1618.0999294049107</v>
      </c>
      <c r="L143" s="14">
        <v>1898.4808157198779</v>
      </c>
      <c r="M143" s="14">
        <v>2048.7411559025641</v>
      </c>
      <c r="N143" s="14">
        <v>2171.6372915408579</v>
      </c>
      <c r="O143" s="14">
        <v>2238.5070294255825</v>
      </c>
    </row>
    <row r="144" spans="1:15" x14ac:dyDescent="0.3">
      <c r="A144" s="3" t="str">
        <f>INDEX('R1. Scenario specifications'!$C$11:$C$49,MATCH($B144,'R1. Scenario specifications'!$A$11:$A$49,0))</f>
        <v>Current 1.5DS, 2020 start, 'Expect the Unexpected' but with cheap CCS</v>
      </c>
      <c r="B144" s="3" t="s">
        <v>23</v>
      </c>
      <c r="C144" s="3" t="s">
        <v>296</v>
      </c>
      <c r="D144" s="3" t="s">
        <v>337</v>
      </c>
      <c r="E144" s="14">
        <v>6768.21079303233</v>
      </c>
      <c r="F144" s="14">
        <v>9604.0566614851487</v>
      </c>
      <c r="G144" s="14">
        <v>16237.412608619818</v>
      </c>
      <c r="H144" s="14">
        <v>16396.083010115988</v>
      </c>
      <c r="I144" s="14">
        <v>13845.401174821078</v>
      </c>
      <c r="J144" s="14">
        <v>14249.711509726369</v>
      </c>
      <c r="K144" s="14">
        <v>20138.315622170478</v>
      </c>
      <c r="L144" s="14">
        <v>23168.721069809362</v>
      </c>
      <c r="M144" s="14">
        <v>24842.038645199053</v>
      </c>
      <c r="N144" s="14">
        <v>26497.123368782886</v>
      </c>
      <c r="O144" s="14">
        <v>28404.542404349624</v>
      </c>
    </row>
    <row r="145" spans="1:15" x14ac:dyDescent="0.3">
      <c r="A145" s="3" t="str">
        <f>INDEX('R1. Scenario specifications'!$C$11:$C$49,MATCH($B145,'R1. Scenario specifications'!$A$11:$A$49,0))</f>
        <v>Current 1.5DS, 2020 start, 'Expect the Unexpected' but with cheap CCS</v>
      </c>
      <c r="B145" s="3" t="s">
        <v>23</v>
      </c>
      <c r="C145" s="3" t="s">
        <v>297</v>
      </c>
      <c r="D145" s="3" t="s">
        <v>338</v>
      </c>
      <c r="E145" s="14">
        <v>490.51449976830594</v>
      </c>
      <c r="F145" s="14">
        <v>524.93618944866842</v>
      </c>
      <c r="G145" s="14">
        <v>555.19395083536801</v>
      </c>
      <c r="H145" s="14">
        <v>559.27948645064043</v>
      </c>
      <c r="I145" s="14">
        <v>525.39118815422353</v>
      </c>
      <c r="J145" s="14">
        <v>489.35723635159337</v>
      </c>
      <c r="K145" s="14">
        <v>577.60426733935594</v>
      </c>
      <c r="L145" s="14">
        <v>600.62628992940495</v>
      </c>
      <c r="M145" s="14">
        <v>595.1473363544626</v>
      </c>
      <c r="N145" s="14">
        <v>585.49041985978283</v>
      </c>
      <c r="O145" s="14">
        <v>561.21853399383326</v>
      </c>
    </row>
    <row r="146" spans="1:15" x14ac:dyDescent="0.3">
      <c r="A146" s="3" t="str">
        <f>INDEX('R1. Scenario specifications'!$C$11:$C$49,MATCH($B146,'R1. Scenario specifications'!$A$11:$A$49,0))</f>
        <v>Current 1.5DS, 2030 start, 'Expect the Unexpected' but with cheap CCS</v>
      </c>
      <c r="B146" s="3" t="s">
        <v>24</v>
      </c>
      <c r="C146" s="3" t="s">
        <v>290</v>
      </c>
      <c r="D146" s="3" t="s">
        <v>331</v>
      </c>
      <c r="E146" s="14">
        <v>303.90443076149791</v>
      </c>
      <c r="F146" s="14">
        <v>326.15031746610555</v>
      </c>
      <c r="G146" s="14">
        <v>347.05566024922416</v>
      </c>
      <c r="H146" s="14">
        <v>353.33506067595158</v>
      </c>
      <c r="I146" s="14">
        <v>335.57083497223624</v>
      </c>
      <c r="J146" s="14">
        <v>322.49204591426229</v>
      </c>
      <c r="K146" s="14">
        <v>318.5180117109619</v>
      </c>
      <c r="L146" s="14">
        <v>389.74364985484794</v>
      </c>
      <c r="M146" s="14">
        <v>387.7366974374512</v>
      </c>
      <c r="N146" s="14">
        <v>383.0073535652117</v>
      </c>
      <c r="O146" s="14">
        <v>376.08776823080103</v>
      </c>
    </row>
    <row r="147" spans="1:15" x14ac:dyDescent="0.3">
      <c r="A147" s="3" t="str">
        <f>INDEX('R1. Scenario specifications'!$C$11:$C$49,MATCH($B147,'R1. Scenario specifications'!$A$11:$A$49,0))</f>
        <v>Current 1.5DS, 2030 start, 'Expect the Unexpected' but with cheap CCS</v>
      </c>
      <c r="B147" s="3" t="s">
        <v>24</v>
      </c>
      <c r="C147" s="3" t="s">
        <v>291</v>
      </c>
      <c r="D147" s="3" t="s">
        <v>332</v>
      </c>
      <c r="E147" s="14">
        <v>704.60532435919743</v>
      </c>
      <c r="F147" s="14">
        <v>860.97149986110526</v>
      </c>
      <c r="G147" s="14">
        <v>1146.4631336452248</v>
      </c>
      <c r="H147" s="14">
        <v>1500.2632370055153</v>
      </c>
      <c r="I147" s="14">
        <v>1690.0465557759399</v>
      </c>
      <c r="J147" s="14">
        <v>1824.8492496032618</v>
      </c>
      <c r="K147" s="14">
        <v>1857.0750081351414</v>
      </c>
      <c r="L147" s="14">
        <v>2787.1712980246048</v>
      </c>
      <c r="M147" s="14">
        <v>2990.1838120222892</v>
      </c>
      <c r="N147" s="14">
        <v>3182.4847600124804</v>
      </c>
      <c r="O147" s="14">
        <v>3305.4520200289326</v>
      </c>
    </row>
    <row r="148" spans="1:15" x14ac:dyDescent="0.3">
      <c r="A148" s="3" t="str">
        <f>INDEX('R1. Scenario specifications'!$C$11:$C$49,MATCH($B148,'R1. Scenario specifications'!$A$11:$A$49,0))</f>
        <v>Current 1.5DS, 2030 start, 'Expect the Unexpected' but with cheap CCS</v>
      </c>
      <c r="B148" s="3" t="s">
        <v>24</v>
      </c>
      <c r="C148" s="3" t="s">
        <v>292</v>
      </c>
      <c r="D148" s="3" t="s">
        <v>333</v>
      </c>
      <c r="E148" s="14">
        <v>159.73830278697653</v>
      </c>
      <c r="F148" s="14">
        <v>169.39599598719545</v>
      </c>
      <c r="G148" s="14">
        <v>176.71914238919692</v>
      </c>
      <c r="H148" s="14">
        <v>175.15830181655548</v>
      </c>
      <c r="I148" s="14">
        <v>166.84087895861114</v>
      </c>
      <c r="J148" s="14">
        <v>155.71598893546371</v>
      </c>
      <c r="K148" s="14">
        <v>145.1592987754278</v>
      </c>
      <c r="L148" s="14">
        <v>175.78189501677815</v>
      </c>
      <c r="M148" s="14">
        <v>171.47940350173073</v>
      </c>
      <c r="N148" s="14">
        <v>166.23136037709438</v>
      </c>
      <c r="O148" s="14">
        <v>160.73057164452095</v>
      </c>
    </row>
    <row r="149" spans="1:15" x14ac:dyDescent="0.3">
      <c r="A149" s="3" t="str">
        <f>INDEX('R1. Scenario specifications'!$C$11:$C$49,MATCH($B149,'R1. Scenario specifications'!$A$11:$A$49,0))</f>
        <v>Current 1.5DS, 2030 start, 'Expect the Unexpected' but with cheap CCS</v>
      </c>
      <c r="B149" s="3" t="s">
        <v>24</v>
      </c>
      <c r="C149" s="3" t="s">
        <v>293</v>
      </c>
      <c r="D149" s="3" t="s">
        <v>334</v>
      </c>
      <c r="E149" s="14">
        <v>773.46518919181767</v>
      </c>
      <c r="F149" s="14">
        <v>894.21413961009341</v>
      </c>
      <c r="G149" s="14">
        <v>1118.0496051339933</v>
      </c>
      <c r="H149" s="14">
        <v>1375.5475785566455</v>
      </c>
      <c r="I149" s="14">
        <v>1561.802366335311</v>
      </c>
      <c r="J149" s="14">
        <v>1717.659817267066</v>
      </c>
      <c r="K149" s="14">
        <v>1728.9338071117293</v>
      </c>
      <c r="L149" s="14">
        <v>2369.1726850824625</v>
      </c>
      <c r="M149" s="14">
        <v>2529.9920647358467</v>
      </c>
      <c r="N149" s="14">
        <v>2686.1979558801258</v>
      </c>
      <c r="O149" s="14">
        <v>2834.7797992863793</v>
      </c>
    </row>
    <row r="150" spans="1:15" x14ac:dyDescent="0.3">
      <c r="A150" s="3" t="str">
        <f>INDEX('R1. Scenario specifications'!$C$11:$C$49,MATCH($B150,'R1. Scenario specifications'!$A$11:$A$49,0))</f>
        <v>Current 1.5DS, 2030 start, 'Expect the Unexpected' but with cheap CCS</v>
      </c>
      <c r="B150" s="3" t="s">
        <v>24</v>
      </c>
      <c r="C150" s="3" t="s">
        <v>294</v>
      </c>
      <c r="D150" s="3" t="s">
        <v>335</v>
      </c>
      <c r="E150" s="14">
        <v>3279.7723348946201</v>
      </c>
      <c r="F150" s="14">
        <v>4082.6935657435747</v>
      </c>
      <c r="G150" s="14">
        <v>5207.7532954788776</v>
      </c>
      <c r="H150" s="14">
        <v>5690.8087984717622</v>
      </c>
      <c r="I150" s="14">
        <v>5276.0391464108889</v>
      </c>
      <c r="J150" s="14">
        <v>5644.6024803577438</v>
      </c>
      <c r="K150" s="14">
        <v>5835.6973298533421</v>
      </c>
      <c r="L150" s="14">
        <v>8411.1893015885871</v>
      </c>
      <c r="M150" s="14">
        <v>8931.6923712261723</v>
      </c>
      <c r="N150" s="14">
        <v>9411.3990970713767</v>
      </c>
      <c r="O150" s="14">
        <v>9856.9321077325112</v>
      </c>
    </row>
    <row r="151" spans="1:15" x14ac:dyDescent="0.3">
      <c r="A151" s="3" t="str">
        <f>INDEX('R1. Scenario specifications'!$C$11:$C$49,MATCH($B151,'R1. Scenario specifications'!$A$11:$A$49,0))</f>
        <v>Current 1.5DS, 2030 start, 'Expect the Unexpected' but with cheap CCS</v>
      </c>
      <c r="B151" s="3" t="s">
        <v>24</v>
      </c>
      <c r="C151" s="3" t="s">
        <v>295</v>
      </c>
      <c r="D151" s="3" t="s">
        <v>336</v>
      </c>
      <c r="E151" s="14">
        <v>554.93024628706178</v>
      </c>
      <c r="F151" s="14">
        <v>667.25533606737827</v>
      </c>
      <c r="G151" s="14">
        <v>860.61058351424708</v>
      </c>
      <c r="H151" s="14">
        <v>1088.2132483847263</v>
      </c>
      <c r="I151" s="14">
        <v>1154.4591214521995</v>
      </c>
      <c r="J151" s="14">
        <v>1257.0549456507295</v>
      </c>
      <c r="K151" s="14">
        <v>1264.9946306373795</v>
      </c>
      <c r="L151" s="14">
        <v>1964.8695278465245</v>
      </c>
      <c r="M151" s="14">
        <v>2124.4753931053406</v>
      </c>
      <c r="N151" s="14">
        <v>2276.5818124219968</v>
      </c>
      <c r="O151" s="14">
        <v>2375.6334598345088</v>
      </c>
    </row>
    <row r="152" spans="1:15" x14ac:dyDescent="0.3">
      <c r="A152" s="3" t="str">
        <f>INDEX('R1. Scenario specifications'!$C$11:$C$49,MATCH($B152,'R1. Scenario specifications'!$A$11:$A$49,0))</f>
        <v>Current 1.5DS, 2030 start, 'Expect the Unexpected' but with cheap CCS</v>
      </c>
      <c r="B152" s="3" t="s">
        <v>24</v>
      </c>
      <c r="C152" s="3" t="s">
        <v>296</v>
      </c>
      <c r="D152" s="3" t="s">
        <v>337</v>
      </c>
      <c r="E152" s="14">
        <v>6768.21079303233</v>
      </c>
      <c r="F152" s="14">
        <v>9604.0566614851487</v>
      </c>
      <c r="G152" s="14">
        <v>16237.412608619818</v>
      </c>
      <c r="H152" s="14">
        <v>17601.175858707189</v>
      </c>
      <c r="I152" s="14">
        <v>14736.632139614647</v>
      </c>
      <c r="J152" s="14">
        <v>15557.889701427179</v>
      </c>
      <c r="K152" s="14">
        <v>15607.094656003297</v>
      </c>
      <c r="L152" s="14">
        <v>23432.485514893779</v>
      </c>
      <c r="M152" s="14">
        <v>25059.68917876271</v>
      </c>
      <c r="N152" s="14">
        <v>26803.274541214025</v>
      </c>
      <c r="O152" s="14">
        <v>28739.059332887769</v>
      </c>
    </row>
    <row r="153" spans="1:15" x14ac:dyDescent="0.3">
      <c r="A153" s="3" t="str">
        <f>INDEX('R1. Scenario specifications'!$C$11:$C$49,MATCH($B153,'R1. Scenario specifications'!$A$11:$A$49,0))</f>
        <v>Current 1.5DS, 2030 start, 'Expect the Unexpected' but with cheap CCS</v>
      </c>
      <c r="B153" s="3" t="s">
        <v>24</v>
      </c>
      <c r="C153" s="3" t="s">
        <v>297</v>
      </c>
      <c r="D153" s="3" t="s">
        <v>338</v>
      </c>
      <c r="E153" s="14">
        <v>490.51449976830594</v>
      </c>
      <c r="F153" s="14">
        <v>524.93618944866842</v>
      </c>
      <c r="G153" s="14">
        <v>555.19395083536801</v>
      </c>
      <c r="H153" s="14">
        <v>559.27948645064043</v>
      </c>
      <c r="I153" s="14">
        <v>547.11400104460631</v>
      </c>
      <c r="J153" s="14">
        <v>517.882617294331</v>
      </c>
      <c r="K153" s="14">
        <v>490.22617978591558</v>
      </c>
      <c r="L153" s="14">
        <v>600.62628992940495</v>
      </c>
      <c r="M153" s="14">
        <v>595.1473363544626</v>
      </c>
      <c r="N153" s="14">
        <v>585.49041985978283</v>
      </c>
      <c r="O153" s="14">
        <v>573.55260782751282</v>
      </c>
    </row>
    <row r="154" spans="1:15" x14ac:dyDescent="0.3">
      <c r="A154" s="3" t="str">
        <f>INDEX('R1. Scenario specifications'!$C$11:$C$49,MATCH($B154,'R1. Scenario specifications'!$A$11:$A$49,0))</f>
        <v>Current 1.5DS, 2020 start, 'Expect the Unexpected' but with cheap EVs</v>
      </c>
      <c r="B154" s="3" t="s">
        <v>25</v>
      </c>
      <c r="C154" s="3" t="s">
        <v>290</v>
      </c>
      <c r="D154" s="3" t="s">
        <v>331</v>
      </c>
      <c r="E154" s="14">
        <v>303.90443076149791</v>
      </c>
      <c r="F154" s="14">
        <v>326.15031746610555</v>
      </c>
      <c r="G154" s="14">
        <v>347.05566024922416</v>
      </c>
      <c r="H154" s="14">
        <v>351.6779312027557</v>
      </c>
      <c r="I154" s="14">
        <v>319.98113097521298</v>
      </c>
      <c r="J154" s="14">
        <v>315.49263309835396</v>
      </c>
      <c r="K154" s="14">
        <v>378.89464637912249</v>
      </c>
      <c r="L154" s="14">
        <v>397.18475717712886</v>
      </c>
      <c r="M154" s="14">
        <v>393.58190081487862</v>
      </c>
      <c r="N154" s="14">
        <v>388.18472564480157</v>
      </c>
      <c r="O154" s="14">
        <v>381.15280242400644</v>
      </c>
    </row>
    <row r="155" spans="1:15" x14ac:dyDescent="0.3">
      <c r="A155" s="3" t="str">
        <f>INDEX('R1. Scenario specifications'!$C$11:$C$49,MATCH($B155,'R1. Scenario specifications'!$A$11:$A$49,0))</f>
        <v>Current 1.5DS, 2020 start, 'Expect the Unexpected' but with cheap EVs</v>
      </c>
      <c r="B155" s="3" t="s">
        <v>25</v>
      </c>
      <c r="C155" s="3" t="s">
        <v>291</v>
      </c>
      <c r="D155" s="3" t="s">
        <v>332</v>
      </c>
      <c r="E155" s="14">
        <v>704.60532435919743</v>
      </c>
      <c r="F155" s="14">
        <v>860.97149986110526</v>
      </c>
      <c r="G155" s="14">
        <v>1146.4631336452248</v>
      </c>
      <c r="H155" s="14">
        <v>1453.1355497802574</v>
      </c>
      <c r="I155" s="14">
        <v>1540.5388763206433</v>
      </c>
      <c r="J155" s="14">
        <v>1682.2234202809798</v>
      </c>
      <c r="K155" s="14">
        <v>2333.7156734999248</v>
      </c>
      <c r="L155" s="14">
        <v>2779.0900170181203</v>
      </c>
      <c r="M155" s="14">
        <v>2903.9484147596677</v>
      </c>
      <c r="N155" s="14">
        <v>3039.9476659153947</v>
      </c>
      <c r="O155" s="14">
        <v>3167.3965157825701</v>
      </c>
    </row>
    <row r="156" spans="1:15" x14ac:dyDescent="0.3">
      <c r="A156" s="3" t="str">
        <f>INDEX('R1. Scenario specifications'!$C$11:$C$49,MATCH($B156,'R1. Scenario specifications'!$A$11:$A$49,0))</f>
        <v>Current 1.5DS, 2020 start, 'Expect the Unexpected' but with cheap EVs</v>
      </c>
      <c r="B156" s="3" t="s">
        <v>25</v>
      </c>
      <c r="C156" s="3" t="s">
        <v>292</v>
      </c>
      <c r="D156" s="3" t="s">
        <v>333</v>
      </c>
      <c r="E156" s="14">
        <v>159.73830278697653</v>
      </c>
      <c r="F156" s="14">
        <v>169.39599598719545</v>
      </c>
      <c r="G156" s="14">
        <v>176.71914238919692</v>
      </c>
      <c r="H156" s="14">
        <v>175.15830181655548</v>
      </c>
      <c r="I156" s="14">
        <v>160.16072413572442</v>
      </c>
      <c r="J156" s="14">
        <v>147.14316499568608</v>
      </c>
      <c r="K156" s="14">
        <v>171.80311515093859</v>
      </c>
      <c r="L156" s="14">
        <v>176.50349911705365</v>
      </c>
      <c r="M156" s="14">
        <v>171.47940350173073</v>
      </c>
      <c r="N156" s="14">
        <v>166.25713510685517</v>
      </c>
      <c r="O156" s="14">
        <v>156.57306841562979</v>
      </c>
    </row>
    <row r="157" spans="1:15" x14ac:dyDescent="0.3">
      <c r="A157" s="3" t="str">
        <f>INDEX('R1. Scenario specifications'!$C$11:$C$49,MATCH($B157,'R1. Scenario specifications'!$A$11:$A$49,0))</f>
        <v>Current 1.5DS, 2020 start, 'Expect the Unexpected' but with cheap EVs</v>
      </c>
      <c r="B157" s="3" t="s">
        <v>25</v>
      </c>
      <c r="C157" s="3" t="s">
        <v>293</v>
      </c>
      <c r="D157" s="3" t="s">
        <v>334</v>
      </c>
      <c r="E157" s="14">
        <v>773.46518919181767</v>
      </c>
      <c r="F157" s="14">
        <v>894.21413961009341</v>
      </c>
      <c r="G157" s="14">
        <v>1118.0496051339933</v>
      </c>
      <c r="H157" s="14">
        <v>1374.3250705990013</v>
      </c>
      <c r="I157" s="14">
        <v>1466.9713621363635</v>
      </c>
      <c r="J157" s="14">
        <v>1592.0536456307577</v>
      </c>
      <c r="K157" s="14">
        <v>2077.4899649401709</v>
      </c>
      <c r="L157" s="14">
        <v>2368.2682217774827</v>
      </c>
      <c r="M157" s="14">
        <v>2530.3900751243</v>
      </c>
      <c r="N157" s="14">
        <v>2651.9703329563927</v>
      </c>
      <c r="O157" s="14">
        <v>2749.4808556435905</v>
      </c>
    </row>
    <row r="158" spans="1:15" x14ac:dyDescent="0.3">
      <c r="A158" s="3" t="str">
        <f>INDEX('R1. Scenario specifications'!$C$11:$C$49,MATCH($B158,'R1. Scenario specifications'!$A$11:$A$49,0))</f>
        <v>Current 1.5DS, 2020 start, 'Expect the Unexpected' but with cheap EVs</v>
      </c>
      <c r="B158" s="3" t="s">
        <v>25</v>
      </c>
      <c r="C158" s="3" t="s">
        <v>294</v>
      </c>
      <c r="D158" s="3" t="s">
        <v>335</v>
      </c>
      <c r="E158" s="14">
        <v>3279.7723348946201</v>
      </c>
      <c r="F158" s="14">
        <v>4082.6935657435747</v>
      </c>
      <c r="G158" s="14">
        <v>5207.7532954788776</v>
      </c>
      <c r="H158" s="14">
        <v>5709.3276639558362</v>
      </c>
      <c r="I158" s="14">
        <v>4967.8276953611075</v>
      </c>
      <c r="J158" s="14">
        <v>5459.7084687035658</v>
      </c>
      <c r="K158" s="14">
        <v>7735.1496962780529</v>
      </c>
      <c r="L158" s="14">
        <v>8725.837106646808</v>
      </c>
      <c r="M158" s="14">
        <v>9241.3639291514919</v>
      </c>
      <c r="N158" s="14">
        <v>9736.9877621845189</v>
      </c>
      <c r="O158" s="14">
        <v>10269.924589060731</v>
      </c>
    </row>
    <row r="159" spans="1:15" x14ac:dyDescent="0.3">
      <c r="A159" s="3" t="str">
        <f>INDEX('R1. Scenario specifications'!$C$11:$C$49,MATCH($B159,'R1. Scenario specifications'!$A$11:$A$49,0))</f>
        <v>Current 1.5DS, 2020 start, 'Expect the Unexpected' but with cheap EVs</v>
      </c>
      <c r="B159" s="3" t="s">
        <v>25</v>
      </c>
      <c r="C159" s="3" t="s">
        <v>295</v>
      </c>
      <c r="D159" s="3" t="s">
        <v>336</v>
      </c>
      <c r="E159" s="14">
        <v>554.93024628706178</v>
      </c>
      <c r="F159" s="14">
        <v>667.25533606737827</v>
      </c>
      <c r="G159" s="14">
        <v>860.61058351424708</v>
      </c>
      <c r="H159" s="14">
        <v>1045.1780985448195</v>
      </c>
      <c r="I159" s="14">
        <v>1079.4773559876242</v>
      </c>
      <c r="J159" s="14">
        <v>1143.2463277448658</v>
      </c>
      <c r="K159" s="14">
        <v>1625.1497482935974</v>
      </c>
      <c r="L159" s="14">
        <v>1936.255176492398</v>
      </c>
      <c r="M159" s="14">
        <v>2060.5488499442577</v>
      </c>
      <c r="N159" s="14">
        <v>2172.9043187982115</v>
      </c>
      <c r="O159" s="14">
        <v>2239.8849502081698</v>
      </c>
    </row>
    <row r="160" spans="1:15" x14ac:dyDescent="0.3">
      <c r="A160" s="3" t="str">
        <f>INDEX('R1. Scenario specifications'!$C$11:$C$49,MATCH($B160,'R1. Scenario specifications'!$A$11:$A$49,0))</f>
        <v>Current 1.5DS, 2020 start, 'Expect the Unexpected' but with cheap EVs</v>
      </c>
      <c r="B160" s="3" t="s">
        <v>25</v>
      </c>
      <c r="C160" s="3" t="s">
        <v>296</v>
      </c>
      <c r="D160" s="3" t="s">
        <v>337</v>
      </c>
      <c r="E160" s="14">
        <v>6768.21079303233</v>
      </c>
      <c r="F160" s="14">
        <v>9604.0566614851487</v>
      </c>
      <c r="G160" s="14">
        <v>16237.412608619818</v>
      </c>
      <c r="H160" s="14">
        <v>17502.115110860905</v>
      </c>
      <c r="I160" s="14">
        <v>14515.136905992302</v>
      </c>
      <c r="J160" s="14">
        <v>14616.958965252183</v>
      </c>
      <c r="K160" s="14">
        <v>21183.740767946128</v>
      </c>
      <c r="L160" s="14">
        <v>24296.0844168199</v>
      </c>
      <c r="M160" s="14">
        <v>25975.454488088821</v>
      </c>
      <c r="N160" s="14">
        <v>27818.401061297176</v>
      </c>
      <c r="O160" s="14">
        <v>29991.175031350194</v>
      </c>
    </row>
    <row r="161" spans="1:15" x14ac:dyDescent="0.3">
      <c r="A161" s="3" t="str">
        <f>INDEX('R1. Scenario specifications'!$C$11:$C$49,MATCH($B161,'R1. Scenario specifications'!$A$11:$A$49,0))</f>
        <v>Current 1.5DS, 2020 start, 'Expect the Unexpected' but with cheap EVs</v>
      </c>
      <c r="B161" s="3" t="s">
        <v>25</v>
      </c>
      <c r="C161" s="3" t="s">
        <v>297</v>
      </c>
      <c r="D161" s="3" t="s">
        <v>338</v>
      </c>
      <c r="E161" s="14">
        <v>490.51449976830594</v>
      </c>
      <c r="F161" s="14">
        <v>524.93618944866842</v>
      </c>
      <c r="G161" s="14">
        <v>555.19395083536801</v>
      </c>
      <c r="H161" s="14">
        <v>559.27948645064043</v>
      </c>
      <c r="I161" s="14">
        <v>525.57212556354807</v>
      </c>
      <c r="J161" s="14">
        <v>489.35723635159337</v>
      </c>
      <c r="K161" s="14">
        <v>577.60426733935594</v>
      </c>
      <c r="L161" s="14">
        <v>602.59808116806391</v>
      </c>
      <c r="M161" s="14">
        <v>595.1473363544626</v>
      </c>
      <c r="N161" s="14">
        <v>586.03993709828319</v>
      </c>
      <c r="O161" s="14">
        <v>561.21853399383326</v>
      </c>
    </row>
    <row r="162" spans="1:15" x14ac:dyDescent="0.3">
      <c r="A162" s="3" t="str">
        <f>INDEX('R1. Scenario specifications'!$C$11:$C$49,MATCH($B162,'R1. Scenario specifications'!$A$11:$A$49,0))</f>
        <v>Current 2DS, 2030 start, 'Expect the Unexpected'</v>
      </c>
      <c r="B162" s="3" t="s">
        <v>26</v>
      </c>
      <c r="C162" s="3" t="s">
        <v>290</v>
      </c>
      <c r="D162" s="3" t="s">
        <v>331</v>
      </c>
      <c r="E162" s="14">
        <v>303.90443076149791</v>
      </c>
      <c r="F162" s="14">
        <v>326.15031746610555</v>
      </c>
      <c r="G162" s="14">
        <v>347.05566024922416</v>
      </c>
      <c r="H162" s="14">
        <v>353.33506067595158</v>
      </c>
      <c r="I162" s="14">
        <v>371.01459260345575</v>
      </c>
      <c r="J162" s="14">
        <v>380.92275123968454</v>
      </c>
      <c r="K162" s="14">
        <v>387.07184299541916</v>
      </c>
      <c r="L162" s="14">
        <v>389.28835008534378</v>
      </c>
      <c r="M162" s="14">
        <v>387.7366974374512</v>
      </c>
      <c r="N162" s="14">
        <v>383.00735356521187</v>
      </c>
      <c r="O162" s="14">
        <v>376.08776823080092</v>
      </c>
    </row>
    <row r="163" spans="1:15" x14ac:dyDescent="0.3">
      <c r="A163" s="3" t="str">
        <f>INDEX('R1. Scenario specifications'!$C$11:$C$49,MATCH($B163,'R1. Scenario specifications'!$A$11:$A$49,0))</f>
        <v>Current 2DS, 2030 start, 'Expect the Unexpected'</v>
      </c>
      <c r="B163" s="3" t="s">
        <v>26</v>
      </c>
      <c r="C163" s="3" t="s">
        <v>291</v>
      </c>
      <c r="D163" s="3" t="s">
        <v>332</v>
      </c>
      <c r="E163" s="14">
        <v>704.60532435919743</v>
      </c>
      <c r="F163" s="14">
        <v>860.97149986110526</v>
      </c>
      <c r="G163" s="14">
        <v>1146.4631336452248</v>
      </c>
      <c r="H163" s="14">
        <v>1500.2632370055153</v>
      </c>
      <c r="I163" s="14">
        <v>1914.9601144419121</v>
      </c>
      <c r="J163" s="14">
        <v>2347.7648944910584</v>
      </c>
      <c r="K163" s="14">
        <v>2553.8577005463103</v>
      </c>
      <c r="L163" s="14">
        <v>2750.9625718171405</v>
      </c>
      <c r="M163" s="14">
        <v>2887.5065495135609</v>
      </c>
      <c r="N163" s="14">
        <v>3050.4480857941221</v>
      </c>
      <c r="O163" s="14">
        <v>3191.1624856039061</v>
      </c>
    </row>
    <row r="164" spans="1:15" x14ac:dyDescent="0.3">
      <c r="A164" s="3" t="str">
        <f>INDEX('R1. Scenario specifications'!$C$11:$C$49,MATCH($B164,'R1. Scenario specifications'!$A$11:$A$49,0))</f>
        <v>Current 2DS, 2030 start, 'Expect the Unexpected'</v>
      </c>
      <c r="B164" s="3" t="s">
        <v>26</v>
      </c>
      <c r="C164" s="3" t="s">
        <v>292</v>
      </c>
      <c r="D164" s="3" t="s">
        <v>333</v>
      </c>
      <c r="E164" s="14">
        <v>159.73830278697653</v>
      </c>
      <c r="F164" s="14">
        <v>169.39599598719545</v>
      </c>
      <c r="G164" s="14">
        <v>176.71914238919692</v>
      </c>
      <c r="H164" s="14">
        <v>175.15830181655548</v>
      </c>
      <c r="I164" s="14">
        <v>178.93494630264837</v>
      </c>
      <c r="J164" s="14">
        <v>180.1031409584196</v>
      </c>
      <c r="K164" s="14">
        <v>178.82582710171826</v>
      </c>
      <c r="L164" s="14">
        <v>175.78189501677815</v>
      </c>
      <c r="M164" s="14">
        <v>171.47940350173073</v>
      </c>
      <c r="N164" s="14">
        <v>166.23136037709438</v>
      </c>
      <c r="O164" s="14">
        <v>156.67471579428266</v>
      </c>
    </row>
    <row r="165" spans="1:15" x14ac:dyDescent="0.3">
      <c r="A165" s="3" t="str">
        <f>INDEX('R1. Scenario specifications'!$C$11:$C$49,MATCH($B165,'R1. Scenario specifications'!$A$11:$A$49,0))</f>
        <v>Current 2DS, 2030 start, 'Expect the Unexpected'</v>
      </c>
      <c r="B165" s="3" t="s">
        <v>26</v>
      </c>
      <c r="C165" s="3" t="s">
        <v>293</v>
      </c>
      <c r="D165" s="3" t="s">
        <v>334</v>
      </c>
      <c r="E165" s="14">
        <v>773.46518919181767</v>
      </c>
      <c r="F165" s="14">
        <v>894.21413961009341</v>
      </c>
      <c r="G165" s="14">
        <v>1118.0496051339933</v>
      </c>
      <c r="H165" s="14">
        <v>1375.5475785566455</v>
      </c>
      <c r="I165" s="14">
        <v>1689.2067853781327</v>
      </c>
      <c r="J165" s="14">
        <v>2025.3126300276215</v>
      </c>
      <c r="K165" s="14">
        <v>2195.4707514569686</v>
      </c>
      <c r="L165" s="14">
        <v>2366.5190259502374</v>
      </c>
      <c r="M165" s="14">
        <v>2529.992064735849</v>
      </c>
      <c r="N165" s="14">
        <v>2652.8606561084157</v>
      </c>
      <c r="O165" s="14">
        <v>2749.4808556435896</v>
      </c>
    </row>
    <row r="166" spans="1:15" x14ac:dyDescent="0.3">
      <c r="A166" s="3" t="str">
        <f>INDEX('R1. Scenario specifications'!$C$11:$C$49,MATCH($B166,'R1. Scenario specifications'!$A$11:$A$49,0))</f>
        <v>Current 2DS, 2030 start, 'Expect the Unexpected'</v>
      </c>
      <c r="B166" s="3" t="s">
        <v>26</v>
      </c>
      <c r="C166" s="3" t="s">
        <v>294</v>
      </c>
      <c r="D166" s="3" t="s">
        <v>335</v>
      </c>
      <c r="E166" s="14">
        <v>3279.7723348946201</v>
      </c>
      <c r="F166" s="14">
        <v>4082.6935657435747</v>
      </c>
      <c r="G166" s="14">
        <v>5207.7532954788776</v>
      </c>
      <c r="H166" s="14">
        <v>5690.8087984717622</v>
      </c>
      <c r="I166" s="14">
        <v>6178.5040363303306</v>
      </c>
      <c r="J166" s="14">
        <v>7203.5812793083469</v>
      </c>
      <c r="K166" s="14">
        <v>7780.8944299688683</v>
      </c>
      <c r="L166" s="14">
        <v>8385.5214179117011</v>
      </c>
      <c r="M166" s="14">
        <v>8884.4284126902658</v>
      </c>
      <c r="N166" s="14">
        <v>9253.9127603291709</v>
      </c>
      <c r="O166" s="14">
        <v>9801.0400626348874</v>
      </c>
    </row>
    <row r="167" spans="1:15" x14ac:dyDescent="0.3">
      <c r="A167" s="3" t="str">
        <f>INDEX('R1. Scenario specifications'!$C$11:$C$49,MATCH($B167,'R1. Scenario specifications'!$A$11:$A$49,0))</f>
        <v>Current 2DS, 2030 start, 'Expect the Unexpected'</v>
      </c>
      <c r="B167" s="3" t="s">
        <v>26</v>
      </c>
      <c r="C167" s="3" t="s">
        <v>295</v>
      </c>
      <c r="D167" s="3" t="s">
        <v>336</v>
      </c>
      <c r="E167" s="14">
        <v>554.93024628706178</v>
      </c>
      <c r="F167" s="14">
        <v>667.25533606737827</v>
      </c>
      <c r="G167" s="14">
        <v>860.61058351424708</v>
      </c>
      <c r="H167" s="14">
        <v>1088.2132483847263</v>
      </c>
      <c r="I167" s="14">
        <v>1361.5777300071213</v>
      </c>
      <c r="J167" s="14">
        <v>1625.2855817061566</v>
      </c>
      <c r="K167" s="14">
        <v>1777.6050160425602</v>
      </c>
      <c r="L167" s="14">
        <v>1906.0084099453602</v>
      </c>
      <c r="M167" s="14">
        <v>2049.3745228613975</v>
      </c>
      <c r="N167" s="14">
        <v>2172.6365939205934</v>
      </c>
      <c r="O167" s="14">
        <v>2252.9977469647847</v>
      </c>
    </row>
    <row r="168" spans="1:15" x14ac:dyDescent="0.3">
      <c r="A168" s="3" t="str">
        <f>INDEX('R1. Scenario specifications'!$C$11:$C$49,MATCH($B168,'R1. Scenario specifications'!$A$11:$A$49,0))</f>
        <v>Current 2DS, 2030 start, 'Expect the Unexpected'</v>
      </c>
      <c r="B168" s="3" t="s">
        <v>26</v>
      </c>
      <c r="C168" s="3" t="s">
        <v>296</v>
      </c>
      <c r="D168" s="3" t="s">
        <v>337</v>
      </c>
      <c r="E168" s="14">
        <v>6768.21079303233</v>
      </c>
      <c r="F168" s="14">
        <v>9604.0566614851487</v>
      </c>
      <c r="G168" s="14">
        <v>16237.412608619818</v>
      </c>
      <c r="H168" s="14">
        <v>17601.175858707189</v>
      </c>
      <c r="I168" s="14">
        <v>16847.45969640628</v>
      </c>
      <c r="J168" s="14">
        <v>20017.263086372106</v>
      </c>
      <c r="K168" s="14">
        <v>21574.389624117837</v>
      </c>
      <c r="L168" s="14">
        <v>23168.721069809355</v>
      </c>
      <c r="M168" s="14">
        <v>24842.038645199053</v>
      </c>
      <c r="N168" s="14">
        <v>26316.384258259961</v>
      </c>
      <c r="O168" s="14">
        <v>28404.542404349635</v>
      </c>
    </row>
    <row r="169" spans="1:15" x14ac:dyDescent="0.3">
      <c r="A169" s="3" t="str">
        <f>INDEX('R1. Scenario specifications'!$C$11:$C$49,MATCH($B169,'R1. Scenario specifications'!$A$11:$A$49,0))</f>
        <v>Current 2DS, 2030 start, 'Expect the Unexpected'</v>
      </c>
      <c r="B169" s="3" t="s">
        <v>26</v>
      </c>
      <c r="C169" s="3" t="s">
        <v>297</v>
      </c>
      <c r="D169" s="3" t="s">
        <v>338</v>
      </c>
      <c r="E169" s="14">
        <v>490.51449976830594</v>
      </c>
      <c r="F169" s="14">
        <v>524.93618944866842</v>
      </c>
      <c r="G169" s="14">
        <v>555.19395083536801</v>
      </c>
      <c r="H169" s="14">
        <v>559.27948645064043</v>
      </c>
      <c r="I169" s="14">
        <v>581.30123858818172</v>
      </c>
      <c r="J169" s="14">
        <v>595.35266871306351</v>
      </c>
      <c r="K169" s="14">
        <v>601.15064540820595</v>
      </c>
      <c r="L169" s="14">
        <v>600.62628992940495</v>
      </c>
      <c r="M169" s="14">
        <v>595.1473363544626</v>
      </c>
      <c r="N169" s="14">
        <v>585.49041985978283</v>
      </c>
      <c r="O169" s="14">
        <v>563.38565610671276</v>
      </c>
    </row>
    <row r="170" spans="1:15" x14ac:dyDescent="0.3">
      <c r="A170" s="3" t="str">
        <f>INDEX('R1. Scenario specifications'!$C$11:$C$49,MATCH($B170,'R1. Scenario specifications'!$A$11:$A$49,0))</f>
        <v>Current 1.5DS, 2030 start, 'Expect the Unexpected' but with cheap EVs</v>
      </c>
      <c r="B170" s="3" t="s">
        <v>27</v>
      </c>
      <c r="C170" s="3" t="s">
        <v>290</v>
      </c>
      <c r="D170" s="3" t="s">
        <v>331</v>
      </c>
      <c r="E170" s="14">
        <v>303.90443076149791</v>
      </c>
      <c r="F170" s="14">
        <v>326.15031746610555</v>
      </c>
      <c r="G170" s="14">
        <v>347.05566024922416</v>
      </c>
      <c r="H170" s="14">
        <v>353.33506067595158</v>
      </c>
      <c r="I170" s="14">
        <v>336.38524349851559</v>
      </c>
      <c r="J170" s="14">
        <v>325.13208216341474</v>
      </c>
      <c r="K170" s="14">
        <v>320.71774774664067</v>
      </c>
      <c r="L170" s="14">
        <v>398.73817737845224</v>
      </c>
      <c r="M170" s="14">
        <v>397.50570884754541</v>
      </c>
      <c r="N170" s="14">
        <v>391.43983828818432</v>
      </c>
      <c r="O170" s="14">
        <v>382.82404745986173</v>
      </c>
    </row>
    <row r="171" spans="1:15" x14ac:dyDescent="0.3">
      <c r="A171" s="3" t="str">
        <f>INDEX('R1. Scenario specifications'!$C$11:$C$49,MATCH($B171,'R1. Scenario specifications'!$A$11:$A$49,0))</f>
        <v>Current 1.5DS, 2030 start, 'Expect the Unexpected' but with cheap EVs</v>
      </c>
      <c r="B171" s="3" t="s">
        <v>27</v>
      </c>
      <c r="C171" s="3" t="s">
        <v>291</v>
      </c>
      <c r="D171" s="3" t="s">
        <v>332</v>
      </c>
      <c r="E171" s="14">
        <v>704.60532435919743</v>
      </c>
      <c r="F171" s="14">
        <v>860.97149986110526</v>
      </c>
      <c r="G171" s="14">
        <v>1146.4631336452248</v>
      </c>
      <c r="H171" s="14">
        <v>1500.2632370055153</v>
      </c>
      <c r="I171" s="14">
        <v>1690.0465557759399</v>
      </c>
      <c r="J171" s="14">
        <v>1824.8492496032613</v>
      </c>
      <c r="K171" s="14">
        <v>1857.0750081351414</v>
      </c>
      <c r="L171" s="14">
        <v>2788.2354457446986</v>
      </c>
      <c r="M171" s="14">
        <v>2991.332132722418</v>
      </c>
      <c r="N171" s="14">
        <v>3183.7155034301081</v>
      </c>
      <c r="O171" s="14">
        <v>3328.1055147475058</v>
      </c>
    </row>
    <row r="172" spans="1:15" x14ac:dyDescent="0.3">
      <c r="A172" s="3" t="str">
        <f>INDEX('R1. Scenario specifications'!$C$11:$C$49,MATCH($B172,'R1. Scenario specifications'!$A$11:$A$49,0))</f>
        <v>Current 1.5DS, 2030 start, 'Expect the Unexpected' but with cheap EVs</v>
      </c>
      <c r="B172" s="3" t="s">
        <v>27</v>
      </c>
      <c r="C172" s="3" t="s">
        <v>292</v>
      </c>
      <c r="D172" s="3" t="s">
        <v>333</v>
      </c>
      <c r="E172" s="14">
        <v>159.73830278697653</v>
      </c>
      <c r="F172" s="14">
        <v>169.39599598719545</v>
      </c>
      <c r="G172" s="14">
        <v>176.71914238919692</v>
      </c>
      <c r="H172" s="14">
        <v>175.15830181655548</v>
      </c>
      <c r="I172" s="14">
        <v>166.84087895861114</v>
      </c>
      <c r="J172" s="14">
        <v>155.71598893546371</v>
      </c>
      <c r="K172" s="14">
        <v>145.50234860039194</v>
      </c>
      <c r="L172" s="14">
        <v>175.80812319308313</v>
      </c>
      <c r="M172" s="14">
        <v>171.50547654772112</v>
      </c>
      <c r="N172" s="14">
        <v>166.25713510685517</v>
      </c>
      <c r="O172" s="14">
        <v>160.73057164452095</v>
      </c>
    </row>
    <row r="173" spans="1:15" x14ac:dyDescent="0.3">
      <c r="A173" s="3" t="str">
        <f>INDEX('R1. Scenario specifications'!$C$11:$C$49,MATCH($B173,'R1. Scenario specifications'!$A$11:$A$49,0))</f>
        <v>Current 1.5DS, 2030 start, 'Expect the Unexpected' but with cheap EVs</v>
      </c>
      <c r="B173" s="3" t="s">
        <v>27</v>
      </c>
      <c r="C173" s="3" t="s">
        <v>293</v>
      </c>
      <c r="D173" s="3" t="s">
        <v>334</v>
      </c>
      <c r="E173" s="14">
        <v>773.46518919181767</v>
      </c>
      <c r="F173" s="14">
        <v>894.21413961009341</v>
      </c>
      <c r="G173" s="14">
        <v>1118.0496051339933</v>
      </c>
      <c r="H173" s="14">
        <v>1375.5475785566455</v>
      </c>
      <c r="I173" s="14">
        <v>1560.7160475893008</v>
      </c>
      <c r="J173" s="14">
        <v>1722.9077243288839</v>
      </c>
      <c r="K173" s="14">
        <v>1728.9338071117293</v>
      </c>
      <c r="L173" s="14">
        <v>2370.9218809097042</v>
      </c>
      <c r="M173" s="14">
        <v>2530.3900751242991</v>
      </c>
      <c r="N173" s="14">
        <v>2686.6245341571521</v>
      </c>
      <c r="O173" s="14">
        <v>2834.7797992863798</v>
      </c>
    </row>
    <row r="174" spans="1:15" x14ac:dyDescent="0.3">
      <c r="A174" s="3" t="str">
        <f>INDEX('R1. Scenario specifications'!$C$11:$C$49,MATCH($B174,'R1. Scenario specifications'!$A$11:$A$49,0))</f>
        <v>Current 1.5DS, 2030 start, 'Expect the Unexpected' but with cheap EVs</v>
      </c>
      <c r="B174" s="3" t="s">
        <v>27</v>
      </c>
      <c r="C174" s="3" t="s">
        <v>294</v>
      </c>
      <c r="D174" s="3" t="s">
        <v>335</v>
      </c>
      <c r="E174" s="14">
        <v>3279.7723348946201</v>
      </c>
      <c r="F174" s="14">
        <v>4082.6935657435747</v>
      </c>
      <c r="G174" s="14">
        <v>5207.7532954788776</v>
      </c>
      <c r="H174" s="14">
        <v>5690.8087984717622</v>
      </c>
      <c r="I174" s="14">
        <v>5503.5938302124805</v>
      </c>
      <c r="J174" s="14">
        <v>5788.8252729768747</v>
      </c>
      <c r="K174" s="14">
        <v>5934.5027504718983</v>
      </c>
      <c r="L174" s="14">
        <v>8771.1667618534866</v>
      </c>
      <c r="M174" s="14">
        <v>9345.2783432128035</v>
      </c>
      <c r="N174" s="14">
        <v>9825.9545439400117</v>
      </c>
      <c r="O174" s="14">
        <v>10299.986224756429</v>
      </c>
    </row>
    <row r="175" spans="1:15" x14ac:dyDescent="0.3">
      <c r="A175" s="3" t="str">
        <f>INDEX('R1. Scenario specifications'!$C$11:$C$49,MATCH($B175,'R1. Scenario specifications'!$A$11:$A$49,0))</f>
        <v>Current 1.5DS, 2030 start, 'Expect the Unexpected' but with cheap EVs</v>
      </c>
      <c r="B175" s="3" t="s">
        <v>27</v>
      </c>
      <c r="C175" s="3" t="s">
        <v>295</v>
      </c>
      <c r="D175" s="3" t="s">
        <v>336</v>
      </c>
      <c r="E175" s="14">
        <v>554.93024628706178</v>
      </c>
      <c r="F175" s="14">
        <v>667.25533606737827</v>
      </c>
      <c r="G175" s="14">
        <v>860.61058351424708</v>
      </c>
      <c r="H175" s="14">
        <v>1088.2132483847263</v>
      </c>
      <c r="I175" s="14">
        <v>1150.3854000210722</v>
      </c>
      <c r="J175" s="14">
        <v>1257.0549456507295</v>
      </c>
      <c r="K175" s="14">
        <v>1264.9946306373795</v>
      </c>
      <c r="L175" s="14">
        <v>1968.3057368535963</v>
      </c>
      <c r="M175" s="14">
        <v>2126.0516259268034</v>
      </c>
      <c r="N175" s="14">
        <v>2279.0541576109445</v>
      </c>
      <c r="O175" s="14">
        <v>2375.6334598345097</v>
      </c>
    </row>
    <row r="176" spans="1:15" x14ac:dyDescent="0.3">
      <c r="A176" s="3" t="str">
        <f>INDEX('R1. Scenario specifications'!$C$11:$C$49,MATCH($B176,'R1. Scenario specifications'!$A$11:$A$49,0))</f>
        <v>Current 1.5DS, 2030 start, 'Expect the Unexpected' but with cheap EVs</v>
      </c>
      <c r="B176" s="3" t="s">
        <v>27</v>
      </c>
      <c r="C176" s="3" t="s">
        <v>296</v>
      </c>
      <c r="D176" s="3" t="s">
        <v>337</v>
      </c>
      <c r="E176" s="14">
        <v>6768.21079303233</v>
      </c>
      <c r="F176" s="14">
        <v>9604.0566614851487</v>
      </c>
      <c r="G176" s="14">
        <v>16237.412608619818</v>
      </c>
      <c r="H176" s="14">
        <v>17601.175858707189</v>
      </c>
      <c r="I176" s="14">
        <v>15717.921960705802</v>
      </c>
      <c r="J176" s="14">
        <v>16275.526951693682</v>
      </c>
      <c r="K176" s="14">
        <v>15880.967165679001</v>
      </c>
      <c r="L176" s="14">
        <v>24331.986566395928</v>
      </c>
      <c r="M176" s="14">
        <v>26378.065769798552</v>
      </c>
      <c r="N176" s="14">
        <v>28129.428489485279</v>
      </c>
      <c r="O176" s="14">
        <v>30092.985651011735</v>
      </c>
    </row>
    <row r="177" spans="1:15" x14ac:dyDescent="0.3">
      <c r="A177" s="3" t="str">
        <f>INDEX('R1. Scenario specifications'!$C$11:$C$49,MATCH($B177,'R1. Scenario specifications'!$A$11:$A$49,0))</f>
        <v>Current 1.5DS, 2030 start, 'Expect the Unexpected' but with cheap EVs</v>
      </c>
      <c r="B177" s="3" t="s">
        <v>27</v>
      </c>
      <c r="C177" s="3" t="s">
        <v>297</v>
      </c>
      <c r="D177" s="3" t="s">
        <v>338</v>
      </c>
      <c r="E177" s="14">
        <v>490.51449976830594</v>
      </c>
      <c r="F177" s="14">
        <v>524.93618944866842</v>
      </c>
      <c r="G177" s="14">
        <v>555.19395083536801</v>
      </c>
      <c r="H177" s="14">
        <v>559.27948645064043</v>
      </c>
      <c r="I177" s="14">
        <v>547.11400104460631</v>
      </c>
      <c r="J177" s="14">
        <v>517.882617294331</v>
      </c>
      <c r="K177" s="14">
        <v>490.87013331449117</v>
      </c>
      <c r="L177" s="14">
        <v>601.18547464822689</v>
      </c>
      <c r="M177" s="14">
        <v>595.70321369497776</v>
      </c>
      <c r="N177" s="14">
        <v>586.03993709828319</v>
      </c>
      <c r="O177" s="14">
        <v>573.55260782751282</v>
      </c>
    </row>
    <row r="178" spans="1:15" x14ac:dyDescent="0.3">
      <c r="A178" s="3" t="str">
        <f>INDEX('R1. Scenario specifications'!$C$11:$C$49,MATCH($B178,'R1. Scenario specifications'!$A$11:$A$49,0))</f>
        <v>Current 1.5DS, 2020 start, 'Expect the Unexpected' but with cheap energy efficiency</v>
      </c>
      <c r="B178" s="3" t="s">
        <v>28</v>
      </c>
      <c r="C178" s="3" t="s">
        <v>290</v>
      </c>
      <c r="D178" s="3" t="s">
        <v>331</v>
      </c>
      <c r="E178" s="14">
        <v>303.90443076149791</v>
      </c>
      <c r="F178" s="14">
        <v>326.15031746610555</v>
      </c>
      <c r="G178" s="14">
        <v>347.05566024922416</v>
      </c>
      <c r="H178" s="14">
        <v>419.61769272434236</v>
      </c>
      <c r="I178" s="14">
        <v>382.15770121751433</v>
      </c>
      <c r="J178" s="14">
        <v>406.93583222252204</v>
      </c>
      <c r="K178" s="14">
        <v>448.27954834894064</v>
      </c>
      <c r="L178" s="14">
        <v>467.14602010241282</v>
      </c>
      <c r="M178" s="14">
        <v>465.28403692494118</v>
      </c>
      <c r="N178" s="14">
        <v>459.60882427825408</v>
      </c>
      <c r="O178" s="14">
        <v>451.30532187696076</v>
      </c>
    </row>
    <row r="179" spans="1:15" x14ac:dyDescent="0.3">
      <c r="A179" s="3" t="str">
        <f>INDEX('R1. Scenario specifications'!$C$11:$C$49,MATCH($B179,'R1. Scenario specifications'!$A$11:$A$49,0))</f>
        <v>Current 1.5DS, 2020 start, 'Expect the Unexpected' but with cheap energy efficiency</v>
      </c>
      <c r="B179" s="3" t="s">
        <v>28</v>
      </c>
      <c r="C179" s="3" t="s">
        <v>291</v>
      </c>
      <c r="D179" s="3" t="s">
        <v>332</v>
      </c>
      <c r="E179" s="14">
        <v>704.60532435919743</v>
      </c>
      <c r="F179" s="14">
        <v>860.97149986110526</v>
      </c>
      <c r="G179" s="14">
        <v>1146.4631336452248</v>
      </c>
      <c r="H179" s="14">
        <v>1468.3008317035278</v>
      </c>
      <c r="I179" s="14">
        <v>1588.4508754802987</v>
      </c>
      <c r="J179" s="14">
        <v>1866.2441952067745</v>
      </c>
      <c r="K179" s="14">
        <v>2382.0569703415654</v>
      </c>
      <c r="L179" s="14">
        <v>2752.7345010796885</v>
      </c>
      <c r="M179" s="14">
        <v>2905.4884067247585</v>
      </c>
      <c r="N179" s="14">
        <v>3067.2222324194149</v>
      </c>
      <c r="O179" s="14">
        <v>3191.162485603908</v>
      </c>
    </row>
    <row r="180" spans="1:15" x14ac:dyDescent="0.3">
      <c r="A180" s="3" t="str">
        <f>INDEX('R1. Scenario specifications'!$C$11:$C$49,MATCH($B180,'R1. Scenario specifications'!$A$11:$A$49,0))</f>
        <v>Current 1.5DS, 2020 start, 'Expect the Unexpected' but with cheap energy efficiency</v>
      </c>
      <c r="B180" s="3" t="s">
        <v>28</v>
      </c>
      <c r="C180" s="3" t="s">
        <v>292</v>
      </c>
      <c r="D180" s="3" t="s">
        <v>333</v>
      </c>
      <c r="E180" s="14">
        <v>159.73830278697653</v>
      </c>
      <c r="F180" s="14">
        <v>169.39599598719545</v>
      </c>
      <c r="G180" s="14">
        <v>176.71914238919692</v>
      </c>
      <c r="H180" s="14">
        <v>175.15830181655548</v>
      </c>
      <c r="I180" s="14">
        <v>160.77001836139374</v>
      </c>
      <c r="J180" s="14">
        <v>159.35769714735926</v>
      </c>
      <c r="K180" s="14">
        <v>172.46540655521022</v>
      </c>
      <c r="L180" s="14">
        <v>175.78189501677815</v>
      </c>
      <c r="M180" s="14">
        <v>171.47940350173073</v>
      </c>
      <c r="N180" s="14">
        <v>166.23136037709438</v>
      </c>
      <c r="O180" s="14">
        <v>157.95022410360684</v>
      </c>
    </row>
    <row r="181" spans="1:15" x14ac:dyDescent="0.3">
      <c r="A181" s="3" t="str">
        <f>INDEX('R1. Scenario specifications'!$C$11:$C$49,MATCH($B181,'R1. Scenario specifications'!$A$11:$A$49,0))</f>
        <v>Current 1.5DS, 2020 start, 'Expect the Unexpected' but with cheap energy efficiency</v>
      </c>
      <c r="B181" s="3" t="s">
        <v>28</v>
      </c>
      <c r="C181" s="3" t="s">
        <v>293</v>
      </c>
      <c r="D181" s="3" t="s">
        <v>334</v>
      </c>
      <c r="E181" s="14">
        <v>773.46518919181767</v>
      </c>
      <c r="F181" s="14">
        <v>894.21413961009341</v>
      </c>
      <c r="G181" s="14">
        <v>1118.0496051339933</v>
      </c>
      <c r="H181" s="14">
        <v>1375.5475785566457</v>
      </c>
      <c r="I181" s="14">
        <v>1501.7161021691329</v>
      </c>
      <c r="J181" s="14">
        <v>1741.6211189196129</v>
      </c>
      <c r="K181" s="14">
        <v>2119.0558286261248</v>
      </c>
      <c r="L181" s="14">
        <v>2366.5190259502388</v>
      </c>
      <c r="M181" s="14">
        <v>2529.9920647358472</v>
      </c>
      <c r="N181" s="14">
        <v>2654.1897999918756</v>
      </c>
      <c r="O181" s="14">
        <v>2755.342830466624</v>
      </c>
    </row>
    <row r="182" spans="1:15" x14ac:dyDescent="0.3">
      <c r="A182" s="3" t="str">
        <f>INDEX('R1. Scenario specifications'!$C$11:$C$49,MATCH($B182,'R1. Scenario specifications'!$A$11:$A$49,0))</f>
        <v>Current 1.5DS, 2020 start, 'Expect the Unexpected' but with cheap energy efficiency</v>
      </c>
      <c r="B182" s="3" t="s">
        <v>28</v>
      </c>
      <c r="C182" s="3" t="s">
        <v>294</v>
      </c>
      <c r="D182" s="3" t="s">
        <v>335</v>
      </c>
      <c r="E182" s="14">
        <v>3279.7723348946201</v>
      </c>
      <c r="F182" s="14">
        <v>4082.6935657435747</v>
      </c>
      <c r="G182" s="14">
        <v>5207.7532954788776</v>
      </c>
      <c r="H182" s="14">
        <v>4221.3951371994817</v>
      </c>
      <c r="I182" s="14">
        <v>4016.6795508654627</v>
      </c>
      <c r="J182" s="14">
        <v>4701.671393177031</v>
      </c>
      <c r="K182" s="14">
        <v>5862.4998967455267</v>
      </c>
      <c r="L182" s="14">
        <v>6495.9415303211399</v>
      </c>
      <c r="M182" s="14">
        <v>6876.215025121478</v>
      </c>
      <c r="N182" s="14">
        <v>7151.2811334957432</v>
      </c>
      <c r="O182" s="14">
        <v>7570.4574677787214</v>
      </c>
    </row>
    <row r="183" spans="1:15" x14ac:dyDescent="0.3">
      <c r="A183" s="3" t="str">
        <f>INDEX('R1. Scenario specifications'!$C$11:$C$49,MATCH($B183,'R1. Scenario specifications'!$A$11:$A$49,0))</f>
        <v>Current 1.5DS, 2020 start, 'Expect the Unexpected' but with cheap energy efficiency</v>
      </c>
      <c r="B183" s="3" t="s">
        <v>28</v>
      </c>
      <c r="C183" s="3" t="s">
        <v>295</v>
      </c>
      <c r="D183" s="3" t="s">
        <v>336</v>
      </c>
      <c r="E183" s="14">
        <v>554.93024628706178</v>
      </c>
      <c r="F183" s="14">
        <v>667.25533606737827</v>
      </c>
      <c r="G183" s="14">
        <v>860.61058351424708</v>
      </c>
      <c r="H183" s="14">
        <v>1046.5870300163758</v>
      </c>
      <c r="I183" s="14">
        <v>1097.9882267333021</v>
      </c>
      <c r="J183" s="14">
        <v>1257.4112349295106</v>
      </c>
      <c r="K183" s="14">
        <v>1653.8239473686419</v>
      </c>
      <c r="L183" s="14">
        <v>1935.5287089711078</v>
      </c>
      <c r="M183" s="14">
        <v>2052.878383201512</v>
      </c>
      <c r="N183" s="14">
        <v>2172.6365939205944</v>
      </c>
      <c r="O183" s="14">
        <v>2258.6387608506511</v>
      </c>
    </row>
    <row r="184" spans="1:15" x14ac:dyDescent="0.3">
      <c r="A184" s="3" t="str">
        <f>INDEX('R1. Scenario specifications'!$C$11:$C$49,MATCH($B184,'R1. Scenario specifications'!$A$11:$A$49,0))</f>
        <v>Current 1.5DS, 2020 start, 'Expect the Unexpected' but with cheap energy efficiency</v>
      </c>
      <c r="B184" s="3" t="s">
        <v>28</v>
      </c>
      <c r="C184" s="3" t="s">
        <v>296</v>
      </c>
      <c r="D184" s="3" t="s">
        <v>337</v>
      </c>
      <c r="E184" s="14">
        <v>6768.21079303233</v>
      </c>
      <c r="F184" s="14">
        <v>9604.0566614851487</v>
      </c>
      <c r="G184" s="14">
        <v>16237.412608619818</v>
      </c>
      <c r="H184" s="14">
        <v>11049.063928423297</v>
      </c>
      <c r="I184" s="14">
        <v>11300.683756056544</v>
      </c>
      <c r="J184" s="14">
        <v>12636.235700405981</v>
      </c>
      <c r="K184" s="14">
        <v>15837.705322229927</v>
      </c>
      <c r="L184" s="14">
        <v>17805.603143285327</v>
      </c>
      <c r="M184" s="14">
        <v>19067.284714409285</v>
      </c>
      <c r="N184" s="14">
        <v>20347.372719470746</v>
      </c>
      <c r="O184" s="14">
        <v>21840.412965541211</v>
      </c>
    </row>
    <row r="185" spans="1:15" x14ac:dyDescent="0.3">
      <c r="A185" s="3" t="str">
        <f>INDEX('R1. Scenario specifications'!$C$11:$C$49,MATCH($B185,'R1. Scenario specifications'!$A$11:$A$49,0))</f>
        <v>Current 1.5DS, 2020 start, 'Expect the Unexpected' but with cheap energy efficiency</v>
      </c>
      <c r="B185" s="3" t="s">
        <v>28</v>
      </c>
      <c r="C185" s="3" t="s">
        <v>297</v>
      </c>
      <c r="D185" s="3" t="s">
        <v>338</v>
      </c>
      <c r="E185" s="14">
        <v>490.51449976830594</v>
      </c>
      <c r="F185" s="14">
        <v>524.93618944866842</v>
      </c>
      <c r="G185" s="14">
        <v>555.19395083536801</v>
      </c>
      <c r="H185" s="14">
        <v>559.27948645064043</v>
      </c>
      <c r="I185" s="14">
        <v>527.51127830369603</v>
      </c>
      <c r="J185" s="14">
        <v>526.42850872717918</v>
      </c>
      <c r="K185" s="14">
        <v>582.17593958837335</v>
      </c>
      <c r="L185" s="14">
        <v>600.62628992940495</v>
      </c>
      <c r="M185" s="14">
        <v>595.1473363544626</v>
      </c>
      <c r="N185" s="14">
        <v>585.49041985978283</v>
      </c>
      <c r="O185" s="14">
        <v>565.93516358738827</v>
      </c>
    </row>
    <row r="186" spans="1:15" x14ac:dyDescent="0.3">
      <c r="A186" s="3" t="str">
        <f>INDEX('R1. Scenario specifications'!$C$11:$C$49,MATCH($B186,'R1. Scenario specifications'!$A$11:$A$49,0))</f>
        <v>Current 1.5DS, 2030 start, 'Expect the Unexpected' but with cheap energy efficiency</v>
      </c>
      <c r="B186" s="3" t="s">
        <v>29</v>
      </c>
      <c r="C186" s="3" t="s">
        <v>290</v>
      </c>
      <c r="D186" s="3" t="s">
        <v>331</v>
      </c>
      <c r="E186" s="14">
        <v>303.90443076149791</v>
      </c>
      <c r="F186" s="14">
        <v>326.15031746610555</v>
      </c>
      <c r="G186" s="14">
        <v>347.05566024922416</v>
      </c>
      <c r="H186" s="14">
        <v>353.33506067595158</v>
      </c>
      <c r="I186" s="14">
        <v>407.12965682249273</v>
      </c>
      <c r="J186" s="14">
        <v>387.85031131635179</v>
      </c>
      <c r="K186" s="14">
        <v>380.96232621010051</v>
      </c>
      <c r="L186" s="14">
        <v>467.69237982581774</v>
      </c>
      <c r="M186" s="14">
        <v>465.28403692494123</v>
      </c>
      <c r="N186" s="14">
        <v>459.60882427825436</v>
      </c>
      <c r="O186" s="14">
        <v>451.30532187696053</v>
      </c>
    </row>
    <row r="187" spans="1:15" x14ac:dyDescent="0.3">
      <c r="A187" s="3" t="str">
        <f>INDEX('R1. Scenario specifications'!$C$11:$C$49,MATCH($B187,'R1. Scenario specifications'!$A$11:$A$49,0))</f>
        <v>Current 1.5DS, 2030 start, 'Expect the Unexpected' but with cheap energy efficiency</v>
      </c>
      <c r="B187" s="3" t="s">
        <v>29</v>
      </c>
      <c r="C187" s="3" t="s">
        <v>291</v>
      </c>
      <c r="D187" s="3" t="s">
        <v>332</v>
      </c>
      <c r="E187" s="14">
        <v>704.60532435919743</v>
      </c>
      <c r="F187" s="14">
        <v>860.97149986110526</v>
      </c>
      <c r="G187" s="14">
        <v>1146.4631336452248</v>
      </c>
      <c r="H187" s="14">
        <v>1500.2632370055153</v>
      </c>
      <c r="I187" s="14">
        <v>1692.9206193870127</v>
      </c>
      <c r="J187" s="14">
        <v>1828.822976840097</v>
      </c>
      <c r="K187" s="14">
        <v>1857.0750081351414</v>
      </c>
      <c r="L187" s="14">
        <v>2787.1712980246048</v>
      </c>
      <c r="M187" s="14">
        <v>2990.5665855889984</v>
      </c>
      <c r="N187" s="14">
        <v>3182.4847600124954</v>
      </c>
      <c r="O187" s="14">
        <v>3338.6661426492487</v>
      </c>
    </row>
    <row r="188" spans="1:15" x14ac:dyDescent="0.3">
      <c r="A188" s="3" t="str">
        <f>INDEX('R1. Scenario specifications'!$C$11:$C$49,MATCH($B188,'R1. Scenario specifications'!$A$11:$A$49,0))</f>
        <v>Current 1.5DS, 2030 start, 'Expect the Unexpected' but with cheap energy efficiency</v>
      </c>
      <c r="B188" s="3" t="s">
        <v>29</v>
      </c>
      <c r="C188" s="3" t="s">
        <v>292</v>
      </c>
      <c r="D188" s="3" t="s">
        <v>333</v>
      </c>
      <c r="E188" s="14">
        <v>159.73830278697653</v>
      </c>
      <c r="F188" s="14">
        <v>169.39599598719545</v>
      </c>
      <c r="G188" s="14">
        <v>176.71914238919692</v>
      </c>
      <c r="H188" s="14">
        <v>175.15830181655548</v>
      </c>
      <c r="I188" s="14">
        <v>171.75540155883004</v>
      </c>
      <c r="J188" s="14">
        <v>155.71598893546371</v>
      </c>
      <c r="K188" s="14">
        <v>146.67526983319163</v>
      </c>
      <c r="L188" s="14">
        <v>175.78189501677815</v>
      </c>
      <c r="M188" s="14">
        <v>171.47940350173073</v>
      </c>
      <c r="N188" s="14">
        <v>166.23136037709438</v>
      </c>
      <c r="O188" s="14">
        <v>160.73057164452095</v>
      </c>
    </row>
    <row r="189" spans="1:15" x14ac:dyDescent="0.3">
      <c r="A189" s="3" t="str">
        <f>INDEX('R1. Scenario specifications'!$C$11:$C$49,MATCH($B189,'R1. Scenario specifications'!$A$11:$A$49,0))</f>
        <v>Current 1.5DS, 2030 start, 'Expect the Unexpected' but with cheap energy efficiency</v>
      </c>
      <c r="B189" s="3" t="s">
        <v>29</v>
      </c>
      <c r="C189" s="3" t="s">
        <v>293</v>
      </c>
      <c r="D189" s="3" t="s">
        <v>334</v>
      </c>
      <c r="E189" s="14">
        <v>773.46518919181767</v>
      </c>
      <c r="F189" s="14">
        <v>894.21413961009341</v>
      </c>
      <c r="G189" s="14">
        <v>1118.0496051339933</v>
      </c>
      <c r="H189" s="14">
        <v>1375.5475785566455</v>
      </c>
      <c r="I189" s="14">
        <v>1585.3330341076339</v>
      </c>
      <c r="J189" s="14">
        <v>1722.9077243288825</v>
      </c>
      <c r="K189" s="14">
        <v>1728.9338071117295</v>
      </c>
      <c r="L189" s="14">
        <v>2371.8263442146858</v>
      </c>
      <c r="M189" s="14">
        <v>2529.9920647358476</v>
      </c>
      <c r="N189" s="14">
        <v>2686.1979558801277</v>
      </c>
      <c r="O189" s="14">
        <v>2834.7797992863789</v>
      </c>
    </row>
    <row r="190" spans="1:15" x14ac:dyDescent="0.3">
      <c r="A190" s="3" t="str">
        <f>INDEX('R1. Scenario specifications'!$C$11:$C$49,MATCH($B190,'R1. Scenario specifications'!$A$11:$A$49,0))</f>
        <v>Current 1.5DS, 2030 start, 'Expect the Unexpected' but with cheap energy efficiency</v>
      </c>
      <c r="B190" s="3" t="s">
        <v>29</v>
      </c>
      <c r="C190" s="3" t="s">
        <v>294</v>
      </c>
      <c r="D190" s="3" t="s">
        <v>335</v>
      </c>
      <c r="E190" s="14">
        <v>3279.7723348946201</v>
      </c>
      <c r="F190" s="14">
        <v>4082.6935657435747</v>
      </c>
      <c r="G190" s="14">
        <v>5207.7532954788776</v>
      </c>
      <c r="H190" s="14">
        <v>5690.8087984717622</v>
      </c>
      <c r="I190" s="14">
        <v>4451.1210496577787</v>
      </c>
      <c r="J190" s="14">
        <v>4390.8178999277989</v>
      </c>
      <c r="K190" s="14">
        <v>4537.8754482983786</v>
      </c>
      <c r="L190" s="14">
        <v>6504.4381100451328</v>
      </c>
      <c r="M190" s="14">
        <v>6893.2482560279559</v>
      </c>
      <c r="N190" s="14">
        <v>7269.3958860523862</v>
      </c>
      <c r="O190" s="14">
        <v>7627.1021274544446</v>
      </c>
    </row>
    <row r="191" spans="1:15" x14ac:dyDescent="0.3">
      <c r="A191" s="3" t="str">
        <f>INDEX('R1. Scenario specifications'!$C$11:$C$49,MATCH($B191,'R1. Scenario specifications'!$A$11:$A$49,0))</f>
        <v>Current 1.5DS, 2030 start, 'Expect the Unexpected' but with cheap energy efficiency</v>
      </c>
      <c r="B191" s="3" t="s">
        <v>29</v>
      </c>
      <c r="C191" s="3" t="s">
        <v>295</v>
      </c>
      <c r="D191" s="3" t="s">
        <v>336</v>
      </c>
      <c r="E191" s="14">
        <v>554.93024628706178</v>
      </c>
      <c r="F191" s="14">
        <v>667.25533606737827</v>
      </c>
      <c r="G191" s="14">
        <v>860.61058351424708</v>
      </c>
      <c r="H191" s="14">
        <v>1088.2132483847263</v>
      </c>
      <c r="I191" s="14">
        <v>1193.8729380842951</v>
      </c>
      <c r="J191" s="14">
        <v>1257.0549456507285</v>
      </c>
      <c r="K191" s="14">
        <v>1276.2133521531632</v>
      </c>
      <c r="L191" s="14">
        <v>1964.8695278465248</v>
      </c>
      <c r="M191" s="14">
        <v>2124.8694513107039</v>
      </c>
      <c r="N191" s="14">
        <v>2277.787130353589</v>
      </c>
      <c r="O191" s="14">
        <v>2377.4192715057934</v>
      </c>
    </row>
    <row r="192" spans="1:15" x14ac:dyDescent="0.3">
      <c r="A192" s="3" t="str">
        <f>INDEX('R1. Scenario specifications'!$C$11:$C$49,MATCH($B192,'R1. Scenario specifications'!$A$11:$A$49,0))</f>
        <v>Current 1.5DS, 2030 start, 'Expect the Unexpected' but with cheap energy efficiency</v>
      </c>
      <c r="B192" s="3" t="s">
        <v>29</v>
      </c>
      <c r="C192" s="3" t="s">
        <v>296</v>
      </c>
      <c r="D192" s="3" t="s">
        <v>337</v>
      </c>
      <c r="E192" s="14">
        <v>6768.21079303233</v>
      </c>
      <c r="F192" s="14">
        <v>9604.0566614851487</v>
      </c>
      <c r="G192" s="14">
        <v>16237.412608619818</v>
      </c>
      <c r="H192" s="14">
        <v>17601.175858707189</v>
      </c>
      <c r="I192" s="14">
        <v>12113.705176193433</v>
      </c>
      <c r="J192" s="14">
        <v>12002.913237113313</v>
      </c>
      <c r="K192" s="14">
        <v>12004.993501870738</v>
      </c>
      <c r="L192" s="14">
        <v>17990.133772699417</v>
      </c>
      <c r="M192" s="14">
        <v>19230.52261458202</v>
      </c>
      <c r="N192" s="14">
        <v>20559.051641208363</v>
      </c>
      <c r="O192" s="14">
        <v>22033.070412473866</v>
      </c>
    </row>
    <row r="193" spans="1:15" x14ac:dyDescent="0.3">
      <c r="A193" s="3" t="str">
        <f>INDEX('R1. Scenario specifications'!$C$11:$C$49,MATCH($B193,'R1. Scenario specifications'!$A$11:$A$49,0))</f>
        <v>Current 1.5DS, 2030 start, 'Expect the Unexpected' but with cheap energy efficiency</v>
      </c>
      <c r="B193" s="3" t="s">
        <v>29</v>
      </c>
      <c r="C193" s="3" t="s">
        <v>297</v>
      </c>
      <c r="D193" s="3" t="s">
        <v>338</v>
      </c>
      <c r="E193" s="14">
        <v>490.51449976830594</v>
      </c>
      <c r="F193" s="14">
        <v>524.93618944866842</v>
      </c>
      <c r="G193" s="14">
        <v>555.19395083536801</v>
      </c>
      <c r="H193" s="14">
        <v>559.27948645064043</v>
      </c>
      <c r="I193" s="14">
        <v>557.90909413536497</v>
      </c>
      <c r="J193" s="14">
        <v>517.882617294331</v>
      </c>
      <c r="K193" s="14">
        <v>498.03544779604312</v>
      </c>
      <c r="L193" s="14">
        <v>600.62628992940495</v>
      </c>
      <c r="M193" s="14">
        <v>595.1473363544626</v>
      </c>
      <c r="N193" s="14">
        <v>585.49041985978283</v>
      </c>
      <c r="O193" s="14">
        <v>573.55260782751282</v>
      </c>
    </row>
    <row r="194" spans="1:15" x14ac:dyDescent="0.3">
      <c r="A194" s="3" t="str">
        <f>INDEX('R1. Scenario specifications'!$C$11:$C$49,MATCH($B194,'R1. Scenario specifications'!$A$11:$A$49,0))</f>
        <v>Current 1.5DS, 2020 start, 'Expect the Unexpected' but with most conservative biomass CCS / NET technology cost assumptions</v>
      </c>
      <c r="B194" s="3" t="s">
        <v>30</v>
      </c>
      <c r="C194" s="3" t="s">
        <v>290</v>
      </c>
      <c r="D194" s="3" t="s">
        <v>331</v>
      </c>
      <c r="E194" s="14">
        <v>303.90443076149791</v>
      </c>
      <c r="F194" s="14">
        <v>326.15031746610555</v>
      </c>
      <c r="G194" s="14">
        <v>347.05566024922416</v>
      </c>
      <c r="H194" s="14">
        <v>340.64048107484712</v>
      </c>
      <c r="I194" s="14">
        <v>314.00981194122835</v>
      </c>
      <c r="J194" s="14">
        <v>310.26290337212049</v>
      </c>
      <c r="K194" s="14">
        <v>376.90620859134822</v>
      </c>
      <c r="L194" s="14">
        <v>389.28835008534401</v>
      </c>
      <c r="M194" s="14">
        <v>387.73669743745137</v>
      </c>
      <c r="N194" s="14">
        <v>383.0073535652117</v>
      </c>
      <c r="O194" s="14">
        <v>376.08776823080098</v>
      </c>
    </row>
    <row r="195" spans="1:15" x14ac:dyDescent="0.3">
      <c r="A195" s="3" t="str">
        <f>INDEX('R1. Scenario specifications'!$C$11:$C$49,MATCH($B195,'R1. Scenario specifications'!$A$11:$A$49,0))</f>
        <v>Current 1.5DS, 2020 start, 'Expect the Unexpected' but with most conservative biomass CCS / NET technology cost assumptions</v>
      </c>
      <c r="B195" s="3" t="s">
        <v>30</v>
      </c>
      <c r="C195" s="3" t="s">
        <v>291</v>
      </c>
      <c r="D195" s="3" t="s">
        <v>332</v>
      </c>
      <c r="E195" s="14">
        <v>704.60532435919743</v>
      </c>
      <c r="F195" s="14">
        <v>860.97149986110526</v>
      </c>
      <c r="G195" s="14">
        <v>1146.4631336452248</v>
      </c>
      <c r="H195" s="14">
        <v>1441.4038607292196</v>
      </c>
      <c r="I195" s="14">
        <v>1540.5388763206429</v>
      </c>
      <c r="J195" s="14">
        <v>1682.2234202809807</v>
      </c>
      <c r="K195" s="14">
        <v>2383.7956483466437</v>
      </c>
      <c r="L195" s="14">
        <v>2752.7345010796871</v>
      </c>
      <c r="M195" s="14">
        <v>2889.5505279347667</v>
      </c>
      <c r="N195" s="14">
        <v>3050.4480857941248</v>
      </c>
      <c r="O195" s="14">
        <v>3191.1624856039066</v>
      </c>
    </row>
    <row r="196" spans="1:15" x14ac:dyDescent="0.3">
      <c r="A196" s="3" t="str">
        <f>INDEX('R1. Scenario specifications'!$C$11:$C$49,MATCH($B196,'R1. Scenario specifications'!$A$11:$A$49,0))</f>
        <v>Current 1.5DS, 2020 start, 'Expect the Unexpected' but with most conservative biomass CCS / NET technology cost assumptions</v>
      </c>
      <c r="B196" s="3" t="s">
        <v>30</v>
      </c>
      <c r="C196" s="3" t="s">
        <v>292</v>
      </c>
      <c r="D196" s="3" t="s">
        <v>333</v>
      </c>
      <c r="E196" s="14">
        <v>159.73830278697653</v>
      </c>
      <c r="F196" s="14">
        <v>169.39599598719545</v>
      </c>
      <c r="G196" s="14">
        <v>176.71914238919692</v>
      </c>
      <c r="H196" s="14">
        <v>175.15830181655548</v>
      </c>
      <c r="I196" s="14">
        <v>160.12859420509855</v>
      </c>
      <c r="J196" s="14">
        <v>147.14316499568608</v>
      </c>
      <c r="K196" s="14">
        <v>172.80076168571861</v>
      </c>
      <c r="L196" s="14">
        <v>175.78189501677815</v>
      </c>
      <c r="M196" s="14">
        <v>171.47940350173073</v>
      </c>
      <c r="N196" s="14">
        <v>166.23136037709438</v>
      </c>
      <c r="O196" s="14">
        <v>156.67471579428266</v>
      </c>
    </row>
    <row r="197" spans="1:15" x14ac:dyDescent="0.3">
      <c r="A197" s="3" t="str">
        <f>INDEX('R1. Scenario specifications'!$C$11:$C$49,MATCH($B197,'R1. Scenario specifications'!$A$11:$A$49,0))</f>
        <v>Current 1.5DS, 2020 start, 'Expect the Unexpected' but with most conservative biomass CCS / NET technology cost assumptions</v>
      </c>
      <c r="B197" s="3" t="s">
        <v>30</v>
      </c>
      <c r="C197" s="3" t="s">
        <v>293</v>
      </c>
      <c r="D197" s="3" t="s">
        <v>334</v>
      </c>
      <c r="E197" s="14">
        <v>773.46518919181767</v>
      </c>
      <c r="F197" s="14">
        <v>894.21413961009341</v>
      </c>
      <c r="G197" s="14">
        <v>1118.0496051339933</v>
      </c>
      <c r="H197" s="14">
        <v>1360.3776299758706</v>
      </c>
      <c r="I197" s="14">
        <v>1465.9741851143801</v>
      </c>
      <c r="J197" s="14">
        <v>1590.7755978732307</v>
      </c>
      <c r="K197" s="14">
        <v>2134.0609716648614</v>
      </c>
      <c r="L197" s="14">
        <v>2366.5190259502378</v>
      </c>
      <c r="M197" s="14">
        <v>2529.9920647358485</v>
      </c>
      <c r="N197" s="14">
        <v>2652.8606561084157</v>
      </c>
      <c r="O197" s="14">
        <v>2749.4808556435905</v>
      </c>
    </row>
    <row r="198" spans="1:15" x14ac:dyDescent="0.3">
      <c r="A198" s="3" t="str">
        <f>INDEX('R1. Scenario specifications'!$C$11:$C$49,MATCH($B198,'R1. Scenario specifications'!$A$11:$A$49,0))</f>
        <v>Current 1.5DS, 2020 start, 'Expect the Unexpected' but with most conservative biomass CCS / NET technology cost assumptions</v>
      </c>
      <c r="B198" s="3" t="s">
        <v>30</v>
      </c>
      <c r="C198" s="3" t="s">
        <v>294</v>
      </c>
      <c r="D198" s="3" t="s">
        <v>335</v>
      </c>
      <c r="E198" s="14">
        <v>3279.7723348946201</v>
      </c>
      <c r="F198" s="14">
        <v>4082.6935657435747</v>
      </c>
      <c r="G198" s="14">
        <v>5207.7532954788776</v>
      </c>
      <c r="H198" s="14">
        <v>5384.0173976448459</v>
      </c>
      <c r="I198" s="14">
        <v>4859.4476529409794</v>
      </c>
      <c r="J198" s="14">
        <v>5389.7989283291754</v>
      </c>
      <c r="K198" s="14">
        <v>7553.9425721402895</v>
      </c>
      <c r="L198" s="14">
        <v>8396.6581798262123</v>
      </c>
      <c r="M198" s="14">
        <v>8884.4284126902585</v>
      </c>
      <c r="N198" s="14">
        <v>9253.9127603291727</v>
      </c>
      <c r="O198" s="14">
        <v>9804.4732585748479</v>
      </c>
    </row>
    <row r="199" spans="1:15" x14ac:dyDescent="0.3">
      <c r="A199" s="3" t="str">
        <f>INDEX('R1. Scenario specifications'!$C$11:$C$49,MATCH($B199,'R1. Scenario specifications'!$A$11:$A$49,0))</f>
        <v>Current 1.5DS, 2020 start, 'Expect the Unexpected' but with most conservative biomass CCS / NET technology cost assumptions</v>
      </c>
      <c r="B199" s="3" t="s">
        <v>30</v>
      </c>
      <c r="C199" s="3" t="s">
        <v>295</v>
      </c>
      <c r="D199" s="3" t="s">
        <v>336</v>
      </c>
      <c r="E199" s="14">
        <v>554.93024628706178</v>
      </c>
      <c r="F199" s="14">
        <v>667.25533606737827</v>
      </c>
      <c r="G199" s="14">
        <v>860.61058351424708</v>
      </c>
      <c r="H199" s="14">
        <v>1035.3946716182206</v>
      </c>
      <c r="I199" s="14">
        <v>1077.7368534605253</v>
      </c>
      <c r="J199" s="14">
        <v>1146.7207437329298</v>
      </c>
      <c r="K199" s="14">
        <v>1670.9995057195697</v>
      </c>
      <c r="L199" s="14">
        <v>1923.0334085067705</v>
      </c>
      <c r="M199" s="14">
        <v>2050.3173887240291</v>
      </c>
      <c r="N199" s="14">
        <v>2172.6365939205948</v>
      </c>
      <c r="O199" s="14">
        <v>2252.9977469647824</v>
      </c>
    </row>
    <row r="200" spans="1:15" x14ac:dyDescent="0.3">
      <c r="A200" s="3" t="str">
        <f>INDEX('R1. Scenario specifications'!$C$11:$C$49,MATCH($B200,'R1. Scenario specifications'!$A$11:$A$49,0))</f>
        <v>Current 1.5DS, 2020 start, 'Expect the Unexpected' but with most conservative biomass CCS / NET technology cost assumptions</v>
      </c>
      <c r="B200" s="3" t="s">
        <v>30</v>
      </c>
      <c r="C200" s="3" t="s">
        <v>296</v>
      </c>
      <c r="D200" s="3" t="s">
        <v>337</v>
      </c>
      <c r="E200" s="14">
        <v>6768.21079303233</v>
      </c>
      <c r="F200" s="14">
        <v>9604.0566614851487</v>
      </c>
      <c r="G200" s="14">
        <v>16237.412608619818</v>
      </c>
      <c r="H200" s="14">
        <v>16381.575271271642</v>
      </c>
      <c r="I200" s="14">
        <v>13845.401174821076</v>
      </c>
      <c r="J200" s="14">
        <v>14249.711509726358</v>
      </c>
      <c r="K200" s="14">
        <v>20659.009067291172</v>
      </c>
      <c r="L200" s="14">
        <v>23168.721069809351</v>
      </c>
      <c r="M200" s="14">
        <v>24842.038645199045</v>
      </c>
      <c r="N200" s="14">
        <v>26394.692499329456</v>
      </c>
      <c r="O200" s="14">
        <v>28404.542404349642</v>
      </c>
    </row>
    <row r="201" spans="1:15" x14ac:dyDescent="0.3">
      <c r="A201" s="3" t="str">
        <f>INDEX('R1. Scenario specifications'!$C$11:$C$49,MATCH($B201,'R1. Scenario specifications'!$A$11:$A$49,0))</f>
        <v>Current 1.5DS, 2020 start, 'Expect the Unexpected' but with most conservative biomass CCS / NET technology cost assumptions</v>
      </c>
      <c r="B201" s="3" t="s">
        <v>30</v>
      </c>
      <c r="C201" s="3" t="s">
        <v>297</v>
      </c>
      <c r="D201" s="3" t="s">
        <v>338</v>
      </c>
      <c r="E201" s="14">
        <v>490.51449976830594</v>
      </c>
      <c r="F201" s="14">
        <v>524.93618944866842</v>
      </c>
      <c r="G201" s="14">
        <v>555.19395083536801</v>
      </c>
      <c r="H201" s="14">
        <v>559.27948645064043</v>
      </c>
      <c r="I201" s="14">
        <v>525.39118815422353</v>
      </c>
      <c r="J201" s="14">
        <v>489.35723635159337</v>
      </c>
      <c r="K201" s="14">
        <v>583.29367587709214</v>
      </c>
      <c r="L201" s="14">
        <v>600.62628992940495</v>
      </c>
      <c r="M201" s="14">
        <v>595.1473363544626</v>
      </c>
      <c r="N201" s="14">
        <v>585.49041985978283</v>
      </c>
      <c r="O201" s="14">
        <v>563.38565610671276</v>
      </c>
    </row>
    <row r="202" spans="1:15" x14ac:dyDescent="0.3">
      <c r="A202" s="3" t="str">
        <f>INDEX('R1. Scenario specifications'!$C$11:$C$49,MATCH($B202,'R1. Scenario specifications'!$A$11:$A$49,0))</f>
        <v>Current 1.5DS, 2030 start, 'Expect the Unexpected' but with most conservative biomass CCS / NET technology cost assumptions</v>
      </c>
      <c r="B202" s="3" t="s">
        <v>31</v>
      </c>
      <c r="C202" s="3" t="s">
        <v>290</v>
      </c>
      <c r="D202" s="3" t="s">
        <v>331</v>
      </c>
      <c r="E202" s="14">
        <v>303.90443076149791</v>
      </c>
      <c r="F202" s="14">
        <v>326.15031746610555</v>
      </c>
      <c r="G202" s="14">
        <v>347.05566024922416</v>
      </c>
      <c r="H202" s="14">
        <v>353.33506067595158</v>
      </c>
      <c r="I202" s="14">
        <v>335.57083497223624</v>
      </c>
      <c r="J202" s="14">
        <v>317.49904324316822</v>
      </c>
      <c r="K202" s="14">
        <v>319.1516341182267</v>
      </c>
      <c r="L202" s="14">
        <v>389.74364985484817</v>
      </c>
      <c r="M202" s="14">
        <v>387.73669743745114</v>
      </c>
      <c r="N202" s="14">
        <v>383.00735356521182</v>
      </c>
      <c r="O202" s="14">
        <v>376.08776823080098</v>
      </c>
    </row>
    <row r="203" spans="1:15" x14ac:dyDescent="0.3">
      <c r="A203" s="3" t="str">
        <f>INDEX('R1. Scenario specifications'!$C$11:$C$49,MATCH($B203,'R1. Scenario specifications'!$A$11:$A$49,0))</f>
        <v>Current 1.5DS, 2030 start, 'Expect the Unexpected' but with most conservative biomass CCS / NET technology cost assumptions</v>
      </c>
      <c r="B203" s="3" t="s">
        <v>31</v>
      </c>
      <c r="C203" s="3" t="s">
        <v>291</v>
      </c>
      <c r="D203" s="3" t="s">
        <v>332</v>
      </c>
      <c r="E203" s="14">
        <v>704.60532435919743</v>
      </c>
      <c r="F203" s="14">
        <v>860.97149986110526</v>
      </c>
      <c r="G203" s="14">
        <v>1146.4631336452248</v>
      </c>
      <c r="H203" s="14">
        <v>1500.2632370055153</v>
      </c>
      <c r="I203" s="14">
        <v>1686.489121204504</v>
      </c>
      <c r="J203" s="14">
        <v>1815.7664231735318</v>
      </c>
      <c r="K203" s="14">
        <v>1857.0750081351407</v>
      </c>
      <c r="L203" s="14">
        <v>2787.1712980246048</v>
      </c>
      <c r="M203" s="14">
        <v>2990.1838120222878</v>
      </c>
      <c r="N203" s="14">
        <v>3182.4847600124795</v>
      </c>
      <c r="O203" s="14">
        <v>3328.1055147475072</v>
      </c>
    </row>
    <row r="204" spans="1:15" x14ac:dyDescent="0.3">
      <c r="A204" s="3" t="str">
        <f>INDEX('R1. Scenario specifications'!$C$11:$C$49,MATCH($B204,'R1. Scenario specifications'!$A$11:$A$49,0))</f>
        <v>Current 1.5DS, 2030 start, 'Expect the Unexpected' but with most conservative biomass CCS / NET technology cost assumptions</v>
      </c>
      <c r="B204" s="3" t="s">
        <v>31</v>
      </c>
      <c r="C204" s="3" t="s">
        <v>292</v>
      </c>
      <c r="D204" s="3" t="s">
        <v>333</v>
      </c>
      <c r="E204" s="14">
        <v>159.73830278697653</v>
      </c>
      <c r="F204" s="14">
        <v>169.39599598719545</v>
      </c>
      <c r="G204" s="14">
        <v>176.71914238919692</v>
      </c>
      <c r="H204" s="14">
        <v>175.15830181655548</v>
      </c>
      <c r="I204" s="14">
        <v>166.84087895861114</v>
      </c>
      <c r="J204" s="14">
        <v>155.71598893546371</v>
      </c>
      <c r="K204" s="14">
        <v>146.67526983319163</v>
      </c>
      <c r="L204" s="14">
        <v>175.78189501677815</v>
      </c>
      <c r="M204" s="14">
        <v>171.47940350173073</v>
      </c>
      <c r="N204" s="14">
        <v>166.23136037709438</v>
      </c>
      <c r="O204" s="14">
        <v>160.73057164452095</v>
      </c>
    </row>
    <row r="205" spans="1:15" x14ac:dyDescent="0.3">
      <c r="A205" s="3" t="str">
        <f>INDEX('R1. Scenario specifications'!$C$11:$C$49,MATCH($B205,'R1. Scenario specifications'!$A$11:$A$49,0))</f>
        <v>Current 1.5DS, 2030 start, 'Expect the Unexpected' but with most conservative biomass CCS / NET technology cost assumptions</v>
      </c>
      <c r="B205" s="3" t="s">
        <v>31</v>
      </c>
      <c r="C205" s="3" t="s">
        <v>293</v>
      </c>
      <c r="D205" s="3" t="s">
        <v>334</v>
      </c>
      <c r="E205" s="14">
        <v>773.46518919181767</v>
      </c>
      <c r="F205" s="14">
        <v>894.21413961009341</v>
      </c>
      <c r="G205" s="14">
        <v>1118.0496051339933</v>
      </c>
      <c r="H205" s="14">
        <v>1375.5475785566455</v>
      </c>
      <c r="I205" s="14">
        <v>1560.7160475893004</v>
      </c>
      <c r="J205" s="14">
        <v>1715.7091292059181</v>
      </c>
      <c r="K205" s="14">
        <v>1728.9338071117295</v>
      </c>
      <c r="L205" s="14">
        <v>2369.1726850824625</v>
      </c>
      <c r="M205" s="14">
        <v>2529.9920647358476</v>
      </c>
      <c r="N205" s="14">
        <v>2686.1979558801268</v>
      </c>
      <c r="O205" s="14">
        <v>2834.7797992863789</v>
      </c>
    </row>
    <row r="206" spans="1:15" x14ac:dyDescent="0.3">
      <c r="A206" s="3" t="str">
        <f>INDEX('R1. Scenario specifications'!$C$11:$C$49,MATCH($B206,'R1. Scenario specifications'!$A$11:$A$49,0))</f>
        <v>Current 1.5DS, 2030 start, 'Expect the Unexpected' but with most conservative biomass CCS / NET technology cost assumptions</v>
      </c>
      <c r="B206" s="3" t="s">
        <v>31</v>
      </c>
      <c r="C206" s="3" t="s">
        <v>294</v>
      </c>
      <c r="D206" s="3" t="s">
        <v>335</v>
      </c>
      <c r="E206" s="14">
        <v>3279.7723348946201</v>
      </c>
      <c r="F206" s="14">
        <v>4082.6935657435747</v>
      </c>
      <c r="G206" s="14">
        <v>5207.7532954788776</v>
      </c>
      <c r="H206" s="14">
        <v>5690.8087984717622</v>
      </c>
      <c r="I206" s="14">
        <v>5248.0403022063419</v>
      </c>
      <c r="J206" s="14">
        <v>5673.9820448877272</v>
      </c>
      <c r="K206" s="14">
        <v>5858.8739215009227</v>
      </c>
      <c r="L206" s="14">
        <v>8411.1893015885889</v>
      </c>
      <c r="M206" s="14">
        <v>8931.6923712261723</v>
      </c>
      <c r="N206" s="14">
        <v>9411.3990970713803</v>
      </c>
      <c r="O206" s="14">
        <v>9879.6803424872287</v>
      </c>
    </row>
    <row r="207" spans="1:15" x14ac:dyDescent="0.3">
      <c r="A207" s="3" t="str">
        <f>INDEX('R1. Scenario specifications'!$C$11:$C$49,MATCH($B207,'R1. Scenario specifications'!$A$11:$A$49,0))</f>
        <v>Current 1.5DS, 2030 start, 'Expect the Unexpected' but with most conservative biomass CCS / NET technology cost assumptions</v>
      </c>
      <c r="B207" s="3" t="s">
        <v>31</v>
      </c>
      <c r="C207" s="3" t="s">
        <v>295</v>
      </c>
      <c r="D207" s="3" t="s">
        <v>336</v>
      </c>
      <c r="E207" s="14">
        <v>554.93024628706178</v>
      </c>
      <c r="F207" s="14">
        <v>667.25533606737827</v>
      </c>
      <c r="G207" s="14">
        <v>860.61058351424708</v>
      </c>
      <c r="H207" s="14">
        <v>1088.2132483847263</v>
      </c>
      <c r="I207" s="14">
        <v>1149.0310981878285</v>
      </c>
      <c r="J207" s="14">
        <v>1256.2999713983043</v>
      </c>
      <c r="K207" s="14">
        <v>1269.1568893186372</v>
      </c>
      <c r="L207" s="14">
        <v>1964.8695278465266</v>
      </c>
      <c r="M207" s="14">
        <v>2124.4753931053392</v>
      </c>
      <c r="N207" s="14">
        <v>2277.7871303535894</v>
      </c>
      <c r="O207" s="14">
        <v>2375.6334598345102</v>
      </c>
    </row>
    <row r="208" spans="1:15" x14ac:dyDescent="0.3">
      <c r="A208" s="3" t="str">
        <f>INDEX('R1. Scenario specifications'!$C$11:$C$49,MATCH($B208,'R1. Scenario specifications'!$A$11:$A$49,0))</f>
        <v>Current 1.5DS, 2030 start, 'Expect the Unexpected' but with most conservative biomass CCS / NET technology cost assumptions</v>
      </c>
      <c r="B208" s="3" t="s">
        <v>31</v>
      </c>
      <c r="C208" s="3" t="s">
        <v>296</v>
      </c>
      <c r="D208" s="3" t="s">
        <v>337</v>
      </c>
      <c r="E208" s="14">
        <v>6768.21079303233</v>
      </c>
      <c r="F208" s="14">
        <v>9604.0566614851487</v>
      </c>
      <c r="G208" s="14">
        <v>16237.412608619818</v>
      </c>
      <c r="H208" s="14">
        <v>17601.175858707189</v>
      </c>
      <c r="I208" s="14">
        <v>14723.717614775955</v>
      </c>
      <c r="J208" s="14">
        <v>15473.053246348949</v>
      </c>
      <c r="K208" s="14">
        <v>15650.115346420866</v>
      </c>
      <c r="L208" s="14">
        <v>23432.485514893779</v>
      </c>
      <c r="M208" s="14">
        <v>25098.211046130469</v>
      </c>
      <c r="N208" s="14">
        <v>26803.274541214032</v>
      </c>
      <c r="O208" s="14">
        <v>28739.059332887766</v>
      </c>
    </row>
    <row r="209" spans="1:15" x14ac:dyDescent="0.3">
      <c r="A209" s="3" t="str">
        <f>INDEX('R1. Scenario specifications'!$C$11:$C$49,MATCH($B209,'R1. Scenario specifications'!$A$11:$A$49,0))</f>
        <v>Current 1.5DS, 2030 start, 'Expect the Unexpected' but with most conservative biomass CCS / NET technology cost assumptions</v>
      </c>
      <c r="B209" s="3" t="s">
        <v>31</v>
      </c>
      <c r="C209" s="3" t="s">
        <v>297</v>
      </c>
      <c r="D209" s="3" t="s">
        <v>338</v>
      </c>
      <c r="E209" s="14">
        <v>490.51449976830594</v>
      </c>
      <c r="F209" s="14">
        <v>524.93618944866842</v>
      </c>
      <c r="G209" s="14">
        <v>555.19395083536801</v>
      </c>
      <c r="H209" s="14">
        <v>559.27948645064043</v>
      </c>
      <c r="I209" s="14">
        <v>547.11400104460631</v>
      </c>
      <c r="J209" s="14">
        <v>517.882617294331</v>
      </c>
      <c r="K209" s="14">
        <v>498.03544779604312</v>
      </c>
      <c r="L209" s="14">
        <v>600.62628992940495</v>
      </c>
      <c r="M209" s="14">
        <v>595.1473363544626</v>
      </c>
      <c r="N209" s="14">
        <v>585.49041985978283</v>
      </c>
      <c r="O209" s="14">
        <v>573.55260782751282</v>
      </c>
    </row>
    <row r="210" spans="1:15" x14ac:dyDescent="0.3">
      <c r="A210" s="3" t="str">
        <f>INDEX('R1. Scenario specifications'!$C$11:$C$49,MATCH($B210,'R1. Scenario specifications'!$A$11:$A$49,0))</f>
        <v>Current 1.75DS, 2020 start, 'Expect the Unexpected'</v>
      </c>
      <c r="B210" s="3" t="s">
        <v>32</v>
      </c>
      <c r="C210" s="3" t="s">
        <v>290</v>
      </c>
      <c r="D210" s="3" t="s">
        <v>331</v>
      </c>
      <c r="E210" s="14">
        <v>303.90443076149791</v>
      </c>
      <c r="F210" s="14">
        <v>326.15031746610555</v>
      </c>
      <c r="G210" s="14">
        <v>347.05566024922416</v>
      </c>
      <c r="H210" s="14">
        <v>353.33506067595158</v>
      </c>
      <c r="I210" s="14">
        <v>371.44936105507918</v>
      </c>
      <c r="J210" s="14">
        <v>380.92275123968466</v>
      </c>
      <c r="K210" s="14">
        <v>387.07184299541927</v>
      </c>
      <c r="L210" s="14">
        <v>389.28835008534367</v>
      </c>
      <c r="M210" s="14">
        <v>387.7366974374512</v>
      </c>
      <c r="N210" s="14">
        <v>380.79181522698116</v>
      </c>
      <c r="O210" s="14">
        <v>374.82010566134647</v>
      </c>
    </row>
    <row r="211" spans="1:15" x14ac:dyDescent="0.3">
      <c r="A211" s="3" t="str">
        <f>INDEX('R1. Scenario specifications'!$C$11:$C$49,MATCH($B211,'R1. Scenario specifications'!$A$11:$A$49,0))</f>
        <v>Current 1.75DS, 2020 start, 'Expect the Unexpected'</v>
      </c>
      <c r="B211" s="3" t="s">
        <v>32</v>
      </c>
      <c r="C211" s="3" t="s">
        <v>291</v>
      </c>
      <c r="D211" s="3" t="s">
        <v>332</v>
      </c>
      <c r="E211" s="14">
        <v>704.60532435919743</v>
      </c>
      <c r="F211" s="14">
        <v>860.97149986110526</v>
      </c>
      <c r="G211" s="14">
        <v>1146.4631336452248</v>
      </c>
      <c r="H211" s="14">
        <v>1498.4248051282871</v>
      </c>
      <c r="I211" s="14">
        <v>1900.9151025954807</v>
      </c>
      <c r="J211" s="14">
        <v>2303.6010357385239</v>
      </c>
      <c r="K211" s="14">
        <v>2526.4816167085214</v>
      </c>
      <c r="L211" s="14">
        <v>2687.1635235415724</v>
      </c>
      <c r="M211" s="14">
        <v>2855.63372264901</v>
      </c>
      <c r="N211" s="14">
        <v>3015.9656722487853</v>
      </c>
      <c r="O211" s="14">
        <v>3073.7088268781517</v>
      </c>
    </row>
    <row r="212" spans="1:15" x14ac:dyDescent="0.3">
      <c r="A212" s="3" t="str">
        <f>INDEX('R1. Scenario specifications'!$C$11:$C$49,MATCH($B212,'R1. Scenario specifications'!$A$11:$A$49,0))</f>
        <v>Current 1.75DS, 2020 start, 'Expect the Unexpected'</v>
      </c>
      <c r="B212" s="3" t="s">
        <v>32</v>
      </c>
      <c r="C212" s="3" t="s">
        <v>292</v>
      </c>
      <c r="D212" s="3" t="s">
        <v>333</v>
      </c>
      <c r="E212" s="14">
        <v>159.73830278697653</v>
      </c>
      <c r="F212" s="14">
        <v>169.39599598719545</v>
      </c>
      <c r="G212" s="14">
        <v>176.71914238919692</v>
      </c>
      <c r="H212" s="14">
        <v>175.15830181655548</v>
      </c>
      <c r="I212" s="14">
        <v>178.93494630264837</v>
      </c>
      <c r="J212" s="14">
        <v>180.1031409584196</v>
      </c>
      <c r="K212" s="14">
        <v>178.82582710171826</v>
      </c>
      <c r="L212" s="14">
        <v>175.78189501677815</v>
      </c>
      <c r="M212" s="14">
        <v>171.47940350173073</v>
      </c>
      <c r="N212" s="14">
        <v>160.64121332725054</v>
      </c>
      <c r="O212" s="14">
        <v>154.70898248772522</v>
      </c>
    </row>
    <row r="213" spans="1:15" x14ac:dyDescent="0.3">
      <c r="A213" s="3" t="str">
        <f>INDEX('R1. Scenario specifications'!$C$11:$C$49,MATCH($B213,'R1. Scenario specifications'!$A$11:$A$49,0))</f>
        <v>Current 1.75DS, 2020 start, 'Expect the Unexpected'</v>
      </c>
      <c r="B213" s="3" t="s">
        <v>32</v>
      </c>
      <c r="C213" s="3" t="s">
        <v>293</v>
      </c>
      <c r="D213" s="3" t="s">
        <v>334</v>
      </c>
      <c r="E213" s="14">
        <v>773.46518919181767</v>
      </c>
      <c r="F213" s="14">
        <v>894.21413961009341</v>
      </c>
      <c r="G213" s="14">
        <v>1118.0496051339933</v>
      </c>
      <c r="H213" s="14">
        <v>1375.5475785566452</v>
      </c>
      <c r="I213" s="14">
        <v>1689.2067853781318</v>
      </c>
      <c r="J213" s="14">
        <v>2025.3126300276215</v>
      </c>
      <c r="K213" s="14">
        <v>2195.4707514569673</v>
      </c>
      <c r="L213" s="14">
        <v>2366.5190259502378</v>
      </c>
      <c r="M213" s="14">
        <v>2497.8257750611001</v>
      </c>
      <c r="N213" s="14">
        <v>2604.6522463608253</v>
      </c>
      <c r="O213" s="14">
        <v>2721.3886073149242</v>
      </c>
    </row>
    <row r="214" spans="1:15" x14ac:dyDescent="0.3">
      <c r="A214" s="3" t="str">
        <f>INDEX('R1. Scenario specifications'!$C$11:$C$49,MATCH($B214,'R1. Scenario specifications'!$A$11:$A$49,0))</f>
        <v>Current 1.75DS, 2020 start, 'Expect the Unexpected'</v>
      </c>
      <c r="B214" s="3" t="s">
        <v>32</v>
      </c>
      <c r="C214" s="3" t="s">
        <v>294</v>
      </c>
      <c r="D214" s="3" t="s">
        <v>335</v>
      </c>
      <c r="E214" s="14">
        <v>3279.7723348946201</v>
      </c>
      <c r="F214" s="14">
        <v>4082.6935657435747</v>
      </c>
      <c r="G214" s="14">
        <v>5207.7532954788776</v>
      </c>
      <c r="H214" s="14">
        <v>5612.7086547850195</v>
      </c>
      <c r="I214" s="14">
        <v>6194.2895228926463</v>
      </c>
      <c r="J214" s="14">
        <v>7179.6635334108987</v>
      </c>
      <c r="K214" s="14">
        <v>7799.8852056880687</v>
      </c>
      <c r="L214" s="14">
        <v>8346.6937275111213</v>
      </c>
      <c r="M214" s="14">
        <v>8818.1184354551406</v>
      </c>
      <c r="N214" s="14">
        <v>9239.3181091668994</v>
      </c>
      <c r="O214" s="14">
        <v>9754.0129210296163</v>
      </c>
    </row>
    <row r="215" spans="1:15" x14ac:dyDescent="0.3">
      <c r="A215" s="3" t="str">
        <f>INDEX('R1. Scenario specifications'!$C$11:$C$49,MATCH($B215,'R1. Scenario specifications'!$A$11:$A$49,0))</f>
        <v>Current 1.75DS, 2020 start, 'Expect the Unexpected'</v>
      </c>
      <c r="B215" s="3" t="s">
        <v>32</v>
      </c>
      <c r="C215" s="3" t="s">
        <v>295</v>
      </c>
      <c r="D215" s="3" t="s">
        <v>336</v>
      </c>
      <c r="E215" s="14">
        <v>554.93024628706178</v>
      </c>
      <c r="F215" s="14">
        <v>667.25533606737827</v>
      </c>
      <c r="G215" s="14">
        <v>860.61058351424708</v>
      </c>
      <c r="H215" s="14">
        <v>1076.3228730583121</v>
      </c>
      <c r="I215" s="14">
        <v>1348.3761832267257</v>
      </c>
      <c r="J215" s="14">
        <v>1610.6320598895131</v>
      </c>
      <c r="K215" s="14">
        <v>1752.4801780844161</v>
      </c>
      <c r="L215" s="14">
        <v>1888.4907289103617</v>
      </c>
      <c r="M215" s="14">
        <v>2014.9309967497554</v>
      </c>
      <c r="N215" s="14">
        <v>2093.9761844802802</v>
      </c>
      <c r="O215" s="14">
        <v>2171.1120465698014</v>
      </c>
    </row>
    <row r="216" spans="1:15" x14ac:dyDescent="0.3">
      <c r="A216" s="3" t="str">
        <f>INDEX('R1. Scenario specifications'!$C$11:$C$49,MATCH($B216,'R1. Scenario specifications'!$A$11:$A$49,0))</f>
        <v>Current 1.75DS, 2020 start, 'Expect the Unexpected'</v>
      </c>
      <c r="B216" s="3" t="s">
        <v>32</v>
      </c>
      <c r="C216" s="3" t="s">
        <v>296</v>
      </c>
      <c r="D216" s="3" t="s">
        <v>337</v>
      </c>
      <c r="E216" s="14">
        <v>6768.21079303233</v>
      </c>
      <c r="F216" s="14">
        <v>9604.0566614851487</v>
      </c>
      <c r="G216" s="14">
        <v>16237.412608619818</v>
      </c>
      <c r="H216" s="14">
        <v>17302.633767432406</v>
      </c>
      <c r="I216" s="14">
        <v>16779.234440560096</v>
      </c>
      <c r="J216" s="14">
        <v>19816.62329391194</v>
      </c>
      <c r="K216" s="14">
        <v>21557.820144873418</v>
      </c>
      <c r="L216" s="14">
        <v>23186.444675675008</v>
      </c>
      <c r="M216" s="14">
        <v>24664.654912235452</v>
      </c>
      <c r="N216" s="14">
        <v>25910.322765595352</v>
      </c>
      <c r="O216" s="14">
        <v>28329.905297318073</v>
      </c>
    </row>
    <row r="217" spans="1:15" x14ac:dyDescent="0.3">
      <c r="A217" s="3" t="str">
        <f>INDEX('R1. Scenario specifications'!$C$11:$C$49,MATCH($B217,'R1. Scenario specifications'!$A$11:$A$49,0))</f>
        <v>Current 1.75DS, 2020 start, 'Expect the Unexpected'</v>
      </c>
      <c r="B217" s="3" t="s">
        <v>32</v>
      </c>
      <c r="C217" s="3" t="s">
        <v>297</v>
      </c>
      <c r="D217" s="3" t="s">
        <v>338</v>
      </c>
      <c r="E217" s="14">
        <v>490.51449976830594</v>
      </c>
      <c r="F217" s="14">
        <v>524.93618944866842</v>
      </c>
      <c r="G217" s="14">
        <v>555.19395083536801</v>
      </c>
      <c r="H217" s="14">
        <v>559.27948645064043</v>
      </c>
      <c r="I217" s="14">
        <v>581.30123858818172</v>
      </c>
      <c r="J217" s="14">
        <v>595.35266871306351</v>
      </c>
      <c r="K217" s="14">
        <v>601.15064540820595</v>
      </c>
      <c r="L217" s="14">
        <v>600.62628992940495</v>
      </c>
      <c r="M217" s="14">
        <v>595.1473363544626</v>
      </c>
      <c r="N217" s="14">
        <v>567.4346118065929</v>
      </c>
      <c r="O217" s="14">
        <v>552.07670645374901</v>
      </c>
    </row>
    <row r="218" spans="1:15" x14ac:dyDescent="0.3">
      <c r="A218" s="3" t="str">
        <f>INDEX('R1. Scenario specifications'!$C$11:$C$49,MATCH($B218,'R1. Scenario specifications'!$A$11:$A$49,0))</f>
        <v>Current 1.75DS, 2030 start, 'Expect the Unexpected'</v>
      </c>
      <c r="B218" s="3" t="s">
        <v>33</v>
      </c>
      <c r="C218" s="3" t="s">
        <v>290</v>
      </c>
      <c r="D218" s="3" t="s">
        <v>331</v>
      </c>
      <c r="E218" s="14">
        <v>303.90443076149791</v>
      </c>
      <c r="F218" s="14">
        <v>326.15031746610555</v>
      </c>
      <c r="G218" s="14">
        <v>347.05566024922416</v>
      </c>
      <c r="H218" s="14">
        <v>353.33506067595158</v>
      </c>
      <c r="I218" s="14">
        <v>370.31694416976882</v>
      </c>
      <c r="J218" s="14">
        <v>376.64546628809899</v>
      </c>
      <c r="K218" s="14">
        <v>372.89730078461491</v>
      </c>
      <c r="L218" s="14">
        <v>389.28835008534384</v>
      </c>
      <c r="M218" s="14">
        <v>387.73669743745126</v>
      </c>
      <c r="N218" s="14">
        <v>381.07330052606756</v>
      </c>
      <c r="O218" s="14">
        <v>376.08776823080109</v>
      </c>
    </row>
    <row r="219" spans="1:15" x14ac:dyDescent="0.3">
      <c r="A219" s="3" t="str">
        <f>INDEX('R1. Scenario specifications'!$C$11:$C$49,MATCH($B219,'R1. Scenario specifications'!$A$11:$A$49,0))</f>
        <v>Current 1.75DS, 2030 start, 'Expect the Unexpected'</v>
      </c>
      <c r="B219" s="3" t="s">
        <v>33</v>
      </c>
      <c r="C219" s="3" t="s">
        <v>291</v>
      </c>
      <c r="D219" s="3" t="s">
        <v>332</v>
      </c>
      <c r="E219" s="14">
        <v>704.60532435919743</v>
      </c>
      <c r="F219" s="14">
        <v>860.97149986110526</v>
      </c>
      <c r="G219" s="14">
        <v>1146.4631336452248</v>
      </c>
      <c r="H219" s="14">
        <v>1500.2632370055153</v>
      </c>
      <c r="I219" s="14">
        <v>1900.9151025954807</v>
      </c>
      <c r="J219" s="14">
        <v>2236.6223339332651</v>
      </c>
      <c r="K219" s="14">
        <v>2413.5628904812656</v>
      </c>
      <c r="L219" s="14">
        <v>2704.9497416392887</v>
      </c>
      <c r="M219" s="14">
        <v>2870.5764595413962</v>
      </c>
      <c r="N219" s="14">
        <v>3035.3198555537556</v>
      </c>
      <c r="O219" s="14">
        <v>3113.9153158978902</v>
      </c>
    </row>
    <row r="220" spans="1:15" x14ac:dyDescent="0.3">
      <c r="A220" s="3" t="str">
        <f>INDEX('R1. Scenario specifications'!$C$11:$C$49,MATCH($B220,'R1. Scenario specifications'!$A$11:$A$49,0))</f>
        <v>Current 1.75DS, 2030 start, 'Expect the Unexpected'</v>
      </c>
      <c r="B220" s="3" t="s">
        <v>33</v>
      </c>
      <c r="C220" s="3" t="s">
        <v>292</v>
      </c>
      <c r="D220" s="3" t="s">
        <v>333</v>
      </c>
      <c r="E220" s="14">
        <v>159.73830278697653</v>
      </c>
      <c r="F220" s="14">
        <v>169.39599598719545</v>
      </c>
      <c r="G220" s="14">
        <v>176.71914238919692</v>
      </c>
      <c r="H220" s="14">
        <v>175.15830181655548</v>
      </c>
      <c r="I220" s="14">
        <v>178.93494630264837</v>
      </c>
      <c r="J220" s="14">
        <v>180.08177711199255</v>
      </c>
      <c r="K220" s="14">
        <v>173.95414563233552</v>
      </c>
      <c r="L220" s="14">
        <v>175.78189501677815</v>
      </c>
      <c r="M220" s="14">
        <v>171.47940350173073</v>
      </c>
      <c r="N220" s="14">
        <v>162.08306776220044</v>
      </c>
      <c r="O220" s="14">
        <v>155.04499952164545</v>
      </c>
    </row>
    <row r="221" spans="1:15" x14ac:dyDescent="0.3">
      <c r="A221" s="3" t="str">
        <f>INDEX('R1. Scenario specifications'!$C$11:$C$49,MATCH($B221,'R1. Scenario specifications'!$A$11:$A$49,0))</f>
        <v>Current 1.75DS, 2030 start, 'Expect the Unexpected'</v>
      </c>
      <c r="B221" s="3" t="s">
        <v>33</v>
      </c>
      <c r="C221" s="3" t="s">
        <v>293</v>
      </c>
      <c r="D221" s="3" t="s">
        <v>334</v>
      </c>
      <c r="E221" s="14">
        <v>773.46518919181767</v>
      </c>
      <c r="F221" s="14">
        <v>894.21413961009341</v>
      </c>
      <c r="G221" s="14">
        <v>1118.0496051339933</v>
      </c>
      <c r="H221" s="14">
        <v>1375.5475785566455</v>
      </c>
      <c r="I221" s="14">
        <v>1689.2067853781323</v>
      </c>
      <c r="J221" s="14">
        <v>2007.1760341254005</v>
      </c>
      <c r="K221" s="14">
        <v>2130.1593780911207</v>
      </c>
      <c r="L221" s="14">
        <v>2366.5190259502406</v>
      </c>
      <c r="M221" s="14">
        <v>2499.1965976780889</v>
      </c>
      <c r="N221" s="14">
        <v>2629.8457999578513</v>
      </c>
      <c r="O221" s="14">
        <v>2721.3886073149242</v>
      </c>
    </row>
    <row r="222" spans="1:15" x14ac:dyDescent="0.3">
      <c r="A222" s="3" t="str">
        <f>INDEX('R1. Scenario specifications'!$C$11:$C$49,MATCH($B222,'R1. Scenario specifications'!$A$11:$A$49,0))</f>
        <v>Current 1.75DS, 2030 start, 'Expect the Unexpected'</v>
      </c>
      <c r="B222" s="3" t="s">
        <v>33</v>
      </c>
      <c r="C222" s="3" t="s">
        <v>294</v>
      </c>
      <c r="D222" s="3" t="s">
        <v>335</v>
      </c>
      <c r="E222" s="14">
        <v>3279.7723348946201</v>
      </c>
      <c r="F222" s="14">
        <v>4082.6935657435747</v>
      </c>
      <c r="G222" s="14">
        <v>5207.7532954788776</v>
      </c>
      <c r="H222" s="14">
        <v>5690.8087984717622</v>
      </c>
      <c r="I222" s="14">
        <v>6144.6423204535722</v>
      </c>
      <c r="J222" s="14">
        <v>7066.359367646497</v>
      </c>
      <c r="K222" s="14">
        <v>7396.1242249822326</v>
      </c>
      <c r="L222" s="14">
        <v>8357.6755501703774</v>
      </c>
      <c r="M222" s="14">
        <v>8847.1749028660179</v>
      </c>
      <c r="N222" s="14">
        <v>9239.3181091669012</v>
      </c>
      <c r="O222" s="14">
        <v>9786.2668785404185</v>
      </c>
    </row>
    <row r="223" spans="1:15" x14ac:dyDescent="0.3">
      <c r="A223" s="3" t="str">
        <f>INDEX('R1. Scenario specifications'!$C$11:$C$49,MATCH($B223,'R1. Scenario specifications'!$A$11:$A$49,0))</f>
        <v>Current 1.75DS, 2030 start, 'Expect the Unexpected'</v>
      </c>
      <c r="B223" s="3" t="s">
        <v>33</v>
      </c>
      <c r="C223" s="3" t="s">
        <v>295</v>
      </c>
      <c r="D223" s="3" t="s">
        <v>336</v>
      </c>
      <c r="E223" s="14">
        <v>554.93024628706178</v>
      </c>
      <c r="F223" s="14">
        <v>667.25533606737827</v>
      </c>
      <c r="G223" s="14">
        <v>860.61058351424708</v>
      </c>
      <c r="H223" s="14">
        <v>1088.2132483847263</v>
      </c>
      <c r="I223" s="14">
        <v>1348.3761832267267</v>
      </c>
      <c r="J223" s="14">
        <v>1566.1549878573155</v>
      </c>
      <c r="K223" s="14">
        <v>1680.6518477235709</v>
      </c>
      <c r="L223" s="14">
        <v>1894.219244956121</v>
      </c>
      <c r="M223" s="14">
        <v>2016.1149908252451</v>
      </c>
      <c r="N223" s="14">
        <v>2147.3362337997014</v>
      </c>
      <c r="O223" s="14">
        <v>2222.7418055489629</v>
      </c>
    </row>
    <row r="224" spans="1:15" x14ac:dyDescent="0.3">
      <c r="A224" s="3" t="str">
        <f>INDEX('R1. Scenario specifications'!$C$11:$C$49,MATCH($B224,'R1. Scenario specifications'!$A$11:$A$49,0))</f>
        <v>Current 1.75DS, 2030 start, 'Expect the Unexpected'</v>
      </c>
      <c r="B224" s="3" t="s">
        <v>33</v>
      </c>
      <c r="C224" s="3" t="s">
        <v>296</v>
      </c>
      <c r="D224" s="3" t="s">
        <v>337</v>
      </c>
      <c r="E224" s="14">
        <v>6768.21079303233</v>
      </c>
      <c r="F224" s="14">
        <v>9604.0566614851487</v>
      </c>
      <c r="G224" s="14">
        <v>16237.412608619818</v>
      </c>
      <c r="H224" s="14">
        <v>17601.175858707189</v>
      </c>
      <c r="I224" s="14">
        <v>16661.66063434798</v>
      </c>
      <c r="J224" s="14">
        <v>19581.222259002254</v>
      </c>
      <c r="K224" s="14">
        <v>20443.527669593746</v>
      </c>
      <c r="L224" s="14">
        <v>23186.444675675019</v>
      </c>
      <c r="M224" s="14">
        <v>24770.64457108896</v>
      </c>
      <c r="N224" s="14">
        <v>25910.322765595356</v>
      </c>
      <c r="O224" s="14">
        <v>28383.394739241128</v>
      </c>
    </row>
    <row r="225" spans="1:15" x14ac:dyDescent="0.3">
      <c r="A225" s="3" t="str">
        <f>INDEX('R1. Scenario specifications'!$C$11:$C$49,MATCH($B225,'R1. Scenario specifications'!$A$11:$A$49,0))</f>
        <v>Current 1.75DS, 2030 start, 'Expect the Unexpected'</v>
      </c>
      <c r="B225" s="3" t="s">
        <v>33</v>
      </c>
      <c r="C225" s="3" t="s">
        <v>297</v>
      </c>
      <c r="D225" s="3" t="s">
        <v>338</v>
      </c>
      <c r="E225" s="14">
        <v>490.51449976830594</v>
      </c>
      <c r="F225" s="14">
        <v>524.93618944866842</v>
      </c>
      <c r="G225" s="14">
        <v>555.19395083536801</v>
      </c>
      <c r="H225" s="14">
        <v>559.27948645064043</v>
      </c>
      <c r="I225" s="14">
        <v>581.30123858818172</v>
      </c>
      <c r="J225" s="14">
        <v>595.21752712452201</v>
      </c>
      <c r="K225" s="14">
        <v>589.38037164628429</v>
      </c>
      <c r="L225" s="14">
        <v>600.62628992940495</v>
      </c>
      <c r="M225" s="14">
        <v>595.1473363544626</v>
      </c>
      <c r="N225" s="14">
        <v>575.97367615486394</v>
      </c>
      <c r="O225" s="14">
        <v>552.70745842885071</v>
      </c>
    </row>
    <row r="226" spans="1:15" x14ac:dyDescent="0.3">
      <c r="A226" s="3" t="str">
        <f>INDEX('R1. Scenario specifications'!$C$11:$C$49,MATCH($B226,'R1. Scenario specifications'!$A$11:$A$49,0))</f>
        <v>Current 1.75DS, 2020 start, 'Expect the Unexpected' but with cheap renewables</v>
      </c>
      <c r="B226" s="3" t="s">
        <v>34</v>
      </c>
      <c r="C226" s="3" t="s">
        <v>290</v>
      </c>
      <c r="D226" s="3" t="s">
        <v>331</v>
      </c>
      <c r="E226" s="14">
        <v>303.90443076149791</v>
      </c>
      <c r="F226" s="14">
        <v>326.15031746610555</v>
      </c>
      <c r="G226" s="14">
        <v>347.05566024922416</v>
      </c>
      <c r="H226" s="14">
        <v>353.33506067595158</v>
      </c>
      <c r="I226" s="14">
        <v>371.44936105507918</v>
      </c>
      <c r="J226" s="14">
        <v>380.92275123968466</v>
      </c>
      <c r="K226" s="14">
        <v>387.07184299541927</v>
      </c>
      <c r="L226" s="14">
        <v>389.28835008534367</v>
      </c>
      <c r="M226" s="14">
        <v>387.7366974374512</v>
      </c>
      <c r="N226" s="14">
        <v>380.13317207823229</v>
      </c>
      <c r="O226" s="14">
        <v>374.94141003954303</v>
      </c>
    </row>
    <row r="227" spans="1:15" x14ac:dyDescent="0.3">
      <c r="A227" s="3" t="str">
        <f>INDEX('R1. Scenario specifications'!$C$11:$C$49,MATCH($B227,'R1. Scenario specifications'!$A$11:$A$49,0))</f>
        <v>Current 1.75DS, 2020 start, 'Expect the Unexpected' but with cheap renewables</v>
      </c>
      <c r="B227" s="3" t="s">
        <v>34</v>
      </c>
      <c r="C227" s="3" t="s">
        <v>291</v>
      </c>
      <c r="D227" s="3" t="s">
        <v>332</v>
      </c>
      <c r="E227" s="14">
        <v>704.60532435919743</v>
      </c>
      <c r="F227" s="14">
        <v>860.97149986110526</v>
      </c>
      <c r="G227" s="14">
        <v>1146.4631336452248</v>
      </c>
      <c r="H227" s="14">
        <v>1498.4248051282871</v>
      </c>
      <c r="I227" s="14">
        <v>1900.9151025954811</v>
      </c>
      <c r="J227" s="14">
        <v>2303.6010357385235</v>
      </c>
      <c r="K227" s="14">
        <v>2528.2850764573973</v>
      </c>
      <c r="L227" s="14">
        <v>2687.1635235415738</v>
      </c>
      <c r="M227" s="14">
        <v>2855.6337226490082</v>
      </c>
      <c r="N227" s="14">
        <v>3015.9656722487853</v>
      </c>
      <c r="O227" s="14">
        <v>3086.5005964937895</v>
      </c>
    </row>
    <row r="228" spans="1:15" x14ac:dyDescent="0.3">
      <c r="A228" s="3" t="str">
        <f>INDEX('R1. Scenario specifications'!$C$11:$C$49,MATCH($B228,'R1. Scenario specifications'!$A$11:$A$49,0))</f>
        <v>Current 1.75DS, 2020 start, 'Expect the Unexpected' but with cheap renewables</v>
      </c>
      <c r="B228" s="3" t="s">
        <v>34</v>
      </c>
      <c r="C228" s="3" t="s">
        <v>292</v>
      </c>
      <c r="D228" s="3" t="s">
        <v>333</v>
      </c>
      <c r="E228" s="14">
        <v>159.73830278697653</v>
      </c>
      <c r="F228" s="14">
        <v>169.39599598719545</v>
      </c>
      <c r="G228" s="14">
        <v>176.71914238919692</v>
      </c>
      <c r="H228" s="14">
        <v>175.15830181655548</v>
      </c>
      <c r="I228" s="14">
        <v>178.93494630264837</v>
      </c>
      <c r="J228" s="14">
        <v>180.1031409584196</v>
      </c>
      <c r="K228" s="14">
        <v>178.82582710171826</v>
      </c>
      <c r="L228" s="14">
        <v>175.78189501677815</v>
      </c>
      <c r="M228" s="14">
        <v>171.47940350173073</v>
      </c>
      <c r="N228" s="14">
        <v>161.95426860550623</v>
      </c>
      <c r="O228" s="14">
        <v>155.04499952164545</v>
      </c>
    </row>
    <row r="229" spans="1:15" x14ac:dyDescent="0.3">
      <c r="A229" s="3" t="str">
        <f>INDEX('R1. Scenario specifications'!$C$11:$C$49,MATCH($B229,'R1. Scenario specifications'!$A$11:$A$49,0))</f>
        <v>Current 1.75DS, 2020 start, 'Expect the Unexpected' but with cheap renewables</v>
      </c>
      <c r="B229" s="3" t="s">
        <v>34</v>
      </c>
      <c r="C229" s="3" t="s">
        <v>293</v>
      </c>
      <c r="D229" s="3" t="s">
        <v>334</v>
      </c>
      <c r="E229" s="14">
        <v>773.46518919181767</v>
      </c>
      <c r="F229" s="14">
        <v>894.21413961009341</v>
      </c>
      <c r="G229" s="14">
        <v>1118.0496051339933</v>
      </c>
      <c r="H229" s="14">
        <v>1375.5475785566452</v>
      </c>
      <c r="I229" s="14">
        <v>1689.2067853781318</v>
      </c>
      <c r="J229" s="14">
        <v>2025.3126300276219</v>
      </c>
      <c r="K229" s="14">
        <v>2195.4707514569677</v>
      </c>
      <c r="L229" s="14">
        <v>2366.5190259502374</v>
      </c>
      <c r="M229" s="14">
        <v>2497.8257750611001</v>
      </c>
      <c r="N229" s="14">
        <v>2604.6522463608244</v>
      </c>
      <c r="O229" s="14">
        <v>2721.3886073149233</v>
      </c>
    </row>
    <row r="230" spans="1:15" x14ac:dyDescent="0.3">
      <c r="A230" s="3" t="str">
        <f>INDEX('R1. Scenario specifications'!$C$11:$C$49,MATCH($B230,'R1. Scenario specifications'!$A$11:$A$49,0))</f>
        <v>Current 1.75DS, 2020 start, 'Expect the Unexpected' but with cheap renewables</v>
      </c>
      <c r="B230" s="3" t="s">
        <v>34</v>
      </c>
      <c r="C230" s="3" t="s">
        <v>294</v>
      </c>
      <c r="D230" s="3" t="s">
        <v>335</v>
      </c>
      <c r="E230" s="14">
        <v>3279.7723348946201</v>
      </c>
      <c r="F230" s="14">
        <v>4082.6935657435747</v>
      </c>
      <c r="G230" s="14">
        <v>5207.7532954788776</v>
      </c>
      <c r="H230" s="14">
        <v>5612.7086547850195</v>
      </c>
      <c r="I230" s="14">
        <v>6194.2895228926463</v>
      </c>
      <c r="J230" s="14">
        <v>7179.6635334108996</v>
      </c>
      <c r="K230" s="14">
        <v>7799.8852056880687</v>
      </c>
      <c r="L230" s="14">
        <v>8346.6937275111213</v>
      </c>
      <c r="M230" s="14">
        <v>8818.1184354551388</v>
      </c>
      <c r="N230" s="14">
        <v>9239.3181091668994</v>
      </c>
      <c r="O230" s="14">
        <v>9754.0129210296163</v>
      </c>
    </row>
    <row r="231" spans="1:15" x14ac:dyDescent="0.3">
      <c r="A231" s="3" t="str">
        <f>INDEX('R1. Scenario specifications'!$C$11:$C$49,MATCH($B231,'R1. Scenario specifications'!$A$11:$A$49,0))</f>
        <v>Current 1.75DS, 2020 start, 'Expect the Unexpected' but with cheap renewables</v>
      </c>
      <c r="B231" s="3" t="s">
        <v>34</v>
      </c>
      <c r="C231" s="3" t="s">
        <v>295</v>
      </c>
      <c r="D231" s="3" t="s">
        <v>336</v>
      </c>
      <c r="E231" s="14">
        <v>554.93024628706178</v>
      </c>
      <c r="F231" s="14">
        <v>667.25533606737827</v>
      </c>
      <c r="G231" s="14">
        <v>860.61058351424708</v>
      </c>
      <c r="H231" s="14">
        <v>1076.3228730583114</v>
      </c>
      <c r="I231" s="14">
        <v>1348.3761832267269</v>
      </c>
      <c r="J231" s="14">
        <v>1606.6110671434399</v>
      </c>
      <c r="K231" s="14">
        <v>1752.4801780844161</v>
      </c>
      <c r="L231" s="14">
        <v>1888.4907289103619</v>
      </c>
      <c r="M231" s="14">
        <v>2014.9309967497541</v>
      </c>
      <c r="N231" s="14">
        <v>2108.8795659256798</v>
      </c>
      <c r="O231" s="14">
        <v>2181.4279130754903</v>
      </c>
    </row>
    <row r="232" spans="1:15" x14ac:dyDescent="0.3">
      <c r="A232" s="3" t="str">
        <f>INDEX('R1. Scenario specifications'!$C$11:$C$49,MATCH($B232,'R1. Scenario specifications'!$A$11:$A$49,0))</f>
        <v>Current 1.75DS, 2020 start, 'Expect the Unexpected' but with cheap renewables</v>
      </c>
      <c r="B232" s="3" t="s">
        <v>34</v>
      </c>
      <c r="C232" s="3" t="s">
        <v>296</v>
      </c>
      <c r="D232" s="3" t="s">
        <v>337</v>
      </c>
      <c r="E232" s="14">
        <v>6768.21079303233</v>
      </c>
      <c r="F232" s="14">
        <v>9604.0566614851487</v>
      </c>
      <c r="G232" s="14">
        <v>16237.412608619818</v>
      </c>
      <c r="H232" s="14">
        <v>17316.244850810352</v>
      </c>
      <c r="I232" s="14">
        <v>16801.338695619681</v>
      </c>
      <c r="J232" s="14">
        <v>19816.62329391194</v>
      </c>
      <c r="K232" s="14">
        <v>21557.820144873418</v>
      </c>
      <c r="L232" s="14">
        <v>23186.444675675008</v>
      </c>
      <c r="M232" s="14">
        <v>24716.597729854751</v>
      </c>
      <c r="N232" s="14">
        <v>25910.322765595352</v>
      </c>
      <c r="O232" s="14">
        <v>28383.394739241125</v>
      </c>
    </row>
    <row r="233" spans="1:15" x14ac:dyDescent="0.3">
      <c r="A233" s="3" t="str">
        <f>INDEX('R1. Scenario specifications'!$C$11:$C$49,MATCH($B233,'R1. Scenario specifications'!$A$11:$A$49,0))</f>
        <v>Current 1.75DS, 2020 start, 'Expect the Unexpected' but with cheap renewables</v>
      </c>
      <c r="B233" s="3" t="s">
        <v>34</v>
      </c>
      <c r="C233" s="3" t="s">
        <v>297</v>
      </c>
      <c r="D233" s="3" t="s">
        <v>338</v>
      </c>
      <c r="E233" s="14">
        <v>490.51449976830594</v>
      </c>
      <c r="F233" s="14">
        <v>524.93618944866842</v>
      </c>
      <c r="G233" s="14">
        <v>555.19395083536801</v>
      </c>
      <c r="H233" s="14">
        <v>559.27948645064043</v>
      </c>
      <c r="I233" s="14">
        <v>581.30123858818172</v>
      </c>
      <c r="J233" s="14">
        <v>595.35266871306351</v>
      </c>
      <c r="K233" s="14">
        <v>601.15064540820595</v>
      </c>
      <c r="L233" s="14">
        <v>600.62628992940495</v>
      </c>
      <c r="M233" s="14">
        <v>595.1473363544626</v>
      </c>
      <c r="N233" s="14">
        <v>574.8402435759549</v>
      </c>
      <c r="O233" s="14">
        <v>552.70745842885071</v>
      </c>
    </row>
    <row r="234" spans="1:15" x14ac:dyDescent="0.3">
      <c r="A234" s="3" t="str">
        <f>INDEX('R1. Scenario specifications'!$C$11:$C$49,MATCH($B234,'R1. Scenario specifications'!$A$11:$A$49,0))</f>
        <v>Current 1.75DS, 2030 start, 'Expect the Unexpected' but with cheap renewables</v>
      </c>
      <c r="B234" s="3" t="s">
        <v>35</v>
      </c>
      <c r="C234" s="3" t="s">
        <v>290</v>
      </c>
      <c r="D234" s="3" t="s">
        <v>331</v>
      </c>
      <c r="E234" s="14">
        <v>303.90443076149791</v>
      </c>
      <c r="F234" s="14">
        <v>326.15031746610555</v>
      </c>
      <c r="G234" s="14">
        <v>347.05566024922416</v>
      </c>
      <c r="H234" s="14">
        <v>353.33506067595158</v>
      </c>
      <c r="I234" s="14">
        <v>370.31694416976882</v>
      </c>
      <c r="J234" s="14">
        <v>376.64546628809927</v>
      </c>
      <c r="K234" s="14">
        <v>372.89730078461491</v>
      </c>
      <c r="L234" s="14">
        <v>389.28835008534378</v>
      </c>
      <c r="M234" s="14">
        <v>387.73669743745131</v>
      </c>
      <c r="N234" s="14">
        <v>381.07330052606756</v>
      </c>
      <c r="O234" s="14">
        <v>376.08776823080109</v>
      </c>
    </row>
    <row r="235" spans="1:15" x14ac:dyDescent="0.3">
      <c r="A235" s="3" t="str">
        <f>INDEX('R1. Scenario specifications'!$C$11:$C$49,MATCH($B235,'R1. Scenario specifications'!$A$11:$A$49,0))</f>
        <v>Current 1.75DS, 2030 start, 'Expect the Unexpected' but with cheap renewables</v>
      </c>
      <c r="B235" s="3" t="s">
        <v>35</v>
      </c>
      <c r="C235" s="3" t="s">
        <v>291</v>
      </c>
      <c r="D235" s="3" t="s">
        <v>332</v>
      </c>
      <c r="E235" s="14">
        <v>704.60532435919743</v>
      </c>
      <c r="F235" s="14">
        <v>860.97149986110526</v>
      </c>
      <c r="G235" s="14">
        <v>1146.4631336452248</v>
      </c>
      <c r="H235" s="14">
        <v>1500.2632370055153</v>
      </c>
      <c r="I235" s="14">
        <v>1900.9151025954802</v>
      </c>
      <c r="J235" s="14">
        <v>2253.8588630531249</v>
      </c>
      <c r="K235" s="14">
        <v>2413.5628904812665</v>
      </c>
      <c r="L235" s="14">
        <v>2704.9497416392892</v>
      </c>
      <c r="M235" s="14">
        <v>2872.1075538082368</v>
      </c>
      <c r="N235" s="14">
        <v>3035.3198555537556</v>
      </c>
      <c r="O235" s="14">
        <v>3114.6178390576138</v>
      </c>
    </row>
    <row r="236" spans="1:15" x14ac:dyDescent="0.3">
      <c r="A236" s="3" t="str">
        <f>INDEX('R1. Scenario specifications'!$C$11:$C$49,MATCH($B236,'R1. Scenario specifications'!$A$11:$A$49,0))</f>
        <v>Current 1.75DS, 2030 start, 'Expect the Unexpected' but with cheap renewables</v>
      </c>
      <c r="B236" s="3" t="s">
        <v>35</v>
      </c>
      <c r="C236" s="3" t="s">
        <v>292</v>
      </c>
      <c r="D236" s="3" t="s">
        <v>333</v>
      </c>
      <c r="E236" s="14">
        <v>159.73830278697653</v>
      </c>
      <c r="F236" s="14">
        <v>169.39599598719545</v>
      </c>
      <c r="G236" s="14">
        <v>176.71914238919692</v>
      </c>
      <c r="H236" s="14">
        <v>175.15830181655548</v>
      </c>
      <c r="I236" s="14">
        <v>178.93494630264837</v>
      </c>
      <c r="J236" s="14">
        <v>180.08177711199255</v>
      </c>
      <c r="K236" s="14">
        <v>173.95414563233552</v>
      </c>
      <c r="L236" s="14">
        <v>175.78189501677815</v>
      </c>
      <c r="M236" s="14">
        <v>171.47940350173073</v>
      </c>
      <c r="N236" s="14">
        <v>164.48103526672244</v>
      </c>
      <c r="O236" s="14">
        <v>155.04499952164545</v>
      </c>
    </row>
    <row r="237" spans="1:15" x14ac:dyDescent="0.3">
      <c r="A237" s="3" t="str">
        <f>INDEX('R1. Scenario specifications'!$C$11:$C$49,MATCH($B237,'R1. Scenario specifications'!$A$11:$A$49,0))</f>
        <v>Current 1.75DS, 2030 start, 'Expect the Unexpected' but with cheap renewables</v>
      </c>
      <c r="B237" s="3" t="s">
        <v>35</v>
      </c>
      <c r="C237" s="3" t="s">
        <v>293</v>
      </c>
      <c r="D237" s="3" t="s">
        <v>334</v>
      </c>
      <c r="E237" s="14">
        <v>773.46518919181767</v>
      </c>
      <c r="F237" s="14">
        <v>894.21413961009341</v>
      </c>
      <c r="G237" s="14">
        <v>1118.0496051339933</v>
      </c>
      <c r="H237" s="14">
        <v>1375.5475785566455</v>
      </c>
      <c r="I237" s="14">
        <v>1689.2067853781323</v>
      </c>
      <c r="J237" s="14">
        <v>2007.1760341254005</v>
      </c>
      <c r="K237" s="14">
        <v>2130.1593780911207</v>
      </c>
      <c r="L237" s="14">
        <v>2366.5190259502406</v>
      </c>
      <c r="M237" s="14">
        <v>2499.1965976780889</v>
      </c>
      <c r="N237" s="14">
        <v>2636.9900541387465</v>
      </c>
      <c r="O237" s="14">
        <v>2721.3886073149242</v>
      </c>
    </row>
    <row r="238" spans="1:15" x14ac:dyDescent="0.3">
      <c r="A238" s="3" t="str">
        <f>INDEX('R1. Scenario specifications'!$C$11:$C$49,MATCH($B238,'R1. Scenario specifications'!$A$11:$A$49,0))</f>
        <v>Current 1.75DS, 2030 start, 'Expect the Unexpected' but with cheap renewables</v>
      </c>
      <c r="B238" s="3" t="s">
        <v>35</v>
      </c>
      <c r="C238" s="3" t="s">
        <v>294</v>
      </c>
      <c r="D238" s="3" t="s">
        <v>335</v>
      </c>
      <c r="E238" s="14">
        <v>3279.7723348946201</v>
      </c>
      <c r="F238" s="14">
        <v>4082.6935657435747</v>
      </c>
      <c r="G238" s="14">
        <v>5207.7532954788776</v>
      </c>
      <c r="H238" s="14">
        <v>5690.8087984717622</v>
      </c>
      <c r="I238" s="14">
        <v>6144.6423204535731</v>
      </c>
      <c r="J238" s="14">
        <v>7088.3947728376743</v>
      </c>
      <c r="K238" s="14">
        <v>7396.1242249822344</v>
      </c>
      <c r="L238" s="14">
        <v>8347.8447460512161</v>
      </c>
      <c r="M238" s="14">
        <v>8825.9187947447208</v>
      </c>
      <c r="N238" s="14">
        <v>9239.3181091669012</v>
      </c>
      <c r="O238" s="14">
        <v>9790.2970901580302</v>
      </c>
    </row>
    <row r="239" spans="1:15" x14ac:dyDescent="0.3">
      <c r="A239" s="3" t="str">
        <f>INDEX('R1. Scenario specifications'!$C$11:$C$49,MATCH($B239,'R1. Scenario specifications'!$A$11:$A$49,0))</f>
        <v>Current 1.75DS, 2030 start, 'Expect the Unexpected' but with cheap renewables</v>
      </c>
      <c r="B239" s="3" t="s">
        <v>35</v>
      </c>
      <c r="C239" s="3" t="s">
        <v>295</v>
      </c>
      <c r="D239" s="3" t="s">
        <v>336</v>
      </c>
      <c r="E239" s="14">
        <v>554.93024628706178</v>
      </c>
      <c r="F239" s="14">
        <v>667.25533606737827</v>
      </c>
      <c r="G239" s="14">
        <v>860.61058351424708</v>
      </c>
      <c r="H239" s="14">
        <v>1088.2132483847263</v>
      </c>
      <c r="I239" s="14">
        <v>1348.3761832267269</v>
      </c>
      <c r="J239" s="14">
        <v>1574.1916275244907</v>
      </c>
      <c r="K239" s="14">
        <v>1680.6518477235707</v>
      </c>
      <c r="L239" s="14">
        <v>1894.219244956121</v>
      </c>
      <c r="M239" s="14">
        <v>2015.9724881080253</v>
      </c>
      <c r="N239" s="14">
        <v>2158.5301459524658</v>
      </c>
      <c r="O239" s="14">
        <v>2221.8594110742538</v>
      </c>
    </row>
    <row r="240" spans="1:15" x14ac:dyDescent="0.3">
      <c r="A240" s="3" t="str">
        <f>INDEX('R1. Scenario specifications'!$C$11:$C$49,MATCH($B240,'R1. Scenario specifications'!$A$11:$A$49,0))</f>
        <v>Current 1.75DS, 2030 start, 'Expect the Unexpected' but with cheap renewables</v>
      </c>
      <c r="B240" s="3" t="s">
        <v>35</v>
      </c>
      <c r="C240" s="3" t="s">
        <v>296</v>
      </c>
      <c r="D240" s="3" t="s">
        <v>337</v>
      </c>
      <c r="E240" s="14">
        <v>6768.21079303233</v>
      </c>
      <c r="F240" s="14">
        <v>9604.0566614851487</v>
      </c>
      <c r="G240" s="14">
        <v>16237.412608619818</v>
      </c>
      <c r="H240" s="14">
        <v>17601.175858707189</v>
      </c>
      <c r="I240" s="14">
        <v>16661.660634347976</v>
      </c>
      <c r="J240" s="14">
        <v>19710.047805126203</v>
      </c>
      <c r="K240" s="14">
        <v>20474.917412243878</v>
      </c>
      <c r="L240" s="14">
        <v>23186.444675675019</v>
      </c>
      <c r="M240" s="14">
        <v>24770.64457108896</v>
      </c>
      <c r="N240" s="14">
        <v>25958.179788768688</v>
      </c>
      <c r="O240" s="14">
        <v>28404.542404349624</v>
      </c>
    </row>
    <row r="241" spans="1:15" x14ac:dyDescent="0.3">
      <c r="A241" s="3" t="str">
        <f>INDEX('R1. Scenario specifications'!$C$11:$C$49,MATCH($B241,'R1. Scenario specifications'!$A$11:$A$49,0))</f>
        <v>Current 1.75DS, 2030 start, 'Expect the Unexpected' but with cheap renewables</v>
      </c>
      <c r="B241" s="3" t="s">
        <v>35</v>
      </c>
      <c r="C241" s="3" t="s">
        <v>297</v>
      </c>
      <c r="D241" s="3" t="s">
        <v>338</v>
      </c>
      <c r="E241" s="14">
        <v>490.51449976830594</v>
      </c>
      <c r="F241" s="14">
        <v>524.93618944866842</v>
      </c>
      <c r="G241" s="14">
        <v>555.19395083536801</v>
      </c>
      <c r="H241" s="14">
        <v>559.27948645064043</v>
      </c>
      <c r="I241" s="14">
        <v>581.30123858818172</v>
      </c>
      <c r="J241" s="14">
        <v>595.21752712452201</v>
      </c>
      <c r="K241" s="14">
        <v>589.38037164628429</v>
      </c>
      <c r="L241" s="14">
        <v>600.62628992940495</v>
      </c>
      <c r="M241" s="14">
        <v>595.1473363544626</v>
      </c>
      <c r="N241" s="14">
        <v>580.8449758569069</v>
      </c>
      <c r="O241" s="14">
        <v>552.70745842885071</v>
      </c>
    </row>
    <row r="242" spans="1:15" x14ac:dyDescent="0.3">
      <c r="A242" s="3" t="str">
        <f>INDEX('R1. Scenario specifications'!$C$11:$C$49,MATCH($B242,'R1. Scenario specifications'!$A$11:$A$49,0))</f>
        <v>Current 1.75DS, 2020 start, 'Expect the Unexpected' but with cheap CCS</v>
      </c>
      <c r="B242" s="3" t="s">
        <v>36</v>
      </c>
      <c r="C242" s="3" t="s">
        <v>290</v>
      </c>
      <c r="D242" s="3" t="s">
        <v>331</v>
      </c>
      <c r="E242" s="14">
        <v>303.90443076149791</v>
      </c>
      <c r="F242" s="14">
        <v>326.15031746610555</v>
      </c>
      <c r="G242" s="14">
        <v>347.05566024922416</v>
      </c>
      <c r="H242" s="14">
        <v>353.33506067595158</v>
      </c>
      <c r="I242" s="14">
        <v>371.44936105507918</v>
      </c>
      <c r="J242" s="14">
        <v>380.92275123968466</v>
      </c>
      <c r="K242" s="14">
        <v>387.07184299541927</v>
      </c>
      <c r="L242" s="14">
        <v>389.28835008534367</v>
      </c>
      <c r="M242" s="14">
        <v>387.7366974374512</v>
      </c>
      <c r="N242" s="14">
        <v>380.79181522698116</v>
      </c>
      <c r="O242" s="14">
        <v>374.82010566134647</v>
      </c>
    </row>
    <row r="243" spans="1:15" x14ac:dyDescent="0.3">
      <c r="A243" s="3" t="str">
        <f>INDEX('R1. Scenario specifications'!$C$11:$C$49,MATCH($B243,'R1. Scenario specifications'!$A$11:$A$49,0))</f>
        <v>Current 1.75DS, 2020 start, 'Expect the Unexpected' but with cheap CCS</v>
      </c>
      <c r="B243" s="3" t="s">
        <v>36</v>
      </c>
      <c r="C243" s="3" t="s">
        <v>291</v>
      </c>
      <c r="D243" s="3" t="s">
        <v>332</v>
      </c>
      <c r="E243" s="14">
        <v>704.60532435919743</v>
      </c>
      <c r="F243" s="14">
        <v>860.97149986110526</v>
      </c>
      <c r="G243" s="14">
        <v>1146.4631336452248</v>
      </c>
      <c r="H243" s="14">
        <v>1498.4248051282871</v>
      </c>
      <c r="I243" s="14">
        <v>1900.9151025954807</v>
      </c>
      <c r="J243" s="14">
        <v>2303.6010357385244</v>
      </c>
      <c r="K243" s="14">
        <v>2526.4816167085223</v>
      </c>
      <c r="L243" s="14">
        <v>2687.1635235415724</v>
      </c>
      <c r="M243" s="14">
        <v>2855.6337226490095</v>
      </c>
      <c r="N243" s="14">
        <v>3015.9656722487853</v>
      </c>
      <c r="O243" s="14">
        <v>3073.7088268781517</v>
      </c>
    </row>
    <row r="244" spans="1:15" x14ac:dyDescent="0.3">
      <c r="A244" s="3" t="str">
        <f>INDEX('R1. Scenario specifications'!$C$11:$C$49,MATCH($B244,'R1. Scenario specifications'!$A$11:$A$49,0))</f>
        <v>Current 1.75DS, 2020 start, 'Expect the Unexpected' but with cheap CCS</v>
      </c>
      <c r="B244" s="3" t="s">
        <v>36</v>
      </c>
      <c r="C244" s="3" t="s">
        <v>292</v>
      </c>
      <c r="D244" s="3" t="s">
        <v>333</v>
      </c>
      <c r="E244" s="14">
        <v>159.73830278697653</v>
      </c>
      <c r="F244" s="14">
        <v>169.39599598719545</v>
      </c>
      <c r="G244" s="14">
        <v>176.71914238919692</v>
      </c>
      <c r="H244" s="14">
        <v>175.15830181655548</v>
      </c>
      <c r="I244" s="14">
        <v>178.93494630264837</v>
      </c>
      <c r="J244" s="14">
        <v>180.1031409584196</v>
      </c>
      <c r="K244" s="14">
        <v>178.82582710171826</v>
      </c>
      <c r="L244" s="14">
        <v>175.78189501677815</v>
      </c>
      <c r="M244" s="14">
        <v>171.47940350173073</v>
      </c>
      <c r="N244" s="14">
        <v>160.64121332725054</v>
      </c>
      <c r="O244" s="14">
        <v>154.70898248772522</v>
      </c>
    </row>
    <row r="245" spans="1:15" x14ac:dyDescent="0.3">
      <c r="A245" s="3" t="str">
        <f>INDEX('R1. Scenario specifications'!$C$11:$C$49,MATCH($B245,'R1. Scenario specifications'!$A$11:$A$49,0))</f>
        <v>Current 1.75DS, 2020 start, 'Expect the Unexpected' but with cheap CCS</v>
      </c>
      <c r="B245" s="3" t="s">
        <v>36</v>
      </c>
      <c r="C245" s="3" t="s">
        <v>293</v>
      </c>
      <c r="D245" s="3" t="s">
        <v>334</v>
      </c>
      <c r="E245" s="14">
        <v>773.46518919181767</v>
      </c>
      <c r="F245" s="14">
        <v>894.21413961009341</v>
      </c>
      <c r="G245" s="14">
        <v>1118.0496051339933</v>
      </c>
      <c r="H245" s="14">
        <v>1375.5475785566452</v>
      </c>
      <c r="I245" s="14">
        <v>1689.2067853781318</v>
      </c>
      <c r="J245" s="14">
        <v>2025.3126300276215</v>
      </c>
      <c r="K245" s="14">
        <v>2195.4707514569673</v>
      </c>
      <c r="L245" s="14">
        <v>2366.5190259502378</v>
      </c>
      <c r="M245" s="14">
        <v>2497.8257750611001</v>
      </c>
      <c r="N245" s="14">
        <v>2604.6522463608253</v>
      </c>
      <c r="O245" s="14">
        <v>2721.3886073149242</v>
      </c>
    </row>
    <row r="246" spans="1:15" x14ac:dyDescent="0.3">
      <c r="A246" s="3" t="str">
        <f>INDEX('R1. Scenario specifications'!$C$11:$C$49,MATCH($B246,'R1. Scenario specifications'!$A$11:$A$49,0))</f>
        <v>Current 1.75DS, 2020 start, 'Expect the Unexpected' but with cheap CCS</v>
      </c>
      <c r="B246" s="3" t="s">
        <v>36</v>
      </c>
      <c r="C246" s="3" t="s">
        <v>294</v>
      </c>
      <c r="D246" s="3" t="s">
        <v>335</v>
      </c>
      <c r="E246" s="14">
        <v>3279.7723348946201</v>
      </c>
      <c r="F246" s="14">
        <v>4082.6935657435747</v>
      </c>
      <c r="G246" s="14">
        <v>5207.7532954788776</v>
      </c>
      <c r="H246" s="14">
        <v>5612.7086547850195</v>
      </c>
      <c r="I246" s="14">
        <v>6194.2895228926463</v>
      </c>
      <c r="J246" s="14">
        <v>7179.6635334108987</v>
      </c>
      <c r="K246" s="14">
        <v>7799.8852056880687</v>
      </c>
      <c r="L246" s="14">
        <v>8346.6937275111213</v>
      </c>
      <c r="M246" s="14">
        <v>8818.1184354551406</v>
      </c>
      <c r="N246" s="14">
        <v>9239.3181091668994</v>
      </c>
      <c r="O246" s="14">
        <v>9754.0129210296163</v>
      </c>
    </row>
    <row r="247" spans="1:15" x14ac:dyDescent="0.3">
      <c r="A247" s="3" t="str">
        <f>INDEX('R1. Scenario specifications'!$C$11:$C$49,MATCH($B247,'R1. Scenario specifications'!$A$11:$A$49,0))</f>
        <v>Current 1.75DS, 2020 start, 'Expect the Unexpected' but with cheap CCS</v>
      </c>
      <c r="B247" s="3" t="s">
        <v>36</v>
      </c>
      <c r="C247" s="3" t="s">
        <v>295</v>
      </c>
      <c r="D247" s="3" t="s">
        <v>336</v>
      </c>
      <c r="E247" s="14">
        <v>554.93024628706178</v>
      </c>
      <c r="F247" s="14">
        <v>667.25533606737827</v>
      </c>
      <c r="G247" s="14">
        <v>860.61058351424708</v>
      </c>
      <c r="H247" s="14">
        <v>1076.3228730583123</v>
      </c>
      <c r="I247" s="14">
        <v>1348.3761832267255</v>
      </c>
      <c r="J247" s="14">
        <v>1610.6320598895131</v>
      </c>
      <c r="K247" s="14">
        <v>1752.4801780844161</v>
      </c>
      <c r="L247" s="14">
        <v>1888.4907289103617</v>
      </c>
      <c r="M247" s="14">
        <v>2014.930996749755</v>
      </c>
      <c r="N247" s="14">
        <v>2093.9761844802806</v>
      </c>
      <c r="O247" s="14">
        <v>2171.1120465698018</v>
      </c>
    </row>
    <row r="248" spans="1:15" x14ac:dyDescent="0.3">
      <c r="A248" s="3" t="str">
        <f>INDEX('R1. Scenario specifications'!$C$11:$C$49,MATCH($B248,'R1. Scenario specifications'!$A$11:$A$49,0))</f>
        <v>Current 1.75DS, 2020 start, 'Expect the Unexpected' but with cheap CCS</v>
      </c>
      <c r="B248" s="3" t="s">
        <v>36</v>
      </c>
      <c r="C248" s="3" t="s">
        <v>296</v>
      </c>
      <c r="D248" s="3" t="s">
        <v>337</v>
      </c>
      <c r="E248" s="14">
        <v>6768.21079303233</v>
      </c>
      <c r="F248" s="14">
        <v>9604.0566614851487</v>
      </c>
      <c r="G248" s="14">
        <v>16237.412608619818</v>
      </c>
      <c r="H248" s="14">
        <v>17302.633767432406</v>
      </c>
      <c r="I248" s="14">
        <v>16779.234440560096</v>
      </c>
      <c r="J248" s="14">
        <v>19816.62329391194</v>
      </c>
      <c r="K248" s="14">
        <v>21557.820144873418</v>
      </c>
      <c r="L248" s="14">
        <v>23186.444675675004</v>
      </c>
      <c r="M248" s="14">
        <v>24664.654912235452</v>
      </c>
      <c r="N248" s="14">
        <v>25910.322765595352</v>
      </c>
      <c r="O248" s="14">
        <v>28329.905297318073</v>
      </c>
    </row>
    <row r="249" spans="1:15" x14ac:dyDescent="0.3">
      <c r="A249" s="3" t="str">
        <f>INDEX('R1. Scenario specifications'!$C$11:$C$49,MATCH($B249,'R1. Scenario specifications'!$A$11:$A$49,0))</f>
        <v>Current 1.75DS, 2020 start, 'Expect the Unexpected' but with cheap CCS</v>
      </c>
      <c r="B249" s="3" t="s">
        <v>36</v>
      </c>
      <c r="C249" s="3" t="s">
        <v>297</v>
      </c>
      <c r="D249" s="3" t="s">
        <v>338</v>
      </c>
      <c r="E249" s="14">
        <v>490.51449976830594</v>
      </c>
      <c r="F249" s="14">
        <v>524.93618944866842</v>
      </c>
      <c r="G249" s="14">
        <v>555.19395083536801</v>
      </c>
      <c r="H249" s="14">
        <v>559.27948645064043</v>
      </c>
      <c r="I249" s="14">
        <v>581.30123858818172</v>
      </c>
      <c r="J249" s="14">
        <v>595.35266871306351</v>
      </c>
      <c r="K249" s="14">
        <v>601.15064540820595</v>
      </c>
      <c r="L249" s="14">
        <v>600.62628992940495</v>
      </c>
      <c r="M249" s="14">
        <v>595.1473363544626</v>
      </c>
      <c r="N249" s="14">
        <v>567.4346118065929</v>
      </c>
      <c r="O249" s="14">
        <v>552.07670645374901</v>
      </c>
    </row>
    <row r="250" spans="1:15" x14ac:dyDescent="0.3">
      <c r="A250" s="3" t="str">
        <f>INDEX('R1. Scenario specifications'!$C$11:$C$49,MATCH($B250,'R1. Scenario specifications'!$A$11:$A$49,0))</f>
        <v>Current 2DS, 2020 start, 'Expect the Unexpected' but with cheap renewables</v>
      </c>
      <c r="B250" s="3" t="s">
        <v>37</v>
      </c>
      <c r="C250" s="3" t="s">
        <v>290</v>
      </c>
      <c r="D250" s="3" t="s">
        <v>331</v>
      </c>
      <c r="E250" s="14">
        <v>303.90443076149791</v>
      </c>
      <c r="F250" s="14">
        <v>326.15031746610555</v>
      </c>
      <c r="G250" s="14">
        <v>347.05566024922416</v>
      </c>
      <c r="H250" s="14">
        <v>353.33506067595158</v>
      </c>
      <c r="I250" s="14">
        <v>371.01459260345575</v>
      </c>
      <c r="J250" s="14">
        <v>380.92275123968466</v>
      </c>
      <c r="K250" s="14">
        <v>387.07184299541916</v>
      </c>
      <c r="L250" s="14">
        <v>389.28835008534389</v>
      </c>
      <c r="M250" s="14">
        <v>387.7366974374512</v>
      </c>
      <c r="N250" s="14">
        <v>383.00735356521187</v>
      </c>
      <c r="O250" s="14">
        <v>376.08776823080092</v>
      </c>
    </row>
    <row r="251" spans="1:15" x14ac:dyDescent="0.3">
      <c r="A251" s="3" t="str">
        <f>INDEX('R1. Scenario specifications'!$C$11:$C$49,MATCH($B251,'R1. Scenario specifications'!$A$11:$A$49,0))</f>
        <v>Current 2DS, 2020 start, 'Expect the Unexpected' but with cheap renewables</v>
      </c>
      <c r="B251" s="3" t="s">
        <v>37</v>
      </c>
      <c r="C251" s="3" t="s">
        <v>291</v>
      </c>
      <c r="D251" s="3" t="s">
        <v>332</v>
      </c>
      <c r="E251" s="14">
        <v>704.60532435919743</v>
      </c>
      <c r="F251" s="14">
        <v>860.97149986110526</v>
      </c>
      <c r="G251" s="14">
        <v>1146.4631336452248</v>
      </c>
      <c r="H251" s="14">
        <v>1500.2632370055153</v>
      </c>
      <c r="I251" s="14">
        <v>1914.9601144419125</v>
      </c>
      <c r="J251" s="14">
        <v>2347.7648944910579</v>
      </c>
      <c r="K251" s="14">
        <v>2571.6540711055563</v>
      </c>
      <c r="L251" s="14">
        <v>2752.734501079688</v>
      </c>
      <c r="M251" s="14">
        <v>2887.5065495135623</v>
      </c>
      <c r="N251" s="14">
        <v>3067.2222324194154</v>
      </c>
      <c r="O251" s="14">
        <v>3209.483525610593</v>
      </c>
    </row>
    <row r="252" spans="1:15" x14ac:dyDescent="0.3">
      <c r="A252" s="3" t="str">
        <f>INDEX('R1. Scenario specifications'!$C$11:$C$49,MATCH($B252,'R1. Scenario specifications'!$A$11:$A$49,0))</f>
        <v>Current 2DS, 2020 start, 'Expect the Unexpected' but with cheap renewables</v>
      </c>
      <c r="B252" s="3" t="s">
        <v>37</v>
      </c>
      <c r="C252" s="3" t="s">
        <v>292</v>
      </c>
      <c r="D252" s="3" t="s">
        <v>333</v>
      </c>
      <c r="E252" s="14">
        <v>159.73830278697653</v>
      </c>
      <c r="F252" s="14">
        <v>169.39599598719545</v>
      </c>
      <c r="G252" s="14">
        <v>176.71914238919692</v>
      </c>
      <c r="H252" s="14">
        <v>175.15830181655548</v>
      </c>
      <c r="I252" s="14">
        <v>178.93494630264837</v>
      </c>
      <c r="J252" s="14">
        <v>180.1031409584196</v>
      </c>
      <c r="K252" s="14">
        <v>178.82582710171826</v>
      </c>
      <c r="L252" s="14">
        <v>175.78189501677815</v>
      </c>
      <c r="M252" s="14">
        <v>171.47940350173073</v>
      </c>
      <c r="N252" s="14">
        <v>166.23136037709438</v>
      </c>
      <c r="O252" s="14">
        <v>160.20618059797675</v>
      </c>
    </row>
    <row r="253" spans="1:15" x14ac:dyDescent="0.3">
      <c r="A253" s="3" t="str">
        <f>INDEX('R1. Scenario specifications'!$C$11:$C$49,MATCH($B253,'R1. Scenario specifications'!$A$11:$A$49,0))</f>
        <v>Current 2DS, 2020 start, 'Expect the Unexpected' but with cheap renewables</v>
      </c>
      <c r="B253" s="3" t="s">
        <v>37</v>
      </c>
      <c r="C253" s="3" t="s">
        <v>293</v>
      </c>
      <c r="D253" s="3" t="s">
        <v>334</v>
      </c>
      <c r="E253" s="14">
        <v>773.46518919181767</v>
      </c>
      <c r="F253" s="14">
        <v>894.21413961009341</v>
      </c>
      <c r="G253" s="14">
        <v>1118.0496051339933</v>
      </c>
      <c r="H253" s="14">
        <v>1375.547578556645</v>
      </c>
      <c r="I253" s="14">
        <v>1689.2067853781323</v>
      </c>
      <c r="J253" s="14">
        <v>2025.312630027621</v>
      </c>
      <c r="K253" s="14">
        <v>2195.4707514569664</v>
      </c>
      <c r="L253" s="14">
        <v>2366.5190259502374</v>
      </c>
      <c r="M253" s="14">
        <v>2529.9920647358476</v>
      </c>
      <c r="N253" s="14">
        <v>2652.8606561084148</v>
      </c>
      <c r="O253" s="14">
        <v>2778.0698433674497</v>
      </c>
    </row>
    <row r="254" spans="1:15" x14ac:dyDescent="0.3">
      <c r="A254" s="3" t="str">
        <f>INDEX('R1. Scenario specifications'!$C$11:$C$49,MATCH($B254,'R1. Scenario specifications'!$A$11:$A$49,0))</f>
        <v>Current 2DS, 2020 start, 'Expect the Unexpected' but with cheap renewables</v>
      </c>
      <c r="B254" s="3" t="s">
        <v>37</v>
      </c>
      <c r="C254" s="3" t="s">
        <v>294</v>
      </c>
      <c r="D254" s="3" t="s">
        <v>335</v>
      </c>
      <c r="E254" s="14">
        <v>3279.7723348946201</v>
      </c>
      <c r="F254" s="14">
        <v>4082.6935657435747</v>
      </c>
      <c r="G254" s="14">
        <v>5207.7532954788776</v>
      </c>
      <c r="H254" s="14">
        <v>5637.8212660688969</v>
      </c>
      <c r="I254" s="14">
        <v>6178.5040363303324</v>
      </c>
      <c r="J254" s="14">
        <v>7204.5616711087714</v>
      </c>
      <c r="K254" s="14">
        <v>7812.9959600712618</v>
      </c>
      <c r="L254" s="14">
        <v>8385.5214179117011</v>
      </c>
      <c r="M254" s="14">
        <v>8884.4284126902676</v>
      </c>
      <c r="N254" s="14">
        <v>9253.9127603291709</v>
      </c>
      <c r="O254" s="14">
        <v>9801.0400626348874</v>
      </c>
    </row>
    <row r="255" spans="1:15" x14ac:dyDescent="0.3">
      <c r="A255" s="3" t="str">
        <f>INDEX('R1. Scenario specifications'!$C$11:$C$49,MATCH($B255,'R1. Scenario specifications'!$A$11:$A$49,0))</f>
        <v>Current 2DS, 2020 start, 'Expect the Unexpected' but with cheap renewables</v>
      </c>
      <c r="B255" s="3" t="s">
        <v>37</v>
      </c>
      <c r="C255" s="3" t="s">
        <v>295</v>
      </c>
      <c r="D255" s="3" t="s">
        <v>336</v>
      </c>
      <c r="E255" s="14">
        <v>554.93024628706178</v>
      </c>
      <c r="F255" s="14">
        <v>667.25533606737827</v>
      </c>
      <c r="G255" s="14">
        <v>860.61058351424708</v>
      </c>
      <c r="H255" s="14">
        <v>1088.2132483847263</v>
      </c>
      <c r="I255" s="14">
        <v>1361.5777300071218</v>
      </c>
      <c r="J255" s="14">
        <v>1648.7929174419887</v>
      </c>
      <c r="K255" s="14">
        <v>1795.9753694853289</v>
      </c>
      <c r="L255" s="14">
        <v>1932.7772981148482</v>
      </c>
      <c r="M255" s="14">
        <v>2049.3745228613975</v>
      </c>
      <c r="N255" s="14">
        <v>2172.6365939205934</v>
      </c>
      <c r="O255" s="14">
        <v>2272.5152475753289</v>
      </c>
    </row>
    <row r="256" spans="1:15" x14ac:dyDescent="0.3">
      <c r="A256" s="3" t="str">
        <f>INDEX('R1. Scenario specifications'!$C$11:$C$49,MATCH($B256,'R1. Scenario specifications'!$A$11:$A$49,0))</f>
        <v>Current 2DS, 2020 start, 'Expect the Unexpected' but with cheap renewables</v>
      </c>
      <c r="B256" s="3" t="s">
        <v>37</v>
      </c>
      <c r="C256" s="3" t="s">
        <v>296</v>
      </c>
      <c r="D256" s="3" t="s">
        <v>337</v>
      </c>
      <c r="E256" s="14">
        <v>6768.21079303233</v>
      </c>
      <c r="F256" s="14">
        <v>9604.0566614851487</v>
      </c>
      <c r="G256" s="14">
        <v>16237.412608619818</v>
      </c>
      <c r="H256" s="14">
        <v>17601.175858707185</v>
      </c>
      <c r="I256" s="14">
        <v>16847.459696406273</v>
      </c>
      <c r="J256" s="14">
        <v>20017.263086372117</v>
      </c>
      <c r="K256" s="14">
        <v>21780.524686421086</v>
      </c>
      <c r="L256" s="14">
        <v>23168.721069809351</v>
      </c>
      <c r="M256" s="14">
        <v>24842.03864519906</v>
      </c>
      <c r="N256" s="14">
        <v>26472.56931706328</v>
      </c>
      <c r="O256" s="14">
        <v>28426.171383139983</v>
      </c>
    </row>
    <row r="257" spans="1:15" x14ac:dyDescent="0.3">
      <c r="A257" s="3" t="str">
        <f>INDEX('R1. Scenario specifications'!$C$11:$C$49,MATCH($B257,'R1. Scenario specifications'!$A$11:$A$49,0))</f>
        <v>Current 2DS, 2020 start, 'Expect the Unexpected' but with cheap renewables</v>
      </c>
      <c r="B257" s="3" t="s">
        <v>37</v>
      </c>
      <c r="C257" s="3" t="s">
        <v>297</v>
      </c>
      <c r="D257" s="3" t="s">
        <v>338</v>
      </c>
      <c r="E257" s="14">
        <v>490.51449976830594</v>
      </c>
      <c r="F257" s="14">
        <v>524.93618944866842</v>
      </c>
      <c r="G257" s="14">
        <v>555.19395083536801</v>
      </c>
      <c r="H257" s="14">
        <v>559.27948645064043</v>
      </c>
      <c r="I257" s="14">
        <v>581.30123858818172</v>
      </c>
      <c r="J257" s="14">
        <v>595.35266871306351</v>
      </c>
      <c r="K257" s="14">
        <v>601.15064540820595</v>
      </c>
      <c r="L257" s="14">
        <v>600.62628992940495</v>
      </c>
      <c r="M257" s="14">
        <v>595.1473363544626</v>
      </c>
      <c r="N257" s="14">
        <v>585.49041985978283</v>
      </c>
      <c r="O257" s="14">
        <v>570.61215862105951</v>
      </c>
    </row>
    <row r="258" spans="1:15" x14ac:dyDescent="0.3">
      <c r="A258" s="3" t="str">
        <f>INDEX('R1. Scenario specifications'!$C$11:$C$49,MATCH($B258,'R1. Scenario specifications'!$A$11:$A$49,0))</f>
        <v>Current 1.75DS, 2030 start, 'Expect the Unexpected' but with cheap CCS</v>
      </c>
      <c r="B258" s="3" t="s">
        <v>38</v>
      </c>
      <c r="C258" s="3" t="s">
        <v>290</v>
      </c>
      <c r="D258" s="3" t="s">
        <v>331</v>
      </c>
      <c r="E258" s="14">
        <v>303.90443076149791</v>
      </c>
      <c r="F258" s="14">
        <v>326.15031746610555</v>
      </c>
      <c r="G258" s="14">
        <v>347.05566024922416</v>
      </c>
      <c r="H258" s="14">
        <v>353.33506067595158</v>
      </c>
      <c r="I258" s="14">
        <v>370.31694416976882</v>
      </c>
      <c r="J258" s="14">
        <v>376.64546628809904</v>
      </c>
      <c r="K258" s="14">
        <v>372.89730078461491</v>
      </c>
      <c r="L258" s="14">
        <v>389.28835008534384</v>
      </c>
      <c r="M258" s="14">
        <v>387.73669743745131</v>
      </c>
      <c r="N258" s="14">
        <v>381.07330052606756</v>
      </c>
      <c r="O258" s="14">
        <v>376.08776823080109</v>
      </c>
    </row>
    <row r="259" spans="1:15" x14ac:dyDescent="0.3">
      <c r="A259" s="3" t="str">
        <f>INDEX('R1. Scenario specifications'!$C$11:$C$49,MATCH($B259,'R1. Scenario specifications'!$A$11:$A$49,0))</f>
        <v>Current 1.75DS, 2030 start, 'Expect the Unexpected' but with cheap CCS</v>
      </c>
      <c r="B259" s="3" t="s">
        <v>38</v>
      </c>
      <c r="C259" s="3" t="s">
        <v>291</v>
      </c>
      <c r="D259" s="3" t="s">
        <v>332</v>
      </c>
      <c r="E259" s="14">
        <v>704.60532435919743</v>
      </c>
      <c r="F259" s="14">
        <v>860.97149986110526</v>
      </c>
      <c r="G259" s="14">
        <v>1146.4631336452248</v>
      </c>
      <c r="H259" s="14">
        <v>1500.2632370055153</v>
      </c>
      <c r="I259" s="14">
        <v>1900.9151025954804</v>
      </c>
      <c r="J259" s="14">
        <v>2236.6223339332651</v>
      </c>
      <c r="K259" s="14">
        <v>2413.5628904812665</v>
      </c>
      <c r="L259" s="14">
        <v>2704.9497416392887</v>
      </c>
      <c r="M259" s="14">
        <v>2870.5764595413962</v>
      </c>
      <c r="N259" s="14">
        <v>3035.3198555537547</v>
      </c>
      <c r="O259" s="14">
        <v>3113.9153158978897</v>
      </c>
    </row>
    <row r="260" spans="1:15" x14ac:dyDescent="0.3">
      <c r="A260" s="3" t="str">
        <f>INDEX('R1. Scenario specifications'!$C$11:$C$49,MATCH($B260,'R1. Scenario specifications'!$A$11:$A$49,0))</f>
        <v>Current 1.75DS, 2030 start, 'Expect the Unexpected' but with cheap CCS</v>
      </c>
      <c r="B260" s="3" t="s">
        <v>38</v>
      </c>
      <c r="C260" s="3" t="s">
        <v>292</v>
      </c>
      <c r="D260" s="3" t="s">
        <v>333</v>
      </c>
      <c r="E260" s="14">
        <v>159.73830278697653</v>
      </c>
      <c r="F260" s="14">
        <v>169.39599598719545</v>
      </c>
      <c r="G260" s="14">
        <v>176.71914238919692</v>
      </c>
      <c r="H260" s="14">
        <v>175.15830181655548</v>
      </c>
      <c r="I260" s="14">
        <v>178.93494630264837</v>
      </c>
      <c r="J260" s="14">
        <v>180.08177711199255</v>
      </c>
      <c r="K260" s="14">
        <v>173.95414563233552</v>
      </c>
      <c r="L260" s="14">
        <v>175.78189501677815</v>
      </c>
      <c r="M260" s="14">
        <v>171.47940350173073</v>
      </c>
      <c r="N260" s="14">
        <v>162.08306776220044</v>
      </c>
      <c r="O260" s="14">
        <v>155.04499952164545</v>
      </c>
    </row>
    <row r="261" spans="1:15" x14ac:dyDescent="0.3">
      <c r="A261" s="3" t="str">
        <f>INDEX('R1. Scenario specifications'!$C$11:$C$49,MATCH($B261,'R1. Scenario specifications'!$A$11:$A$49,0))</f>
        <v>Current 1.75DS, 2030 start, 'Expect the Unexpected' but with cheap CCS</v>
      </c>
      <c r="B261" s="3" t="s">
        <v>38</v>
      </c>
      <c r="C261" s="3" t="s">
        <v>293</v>
      </c>
      <c r="D261" s="3" t="s">
        <v>334</v>
      </c>
      <c r="E261" s="14">
        <v>773.46518919181767</v>
      </c>
      <c r="F261" s="14">
        <v>894.21413961009341</v>
      </c>
      <c r="G261" s="14">
        <v>1118.0496051339933</v>
      </c>
      <c r="H261" s="14">
        <v>1375.5475785566455</v>
      </c>
      <c r="I261" s="14">
        <v>1689.2067853781323</v>
      </c>
      <c r="J261" s="14">
        <v>2007.1760341254005</v>
      </c>
      <c r="K261" s="14">
        <v>2130.1593780911207</v>
      </c>
      <c r="L261" s="14">
        <v>2366.5190259502406</v>
      </c>
      <c r="M261" s="14">
        <v>2499.1965976780889</v>
      </c>
      <c r="N261" s="14">
        <v>2629.8457999578513</v>
      </c>
      <c r="O261" s="14">
        <v>2721.3886073149233</v>
      </c>
    </row>
    <row r="262" spans="1:15" x14ac:dyDescent="0.3">
      <c r="A262" s="3" t="str">
        <f>INDEX('R1. Scenario specifications'!$C$11:$C$49,MATCH($B262,'R1. Scenario specifications'!$A$11:$A$49,0))</f>
        <v>Current 1.75DS, 2030 start, 'Expect the Unexpected' but with cheap CCS</v>
      </c>
      <c r="B262" s="3" t="s">
        <v>38</v>
      </c>
      <c r="C262" s="3" t="s">
        <v>294</v>
      </c>
      <c r="D262" s="3" t="s">
        <v>335</v>
      </c>
      <c r="E262" s="14">
        <v>3279.7723348946201</v>
      </c>
      <c r="F262" s="14">
        <v>4082.6935657435747</v>
      </c>
      <c r="G262" s="14">
        <v>5207.7532954788776</v>
      </c>
      <c r="H262" s="14">
        <v>5690.8087984717622</v>
      </c>
      <c r="I262" s="14">
        <v>6144.6423204535713</v>
      </c>
      <c r="J262" s="14">
        <v>7066.3593676464961</v>
      </c>
      <c r="K262" s="14">
        <v>7396.1242249822326</v>
      </c>
      <c r="L262" s="14">
        <v>8357.6755501703774</v>
      </c>
      <c r="M262" s="14">
        <v>8847.1749028669965</v>
      </c>
      <c r="N262" s="14">
        <v>9239.3181091669012</v>
      </c>
      <c r="O262" s="14">
        <v>9786.2668785404185</v>
      </c>
    </row>
    <row r="263" spans="1:15" x14ac:dyDescent="0.3">
      <c r="A263" s="3" t="str">
        <f>INDEX('R1. Scenario specifications'!$C$11:$C$49,MATCH($B263,'R1. Scenario specifications'!$A$11:$A$49,0))</f>
        <v>Current 1.75DS, 2030 start, 'Expect the Unexpected' but with cheap CCS</v>
      </c>
      <c r="B263" s="3" t="s">
        <v>38</v>
      </c>
      <c r="C263" s="3" t="s">
        <v>295</v>
      </c>
      <c r="D263" s="3" t="s">
        <v>336</v>
      </c>
      <c r="E263" s="14">
        <v>554.93024628706178</v>
      </c>
      <c r="F263" s="14">
        <v>667.25533606737827</v>
      </c>
      <c r="G263" s="14">
        <v>860.61058351424708</v>
      </c>
      <c r="H263" s="14">
        <v>1088.2132483847263</v>
      </c>
      <c r="I263" s="14">
        <v>1348.3761832267264</v>
      </c>
      <c r="J263" s="14">
        <v>1566.1549878573151</v>
      </c>
      <c r="K263" s="14">
        <v>1680.6518477235709</v>
      </c>
      <c r="L263" s="14">
        <v>1894.2192449561217</v>
      </c>
      <c r="M263" s="14">
        <v>2016.1149908252451</v>
      </c>
      <c r="N263" s="14">
        <v>2147.3362337997014</v>
      </c>
      <c r="O263" s="14">
        <v>2222.7418055489629</v>
      </c>
    </row>
    <row r="264" spans="1:15" x14ac:dyDescent="0.3">
      <c r="A264" s="3" t="str">
        <f>INDEX('R1. Scenario specifications'!$C$11:$C$49,MATCH($B264,'R1. Scenario specifications'!$A$11:$A$49,0))</f>
        <v>Current 1.75DS, 2030 start, 'Expect the Unexpected' but with cheap CCS</v>
      </c>
      <c r="B264" s="3" t="s">
        <v>38</v>
      </c>
      <c r="C264" s="3" t="s">
        <v>296</v>
      </c>
      <c r="D264" s="3" t="s">
        <v>337</v>
      </c>
      <c r="E264" s="14">
        <v>6768.21079303233</v>
      </c>
      <c r="F264" s="14">
        <v>9604.0566614851487</v>
      </c>
      <c r="G264" s="14">
        <v>16237.412608619818</v>
      </c>
      <c r="H264" s="14">
        <v>17601.175858707189</v>
      </c>
      <c r="I264" s="14">
        <v>16661.66063434798</v>
      </c>
      <c r="J264" s="14">
        <v>19581.222259002254</v>
      </c>
      <c r="K264" s="14">
        <v>20443.527669593735</v>
      </c>
      <c r="L264" s="14">
        <v>23186.444675675019</v>
      </c>
      <c r="M264" s="14">
        <v>24770.64457108896</v>
      </c>
      <c r="N264" s="14">
        <v>25910.322765595356</v>
      </c>
      <c r="O264" s="14">
        <v>28383.394739241128</v>
      </c>
    </row>
    <row r="265" spans="1:15" x14ac:dyDescent="0.3">
      <c r="A265" s="3" t="str">
        <f>INDEX('R1. Scenario specifications'!$C$11:$C$49,MATCH($B265,'R1. Scenario specifications'!$A$11:$A$49,0))</f>
        <v>Current 1.75DS, 2030 start, 'Expect the Unexpected' but with cheap CCS</v>
      </c>
      <c r="B265" s="3" t="s">
        <v>38</v>
      </c>
      <c r="C265" s="3" t="s">
        <v>297</v>
      </c>
      <c r="D265" s="3" t="s">
        <v>338</v>
      </c>
      <c r="E265" s="14">
        <v>490.51449976830594</v>
      </c>
      <c r="F265" s="14">
        <v>524.93618944866842</v>
      </c>
      <c r="G265" s="14">
        <v>555.19395083536801</v>
      </c>
      <c r="H265" s="14">
        <v>559.27948645064043</v>
      </c>
      <c r="I265" s="14">
        <v>581.30123858818172</v>
      </c>
      <c r="J265" s="14">
        <v>595.21752712452201</v>
      </c>
      <c r="K265" s="14">
        <v>589.38037164628429</v>
      </c>
      <c r="L265" s="14">
        <v>600.62628992940495</v>
      </c>
      <c r="M265" s="14">
        <v>595.1473363544626</v>
      </c>
      <c r="N265" s="14">
        <v>575.97367615486394</v>
      </c>
      <c r="O265" s="14">
        <v>552.70745842885071</v>
      </c>
    </row>
    <row r="266" spans="1:15" x14ac:dyDescent="0.3">
      <c r="A266" s="3" t="str">
        <f>INDEX('R1. Scenario specifications'!$C$11:$C$49,MATCH($B266,'R1. Scenario specifications'!$A$11:$A$49,0))</f>
        <v>Current 1.75DS, 2020 start, 'Expect the Unexpected' but with cheap EVs</v>
      </c>
      <c r="B266" s="3" t="s">
        <v>39</v>
      </c>
      <c r="C266" s="3" t="s">
        <v>290</v>
      </c>
      <c r="D266" s="3" t="s">
        <v>331</v>
      </c>
      <c r="E266" s="14">
        <v>303.90443076149791</v>
      </c>
      <c r="F266" s="14">
        <v>326.15031746610555</v>
      </c>
      <c r="G266" s="14">
        <v>347.05566024922416</v>
      </c>
      <c r="H266" s="14">
        <v>357.61696988770763</v>
      </c>
      <c r="I266" s="14">
        <v>375.89186219031762</v>
      </c>
      <c r="J266" s="14">
        <v>386.91796705893921</v>
      </c>
      <c r="K266" s="14">
        <v>392.91845009138029</v>
      </c>
      <c r="L266" s="14">
        <v>395.86974275707723</v>
      </c>
      <c r="M266" s="14">
        <v>392.77953794711965</v>
      </c>
      <c r="N266" s="14">
        <v>385.95591284530116</v>
      </c>
      <c r="O266" s="14">
        <v>379.81368896298278</v>
      </c>
    </row>
    <row r="267" spans="1:15" x14ac:dyDescent="0.3">
      <c r="A267" s="3" t="str">
        <f>INDEX('R1. Scenario specifications'!$C$11:$C$49,MATCH($B267,'R1. Scenario specifications'!$A$11:$A$49,0))</f>
        <v>Current 1.75DS, 2020 start, 'Expect the Unexpected' but with cheap EVs</v>
      </c>
      <c r="B267" s="3" t="s">
        <v>39</v>
      </c>
      <c r="C267" s="3" t="s">
        <v>291</v>
      </c>
      <c r="D267" s="3" t="s">
        <v>332</v>
      </c>
      <c r="E267" s="14">
        <v>704.60532435919743</v>
      </c>
      <c r="F267" s="14">
        <v>860.97149986110526</v>
      </c>
      <c r="G267" s="14">
        <v>1146.4631336452248</v>
      </c>
      <c r="H267" s="14">
        <v>1498.4248051282871</v>
      </c>
      <c r="I267" s="14">
        <v>1907.5711322805569</v>
      </c>
      <c r="J267" s="14">
        <v>2303.6010357385235</v>
      </c>
      <c r="K267" s="14">
        <v>2536.798346570441</v>
      </c>
      <c r="L267" s="14">
        <v>2687.5182394482722</v>
      </c>
      <c r="M267" s="14">
        <v>2857.1648169158493</v>
      </c>
      <c r="N267" s="14">
        <v>3017.6066634722888</v>
      </c>
      <c r="O267" s="14">
        <v>3075.5366297771066</v>
      </c>
    </row>
    <row r="268" spans="1:15" x14ac:dyDescent="0.3">
      <c r="A268" s="3" t="str">
        <f>INDEX('R1. Scenario specifications'!$C$11:$C$49,MATCH($B268,'R1. Scenario specifications'!$A$11:$A$49,0))</f>
        <v>Current 1.75DS, 2020 start, 'Expect the Unexpected' but with cheap EVs</v>
      </c>
      <c r="B268" s="3" t="s">
        <v>39</v>
      </c>
      <c r="C268" s="3" t="s">
        <v>292</v>
      </c>
      <c r="D268" s="3" t="s">
        <v>333</v>
      </c>
      <c r="E268" s="14">
        <v>159.73830278697653</v>
      </c>
      <c r="F268" s="14">
        <v>169.39599598719545</v>
      </c>
      <c r="G268" s="14">
        <v>176.71914238919692</v>
      </c>
      <c r="H268" s="14">
        <v>175.15830181655548</v>
      </c>
      <c r="I268" s="14">
        <v>178.93494630264837</v>
      </c>
      <c r="J268" s="14">
        <v>180.1031409584196</v>
      </c>
      <c r="K268" s="14">
        <v>178.85209793764099</v>
      </c>
      <c r="L268" s="14">
        <v>175.78189501677815</v>
      </c>
      <c r="M268" s="14">
        <v>171.47940350173073</v>
      </c>
      <c r="N268" s="14">
        <v>160.64121332725054</v>
      </c>
      <c r="O268" s="14">
        <v>155.04499952164545</v>
      </c>
    </row>
    <row r="269" spans="1:15" x14ac:dyDescent="0.3">
      <c r="A269" s="3" t="str">
        <f>INDEX('R1. Scenario specifications'!$C$11:$C$49,MATCH($B269,'R1. Scenario specifications'!$A$11:$A$49,0))</f>
        <v>Current 1.75DS, 2020 start, 'Expect the Unexpected' but with cheap EVs</v>
      </c>
      <c r="B269" s="3" t="s">
        <v>39</v>
      </c>
      <c r="C269" s="3" t="s">
        <v>293</v>
      </c>
      <c r="D269" s="3" t="s">
        <v>334</v>
      </c>
      <c r="E269" s="14">
        <v>773.46518919181767</v>
      </c>
      <c r="F269" s="14">
        <v>894.21413961009341</v>
      </c>
      <c r="G269" s="14">
        <v>1118.0496051339933</v>
      </c>
      <c r="H269" s="14">
        <v>1375.5475785566459</v>
      </c>
      <c r="I269" s="14">
        <v>1689.2067853781311</v>
      </c>
      <c r="J269" s="14">
        <v>2025.3126300276208</v>
      </c>
      <c r="K269" s="14">
        <v>2195.8101359807506</v>
      </c>
      <c r="L269" s="14">
        <v>2366.5190259502378</v>
      </c>
      <c r="M269" s="14">
        <v>2497.8257750610992</v>
      </c>
      <c r="N269" s="14">
        <v>2604.6522463608258</v>
      </c>
      <c r="O269" s="14">
        <v>2721.3886073149238</v>
      </c>
    </row>
    <row r="270" spans="1:15" x14ac:dyDescent="0.3">
      <c r="A270" s="3" t="str">
        <f>INDEX('R1. Scenario specifications'!$C$11:$C$49,MATCH($B270,'R1. Scenario specifications'!$A$11:$A$49,0))</f>
        <v>Current 1.75DS, 2020 start, 'Expect the Unexpected' but with cheap EVs</v>
      </c>
      <c r="B270" s="3" t="s">
        <v>39</v>
      </c>
      <c r="C270" s="3" t="s">
        <v>294</v>
      </c>
      <c r="D270" s="3" t="s">
        <v>335</v>
      </c>
      <c r="E270" s="14">
        <v>3279.7723348946201</v>
      </c>
      <c r="F270" s="14">
        <v>4082.6935657435747</v>
      </c>
      <c r="G270" s="14">
        <v>5207.7532954788776</v>
      </c>
      <c r="H270" s="14">
        <v>5804.3767360013062</v>
      </c>
      <c r="I270" s="14">
        <v>6313.8055186299644</v>
      </c>
      <c r="J270" s="14">
        <v>7371.3086879551538</v>
      </c>
      <c r="K270" s="14">
        <v>8054.5505923927039</v>
      </c>
      <c r="L270" s="14">
        <v>8716.4964038140552</v>
      </c>
      <c r="M270" s="14">
        <v>9243.6675055207197</v>
      </c>
      <c r="N270" s="14">
        <v>9717.9853465404067</v>
      </c>
      <c r="O270" s="14">
        <v>10212.463456800699</v>
      </c>
    </row>
    <row r="271" spans="1:15" x14ac:dyDescent="0.3">
      <c r="A271" s="3" t="str">
        <f>INDEX('R1. Scenario specifications'!$C$11:$C$49,MATCH($B271,'R1. Scenario specifications'!$A$11:$A$49,0))</f>
        <v>Current 1.75DS, 2020 start, 'Expect the Unexpected' but with cheap EVs</v>
      </c>
      <c r="B271" s="3" t="s">
        <v>39</v>
      </c>
      <c r="C271" s="3" t="s">
        <v>295</v>
      </c>
      <c r="D271" s="3" t="s">
        <v>336</v>
      </c>
      <c r="E271" s="14">
        <v>554.93024628706178</v>
      </c>
      <c r="F271" s="14">
        <v>667.25533606737827</v>
      </c>
      <c r="G271" s="14">
        <v>860.61058351424708</v>
      </c>
      <c r="H271" s="14">
        <v>1087.1847792265776</v>
      </c>
      <c r="I271" s="14">
        <v>1348.3761832267262</v>
      </c>
      <c r="J271" s="14">
        <v>1602.657992575472</v>
      </c>
      <c r="K271" s="14">
        <v>1766.7920426030637</v>
      </c>
      <c r="L271" s="14">
        <v>1888.8559022811601</v>
      </c>
      <c r="M271" s="14">
        <v>2016.5072295712189</v>
      </c>
      <c r="N271" s="14">
        <v>2106.5901873255498</v>
      </c>
      <c r="O271" s="14">
        <v>2171.1120465698023</v>
      </c>
    </row>
    <row r="272" spans="1:15" x14ac:dyDescent="0.3">
      <c r="A272" s="3" t="str">
        <f>INDEX('R1. Scenario specifications'!$C$11:$C$49,MATCH($B272,'R1. Scenario specifications'!$A$11:$A$49,0))</f>
        <v>Current 1.75DS, 2020 start, 'Expect the Unexpected' but with cheap EVs</v>
      </c>
      <c r="B272" s="3" t="s">
        <v>39</v>
      </c>
      <c r="C272" s="3" t="s">
        <v>296</v>
      </c>
      <c r="D272" s="3" t="s">
        <v>337</v>
      </c>
      <c r="E272" s="14">
        <v>6768.21079303233</v>
      </c>
      <c r="F272" s="14">
        <v>9604.0566614851487</v>
      </c>
      <c r="G272" s="14">
        <v>16237.412608619818</v>
      </c>
      <c r="H272" s="14">
        <v>17856.978187582623</v>
      </c>
      <c r="I272" s="14">
        <v>17232.70270671933</v>
      </c>
      <c r="J272" s="14">
        <v>20478.718826091837</v>
      </c>
      <c r="K272" s="14">
        <v>22293.555600166019</v>
      </c>
      <c r="L272" s="14">
        <v>24321.247612878735</v>
      </c>
      <c r="M272" s="14">
        <v>25998.99580851182</v>
      </c>
      <c r="N272" s="14">
        <v>27695.098470471188</v>
      </c>
      <c r="O272" s="14">
        <v>29792.522243933523</v>
      </c>
    </row>
    <row r="273" spans="1:15" x14ac:dyDescent="0.3">
      <c r="A273" s="3" t="str">
        <f>INDEX('R1. Scenario specifications'!$C$11:$C$49,MATCH($B273,'R1. Scenario specifications'!$A$11:$A$49,0))</f>
        <v>Current 1.75DS, 2020 start, 'Expect the Unexpected' but with cheap EVs</v>
      </c>
      <c r="B273" s="3" t="s">
        <v>39</v>
      </c>
      <c r="C273" s="3" t="s">
        <v>297</v>
      </c>
      <c r="D273" s="3" t="s">
        <v>338</v>
      </c>
      <c r="E273" s="14">
        <v>490.51449976830594</v>
      </c>
      <c r="F273" s="14">
        <v>524.93618944866842</v>
      </c>
      <c r="G273" s="14">
        <v>555.19395083536801</v>
      </c>
      <c r="H273" s="14">
        <v>559.27948645064043</v>
      </c>
      <c r="I273" s="14">
        <v>581.30123858818172</v>
      </c>
      <c r="J273" s="14">
        <v>595.35266871306351</v>
      </c>
      <c r="K273" s="14">
        <v>601.71073963007882</v>
      </c>
      <c r="L273" s="14">
        <v>600.62628992940495</v>
      </c>
      <c r="M273" s="14">
        <v>595.1473363544626</v>
      </c>
      <c r="N273" s="14">
        <v>567.4346118065929</v>
      </c>
      <c r="O273" s="14">
        <v>552.70745842885071</v>
      </c>
    </row>
    <row r="274" spans="1:15" x14ac:dyDescent="0.3">
      <c r="A274" s="3" t="str">
        <f>INDEX('R1. Scenario specifications'!$C$11:$C$49,MATCH($B274,'R1. Scenario specifications'!$A$11:$A$49,0))</f>
        <v>Current 1.75DS, 2030 start, 'Expect the Unexpected' but with cheap EVs</v>
      </c>
      <c r="B274" s="3" t="s">
        <v>40</v>
      </c>
      <c r="C274" s="3" t="s">
        <v>290</v>
      </c>
      <c r="D274" s="3" t="s">
        <v>331</v>
      </c>
      <c r="E274" s="14">
        <v>303.90443076149791</v>
      </c>
      <c r="F274" s="14">
        <v>326.15031746610555</v>
      </c>
      <c r="G274" s="14">
        <v>347.05566024922416</v>
      </c>
      <c r="H274" s="14">
        <v>353.33506067595158</v>
      </c>
      <c r="I274" s="14">
        <v>375.51196777620726</v>
      </c>
      <c r="J274" s="14">
        <v>381.12587224789081</v>
      </c>
      <c r="K274" s="14">
        <v>381.82033284751202</v>
      </c>
      <c r="L274" s="14">
        <v>395.78533380941741</v>
      </c>
      <c r="M274" s="14">
        <v>392.96484473014334</v>
      </c>
      <c r="N274" s="14">
        <v>386.4362734122252</v>
      </c>
      <c r="O274" s="14">
        <v>380.03522562806899</v>
      </c>
    </row>
    <row r="275" spans="1:15" x14ac:dyDescent="0.3">
      <c r="A275" s="3" t="str">
        <f>INDEX('R1. Scenario specifications'!$C$11:$C$49,MATCH($B275,'R1. Scenario specifications'!$A$11:$A$49,0))</f>
        <v>Current 1.75DS, 2030 start, 'Expect the Unexpected' but with cheap EVs</v>
      </c>
      <c r="B275" s="3" t="s">
        <v>40</v>
      </c>
      <c r="C275" s="3" t="s">
        <v>291</v>
      </c>
      <c r="D275" s="3" t="s">
        <v>332</v>
      </c>
      <c r="E275" s="14">
        <v>704.60532435919743</v>
      </c>
      <c r="F275" s="14">
        <v>860.97149986110526</v>
      </c>
      <c r="G275" s="14">
        <v>1146.4631336452248</v>
      </c>
      <c r="H275" s="14">
        <v>1500.2632370055153</v>
      </c>
      <c r="I275" s="14">
        <v>1908.3039951376265</v>
      </c>
      <c r="J275" s="14">
        <v>2253.8588630531231</v>
      </c>
      <c r="K275" s="14">
        <v>2419.0881927167056</v>
      </c>
      <c r="L275" s="14">
        <v>2706.9578607615567</v>
      </c>
      <c r="M275" s="14">
        <v>2866.2942131120699</v>
      </c>
      <c r="N275" s="14">
        <v>3036.9608467772614</v>
      </c>
      <c r="O275" s="14">
        <v>3114.6178390576133</v>
      </c>
    </row>
    <row r="276" spans="1:15" x14ac:dyDescent="0.3">
      <c r="A276" s="3" t="str">
        <f>INDEX('R1. Scenario specifications'!$C$11:$C$49,MATCH($B276,'R1. Scenario specifications'!$A$11:$A$49,0))</f>
        <v>Current 1.75DS, 2030 start, 'Expect the Unexpected' but with cheap EVs</v>
      </c>
      <c r="B276" s="3" t="s">
        <v>40</v>
      </c>
      <c r="C276" s="3" t="s">
        <v>292</v>
      </c>
      <c r="D276" s="3" t="s">
        <v>333</v>
      </c>
      <c r="E276" s="14">
        <v>159.73830278697653</v>
      </c>
      <c r="F276" s="14">
        <v>169.39599598719545</v>
      </c>
      <c r="G276" s="14">
        <v>176.71914238919692</v>
      </c>
      <c r="H276" s="14">
        <v>175.15830181655548</v>
      </c>
      <c r="I276" s="14">
        <v>178.93494630264837</v>
      </c>
      <c r="J276" s="14">
        <v>180.1031409584196</v>
      </c>
      <c r="K276" s="14">
        <v>173.95414563233552</v>
      </c>
      <c r="L276" s="14">
        <v>175.80812319308313</v>
      </c>
      <c r="M276" s="14">
        <v>171.47940350173073</v>
      </c>
      <c r="N276" s="14">
        <v>162.08306776220044</v>
      </c>
      <c r="O276" s="14">
        <v>155.04499952164545</v>
      </c>
    </row>
    <row r="277" spans="1:15" x14ac:dyDescent="0.3">
      <c r="A277" s="3" t="str">
        <f>INDEX('R1. Scenario specifications'!$C$11:$C$49,MATCH($B277,'R1. Scenario specifications'!$A$11:$A$49,0))</f>
        <v>Current 1.75DS, 2030 start, 'Expect the Unexpected' but with cheap EVs</v>
      </c>
      <c r="B277" s="3" t="s">
        <v>40</v>
      </c>
      <c r="C277" s="3" t="s">
        <v>293</v>
      </c>
      <c r="D277" s="3" t="s">
        <v>334</v>
      </c>
      <c r="E277" s="14">
        <v>773.46518919181767</v>
      </c>
      <c r="F277" s="14">
        <v>894.21413961009341</v>
      </c>
      <c r="G277" s="14">
        <v>1118.0496051339933</v>
      </c>
      <c r="H277" s="14">
        <v>1375.5475785566455</v>
      </c>
      <c r="I277" s="14">
        <v>1689.2067853781318</v>
      </c>
      <c r="J277" s="14">
        <v>2025.3126300276194</v>
      </c>
      <c r="K277" s="14">
        <v>2130.1593780911207</v>
      </c>
      <c r="L277" s="14">
        <v>2366.8878618054114</v>
      </c>
      <c r="M277" s="14">
        <v>2499.1965976780884</v>
      </c>
      <c r="N277" s="14">
        <v>2636.8654142896435</v>
      </c>
      <c r="O277" s="14">
        <v>2721.3886073149233</v>
      </c>
    </row>
    <row r="278" spans="1:15" x14ac:dyDescent="0.3">
      <c r="A278" s="3" t="str">
        <f>INDEX('R1. Scenario specifications'!$C$11:$C$49,MATCH($B278,'R1. Scenario specifications'!$A$11:$A$49,0))</f>
        <v>Current 1.75DS, 2030 start, 'Expect the Unexpected' but with cheap EVs</v>
      </c>
      <c r="B278" s="3" t="s">
        <v>40</v>
      </c>
      <c r="C278" s="3" t="s">
        <v>294</v>
      </c>
      <c r="D278" s="3" t="s">
        <v>335</v>
      </c>
      <c r="E278" s="14">
        <v>3279.7723348946201</v>
      </c>
      <c r="F278" s="14">
        <v>4082.6935657435747</v>
      </c>
      <c r="G278" s="14">
        <v>5207.7532954788776</v>
      </c>
      <c r="H278" s="14">
        <v>5690.8087984717622</v>
      </c>
      <c r="I278" s="14">
        <v>6287.309791990042</v>
      </c>
      <c r="J278" s="14">
        <v>7331.0226715336976</v>
      </c>
      <c r="K278" s="14">
        <v>7816.9535282596298</v>
      </c>
      <c r="L278" s="14">
        <v>8665.1173633343424</v>
      </c>
      <c r="M278" s="14">
        <v>9249.9371259637865</v>
      </c>
      <c r="N278" s="14">
        <v>9725.4604786302807</v>
      </c>
      <c r="O278" s="14">
        <v>10220.727654805471</v>
      </c>
    </row>
    <row r="279" spans="1:15" x14ac:dyDescent="0.3">
      <c r="A279" s="3" t="str">
        <f>INDEX('R1. Scenario specifications'!$C$11:$C$49,MATCH($B279,'R1. Scenario specifications'!$A$11:$A$49,0))</f>
        <v>Current 1.75DS, 2030 start, 'Expect the Unexpected' but with cheap EVs</v>
      </c>
      <c r="B279" s="3" t="s">
        <v>40</v>
      </c>
      <c r="C279" s="3" t="s">
        <v>295</v>
      </c>
      <c r="D279" s="3" t="s">
        <v>336</v>
      </c>
      <c r="E279" s="14">
        <v>554.93024628706178</v>
      </c>
      <c r="F279" s="14">
        <v>667.25533606737827</v>
      </c>
      <c r="G279" s="14">
        <v>860.61058351424708</v>
      </c>
      <c r="H279" s="14">
        <v>1088.2132483847263</v>
      </c>
      <c r="I279" s="14">
        <v>1349.0283717286925</v>
      </c>
      <c r="J279" s="14">
        <v>1570.1759806033883</v>
      </c>
      <c r="K279" s="14">
        <v>1684.842933787744</v>
      </c>
      <c r="L279" s="14">
        <v>1895.6799384393157</v>
      </c>
      <c r="M279" s="14">
        <v>2027.5286266615701</v>
      </c>
      <c r="N279" s="14">
        <v>2146.5391170160592</v>
      </c>
      <c r="O279" s="14">
        <v>2221.8594110742524</v>
      </c>
    </row>
    <row r="280" spans="1:15" x14ac:dyDescent="0.3">
      <c r="A280" s="3" t="str">
        <f>INDEX('R1. Scenario specifications'!$C$11:$C$49,MATCH($B280,'R1. Scenario specifications'!$A$11:$A$49,0))</f>
        <v>Current 1.75DS, 2030 start, 'Expect the Unexpected' but with cheap EVs</v>
      </c>
      <c r="B280" s="3" t="s">
        <v>40</v>
      </c>
      <c r="C280" s="3" t="s">
        <v>296</v>
      </c>
      <c r="D280" s="3" t="s">
        <v>337</v>
      </c>
      <c r="E280" s="14">
        <v>6768.21079303233</v>
      </c>
      <c r="F280" s="14">
        <v>9604.0566614851487</v>
      </c>
      <c r="G280" s="14">
        <v>16237.412608619818</v>
      </c>
      <c r="H280" s="14">
        <v>17601.175858707189</v>
      </c>
      <c r="I280" s="14">
        <v>17162.187171675996</v>
      </c>
      <c r="J280" s="14">
        <v>20233.144969034256</v>
      </c>
      <c r="K280" s="14">
        <v>21594.859527096691</v>
      </c>
      <c r="L280" s="14">
        <v>23997.507506537364</v>
      </c>
      <c r="M280" s="14">
        <v>26037.008440559908</v>
      </c>
      <c r="N280" s="14">
        <v>27736.525399457263</v>
      </c>
      <c r="O280" s="14">
        <v>29835.615493591242</v>
      </c>
    </row>
    <row r="281" spans="1:15" x14ac:dyDescent="0.3">
      <c r="A281" s="3" t="str">
        <f>INDEX('R1. Scenario specifications'!$C$11:$C$49,MATCH($B281,'R1. Scenario specifications'!$A$11:$A$49,0))</f>
        <v>Current 1.75DS, 2030 start, 'Expect the Unexpected' but with cheap EVs</v>
      </c>
      <c r="B281" s="3" t="s">
        <v>40</v>
      </c>
      <c r="C281" s="3" t="s">
        <v>297</v>
      </c>
      <c r="D281" s="3" t="s">
        <v>338</v>
      </c>
      <c r="E281" s="14">
        <v>490.51449976830594</v>
      </c>
      <c r="F281" s="14">
        <v>524.93618944866842</v>
      </c>
      <c r="G281" s="14">
        <v>555.19395083536801</v>
      </c>
      <c r="H281" s="14">
        <v>559.27948645064043</v>
      </c>
      <c r="I281" s="14">
        <v>581.30123858818172</v>
      </c>
      <c r="J281" s="14">
        <v>595.35266871306351</v>
      </c>
      <c r="K281" s="14">
        <v>589.38037164628429</v>
      </c>
      <c r="L281" s="14">
        <v>601.18547464822689</v>
      </c>
      <c r="M281" s="14">
        <v>595.1473363544626</v>
      </c>
      <c r="N281" s="14">
        <v>575.97367615486394</v>
      </c>
      <c r="O281" s="14">
        <v>552.70745842885071</v>
      </c>
    </row>
    <row r="282" spans="1:15" x14ac:dyDescent="0.3">
      <c r="A282" s="3" t="str">
        <f>INDEX('R1. Scenario specifications'!$C$11:$C$49,MATCH($B282,'R1. Scenario specifications'!$A$11:$A$49,0))</f>
        <v>Current 1.75DS, 2020 start, 'Expect the Unexpected' but with cheap energy efficiency</v>
      </c>
      <c r="B282" s="3" t="s">
        <v>41</v>
      </c>
      <c r="C282" s="3" t="s">
        <v>290</v>
      </c>
      <c r="D282" s="3" t="s">
        <v>331</v>
      </c>
      <c r="E282" s="14">
        <v>303.90443076149791</v>
      </c>
      <c r="F282" s="14">
        <v>326.15031746610555</v>
      </c>
      <c r="G282" s="14">
        <v>347.05566024922416</v>
      </c>
      <c r="H282" s="14">
        <v>424.00207281114172</v>
      </c>
      <c r="I282" s="14">
        <v>446.19510656302771</v>
      </c>
      <c r="J282" s="14">
        <v>457.10730148762104</v>
      </c>
      <c r="K282" s="14">
        <v>464.48621159450335</v>
      </c>
      <c r="L282" s="14">
        <v>467.14602010241282</v>
      </c>
      <c r="M282" s="14">
        <v>465.28403692494129</v>
      </c>
      <c r="N282" s="14">
        <v>459.08932017822406</v>
      </c>
      <c r="O282" s="14">
        <v>451.30532187696065</v>
      </c>
    </row>
    <row r="283" spans="1:15" x14ac:dyDescent="0.3">
      <c r="A283" s="3" t="str">
        <f>INDEX('R1. Scenario specifications'!$C$11:$C$49,MATCH($B283,'R1. Scenario specifications'!$A$11:$A$49,0))</f>
        <v>Current 1.75DS, 2020 start, 'Expect the Unexpected' but with cheap energy efficiency</v>
      </c>
      <c r="B283" s="3" t="s">
        <v>41</v>
      </c>
      <c r="C283" s="3" t="s">
        <v>291</v>
      </c>
      <c r="D283" s="3" t="s">
        <v>332</v>
      </c>
      <c r="E283" s="14">
        <v>704.60532435919743</v>
      </c>
      <c r="F283" s="14">
        <v>860.97149986110526</v>
      </c>
      <c r="G283" s="14">
        <v>1146.4631336452248</v>
      </c>
      <c r="H283" s="14">
        <v>1500.2632370055153</v>
      </c>
      <c r="I283" s="14">
        <v>1910.2190561286125</v>
      </c>
      <c r="J283" s="14">
        <v>2337.9231789792757</v>
      </c>
      <c r="K283" s="14">
        <v>2553.8577005463103</v>
      </c>
      <c r="L283" s="14">
        <v>2707.1313045184411</v>
      </c>
      <c r="M283" s="14">
        <v>2882.8478579377561</v>
      </c>
      <c r="N283" s="14">
        <v>3039.1271703036409</v>
      </c>
      <c r="O283" s="14">
        <v>3126.1732657412986</v>
      </c>
    </row>
    <row r="284" spans="1:15" x14ac:dyDescent="0.3">
      <c r="A284" s="3" t="str">
        <f>INDEX('R1. Scenario specifications'!$C$11:$C$49,MATCH($B284,'R1. Scenario specifications'!$A$11:$A$49,0))</f>
        <v>Current 1.75DS, 2020 start, 'Expect the Unexpected' but with cheap energy efficiency</v>
      </c>
      <c r="B284" s="3" t="s">
        <v>41</v>
      </c>
      <c r="C284" s="3" t="s">
        <v>292</v>
      </c>
      <c r="D284" s="3" t="s">
        <v>333</v>
      </c>
      <c r="E284" s="14">
        <v>159.73830278697653</v>
      </c>
      <c r="F284" s="14">
        <v>169.39599598719545</v>
      </c>
      <c r="G284" s="14">
        <v>176.71914238919692</v>
      </c>
      <c r="H284" s="14">
        <v>175.15830181655548</v>
      </c>
      <c r="I284" s="14">
        <v>178.93494630264837</v>
      </c>
      <c r="J284" s="14">
        <v>180.1031409584196</v>
      </c>
      <c r="K284" s="14">
        <v>178.82582710171826</v>
      </c>
      <c r="L284" s="14">
        <v>175.78189501677815</v>
      </c>
      <c r="M284" s="14">
        <v>171.47940350173073</v>
      </c>
      <c r="N284" s="14">
        <v>163.43070663529062</v>
      </c>
      <c r="O284" s="14">
        <v>155.24167635574767</v>
      </c>
    </row>
    <row r="285" spans="1:15" x14ac:dyDescent="0.3">
      <c r="A285" s="3" t="str">
        <f>INDEX('R1. Scenario specifications'!$C$11:$C$49,MATCH($B285,'R1. Scenario specifications'!$A$11:$A$49,0))</f>
        <v>Current 1.75DS, 2020 start, 'Expect the Unexpected' but with cheap energy efficiency</v>
      </c>
      <c r="B285" s="3" t="s">
        <v>41</v>
      </c>
      <c r="C285" s="3" t="s">
        <v>293</v>
      </c>
      <c r="D285" s="3" t="s">
        <v>334</v>
      </c>
      <c r="E285" s="14">
        <v>773.46518919181767</v>
      </c>
      <c r="F285" s="14">
        <v>894.21413961009341</v>
      </c>
      <c r="G285" s="14">
        <v>1118.0496051339933</v>
      </c>
      <c r="H285" s="14">
        <v>1375.5475785566452</v>
      </c>
      <c r="I285" s="14">
        <v>1689.2067853781318</v>
      </c>
      <c r="J285" s="14">
        <v>2025.3126300276213</v>
      </c>
      <c r="K285" s="14">
        <v>2195.4707514569677</v>
      </c>
      <c r="L285" s="14">
        <v>2366.5190259502378</v>
      </c>
      <c r="M285" s="14">
        <v>2499.196597678088</v>
      </c>
      <c r="N285" s="14">
        <v>2650.5326638341553</v>
      </c>
      <c r="O285" s="14">
        <v>2735.8189948851827</v>
      </c>
    </row>
    <row r="286" spans="1:15" x14ac:dyDescent="0.3">
      <c r="A286" s="3" t="str">
        <f>INDEX('R1. Scenario specifications'!$C$11:$C$49,MATCH($B286,'R1. Scenario specifications'!$A$11:$A$49,0))</f>
        <v>Current 1.75DS, 2020 start, 'Expect the Unexpected' but with cheap energy efficiency</v>
      </c>
      <c r="B286" s="3" t="s">
        <v>41</v>
      </c>
      <c r="C286" s="3" t="s">
        <v>294</v>
      </c>
      <c r="D286" s="3" t="s">
        <v>335</v>
      </c>
      <c r="E286" s="14">
        <v>3279.7723348946201</v>
      </c>
      <c r="F286" s="14">
        <v>4082.6935657435747</v>
      </c>
      <c r="G286" s="14">
        <v>5207.7532954788776</v>
      </c>
      <c r="H286" s="14">
        <v>4384.3587843529294</v>
      </c>
      <c r="I286" s="14">
        <v>5051.684239152637</v>
      </c>
      <c r="J286" s="14">
        <v>5581.7764953681353</v>
      </c>
      <c r="K286" s="14">
        <v>6039.7651330604594</v>
      </c>
      <c r="L286" s="14">
        <v>6487.5889588852533</v>
      </c>
      <c r="M286" s="14">
        <v>6852.3911331262589</v>
      </c>
      <c r="N286" s="14">
        <v>7147.5672733352221</v>
      </c>
      <c r="O286" s="14">
        <v>7562.7260498304649</v>
      </c>
    </row>
    <row r="287" spans="1:15" x14ac:dyDescent="0.3">
      <c r="A287" s="3" t="str">
        <f>INDEX('R1. Scenario specifications'!$C$11:$C$49,MATCH($B287,'R1. Scenario specifications'!$A$11:$A$49,0))</f>
        <v>Current 1.75DS, 2020 start, 'Expect the Unexpected' but with cheap energy efficiency</v>
      </c>
      <c r="B287" s="3" t="s">
        <v>41</v>
      </c>
      <c r="C287" s="3" t="s">
        <v>295</v>
      </c>
      <c r="D287" s="3" t="s">
        <v>336</v>
      </c>
      <c r="E287" s="14">
        <v>554.93024628706178</v>
      </c>
      <c r="F287" s="14">
        <v>667.25533606737827</v>
      </c>
      <c r="G287" s="14">
        <v>860.61058351424708</v>
      </c>
      <c r="H287" s="14">
        <v>1087.1847792265778</v>
      </c>
      <c r="I287" s="14">
        <v>1349.0283717286923</v>
      </c>
      <c r="J287" s="14">
        <v>1619.8610939123241</v>
      </c>
      <c r="K287" s="14">
        <v>1773.3789995839406</v>
      </c>
      <c r="L287" s="14">
        <v>1897.3441483993838</v>
      </c>
      <c r="M287" s="14">
        <v>2027.9351812082041</v>
      </c>
      <c r="N287" s="14">
        <v>2162.1752430590968</v>
      </c>
      <c r="O287" s="14">
        <v>2225.538735799887</v>
      </c>
    </row>
    <row r="288" spans="1:15" x14ac:dyDescent="0.3">
      <c r="A288" s="3" t="str">
        <f>INDEX('R1. Scenario specifications'!$C$11:$C$49,MATCH($B288,'R1. Scenario specifications'!$A$11:$A$49,0))</f>
        <v>Current 1.75DS, 2020 start, 'Expect the Unexpected' but with cheap energy efficiency</v>
      </c>
      <c r="B288" s="3" t="s">
        <v>41</v>
      </c>
      <c r="C288" s="3" t="s">
        <v>296</v>
      </c>
      <c r="D288" s="3" t="s">
        <v>337</v>
      </c>
      <c r="E288" s="14">
        <v>6768.21079303233</v>
      </c>
      <c r="F288" s="14">
        <v>9604.0566614851487</v>
      </c>
      <c r="G288" s="14">
        <v>16237.412608619818</v>
      </c>
      <c r="H288" s="14">
        <v>11477.889225359248</v>
      </c>
      <c r="I288" s="14">
        <v>13651.772804999437</v>
      </c>
      <c r="J288" s="14">
        <v>15388.860367598296</v>
      </c>
      <c r="K288" s="14">
        <v>16575.45596650906</v>
      </c>
      <c r="L288" s="14">
        <v>17805.603143285331</v>
      </c>
      <c r="M288" s="14">
        <v>19067.284714409285</v>
      </c>
      <c r="N288" s="14">
        <v>20237.256965046745</v>
      </c>
      <c r="O288" s="14">
        <v>21781.101267130744</v>
      </c>
    </row>
    <row r="289" spans="1:15" x14ac:dyDescent="0.3">
      <c r="A289" s="3" t="str">
        <f>INDEX('R1. Scenario specifications'!$C$11:$C$49,MATCH($B289,'R1. Scenario specifications'!$A$11:$A$49,0))</f>
        <v>Current 1.75DS, 2020 start, 'Expect the Unexpected' but with cheap energy efficiency</v>
      </c>
      <c r="B289" s="3" t="s">
        <v>41</v>
      </c>
      <c r="C289" s="3" t="s">
        <v>297</v>
      </c>
      <c r="D289" s="3" t="s">
        <v>338</v>
      </c>
      <c r="E289" s="14">
        <v>490.51449976830594</v>
      </c>
      <c r="F289" s="14">
        <v>524.93618944866842</v>
      </c>
      <c r="G289" s="14">
        <v>555.19395083536801</v>
      </c>
      <c r="H289" s="14">
        <v>559.27948645064043</v>
      </c>
      <c r="I289" s="14">
        <v>581.30123858818172</v>
      </c>
      <c r="J289" s="14">
        <v>595.35266871306351</v>
      </c>
      <c r="K289" s="14">
        <v>601.15064540820595</v>
      </c>
      <c r="L289" s="14">
        <v>600.62628992940495</v>
      </c>
      <c r="M289" s="14">
        <v>595.1473363544626</v>
      </c>
      <c r="N289" s="14">
        <v>578.76633104688926</v>
      </c>
      <c r="O289" s="14">
        <v>553.7094827760983</v>
      </c>
    </row>
    <row r="290" spans="1:15" x14ac:dyDescent="0.3">
      <c r="A290" s="3" t="str">
        <f>INDEX('R1. Scenario specifications'!$C$11:$C$49,MATCH($B290,'R1. Scenario specifications'!$A$11:$A$49,0))</f>
        <v>Current 1.75DS, 2030 start, 'Expect the Unexpected' but with cheap energy efficiency</v>
      </c>
      <c r="B290" s="3" t="s">
        <v>42</v>
      </c>
      <c r="C290" s="3" t="s">
        <v>290</v>
      </c>
      <c r="D290" s="3" t="s">
        <v>331</v>
      </c>
      <c r="E290" s="14">
        <v>303.90443076149791</v>
      </c>
      <c r="F290" s="14">
        <v>326.15031746610555</v>
      </c>
      <c r="G290" s="14">
        <v>347.05566024922416</v>
      </c>
      <c r="H290" s="14">
        <v>353.33506067595158</v>
      </c>
      <c r="I290" s="14">
        <v>446.19510656302759</v>
      </c>
      <c r="J290" s="14">
        <v>454.62675634489437</v>
      </c>
      <c r="K290" s="14">
        <v>447.63237305005373</v>
      </c>
      <c r="L290" s="14">
        <v>467.14602010241293</v>
      </c>
      <c r="M290" s="14">
        <v>465.28403692494106</v>
      </c>
      <c r="N290" s="14">
        <v>459.60882427825447</v>
      </c>
      <c r="O290" s="14">
        <v>451.3053218769607</v>
      </c>
    </row>
    <row r="291" spans="1:15" x14ac:dyDescent="0.3">
      <c r="A291" s="3" t="str">
        <f>INDEX('R1. Scenario specifications'!$C$11:$C$49,MATCH($B291,'R1. Scenario specifications'!$A$11:$A$49,0))</f>
        <v>Current 1.75DS, 2030 start, 'Expect the Unexpected' but with cheap energy efficiency</v>
      </c>
      <c r="B291" s="3" t="s">
        <v>42</v>
      </c>
      <c r="C291" s="3" t="s">
        <v>291</v>
      </c>
      <c r="D291" s="3" t="s">
        <v>332</v>
      </c>
      <c r="E291" s="14">
        <v>704.60532435919743</v>
      </c>
      <c r="F291" s="14">
        <v>860.97149986110526</v>
      </c>
      <c r="G291" s="14">
        <v>1146.4631336452248</v>
      </c>
      <c r="H291" s="14">
        <v>1500.2632370055153</v>
      </c>
      <c r="I291" s="14">
        <v>1914.9601144419125</v>
      </c>
      <c r="J291" s="14">
        <v>2285.3299005643939</v>
      </c>
      <c r="K291" s="14">
        <v>2432.1781465311269</v>
      </c>
      <c r="L291" s="14">
        <v>2737.7305150663819</v>
      </c>
      <c r="M291" s="14">
        <v>2882.8478579377579</v>
      </c>
      <c r="N291" s="14">
        <v>3041.2817268015974</v>
      </c>
      <c r="O291" s="14">
        <v>3167.3965157825701</v>
      </c>
    </row>
    <row r="292" spans="1:15" x14ac:dyDescent="0.3">
      <c r="A292" s="3" t="str">
        <f>INDEX('R1. Scenario specifications'!$C$11:$C$49,MATCH($B292,'R1. Scenario specifications'!$A$11:$A$49,0))</f>
        <v>Current 1.75DS, 2030 start, 'Expect the Unexpected' but with cheap energy efficiency</v>
      </c>
      <c r="B292" s="3" t="s">
        <v>42</v>
      </c>
      <c r="C292" s="3" t="s">
        <v>292</v>
      </c>
      <c r="D292" s="3" t="s">
        <v>333</v>
      </c>
      <c r="E292" s="14">
        <v>159.73830278697653</v>
      </c>
      <c r="F292" s="14">
        <v>169.39599598719545</v>
      </c>
      <c r="G292" s="14">
        <v>176.71914238919692</v>
      </c>
      <c r="H292" s="14">
        <v>175.15830181655548</v>
      </c>
      <c r="I292" s="14">
        <v>178.93494630264837</v>
      </c>
      <c r="J292" s="14">
        <v>180.1031409584196</v>
      </c>
      <c r="K292" s="14">
        <v>174.08624211859603</v>
      </c>
      <c r="L292" s="14">
        <v>175.78189501677815</v>
      </c>
      <c r="M292" s="14">
        <v>171.47940350173073</v>
      </c>
      <c r="N292" s="14">
        <v>166.23136037709438</v>
      </c>
      <c r="O292" s="14">
        <v>156.57306841562979</v>
      </c>
    </row>
    <row r="293" spans="1:15" x14ac:dyDescent="0.3">
      <c r="A293" s="3" t="str">
        <f>INDEX('R1. Scenario specifications'!$C$11:$C$49,MATCH($B293,'R1. Scenario specifications'!$A$11:$A$49,0))</f>
        <v>Current 1.75DS, 2030 start, 'Expect the Unexpected' but with cheap energy efficiency</v>
      </c>
      <c r="B293" s="3" t="s">
        <v>42</v>
      </c>
      <c r="C293" s="3" t="s">
        <v>293</v>
      </c>
      <c r="D293" s="3" t="s">
        <v>334</v>
      </c>
      <c r="E293" s="14">
        <v>773.46518919181767</v>
      </c>
      <c r="F293" s="14">
        <v>894.21413961009341</v>
      </c>
      <c r="G293" s="14">
        <v>1118.0496051339933</v>
      </c>
      <c r="H293" s="14">
        <v>1375.5475785566455</v>
      </c>
      <c r="I293" s="14">
        <v>1689.2067853781323</v>
      </c>
      <c r="J293" s="14">
        <v>2025.3126300276203</v>
      </c>
      <c r="K293" s="14">
        <v>2155.8041827402049</v>
      </c>
      <c r="L293" s="14">
        <v>2366.5190259502378</v>
      </c>
      <c r="M293" s="14">
        <v>2529.992064735849</v>
      </c>
      <c r="N293" s="14">
        <v>2652.8606561084157</v>
      </c>
      <c r="O293" s="14">
        <v>2749.480855643591</v>
      </c>
    </row>
    <row r="294" spans="1:15" x14ac:dyDescent="0.3">
      <c r="A294" s="3" t="str">
        <f>INDEX('R1. Scenario specifications'!$C$11:$C$49,MATCH($B294,'R1. Scenario specifications'!$A$11:$A$49,0))</f>
        <v>Current 1.75DS, 2030 start, 'Expect the Unexpected' but with cheap energy efficiency</v>
      </c>
      <c r="B294" s="3" t="s">
        <v>42</v>
      </c>
      <c r="C294" s="3" t="s">
        <v>294</v>
      </c>
      <c r="D294" s="3" t="s">
        <v>335</v>
      </c>
      <c r="E294" s="14">
        <v>3279.7723348946201</v>
      </c>
      <c r="F294" s="14">
        <v>4082.6935657435747</v>
      </c>
      <c r="G294" s="14">
        <v>5207.7532954788776</v>
      </c>
      <c r="H294" s="14">
        <v>5690.8087984717622</v>
      </c>
      <c r="I294" s="14">
        <v>5056.5616509460779</v>
      </c>
      <c r="J294" s="14">
        <v>5537.9480796105354</v>
      </c>
      <c r="K294" s="14">
        <v>5734.9804265829207</v>
      </c>
      <c r="L294" s="14">
        <v>6487.5889588852579</v>
      </c>
      <c r="M294" s="14">
        <v>6867.1036082954361</v>
      </c>
      <c r="N294" s="14">
        <v>7190.4106657258708</v>
      </c>
      <c r="O294" s="14">
        <v>7567.8825708237537</v>
      </c>
    </row>
    <row r="295" spans="1:15" x14ac:dyDescent="0.3">
      <c r="A295" s="3" t="str">
        <f>INDEX('R1. Scenario specifications'!$C$11:$C$49,MATCH($B295,'R1. Scenario specifications'!$A$11:$A$49,0))</f>
        <v>Current 1.75DS, 2030 start, 'Expect the Unexpected' but with cheap energy efficiency</v>
      </c>
      <c r="B295" s="3" t="s">
        <v>42</v>
      </c>
      <c r="C295" s="3" t="s">
        <v>295</v>
      </c>
      <c r="D295" s="3" t="s">
        <v>336</v>
      </c>
      <c r="E295" s="14">
        <v>554.93024628706178</v>
      </c>
      <c r="F295" s="14">
        <v>667.25533606737827</v>
      </c>
      <c r="G295" s="14">
        <v>860.61058351424708</v>
      </c>
      <c r="H295" s="14">
        <v>1088.2132483847263</v>
      </c>
      <c r="I295" s="14">
        <v>1357.8700662670692</v>
      </c>
      <c r="J295" s="14">
        <v>1597.5551101630847</v>
      </c>
      <c r="K295" s="14">
        <v>1707.1594634492881</v>
      </c>
      <c r="L295" s="14">
        <v>1899.2139543798023</v>
      </c>
      <c r="M295" s="14">
        <v>2049.3745228613966</v>
      </c>
      <c r="N295" s="14">
        <v>2172.6365939205948</v>
      </c>
      <c r="O295" s="14">
        <v>2242.6818804590948</v>
      </c>
    </row>
    <row r="296" spans="1:15" x14ac:dyDescent="0.3">
      <c r="A296" s="3" t="str">
        <f>INDEX('R1. Scenario specifications'!$C$11:$C$49,MATCH($B296,'R1. Scenario specifications'!$A$11:$A$49,0))</f>
        <v>Current 1.75DS, 2030 start, 'Expect the Unexpected' but with cheap energy efficiency</v>
      </c>
      <c r="B296" s="3" t="s">
        <v>42</v>
      </c>
      <c r="C296" s="3" t="s">
        <v>296</v>
      </c>
      <c r="D296" s="3" t="s">
        <v>337</v>
      </c>
      <c r="E296" s="14">
        <v>6768.21079303233</v>
      </c>
      <c r="F296" s="14">
        <v>9604.0566614851487</v>
      </c>
      <c r="G296" s="14">
        <v>16237.412608619818</v>
      </c>
      <c r="H296" s="14">
        <v>17601.175858707189</v>
      </c>
      <c r="I296" s="14">
        <v>13651.772804999446</v>
      </c>
      <c r="J296" s="14">
        <v>15195.587125883769</v>
      </c>
      <c r="K296" s="14">
        <v>15906.910943999454</v>
      </c>
      <c r="L296" s="14">
        <v>17805.603143285327</v>
      </c>
      <c r="M296" s="14">
        <v>19067.284714409285</v>
      </c>
      <c r="N296" s="14">
        <v>20192.755470602282</v>
      </c>
      <c r="O296" s="14">
        <v>21781.101267130729</v>
      </c>
    </row>
    <row r="297" spans="1:15" x14ac:dyDescent="0.3">
      <c r="A297" s="3" t="str">
        <f>INDEX('R1. Scenario specifications'!$C$11:$C$49,MATCH($B297,'R1. Scenario specifications'!$A$11:$A$49,0))</f>
        <v>Current 1.75DS, 2030 start, 'Expect the Unexpected' but with cheap energy efficiency</v>
      </c>
      <c r="B297" s="3" t="s">
        <v>42</v>
      </c>
      <c r="C297" s="3" t="s">
        <v>297</v>
      </c>
      <c r="D297" s="3" t="s">
        <v>338</v>
      </c>
      <c r="E297" s="14">
        <v>490.51449976830594</v>
      </c>
      <c r="F297" s="14">
        <v>524.93618944866842</v>
      </c>
      <c r="G297" s="14">
        <v>555.19395083536801</v>
      </c>
      <c r="H297" s="14">
        <v>559.27948645064043</v>
      </c>
      <c r="I297" s="14">
        <v>581.30123858818172</v>
      </c>
      <c r="J297" s="14">
        <v>595.35266871306351</v>
      </c>
      <c r="K297" s="14">
        <v>590.54282072537683</v>
      </c>
      <c r="L297" s="14">
        <v>600.62628992940495</v>
      </c>
      <c r="M297" s="14">
        <v>595.1473363544626</v>
      </c>
      <c r="N297" s="14">
        <v>585.49041985978283</v>
      </c>
      <c r="O297" s="14">
        <v>561.21853399383326</v>
      </c>
    </row>
    <row r="298" spans="1:15" x14ac:dyDescent="0.3">
      <c r="A298" s="3" t="str">
        <f>INDEX('R1. Scenario specifications'!$C$11:$C$49,MATCH($B298,'R1. Scenario specifications'!$A$11:$A$49,0))</f>
        <v>Current 1.75DS, 2020 start, 'Expect the Unexpected' but with most conservative biomass CCS / NET technology cost assumptions</v>
      </c>
      <c r="B298" s="3" t="s">
        <v>43</v>
      </c>
      <c r="C298" s="3" t="s">
        <v>290</v>
      </c>
      <c r="D298" s="3" t="s">
        <v>331</v>
      </c>
      <c r="E298" s="14">
        <v>303.90443076149791</v>
      </c>
      <c r="F298" s="14">
        <v>326.15031746610555</v>
      </c>
      <c r="G298" s="14">
        <v>347.05566024922416</v>
      </c>
      <c r="H298" s="14">
        <v>353.33506067595158</v>
      </c>
      <c r="I298" s="14">
        <v>371.44936105507918</v>
      </c>
      <c r="J298" s="14">
        <v>380.92275123968466</v>
      </c>
      <c r="K298" s="14">
        <v>387.07184299541927</v>
      </c>
      <c r="L298" s="14">
        <v>389.28835008534367</v>
      </c>
      <c r="M298" s="14">
        <v>387.7366974374512</v>
      </c>
      <c r="N298" s="14">
        <v>380.79181522698116</v>
      </c>
      <c r="O298" s="14">
        <v>374.82010566134647</v>
      </c>
    </row>
    <row r="299" spans="1:15" x14ac:dyDescent="0.3">
      <c r="A299" s="3" t="str">
        <f>INDEX('R1. Scenario specifications'!$C$11:$C$49,MATCH($B299,'R1. Scenario specifications'!$A$11:$A$49,0))</f>
        <v>Current 1.75DS, 2020 start, 'Expect the Unexpected' but with most conservative biomass CCS / NET technology cost assumptions</v>
      </c>
      <c r="B299" s="3" t="s">
        <v>43</v>
      </c>
      <c r="C299" s="3" t="s">
        <v>291</v>
      </c>
      <c r="D299" s="3" t="s">
        <v>332</v>
      </c>
      <c r="E299" s="14">
        <v>704.60532435919743</v>
      </c>
      <c r="F299" s="14">
        <v>860.97149986110526</v>
      </c>
      <c r="G299" s="14">
        <v>1146.4631336452248</v>
      </c>
      <c r="H299" s="14">
        <v>1498.4248051282871</v>
      </c>
      <c r="I299" s="14">
        <v>1900.9151025954807</v>
      </c>
      <c r="J299" s="14">
        <v>2301.9643754863282</v>
      </c>
      <c r="K299" s="14">
        <v>2526.4816167085232</v>
      </c>
      <c r="L299" s="14">
        <v>2687.1635235415729</v>
      </c>
      <c r="M299" s="14">
        <v>2855.6337226490095</v>
      </c>
      <c r="N299" s="14">
        <v>3015.9656722487853</v>
      </c>
      <c r="O299" s="14">
        <v>3075.5366297771066</v>
      </c>
    </row>
    <row r="300" spans="1:15" x14ac:dyDescent="0.3">
      <c r="A300" s="3" t="str">
        <f>INDEX('R1. Scenario specifications'!$C$11:$C$49,MATCH($B300,'R1. Scenario specifications'!$A$11:$A$49,0))</f>
        <v>Current 1.75DS, 2020 start, 'Expect the Unexpected' but with most conservative biomass CCS / NET technology cost assumptions</v>
      </c>
      <c r="B300" s="3" t="s">
        <v>43</v>
      </c>
      <c r="C300" s="3" t="s">
        <v>292</v>
      </c>
      <c r="D300" s="3" t="s">
        <v>333</v>
      </c>
      <c r="E300" s="14">
        <v>159.73830278697653</v>
      </c>
      <c r="F300" s="14">
        <v>169.39599598719545</v>
      </c>
      <c r="G300" s="14">
        <v>176.71914238919692</v>
      </c>
      <c r="H300" s="14">
        <v>175.15830181655548</v>
      </c>
      <c r="I300" s="14">
        <v>178.93494630264837</v>
      </c>
      <c r="J300" s="14">
        <v>180.1031409584196</v>
      </c>
      <c r="K300" s="14">
        <v>178.82582710171826</v>
      </c>
      <c r="L300" s="14">
        <v>175.78189501677815</v>
      </c>
      <c r="M300" s="14">
        <v>171.47940350173073</v>
      </c>
      <c r="N300" s="14">
        <v>160.64121332725054</v>
      </c>
      <c r="O300" s="14">
        <v>154.70898248772522</v>
      </c>
    </row>
    <row r="301" spans="1:15" x14ac:dyDescent="0.3">
      <c r="A301" s="3" t="str">
        <f>INDEX('R1. Scenario specifications'!$C$11:$C$49,MATCH($B301,'R1. Scenario specifications'!$A$11:$A$49,0))</f>
        <v>Current 1.75DS, 2020 start, 'Expect the Unexpected' but with most conservative biomass CCS / NET technology cost assumptions</v>
      </c>
      <c r="B301" s="3" t="s">
        <v>43</v>
      </c>
      <c r="C301" s="3" t="s">
        <v>293</v>
      </c>
      <c r="D301" s="3" t="s">
        <v>334</v>
      </c>
      <c r="E301" s="14">
        <v>773.46518919181767</v>
      </c>
      <c r="F301" s="14">
        <v>894.21413961009341</v>
      </c>
      <c r="G301" s="14">
        <v>1118.0496051339933</v>
      </c>
      <c r="H301" s="14">
        <v>1375.5475785566452</v>
      </c>
      <c r="I301" s="14">
        <v>1689.2067853781318</v>
      </c>
      <c r="J301" s="14">
        <v>2025.3126300276215</v>
      </c>
      <c r="K301" s="14">
        <v>2195.4707514569673</v>
      </c>
      <c r="L301" s="14">
        <v>2366.5190259502378</v>
      </c>
      <c r="M301" s="14">
        <v>2497.8257750611001</v>
      </c>
      <c r="N301" s="14">
        <v>2604.6522463608253</v>
      </c>
      <c r="O301" s="14">
        <v>2721.3886073149233</v>
      </c>
    </row>
    <row r="302" spans="1:15" x14ac:dyDescent="0.3">
      <c r="A302" s="3" t="str">
        <f>INDEX('R1. Scenario specifications'!$C$11:$C$49,MATCH($B302,'R1. Scenario specifications'!$A$11:$A$49,0))</f>
        <v>Current 1.75DS, 2020 start, 'Expect the Unexpected' but with most conservative biomass CCS / NET technology cost assumptions</v>
      </c>
      <c r="B302" s="3" t="s">
        <v>43</v>
      </c>
      <c r="C302" s="3" t="s">
        <v>294</v>
      </c>
      <c r="D302" s="3" t="s">
        <v>335</v>
      </c>
      <c r="E302" s="14">
        <v>3279.7723348946201</v>
      </c>
      <c r="F302" s="14">
        <v>4082.6935657435747</v>
      </c>
      <c r="G302" s="14">
        <v>5207.7532954788776</v>
      </c>
      <c r="H302" s="14">
        <v>5612.7086547850195</v>
      </c>
      <c r="I302" s="14">
        <v>6194.2895228926463</v>
      </c>
      <c r="J302" s="14">
        <v>7179.6635334108996</v>
      </c>
      <c r="K302" s="14">
        <v>7799.8852056880687</v>
      </c>
      <c r="L302" s="14">
        <v>8328.3318665973238</v>
      </c>
      <c r="M302" s="14">
        <v>8818.1184354551406</v>
      </c>
      <c r="N302" s="14">
        <v>9239.3181091668994</v>
      </c>
      <c r="O302" s="14">
        <v>9754.0129210296163</v>
      </c>
    </row>
    <row r="303" spans="1:15" x14ac:dyDescent="0.3">
      <c r="A303" s="3" t="str">
        <f>INDEX('R1. Scenario specifications'!$C$11:$C$49,MATCH($B303,'R1. Scenario specifications'!$A$11:$A$49,0))</f>
        <v>Current 1.75DS, 2020 start, 'Expect the Unexpected' but with most conservative biomass CCS / NET technology cost assumptions</v>
      </c>
      <c r="B303" s="3" t="s">
        <v>43</v>
      </c>
      <c r="C303" s="3" t="s">
        <v>295</v>
      </c>
      <c r="D303" s="3" t="s">
        <v>336</v>
      </c>
      <c r="E303" s="14">
        <v>554.93024628706178</v>
      </c>
      <c r="F303" s="14">
        <v>667.25533606737827</v>
      </c>
      <c r="G303" s="14">
        <v>860.61058351424708</v>
      </c>
      <c r="H303" s="14">
        <v>1076.3228730583123</v>
      </c>
      <c r="I303" s="14">
        <v>1348.376183226726</v>
      </c>
      <c r="J303" s="14">
        <v>1606.6110671434399</v>
      </c>
      <c r="K303" s="14">
        <v>1752.4801780844161</v>
      </c>
      <c r="L303" s="14">
        <v>1888.4907289103617</v>
      </c>
      <c r="M303" s="14">
        <v>2014.930996749755</v>
      </c>
      <c r="N303" s="14">
        <v>2104.4784752299583</v>
      </c>
      <c r="O303" s="14">
        <v>2171.1120465698023</v>
      </c>
    </row>
    <row r="304" spans="1:15" x14ac:dyDescent="0.3">
      <c r="A304" s="3" t="str">
        <f>INDEX('R1. Scenario specifications'!$C$11:$C$49,MATCH($B304,'R1. Scenario specifications'!$A$11:$A$49,0))</f>
        <v>Current 1.75DS, 2020 start, 'Expect the Unexpected' but with most conservative biomass CCS / NET technology cost assumptions</v>
      </c>
      <c r="B304" s="3" t="s">
        <v>43</v>
      </c>
      <c r="C304" s="3" t="s">
        <v>296</v>
      </c>
      <c r="D304" s="3" t="s">
        <v>337</v>
      </c>
      <c r="E304" s="14">
        <v>6768.21079303233</v>
      </c>
      <c r="F304" s="14">
        <v>9604.0566614851487</v>
      </c>
      <c r="G304" s="14">
        <v>16237.412608619818</v>
      </c>
      <c r="H304" s="14">
        <v>17302.633767432406</v>
      </c>
      <c r="I304" s="14">
        <v>16801.338695619681</v>
      </c>
      <c r="J304" s="14">
        <v>19816.623293911936</v>
      </c>
      <c r="K304" s="14">
        <v>21557.820144873418</v>
      </c>
      <c r="L304" s="14">
        <v>23186.444675675011</v>
      </c>
      <c r="M304" s="14">
        <v>24664.654912235452</v>
      </c>
      <c r="N304" s="14">
        <v>25910.322765595352</v>
      </c>
      <c r="O304" s="14">
        <v>28325.384899282522</v>
      </c>
    </row>
    <row r="305" spans="1:15" x14ac:dyDescent="0.3">
      <c r="A305" s="3" t="str">
        <f>INDEX('R1. Scenario specifications'!$C$11:$C$49,MATCH($B305,'R1. Scenario specifications'!$A$11:$A$49,0))</f>
        <v>Current 1.75DS, 2020 start, 'Expect the Unexpected' but with most conservative biomass CCS / NET technology cost assumptions</v>
      </c>
      <c r="B305" s="3" t="s">
        <v>43</v>
      </c>
      <c r="C305" s="3" t="s">
        <v>297</v>
      </c>
      <c r="D305" s="3" t="s">
        <v>338</v>
      </c>
      <c r="E305" s="14">
        <v>490.51449976830594</v>
      </c>
      <c r="F305" s="14">
        <v>524.93618944866842</v>
      </c>
      <c r="G305" s="14">
        <v>555.19395083536801</v>
      </c>
      <c r="H305" s="14">
        <v>559.27948645064043</v>
      </c>
      <c r="I305" s="14">
        <v>581.30123858818172</v>
      </c>
      <c r="J305" s="14">
        <v>595.35266871306351</v>
      </c>
      <c r="K305" s="14">
        <v>601.15064540820595</v>
      </c>
      <c r="L305" s="14">
        <v>600.62628992940495</v>
      </c>
      <c r="M305" s="14">
        <v>595.1473363544626</v>
      </c>
      <c r="N305" s="14">
        <v>567.4346118065929</v>
      </c>
      <c r="O305" s="14">
        <v>552.07670645374901</v>
      </c>
    </row>
    <row r="306" spans="1:15" x14ac:dyDescent="0.3">
      <c r="A306" s="3" t="str">
        <f>INDEX('R1. Scenario specifications'!$C$11:$C$49,MATCH($B306,'R1. Scenario specifications'!$A$11:$A$49,0))</f>
        <v>Current 2DS, 2020 start, 'Expect the unexpceted' but with expensive renewables (cheap CCS)</v>
      </c>
      <c r="B306" s="3" t="s">
        <v>1026</v>
      </c>
      <c r="C306" s="3" t="s">
        <v>290</v>
      </c>
      <c r="D306" s="3" t="s">
        <v>331</v>
      </c>
      <c r="E306" s="14">
        <v>303.90443076149791</v>
      </c>
      <c r="F306" s="14">
        <v>326.15031746610555</v>
      </c>
      <c r="G306" s="14">
        <v>347.05566024922416</v>
      </c>
      <c r="H306" s="14">
        <v>353.33506067595158</v>
      </c>
      <c r="I306" s="14">
        <v>371.01459260345575</v>
      </c>
      <c r="J306" s="14">
        <v>380.92275123968466</v>
      </c>
      <c r="K306" s="14">
        <v>387.07184299541922</v>
      </c>
      <c r="L306" s="14">
        <v>389.28835008534372</v>
      </c>
      <c r="M306" s="14">
        <v>387.7366974374512</v>
      </c>
      <c r="N306" s="14">
        <v>382.57443348185325</v>
      </c>
      <c r="O306" s="14">
        <v>376.08776823080092</v>
      </c>
    </row>
    <row r="307" spans="1:15" x14ac:dyDescent="0.3">
      <c r="A307" s="3" t="str">
        <f>INDEX('R1. Scenario specifications'!$C$11:$C$49,MATCH($B307,'R1. Scenario specifications'!$A$11:$A$49,0))</f>
        <v>Current 2DS, 2020 start, 'Expect the unexpceted' but with expensive renewables (cheap CCS)</v>
      </c>
      <c r="B307" s="3" t="s">
        <v>1026</v>
      </c>
      <c r="C307" s="3" t="s">
        <v>291</v>
      </c>
      <c r="D307" s="3" t="s">
        <v>332</v>
      </c>
      <c r="E307" s="14">
        <v>704.60532435919743</v>
      </c>
      <c r="F307" s="14">
        <v>860.97149986110526</v>
      </c>
      <c r="G307" s="14">
        <v>1146.4631336452248</v>
      </c>
      <c r="H307" s="14">
        <v>1500.2632370055153</v>
      </c>
      <c r="I307" s="14">
        <v>1914.9601144419134</v>
      </c>
      <c r="J307" s="14">
        <v>2347.7648944910593</v>
      </c>
      <c r="K307" s="14">
        <v>2561.4036521643475</v>
      </c>
      <c r="L307" s="14">
        <v>2724.9175226161587</v>
      </c>
      <c r="M307" s="14">
        <v>2882.8478579377565</v>
      </c>
      <c r="N307" s="14">
        <v>3037.4861790801351</v>
      </c>
      <c r="O307" s="14">
        <v>3162.2217254749339</v>
      </c>
    </row>
    <row r="308" spans="1:15" x14ac:dyDescent="0.3">
      <c r="A308" s="3" t="str">
        <f>INDEX('R1. Scenario specifications'!$C$11:$C$49,MATCH($B308,'R1. Scenario specifications'!$A$11:$A$49,0))</f>
        <v>Current 2DS, 2020 start, 'Expect the unexpceted' but with expensive renewables (cheap CCS)</v>
      </c>
      <c r="B308" s="3" t="s">
        <v>1026</v>
      </c>
      <c r="C308" s="3" t="s">
        <v>292</v>
      </c>
      <c r="D308" s="3" t="s">
        <v>333</v>
      </c>
      <c r="E308" s="14">
        <v>159.73830278697653</v>
      </c>
      <c r="F308" s="14">
        <v>169.39599598719545</v>
      </c>
      <c r="G308" s="14">
        <v>176.71914238919692</v>
      </c>
      <c r="H308" s="14">
        <v>175.15830181655548</v>
      </c>
      <c r="I308" s="14">
        <v>178.93494630264837</v>
      </c>
      <c r="J308" s="14">
        <v>180.1031409584196</v>
      </c>
      <c r="K308" s="14">
        <v>178.82582710171826</v>
      </c>
      <c r="L308" s="14">
        <v>175.78189501677815</v>
      </c>
      <c r="M308" s="14">
        <v>171.47940350173073</v>
      </c>
      <c r="N308" s="14">
        <v>166.23136037709438</v>
      </c>
      <c r="O308" s="14">
        <v>156.57306841562979</v>
      </c>
    </row>
    <row r="309" spans="1:15" x14ac:dyDescent="0.3">
      <c r="A309" s="3" t="str">
        <f>INDEX('R1. Scenario specifications'!$C$11:$C$49,MATCH($B309,'R1. Scenario specifications'!$A$11:$A$49,0))</f>
        <v>Current 2DS, 2020 start, 'Expect the unexpceted' but with expensive renewables (cheap CCS)</v>
      </c>
      <c r="B309" s="3" t="s">
        <v>1026</v>
      </c>
      <c r="C309" s="3" t="s">
        <v>293</v>
      </c>
      <c r="D309" s="3" t="s">
        <v>334</v>
      </c>
      <c r="E309" s="14">
        <v>773.46518919181767</v>
      </c>
      <c r="F309" s="14">
        <v>894.21413961009341</v>
      </c>
      <c r="G309" s="14">
        <v>1118.0496051339933</v>
      </c>
      <c r="H309" s="14">
        <v>1375.547578556645</v>
      </c>
      <c r="I309" s="14">
        <v>1689.2067853781327</v>
      </c>
      <c r="J309" s="14">
        <v>2025.3126300276213</v>
      </c>
      <c r="K309" s="14">
        <v>2195.4707514569677</v>
      </c>
      <c r="L309" s="14">
        <v>2366.5190259502378</v>
      </c>
      <c r="M309" s="14">
        <v>2499.1965976780884</v>
      </c>
      <c r="N309" s="14">
        <v>2652.8606561084148</v>
      </c>
      <c r="O309" s="14">
        <v>2747.6618566057978</v>
      </c>
    </row>
    <row r="310" spans="1:15" x14ac:dyDescent="0.3">
      <c r="A310" s="3" t="str">
        <f>INDEX('R1. Scenario specifications'!$C$11:$C$49,MATCH($B310,'R1. Scenario specifications'!$A$11:$A$49,0))</f>
        <v>Current 2DS, 2020 start, 'Expect the unexpceted' but with expensive renewables (cheap CCS)</v>
      </c>
      <c r="B310" s="3" t="s">
        <v>1026</v>
      </c>
      <c r="C310" s="3" t="s">
        <v>294</v>
      </c>
      <c r="D310" s="3" t="s">
        <v>335</v>
      </c>
      <c r="E310" s="14">
        <v>3279.7723348946201</v>
      </c>
      <c r="F310" s="14">
        <v>4082.6935657435747</v>
      </c>
      <c r="G310" s="14">
        <v>5207.7532954788776</v>
      </c>
      <c r="H310" s="14">
        <v>5633.4127499572569</v>
      </c>
      <c r="I310" s="14">
        <v>6178.5040363303324</v>
      </c>
      <c r="J310" s="14">
        <v>7203.5812793083487</v>
      </c>
      <c r="K310" s="14">
        <v>7780.894429968871</v>
      </c>
      <c r="L310" s="14">
        <v>8388.7237667087447</v>
      </c>
      <c r="M310" s="14">
        <v>8862.9589455843361</v>
      </c>
      <c r="N310" s="14">
        <v>9292.3743838623504</v>
      </c>
      <c r="O310" s="14">
        <v>9772.2193010640385</v>
      </c>
    </row>
    <row r="311" spans="1:15" x14ac:dyDescent="0.3">
      <c r="A311" s="3" t="str">
        <f>INDEX('R1. Scenario specifications'!$C$11:$C$49,MATCH($B311,'R1. Scenario specifications'!$A$11:$A$49,0))</f>
        <v>Current 2DS, 2020 start, 'Expect the unexpceted' but with expensive renewables (cheap CCS)</v>
      </c>
      <c r="B311" s="3" t="s">
        <v>1026</v>
      </c>
      <c r="C311" s="3" t="s">
        <v>295</v>
      </c>
      <c r="D311" s="3" t="s">
        <v>336</v>
      </c>
      <c r="E311" s="14">
        <v>554.93024628706178</v>
      </c>
      <c r="F311" s="14">
        <v>667.25533606737827</v>
      </c>
      <c r="G311" s="14">
        <v>860.61058351424708</v>
      </c>
      <c r="H311" s="14">
        <v>1080.7393178496186</v>
      </c>
      <c r="I311" s="14">
        <v>1357.2756902145388</v>
      </c>
      <c r="J311" s="14">
        <v>1639.7075865967399</v>
      </c>
      <c r="K311" s="14">
        <v>1775.0011412013057</v>
      </c>
      <c r="L311" s="14">
        <v>1898.2256893078245</v>
      </c>
      <c r="M311" s="14">
        <v>2033.8602482935487</v>
      </c>
      <c r="N311" s="14">
        <v>2170.9472242441202</v>
      </c>
      <c r="O311" s="14">
        <v>2248.1681962824391</v>
      </c>
    </row>
    <row r="312" spans="1:15" x14ac:dyDescent="0.3">
      <c r="A312" s="3" t="str">
        <f>INDEX('R1. Scenario specifications'!$C$11:$C$49,MATCH($B312,'R1. Scenario specifications'!$A$11:$A$49,0))</f>
        <v>Current 2DS, 2020 start, 'Expect the unexpceted' but with expensive renewables (cheap CCS)</v>
      </c>
      <c r="B312" s="3" t="s">
        <v>1026</v>
      </c>
      <c r="C312" s="3" t="s">
        <v>296</v>
      </c>
      <c r="D312" s="3" t="s">
        <v>337</v>
      </c>
      <c r="E312" s="14">
        <v>6768.21079303233</v>
      </c>
      <c r="F312" s="14">
        <v>9604.0566614851487</v>
      </c>
      <c r="G312" s="14">
        <v>16237.412608619818</v>
      </c>
      <c r="H312" s="14">
        <v>17601.175858707189</v>
      </c>
      <c r="I312" s="14">
        <v>16847.459696406273</v>
      </c>
      <c r="J312" s="14">
        <v>20017.263086372121</v>
      </c>
      <c r="K312" s="14">
        <v>21574.389624117837</v>
      </c>
      <c r="L312" s="14">
        <v>23186.444675675011</v>
      </c>
      <c r="M312" s="14">
        <v>24842.038645199053</v>
      </c>
      <c r="N312" s="14">
        <v>26394.261075993796</v>
      </c>
      <c r="O312" s="14">
        <v>28340.663044590572</v>
      </c>
    </row>
    <row r="313" spans="1:15" x14ac:dyDescent="0.3">
      <c r="A313" s="3" t="str">
        <f>INDEX('R1. Scenario specifications'!$C$11:$C$49,MATCH($B313,'R1. Scenario specifications'!$A$11:$A$49,0))</f>
        <v>Current 2DS, 2020 start, 'Expect the unexpceted' but with expensive renewables (cheap CCS)</v>
      </c>
      <c r="B313" s="3" t="s">
        <v>1026</v>
      </c>
      <c r="C313" s="3" t="s">
        <v>297</v>
      </c>
      <c r="D313" s="3" t="s">
        <v>338</v>
      </c>
      <c r="E313" s="14">
        <v>490.51449976830594</v>
      </c>
      <c r="F313" s="14">
        <v>524.93618944866842</v>
      </c>
      <c r="G313" s="14">
        <v>555.19395083536801</v>
      </c>
      <c r="H313" s="14">
        <v>559.27948645064043</v>
      </c>
      <c r="I313" s="14">
        <v>581.30123858818172</v>
      </c>
      <c r="J313" s="14">
        <v>595.35266871306351</v>
      </c>
      <c r="K313" s="14">
        <v>601.15064540820595</v>
      </c>
      <c r="L313" s="14">
        <v>600.62628992940495</v>
      </c>
      <c r="M313" s="14">
        <v>595.1473363544626</v>
      </c>
      <c r="N313" s="14">
        <v>585.49041985978283</v>
      </c>
      <c r="O313" s="14">
        <v>561.21853399383326</v>
      </c>
    </row>
    <row r="314" spans="1:15" x14ac:dyDescent="0.3">
      <c r="A314" s="3" t="str">
        <f>INDEX('R1. Scenario specifications'!$C$11:$C$49,MATCH($B314,'R1. Scenario specifications'!$A$11:$A$49,0))</f>
        <v>Current 2DS, 2030 start, 'Expect the Unexpected' but with cheap renewables</v>
      </c>
      <c r="B314" s="3" t="s">
        <v>44</v>
      </c>
      <c r="C314" s="3" t="s">
        <v>290</v>
      </c>
      <c r="D314" s="3" t="s">
        <v>331</v>
      </c>
      <c r="E314" s="14">
        <v>303.90443076149791</v>
      </c>
      <c r="F314" s="14">
        <v>326.15031746610555</v>
      </c>
      <c r="G314" s="14">
        <v>347.05566024922416</v>
      </c>
      <c r="H314" s="14">
        <v>353.33506067595158</v>
      </c>
      <c r="I314" s="14">
        <v>371.01459260345575</v>
      </c>
      <c r="J314" s="14">
        <v>380.92275123968466</v>
      </c>
      <c r="K314" s="14">
        <v>387.07184299541927</v>
      </c>
      <c r="L314" s="14">
        <v>389.28835008534367</v>
      </c>
      <c r="M314" s="14">
        <v>387.7366974374512</v>
      </c>
      <c r="N314" s="14">
        <v>383.00735356521182</v>
      </c>
      <c r="O314" s="14">
        <v>376.08776823080092</v>
      </c>
    </row>
    <row r="315" spans="1:15" x14ac:dyDescent="0.3">
      <c r="A315" s="3" t="str">
        <f>INDEX('R1. Scenario specifications'!$C$11:$C$49,MATCH($B315,'R1. Scenario specifications'!$A$11:$A$49,0))</f>
        <v>Current 2DS, 2030 start, 'Expect the Unexpected' but with cheap renewables</v>
      </c>
      <c r="B315" s="3" t="s">
        <v>44</v>
      </c>
      <c r="C315" s="3" t="s">
        <v>291</v>
      </c>
      <c r="D315" s="3" t="s">
        <v>332</v>
      </c>
      <c r="E315" s="14">
        <v>704.60532435919743</v>
      </c>
      <c r="F315" s="14">
        <v>860.97149986110526</v>
      </c>
      <c r="G315" s="14">
        <v>1146.4631336452248</v>
      </c>
      <c r="H315" s="14">
        <v>1500.2632370055153</v>
      </c>
      <c r="I315" s="14">
        <v>1914.9601144419121</v>
      </c>
      <c r="J315" s="14">
        <v>2347.7648944910584</v>
      </c>
      <c r="K315" s="14">
        <v>2553.8577005463108</v>
      </c>
      <c r="L315" s="14">
        <v>2750.9625718171419</v>
      </c>
      <c r="M315" s="14">
        <v>2887.5065495135618</v>
      </c>
      <c r="N315" s="14">
        <v>3060.8439573780524</v>
      </c>
      <c r="O315" s="14">
        <v>3191.1624856039052</v>
      </c>
    </row>
    <row r="316" spans="1:15" x14ac:dyDescent="0.3">
      <c r="A316" s="3" t="str">
        <f>INDEX('R1. Scenario specifications'!$C$11:$C$49,MATCH($B316,'R1. Scenario specifications'!$A$11:$A$49,0))</f>
        <v>Current 2DS, 2030 start, 'Expect the Unexpected' but with cheap renewables</v>
      </c>
      <c r="B316" s="3" t="s">
        <v>44</v>
      </c>
      <c r="C316" s="3" t="s">
        <v>292</v>
      </c>
      <c r="D316" s="3" t="s">
        <v>333</v>
      </c>
      <c r="E316" s="14">
        <v>159.73830278697653</v>
      </c>
      <c r="F316" s="14">
        <v>169.39599598719545</v>
      </c>
      <c r="G316" s="14">
        <v>176.71914238919692</v>
      </c>
      <c r="H316" s="14">
        <v>175.15830181655548</v>
      </c>
      <c r="I316" s="14">
        <v>178.93494630264837</v>
      </c>
      <c r="J316" s="14">
        <v>180.1031409584196</v>
      </c>
      <c r="K316" s="14">
        <v>178.82582710171826</v>
      </c>
      <c r="L316" s="14">
        <v>175.78189501677815</v>
      </c>
      <c r="M316" s="14">
        <v>171.47940350173073</v>
      </c>
      <c r="N316" s="14">
        <v>166.23136037709438</v>
      </c>
      <c r="O316" s="14">
        <v>157.95022410360684</v>
      </c>
    </row>
    <row r="317" spans="1:15" x14ac:dyDescent="0.3">
      <c r="A317" s="3" t="str">
        <f>INDEX('R1. Scenario specifications'!$C$11:$C$49,MATCH($B317,'R1. Scenario specifications'!$A$11:$A$49,0))</f>
        <v>Current 2DS, 2030 start, 'Expect the Unexpected' but with cheap renewables</v>
      </c>
      <c r="B317" s="3" t="s">
        <v>44</v>
      </c>
      <c r="C317" s="3" t="s">
        <v>293</v>
      </c>
      <c r="D317" s="3" t="s">
        <v>334</v>
      </c>
      <c r="E317" s="14">
        <v>773.46518919181767</v>
      </c>
      <c r="F317" s="14">
        <v>894.21413961009341</v>
      </c>
      <c r="G317" s="14">
        <v>1118.0496051339933</v>
      </c>
      <c r="H317" s="14">
        <v>1375.5475785566455</v>
      </c>
      <c r="I317" s="14">
        <v>1689.2067853781327</v>
      </c>
      <c r="J317" s="14">
        <v>2025.3126300276224</v>
      </c>
      <c r="K317" s="14">
        <v>2195.4707514569686</v>
      </c>
      <c r="L317" s="14">
        <v>2366.5190259502374</v>
      </c>
      <c r="M317" s="14">
        <v>2529.9920647358481</v>
      </c>
      <c r="N317" s="14">
        <v>2652.8606561084157</v>
      </c>
      <c r="O317" s="14">
        <v>2755.3428304666254</v>
      </c>
    </row>
    <row r="318" spans="1:15" x14ac:dyDescent="0.3">
      <c r="A318" s="3" t="str">
        <f>INDEX('R1. Scenario specifications'!$C$11:$C$49,MATCH($B318,'R1. Scenario specifications'!$A$11:$A$49,0))</f>
        <v>Current 2DS, 2030 start, 'Expect the Unexpected' but with cheap renewables</v>
      </c>
      <c r="B318" s="3" t="s">
        <v>44</v>
      </c>
      <c r="C318" s="3" t="s">
        <v>294</v>
      </c>
      <c r="D318" s="3" t="s">
        <v>335</v>
      </c>
      <c r="E318" s="14">
        <v>3279.7723348946201</v>
      </c>
      <c r="F318" s="14">
        <v>4082.6935657435747</v>
      </c>
      <c r="G318" s="14">
        <v>5207.7532954788776</v>
      </c>
      <c r="H318" s="14">
        <v>5690.8087984717622</v>
      </c>
      <c r="I318" s="14">
        <v>6178.5040363303306</v>
      </c>
      <c r="J318" s="14">
        <v>7203.5812793083469</v>
      </c>
      <c r="K318" s="14">
        <v>7777.7884243308908</v>
      </c>
      <c r="L318" s="14">
        <v>8388.7237667087411</v>
      </c>
      <c r="M318" s="14">
        <v>8881.1237676971632</v>
      </c>
      <c r="N318" s="14">
        <v>9253.9127603291709</v>
      </c>
      <c r="O318" s="14">
        <v>9801.0400626348892</v>
      </c>
    </row>
    <row r="319" spans="1:15" x14ac:dyDescent="0.3">
      <c r="A319" s="3" t="str">
        <f>INDEX('R1. Scenario specifications'!$C$11:$C$49,MATCH($B319,'R1. Scenario specifications'!$A$11:$A$49,0))</f>
        <v>Current 2DS, 2030 start, 'Expect the Unexpected' but with cheap renewables</v>
      </c>
      <c r="B319" s="3" t="s">
        <v>44</v>
      </c>
      <c r="C319" s="3" t="s">
        <v>295</v>
      </c>
      <c r="D319" s="3" t="s">
        <v>336</v>
      </c>
      <c r="E319" s="14">
        <v>554.93024628706178</v>
      </c>
      <c r="F319" s="14">
        <v>667.25533606737827</v>
      </c>
      <c r="G319" s="14">
        <v>860.61058351424708</v>
      </c>
      <c r="H319" s="14">
        <v>1088.2132483847263</v>
      </c>
      <c r="I319" s="14">
        <v>1361.5777300071213</v>
      </c>
      <c r="J319" s="14">
        <v>1624.8672694493314</v>
      </c>
      <c r="K319" s="14">
        <v>1782.5456562963541</v>
      </c>
      <c r="L319" s="14">
        <v>1906.0084099453602</v>
      </c>
      <c r="M319" s="14">
        <v>2051.9355173388799</v>
      </c>
      <c r="N319" s="14">
        <v>2172.6365939205934</v>
      </c>
      <c r="O319" s="14">
        <v>2257.7563663759415</v>
      </c>
    </row>
    <row r="320" spans="1:15" x14ac:dyDescent="0.3">
      <c r="A320" s="3" t="str">
        <f>INDEX('R1. Scenario specifications'!$C$11:$C$49,MATCH($B320,'R1. Scenario specifications'!$A$11:$A$49,0))</f>
        <v>Current 2DS, 2030 start, 'Expect the Unexpected' but with cheap renewables</v>
      </c>
      <c r="B320" s="3" t="s">
        <v>44</v>
      </c>
      <c r="C320" s="3" t="s">
        <v>296</v>
      </c>
      <c r="D320" s="3" t="s">
        <v>337</v>
      </c>
      <c r="E320" s="14">
        <v>6768.21079303233</v>
      </c>
      <c r="F320" s="14">
        <v>9604.0566614851487</v>
      </c>
      <c r="G320" s="14">
        <v>16237.412608619818</v>
      </c>
      <c r="H320" s="14">
        <v>17601.175858707189</v>
      </c>
      <c r="I320" s="14">
        <v>16847.45969640628</v>
      </c>
      <c r="J320" s="14">
        <v>20017.26308637211</v>
      </c>
      <c r="K320" s="14">
        <v>21557.820144873422</v>
      </c>
      <c r="L320" s="14">
        <v>23186.444675675008</v>
      </c>
      <c r="M320" s="14">
        <v>24842.038645199053</v>
      </c>
      <c r="N320" s="14">
        <v>26374.214972998539</v>
      </c>
      <c r="O320" s="14">
        <v>28404.542404349635</v>
      </c>
    </row>
    <row r="321" spans="1:15" x14ac:dyDescent="0.3">
      <c r="A321" s="3" t="str">
        <f>INDEX('R1. Scenario specifications'!$C$11:$C$49,MATCH($B321,'R1. Scenario specifications'!$A$11:$A$49,0))</f>
        <v>Current 2DS, 2030 start, 'Expect the Unexpected' but with cheap renewables</v>
      </c>
      <c r="B321" s="3" t="s">
        <v>44</v>
      </c>
      <c r="C321" s="3" t="s">
        <v>297</v>
      </c>
      <c r="D321" s="3" t="s">
        <v>338</v>
      </c>
      <c r="E321" s="14">
        <v>490.51449976830594</v>
      </c>
      <c r="F321" s="14">
        <v>524.93618944866842</v>
      </c>
      <c r="G321" s="14">
        <v>555.19395083536801</v>
      </c>
      <c r="H321" s="14">
        <v>559.27948645064043</v>
      </c>
      <c r="I321" s="14">
        <v>581.30123858818172</v>
      </c>
      <c r="J321" s="14">
        <v>595.35266871306351</v>
      </c>
      <c r="K321" s="14">
        <v>601.15064540820595</v>
      </c>
      <c r="L321" s="14">
        <v>600.62628992940495</v>
      </c>
      <c r="M321" s="14">
        <v>595.1473363544626</v>
      </c>
      <c r="N321" s="14">
        <v>585.49041985978283</v>
      </c>
      <c r="O321" s="14">
        <v>565.93516358738827</v>
      </c>
    </row>
    <row r="322" spans="1:15" x14ac:dyDescent="0.3">
      <c r="A322" s="3" t="str">
        <f>INDEX('R1. Scenario specifications'!$C$11:$C$49,MATCH($B322,'R1. Scenario specifications'!$A$11:$A$49,0))</f>
        <v>Current 2DS, 2020 start, 'Expect the Unexpected' but with cheap CCS</v>
      </c>
      <c r="B322" s="3" t="s">
        <v>45</v>
      </c>
      <c r="C322" s="3" t="s">
        <v>290</v>
      </c>
      <c r="D322" s="3" t="s">
        <v>331</v>
      </c>
      <c r="E322" s="14">
        <v>303.90443076149791</v>
      </c>
      <c r="F322" s="14">
        <v>326.15031746610555</v>
      </c>
      <c r="G322" s="14">
        <v>347.05566024922416</v>
      </c>
      <c r="H322" s="14">
        <v>353.33506067595158</v>
      </c>
      <c r="I322" s="14">
        <v>371.01459260345575</v>
      </c>
      <c r="J322" s="14">
        <v>380.92275123968466</v>
      </c>
      <c r="K322" s="14">
        <v>387.07184299541916</v>
      </c>
      <c r="L322" s="14">
        <v>389.28835008534389</v>
      </c>
      <c r="M322" s="14">
        <v>387.7366974374512</v>
      </c>
      <c r="N322" s="14">
        <v>383.00735356521187</v>
      </c>
      <c r="O322" s="14">
        <v>376.08776823080092</v>
      </c>
    </row>
    <row r="323" spans="1:15" x14ac:dyDescent="0.3">
      <c r="A323" s="3" t="str">
        <f>INDEX('R1. Scenario specifications'!$C$11:$C$49,MATCH($B323,'R1. Scenario specifications'!$A$11:$A$49,0))</f>
        <v>Current 2DS, 2020 start, 'Expect the Unexpected' but with cheap CCS</v>
      </c>
      <c r="B323" s="3" t="s">
        <v>45</v>
      </c>
      <c r="C323" s="3" t="s">
        <v>291</v>
      </c>
      <c r="D323" s="3" t="s">
        <v>332</v>
      </c>
      <c r="E323" s="14">
        <v>704.60532435919743</v>
      </c>
      <c r="F323" s="14">
        <v>860.97149986110526</v>
      </c>
      <c r="G323" s="14">
        <v>1146.4631336452248</v>
      </c>
      <c r="H323" s="14">
        <v>1500.2632370055148</v>
      </c>
      <c r="I323" s="14">
        <v>1914.9601144419132</v>
      </c>
      <c r="J323" s="14">
        <v>2347.7648944910588</v>
      </c>
      <c r="K323" s="14">
        <v>2571.6540711055573</v>
      </c>
      <c r="L323" s="14">
        <v>2752.7345010796885</v>
      </c>
      <c r="M323" s="14">
        <v>2887.5065495135627</v>
      </c>
      <c r="N323" s="14">
        <v>3067.2222324194158</v>
      </c>
      <c r="O323" s="14">
        <v>3209.4835256105926</v>
      </c>
    </row>
    <row r="324" spans="1:15" x14ac:dyDescent="0.3">
      <c r="A324" s="3" t="str">
        <f>INDEX('R1. Scenario specifications'!$C$11:$C$49,MATCH($B324,'R1. Scenario specifications'!$A$11:$A$49,0))</f>
        <v>Current 2DS, 2020 start, 'Expect the Unexpected' but with cheap CCS</v>
      </c>
      <c r="B324" s="3" t="s">
        <v>45</v>
      </c>
      <c r="C324" s="3" t="s">
        <v>292</v>
      </c>
      <c r="D324" s="3" t="s">
        <v>333</v>
      </c>
      <c r="E324" s="14">
        <v>159.73830278697653</v>
      </c>
      <c r="F324" s="14">
        <v>169.39599598719545</v>
      </c>
      <c r="G324" s="14">
        <v>176.71914238919692</v>
      </c>
      <c r="H324" s="14">
        <v>175.15830181655548</v>
      </c>
      <c r="I324" s="14">
        <v>178.93494630264837</v>
      </c>
      <c r="J324" s="14">
        <v>180.1031409584196</v>
      </c>
      <c r="K324" s="14">
        <v>178.82582710171826</v>
      </c>
      <c r="L324" s="14">
        <v>175.78189501677815</v>
      </c>
      <c r="M324" s="14">
        <v>171.47940350173073</v>
      </c>
      <c r="N324" s="14">
        <v>166.23136037709438</v>
      </c>
      <c r="O324" s="14">
        <v>160.20618059797675</v>
      </c>
    </row>
    <row r="325" spans="1:15" x14ac:dyDescent="0.3">
      <c r="A325" s="3" t="str">
        <f>INDEX('R1. Scenario specifications'!$C$11:$C$49,MATCH($B325,'R1. Scenario specifications'!$A$11:$A$49,0))</f>
        <v>Current 2DS, 2020 start, 'Expect the Unexpected' but with cheap CCS</v>
      </c>
      <c r="B325" s="3" t="s">
        <v>45</v>
      </c>
      <c r="C325" s="3" t="s">
        <v>293</v>
      </c>
      <c r="D325" s="3" t="s">
        <v>334</v>
      </c>
      <c r="E325" s="14">
        <v>773.46518919181767</v>
      </c>
      <c r="F325" s="14">
        <v>894.21413961009341</v>
      </c>
      <c r="G325" s="14">
        <v>1118.0496051339933</v>
      </c>
      <c r="H325" s="14">
        <v>1375.5475785566452</v>
      </c>
      <c r="I325" s="14">
        <v>1689.2067853781323</v>
      </c>
      <c r="J325" s="14">
        <v>2025.312630027621</v>
      </c>
      <c r="K325" s="14">
        <v>2195.4707514569682</v>
      </c>
      <c r="L325" s="14">
        <v>2366.5190259502374</v>
      </c>
      <c r="M325" s="14">
        <v>2529.9920647358485</v>
      </c>
      <c r="N325" s="14">
        <v>2652.8606561084143</v>
      </c>
      <c r="O325" s="14">
        <v>2778.0698433674497</v>
      </c>
    </row>
    <row r="326" spans="1:15" x14ac:dyDescent="0.3">
      <c r="A326" s="3" t="str">
        <f>INDEX('R1. Scenario specifications'!$C$11:$C$49,MATCH($B326,'R1. Scenario specifications'!$A$11:$A$49,0))</f>
        <v>Current 2DS, 2020 start, 'Expect the Unexpected' but with cheap CCS</v>
      </c>
      <c r="B326" s="3" t="s">
        <v>45</v>
      </c>
      <c r="C326" s="3" t="s">
        <v>294</v>
      </c>
      <c r="D326" s="3" t="s">
        <v>335</v>
      </c>
      <c r="E326" s="14">
        <v>3279.7723348946201</v>
      </c>
      <c r="F326" s="14">
        <v>4082.6935657435747</v>
      </c>
      <c r="G326" s="14">
        <v>5207.7532954788776</v>
      </c>
      <c r="H326" s="14">
        <v>5633.4127499572569</v>
      </c>
      <c r="I326" s="14">
        <v>6178.5040363303324</v>
      </c>
      <c r="J326" s="14">
        <v>7204.5616711087696</v>
      </c>
      <c r="K326" s="14">
        <v>7812.9959600712618</v>
      </c>
      <c r="L326" s="14">
        <v>8385.5214179117011</v>
      </c>
      <c r="M326" s="14">
        <v>8884.4284126902676</v>
      </c>
      <c r="N326" s="14">
        <v>9253.9127603291709</v>
      </c>
      <c r="O326" s="14">
        <v>9801.0400626348874</v>
      </c>
    </row>
    <row r="327" spans="1:15" x14ac:dyDescent="0.3">
      <c r="A327" s="3" t="str">
        <f>INDEX('R1. Scenario specifications'!$C$11:$C$49,MATCH($B327,'R1. Scenario specifications'!$A$11:$A$49,0))</f>
        <v>Current 2DS, 2020 start, 'Expect the Unexpected' but with cheap CCS</v>
      </c>
      <c r="B327" s="3" t="s">
        <v>45</v>
      </c>
      <c r="C327" s="3" t="s">
        <v>295</v>
      </c>
      <c r="D327" s="3" t="s">
        <v>336</v>
      </c>
      <c r="E327" s="14">
        <v>554.93024628706178</v>
      </c>
      <c r="F327" s="14">
        <v>667.25533606737827</v>
      </c>
      <c r="G327" s="14">
        <v>860.61058351424708</v>
      </c>
      <c r="H327" s="14">
        <v>1088.2132483847263</v>
      </c>
      <c r="I327" s="14">
        <v>1361.5777300071215</v>
      </c>
      <c r="J327" s="14">
        <v>1648.7929174419887</v>
      </c>
      <c r="K327" s="14">
        <v>1805.163329480187</v>
      </c>
      <c r="L327" s="14">
        <v>1932.7772981148478</v>
      </c>
      <c r="M327" s="14">
        <v>2049.3745228613971</v>
      </c>
      <c r="N327" s="14">
        <v>2172.6365939205957</v>
      </c>
      <c r="O327" s="14">
        <v>2272.5152475753271</v>
      </c>
    </row>
    <row r="328" spans="1:15" x14ac:dyDescent="0.3">
      <c r="A328" s="3" t="str">
        <f>INDEX('R1. Scenario specifications'!$C$11:$C$49,MATCH($B328,'R1. Scenario specifications'!$A$11:$A$49,0))</f>
        <v>Current 2DS, 2020 start, 'Expect the Unexpected' but with cheap CCS</v>
      </c>
      <c r="B328" s="3" t="s">
        <v>45</v>
      </c>
      <c r="C328" s="3" t="s">
        <v>296</v>
      </c>
      <c r="D328" s="3" t="s">
        <v>337</v>
      </c>
      <c r="E328" s="14">
        <v>6768.21079303233</v>
      </c>
      <c r="F328" s="14">
        <v>9604.0566614851487</v>
      </c>
      <c r="G328" s="14">
        <v>16237.412608619818</v>
      </c>
      <c r="H328" s="14">
        <v>17601.175858707185</v>
      </c>
      <c r="I328" s="14">
        <v>16847.459696406273</v>
      </c>
      <c r="J328" s="14">
        <v>20017.263086372117</v>
      </c>
      <c r="K328" s="14">
        <v>21780.524686421086</v>
      </c>
      <c r="L328" s="14">
        <v>23183.722302117381</v>
      </c>
      <c r="M328" s="14">
        <v>24842.038645199053</v>
      </c>
      <c r="N328" s="14">
        <v>26472.56931706328</v>
      </c>
      <c r="O328" s="14">
        <v>28404.542404349631</v>
      </c>
    </row>
    <row r="329" spans="1:15" x14ac:dyDescent="0.3">
      <c r="A329" s="3" t="str">
        <f>INDEX('R1. Scenario specifications'!$C$11:$C$49,MATCH($B329,'R1. Scenario specifications'!$A$11:$A$49,0))</f>
        <v>Current 2DS, 2020 start, 'Expect the Unexpected' but with cheap CCS</v>
      </c>
      <c r="B329" s="3" t="s">
        <v>45</v>
      </c>
      <c r="C329" s="3" t="s">
        <v>297</v>
      </c>
      <c r="D329" s="3" t="s">
        <v>338</v>
      </c>
      <c r="E329" s="14">
        <v>490.51449976830594</v>
      </c>
      <c r="F329" s="14">
        <v>524.93618944866842</v>
      </c>
      <c r="G329" s="14">
        <v>555.19395083536801</v>
      </c>
      <c r="H329" s="14">
        <v>559.27948645064043</v>
      </c>
      <c r="I329" s="14">
        <v>581.30123858818172</v>
      </c>
      <c r="J329" s="14">
        <v>595.35266871306351</v>
      </c>
      <c r="K329" s="14">
        <v>601.15064540820595</v>
      </c>
      <c r="L329" s="14">
        <v>600.62628992940495</v>
      </c>
      <c r="M329" s="14">
        <v>595.1473363544626</v>
      </c>
      <c r="N329" s="14">
        <v>585.49041985978283</v>
      </c>
      <c r="O329" s="14">
        <v>570.61215862105951</v>
      </c>
    </row>
    <row r="330" spans="1:15" x14ac:dyDescent="0.3">
      <c r="A330" s="3" t="str">
        <f>INDEX('R1. Scenario specifications'!$C$11:$C$49,MATCH($B330,'R1. Scenario specifications'!$A$11:$A$49,0))</f>
        <v>Current 2DS, 2030 start, 'Expect the Unexpected' but with cheap CCS</v>
      </c>
      <c r="B330" s="3" t="s">
        <v>46</v>
      </c>
      <c r="C330" s="3" t="s">
        <v>290</v>
      </c>
      <c r="D330" s="3" t="s">
        <v>331</v>
      </c>
      <c r="E330" s="14">
        <v>303.90443076149791</v>
      </c>
      <c r="F330" s="14">
        <v>326.15031746610555</v>
      </c>
      <c r="G330" s="14">
        <v>347.05566024922416</v>
      </c>
      <c r="H330" s="14">
        <v>353.33506067595158</v>
      </c>
      <c r="I330" s="14">
        <v>371.01459260345575</v>
      </c>
      <c r="J330" s="14">
        <v>380.92275123968454</v>
      </c>
      <c r="K330" s="14">
        <v>387.07184299541916</v>
      </c>
      <c r="L330" s="14">
        <v>389.28835008534378</v>
      </c>
      <c r="M330" s="14">
        <v>387.7366974374512</v>
      </c>
      <c r="N330" s="14">
        <v>383.00735356521187</v>
      </c>
      <c r="O330" s="14">
        <v>376.08776823080092</v>
      </c>
    </row>
    <row r="331" spans="1:15" x14ac:dyDescent="0.3">
      <c r="A331" s="3" t="str">
        <f>INDEX('R1. Scenario specifications'!$C$11:$C$49,MATCH($B331,'R1. Scenario specifications'!$A$11:$A$49,0))</f>
        <v>Current 2DS, 2030 start, 'Expect the Unexpected' but with cheap CCS</v>
      </c>
      <c r="B331" s="3" t="s">
        <v>46</v>
      </c>
      <c r="C331" s="3" t="s">
        <v>291</v>
      </c>
      <c r="D331" s="3" t="s">
        <v>332</v>
      </c>
      <c r="E331" s="14">
        <v>704.60532435919743</v>
      </c>
      <c r="F331" s="14">
        <v>860.97149986110526</v>
      </c>
      <c r="G331" s="14">
        <v>1146.4631336452248</v>
      </c>
      <c r="H331" s="14">
        <v>1500.2632370055153</v>
      </c>
      <c r="I331" s="14">
        <v>1914.9601144419121</v>
      </c>
      <c r="J331" s="14">
        <v>2347.7648944910584</v>
      </c>
      <c r="K331" s="14">
        <v>2553.8577005463108</v>
      </c>
      <c r="L331" s="14">
        <v>2750.9625718171419</v>
      </c>
      <c r="M331" s="14">
        <v>2887.5065495135618</v>
      </c>
      <c r="N331" s="14">
        <v>3050.4480857941226</v>
      </c>
      <c r="O331" s="14">
        <v>3191.1624856039061</v>
      </c>
    </row>
    <row r="332" spans="1:15" x14ac:dyDescent="0.3">
      <c r="A332" s="3" t="str">
        <f>INDEX('R1. Scenario specifications'!$C$11:$C$49,MATCH($B332,'R1. Scenario specifications'!$A$11:$A$49,0))</f>
        <v>Current 2DS, 2030 start, 'Expect the Unexpected' but with cheap CCS</v>
      </c>
      <c r="B332" s="3" t="s">
        <v>46</v>
      </c>
      <c r="C332" s="3" t="s">
        <v>292</v>
      </c>
      <c r="D332" s="3" t="s">
        <v>333</v>
      </c>
      <c r="E332" s="14">
        <v>159.73830278697653</v>
      </c>
      <c r="F332" s="14">
        <v>169.39599598719545</v>
      </c>
      <c r="G332" s="14">
        <v>176.71914238919692</v>
      </c>
      <c r="H332" s="14">
        <v>175.15830181655548</v>
      </c>
      <c r="I332" s="14">
        <v>178.93494630264837</v>
      </c>
      <c r="J332" s="14">
        <v>180.1031409584196</v>
      </c>
      <c r="K332" s="14">
        <v>178.82582710171826</v>
      </c>
      <c r="L332" s="14">
        <v>175.78189501677815</v>
      </c>
      <c r="M332" s="14">
        <v>171.47940350173073</v>
      </c>
      <c r="N332" s="14">
        <v>166.23136037709438</v>
      </c>
      <c r="O332" s="14">
        <v>156.67471579428266</v>
      </c>
    </row>
    <row r="333" spans="1:15" x14ac:dyDescent="0.3">
      <c r="A333" s="3" t="str">
        <f>INDEX('R1. Scenario specifications'!$C$11:$C$49,MATCH($B333,'R1. Scenario specifications'!$A$11:$A$49,0))</f>
        <v>Current 2DS, 2030 start, 'Expect the Unexpected' but with cheap CCS</v>
      </c>
      <c r="B333" s="3" t="s">
        <v>46</v>
      </c>
      <c r="C333" s="3" t="s">
        <v>293</v>
      </c>
      <c r="D333" s="3" t="s">
        <v>334</v>
      </c>
      <c r="E333" s="14">
        <v>773.46518919181767</v>
      </c>
      <c r="F333" s="14">
        <v>894.21413961009341</v>
      </c>
      <c r="G333" s="14">
        <v>1118.0496051339933</v>
      </c>
      <c r="H333" s="14">
        <v>1375.5475785566455</v>
      </c>
      <c r="I333" s="14">
        <v>1689.2067853781318</v>
      </c>
      <c r="J333" s="14">
        <v>2025.3126300276219</v>
      </c>
      <c r="K333" s="14">
        <v>2195.4707514569686</v>
      </c>
      <c r="L333" s="14">
        <v>2366.5190259502374</v>
      </c>
      <c r="M333" s="14">
        <v>2529.992064735849</v>
      </c>
      <c r="N333" s="14">
        <v>2652.8606561084157</v>
      </c>
      <c r="O333" s="14">
        <v>2749.4808556435905</v>
      </c>
    </row>
    <row r="334" spans="1:15" x14ac:dyDescent="0.3">
      <c r="A334" s="3" t="str">
        <f>INDEX('R1. Scenario specifications'!$C$11:$C$49,MATCH($B334,'R1. Scenario specifications'!$A$11:$A$49,0))</f>
        <v>Current 2DS, 2030 start, 'Expect the Unexpected' but with cheap CCS</v>
      </c>
      <c r="B334" s="3" t="s">
        <v>46</v>
      </c>
      <c r="C334" s="3" t="s">
        <v>294</v>
      </c>
      <c r="D334" s="3" t="s">
        <v>335</v>
      </c>
      <c r="E334" s="14">
        <v>3279.7723348946201</v>
      </c>
      <c r="F334" s="14">
        <v>4082.6935657435747</v>
      </c>
      <c r="G334" s="14">
        <v>5207.7532954788776</v>
      </c>
      <c r="H334" s="14">
        <v>5690.8087984717622</v>
      </c>
      <c r="I334" s="14">
        <v>6178.5040363303306</v>
      </c>
      <c r="J334" s="14">
        <v>7203.5812793083469</v>
      </c>
      <c r="K334" s="14">
        <v>7780.8944299688683</v>
      </c>
      <c r="L334" s="14">
        <v>8385.5214179117011</v>
      </c>
      <c r="M334" s="14">
        <v>8884.4284126902658</v>
      </c>
      <c r="N334" s="14">
        <v>9253.9127603291709</v>
      </c>
      <c r="O334" s="14">
        <v>9801.0400626348855</v>
      </c>
    </row>
    <row r="335" spans="1:15" x14ac:dyDescent="0.3">
      <c r="A335" s="3" t="str">
        <f>INDEX('R1. Scenario specifications'!$C$11:$C$49,MATCH($B335,'R1. Scenario specifications'!$A$11:$A$49,0))</f>
        <v>Current 2DS, 2030 start, 'Expect the Unexpected' but with cheap CCS</v>
      </c>
      <c r="B335" s="3" t="s">
        <v>46</v>
      </c>
      <c r="C335" s="3" t="s">
        <v>295</v>
      </c>
      <c r="D335" s="3" t="s">
        <v>336</v>
      </c>
      <c r="E335" s="14">
        <v>554.93024628706178</v>
      </c>
      <c r="F335" s="14">
        <v>667.25533606737827</v>
      </c>
      <c r="G335" s="14">
        <v>860.61058351424708</v>
      </c>
      <c r="H335" s="14">
        <v>1088.2132483847263</v>
      </c>
      <c r="I335" s="14">
        <v>1361.5777300071213</v>
      </c>
      <c r="J335" s="14">
        <v>1625.2855817061566</v>
      </c>
      <c r="K335" s="14">
        <v>1777.60501604256</v>
      </c>
      <c r="L335" s="14">
        <v>1906.0084099453602</v>
      </c>
      <c r="M335" s="14">
        <v>2049.3745228613971</v>
      </c>
      <c r="N335" s="14">
        <v>2172.6365939205934</v>
      </c>
      <c r="O335" s="14">
        <v>2252.9977469647843</v>
      </c>
    </row>
    <row r="336" spans="1:15" x14ac:dyDescent="0.3">
      <c r="A336" s="3" t="str">
        <f>INDEX('R1. Scenario specifications'!$C$11:$C$49,MATCH($B336,'R1. Scenario specifications'!$A$11:$A$49,0))</f>
        <v>Current 2DS, 2030 start, 'Expect the Unexpected' but with cheap CCS</v>
      </c>
      <c r="B336" s="3" t="s">
        <v>46</v>
      </c>
      <c r="C336" s="3" t="s">
        <v>296</v>
      </c>
      <c r="D336" s="3" t="s">
        <v>337</v>
      </c>
      <c r="E336" s="14">
        <v>6768.21079303233</v>
      </c>
      <c r="F336" s="14">
        <v>9604.0566614851487</v>
      </c>
      <c r="G336" s="14">
        <v>16237.412608619818</v>
      </c>
      <c r="H336" s="14">
        <v>17601.175858707189</v>
      </c>
      <c r="I336" s="14">
        <v>16847.45969640628</v>
      </c>
      <c r="J336" s="14">
        <v>20017.263086372106</v>
      </c>
      <c r="K336" s="14">
        <v>21574.389624117837</v>
      </c>
      <c r="L336" s="14">
        <v>23168.721069809359</v>
      </c>
      <c r="M336" s="14">
        <v>24842.038645199045</v>
      </c>
      <c r="N336" s="14">
        <v>26316.384258259961</v>
      </c>
      <c r="O336" s="14">
        <v>28404.542404349635</v>
      </c>
    </row>
    <row r="337" spans="1:15" x14ac:dyDescent="0.3">
      <c r="A337" s="3" t="str">
        <f>INDEX('R1. Scenario specifications'!$C$11:$C$49,MATCH($B337,'R1. Scenario specifications'!$A$11:$A$49,0))</f>
        <v>Current 2DS, 2030 start, 'Expect the Unexpected' but with cheap CCS</v>
      </c>
      <c r="B337" s="3" t="s">
        <v>46</v>
      </c>
      <c r="C337" s="3" t="s">
        <v>297</v>
      </c>
      <c r="D337" s="3" t="s">
        <v>338</v>
      </c>
      <c r="E337" s="14">
        <v>490.51449976830594</v>
      </c>
      <c r="F337" s="14">
        <v>524.93618944866842</v>
      </c>
      <c r="G337" s="14">
        <v>555.19395083536801</v>
      </c>
      <c r="H337" s="14">
        <v>559.27948645064043</v>
      </c>
      <c r="I337" s="14">
        <v>581.30123858818172</v>
      </c>
      <c r="J337" s="14">
        <v>595.35266871306351</v>
      </c>
      <c r="K337" s="14">
        <v>601.15064540820595</v>
      </c>
      <c r="L337" s="14">
        <v>600.62628992940495</v>
      </c>
      <c r="M337" s="14">
        <v>595.1473363544626</v>
      </c>
      <c r="N337" s="14">
        <v>585.49041985978283</v>
      </c>
      <c r="O337" s="14">
        <v>563.38565610671276</v>
      </c>
    </row>
    <row r="338" spans="1:15" x14ac:dyDescent="0.3">
      <c r="A338" s="3" t="str">
        <f>INDEX('R1. Scenario specifications'!$C$11:$C$49,MATCH($B338,'R1. Scenario specifications'!$A$11:$A$49,0))</f>
        <v>Current 2DS, 2020 start, 'Expect the Unexpected' but with cheap EVs</v>
      </c>
      <c r="B338" s="3" t="s">
        <v>47</v>
      </c>
      <c r="C338" s="3" t="s">
        <v>290</v>
      </c>
      <c r="D338" s="3" t="s">
        <v>331</v>
      </c>
      <c r="E338" s="14">
        <v>303.90443076149791</v>
      </c>
      <c r="F338" s="14">
        <v>326.15031746610555</v>
      </c>
      <c r="G338" s="14">
        <v>347.05566024922416</v>
      </c>
      <c r="H338" s="14">
        <v>361.014489346446</v>
      </c>
      <c r="I338" s="14">
        <v>380.00459189925778</v>
      </c>
      <c r="J338" s="14">
        <v>391.19722789842046</v>
      </c>
      <c r="K338" s="14">
        <v>398.78673428755599</v>
      </c>
      <c r="L338" s="14">
        <v>400.9721988921815</v>
      </c>
      <c r="M338" s="14">
        <v>399.12691087641815</v>
      </c>
      <c r="N338" s="14">
        <v>391.95864280492566</v>
      </c>
      <c r="O338" s="14">
        <v>385.30340047504961</v>
      </c>
    </row>
    <row r="339" spans="1:15" x14ac:dyDescent="0.3">
      <c r="A339" s="3" t="str">
        <f>INDEX('R1. Scenario specifications'!$C$11:$C$49,MATCH($B339,'R1. Scenario specifications'!$A$11:$A$49,0))</f>
        <v>Current 2DS, 2020 start, 'Expect the Unexpected' but with cheap EVs</v>
      </c>
      <c r="B339" s="3" t="s">
        <v>47</v>
      </c>
      <c r="C339" s="3" t="s">
        <v>291</v>
      </c>
      <c r="D339" s="3" t="s">
        <v>332</v>
      </c>
      <c r="E339" s="14">
        <v>704.60532435919743</v>
      </c>
      <c r="F339" s="14">
        <v>860.97149986110526</v>
      </c>
      <c r="G339" s="14">
        <v>1146.4631336452248</v>
      </c>
      <c r="H339" s="14">
        <v>1500.2632370055153</v>
      </c>
      <c r="I339" s="14">
        <v>1914.9601144419119</v>
      </c>
      <c r="J339" s="14">
        <v>2348.5489285825142</v>
      </c>
      <c r="K339" s="14">
        <v>2572.633247240834</v>
      </c>
      <c r="L339" s="14">
        <v>2753.7986487997837</v>
      </c>
      <c r="M339" s="14">
        <v>2906.2539538581782</v>
      </c>
      <c r="N339" s="14">
        <v>3069.0696524968375</v>
      </c>
      <c r="O339" s="14">
        <v>3209.4835256105935</v>
      </c>
    </row>
    <row r="340" spans="1:15" x14ac:dyDescent="0.3">
      <c r="A340" s="3" t="str">
        <f>INDEX('R1. Scenario specifications'!$C$11:$C$49,MATCH($B340,'R1. Scenario specifications'!$A$11:$A$49,0))</f>
        <v>Current 2DS, 2020 start, 'Expect the Unexpected' but with cheap EVs</v>
      </c>
      <c r="B340" s="3" t="s">
        <v>47</v>
      </c>
      <c r="C340" s="3" t="s">
        <v>292</v>
      </c>
      <c r="D340" s="3" t="s">
        <v>333</v>
      </c>
      <c r="E340" s="14">
        <v>159.73830278697653</v>
      </c>
      <c r="F340" s="14">
        <v>169.39599598719545</v>
      </c>
      <c r="G340" s="14">
        <v>176.71914238919692</v>
      </c>
      <c r="H340" s="14">
        <v>175.15830181655548</v>
      </c>
      <c r="I340" s="14">
        <v>178.93494630264837</v>
      </c>
      <c r="J340" s="14">
        <v>180.1031409584196</v>
      </c>
      <c r="K340" s="14">
        <v>178.85209793764099</v>
      </c>
      <c r="L340" s="14">
        <v>175.80812319308313</v>
      </c>
      <c r="M340" s="14">
        <v>171.50547654772112</v>
      </c>
      <c r="N340" s="14">
        <v>166.25713510685517</v>
      </c>
      <c r="O340" s="14">
        <v>160.33221067069604</v>
      </c>
    </row>
    <row r="341" spans="1:15" x14ac:dyDescent="0.3">
      <c r="A341" s="3" t="str">
        <f>INDEX('R1. Scenario specifications'!$C$11:$C$49,MATCH($B341,'R1. Scenario specifications'!$A$11:$A$49,0))</f>
        <v>Current 2DS, 2020 start, 'Expect the Unexpected' but with cheap EVs</v>
      </c>
      <c r="B341" s="3" t="s">
        <v>47</v>
      </c>
      <c r="C341" s="3" t="s">
        <v>293</v>
      </c>
      <c r="D341" s="3" t="s">
        <v>334</v>
      </c>
      <c r="E341" s="14">
        <v>773.46518919181767</v>
      </c>
      <c r="F341" s="14">
        <v>894.21413961009341</v>
      </c>
      <c r="G341" s="14">
        <v>1118.0496051339933</v>
      </c>
      <c r="H341" s="14">
        <v>1375.5475785566452</v>
      </c>
      <c r="I341" s="14">
        <v>1689.2067853781332</v>
      </c>
      <c r="J341" s="14">
        <v>2025.3126300276215</v>
      </c>
      <c r="K341" s="14">
        <v>2195.8101359807501</v>
      </c>
      <c r="L341" s="14">
        <v>2366.88786180541</v>
      </c>
      <c r="M341" s="14">
        <v>2530.3900751243</v>
      </c>
      <c r="N341" s="14">
        <v>2652.8606561084143</v>
      </c>
      <c r="O341" s="14">
        <v>2797.9719901275544</v>
      </c>
    </row>
    <row r="342" spans="1:15" x14ac:dyDescent="0.3">
      <c r="A342" s="3" t="str">
        <f>INDEX('R1. Scenario specifications'!$C$11:$C$49,MATCH($B342,'R1. Scenario specifications'!$A$11:$A$49,0))</f>
        <v>Current 2DS, 2020 start, 'Expect the Unexpected' but with cheap EVs</v>
      </c>
      <c r="B342" s="3" t="s">
        <v>47</v>
      </c>
      <c r="C342" s="3" t="s">
        <v>294</v>
      </c>
      <c r="D342" s="3" t="s">
        <v>335</v>
      </c>
      <c r="E342" s="14">
        <v>3279.7723348946201</v>
      </c>
      <c r="F342" s="14">
        <v>4082.6935657435747</v>
      </c>
      <c r="G342" s="14">
        <v>5207.7532954788776</v>
      </c>
      <c r="H342" s="14">
        <v>5910.3044081103135</v>
      </c>
      <c r="I342" s="14">
        <v>6391.8933304715556</v>
      </c>
      <c r="J342" s="14">
        <v>7522.3045767759568</v>
      </c>
      <c r="K342" s="14">
        <v>8196.1175627731645</v>
      </c>
      <c r="L342" s="14">
        <v>8863.3993671998287</v>
      </c>
      <c r="M342" s="14">
        <v>9417.9149553122425</v>
      </c>
      <c r="N342" s="14">
        <v>9926.9180950199025</v>
      </c>
      <c r="O342" s="14">
        <v>10443.774396094717</v>
      </c>
    </row>
    <row r="343" spans="1:15" x14ac:dyDescent="0.3">
      <c r="A343" s="3" t="str">
        <f>INDEX('R1. Scenario specifications'!$C$11:$C$49,MATCH($B343,'R1. Scenario specifications'!$A$11:$A$49,0))</f>
        <v>Current 2DS, 2020 start, 'Expect the Unexpected' but with cheap EVs</v>
      </c>
      <c r="B343" s="3" t="s">
        <v>47</v>
      </c>
      <c r="C343" s="3" t="s">
        <v>295</v>
      </c>
      <c r="D343" s="3" t="s">
        <v>336</v>
      </c>
      <c r="E343" s="14">
        <v>554.93024628706178</v>
      </c>
      <c r="F343" s="14">
        <v>667.25533606737827</v>
      </c>
      <c r="G343" s="14">
        <v>860.61058351424708</v>
      </c>
      <c r="H343" s="14">
        <v>1088.2132483847263</v>
      </c>
      <c r="I343" s="14">
        <v>1361.5777300071218</v>
      </c>
      <c r="J343" s="14">
        <v>1634.4695061583234</v>
      </c>
      <c r="K343" s="14">
        <v>1798.120491483638</v>
      </c>
      <c r="L343" s="14">
        <v>1939.3724799991655</v>
      </c>
      <c r="M343" s="14">
        <v>2054.0605578176096</v>
      </c>
      <c r="N343" s="14">
        <v>2173.9036211779485</v>
      </c>
      <c r="O343" s="14">
        <v>2272.5152475753271</v>
      </c>
    </row>
    <row r="344" spans="1:15" x14ac:dyDescent="0.3">
      <c r="A344" s="3" t="str">
        <f>INDEX('R1. Scenario specifications'!$C$11:$C$49,MATCH($B344,'R1. Scenario specifications'!$A$11:$A$49,0))</f>
        <v>Current 2DS, 2020 start, 'Expect the Unexpected' but with cheap EVs</v>
      </c>
      <c r="B344" s="3" t="s">
        <v>47</v>
      </c>
      <c r="C344" s="3" t="s">
        <v>296</v>
      </c>
      <c r="D344" s="3" t="s">
        <v>337</v>
      </c>
      <c r="E344" s="14">
        <v>6768.21079303233</v>
      </c>
      <c r="F344" s="14">
        <v>9604.0566614851487</v>
      </c>
      <c r="G344" s="14">
        <v>16237.412608619818</v>
      </c>
      <c r="H344" s="14">
        <v>18092.887821857061</v>
      </c>
      <c r="I344" s="14">
        <v>17379.901089415656</v>
      </c>
      <c r="J344" s="14">
        <v>20862.702791526717</v>
      </c>
      <c r="K344" s="14">
        <v>22794.510170484486</v>
      </c>
      <c r="L344" s="14">
        <v>24860.87415870469</v>
      </c>
      <c r="M344" s="14">
        <v>26643.619476306874</v>
      </c>
      <c r="N344" s="14">
        <v>28424.590835684132</v>
      </c>
      <c r="O344" s="14">
        <v>30619.891758977919</v>
      </c>
    </row>
    <row r="345" spans="1:15" x14ac:dyDescent="0.3">
      <c r="A345" s="3" t="str">
        <f>INDEX('R1. Scenario specifications'!$C$11:$C$49,MATCH($B345,'R1. Scenario specifications'!$A$11:$A$49,0))</f>
        <v>Current 2DS, 2020 start, 'Expect the Unexpected' but with cheap EVs</v>
      </c>
      <c r="B345" s="3" t="s">
        <v>47</v>
      </c>
      <c r="C345" s="3" t="s">
        <v>297</v>
      </c>
      <c r="D345" s="3" t="s">
        <v>338</v>
      </c>
      <c r="E345" s="14">
        <v>490.51449976830594</v>
      </c>
      <c r="F345" s="14">
        <v>524.93618944866842</v>
      </c>
      <c r="G345" s="14">
        <v>555.19395083536801</v>
      </c>
      <c r="H345" s="14">
        <v>559.27948645064043</v>
      </c>
      <c r="I345" s="14">
        <v>581.30123858818172</v>
      </c>
      <c r="J345" s="14">
        <v>595.35266871306351</v>
      </c>
      <c r="K345" s="14">
        <v>601.71073963007882</v>
      </c>
      <c r="L345" s="14">
        <v>601.18547464822689</v>
      </c>
      <c r="M345" s="14">
        <v>595.70321369497776</v>
      </c>
      <c r="N345" s="14">
        <v>586.03993709828319</v>
      </c>
      <c r="O345" s="14">
        <v>571.72122326098906</v>
      </c>
    </row>
    <row r="346" spans="1:15" x14ac:dyDescent="0.3">
      <c r="A346" s="3" t="str">
        <f>INDEX('R1. Scenario specifications'!$C$11:$C$49,MATCH($B346,'R1. Scenario specifications'!$A$11:$A$49,0))</f>
        <v>Current 2DS, 2030 start, 'Expect the Unexpected' but with cheap EVs</v>
      </c>
      <c r="B346" s="3" t="s">
        <v>48</v>
      </c>
      <c r="C346" s="3" t="s">
        <v>290</v>
      </c>
      <c r="D346" s="3" t="s">
        <v>331</v>
      </c>
      <c r="E346" s="14">
        <v>303.90443076149791</v>
      </c>
      <c r="F346" s="14">
        <v>326.15031746610555</v>
      </c>
      <c r="G346" s="14">
        <v>347.05566024922416</v>
      </c>
      <c r="H346" s="14">
        <v>353.33506067595158</v>
      </c>
      <c r="I346" s="14">
        <v>376.29604733455517</v>
      </c>
      <c r="J346" s="14">
        <v>386.55815655812421</v>
      </c>
      <c r="K346" s="14">
        <v>392.38471783254812</v>
      </c>
      <c r="L346" s="14">
        <v>396.61090999435351</v>
      </c>
      <c r="M346" s="14">
        <v>393.89549078054142</v>
      </c>
      <c r="N346" s="14">
        <v>387.27286356086023</v>
      </c>
      <c r="O346" s="14">
        <v>380.52755958920528</v>
      </c>
    </row>
    <row r="347" spans="1:15" x14ac:dyDescent="0.3">
      <c r="A347" s="3" t="str">
        <f>INDEX('R1. Scenario specifications'!$C$11:$C$49,MATCH($B347,'R1. Scenario specifications'!$A$11:$A$49,0))</f>
        <v>Current 2DS, 2030 start, 'Expect the Unexpected' but with cheap EVs</v>
      </c>
      <c r="B347" s="3" t="s">
        <v>48</v>
      </c>
      <c r="C347" s="3" t="s">
        <v>291</v>
      </c>
      <c r="D347" s="3" t="s">
        <v>332</v>
      </c>
      <c r="E347" s="14">
        <v>704.60532435919743</v>
      </c>
      <c r="F347" s="14">
        <v>860.97149986110526</v>
      </c>
      <c r="G347" s="14">
        <v>1146.4631336452248</v>
      </c>
      <c r="H347" s="14">
        <v>1500.2632370055153</v>
      </c>
      <c r="I347" s="14">
        <v>1914.9601144419121</v>
      </c>
      <c r="J347" s="14">
        <v>2346.8623911726445</v>
      </c>
      <c r="K347" s="14">
        <v>2571.8005226449463</v>
      </c>
      <c r="L347" s="14">
        <v>2752.0267195372371</v>
      </c>
      <c r="M347" s="14">
        <v>2888.2720966469833</v>
      </c>
      <c r="N347" s="14">
        <v>3061.6644529898053</v>
      </c>
      <c r="O347" s="14">
        <v>3191.1624856039052</v>
      </c>
    </row>
    <row r="348" spans="1:15" x14ac:dyDescent="0.3">
      <c r="A348" s="3" t="str">
        <f>INDEX('R1. Scenario specifications'!$C$11:$C$49,MATCH($B348,'R1. Scenario specifications'!$A$11:$A$49,0))</f>
        <v>Current 2DS, 2030 start, 'Expect the Unexpected' but with cheap EVs</v>
      </c>
      <c r="B348" s="3" t="s">
        <v>48</v>
      </c>
      <c r="C348" s="3" t="s">
        <v>292</v>
      </c>
      <c r="D348" s="3" t="s">
        <v>333</v>
      </c>
      <c r="E348" s="14">
        <v>159.73830278697653</v>
      </c>
      <c r="F348" s="14">
        <v>169.39599598719545</v>
      </c>
      <c r="G348" s="14">
        <v>176.71914238919692</v>
      </c>
      <c r="H348" s="14">
        <v>175.15830181655548</v>
      </c>
      <c r="I348" s="14">
        <v>178.93494630264837</v>
      </c>
      <c r="J348" s="14">
        <v>180.1031409584196</v>
      </c>
      <c r="K348" s="14">
        <v>178.85209793764099</v>
      </c>
      <c r="L348" s="14">
        <v>175.80812319308313</v>
      </c>
      <c r="M348" s="14">
        <v>171.50547654772112</v>
      </c>
      <c r="N348" s="14">
        <v>166.25713510685517</v>
      </c>
      <c r="O348" s="14">
        <v>156.67471579428266</v>
      </c>
    </row>
    <row r="349" spans="1:15" x14ac:dyDescent="0.3">
      <c r="A349" s="3" t="str">
        <f>INDEX('R1. Scenario specifications'!$C$11:$C$49,MATCH($B349,'R1. Scenario specifications'!$A$11:$A$49,0))</f>
        <v>Current 2DS, 2030 start, 'Expect the Unexpected' but with cheap EVs</v>
      </c>
      <c r="B349" s="3" t="s">
        <v>48</v>
      </c>
      <c r="C349" s="3" t="s">
        <v>293</v>
      </c>
      <c r="D349" s="3" t="s">
        <v>334</v>
      </c>
      <c r="E349" s="14">
        <v>773.46518919181767</v>
      </c>
      <c r="F349" s="14">
        <v>894.21413961009341</v>
      </c>
      <c r="G349" s="14">
        <v>1118.0496051339933</v>
      </c>
      <c r="H349" s="14">
        <v>1375.5475785566455</v>
      </c>
      <c r="I349" s="14">
        <v>1689.2067853781323</v>
      </c>
      <c r="J349" s="14">
        <v>2025.3126300276208</v>
      </c>
      <c r="K349" s="14">
        <v>2195.8101359807506</v>
      </c>
      <c r="L349" s="14">
        <v>2366.8878618054096</v>
      </c>
      <c r="M349" s="14">
        <v>2530.3900751242986</v>
      </c>
      <c r="N349" s="14">
        <v>2652.8606561084148</v>
      </c>
      <c r="O349" s="14">
        <v>2755.3428304666249</v>
      </c>
    </row>
    <row r="350" spans="1:15" x14ac:dyDescent="0.3">
      <c r="A350" s="3" t="str">
        <f>INDEX('R1. Scenario specifications'!$C$11:$C$49,MATCH($B350,'R1. Scenario specifications'!$A$11:$A$49,0))</f>
        <v>Current 2DS, 2030 start, 'Expect the Unexpected' but with cheap EVs</v>
      </c>
      <c r="B350" s="3" t="s">
        <v>48</v>
      </c>
      <c r="C350" s="3" t="s">
        <v>294</v>
      </c>
      <c r="D350" s="3" t="s">
        <v>335</v>
      </c>
      <c r="E350" s="14">
        <v>3279.7723348946201</v>
      </c>
      <c r="F350" s="14">
        <v>4082.6935657435747</v>
      </c>
      <c r="G350" s="14">
        <v>5207.7532954788776</v>
      </c>
      <c r="H350" s="14">
        <v>5690.8087984717622</v>
      </c>
      <c r="I350" s="14">
        <v>6302.193566072986</v>
      </c>
      <c r="J350" s="14">
        <v>7407.9356696344403</v>
      </c>
      <c r="K350" s="14">
        <v>8055.5335354531626</v>
      </c>
      <c r="L350" s="14">
        <v>8658.744729449958</v>
      </c>
      <c r="M350" s="14">
        <v>9249.9371259637774</v>
      </c>
      <c r="N350" s="14">
        <v>9758.0036926474495</v>
      </c>
      <c r="O350" s="14">
        <v>10264.657359158788</v>
      </c>
    </row>
    <row r="351" spans="1:15" x14ac:dyDescent="0.3">
      <c r="A351" s="3" t="str">
        <f>INDEX('R1. Scenario specifications'!$C$11:$C$49,MATCH($B351,'R1. Scenario specifications'!$A$11:$A$49,0))</f>
        <v>Current 2DS, 2030 start, 'Expect the Unexpected' but with cheap EVs</v>
      </c>
      <c r="B351" s="3" t="s">
        <v>48</v>
      </c>
      <c r="C351" s="3" t="s">
        <v>295</v>
      </c>
      <c r="D351" s="3" t="s">
        <v>336</v>
      </c>
      <c r="E351" s="14">
        <v>554.93024628706178</v>
      </c>
      <c r="F351" s="14">
        <v>667.25533606737827</v>
      </c>
      <c r="G351" s="14">
        <v>860.61058351424708</v>
      </c>
      <c r="H351" s="14">
        <v>1088.2132483847263</v>
      </c>
      <c r="I351" s="14">
        <v>1361.5777300071206</v>
      </c>
      <c r="J351" s="14">
        <v>1624.2036920398432</v>
      </c>
      <c r="K351" s="14">
        <v>1776.3646363573139</v>
      </c>
      <c r="L351" s="14">
        <v>1907.4691034285556</v>
      </c>
      <c r="M351" s="14">
        <v>2050.1626392721287</v>
      </c>
      <c r="N351" s="14">
        <v>2173.903621177948</v>
      </c>
      <c r="O351" s="14">
        <v>2252.9977469647847</v>
      </c>
    </row>
    <row r="352" spans="1:15" x14ac:dyDescent="0.3">
      <c r="A352" s="3" t="str">
        <f>INDEX('R1. Scenario specifications'!$C$11:$C$49,MATCH($B352,'R1. Scenario specifications'!$A$11:$A$49,0))</f>
        <v>Current 2DS, 2030 start, 'Expect the Unexpected' but with cheap EVs</v>
      </c>
      <c r="B352" s="3" t="s">
        <v>48</v>
      </c>
      <c r="C352" s="3" t="s">
        <v>296</v>
      </c>
      <c r="D352" s="3" t="s">
        <v>337</v>
      </c>
      <c r="E352" s="14">
        <v>6768.21079303233</v>
      </c>
      <c r="F352" s="14">
        <v>9604.0566614851487</v>
      </c>
      <c r="G352" s="14">
        <v>16237.412608619818</v>
      </c>
      <c r="H352" s="14">
        <v>17601.175858707189</v>
      </c>
      <c r="I352" s="14">
        <v>17155.985631529969</v>
      </c>
      <c r="J352" s="14">
        <v>20524.075424395127</v>
      </c>
      <c r="K352" s="14">
        <v>22393.079066310536</v>
      </c>
      <c r="L352" s="14">
        <v>23938.594148102482</v>
      </c>
      <c r="M352" s="14">
        <v>26101.219650243253</v>
      </c>
      <c r="N352" s="14">
        <v>27825.746555230442</v>
      </c>
      <c r="O352" s="14">
        <v>29970.312371283195</v>
      </c>
    </row>
    <row r="353" spans="1:15" x14ac:dyDescent="0.3">
      <c r="A353" s="3" t="str">
        <f>INDEX('R1. Scenario specifications'!$C$11:$C$49,MATCH($B353,'R1. Scenario specifications'!$A$11:$A$49,0))</f>
        <v>Current 2DS, 2030 start, 'Expect the Unexpected' but with cheap EVs</v>
      </c>
      <c r="B353" s="3" t="s">
        <v>48</v>
      </c>
      <c r="C353" s="3" t="s">
        <v>297</v>
      </c>
      <c r="D353" s="3" t="s">
        <v>338</v>
      </c>
      <c r="E353" s="14">
        <v>490.51449976830594</v>
      </c>
      <c r="F353" s="14">
        <v>524.93618944866842</v>
      </c>
      <c r="G353" s="14">
        <v>555.19395083536801</v>
      </c>
      <c r="H353" s="14">
        <v>559.27948645064043</v>
      </c>
      <c r="I353" s="14">
        <v>581.30123858818172</v>
      </c>
      <c r="J353" s="14">
        <v>595.35266871306351</v>
      </c>
      <c r="K353" s="14">
        <v>601.71073963007882</v>
      </c>
      <c r="L353" s="14">
        <v>601.18547464822689</v>
      </c>
      <c r="M353" s="14">
        <v>595.70321369497776</v>
      </c>
      <c r="N353" s="14">
        <v>586.03993709828319</v>
      </c>
      <c r="O353" s="14">
        <v>563.38565610671276</v>
      </c>
    </row>
    <row r="354" spans="1:15" x14ac:dyDescent="0.3">
      <c r="A354" s="3" t="str">
        <f>INDEX('R1. Scenario specifications'!$C$11:$C$49,MATCH($B354,'R1. Scenario specifications'!$A$11:$A$49,0))</f>
        <v>Current 2DS, 2020 start, 'Expect the Unexpected' but with cheap energy efficiency</v>
      </c>
      <c r="B354" s="3" t="s">
        <v>49</v>
      </c>
      <c r="C354" s="3" t="s">
        <v>290</v>
      </c>
      <c r="D354" s="3" t="s">
        <v>331</v>
      </c>
      <c r="E354" s="14">
        <v>303.90443076149791</v>
      </c>
      <c r="F354" s="14">
        <v>326.15031746610555</v>
      </c>
      <c r="G354" s="14">
        <v>347.05566024922416</v>
      </c>
      <c r="H354" s="14">
        <v>424.00207281114183</v>
      </c>
      <c r="I354" s="14">
        <v>446.19510656302771</v>
      </c>
      <c r="J354" s="14">
        <v>457.10730148762104</v>
      </c>
      <c r="K354" s="14">
        <v>464.48621159450346</v>
      </c>
      <c r="L354" s="14">
        <v>467.14602010241276</v>
      </c>
      <c r="M354" s="14">
        <v>465.28403692494129</v>
      </c>
      <c r="N354" s="14">
        <v>459.6088242782543</v>
      </c>
      <c r="O354" s="14">
        <v>451.30532187696065</v>
      </c>
    </row>
    <row r="355" spans="1:15" x14ac:dyDescent="0.3">
      <c r="A355" s="3" t="str">
        <f>INDEX('R1. Scenario specifications'!$C$11:$C$49,MATCH($B355,'R1. Scenario specifications'!$A$11:$A$49,0))</f>
        <v>Current 2DS, 2020 start, 'Expect the Unexpected' but with cheap energy efficiency</v>
      </c>
      <c r="B355" s="3" t="s">
        <v>49</v>
      </c>
      <c r="C355" s="3" t="s">
        <v>291</v>
      </c>
      <c r="D355" s="3" t="s">
        <v>332</v>
      </c>
      <c r="E355" s="14">
        <v>704.60532435919743</v>
      </c>
      <c r="F355" s="14">
        <v>860.97149986110526</v>
      </c>
      <c r="G355" s="14">
        <v>1146.4631336452248</v>
      </c>
      <c r="H355" s="14">
        <v>1500.2632370055153</v>
      </c>
      <c r="I355" s="14">
        <v>1914.960114441913</v>
      </c>
      <c r="J355" s="14">
        <v>2349.7406970622037</v>
      </c>
      <c r="K355" s="14">
        <v>2571.6540711055563</v>
      </c>
      <c r="L355" s="14">
        <v>2766.958915660276</v>
      </c>
      <c r="M355" s="14">
        <v>2940.6870735418252</v>
      </c>
      <c r="N355" s="14">
        <v>3073.0909220782737</v>
      </c>
      <c r="O355" s="14">
        <v>3226.7485692998125</v>
      </c>
    </row>
    <row r="356" spans="1:15" x14ac:dyDescent="0.3">
      <c r="A356" s="3" t="str">
        <f>INDEX('R1. Scenario specifications'!$C$11:$C$49,MATCH($B356,'R1. Scenario specifications'!$A$11:$A$49,0))</f>
        <v>Current 2DS, 2020 start, 'Expect the Unexpected' but with cheap energy efficiency</v>
      </c>
      <c r="B356" s="3" t="s">
        <v>49</v>
      </c>
      <c r="C356" s="3" t="s">
        <v>292</v>
      </c>
      <c r="D356" s="3" t="s">
        <v>333</v>
      </c>
      <c r="E356" s="14">
        <v>159.73830278697653</v>
      </c>
      <c r="F356" s="14">
        <v>169.39599598719545</v>
      </c>
      <c r="G356" s="14">
        <v>176.71914238919692</v>
      </c>
      <c r="H356" s="14">
        <v>175.15830181655548</v>
      </c>
      <c r="I356" s="14">
        <v>178.93494630264837</v>
      </c>
      <c r="J356" s="14">
        <v>180.1031409584196</v>
      </c>
      <c r="K356" s="14">
        <v>178.82582710171826</v>
      </c>
      <c r="L356" s="14">
        <v>175.78189501677815</v>
      </c>
      <c r="M356" s="14">
        <v>171.47940350173073</v>
      </c>
      <c r="N356" s="14">
        <v>166.23136037709438</v>
      </c>
      <c r="O356" s="14">
        <v>160.73057164452095</v>
      </c>
    </row>
    <row r="357" spans="1:15" x14ac:dyDescent="0.3">
      <c r="A357" s="3" t="str">
        <f>INDEX('R1. Scenario specifications'!$C$11:$C$49,MATCH($B357,'R1. Scenario specifications'!$A$11:$A$49,0))</f>
        <v>Current 2DS, 2020 start, 'Expect the Unexpected' but with cheap energy efficiency</v>
      </c>
      <c r="B357" s="3" t="s">
        <v>49</v>
      </c>
      <c r="C357" s="3" t="s">
        <v>293</v>
      </c>
      <c r="D357" s="3" t="s">
        <v>334</v>
      </c>
      <c r="E357" s="14">
        <v>773.46518919181767</v>
      </c>
      <c r="F357" s="14">
        <v>894.21413961009341</v>
      </c>
      <c r="G357" s="14">
        <v>1118.0496051339933</v>
      </c>
      <c r="H357" s="14">
        <v>1375.5475785566452</v>
      </c>
      <c r="I357" s="14">
        <v>1689.2067853781327</v>
      </c>
      <c r="J357" s="14">
        <v>2025.3126300276215</v>
      </c>
      <c r="K357" s="14">
        <v>2195.4707514569668</v>
      </c>
      <c r="L357" s="14">
        <v>2366.5190259502369</v>
      </c>
      <c r="M357" s="14">
        <v>2529.9920647358495</v>
      </c>
      <c r="N357" s="14">
        <v>2686.1979558801254</v>
      </c>
      <c r="O357" s="14">
        <v>2800.3563757627608</v>
      </c>
    </row>
    <row r="358" spans="1:15" x14ac:dyDescent="0.3">
      <c r="A358" s="3" t="str">
        <f>INDEX('R1. Scenario specifications'!$C$11:$C$49,MATCH($B358,'R1. Scenario specifications'!$A$11:$A$49,0))</f>
        <v>Current 2DS, 2020 start, 'Expect the Unexpected' but with cheap energy efficiency</v>
      </c>
      <c r="B358" s="3" t="s">
        <v>49</v>
      </c>
      <c r="C358" s="3" t="s">
        <v>294</v>
      </c>
      <c r="D358" s="3" t="s">
        <v>335</v>
      </c>
      <c r="E358" s="14">
        <v>3279.7723348946201</v>
      </c>
      <c r="F358" s="14">
        <v>4082.6935657435747</v>
      </c>
      <c r="G358" s="14">
        <v>5207.7532954788776</v>
      </c>
      <c r="H358" s="14">
        <v>4384.3587843529285</v>
      </c>
      <c r="I358" s="14">
        <v>5070.9733025336145</v>
      </c>
      <c r="J358" s="14">
        <v>5583.1257201975177</v>
      </c>
      <c r="K358" s="14">
        <v>6047.2686946193708</v>
      </c>
      <c r="L358" s="14">
        <v>6495.9415303211354</v>
      </c>
      <c r="M358" s="14">
        <v>6884.1368392019122</v>
      </c>
      <c r="N358" s="14">
        <v>7240.0119308097965</v>
      </c>
      <c r="O358" s="14">
        <v>7570.4574677787159</v>
      </c>
    </row>
    <row r="359" spans="1:15" x14ac:dyDescent="0.3">
      <c r="A359" s="3" t="str">
        <f>INDEX('R1. Scenario specifications'!$C$11:$C$49,MATCH($B359,'R1. Scenario specifications'!$A$11:$A$49,0))</f>
        <v>Current 2DS, 2020 start, 'Expect the Unexpected' but with cheap energy efficiency</v>
      </c>
      <c r="B359" s="3" t="s">
        <v>49</v>
      </c>
      <c r="C359" s="3" t="s">
        <v>295</v>
      </c>
      <c r="D359" s="3" t="s">
        <v>336</v>
      </c>
      <c r="E359" s="14">
        <v>554.93024628706178</v>
      </c>
      <c r="F359" s="14">
        <v>667.25533606737827</v>
      </c>
      <c r="G359" s="14">
        <v>860.61058351424708</v>
      </c>
      <c r="H359" s="14">
        <v>1088.2132483847263</v>
      </c>
      <c r="I359" s="14">
        <v>1361.5777300071206</v>
      </c>
      <c r="J359" s="14">
        <v>1648.7929174419887</v>
      </c>
      <c r="K359" s="14">
        <v>1806.3004080184423</v>
      </c>
      <c r="L359" s="14">
        <v>1941.028370743029</v>
      </c>
      <c r="M359" s="14">
        <v>2061.997673155347</v>
      </c>
      <c r="N359" s="14">
        <v>2199.0386838965796</v>
      </c>
      <c r="O359" s="14">
        <v>2320.8223433882281</v>
      </c>
    </row>
    <row r="360" spans="1:15" x14ac:dyDescent="0.3">
      <c r="A360" s="3" t="str">
        <f>INDEX('R1. Scenario specifications'!$C$11:$C$49,MATCH($B360,'R1. Scenario specifications'!$A$11:$A$49,0))</f>
        <v>Current 2DS, 2020 start, 'Expect the Unexpected' but with cheap energy efficiency</v>
      </c>
      <c r="B360" s="3" t="s">
        <v>49</v>
      </c>
      <c r="C360" s="3" t="s">
        <v>296</v>
      </c>
      <c r="D360" s="3" t="s">
        <v>337</v>
      </c>
      <c r="E360" s="14">
        <v>6768.21079303233</v>
      </c>
      <c r="F360" s="14">
        <v>9604.0566614851487</v>
      </c>
      <c r="G360" s="14">
        <v>16237.412608619818</v>
      </c>
      <c r="H360" s="14">
        <v>11477.889225359248</v>
      </c>
      <c r="I360" s="14">
        <v>13651.772804999437</v>
      </c>
      <c r="J360" s="14">
        <v>15388.860367598296</v>
      </c>
      <c r="K360" s="14">
        <v>16730.0572632365</v>
      </c>
      <c r="L360" s="14">
        <v>17840.220192566059</v>
      </c>
      <c r="M360" s="14">
        <v>19067.284714409288</v>
      </c>
      <c r="N360" s="14">
        <v>20391.397818196172</v>
      </c>
      <c r="O360" s="14">
        <v>21857.71614857349</v>
      </c>
    </row>
    <row r="361" spans="1:15" x14ac:dyDescent="0.3">
      <c r="A361" s="3" t="str">
        <f>INDEX('R1. Scenario specifications'!$C$11:$C$49,MATCH($B361,'R1. Scenario specifications'!$A$11:$A$49,0))</f>
        <v>Current 2DS, 2020 start, 'Expect the Unexpected' but with cheap energy efficiency</v>
      </c>
      <c r="B361" s="3" t="s">
        <v>49</v>
      </c>
      <c r="C361" s="3" t="s">
        <v>297</v>
      </c>
      <c r="D361" s="3" t="s">
        <v>338</v>
      </c>
      <c r="E361" s="14">
        <v>490.51449976830594</v>
      </c>
      <c r="F361" s="14">
        <v>524.93618944866842</v>
      </c>
      <c r="G361" s="14">
        <v>555.19395083536801</v>
      </c>
      <c r="H361" s="14">
        <v>559.27948645064043</v>
      </c>
      <c r="I361" s="14">
        <v>581.30123858818172</v>
      </c>
      <c r="J361" s="14">
        <v>595.35266871306351</v>
      </c>
      <c r="K361" s="14">
        <v>601.15064540820595</v>
      </c>
      <c r="L361" s="14">
        <v>600.62628992940495</v>
      </c>
      <c r="M361" s="14">
        <v>595.1473363544626</v>
      </c>
      <c r="N361" s="14">
        <v>585.49041985978283</v>
      </c>
      <c r="O361" s="14">
        <v>573.55260782751282</v>
      </c>
    </row>
  </sheetData>
  <mergeCells count="2">
    <mergeCell ref="C37:N37"/>
    <mergeCell ref="O37:Z37"/>
  </mergeCells>
  <conditionalFormatting sqref="A1:XFD12 N19:XFD19 A3270:XFD1048576 E598:XFD3269 C91:C333 B91:B315 B89:C90 A37:C37 A36:N36 AA36:XFD37 G362:XFD597 A89:A3269 E49:XFD361 A49:C88 A38:XFD48 A20:XFD35 A14:XFD18 A13:E13 J13:XFD13">
    <cfRule type="expression" dxfId="96" priority="6">
      <formula>_xlfn.ISFORMULA(A1)</formula>
    </cfRule>
  </conditionalFormatting>
  <conditionalFormatting sqref="A19:M19">
    <cfRule type="expression" dxfId="95" priority="5">
      <formula>_xlfn.ISFORMULA(A19)</formula>
    </cfRule>
  </conditionalFormatting>
  <conditionalFormatting sqref="O37 O36:Z36">
    <cfRule type="expression" dxfId="94" priority="3">
      <formula>_xlfn.ISFORMULA(O36)</formula>
    </cfRule>
  </conditionalFormatting>
  <conditionalFormatting sqref="F13:I13">
    <cfRule type="expression" dxfId="93" priority="1">
      <formula>_xlfn.ISFORMULA(F13)</formula>
    </cfRule>
  </conditionalFormatting>
  <dataValidations disablePrompts="1" count="1">
    <dataValidation type="list" allowBlank="1" showInputMessage="1" showErrorMessage="1" sqref="B22" xr:uid="{D771720B-040A-43B1-968B-CF56707CAD20}">
      <formula1>$D$50:$D$57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9CD9279E-DA6F-4AB3-9C3D-C9F1CE4C6FA7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73275-EF0C-45A2-98A0-CC0DBA68914B}">
  <sheetPr>
    <tabColor theme="5" tint="0.39997558519241921"/>
  </sheetPr>
  <dimension ref="A1:Z401"/>
  <sheetViews>
    <sheetView zoomScale="70" zoomScaleNormal="70" workbookViewId="0">
      <selection activeCell="E5" sqref="E5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316</v>
      </c>
    </row>
    <row r="2" spans="1:9" s="5" customFormat="1" x14ac:dyDescent="0.3">
      <c r="A2" s="5" t="s">
        <v>5</v>
      </c>
      <c r="B2" s="5" t="s">
        <v>317</v>
      </c>
    </row>
    <row r="3" spans="1:9" s="5" customFormat="1" x14ac:dyDescent="0.3">
      <c r="A3" s="5" t="s">
        <v>6</v>
      </c>
      <c r="B3" s="5" t="s">
        <v>318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278</v>
      </c>
    </row>
    <row r="7" spans="1:9" s="5" customFormat="1" x14ac:dyDescent="0.3">
      <c r="B7" s="5" t="s">
        <v>188</v>
      </c>
      <c r="C7" s="5" t="s">
        <v>50</v>
      </c>
      <c r="D7" s="5" t="s">
        <v>279</v>
      </c>
    </row>
    <row r="8" spans="1:9" s="5" customFormat="1" x14ac:dyDescent="0.3">
      <c r="B8" s="5" t="s">
        <v>190</v>
      </c>
      <c r="C8" s="5" t="s">
        <v>10</v>
      </c>
      <c r="D8" s="5" t="s">
        <v>280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$E$8:$P6000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CONCATENATE("Transport energy consumption from ",$B$22)</f>
        <v>Transport energy consumption from Electricity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252</v>
      </c>
      <c r="B22" s="17" t="s">
        <v>341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INDEX($E$51:$O$401,MATCH(B$24&amp;$B$22,$B$51:$B$401&amp;$D$51:$D$401,0),MATCH($A25,$E$50:$O$50,0))</f>
        <v>0.27214200000000005</v>
      </c>
      <c r="C25" s="14">
        <f t="array" ref="C25">INDEX($E$51:$O$401,MATCH(C$24&amp;$B$22,$B$51:$B$401&amp;$D$51:$D$401,0),MATCH($A25,$E$50:$O$50,0))</f>
        <v>0.27214200000000005</v>
      </c>
      <c r="D25" s="14">
        <f t="array" ref="D25">INDEX($E$51:$O$401,MATCH(D$24&amp;$B$22,$B$51:$B$401&amp;$D$51:$D$401,0),MATCH($A25,$E$50:$O$50,0))</f>
        <v>0.27214200000000005</v>
      </c>
      <c r="E25" s="14">
        <f t="array" ref="E25">INDEX($E$51:$O$401,MATCH(E$24&amp;$B$22,$B$51:$B$401&amp;$D$51:$D$401,0),MATCH($A25,$E$50:$O$50,0))</f>
        <v>0.27214200000000005</v>
      </c>
      <c r="F25" s="14">
        <f t="array" ref="F25">INDEX($E$51:$O$401,MATCH(F$24&amp;$B$22,$B$51:$B$401&amp;$D$51:$D$401,0),MATCH($A25,$E$50:$O$50,0))</f>
        <v>0.27214200000000005</v>
      </c>
      <c r="G25" s="14">
        <f t="array" ref="G25">INDEX($E$51:$O$401,MATCH(G$24&amp;$B$22,$B$51:$B$401&amp;$D$51:$D$401,0),MATCH($A25,$E$50:$O$50,0))</f>
        <v>0.27214200000000005</v>
      </c>
      <c r="H25" s="14">
        <f t="array" ref="H25">INDEX($E$51:$O$401,MATCH(H$24&amp;$B$22,$B$51:$B$401&amp;$D$51:$D$401,0),MATCH($A25,$E$50:$O$50,0))</f>
        <v>0.27214200000000005</v>
      </c>
      <c r="I25" s="14">
        <f t="array" ref="I25">INDEX($E$51:$O$401,MATCH(I$24&amp;$B$22,$B$51:$B$401&amp;$D$51:$D$401,0),MATCH($A25,$E$50:$O$50,0))</f>
        <v>0.27214200000000005</v>
      </c>
      <c r="J25" s="14">
        <f t="array" ref="J25">INDEX($E$51:$O$401,MATCH(J$24&amp;$B$22,$B$51:$B$401&amp;$D$51:$D$401,0),MATCH($A25,$E$50:$O$50,0))</f>
        <v>0.27214200000000005</v>
      </c>
      <c r="K25" s="14" t="e">
        <f t="array" ref="K25">INDEX($E$51:$O$401,MATCH(K$24&amp;$B$22,$B$51:$B$401&amp;$D$51:$D$401,0),MATCH($A25,$E$50:$O$50,0))</f>
        <v>#N/A</v>
      </c>
      <c r="L25" s="14" t="e">
        <f t="array" ref="L25">INDEX($E$51:$O$401,MATCH(L$24&amp;$B$22,$B$51:$B$401&amp;$D$51:$D$401,0),MATCH($A25,$E$50:$O$50,0))</f>
        <v>#N/A</v>
      </c>
      <c r="M25" s="14" t="e">
        <f t="array" ref="M25">INDEX($E$51:$O$401,MATCH(M$24&amp;$B$22,$B$51:$B$401&amp;$D$51:$D$401,0),MATCH($A25,$E$50:$O$50,0))</f>
        <v>#N/A</v>
      </c>
    </row>
    <row r="26" spans="1:13" x14ac:dyDescent="0.3">
      <c r="A26" s="3">
        <v>2020</v>
      </c>
      <c r="B26" s="14">
        <f t="array" ref="B26">INDEX($E$51:$O$401,MATCH(B$24&amp;$B$22,$B$51:$B$401&amp;$D$51:$D$401,0),MATCH($A26,$E$50:$O$50,0))</f>
        <v>39.863137640230093</v>
      </c>
      <c r="C26" s="14">
        <f t="array" ref="C26">INDEX($E$51:$O$401,MATCH(C$24&amp;$B$22,$B$51:$B$401&amp;$D$51:$D$401,0),MATCH($A26,$E$50:$O$50,0))</f>
        <v>39.851411191919205</v>
      </c>
      <c r="D26" s="14">
        <f t="array" ref="D26">INDEX($E$51:$O$401,MATCH(D$24&amp;$B$22,$B$51:$B$401&amp;$D$51:$D$401,0),MATCH($A26,$E$50:$O$50,0))</f>
        <v>39.715545758633766</v>
      </c>
      <c r="E26" s="14">
        <f t="array" ref="E26">INDEX($E$51:$O$401,MATCH(E$24&amp;$B$22,$B$51:$B$401&amp;$D$51:$D$401,0),MATCH($A26,$E$50:$O$50,0))</f>
        <v>39.715545758633766</v>
      </c>
      <c r="F26" s="14">
        <f t="array" ref="F26">INDEX($E$51:$O$401,MATCH(F$24&amp;$B$22,$B$51:$B$401&amp;$D$51:$D$401,0),MATCH($A26,$E$50:$O$50,0))</f>
        <v>39.715545758633766</v>
      </c>
      <c r="G26" s="14">
        <f t="array" ref="G26">INDEX($E$51:$O$401,MATCH(G$24&amp;$B$22,$B$51:$B$401&amp;$D$51:$D$401,0),MATCH($A26,$E$50:$O$50,0))</f>
        <v>39.715545758633766</v>
      </c>
      <c r="H26" s="14">
        <f t="array" ref="H26">INDEX($E$51:$O$401,MATCH(H$24&amp;$B$22,$B$51:$B$401&amp;$D$51:$D$401,0),MATCH($A26,$E$50:$O$50,0))</f>
        <v>39.715545758633766</v>
      </c>
      <c r="I26" s="14">
        <f t="array" ref="I26">INDEX($E$51:$O$401,MATCH(I$24&amp;$B$22,$B$51:$B$401&amp;$D$51:$D$401,0),MATCH($A26,$E$50:$O$50,0))</f>
        <v>39.715545758633766</v>
      </c>
      <c r="J26" s="14">
        <f t="array" ref="J26">INDEX($E$51:$O$401,MATCH(J$24&amp;$B$22,$B$51:$B$401&amp;$D$51:$D$401,0),MATCH($A26,$E$50:$O$50,0))</f>
        <v>39.715545758633766</v>
      </c>
      <c r="K26" s="14" t="e">
        <f t="array" ref="K26">INDEX($E$51:$O$401,MATCH(K$24&amp;$B$22,$B$51:$B$401&amp;$D$51:$D$401,0),MATCH($A26,$E$50:$O$50,0))</f>
        <v>#N/A</v>
      </c>
      <c r="L26" s="14" t="e">
        <f t="array" ref="L26">INDEX($E$51:$O$401,MATCH(L$24&amp;$B$22,$B$51:$B$401&amp;$D$51:$D$401,0),MATCH($A26,$E$50:$O$50,0))</f>
        <v>#N/A</v>
      </c>
      <c r="M26" s="14" t="e">
        <f t="array" ref="M26">INDEX($E$51:$O$401,MATCH(M$24&amp;$B$22,$B$51:$B$401&amp;$D$51:$D$401,0),MATCH($A26,$E$50:$O$50,0))</f>
        <v>#N/A</v>
      </c>
    </row>
    <row r="27" spans="1:13" x14ac:dyDescent="0.3">
      <c r="A27" s="3">
        <v>2030</v>
      </c>
      <c r="B27" s="14">
        <f t="array" ref="B27">INDEX($E$51:$O$401,MATCH(B$24&amp;$B$22,$B$51:$B$401&amp;$D$51:$D$401,0),MATCH($A27,$E$50:$O$50,0))</f>
        <v>1003.6816525884961</v>
      </c>
      <c r="C27" s="14">
        <f t="array" ref="C27">INDEX($E$51:$O$401,MATCH(C$24&amp;$B$22,$B$51:$B$401&amp;$D$51:$D$401,0),MATCH($A27,$E$50:$O$50,0))</f>
        <v>1005.7942092807525</v>
      </c>
      <c r="D27" s="14">
        <f t="array" ref="D27">INDEX($E$51:$O$401,MATCH(D$24&amp;$B$22,$B$51:$B$401&amp;$D$51:$D$401,0),MATCH($A27,$E$50:$O$50,0))</f>
        <v>1069.5883483275736</v>
      </c>
      <c r="E27" s="14">
        <f t="array" ref="E27">INDEX($E$51:$O$401,MATCH(E$24&amp;$B$22,$B$51:$B$401&amp;$D$51:$D$401,0),MATCH($A27,$E$50:$O$50,0))</f>
        <v>1087.8397472504214</v>
      </c>
      <c r="F27" s="14">
        <f t="array" ref="F27">INDEX($E$51:$O$401,MATCH(F$24&amp;$B$22,$B$51:$B$401&amp;$D$51:$D$401,0),MATCH($A27,$E$50:$O$50,0))</f>
        <v>1069.5883483275736</v>
      </c>
      <c r="G27" s="14">
        <f t="array" ref="G27">INDEX($E$51:$O$401,MATCH(G$24&amp;$B$22,$B$51:$B$401&amp;$D$51:$D$401,0),MATCH($A27,$E$50:$O$50,0))</f>
        <v>2009.1559159620085</v>
      </c>
      <c r="H27" s="14">
        <f t="array" ref="H27">INDEX($E$51:$O$401,MATCH(H$24&amp;$B$22,$B$51:$B$401&amp;$D$51:$D$401,0),MATCH($A27,$E$50:$O$50,0))</f>
        <v>1069.5883483275736</v>
      </c>
      <c r="I27" s="14">
        <f t="array" ref="I27">INDEX($E$51:$O$401,MATCH(I$24&amp;$B$22,$B$51:$B$401&amp;$D$51:$D$401,0),MATCH($A27,$E$50:$O$50,0))</f>
        <v>1130.2454144358746</v>
      </c>
      <c r="J27" s="14">
        <f t="array" ref="J27">INDEX($E$51:$O$401,MATCH(J$24&amp;$B$22,$B$51:$B$401&amp;$D$51:$D$401,0),MATCH($A27,$E$50:$O$50,0))</f>
        <v>1069.5883483275736</v>
      </c>
      <c r="K27" s="14" t="e">
        <f t="array" ref="K27">INDEX($E$51:$O$401,MATCH(K$24&amp;$B$22,$B$51:$B$401&amp;$D$51:$D$401,0),MATCH($A27,$E$50:$O$50,0))</f>
        <v>#N/A</v>
      </c>
      <c r="L27" s="14" t="e">
        <f t="array" ref="L27">INDEX($E$51:$O$401,MATCH(L$24&amp;$B$22,$B$51:$B$401&amp;$D$51:$D$401,0),MATCH($A27,$E$50:$O$50,0))</f>
        <v>#N/A</v>
      </c>
      <c r="M27" s="14" t="e">
        <f t="array" ref="M27">INDEX($E$51:$O$401,MATCH(M$24&amp;$B$22,$B$51:$B$401&amp;$D$51:$D$401,0),MATCH($A27,$E$50:$O$50,0))</f>
        <v>#N/A</v>
      </c>
    </row>
    <row r="28" spans="1:13" x14ac:dyDescent="0.3">
      <c r="A28" s="3">
        <v>2040</v>
      </c>
      <c r="B28" s="14">
        <f t="array" ref="B28">INDEX($E$51:$O$401,MATCH(B$24&amp;$B$22,$B$51:$B$401&amp;$D$51:$D$401,0),MATCH($A28,$E$50:$O$50,0))</f>
        <v>2356.242175508296</v>
      </c>
      <c r="C28" s="14">
        <f t="array" ref="C28">INDEX($E$51:$O$401,MATCH(C$24&amp;$B$22,$B$51:$B$401&amp;$D$51:$D$401,0),MATCH($A28,$E$50:$O$50,0))</f>
        <v>2352.4998180590778</v>
      </c>
      <c r="D28" s="14">
        <f t="array" ref="D28">INDEX($E$51:$O$401,MATCH(D$24&amp;$B$22,$B$51:$B$401&amp;$D$51:$D$401,0),MATCH($A28,$E$50:$O$50,0))</f>
        <v>3700.988526160007</v>
      </c>
      <c r="E28" s="14">
        <f t="array" ref="E28">INDEX($E$51:$O$401,MATCH(E$24&amp;$B$22,$B$51:$B$401&amp;$D$51:$D$401,0),MATCH($A28,$E$50:$O$50,0))</f>
        <v>4193.1500569993486</v>
      </c>
      <c r="F28" s="14">
        <f t="array" ref="F28">INDEX($E$51:$O$401,MATCH(F$24&amp;$B$22,$B$51:$B$401&amp;$D$51:$D$401,0),MATCH($A28,$E$50:$O$50,0))</f>
        <v>4055.0588483342849</v>
      </c>
      <c r="G28" s="14">
        <f t="array" ref="G28">INDEX($E$51:$O$401,MATCH(G$24&amp;$B$22,$B$51:$B$401&amp;$D$51:$D$401,0),MATCH($A28,$E$50:$O$50,0))</f>
        <v>4276.6761264316383</v>
      </c>
      <c r="H28" s="14">
        <f t="array" ref="H28">INDEX($E$51:$O$401,MATCH(H$24&amp;$B$22,$B$51:$B$401&amp;$D$51:$D$401,0),MATCH($A28,$E$50:$O$50,0))</f>
        <v>3966.4963601593126</v>
      </c>
      <c r="I28" s="14">
        <f t="array" ref="I28">INDEX($E$51:$O$401,MATCH(I$24&amp;$B$22,$B$51:$B$401&amp;$D$51:$D$401,0),MATCH($A28,$E$50:$O$50,0))</f>
        <v>4395.4478487279748</v>
      </c>
      <c r="J28" s="14">
        <f t="array" ref="J28">INDEX($E$51:$O$401,MATCH(J$24&amp;$B$22,$B$51:$B$401&amp;$D$51:$D$401,0),MATCH($A28,$E$50:$O$50,0))</f>
        <v>4136.5183599319244</v>
      </c>
      <c r="K28" s="14" t="e">
        <f t="array" ref="K28">INDEX($E$51:$O$401,MATCH(K$24&amp;$B$22,$B$51:$B$401&amp;$D$51:$D$401,0),MATCH($A28,$E$50:$O$50,0))</f>
        <v>#N/A</v>
      </c>
      <c r="L28" s="14" t="e">
        <f t="array" ref="L28">INDEX($E$51:$O$401,MATCH(L$24&amp;$B$22,$B$51:$B$401&amp;$D$51:$D$401,0),MATCH($A28,$E$50:$O$50,0))</f>
        <v>#N/A</v>
      </c>
      <c r="M28" s="14" t="e">
        <f t="array" ref="M28">INDEX($E$51:$O$401,MATCH(M$24&amp;$B$22,$B$51:$B$401&amp;$D$51:$D$401,0),MATCH($A28,$E$50:$O$50,0))</f>
        <v>#N/A</v>
      </c>
    </row>
    <row r="29" spans="1:13" x14ac:dyDescent="0.3">
      <c r="A29" s="3">
        <v>2050</v>
      </c>
      <c r="B29" s="14">
        <f t="array" ref="B29">INDEX($E$51:$O$401,MATCH(B$24&amp;$B$22,$B$51:$B$401&amp;$D$51:$D$401,0),MATCH($A29,$E$50:$O$50,0))</f>
        <v>7983.8252120514571</v>
      </c>
      <c r="C29" s="14">
        <f t="array" ref="C29">INDEX($E$51:$O$401,MATCH(C$24&amp;$B$22,$B$51:$B$401&amp;$D$51:$D$401,0),MATCH($A29,$E$50:$O$50,0))</f>
        <v>7912.473839253099</v>
      </c>
      <c r="D29" s="14">
        <f t="array" ref="D29">INDEX($E$51:$O$401,MATCH(D$24&amp;$B$22,$B$51:$B$401&amp;$D$51:$D$401,0),MATCH($A29,$E$50:$O$50,0))</f>
        <v>9209.0936752276266</v>
      </c>
      <c r="E29" s="14">
        <f t="array" ref="E29">INDEX($E$51:$O$401,MATCH(E$24&amp;$B$22,$B$51:$B$401&amp;$D$51:$D$401,0),MATCH($A29,$E$50:$O$50,0))</f>
        <v>9771.5529623626971</v>
      </c>
      <c r="F29" s="14">
        <f t="array" ref="F29">INDEX($E$51:$O$401,MATCH(F$24&amp;$B$22,$B$51:$B$401&amp;$D$51:$D$401,0),MATCH($A29,$E$50:$O$50,0))</f>
        <v>9580.7289479646042</v>
      </c>
      <c r="G29" s="14">
        <f t="array" ref="G29">INDEX($E$51:$O$401,MATCH(G$24&amp;$B$22,$B$51:$B$401&amp;$D$51:$D$401,0),MATCH($A29,$E$50:$O$50,0))</f>
        <v>9146.7579148285549</v>
      </c>
      <c r="H29" s="14">
        <f t="array" ref="H29">INDEX($E$51:$O$401,MATCH(H$24&amp;$B$22,$B$51:$B$401&amp;$D$51:$D$401,0),MATCH($A29,$E$50:$O$50,0))</f>
        <v>6894.9014296328914</v>
      </c>
      <c r="I29" s="14">
        <f t="array" ref="I29">INDEX($E$51:$O$401,MATCH(I$24&amp;$B$22,$B$51:$B$401&amp;$D$51:$D$401,0),MATCH($A29,$E$50:$O$50,0))</f>
        <v>10346.618019879585</v>
      </c>
      <c r="J29" s="14">
        <f t="array" ref="J29">INDEX($E$51:$O$401,MATCH(J$24&amp;$B$22,$B$51:$B$401&amp;$D$51:$D$401,0),MATCH($A29,$E$50:$O$50,0))</f>
        <v>9648.6523299483033</v>
      </c>
      <c r="K29" s="14" t="e">
        <f t="array" ref="K29">INDEX($E$51:$O$401,MATCH(K$24&amp;$B$22,$B$51:$B$401&amp;$D$51:$D$401,0),MATCH($A29,$E$50:$O$50,0))</f>
        <v>#N/A</v>
      </c>
      <c r="L29" s="14" t="e">
        <f t="array" ref="L29">INDEX($E$51:$O$401,MATCH(L$24&amp;$B$22,$B$51:$B$401&amp;$D$51:$D$401,0),MATCH($A29,$E$50:$O$50,0))</f>
        <v>#N/A</v>
      </c>
      <c r="M29" s="14" t="e">
        <f t="array" ref="M29">INDEX($E$51:$O$401,MATCH(M$24&amp;$B$22,$B$51:$B$401&amp;$D$51:$D$401,0),MATCH($A29,$E$50:$O$50,0))</f>
        <v>#N/A</v>
      </c>
    </row>
    <row r="30" spans="1:13" x14ac:dyDescent="0.3">
      <c r="A30" s="3">
        <v>2060</v>
      </c>
      <c r="B30" s="14">
        <f t="array" ref="B30">INDEX($E$51:$O$401,MATCH(B$24&amp;$B$22,$B$51:$B$401&amp;$D$51:$D$401,0),MATCH($A30,$E$50:$O$50,0))</f>
        <v>13923.960028398633</v>
      </c>
      <c r="C30" s="14">
        <f t="array" ref="C30">INDEX($E$51:$O$401,MATCH(C$24&amp;$B$22,$B$51:$B$401&amp;$D$51:$D$401,0),MATCH($A30,$E$50:$O$50,0))</f>
        <v>13916.783390684668</v>
      </c>
      <c r="D30" s="14">
        <f t="array" ref="D30">INDEX($E$51:$O$401,MATCH(D$24&amp;$B$22,$B$51:$B$401&amp;$D$51:$D$401,0),MATCH($A30,$E$50:$O$50,0))</f>
        <v>14203.500481422001</v>
      </c>
      <c r="E30" s="14">
        <f t="array" ref="E30">INDEX($E$51:$O$401,MATCH(E$24&amp;$B$22,$B$51:$B$401&amp;$D$51:$D$401,0),MATCH($A30,$E$50:$O$50,0))</f>
        <v>14519.268386292151</v>
      </c>
      <c r="F30" s="14">
        <f t="array" ref="F30">INDEX($E$51:$O$401,MATCH(F$24&amp;$B$22,$B$51:$B$401&amp;$D$51:$D$401,0),MATCH($A30,$E$50:$O$50,0))</f>
        <v>14326.35581281144</v>
      </c>
      <c r="G30" s="14">
        <f t="array" ref="G30">INDEX($E$51:$O$401,MATCH(G$24&amp;$B$22,$B$51:$B$401&amp;$D$51:$D$401,0),MATCH($A30,$E$50:$O$50,0))</f>
        <v>15837.110374635051</v>
      </c>
      <c r="H30" s="14">
        <f t="array" ref="H30">INDEX($E$51:$O$401,MATCH(H$24&amp;$B$22,$B$51:$B$401&amp;$D$51:$D$401,0),MATCH($A30,$E$50:$O$50,0))</f>
        <v>10816.812001363774</v>
      </c>
      <c r="I30" s="14">
        <f t="array" ref="I30">INDEX($E$51:$O$401,MATCH(I$24&amp;$B$22,$B$51:$B$401&amp;$D$51:$D$401,0),MATCH($A30,$E$50:$O$50,0))</f>
        <v>14942.983261331266</v>
      </c>
      <c r="J30" s="14">
        <f t="array" ref="J30">INDEX($E$51:$O$401,MATCH(J$24&amp;$B$22,$B$51:$B$401&amp;$D$51:$D$401,0),MATCH($A30,$E$50:$O$50,0))</f>
        <v>13365.104084295897</v>
      </c>
      <c r="K30" s="14" t="e">
        <f t="array" ref="K30">INDEX($E$51:$O$401,MATCH(K$24&amp;$B$22,$B$51:$B$401&amp;$D$51:$D$401,0),MATCH($A30,$E$50:$O$50,0))</f>
        <v>#N/A</v>
      </c>
      <c r="L30" s="14" t="e">
        <f t="array" ref="L30">INDEX($E$51:$O$401,MATCH(L$24&amp;$B$22,$B$51:$B$401&amp;$D$51:$D$401,0),MATCH($A30,$E$50:$O$50,0))</f>
        <v>#N/A</v>
      </c>
      <c r="M30" s="14" t="e">
        <f t="array" ref="M30">INDEX($E$51:$O$401,MATCH(M$24&amp;$B$22,$B$51:$B$401&amp;$D$51:$D$401,0),MATCH($A30,$E$50:$O$50,0))</f>
        <v>#N/A</v>
      </c>
    </row>
    <row r="31" spans="1:13" x14ac:dyDescent="0.3">
      <c r="A31" s="3">
        <v>2070</v>
      </c>
      <c r="B31" s="14">
        <f t="array" ref="B31">INDEX($E$51:$O$401,MATCH(B$24&amp;$B$22,$B$51:$B$401&amp;$D$51:$D$401,0),MATCH($A31,$E$50:$O$50,0))</f>
        <v>16466.022447274096</v>
      </c>
      <c r="C31" s="14">
        <f t="array" ref="C31">INDEX($E$51:$O$401,MATCH(C$24&amp;$B$22,$B$51:$B$401&amp;$D$51:$D$401,0),MATCH($A31,$E$50:$O$50,0))</f>
        <v>16465.600586304343</v>
      </c>
      <c r="D31" s="14">
        <f t="array" ref="D31">INDEX($E$51:$O$401,MATCH(D$24&amp;$B$22,$B$51:$B$401&amp;$D$51:$D$401,0),MATCH($A31,$E$50:$O$50,0))</f>
        <v>16466.254314637321</v>
      </c>
      <c r="E31" s="14">
        <f t="array" ref="E31">INDEX($E$51:$O$401,MATCH(E$24&amp;$B$22,$B$51:$B$401&amp;$D$51:$D$401,0),MATCH($A31,$E$50:$O$50,0))</f>
        <v>16613.983190062154</v>
      </c>
      <c r="F31" s="14">
        <f t="array" ref="F31">INDEX($E$51:$O$401,MATCH(F$24&amp;$B$22,$B$51:$B$401&amp;$D$51:$D$401,0),MATCH($A31,$E$50:$O$50,0))</f>
        <v>16745.940240593398</v>
      </c>
      <c r="G31" s="14">
        <f t="array" ref="G31">INDEX($E$51:$O$401,MATCH(G$24&amp;$B$22,$B$51:$B$401&amp;$D$51:$D$401,0),MATCH($A31,$E$50:$O$50,0))</f>
        <v>17749.003158195694</v>
      </c>
      <c r="H31" s="14">
        <f t="array" ref="H31">INDEX($E$51:$O$401,MATCH(H$24&amp;$B$22,$B$51:$B$401&amp;$D$51:$D$401,0),MATCH($A31,$E$50:$O$50,0))</f>
        <v>16681.220257384932</v>
      </c>
      <c r="I31" s="14">
        <f t="array" ref="I31">INDEX($E$51:$O$401,MATCH(I$24&amp;$B$22,$B$51:$B$401&amp;$D$51:$D$401,0),MATCH($A31,$E$50:$O$50,0))</f>
        <v>18421.524446237447</v>
      </c>
      <c r="J31" s="14">
        <f t="array" ref="J31">INDEX($E$51:$O$401,MATCH(J$24&amp;$B$22,$B$51:$B$401&amp;$D$51:$D$401,0),MATCH($A31,$E$50:$O$50,0))</f>
        <v>17037.636776940275</v>
      </c>
      <c r="K31" s="14" t="e">
        <f t="array" ref="K31">INDEX($E$51:$O$401,MATCH(K$24&amp;$B$22,$B$51:$B$401&amp;$D$51:$D$401,0),MATCH($A31,$E$50:$O$50,0))</f>
        <v>#N/A</v>
      </c>
      <c r="L31" s="14" t="e">
        <f t="array" ref="L31">INDEX($E$51:$O$401,MATCH(L$24&amp;$B$22,$B$51:$B$401&amp;$D$51:$D$401,0),MATCH($A31,$E$50:$O$50,0))</f>
        <v>#N/A</v>
      </c>
      <c r="M31" s="14" t="e">
        <f t="array" ref="M31">INDEX($E$51:$O$401,MATCH(M$24&amp;$B$22,$B$51:$B$401&amp;$D$51:$D$401,0),MATCH($A31,$E$50:$O$50,0))</f>
        <v>#N/A</v>
      </c>
    </row>
    <row r="32" spans="1:13" x14ac:dyDescent="0.3">
      <c r="A32" s="3">
        <v>2080</v>
      </c>
      <c r="B32" s="14">
        <f t="array" ref="B32">INDEX($E$51:$O$401,MATCH(B$24&amp;$B$22,$B$51:$B$401&amp;$D$51:$D$401,0),MATCH($A32,$E$50:$O$50,0))</f>
        <v>17723.524969998824</v>
      </c>
      <c r="C32" s="14">
        <f t="array" ref="C32">INDEX($E$51:$O$401,MATCH(C$24&amp;$B$22,$B$51:$B$401&amp;$D$51:$D$401,0),MATCH($A32,$E$50:$O$50,0))</f>
        <v>17723.573566579824</v>
      </c>
      <c r="D32" s="14">
        <f t="array" ref="D32">INDEX($E$51:$O$401,MATCH(D$24&amp;$B$22,$B$51:$B$401&amp;$D$51:$D$401,0),MATCH($A32,$E$50:$O$50,0))</f>
        <v>17739.403812697397</v>
      </c>
      <c r="E32" s="14">
        <f t="array" ref="E32">INDEX($E$51:$O$401,MATCH(E$24&amp;$B$22,$B$51:$B$401&amp;$D$51:$D$401,0),MATCH($A32,$E$50:$O$50,0))</f>
        <v>19120.453927830033</v>
      </c>
      <c r="F32" s="14">
        <f t="array" ref="F32">INDEX($E$51:$O$401,MATCH(F$24&amp;$B$22,$B$51:$B$401&amp;$D$51:$D$401,0),MATCH($A32,$E$50:$O$50,0))</f>
        <v>19637.829813532884</v>
      </c>
      <c r="G32" s="14">
        <f t="array" ref="G32">INDEX($E$51:$O$401,MATCH(G$24&amp;$B$22,$B$51:$B$401&amp;$D$51:$D$401,0),MATCH($A32,$E$50:$O$50,0))</f>
        <v>19818.310302716254</v>
      </c>
      <c r="H32" s="14">
        <f t="array" ref="H32">INDEX($E$51:$O$401,MATCH(H$24&amp;$B$22,$B$51:$B$401&amp;$D$51:$D$401,0),MATCH($A32,$E$50:$O$50,0))</f>
        <v>17961.734483011198</v>
      </c>
      <c r="I32" s="14">
        <f t="array" ref="I32">INDEX($E$51:$O$401,MATCH(I$24&amp;$B$22,$B$51:$B$401&amp;$D$51:$D$401,0),MATCH($A32,$E$50:$O$50,0))</f>
        <v>20561.454263369928</v>
      </c>
      <c r="J32" s="14">
        <f t="array" ref="J32">INDEX($E$51:$O$401,MATCH(J$24&amp;$B$22,$B$51:$B$401&amp;$D$51:$D$401,0),MATCH($A32,$E$50:$O$50,0))</f>
        <v>20275.310977684265</v>
      </c>
      <c r="K32" s="14" t="e">
        <f t="array" ref="K32">INDEX($E$51:$O$401,MATCH(K$24&amp;$B$22,$B$51:$B$401&amp;$D$51:$D$401,0),MATCH($A32,$E$50:$O$50,0))</f>
        <v>#N/A</v>
      </c>
      <c r="L32" s="14" t="e">
        <f t="array" ref="L32">INDEX($E$51:$O$401,MATCH(L$24&amp;$B$22,$B$51:$B$401&amp;$D$51:$D$401,0),MATCH($A32,$E$50:$O$50,0))</f>
        <v>#N/A</v>
      </c>
      <c r="M32" s="14" t="e">
        <f t="array" ref="M32">INDEX($E$51:$O$401,MATCH(M$24&amp;$B$22,$B$51:$B$401&amp;$D$51:$D$401,0),MATCH($A32,$E$50:$O$50,0))</f>
        <v>#N/A</v>
      </c>
    </row>
    <row r="33" spans="1:26" x14ac:dyDescent="0.3">
      <c r="A33" s="3">
        <v>2090</v>
      </c>
      <c r="B33" s="14">
        <f t="array" ref="B33">INDEX($E$51:$O$401,MATCH(B$24&amp;$B$22,$B$51:$B$401&amp;$D$51:$D$401,0),MATCH($A33,$E$50:$O$50,0))</f>
        <v>18970.505091951876</v>
      </c>
      <c r="C33" s="14">
        <f t="array" ref="C33">INDEX($E$51:$O$401,MATCH(C$24&amp;$B$22,$B$51:$B$401&amp;$D$51:$D$401,0),MATCH($A33,$E$50:$O$50,0))</f>
        <v>18970.532152689164</v>
      </c>
      <c r="D33" s="14">
        <f t="array" ref="D33">INDEX($E$51:$O$401,MATCH(D$24&amp;$B$22,$B$51:$B$401&amp;$D$51:$D$401,0),MATCH($A33,$E$50:$O$50,0))</f>
        <v>19018.497199970272</v>
      </c>
      <c r="E33" s="14">
        <f t="array" ref="E33">INDEX($E$51:$O$401,MATCH(E$24&amp;$B$22,$B$51:$B$401&amp;$D$51:$D$401,0),MATCH($A33,$E$50:$O$50,0))</f>
        <v>21504.436312408958</v>
      </c>
      <c r="F33" s="14">
        <f t="array" ref="F33">INDEX($E$51:$O$401,MATCH(F$24&amp;$B$22,$B$51:$B$401&amp;$D$51:$D$401,0),MATCH($A33,$E$50:$O$50,0))</f>
        <v>21597.513557029939</v>
      </c>
      <c r="G33" s="14">
        <f t="array" ref="G33">INDEX($E$51:$O$401,MATCH(G$24&amp;$B$22,$B$51:$B$401&amp;$D$51:$D$401,0),MATCH($A33,$E$50:$O$50,0))</f>
        <v>21868.594403989398</v>
      </c>
      <c r="H33" s="14">
        <f t="array" ref="H33">INDEX($E$51:$O$401,MATCH(H$24&amp;$B$22,$B$51:$B$401&amp;$D$51:$D$401,0),MATCH($A33,$E$50:$O$50,0))</f>
        <v>19158.368947007322</v>
      </c>
      <c r="I33" s="14">
        <f t="array" ref="I33">INDEX($E$51:$O$401,MATCH(I$24&amp;$B$22,$B$51:$B$401&amp;$D$51:$D$401,0),MATCH($A33,$E$50:$O$50,0))</f>
        <v>21741.663786238249</v>
      </c>
      <c r="J33" s="14">
        <f t="array" ref="J33">INDEX($E$51:$O$401,MATCH(J$24&amp;$B$22,$B$51:$B$401&amp;$D$51:$D$401,0),MATCH($A33,$E$50:$O$50,0))</f>
        <v>21744.412550279132</v>
      </c>
      <c r="K33" s="14" t="e">
        <f t="array" ref="K33">INDEX($E$51:$O$401,MATCH(K$24&amp;$B$22,$B$51:$B$401&amp;$D$51:$D$401,0),MATCH($A33,$E$50:$O$50,0))</f>
        <v>#N/A</v>
      </c>
      <c r="L33" s="14" t="e">
        <f t="array" ref="L33">INDEX($E$51:$O$401,MATCH(L$24&amp;$B$22,$B$51:$B$401&amp;$D$51:$D$401,0),MATCH($A33,$E$50:$O$50,0))</f>
        <v>#N/A</v>
      </c>
      <c r="M33" s="14" t="e">
        <f t="array" ref="M33">INDEX($E$51:$O$401,MATCH(M$24&amp;$B$22,$B$51:$B$401&amp;$D$51:$D$401,0),MATCH($A33,$E$50:$O$50,0))</f>
        <v>#N/A</v>
      </c>
    </row>
    <row r="34" spans="1:26" x14ac:dyDescent="0.3">
      <c r="A34" s="3">
        <v>2100</v>
      </c>
      <c r="B34" s="14">
        <f t="array" ref="B34">INDEX($E$51:$O$401,MATCH(B$24&amp;$B$22,$B$51:$B$401&amp;$D$51:$D$401,0),MATCH($A34,$E$50:$O$50,0))</f>
        <v>20443.745826512848</v>
      </c>
      <c r="C34" s="14">
        <f t="array" ref="C34">INDEX($E$51:$O$401,MATCH(C$24&amp;$B$22,$B$51:$B$401&amp;$D$51:$D$401,0),MATCH($A34,$E$50:$O$50,0))</f>
        <v>20443.6265879038</v>
      </c>
      <c r="D34" s="14">
        <f t="array" ref="D34">INDEX($E$51:$O$401,MATCH(D$24&amp;$B$22,$B$51:$B$401&amp;$D$51:$D$401,0),MATCH($A34,$E$50:$O$50,0))</f>
        <v>20454.300783301314</v>
      </c>
      <c r="E34" s="14">
        <f t="array" ref="E34">INDEX($E$51:$O$401,MATCH(E$24&amp;$B$22,$B$51:$B$401&amp;$D$51:$D$401,0),MATCH($A34,$E$50:$O$50,0))</f>
        <v>23500.696611899697</v>
      </c>
      <c r="F34" s="14">
        <f t="array" ref="F34">INDEX($E$51:$O$401,MATCH(F$24&amp;$B$22,$B$51:$B$401&amp;$D$51:$D$401,0),MATCH($A34,$E$50:$O$50,0))</f>
        <v>23521.494146794506</v>
      </c>
      <c r="G34" s="14">
        <f t="array" ref="G34">INDEX($E$51:$O$401,MATCH(G$24&amp;$B$22,$B$51:$B$401&amp;$D$51:$D$401,0),MATCH($A34,$E$50:$O$50,0))</f>
        <v>23569.322292774446</v>
      </c>
      <c r="H34" s="14">
        <f t="array" ref="H34">INDEX($E$51:$O$401,MATCH(H$24&amp;$B$22,$B$51:$B$401&amp;$D$51:$D$401,0),MATCH($A34,$E$50:$O$50,0))</f>
        <v>20266.673327604592</v>
      </c>
      <c r="I34" s="14">
        <f t="array" ref="I34">INDEX($E$51:$O$401,MATCH(I$24&amp;$B$22,$B$51:$B$401&amp;$D$51:$D$401,0),MATCH($A34,$E$50:$O$50,0))</f>
        <v>23569.571100268739</v>
      </c>
      <c r="J34" s="14">
        <f t="array" ref="J34">INDEX($E$51:$O$401,MATCH(J$24&amp;$B$22,$B$51:$B$401&amp;$D$51:$D$401,0),MATCH($A34,$E$50:$O$50,0))</f>
        <v>23615.877285419334</v>
      </c>
      <c r="K34" s="14" t="e">
        <f t="array" ref="K34">INDEX($E$51:$O$401,MATCH(K$24&amp;$B$22,$B$51:$B$401&amp;$D$51:$D$401,0),MATCH($A34,$E$50:$O$50,0))</f>
        <v>#N/A</v>
      </c>
      <c r="L34" s="14" t="e">
        <f t="array" ref="L34">INDEX($E$51:$O$401,MATCH(L$24&amp;$B$22,$B$51:$B$401&amp;$D$51:$D$401,0),MATCH($A34,$E$50:$O$50,0))</f>
        <v>#N/A</v>
      </c>
      <c r="M34" s="14" t="e">
        <f t="array" ref="M34">INDEX($E$51:$O$401,MATCH(M$24&amp;$B$22,$B$51:$B$401&amp;$D$51:$D$401,0),MATCH($A34,$E$50:$O$50,0))</f>
        <v>#N/A</v>
      </c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50</v>
      </c>
      <c r="B38" s="3" t="str">
        <f>$B$24</f>
        <v>Vivid_0A</v>
      </c>
      <c r="C38" s="3" t="str">
        <f>B$24</f>
        <v>Vivid_0A</v>
      </c>
      <c r="D38" s="3" t="str">
        <f t="shared" ref="D38:N38" si="2">C$24</f>
        <v>Vivid_0A_BAU</v>
      </c>
      <c r="E38" s="3" t="str">
        <f t="shared" si="2"/>
        <v>Vivid_0B</v>
      </c>
      <c r="F38" s="3" t="str">
        <f t="shared" si="2"/>
        <v>Vivid_1</v>
      </c>
      <c r="G38" s="3" t="str">
        <f t="shared" si="2"/>
        <v>Vivid_2</v>
      </c>
      <c r="H38" s="3" t="str">
        <f t="shared" si="2"/>
        <v>Vivid_13</v>
      </c>
      <c r="I38" s="3" t="str">
        <f t="shared" si="2"/>
        <v>Vivid_14</v>
      </c>
      <c r="J38" s="3" t="str">
        <f t="shared" si="2"/>
        <v>Vivid_25</v>
      </c>
      <c r="K38" s="3" t="str">
        <f t="shared" si="2"/>
        <v>Vivid_26</v>
      </c>
      <c r="L38" s="3" t="str">
        <f t="shared" si="2"/>
        <v/>
      </c>
      <c r="M38" s="3" t="str">
        <f t="shared" si="2"/>
        <v/>
      </c>
      <c r="N38" s="3" t="str">
        <f t="shared" si="2"/>
        <v/>
      </c>
      <c r="O38" s="3" t="str">
        <f>B$24</f>
        <v>Vivid_0A</v>
      </c>
      <c r="P38" s="3" t="str">
        <f t="shared" ref="P38:Z38" si="3">C$24</f>
        <v>Vivid_0A_BAU</v>
      </c>
      <c r="Q38" s="3" t="str">
        <f t="shared" si="3"/>
        <v>Vivid_0B</v>
      </c>
      <c r="R38" s="3" t="str">
        <f t="shared" si="3"/>
        <v>Vivid_1</v>
      </c>
      <c r="S38" s="3" t="str">
        <f t="shared" si="3"/>
        <v>Vivid_2</v>
      </c>
      <c r="T38" s="3" t="str">
        <f t="shared" si="3"/>
        <v>Vivid_13</v>
      </c>
      <c r="U38" s="3" t="str">
        <f t="shared" si="3"/>
        <v>Vivid_14</v>
      </c>
      <c r="V38" s="3" t="str">
        <f t="shared" si="3"/>
        <v>Vivid_25</v>
      </c>
      <c r="W38" s="3" t="str">
        <f t="shared" si="3"/>
        <v>Vivid_26</v>
      </c>
      <c r="X38" s="3" t="str">
        <f t="shared" si="3"/>
        <v/>
      </c>
      <c r="Y38" s="3" t="str">
        <f t="shared" si="3"/>
        <v/>
      </c>
      <c r="Z38" s="3" t="str">
        <f t="shared" si="3"/>
        <v/>
      </c>
    </row>
    <row r="39" spans="1:26" x14ac:dyDescent="0.3">
      <c r="A39" s="3" t="s">
        <v>339</v>
      </c>
      <c r="B39" s="14">
        <f t="array" ref="B39">INDEX($E$51:$O$401,MATCH(B$38&amp;$A39,$B$51:$B$401&amp;$D$51:$D$401,0),MATCH(B$36,$E$50:$O$50,0))</f>
        <v>820.1343749999993</v>
      </c>
      <c r="C39" s="14">
        <f t="array" ref="C39">INDEX($E$51:$O$401,MATCH(C$38&amp;$A39,$B$51:$B$401&amp;$D$51:$D$401,0),MATCH(C$36,$E$50:$O$50,0))</f>
        <v>410.88685350032904</v>
      </c>
      <c r="D39" s="14">
        <f t="array" ref="D39">INDEX($E$51:$O$401,MATCH(D$38&amp;$A39,$B$51:$B$401&amp;$D$51:$D$401,0),MATCH(D$36,$E$50:$O$50,0))</f>
        <v>452.73603507320263</v>
      </c>
      <c r="E39" s="14">
        <f t="array" ref="E39">INDEX($E$51:$O$401,MATCH(E$38&amp;$A39,$B$51:$B$401&amp;$D$51:$D$401,0),MATCH(E$36,$E$50:$O$50,0))</f>
        <v>1052.0173273984929</v>
      </c>
      <c r="F39" s="14">
        <f t="array" ref="F39">INDEX($E$51:$O$401,MATCH(F$38&amp;$A39,$B$51:$B$401&amp;$D$51:$D$401,0),MATCH(F$36,$E$50:$O$50,0))</f>
        <v>1871.5056046834272</v>
      </c>
      <c r="G39" s="14">
        <f t="array" ref="G39">INDEX($E$51:$O$401,MATCH(G$38&amp;$A39,$B$51:$B$401&amp;$D$51:$D$401,0),MATCH(G$36,$E$50:$O$50,0))</f>
        <v>1052.0173273984929</v>
      </c>
      <c r="H39" s="14">
        <f t="array" ref="H39">INDEX($E$51:$O$401,MATCH(H$38&amp;$A39,$B$51:$B$401&amp;$D$51:$D$401,0),MATCH(H$36,$E$50:$O$50,0))</f>
        <v>3997.269150927073</v>
      </c>
      <c r="I39" s="14">
        <f t="array" ref="I39">INDEX($E$51:$O$401,MATCH(I$38&amp;$A39,$B$51:$B$401&amp;$D$51:$D$401,0),MATCH(I$36,$E$50:$O$50,0))</f>
        <v>1052.0173273984929</v>
      </c>
      <c r="J39" s="14">
        <f t="array" ref="J39">INDEX($E$51:$O$401,MATCH(J$38&amp;$A39,$B$51:$B$401&amp;$D$51:$D$401,0),MATCH(J$36,$E$50:$O$50,0))</f>
        <v>2079.1488960224824</v>
      </c>
      <c r="K39" s="14">
        <f t="array" ref="K39">INDEX($E$51:$O$401,MATCH(K$38&amp;$A39,$B$51:$B$401&amp;$D$51:$D$401,0),MATCH(K$36,$E$50:$O$50,0))</f>
        <v>1052.0173273984929</v>
      </c>
      <c r="L39" s="14" t="e">
        <f t="array" ref="L39">INDEX($E$51:$O$401,MATCH(L$38&amp;$A39,$B$51:$B$401&amp;$D$51:$D$401,0),MATCH(L$36,$E$50:$O$50,0))</f>
        <v>#N/A</v>
      </c>
      <c r="M39" s="14" t="e">
        <f t="array" ref="M39">INDEX($E$51:$O$401,MATCH(M$38&amp;$A39,$B$51:$B$401&amp;$D$51:$D$401,0),MATCH(M$36,$E$50:$O$50,0))</f>
        <v>#N/A</v>
      </c>
      <c r="N39" s="14" t="e">
        <f t="array" ref="N39">INDEX($E$51:$O$401,MATCH(N$38&amp;$A39,$B$51:$B$401&amp;$D$51:$D$401,0),MATCH(N$36,$E$50:$O$50,0))</f>
        <v>#N/A</v>
      </c>
      <c r="O39" s="14">
        <f t="array" ref="O39">INDEX($E$51:$O$401,MATCH(O$38&amp;$A39,$B$51:$B$401&amp;$D$51:$D$401,0),MATCH(O$36,$E$50:$O$50,0))</f>
        <v>4284.5338316782081</v>
      </c>
      <c r="P39" s="14">
        <f t="array" ref="P39">INDEX($E$51:$O$401,MATCH(P$38&amp;$A39,$B$51:$B$401&amp;$D$51:$D$401,0),MATCH(P$36,$E$50:$O$50,0))</f>
        <v>4240.3465309497524</v>
      </c>
      <c r="Q39" s="14">
        <f t="array" ref="Q39">INDEX($E$51:$O$401,MATCH(Q$38&amp;$A39,$B$51:$B$401&amp;$D$51:$D$401,0),MATCH(Q$36,$E$50:$O$50,0))</f>
        <v>2652.7715056347561</v>
      </c>
      <c r="R39" s="14">
        <f t="array" ref="R39">INDEX($E$51:$O$401,MATCH(R$38&amp;$A39,$B$51:$B$401&amp;$D$51:$D$401,0),MATCH(R$36,$E$50:$O$50,0))</f>
        <v>5657.2628908581228</v>
      </c>
      <c r="S39" s="14">
        <f t="array" ref="S39">INDEX($E$51:$O$401,MATCH(S$38&amp;$A39,$B$51:$B$401&amp;$D$51:$D$401,0),MATCH(S$36,$E$50:$O$50,0))</f>
        <v>7785.6167139528516</v>
      </c>
      <c r="T39" s="14">
        <f t="array" ref="T39">INDEX($E$51:$O$401,MATCH(T$38&amp;$A39,$B$51:$B$401&amp;$D$51:$D$401,0),MATCH(T$36,$E$50:$O$50,0))</f>
        <v>1695.7028623299284</v>
      </c>
      <c r="U39" s="14">
        <f t="array" ref="U39">INDEX($E$51:$O$401,MATCH(U$38&amp;$A39,$B$51:$B$401&amp;$D$51:$D$401,0),MATCH(U$36,$E$50:$O$50,0))</f>
        <v>5832.1064336131021</v>
      </c>
      <c r="V39" s="14">
        <f t="array" ref="V39">INDEX($E$51:$O$401,MATCH(V$38&amp;$A39,$B$51:$B$401&amp;$D$51:$D$401,0),MATCH(V$36,$E$50:$O$50,0))</f>
        <v>5864.5961278498489</v>
      </c>
      <c r="W39" s="14">
        <f t="array" ref="W39">INDEX($E$51:$O$401,MATCH(W$38&amp;$A39,$B$51:$B$401&amp;$D$51:$D$401,0),MATCH(W$36,$E$50:$O$50,0))</f>
        <v>10232.214953819815</v>
      </c>
      <c r="X39" s="14" t="e">
        <f t="array" ref="X39">INDEX($E$51:$O$401,MATCH(X$38&amp;$A39,$B$51:$B$401&amp;$D$51:$D$401,0),MATCH(X$36,$E$50:$O$50,0))</f>
        <v>#N/A</v>
      </c>
      <c r="Y39" s="14" t="e">
        <f t="array" ref="Y39">INDEX($E$51:$O$401,MATCH(Y$38&amp;$A39,$B$51:$B$401&amp;$D$51:$D$401,0),MATCH(Y$36,$E$50:$O$50,0))</f>
        <v>#N/A</v>
      </c>
      <c r="Z39" s="14" t="e">
        <f t="array" ref="Z39">INDEX($E$51:$O$401,MATCH(Z$38&amp;$A39,$B$51:$B$401&amp;$D$51:$D$401,0),MATCH(Z$36,$E$50:$O$50,0))</f>
        <v>#N/A</v>
      </c>
    </row>
    <row r="40" spans="1:26" x14ac:dyDescent="0.3">
      <c r="A40" s="3" t="s">
        <v>340</v>
      </c>
      <c r="B40" s="14">
        <f t="array" ref="B40">INDEX($E$51:$O$401,MATCH(B$38&amp;$A40,$B$51:$B$401&amp;$D$51:$D$401,0),MATCH(B$36,$E$50:$O$50,0))</f>
        <v>24726.384098969917</v>
      </c>
      <c r="C40" s="14">
        <f t="array" ref="C40">INDEX($E$51:$O$401,MATCH(C$38&amp;$A40,$B$51:$B$401&amp;$D$51:$D$401,0),MATCH(C$36,$E$50:$O$50,0))</f>
        <v>26111.353059062836</v>
      </c>
      <c r="D40" s="14">
        <f t="array" ref="D40">INDEX($E$51:$O$401,MATCH(D$38&amp;$A40,$B$51:$B$401&amp;$D$51:$D$401,0),MATCH(D$36,$E$50:$O$50,0))</f>
        <v>26261.692097329367</v>
      </c>
      <c r="E40" s="14">
        <f t="array" ref="E40">INDEX($E$51:$O$401,MATCH(E$38&amp;$A40,$B$51:$B$401&amp;$D$51:$D$401,0),MATCH(E$36,$E$50:$O$50,0))</f>
        <v>26227.564065710481</v>
      </c>
      <c r="F40" s="14">
        <f t="array" ref="F40">INDEX($E$51:$O$401,MATCH(F$38&amp;$A40,$B$51:$B$401&amp;$D$51:$D$401,0),MATCH(F$36,$E$50:$O$50,0))</f>
        <v>25751.973362970708</v>
      </c>
      <c r="G40" s="14">
        <f t="array" ref="G40">INDEX($E$51:$O$401,MATCH(G$38&amp;$A40,$B$51:$B$401&amp;$D$51:$D$401,0),MATCH(G$36,$E$50:$O$50,0))</f>
        <v>26227.564065710481</v>
      </c>
      <c r="H40" s="14">
        <f t="array" ref="H40">INDEX($E$51:$O$401,MATCH(H$38&amp;$A40,$B$51:$B$401&amp;$D$51:$D$401,0),MATCH(H$36,$E$50:$O$50,0))</f>
        <v>15241.794989838872</v>
      </c>
      <c r="I40" s="14">
        <f t="array" ref="I40">INDEX($E$51:$O$401,MATCH(I$38&amp;$A40,$B$51:$B$401&amp;$D$51:$D$401,0),MATCH(I$36,$E$50:$O$50,0))</f>
        <v>26227.564065710481</v>
      </c>
      <c r="J40" s="14">
        <f t="array" ref="J40">INDEX($E$51:$O$401,MATCH(J$38&amp;$A40,$B$51:$B$401&amp;$D$51:$D$401,0),MATCH(J$36,$E$50:$O$50,0))</f>
        <v>25608.822442657802</v>
      </c>
      <c r="K40" s="14">
        <f t="array" ref="K40">INDEX($E$51:$O$401,MATCH(K$38&amp;$A40,$B$51:$B$401&amp;$D$51:$D$401,0),MATCH(K$36,$E$50:$O$50,0))</f>
        <v>26227.564065710481</v>
      </c>
      <c r="L40" s="14" t="e">
        <f t="array" ref="L40">INDEX($E$51:$O$401,MATCH(L$38&amp;$A40,$B$51:$B$401&amp;$D$51:$D$401,0),MATCH(L$36,$E$50:$O$50,0))</f>
        <v>#N/A</v>
      </c>
      <c r="M40" s="14" t="e">
        <f t="array" ref="M40">INDEX($E$51:$O$401,MATCH(M$38&amp;$A40,$B$51:$B$401&amp;$D$51:$D$401,0),MATCH(M$36,$E$50:$O$50,0))</f>
        <v>#N/A</v>
      </c>
      <c r="N40" s="14" t="e">
        <f t="array" ref="N40">INDEX($E$51:$O$401,MATCH(N$38&amp;$A40,$B$51:$B$401&amp;$D$51:$D$401,0),MATCH(N$36,$E$50:$O$50,0))</f>
        <v>#N/A</v>
      </c>
      <c r="O40" s="14">
        <f t="array" ref="O40">INDEX($E$51:$O$401,MATCH(O$38&amp;$A40,$B$51:$B$401&amp;$D$51:$D$401,0),MATCH(O$36,$E$50:$O$50,0))</f>
        <v>29454.0057998179</v>
      </c>
      <c r="P40" s="14">
        <f t="array" ref="P40">INDEX($E$51:$O$401,MATCH(P$38&amp;$A40,$B$51:$B$401&amp;$D$51:$D$401,0),MATCH(P$36,$E$50:$O$50,0))</f>
        <v>29647.436973951644</v>
      </c>
      <c r="Q40" s="14">
        <f t="array" ref="Q40">INDEX($E$51:$O$401,MATCH(Q$38&amp;$A40,$B$51:$B$401&amp;$D$51:$D$401,0),MATCH(Q$36,$E$50:$O$50,0))</f>
        <v>29263.695907534551</v>
      </c>
      <c r="R40" s="14">
        <f t="array" ref="R40">INDEX($E$51:$O$401,MATCH(R$38&amp;$A40,$B$51:$B$401&amp;$D$51:$D$401,0),MATCH(R$36,$E$50:$O$50,0))</f>
        <v>24565.49330485244</v>
      </c>
      <c r="S40" s="14">
        <f t="array" ref="S40">INDEX($E$51:$O$401,MATCH(S$38&amp;$A40,$B$51:$B$401&amp;$D$51:$D$401,0),MATCH(S$36,$E$50:$O$50,0))</f>
        <v>26802.913172730827</v>
      </c>
      <c r="T40" s="14">
        <f t="array" ref="T40">INDEX($E$51:$O$401,MATCH(T$38&amp;$A40,$B$51:$B$401&amp;$D$51:$D$401,0),MATCH(T$36,$E$50:$O$50,0))</f>
        <v>12070.190366367791</v>
      </c>
      <c r="U40" s="14">
        <f t="array" ref="U40">INDEX($E$51:$O$401,MATCH(U$38&amp;$A40,$B$51:$B$401&amp;$D$51:$D$401,0),MATCH(U$36,$E$50:$O$50,0))</f>
        <v>8105.3605655448646</v>
      </c>
      <c r="V40" s="14">
        <f t="array" ref="V40">INDEX($E$51:$O$401,MATCH(V$38&amp;$A40,$B$51:$B$401&amp;$D$51:$D$401,0),MATCH(V$36,$E$50:$O$50,0))</f>
        <v>31022.74646031842</v>
      </c>
      <c r="W40" s="14">
        <f t="array" ref="W40">INDEX($E$51:$O$401,MATCH(W$38&amp;$A40,$B$51:$B$401&amp;$D$51:$D$401,0),MATCH(W$36,$E$50:$O$50,0))</f>
        <v>26342.09763145219</v>
      </c>
      <c r="X40" s="14" t="e">
        <f t="array" ref="X40">INDEX($E$51:$O$401,MATCH(X$38&amp;$A40,$B$51:$B$401&amp;$D$51:$D$401,0),MATCH(X$36,$E$50:$O$50,0))</f>
        <v>#N/A</v>
      </c>
      <c r="Y40" s="14" t="e">
        <f t="array" ref="Y40">INDEX($E$51:$O$401,MATCH(Y$38&amp;$A40,$B$51:$B$401&amp;$D$51:$D$401,0),MATCH(Y$36,$E$50:$O$50,0))</f>
        <v>#N/A</v>
      </c>
      <c r="Z40" s="14" t="e">
        <f t="array" ref="Z40">INDEX($E$51:$O$401,MATCH(Z$38&amp;$A40,$B$51:$B$401&amp;$D$51:$D$401,0),MATCH(Z$36,$E$50:$O$50,0))</f>
        <v>#N/A</v>
      </c>
    </row>
    <row r="41" spans="1:26" x14ac:dyDescent="0.3">
      <c r="A41" s="3" t="s">
        <v>341</v>
      </c>
      <c r="B41" s="14">
        <f t="array" ref="B41">INDEX($E$51:$O$401,MATCH(B$38&amp;$A41,$B$51:$B$401&amp;$D$51:$D$401,0),MATCH(B$36,$E$50:$O$50,0))</f>
        <v>0.27214200000000005</v>
      </c>
      <c r="C41" s="14">
        <f t="array" ref="C41">INDEX($E$51:$O$401,MATCH(C$38&amp;$A41,$B$51:$B$401&amp;$D$51:$D$401,0),MATCH(C$36,$E$50:$O$50,0))</f>
        <v>1003.6816525884961</v>
      </c>
      <c r="D41" s="14">
        <f t="array" ref="D41">INDEX($E$51:$O$401,MATCH(D$38&amp;$A41,$B$51:$B$401&amp;$D$51:$D$401,0),MATCH(D$36,$E$50:$O$50,0))</f>
        <v>1005.7942092807525</v>
      </c>
      <c r="E41" s="14">
        <f t="array" ref="E41">INDEX($E$51:$O$401,MATCH(E$38&amp;$A41,$B$51:$B$401&amp;$D$51:$D$401,0),MATCH(E$36,$E$50:$O$50,0))</f>
        <v>1069.5883483275736</v>
      </c>
      <c r="F41" s="14">
        <f t="array" ref="F41">INDEX($E$51:$O$401,MATCH(F$38&amp;$A41,$B$51:$B$401&amp;$D$51:$D$401,0),MATCH(F$36,$E$50:$O$50,0))</f>
        <v>1087.8397472504214</v>
      </c>
      <c r="G41" s="14">
        <f t="array" ref="G41">INDEX($E$51:$O$401,MATCH(G$38&amp;$A41,$B$51:$B$401&amp;$D$51:$D$401,0),MATCH(G$36,$E$50:$O$50,0))</f>
        <v>1069.5883483275736</v>
      </c>
      <c r="H41" s="14">
        <f t="array" ref="H41">INDEX($E$51:$O$401,MATCH(H$38&amp;$A41,$B$51:$B$401&amp;$D$51:$D$401,0),MATCH(H$36,$E$50:$O$50,0))</f>
        <v>2009.1559159620085</v>
      </c>
      <c r="I41" s="14">
        <f t="array" ref="I41">INDEX($E$51:$O$401,MATCH(I$38&amp;$A41,$B$51:$B$401&amp;$D$51:$D$401,0),MATCH(I$36,$E$50:$O$50,0))</f>
        <v>1069.5883483275736</v>
      </c>
      <c r="J41" s="14">
        <f t="array" ref="J41">INDEX($E$51:$O$401,MATCH(J$38&amp;$A41,$B$51:$B$401&amp;$D$51:$D$401,0),MATCH(J$36,$E$50:$O$50,0))</f>
        <v>1130.2454144358746</v>
      </c>
      <c r="K41" s="14">
        <f t="array" ref="K41">INDEX($E$51:$O$401,MATCH(K$38&amp;$A41,$B$51:$B$401&amp;$D$51:$D$401,0),MATCH(K$36,$E$50:$O$50,0))</f>
        <v>1069.5883483275736</v>
      </c>
      <c r="L41" s="14" t="e">
        <f t="array" ref="L41">INDEX($E$51:$O$401,MATCH(L$38&amp;$A41,$B$51:$B$401&amp;$D$51:$D$401,0),MATCH(L$36,$E$50:$O$50,0))</f>
        <v>#N/A</v>
      </c>
      <c r="M41" s="14" t="e">
        <f t="array" ref="M41">INDEX($E$51:$O$401,MATCH(M$38&amp;$A41,$B$51:$B$401&amp;$D$51:$D$401,0),MATCH(M$36,$E$50:$O$50,0))</f>
        <v>#N/A</v>
      </c>
      <c r="N41" s="14" t="e">
        <f t="array" ref="N41">INDEX($E$51:$O$401,MATCH(N$38&amp;$A41,$B$51:$B$401&amp;$D$51:$D$401,0),MATCH(N$36,$E$50:$O$50,0))</f>
        <v>#N/A</v>
      </c>
      <c r="O41" s="14">
        <f t="array" ref="O41">INDEX($E$51:$O$401,MATCH(O$38&amp;$A41,$B$51:$B$401&amp;$D$51:$D$401,0),MATCH(O$36,$E$50:$O$50,0))</f>
        <v>7983.8252120514571</v>
      </c>
      <c r="P41" s="14">
        <f t="array" ref="P41">INDEX($E$51:$O$401,MATCH(P$38&amp;$A41,$B$51:$B$401&amp;$D$51:$D$401,0),MATCH(P$36,$E$50:$O$50,0))</f>
        <v>7912.473839253099</v>
      </c>
      <c r="Q41" s="14">
        <f t="array" ref="Q41">INDEX($E$51:$O$401,MATCH(Q$38&amp;$A41,$B$51:$B$401&amp;$D$51:$D$401,0),MATCH(Q$36,$E$50:$O$50,0))</f>
        <v>9209.0936752276266</v>
      </c>
      <c r="R41" s="14">
        <f t="array" ref="R41">INDEX($E$51:$O$401,MATCH(R$38&amp;$A41,$B$51:$B$401&amp;$D$51:$D$401,0),MATCH(R$36,$E$50:$O$50,0))</f>
        <v>9771.5529623626971</v>
      </c>
      <c r="S41" s="14">
        <f t="array" ref="S41">INDEX($E$51:$O$401,MATCH(S$38&amp;$A41,$B$51:$B$401&amp;$D$51:$D$401,0),MATCH(S$36,$E$50:$O$50,0))</f>
        <v>9580.7289479646042</v>
      </c>
      <c r="T41" s="14">
        <f t="array" ref="T41">INDEX($E$51:$O$401,MATCH(T$38&amp;$A41,$B$51:$B$401&amp;$D$51:$D$401,0),MATCH(T$36,$E$50:$O$50,0))</f>
        <v>9146.7579148285549</v>
      </c>
      <c r="U41" s="14">
        <f t="array" ref="U41">INDEX($E$51:$O$401,MATCH(U$38&amp;$A41,$B$51:$B$401&amp;$D$51:$D$401,0),MATCH(U$36,$E$50:$O$50,0))</f>
        <v>6894.9014296328914</v>
      </c>
      <c r="V41" s="14">
        <f t="array" ref="V41">INDEX($E$51:$O$401,MATCH(V$38&amp;$A41,$B$51:$B$401&amp;$D$51:$D$401,0),MATCH(V$36,$E$50:$O$50,0))</f>
        <v>10346.618019879585</v>
      </c>
      <c r="W41" s="14">
        <f t="array" ref="W41">INDEX($E$51:$O$401,MATCH(W$38&amp;$A41,$B$51:$B$401&amp;$D$51:$D$401,0),MATCH(W$36,$E$50:$O$50,0))</f>
        <v>9648.6523299483033</v>
      </c>
      <c r="X41" s="14" t="e">
        <f t="array" ref="X41">INDEX($E$51:$O$401,MATCH(X$38&amp;$A41,$B$51:$B$401&amp;$D$51:$D$401,0),MATCH(X$36,$E$50:$O$50,0))</f>
        <v>#N/A</v>
      </c>
      <c r="Y41" s="14" t="e">
        <f t="array" ref="Y41">INDEX($E$51:$O$401,MATCH(Y$38&amp;$A41,$B$51:$B$401&amp;$D$51:$D$401,0),MATCH(Y$36,$E$50:$O$50,0))</f>
        <v>#N/A</v>
      </c>
      <c r="Z41" s="14" t="e">
        <f t="array" ref="Z41">INDEX($E$51:$O$401,MATCH(Z$38&amp;$A41,$B$51:$B$401&amp;$D$51:$D$401,0),MATCH(Z$36,$E$50:$O$50,0))</f>
        <v>#N/A</v>
      </c>
    </row>
    <row r="42" spans="1:26" x14ac:dyDescent="0.3">
      <c r="A42" s="3" t="s">
        <v>342</v>
      </c>
      <c r="B42" s="14">
        <f t="array" ref="B42">INDEX($E$51:$O$401,MATCH(B$38&amp;$A42,$B$51:$B$401&amp;$D$51:$D$401,0),MATCH(B$36,$E$50:$O$50,0))</f>
        <v>231.92798987852072</v>
      </c>
      <c r="C42" s="14">
        <f t="array" ref="C42">INDEX($E$51:$O$401,MATCH(C$38&amp;$A42,$B$51:$B$401&amp;$D$51:$D$401,0),MATCH(C$36,$E$50:$O$50,0))</f>
        <v>2176.8796769793016</v>
      </c>
      <c r="D42" s="14">
        <f t="array" ref="D42">INDEX($E$51:$O$401,MATCH(D$38&amp;$A42,$B$51:$B$401&amp;$D$51:$D$401,0),MATCH(D$36,$E$50:$O$50,0))</f>
        <v>2227.2987385062647</v>
      </c>
      <c r="E42" s="14">
        <f t="array" ref="E42">INDEX($E$51:$O$401,MATCH(E$38&amp;$A42,$B$51:$B$401&amp;$D$51:$D$401,0),MATCH(E$36,$E$50:$O$50,0))</f>
        <v>2330.3092353624561</v>
      </c>
      <c r="F42" s="14">
        <f t="array" ref="F42">INDEX($E$51:$O$401,MATCH(F$38&amp;$A42,$B$51:$B$401&amp;$D$51:$D$401,0),MATCH(F$36,$E$50:$O$50,0))</f>
        <v>2320.7952898253839</v>
      </c>
      <c r="G42" s="14">
        <f t="array" ref="G42">INDEX($E$51:$O$401,MATCH(G$38&amp;$A42,$B$51:$B$401&amp;$D$51:$D$401,0),MATCH(G$36,$E$50:$O$50,0))</f>
        <v>2330.3092353624561</v>
      </c>
      <c r="H42" s="14">
        <f t="array" ref="H42">INDEX($E$51:$O$401,MATCH(H$38&amp;$A42,$B$51:$B$401&amp;$D$51:$D$401,0),MATCH(H$36,$E$50:$O$50,0))</f>
        <v>848.17217477146085</v>
      </c>
      <c r="I42" s="14">
        <f t="array" ref="I42">INDEX($E$51:$O$401,MATCH(I$38&amp;$A42,$B$51:$B$401&amp;$D$51:$D$401,0),MATCH(I$36,$E$50:$O$50,0))</f>
        <v>2330.3092353624561</v>
      </c>
      <c r="J42" s="14">
        <f t="array" ref="J42">INDEX($E$51:$O$401,MATCH(J$38&amp;$A42,$B$51:$B$401&amp;$D$51:$D$401,0),MATCH(J$36,$E$50:$O$50,0))</f>
        <v>2233.2165121790613</v>
      </c>
      <c r="K42" s="14">
        <f t="array" ref="K42">INDEX($E$51:$O$401,MATCH(K$38&amp;$A42,$B$51:$B$401&amp;$D$51:$D$401,0),MATCH(K$36,$E$50:$O$50,0))</f>
        <v>2330.3092353624561</v>
      </c>
      <c r="L42" s="14" t="e">
        <f t="array" ref="L42">INDEX($E$51:$O$401,MATCH(L$38&amp;$A42,$B$51:$B$401&amp;$D$51:$D$401,0),MATCH(L$36,$E$50:$O$50,0))</f>
        <v>#N/A</v>
      </c>
      <c r="M42" s="14" t="e">
        <f t="array" ref="M42">INDEX($E$51:$O$401,MATCH(M$38&amp;$A42,$B$51:$B$401&amp;$D$51:$D$401,0),MATCH(M$36,$E$50:$O$50,0))</f>
        <v>#N/A</v>
      </c>
      <c r="N42" s="14" t="e">
        <f t="array" ref="N42">INDEX($E$51:$O$401,MATCH(N$38&amp;$A42,$B$51:$B$401&amp;$D$51:$D$401,0),MATCH(N$36,$E$50:$O$50,0))</f>
        <v>#N/A</v>
      </c>
      <c r="O42" s="14">
        <f t="array" ref="O42">INDEX($E$51:$O$401,MATCH(O$38&amp;$A42,$B$51:$B$401&amp;$D$51:$D$401,0),MATCH(O$36,$E$50:$O$50,0))</f>
        <v>2519.048180521002</v>
      </c>
      <c r="P42" s="14">
        <f t="array" ref="P42">INDEX($E$51:$O$401,MATCH(P$38&amp;$A42,$B$51:$B$401&amp;$D$51:$D$401,0),MATCH(P$36,$E$50:$O$50,0))</f>
        <v>2569.7450675001191</v>
      </c>
      <c r="Q42" s="14">
        <f t="array" ref="Q42">INDEX($E$51:$O$401,MATCH(Q$38&amp;$A42,$B$51:$B$401&amp;$D$51:$D$401,0),MATCH(Q$36,$E$50:$O$50,0))</f>
        <v>2525.883797801604</v>
      </c>
      <c r="R42" s="14">
        <f t="array" ref="R42">INDEX($E$51:$O$401,MATCH(R$38&amp;$A42,$B$51:$B$401&amp;$D$51:$D$401,0),MATCH(R$36,$E$50:$O$50,0))</f>
        <v>2187.451732219783</v>
      </c>
      <c r="S42" s="14">
        <f t="array" ref="S42">INDEX($E$51:$O$401,MATCH(S$38&amp;$A42,$B$51:$B$401&amp;$D$51:$D$401,0),MATCH(S$36,$E$50:$O$50,0))</f>
        <v>2070.816657104318</v>
      </c>
      <c r="T42" s="14">
        <f t="array" ref="T42">INDEX($E$51:$O$401,MATCH(T$38&amp;$A42,$B$51:$B$401&amp;$D$51:$D$401,0),MATCH(T$36,$E$50:$O$50,0))</f>
        <v>22.263298786096001</v>
      </c>
      <c r="U42" s="14">
        <f t="array" ref="U42">INDEX($E$51:$O$401,MATCH(U$38&amp;$A42,$B$51:$B$401&amp;$D$51:$D$401,0),MATCH(U$36,$E$50:$O$50,0))</f>
        <v>74.158599766819151</v>
      </c>
      <c r="V42" s="14">
        <f t="array" ref="V42">INDEX($E$51:$O$401,MATCH(V$38&amp;$A42,$B$51:$B$401&amp;$D$51:$D$401,0),MATCH(V$36,$E$50:$O$50,0))</f>
        <v>1829.1730427547268</v>
      </c>
      <c r="W42" s="14">
        <f t="array" ref="W42">INDEX($E$51:$O$401,MATCH(W$38&amp;$A42,$B$51:$B$401&amp;$D$51:$D$401,0),MATCH(W$36,$E$50:$O$50,0))</f>
        <v>997.31112273151246</v>
      </c>
      <c r="X42" s="14" t="e">
        <f t="array" ref="X42">INDEX($E$51:$O$401,MATCH(X$38&amp;$A42,$B$51:$B$401&amp;$D$51:$D$401,0),MATCH(X$36,$E$50:$O$50,0))</f>
        <v>#N/A</v>
      </c>
      <c r="Y42" s="14" t="e">
        <f t="array" ref="Y42">INDEX($E$51:$O$401,MATCH(Y$38&amp;$A42,$B$51:$B$401&amp;$D$51:$D$401,0),MATCH(Y$36,$E$50:$O$50,0))</f>
        <v>#N/A</v>
      </c>
      <c r="Z42" s="14" t="e">
        <f t="array" ref="Z42">INDEX($E$51:$O$401,MATCH(Z$38&amp;$A42,$B$51:$B$401&amp;$D$51:$D$401,0),MATCH(Z$36,$E$50:$O$50,0))</f>
        <v>#N/A</v>
      </c>
    </row>
    <row r="43" spans="1:26" x14ac:dyDescent="0.3">
      <c r="A43" s="3" t="s">
        <v>343</v>
      </c>
      <c r="B43" s="14">
        <f t="array" ref="B43">INDEX($E$51:$O$401,MATCH(B$38&amp;$A43,$B$51:$B$401&amp;$D$51:$D$401,0),MATCH(B$36,$E$50:$O$50,0))</f>
        <v>51400.759098340677</v>
      </c>
      <c r="C43" s="14">
        <f t="array" ref="C43">INDEX($E$51:$O$401,MATCH(C$38&amp;$A43,$B$51:$B$401&amp;$D$51:$D$401,0),MATCH(C$36,$E$50:$O$50,0))</f>
        <v>46830.174496657928</v>
      </c>
      <c r="D43" s="14">
        <f t="array" ref="D43">INDEX($E$51:$O$401,MATCH(D$38&amp;$A43,$B$51:$B$401&amp;$D$51:$D$401,0),MATCH(D$36,$E$50:$O$50,0))</f>
        <v>46001.243758895187</v>
      </c>
      <c r="E43" s="14">
        <f t="array" ref="E43">INDEX($E$51:$O$401,MATCH(E$38&amp;$A43,$B$51:$B$401&amp;$D$51:$D$401,0),MATCH(E$36,$E$50:$O$50,0))</f>
        <v>44368.574800589129</v>
      </c>
      <c r="F43" s="14">
        <f t="array" ref="F43">INDEX($E$51:$O$401,MATCH(F$38&amp;$A43,$B$51:$B$401&amp;$D$51:$D$401,0),MATCH(F$36,$E$50:$O$50,0))</f>
        <v>43636.900621176181</v>
      </c>
      <c r="G43" s="14">
        <f t="array" ref="G43">INDEX($E$51:$O$401,MATCH(G$38&amp;$A43,$B$51:$B$401&amp;$D$51:$D$401,0),MATCH(G$36,$E$50:$O$50,0))</f>
        <v>44368.574800589129</v>
      </c>
      <c r="H43" s="14">
        <f t="array" ref="H43">INDEX($E$51:$O$401,MATCH(H$38&amp;$A43,$B$51:$B$401&amp;$D$51:$D$401,0),MATCH(H$36,$E$50:$O$50,0))</f>
        <v>32836.551382258731</v>
      </c>
      <c r="I43" s="14">
        <f t="array" ref="I43">INDEX($E$51:$O$401,MATCH(I$38&amp;$A43,$B$51:$B$401&amp;$D$51:$D$401,0),MATCH(I$36,$E$50:$O$50,0))</f>
        <v>44368.574800589129</v>
      </c>
      <c r="J43" s="14">
        <f t="array" ref="J43">INDEX($E$51:$O$401,MATCH(J$38&amp;$A43,$B$51:$B$401&amp;$D$51:$D$401,0),MATCH(J$36,$E$50:$O$50,0))</f>
        <v>40576.983455799018</v>
      </c>
      <c r="K43" s="14">
        <f t="array" ref="K43">INDEX($E$51:$O$401,MATCH(K$38&amp;$A43,$B$51:$B$401&amp;$D$51:$D$401,0),MATCH(K$36,$E$50:$O$50,0))</f>
        <v>44368.574800589129</v>
      </c>
      <c r="L43" s="14" t="e">
        <f t="array" ref="L43">INDEX($E$51:$O$401,MATCH(L$38&amp;$A43,$B$51:$B$401&amp;$D$51:$D$401,0),MATCH(L$36,$E$50:$O$50,0))</f>
        <v>#N/A</v>
      </c>
      <c r="M43" s="14" t="e">
        <f t="array" ref="M43">INDEX($E$51:$O$401,MATCH(M$38&amp;$A43,$B$51:$B$401&amp;$D$51:$D$401,0),MATCH(M$36,$E$50:$O$50,0))</f>
        <v>#N/A</v>
      </c>
      <c r="N43" s="14" t="e">
        <f t="array" ref="N43">INDEX($E$51:$O$401,MATCH(N$38&amp;$A43,$B$51:$B$401&amp;$D$51:$D$401,0),MATCH(N$36,$E$50:$O$50,0))</f>
        <v>#N/A</v>
      </c>
      <c r="O43" s="14">
        <f t="array" ref="O43">INDEX($E$51:$O$401,MATCH(O$38&amp;$A43,$B$51:$B$401&amp;$D$51:$D$401,0),MATCH(O$36,$E$50:$O$50,0))</f>
        <v>10730.940333592629</v>
      </c>
      <c r="P43" s="14">
        <f t="array" ref="P43">INDEX($E$51:$O$401,MATCH(P$38&amp;$A43,$B$51:$B$401&amp;$D$51:$D$401,0),MATCH(P$36,$E$50:$O$50,0))</f>
        <v>10679.116687185824</v>
      </c>
      <c r="Q43" s="14">
        <f t="array" ref="Q43">INDEX($E$51:$O$401,MATCH(Q$38&amp;$A43,$B$51:$B$401&amp;$D$51:$D$401,0),MATCH(Q$36,$E$50:$O$50,0))</f>
        <v>9374.7135444465239</v>
      </c>
      <c r="R43" s="14">
        <f t="array" ref="R43">INDEX($E$51:$O$401,MATCH(R$38&amp;$A43,$B$51:$B$401&amp;$D$51:$D$401,0),MATCH(R$36,$E$50:$O$50,0))</f>
        <v>12343.211176127728</v>
      </c>
      <c r="S43" s="14">
        <f t="array" ref="S43">INDEX($E$51:$O$401,MATCH(S$38&amp;$A43,$B$51:$B$401&amp;$D$51:$D$401,0),MATCH(S$36,$E$50:$O$50,0))</f>
        <v>11770.558296988615</v>
      </c>
      <c r="T43" s="14">
        <f t="array" ref="T43">INDEX($E$51:$O$401,MATCH(T$38&amp;$A43,$B$51:$B$401&amp;$D$51:$D$401,0),MATCH(T$36,$E$50:$O$50,0))</f>
        <v>4949.1789875815684</v>
      </c>
      <c r="U43" s="14">
        <f t="array" ref="U43">INDEX($E$51:$O$401,MATCH(U$38&amp;$A43,$B$51:$B$401&amp;$D$51:$D$401,0),MATCH(U$36,$E$50:$O$50,0))</f>
        <v>9143.9110010450331</v>
      </c>
      <c r="V43" s="14">
        <f t="array" ref="V43">INDEX($E$51:$O$401,MATCH(V$38&amp;$A43,$B$51:$B$401&amp;$D$51:$D$401,0),MATCH(V$36,$E$50:$O$50,0))</f>
        <v>9427.7088493978808</v>
      </c>
      <c r="W43" s="14">
        <f t="array" ref="W43">INDEX($E$51:$O$401,MATCH(W$38&amp;$A43,$B$51:$B$401&amp;$D$51:$D$401,0),MATCH(W$36,$E$50:$O$50,0))</f>
        <v>9098.5851448080157</v>
      </c>
      <c r="X43" s="14" t="e">
        <f t="array" ref="X43">INDEX($E$51:$O$401,MATCH(X$38&amp;$A43,$B$51:$B$401&amp;$D$51:$D$401,0),MATCH(X$36,$E$50:$O$50,0))</f>
        <v>#N/A</v>
      </c>
      <c r="Y43" s="14" t="e">
        <f t="array" ref="Y43">INDEX($E$51:$O$401,MATCH(Y$38&amp;$A43,$B$51:$B$401&amp;$D$51:$D$401,0),MATCH(Y$36,$E$50:$O$50,0))</f>
        <v>#N/A</v>
      </c>
      <c r="Z43" s="14" t="e">
        <f t="array" ref="Z43">INDEX($E$51:$O$401,MATCH(Z$38&amp;$A43,$B$51:$B$401&amp;$D$51:$D$401,0),MATCH(Z$36,$E$50:$O$50,0))</f>
        <v>#N/A</v>
      </c>
    </row>
    <row r="44" spans="1:26" x14ac:dyDescent="0.3">
      <c r="A44" s="3" t="s">
        <v>344</v>
      </c>
      <c r="B44" s="14">
        <f t="array" ref="B44">INDEX($E$51:$O$401,MATCH(B$38&amp;$A44,$B$51:$B$401&amp;$D$51:$D$401,0),MATCH(B$36,$E$50:$O$50,0))</f>
        <v>336.28891863781013</v>
      </c>
      <c r="C44" s="14">
        <f t="array" ref="C44">INDEX($E$51:$O$401,MATCH(C$38&amp;$A44,$B$51:$B$401&amp;$D$51:$D$401,0),MATCH(C$36,$E$50:$O$50,0))</f>
        <v>1212.7523692798161</v>
      </c>
      <c r="D44" s="14">
        <f t="array" ref="D44">INDEX($E$51:$O$401,MATCH(D$38&amp;$A44,$B$51:$B$401&amp;$D$51:$D$401,0),MATCH(D$36,$E$50:$O$50,0))</f>
        <v>1185.840330326467</v>
      </c>
      <c r="E44" s="14">
        <f t="array" ref="E44">INDEX($E$51:$O$401,MATCH(E$38&amp;$A44,$B$51:$B$401&amp;$D$51:$D$401,0),MATCH(E$36,$E$50:$O$50,0))</f>
        <v>1203.2907539892126</v>
      </c>
      <c r="F44" s="14">
        <f t="array" ref="F44">INDEX($E$51:$O$401,MATCH(F$38&amp;$A44,$B$51:$B$401&amp;$D$51:$D$401,0),MATCH(F$36,$E$50:$O$50,0))</f>
        <v>1222.1932445416369</v>
      </c>
      <c r="G44" s="14">
        <f t="array" ref="G44">INDEX($E$51:$O$401,MATCH(G$38&amp;$A44,$B$51:$B$401&amp;$D$51:$D$401,0),MATCH(G$36,$E$50:$O$50,0))</f>
        <v>1203.2907539892126</v>
      </c>
      <c r="H44" s="14">
        <f t="array" ref="H44">INDEX($E$51:$O$401,MATCH(H$38&amp;$A44,$B$51:$B$401&amp;$D$51:$D$401,0),MATCH(H$36,$E$50:$O$50,0))</f>
        <v>5579.9270734302618</v>
      </c>
      <c r="I44" s="14">
        <f t="array" ref="I44">INDEX($E$51:$O$401,MATCH(I$38&amp;$A44,$B$51:$B$401&amp;$D$51:$D$401,0),MATCH(I$36,$E$50:$O$50,0))</f>
        <v>1203.2907539892126</v>
      </c>
      <c r="J44" s="14">
        <f t="array" ref="J44">INDEX($E$51:$O$401,MATCH(J$38&amp;$A44,$B$51:$B$401&amp;$D$51:$D$401,0),MATCH(J$36,$E$50:$O$50,0))</f>
        <v>1223.6964136737179</v>
      </c>
      <c r="K44" s="14">
        <f t="array" ref="K44">INDEX($E$51:$O$401,MATCH(K$38&amp;$A44,$B$51:$B$401&amp;$D$51:$D$401,0),MATCH(K$36,$E$50:$O$50,0))</f>
        <v>1203.2907539892126</v>
      </c>
      <c r="L44" s="14" t="e">
        <f t="array" ref="L44">INDEX($E$51:$O$401,MATCH(L$38&amp;$A44,$B$51:$B$401&amp;$D$51:$D$401,0),MATCH(L$36,$E$50:$O$50,0))</f>
        <v>#N/A</v>
      </c>
      <c r="M44" s="14" t="e">
        <f t="array" ref="M44">INDEX($E$51:$O$401,MATCH(M$38&amp;$A44,$B$51:$B$401&amp;$D$51:$D$401,0),MATCH(M$36,$E$50:$O$50,0))</f>
        <v>#N/A</v>
      </c>
      <c r="N44" s="14" t="e">
        <f t="array" ref="N44">INDEX($E$51:$O$401,MATCH(N$38&amp;$A44,$B$51:$B$401&amp;$D$51:$D$401,0),MATCH(N$36,$E$50:$O$50,0))</f>
        <v>#N/A</v>
      </c>
      <c r="O44" s="14">
        <f t="array" ref="O44">INDEX($E$51:$O$401,MATCH(O$38&amp;$A44,$B$51:$B$401&amp;$D$51:$D$401,0),MATCH(O$36,$E$50:$O$50,0))</f>
        <v>662.10248587389265</v>
      </c>
      <c r="P44" s="14">
        <f t="array" ref="P44">INDEX($E$51:$O$401,MATCH(P$38&amp;$A44,$B$51:$B$401&amp;$D$51:$D$401,0),MATCH(P$36,$E$50:$O$50,0))</f>
        <v>658.39019522914998</v>
      </c>
      <c r="Q44" s="14">
        <f t="array" ref="Q44">INDEX($E$51:$O$401,MATCH(Q$38&amp;$A44,$B$51:$B$401&amp;$D$51:$D$401,0),MATCH(Q$36,$E$50:$O$50,0))</f>
        <v>748.26553362211143</v>
      </c>
      <c r="R44" s="14">
        <f t="array" ref="R44">INDEX($E$51:$O$401,MATCH(R$38&amp;$A44,$B$51:$B$401&amp;$D$51:$D$401,0),MATCH(R$36,$E$50:$O$50,0))</f>
        <v>799.36237736514738</v>
      </c>
      <c r="S44" s="14">
        <f t="array" ref="S44">INDEX($E$51:$O$401,MATCH(S$38&amp;$A44,$B$51:$B$401&amp;$D$51:$D$401,0),MATCH(S$36,$E$50:$O$50,0))</f>
        <v>855.89169978865198</v>
      </c>
      <c r="T44" s="14">
        <f t="array" ref="T44">INDEX($E$51:$O$401,MATCH(T$38&amp;$A44,$B$51:$B$401&amp;$D$51:$D$401,0),MATCH(T$36,$E$50:$O$50,0))</f>
        <v>10107.276501372218</v>
      </c>
      <c r="U44" s="14">
        <f t="array" ref="U44">INDEX($E$51:$O$401,MATCH(U$38&amp;$A44,$B$51:$B$401&amp;$D$51:$D$401,0),MATCH(U$36,$E$50:$O$50,0))</f>
        <v>12080.038576400813</v>
      </c>
      <c r="V44" s="14">
        <f t="array" ref="V44">INDEX($E$51:$O$401,MATCH(V$38&amp;$A44,$B$51:$B$401&amp;$D$51:$D$401,0),MATCH(V$36,$E$50:$O$50,0))</f>
        <v>923.78792596646235</v>
      </c>
      <c r="W44" s="14">
        <f t="array" ref="W44">INDEX($E$51:$O$401,MATCH(W$38&amp;$A44,$B$51:$B$401&amp;$D$51:$D$401,0),MATCH(W$36,$E$50:$O$50,0))</f>
        <v>6232.5163150146836</v>
      </c>
      <c r="X44" s="14" t="e">
        <f t="array" ref="X44">INDEX($E$51:$O$401,MATCH(X$38&amp;$A44,$B$51:$B$401&amp;$D$51:$D$401,0),MATCH(X$36,$E$50:$O$50,0))</f>
        <v>#N/A</v>
      </c>
      <c r="Y44" s="14" t="e">
        <f t="array" ref="Y44">INDEX($E$51:$O$401,MATCH(Y$38&amp;$A44,$B$51:$B$401&amp;$D$51:$D$401,0),MATCH(Y$36,$E$50:$O$50,0))</f>
        <v>#N/A</v>
      </c>
      <c r="Z44" s="14" t="e">
        <f t="array" ref="Z44">INDEX($E$51:$O$401,MATCH(Z$38&amp;$A44,$B$51:$B$401&amp;$D$51:$D$401,0),MATCH(Z$36,$E$50:$O$50,0))</f>
        <v>#N/A</v>
      </c>
    </row>
    <row r="45" spans="1:26" x14ac:dyDescent="0.3">
      <c r="A45" s="3" t="s">
        <v>345</v>
      </c>
      <c r="B45" s="14">
        <f t="array" ref="B45">INDEX($E$51:$O$401,MATCH(B$38&amp;$A45,$B$51:$B$401&amp;$D$51:$D$401,0),MATCH(B$36,$E$50:$O$50,0))</f>
        <v>0</v>
      </c>
      <c r="C45" s="14">
        <f t="array" ref="C45">INDEX($E$51:$O$401,MATCH(C$38&amp;$A45,$B$51:$B$401&amp;$D$51:$D$401,0),MATCH(C$36,$E$50:$O$50,0))</f>
        <v>3006.3274565886686</v>
      </c>
      <c r="D45" s="14">
        <f t="array" ref="D45">INDEX($E$51:$O$401,MATCH(D$38&amp;$A45,$B$51:$B$401&amp;$D$51:$D$401,0),MATCH(D$36,$E$50:$O$50,0))</f>
        <v>2349.9009296868926</v>
      </c>
      <c r="E45" s="14">
        <f t="array" ref="E45">INDEX($E$51:$O$401,MATCH(E$38&amp;$A45,$B$51:$B$401&amp;$D$51:$D$401,0),MATCH(E$36,$E$50:$O$50,0))</f>
        <v>335.71272520527293</v>
      </c>
      <c r="F45" s="14">
        <f t="array" ref="F45">INDEX($E$51:$O$401,MATCH(F$38&amp;$A45,$B$51:$B$401&amp;$D$51:$D$401,0),MATCH(F$36,$E$50:$O$50,0))</f>
        <v>81.9106525387609</v>
      </c>
      <c r="G45" s="14">
        <f t="array" ref="G45">INDEX($E$51:$O$401,MATCH(G$38&amp;$A45,$B$51:$B$401&amp;$D$51:$D$401,0),MATCH(G$36,$E$50:$O$50,0))</f>
        <v>335.71272520527293</v>
      </c>
      <c r="H45" s="14">
        <f t="array" ref="H45">INDEX($E$51:$O$401,MATCH(H$38&amp;$A45,$B$51:$B$401&amp;$D$51:$D$401,0),MATCH(H$36,$E$50:$O$50,0))</f>
        <v>86.036535936443272</v>
      </c>
      <c r="I45" s="14">
        <f t="array" ref="I45">INDEX($E$51:$O$401,MATCH(I$38&amp;$A45,$B$51:$B$401&amp;$D$51:$D$401,0),MATCH(I$36,$E$50:$O$50,0))</f>
        <v>335.71272520527293</v>
      </c>
      <c r="J45" s="14">
        <f t="array" ref="J45">INDEX($E$51:$O$401,MATCH(J$38&amp;$A45,$B$51:$B$401&amp;$D$51:$D$401,0),MATCH(J$36,$E$50:$O$50,0))</f>
        <v>83.3333333333334</v>
      </c>
      <c r="K45" s="14">
        <f t="array" ref="K45">INDEX($E$51:$O$401,MATCH(K$38&amp;$A45,$B$51:$B$401&amp;$D$51:$D$401,0),MATCH(K$36,$E$50:$O$50,0))</f>
        <v>335.71272520527293</v>
      </c>
      <c r="L45" s="14" t="e">
        <f t="array" ref="L45">INDEX($E$51:$O$401,MATCH(L$38&amp;$A45,$B$51:$B$401&amp;$D$51:$D$401,0),MATCH(L$36,$E$50:$O$50,0))</f>
        <v>#N/A</v>
      </c>
      <c r="M45" s="14" t="e">
        <f t="array" ref="M45">INDEX($E$51:$O$401,MATCH(M$38&amp;$A45,$B$51:$B$401&amp;$D$51:$D$401,0),MATCH(M$36,$E$50:$O$50,0))</f>
        <v>#N/A</v>
      </c>
      <c r="N45" s="14" t="e">
        <f t="array" ref="N45">INDEX($E$51:$O$401,MATCH(N$38&amp;$A45,$B$51:$B$401&amp;$D$51:$D$401,0),MATCH(N$36,$E$50:$O$50,0))</f>
        <v>#N/A</v>
      </c>
      <c r="O45" s="14">
        <f t="array" ref="O45">INDEX($E$51:$O$401,MATCH(O$38&amp;$A45,$B$51:$B$401&amp;$D$51:$D$401,0),MATCH(O$36,$E$50:$O$50,0))</f>
        <v>1382.5345168791823</v>
      </c>
      <c r="P45" s="14">
        <f t="array" ref="P45">INDEX($E$51:$O$401,MATCH(P$38&amp;$A45,$B$51:$B$401&amp;$D$51:$D$401,0),MATCH(P$36,$E$50:$O$50,0))</f>
        <v>1408.3668794527337</v>
      </c>
      <c r="Q45" s="14">
        <f t="array" ref="Q45">INDEX($E$51:$O$401,MATCH(Q$38&amp;$A45,$B$51:$B$401&amp;$D$51:$D$401,0),MATCH(Q$36,$E$50:$O$50,0))</f>
        <v>2193.9375676365266</v>
      </c>
      <c r="R45" s="14">
        <f t="array" ref="R45">INDEX($E$51:$O$401,MATCH(R$38&amp;$A45,$B$51:$B$401&amp;$D$51:$D$401,0),MATCH(R$36,$E$50:$O$50,0))</f>
        <v>1368.5973431427462</v>
      </c>
      <c r="S45" s="14">
        <f t="array" ref="S45">INDEX($E$51:$O$401,MATCH(S$38&amp;$A45,$B$51:$B$401&amp;$D$51:$D$401,0),MATCH(S$36,$E$50:$O$50,0))</f>
        <v>270.90365831582153</v>
      </c>
      <c r="T45" s="14">
        <f t="array" ref="T45">INDEX($E$51:$O$401,MATCH(T$38&amp;$A45,$B$51:$B$401&amp;$D$51:$D$401,0),MATCH(T$36,$E$50:$O$50,0))</f>
        <v>114.105766312586</v>
      </c>
      <c r="U45" s="14">
        <f t="array" ref="U45">INDEX($E$51:$O$401,MATCH(U$38&amp;$A45,$B$51:$B$401&amp;$D$51:$D$401,0),MATCH(U$36,$E$50:$O$50,0))</f>
        <v>159.5319941442016</v>
      </c>
      <c r="V45" s="14">
        <f t="array" ref="V45">INDEX($E$51:$O$401,MATCH(V$38&amp;$A45,$B$51:$B$401&amp;$D$51:$D$401,0),MATCH(V$36,$E$50:$O$50,0))</f>
        <v>190.47888108592483</v>
      </c>
      <c r="W45" s="14">
        <f t="array" ref="W45">INDEX($E$51:$O$401,MATCH(W$38&amp;$A45,$B$51:$B$401&amp;$D$51:$D$401,0),MATCH(W$36,$E$50:$O$50,0))</f>
        <v>188.19775699928516</v>
      </c>
      <c r="X45" s="14" t="e">
        <f t="array" ref="X45">INDEX($E$51:$O$401,MATCH(X$38&amp;$A45,$B$51:$B$401&amp;$D$51:$D$401,0),MATCH(X$36,$E$50:$O$50,0))</f>
        <v>#N/A</v>
      </c>
      <c r="Y45" s="14" t="e">
        <f t="array" ref="Y45">INDEX($E$51:$O$401,MATCH(Y$38&amp;$A45,$B$51:$B$401&amp;$D$51:$D$401,0),MATCH(Y$36,$E$50:$O$50,0))</f>
        <v>#N/A</v>
      </c>
      <c r="Z45" s="14" t="e">
        <f t="array" ref="Z45">INDEX($E$51:$O$401,MATCH(Z$38&amp;$A45,$B$51:$B$401&amp;$D$51:$D$401,0),MATCH(Z$36,$E$50:$O$50,0))</f>
        <v>#N/A</v>
      </c>
    </row>
    <row r="46" spans="1:26" x14ac:dyDescent="0.3">
      <c r="A46" s="3" t="s">
        <v>255</v>
      </c>
      <c r="B46" s="14">
        <f t="array" ref="B46">INDEX($E$51:$O$401,MATCH(B$38&amp;$A46,$B$51:$B$401&amp;$D$51:$D$401,0),MATCH(B$36,$E$50:$O$50,0))</f>
        <v>176.86416189251261</v>
      </c>
      <c r="C46" s="14">
        <f t="array" ref="C46">INDEX($E$51:$O$401,MATCH(C$38&amp;$A46,$B$51:$B$401&amp;$D$51:$D$401,0),MATCH(C$36,$E$50:$O$50,0))</f>
        <v>4278.1897467681283</v>
      </c>
      <c r="D46" s="14">
        <f t="array" ref="D46">INDEX($E$51:$O$401,MATCH(D$38&amp;$A46,$B$51:$B$401&amp;$D$51:$D$401,0),MATCH(D$36,$E$50:$O$50,0))</f>
        <v>4764.7005480332382</v>
      </c>
      <c r="E46" s="14">
        <f t="array" ref="E46">INDEX($E$51:$O$401,MATCH(E$38&amp;$A46,$B$51:$B$401&amp;$D$51:$D$401,0),MATCH(E$36,$E$50:$O$50,0))</f>
        <v>5667.8396467895318</v>
      </c>
      <c r="F46" s="14">
        <f t="array" ref="F46">INDEX($E$51:$O$401,MATCH(F$38&amp;$A46,$B$51:$B$401&amp;$D$51:$D$401,0),MATCH(F$36,$E$50:$O$50,0))</f>
        <v>4653.5820837462752</v>
      </c>
      <c r="G46" s="14">
        <f t="array" ref="G46">INDEX($E$51:$O$401,MATCH(G$38&amp;$A46,$B$51:$B$401&amp;$D$51:$D$401,0),MATCH(G$36,$E$50:$O$50,0))</f>
        <v>5667.8396467895318</v>
      </c>
      <c r="H46" s="14">
        <f t="array" ref="H46">INDEX($E$51:$O$401,MATCH(H$38&amp;$A46,$B$51:$B$401&amp;$D$51:$D$401,0),MATCH(H$36,$E$50:$O$50,0))</f>
        <v>1220.9986653371425</v>
      </c>
      <c r="I46" s="14">
        <f t="array" ref="I46">INDEX($E$51:$O$401,MATCH(I$38&amp;$A46,$B$51:$B$401&amp;$D$51:$D$401,0),MATCH(I$36,$E$50:$O$50,0))</f>
        <v>5667.8396467895318</v>
      </c>
      <c r="J46" s="14">
        <f t="array" ref="J46">INDEX($E$51:$O$401,MATCH(J$38&amp;$A46,$B$51:$B$401&amp;$D$51:$D$401,0),MATCH(J$36,$E$50:$O$50,0))</f>
        <v>4105.6831496768718</v>
      </c>
      <c r="K46" s="14">
        <f t="array" ref="K46">INDEX($E$51:$O$401,MATCH(K$38&amp;$A46,$B$51:$B$401&amp;$D$51:$D$401,0),MATCH(K$36,$E$50:$O$50,0))</f>
        <v>5667.8396467895318</v>
      </c>
      <c r="L46" s="14" t="e">
        <f t="array" ref="L46">INDEX($E$51:$O$401,MATCH(L$38&amp;$A46,$B$51:$B$401&amp;$D$51:$D$401,0),MATCH(L$36,$E$50:$O$50,0))</f>
        <v>#N/A</v>
      </c>
      <c r="M46" s="14" t="e">
        <f t="array" ref="M46">INDEX($E$51:$O$401,MATCH(M$38&amp;$A46,$B$51:$B$401&amp;$D$51:$D$401,0),MATCH(M$36,$E$50:$O$50,0))</f>
        <v>#N/A</v>
      </c>
      <c r="N46" s="14" t="e">
        <f t="array" ref="N46">INDEX($E$51:$O$401,MATCH(N$38&amp;$A46,$B$51:$B$401&amp;$D$51:$D$401,0),MATCH(N$36,$E$50:$O$50,0))</f>
        <v>#N/A</v>
      </c>
      <c r="O46" s="14">
        <f t="array" ref="O46">INDEX($E$51:$O$401,MATCH(O$38&amp;$A46,$B$51:$B$401&amp;$D$51:$D$401,0),MATCH(O$36,$E$50:$O$50,0))</f>
        <v>23337.832320109726</v>
      </c>
      <c r="P46" s="14">
        <f t="array" ref="P46">INDEX($E$51:$O$401,MATCH(P$38&amp;$A46,$B$51:$B$401&amp;$D$51:$D$401,0),MATCH(P$36,$E$50:$O$50,0))</f>
        <v>23435.939702833402</v>
      </c>
      <c r="Q46" s="14">
        <f t="array" ref="Q46">INDEX($E$51:$O$401,MATCH(Q$38&amp;$A46,$B$51:$B$401&amp;$D$51:$D$401,0),MATCH(Q$36,$E$50:$O$50,0))</f>
        <v>22036.802911743591</v>
      </c>
      <c r="R46" s="14">
        <f t="array" ref="R46">INDEX($E$51:$O$401,MATCH(R$38&amp;$A46,$B$51:$B$401&amp;$D$51:$D$401,0),MATCH(R$36,$E$50:$O$50,0))</f>
        <v>17258.491615155926</v>
      </c>
      <c r="S46" s="14">
        <f t="array" ref="S46">INDEX($E$51:$O$401,MATCH(S$38&amp;$A46,$B$51:$B$401&amp;$D$51:$D$401,0),MATCH(S$36,$E$50:$O$50,0))</f>
        <v>14726.779553738161</v>
      </c>
      <c r="T46" s="14">
        <f t="array" ref="T46">INDEX($E$51:$O$401,MATCH(T$38&amp;$A46,$B$51:$B$401&amp;$D$51:$D$401,0),MATCH(T$36,$E$50:$O$50,0))</f>
        <v>690.56282252351525</v>
      </c>
      <c r="U46" s="14">
        <f t="array" ref="U46">INDEX($E$51:$O$401,MATCH(U$38&amp;$A46,$B$51:$B$401&amp;$D$51:$D$401,0),MATCH(U$36,$E$50:$O$50,0))</f>
        <v>982.78003937993628</v>
      </c>
      <c r="V46" s="14">
        <f t="array" ref="V46">INDEX($E$51:$O$401,MATCH(V$38&amp;$A46,$B$51:$B$401&amp;$D$51:$D$401,0),MATCH(V$36,$E$50:$O$50,0))</f>
        <v>9182.1538890326774</v>
      </c>
      <c r="W46" s="14">
        <f t="array" ref="W46">INDEX($E$51:$O$401,MATCH(W$38&amp;$A46,$B$51:$B$401&amp;$D$51:$D$401,0),MATCH(W$36,$E$50:$O$50,0))</f>
        <v>2099.7233326958094</v>
      </c>
      <c r="X46" s="14" t="e">
        <f t="array" ref="X46">INDEX($E$51:$O$401,MATCH(X$38&amp;$A46,$B$51:$B$401&amp;$D$51:$D$401,0),MATCH(X$36,$E$50:$O$50,0))</f>
        <v>#N/A</v>
      </c>
      <c r="Y46" s="14" t="e">
        <f t="array" ref="Y46">INDEX($E$51:$O$401,MATCH(Y$38&amp;$A46,$B$51:$B$401&amp;$D$51:$D$401,0),MATCH(Y$36,$E$50:$O$50,0))</f>
        <v>#N/A</v>
      </c>
      <c r="Z46" s="14" t="e">
        <f t="array" ref="Z46">INDEX($E$51:$O$401,MATCH(Z$38&amp;$A46,$B$51:$B$401&amp;$D$51:$D$401,0),MATCH(Z$36,$E$50:$O$50,0))</f>
        <v>#N/A</v>
      </c>
    </row>
    <row r="47" spans="1:26" x14ac:dyDescent="0.3">
      <c r="A47" s="3" t="s">
        <v>326</v>
      </c>
      <c r="B47" s="14">
        <f t="array" ref="B47">INDEX($E$51:$O$401,MATCH(B$38&amp;$A47,$B$51:$B$401&amp;$D$51:$D$401,0),MATCH(B$36,$E$50:$O$50,0))</f>
        <v>0</v>
      </c>
      <c r="C47" s="14">
        <f t="array" ref="C47">INDEX($E$51:$O$401,MATCH(C$38&amp;$A47,$B$51:$B$401&amp;$D$51:$D$401,0),MATCH(C$36,$E$50:$O$50,0))</f>
        <v>749.70114740355382</v>
      </c>
      <c r="D47" s="14">
        <f t="array" ref="D47">INDEX($E$51:$O$401,MATCH(D$38&amp;$A47,$B$51:$B$401&amp;$D$51:$D$401,0),MATCH(D$36,$E$50:$O$50,0))</f>
        <v>749.7011474035528</v>
      </c>
      <c r="E47" s="14">
        <f t="array" ref="E47">INDEX($E$51:$O$401,MATCH(E$38&amp;$A47,$B$51:$B$401&amp;$D$51:$D$401,0),MATCH(E$36,$E$50:$O$50,0))</f>
        <v>757.03231328497168</v>
      </c>
      <c r="F47" s="14">
        <f t="array" ref="F47">INDEX($E$51:$O$401,MATCH(F$38&amp;$A47,$B$51:$B$401&amp;$D$51:$D$401,0),MATCH(F$36,$E$50:$O$50,0))</f>
        <v>754.78539866170013</v>
      </c>
      <c r="G47" s="14">
        <f t="array" ref="G47">INDEX($E$51:$O$401,MATCH(G$38&amp;$A47,$B$51:$B$401&amp;$D$51:$D$401,0),MATCH(G$36,$E$50:$O$50,0))</f>
        <v>757.03231328497168</v>
      </c>
      <c r="H47" s="14">
        <f t="array" ref="H47">INDEX($E$51:$O$401,MATCH(H$38&amp;$A47,$B$51:$B$401&amp;$D$51:$D$401,0),MATCH(H$36,$E$50:$O$50,0))</f>
        <v>473.42411192456046</v>
      </c>
      <c r="I47" s="14">
        <f t="array" ref="I47">INDEX($E$51:$O$401,MATCH(I$38&amp;$A47,$B$51:$B$401&amp;$D$51:$D$401,0),MATCH(I$36,$E$50:$O$50,0))</f>
        <v>757.03231328497168</v>
      </c>
      <c r="J47" s="14">
        <f t="array" ref="J47">INDEX($E$51:$O$401,MATCH(J$38&amp;$A47,$B$51:$B$401&amp;$D$51:$D$401,0),MATCH(J$36,$E$50:$O$50,0))</f>
        <v>739.78895561422746</v>
      </c>
      <c r="K47" s="14">
        <f t="array" ref="K47">INDEX($E$51:$O$401,MATCH(K$38&amp;$A47,$B$51:$B$401&amp;$D$51:$D$401,0),MATCH(K$36,$E$50:$O$50,0))</f>
        <v>757.03231328497168</v>
      </c>
      <c r="L47" s="14" t="e">
        <f t="array" ref="L47">INDEX($E$51:$O$401,MATCH(L$38&amp;$A47,$B$51:$B$401&amp;$D$51:$D$401,0),MATCH(L$36,$E$50:$O$50,0))</f>
        <v>#N/A</v>
      </c>
      <c r="M47" s="14" t="e">
        <f t="array" ref="M47">INDEX($E$51:$O$401,MATCH(M$38&amp;$A47,$B$51:$B$401&amp;$D$51:$D$401,0),MATCH(M$36,$E$50:$O$50,0))</f>
        <v>#N/A</v>
      </c>
      <c r="N47" s="14" t="e">
        <f t="array" ref="N47">INDEX($E$51:$O$401,MATCH(N$38&amp;$A47,$B$51:$B$401&amp;$D$51:$D$401,0),MATCH(N$36,$E$50:$O$50,0))</f>
        <v>#N/A</v>
      </c>
      <c r="O47" s="14">
        <f t="array" ref="O47">INDEX($E$51:$O$401,MATCH(O$38&amp;$A47,$B$51:$B$401&amp;$D$51:$D$401,0),MATCH(O$36,$E$50:$O$50,0))</f>
        <v>1358.291411563855</v>
      </c>
      <c r="P47" s="14">
        <f t="array" ref="P47">INDEX($E$51:$O$401,MATCH(P$38&amp;$A47,$B$51:$B$401&amp;$D$51:$D$401,0),MATCH(P$36,$E$50:$O$50,0))</f>
        <v>1358.291411563855</v>
      </c>
      <c r="Q47" s="14">
        <f t="array" ref="Q47">INDEX($E$51:$O$401,MATCH(Q$38&amp;$A47,$B$51:$B$401&amp;$D$51:$D$401,0),MATCH(Q$36,$E$50:$O$50,0))</f>
        <v>1358.5212200577482</v>
      </c>
      <c r="R47" s="14">
        <f t="array" ref="R47">INDEX($E$51:$O$401,MATCH(R$38&amp;$A47,$B$51:$B$401&amp;$D$51:$D$401,0),MATCH(R$36,$E$50:$O$50,0))</f>
        <v>1358.4819901001761</v>
      </c>
      <c r="S47" s="14">
        <f t="array" ref="S47">INDEX($E$51:$O$401,MATCH(S$38&amp;$A47,$B$51:$B$401&amp;$D$51:$D$401,0),MATCH(S$36,$E$50:$O$50,0))</f>
        <v>1354.9064835125964</v>
      </c>
      <c r="T47" s="14">
        <f t="array" ref="T47">INDEX($E$51:$O$401,MATCH(T$38&amp;$A47,$B$51:$B$401&amp;$D$51:$D$401,0),MATCH(T$36,$E$50:$O$50,0))</f>
        <v>267.77414354671595</v>
      </c>
      <c r="U47" s="14">
        <f t="array" ref="U47">INDEX($E$51:$O$401,MATCH(U$38&amp;$A47,$B$51:$B$401&amp;$D$51:$D$401,0),MATCH(U$36,$E$50:$O$50,0))</f>
        <v>343.77633977655699</v>
      </c>
      <c r="V47" s="14">
        <f t="array" ref="V47">INDEX($E$51:$O$401,MATCH(V$38&amp;$A47,$B$51:$B$401&amp;$D$51:$D$401,0),MATCH(V$36,$E$50:$O$50,0))</f>
        <v>1346.8676083381329</v>
      </c>
      <c r="W47" s="14">
        <f t="array" ref="W47">INDEX($E$51:$O$401,MATCH(W$38&amp;$A47,$B$51:$B$401&amp;$D$51:$D$401,0),MATCH(W$36,$E$50:$O$50,0))</f>
        <v>1187.7954411978656</v>
      </c>
      <c r="X47" s="14" t="e">
        <f t="array" ref="X47">INDEX($E$51:$O$401,MATCH(X$38&amp;$A47,$B$51:$B$401&amp;$D$51:$D$401,0),MATCH(X$36,$E$50:$O$50,0))</f>
        <v>#N/A</v>
      </c>
      <c r="Y47" s="14" t="e">
        <f t="array" ref="Y47">INDEX($E$51:$O$401,MATCH(Y$38&amp;$A47,$B$51:$B$401&amp;$D$51:$D$401,0),MATCH(Y$36,$E$50:$O$50,0))</f>
        <v>#N/A</v>
      </c>
      <c r="Z47" s="14" t="e">
        <f t="array" ref="Z47">INDEX($E$51:$O$401,MATCH(Z$38&amp;$A47,$B$51:$B$401&amp;$D$51:$D$401,0),MATCH(Z$36,$E$50:$O$50,0))</f>
        <v>#N/A</v>
      </c>
    </row>
    <row r="48" spans="1:26" ht="15" thickBot="1" x14ac:dyDescent="0.35"/>
    <row r="49" spans="1:19" s="15" customFormat="1" ht="15" thickBot="1" x14ac:dyDescent="0.35">
      <c r="A49" s="15" t="s">
        <v>198</v>
      </c>
      <c r="S49" s="16"/>
    </row>
    <row r="50" spans="1:19" x14ac:dyDescent="0.3">
      <c r="A50" s="3" t="s">
        <v>86</v>
      </c>
      <c r="B50" s="3" t="s">
        <v>8</v>
      </c>
      <c r="C50" s="3" t="s">
        <v>289</v>
      </c>
      <c r="D50" s="3" t="s">
        <v>252</v>
      </c>
      <c r="E50" s="3">
        <v>2007</v>
      </c>
      <c r="F50" s="3">
        <v>2012</v>
      </c>
      <c r="G50" s="3">
        <v>2020</v>
      </c>
      <c r="H50" s="3">
        <v>2030</v>
      </c>
      <c r="I50" s="3">
        <v>2040</v>
      </c>
      <c r="J50" s="3">
        <v>2050</v>
      </c>
      <c r="K50" s="3">
        <v>2060</v>
      </c>
      <c r="L50" s="3">
        <v>2070</v>
      </c>
      <c r="M50" s="3">
        <v>2080</v>
      </c>
      <c r="N50" s="3">
        <v>2090</v>
      </c>
      <c r="O50" s="3">
        <v>2100</v>
      </c>
    </row>
    <row r="51" spans="1:19" x14ac:dyDescent="0.3">
      <c r="A51" s="3" t="str">
        <f>INDEX('R1. Scenario specifications'!$C$11:$C$49,MATCH($B51,'R1. Scenario specifications'!$A$11:$A$49,0))</f>
        <v>TIAM BAU - No Policy Action</v>
      </c>
      <c r="B51" s="3" t="s">
        <v>11</v>
      </c>
      <c r="C51" s="3" t="s">
        <v>304</v>
      </c>
      <c r="D51" s="3" t="s">
        <v>339</v>
      </c>
      <c r="E51" s="14">
        <v>0</v>
      </c>
      <c r="F51" s="14">
        <v>820.1343749999993</v>
      </c>
      <c r="G51" s="14">
        <v>784.12847249798097</v>
      </c>
      <c r="H51" s="14">
        <v>410.88685350032904</v>
      </c>
      <c r="I51" s="14">
        <v>0</v>
      </c>
      <c r="J51" s="14">
        <v>4284.5338316782081</v>
      </c>
      <c r="K51" s="14">
        <v>3216.1992121064386</v>
      </c>
      <c r="L51" s="14">
        <v>3812.4156800581031</v>
      </c>
      <c r="M51" s="14">
        <v>3277.1507090675386</v>
      </c>
      <c r="N51" s="14">
        <v>4675.2201192960365</v>
      </c>
      <c r="O51" s="14">
        <v>12155.790118194265</v>
      </c>
    </row>
    <row r="52" spans="1:19" x14ac:dyDescent="0.3">
      <c r="A52" s="3" t="str">
        <f>INDEX('R1. Scenario specifications'!$C$11:$C$49,MATCH($B52,'R1. Scenario specifications'!$A$11:$A$49,0))</f>
        <v>TIAM BAU - No Policy Action</v>
      </c>
      <c r="B52" s="3" t="s">
        <v>11</v>
      </c>
      <c r="C52" s="3" t="s">
        <v>51</v>
      </c>
      <c r="D52" s="3" t="s">
        <v>340</v>
      </c>
      <c r="E52" s="14">
        <v>26912.591385085678</v>
      </c>
      <c r="F52" s="14">
        <v>24726.384098969917</v>
      </c>
      <c r="G52" s="14">
        <v>21039.05263430543</v>
      </c>
      <c r="H52" s="14">
        <v>26111.353059062836</v>
      </c>
      <c r="I52" s="14">
        <v>44009.88146318691</v>
      </c>
      <c r="J52" s="14">
        <v>29454.0057998179</v>
      </c>
      <c r="K52" s="14">
        <v>28670.031287993308</v>
      </c>
      <c r="L52" s="14">
        <v>30018.134679977786</v>
      </c>
      <c r="M52" s="14">
        <v>31638.338492976382</v>
      </c>
      <c r="N52" s="14">
        <v>33980.6489961201</v>
      </c>
      <c r="O52" s="14">
        <v>20088.441747530676</v>
      </c>
    </row>
    <row r="53" spans="1:19" x14ac:dyDescent="0.3">
      <c r="A53" s="3" t="str">
        <f>INDEX('R1. Scenario specifications'!$C$11:$C$49,MATCH($B53,'R1. Scenario specifications'!$A$11:$A$49,0))</f>
        <v>TIAM BAU - No Policy Action</v>
      </c>
      <c r="B53" s="3" t="s">
        <v>11</v>
      </c>
      <c r="C53" s="3" t="s">
        <v>305</v>
      </c>
      <c r="D53" s="3" t="s">
        <v>341</v>
      </c>
      <c r="E53" s="14">
        <v>0.55126200000000003</v>
      </c>
      <c r="F53" s="14">
        <v>0.27214200000000005</v>
      </c>
      <c r="G53" s="14">
        <v>39.863137640230093</v>
      </c>
      <c r="H53" s="14">
        <v>1003.6816525884961</v>
      </c>
      <c r="I53" s="14">
        <v>2356.242175508296</v>
      </c>
      <c r="J53" s="14">
        <v>7983.8252120514571</v>
      </c>
      <c r="K53" s="14">
        <v>13923.960028398633</v>
      </c>
      <c r="L53" s="14">
        <v>16466.022447274096</v>
      </c>
      <c r="M53" s="14">
        <v>17723.524969998824</v>
      </c>
      <c r="N53" s="14">
        <v>18970.505091951876</v>
      </c>
      <c r="O53" s="14">
        <v>20443.745826512848</v>
      </c>
    </row>
    <row r="54" spans="1:19" x14ac:dyDescent="0.3">
      <c r="A54" s="3" t="str">
        <f>INDEX('R1. Scenario specifications'!$C$11:$C$49,MATCH($B54,'R1. Scenario specifications'!$A$11:$A$49,0))</f>
        <v>TIAM BAU - No Policy Action</v>
      </c>
      <c r="B54" s="3" t="s">
        <v>11</v>
      </c>
      <c r="C54" s="3" t="s">
        <v>306</v>
      </c>
      <c r="D54" s="3" t="s">
        <v>342</v>
      </c>
      <c r="E54" s="14">
        <v>138.88007226094669</v>
      </c>
      <c r="F54" s="14">
        <v>231.92798987852072</v>
      </c>
      <c r="G54" s="14">
        <v>1117.7974529599294</v>
      </c>
      <c r="H54" s="14">
        <v>2176.8796769793016</v>
      </c>
      <c r="I54" s="14">
        <v>2499.1109249229471</v>
      </c>
      <c r="J54" s="14">
        <v>2519.048180521002</v>
      </c>
      <c r="K54" s="14">
        <v>1514.191751282526</v>
      </c>
      <c r="L54" s="14">
        <v>1491.8230266651155</v>
      </c>
      <c r="M54" s="14">
        <v>2326.7522083802542</v>
      </c>
      <c r="N54" s="14">
        <v>2512.2236288478425</v>
      </c>
      <c r="O54" s="14">
        <v>3229.0235119999998</v>
      </c>
    </row>
    <row r="55" spans="1:19" x14ac:dyDescent="0.3">
      <c r="A55" s="3" t="str">
        <f>INDEX('R1. Scenario specifications'!$C$11:$C$49,MATCH($B55,'R1. Scenario specifications'!$A$11:$A$49,0))</f>
        <v>TIAM BAU - No Policy Action</v>
      </c>
      <c r="B55" s="3" t="s">
        <v>11</v>
      </c>
      <c r="C55" s="3" t="s">
        <v>52</v>
      </c>
      <c r="D55" s="3" t="s">
        <v>343</v>
      </c>
      <c r="E55" s="14">
        <v>47506.40120156738</v>
      </c>
      <c r="F55" s="14">
        <v>51400.759098340677</v>
      </c>
      <c r="G55" s="14">
        <v>64486.198839169563</v>
      </c>
      <c r="H55" s="14">
        <v>46830.174496657928</v>
      </c>
      <c r="I55" s="14">
        <v>17676.494088933599</v>
      </c>
      <c r="J55" s="14">
        <v>10730.940333592629</v>
      </c>
      <c r="K55" s="14">
        <v>6954.2647641900494</v>
      </c>
      <c r="L55" s="14">
        <v>7414.5984418380049</v>
      </c>
      <c r="M55" s="14">
        <v>6293.927367251431</v>
      </c>
      <c r="N55" s="14">
        <v>4121.2575817862589</v>
      </c>
      <c r="O55" s="14">
        <v>1796.7195248369596</v>
      </c>
    </row>
    <row r="56" spans="1:19" x14ac:dyDescent="0.3">
      <c r="A56" s="3" t="str">
        <f>INDEX('R1. Scenario specifications'!$C$11:$C$49,MATCH($B56,'R1. Scenario specifications'!$A$11:$A$49,0))</f>
        <v>TIAM BAU - No Policy Action</v>
      </c>
      <c r="B56" s="3" t="s">
        <v>11</v>
      </c>
      <c r="C56" s="3" t="s">
        <v>53</v>
      </c>
      <c r="D56" s="3" t="s">
        <v>344</v>
      </c>
      <c r="E56" s="14">
        <v>703.55932605471685</v>
      </c>
      <c r="F56" s="14">
        <v>336.28891863781013</v>
      </c>
      <c r="G56" s="14">
        <v>583.33365969460704</v>
      </c>
      <c r="H56" s="14">
        <v>1212.7523692798161</v>
      </c>
      <c r="I56" s="14">
        <v>1119.483645664212</v>
      </c>
      <c r="J56" s="14">
        <v>662.10248587389265</v>
      </c>
      <c r="K56" s="14">
        <v>1137.6217020931435</v>
      </c>
      <c r="L56" s="14">
        <v>1205.9025026629974</v>
      </c>
      <c r="M56" s="14">
        <v>1305.723966600302</v>
      </c>
      <c r="N56" s="14">
        <v>1444.3989374166968</v>
      </c>
      <c r="O56" s="14">
        <v>1603.4991834132095</v>
      </c>
    </row>
    <row r="57" spans="1:19" x14ac:dyDescent="0.3">
      <c r="A57" s="3" t="str">
        <f>INDEX('R1. Scenario specifications'!$C$11:$C$49,MATCH($B57,'R1. Scenario specifications'!$A$11:$A$49,0))</f>
        <v>TIAM BAU - No Policy Action</v>
      </c>
      <c r="B57" s="3" t="s">
        <v>11</v>
      </c>
      <c r="C57" s="3" t="s">
        <v>307</v>
      </c>
      <c r="D57" s="3" t="s">
        <v>345</v>
      </c>
      <c r="E57" s="14">
        <v>0</v>
      </c>
      <c r="F57" s="14">
        <v>0</v>
      </c>
      <c r="G57" s="14">
        <v>619.01821540094841</v>
      </c>
      <c r="H57" s="14">
        <v>3006.3274565886686</v>
      </c>
      <c r="I57" s="14">
        <v>923.55567175605574</v>
      </c>
      <c r="J57" s="14">
        <v>1382.5345168791823</v>
      </c>
      <c r="K57" s="14">
        <v>561.02847005781462</v>
      </c>
      <c r="L57" s="14">
        <v>88.323872124998204</v>
      </c>
      <c r="M57" s="14">
        <v>754.16243566954665</v>
      </c>
      <c r="N57" s="14">
        <v>1740.999688470783</v>
      </c>
      <c r="O57" s="14">
        <v>10614.334542166733</v>
      </c>
    </row>
    <row r="58" spans="1:19" x14ac:dyDescent="0.3">
      <c r="A58" s="3" t="str">
        <f>INDEX('R1. Scenario specifications'!$C$11:$C$49,MATCH($B58,'R1. Scenario specifications'!$A$11:$A$49,0))</f>
        <v>TIAM BAU - No Policy Action</v>
      </c>
      <c r="B58" s="3" t="s">
        <v>11</v>
      </c>
      <c r="C58" s="3" t="s">
        <v>54</v>
      </c>
      <c r="D58" s="3" t="s">
        <v>255</v>
      </c>
      <c r="E58" s="14">
        <v>396.62220438997127</v>
      </c>
      <c r="F58" s="14">
        <v>176.86416189251261</v>
      </c>
      <c r="G58" s="14">
        <v>2582.2505136648138</v>
      </c>
      <c r="H58" s="14">
        <v>4278.1897467681283</v>
      </c>
      <c r="I58" s="14">
        <v>11785.804913291113</v>
      </c>
      <c r="J58" s="14">
        <v>23337.832320109726</v>
      </c>
      <c r="K58" s="14">
        <v>19087.410668517943</v>
      </c>
      <c r="L58" s="14">
        <v>16320.187466689724</v>
      </c>
      <c r="M58" s="14">
        <v>17719.240232884487</v>
      </c>
      <c r="N58" s="14">
        <v>17192.510210612898</v>
      </c>
      <c r="O58" s="14">
        <v>19003.495585918728</v>
      </c>
    </row>
    <row r="59" spans="1:19" x14ac:dyDescent="0.3">
      <c r="A59" s="3" t="str">
        <f>INDEX('R1. Scenario specifications'!$C$11:$C$49,MATCH($B59,'R1. Scenario specifications'!$A$11:$A$49,0))</f>
        <v>TIAM BAU - No Policy Action</v>
      </c>
      <c r="B59" s="3" t="s">
        <v>11</v>
      </c>
      <c r="C59" s="3" t="s">
        <v>308</v>
      </c>
      <c r="D59" s="3" t="s">
        <v>326</v>
      </c>
      <c r="E59" s="14">
        <v>0</v>
      </c>
      <c r="F59" s="14">
        <v>0</v>
      </c>
      <c r="G59" s="14">
        <v>203.89493763121584</v>
      </c>
      <c r="H59" s="14">
        <v>749.70114740355382</v>
      </c>
      <c r="I59" s="14">
        <v>944.0173788176786</v>
      </c>
      <c r="J59" s="14">
        <v>1358.291411563855</v>
      </c>
      <c r="K59" s="14">
        <v>1440.8082628018574</v>
      </c>
      <c r="L59" s="14">
        <v>1510.4029272880398</v>
      </c>
      <c r="M59" s="14">
        <v>1609.3879076697744</v>
      </c>
      <c r="N59" s="14">
        <v>1708.5189487746218</v>
      </c>
      <c r="O59" s="14">
        <v>1811.6653271799855</v>
      </c>
    </row>
    <row r="60" spans="1:19" x14ac:dyDescent="0.3">
      <c r="A60" s="3" t="str">
        <f>INDEX('R1. Scenario specifications'!$C$11:$C$49,MATCH($B60,'R1. Scenario specifications'!$A$11:$A$49,0))</f>
        <v>Vivid BAU - WEO Current Policies Scenario emissions pathway run through TIAM</v>
      </c>
      <c r="B60" s="3" t="s">
        <v>13</v>
      </c>
      <c r="C60" s="3" t="s">
        <v>304</v>
      </c>
      <c r="D60" s="3" t="s">
        <v>339</v>
      </c>
      <c r="E60" s="14">
        <v>0</v>
      </c>
      <c r="F60" s="14">
        <v>819.98437499999932</v>
      </c>
      <c r="G60" s="14">
        <v>857.0639148243032</v>
      </c>
      <c r="H60" s="14">
        <v>452.73603507320263</v>
      </c>
      <c r="I60" s="14">
        <v>34.163561250000022</v>
      </c>
      <c r="J60" s="14">
        <v>4240.3465309497524</v>
      </c>
      <c r="K60" s="14">
        <v>2797.1047381654653</v>
      </c>
      <c r="L60" s="14">
        <v>3673.5736363389751</v>
      </c>
      <c r="M60" s="14">
        <v>3319.3222931046839</v>
      </c>
      <c r="N60" s="14">
        <v>4749.7231006549209</v>
      </c>
      <c r="O60" s="14">
        <v>12443.682492209206</v>
      </c>
    </row>
    <row r="61" spans="1:19" x14ac:dyDescent="0.3">
      <c r="A61" s="3" t="str">
        <f>INDEX('R1. Scenario specifications'!$C$11:$C$49,MATCH($B61,'R1. Scenario specifications'!$A$11:$A$49,0))</f>
        <v>Vivid BAU - WEO Current Policies Scenario emissions pathway run through TIAM</v>
      </c>
      <c r="B61" s="3" t="s">
        <v>13</v>
      </c>
      <c r="C61" s="3" t="s">
        <v>51</v>
      </c>
      <c r="D61" s="3" t="s">
        <v>340</v>
      </c>
      <c r="E61" s="14">
        <v>26794.662038432027</v>
      </c>
      <c r="F61" s="14">
        <v>24314.326473339901</v>
      </c>
      <c r="G61" s="14">
        <v>20224.388400919761</v>
      </c>
      <c r="H61" s="14">
        <v>26261.692097329367</v>
      </c>
      <c r="I61" s="14">
        <v>43735.547866259585</v>
      </c>
      <c r="J61" s="14">
        <v>29647.436973951644</v>
      </c>
      <c r="K61" s="14">
        <v>28814.668207243489</v>
      </c>
      <c r="L61" s="14">
        <v>30069.038904505207</v>
      </c>
      <c r="M61" s="14">
        <v>31560.63466602562</v>
      </c>
      <c r="N61" s="14">
        <v>33963.084715078738</v>
      </c>
      <c r="O61" s="14">
        <v>20058.650738304008</v>
      </c>
    </row>
    <row r="62" spans="1:19" x14ac:dyDescent="0.3">
      <c r="A62" s="3" t="str">
        <f>INDEX('R1. Scenario specifications'!$C$11:$C$49,MATCH($B62,'R1. Scenario specifications'!$A$11:$A$49,0))</f>
        <v>Vivid BAU - WEO Current Policies Scenario emissions pathway run through TIAM</v>
      </c>
      <c r="B62" s="3" t="s">
        <v>13</v>
      </c>
      <c r="C62" s="3" t="s">
        <v>305</v>
      </c>
      <c r="D62" s="3" t="s">
        <v>341</v>
      </c>
      <c r="E62" s="14">
        <v>0.55126200000000003</v>
      </c>
      <c r="F62" s="14">
        <v>0.27214200000000005</v>
      </c>
      <c r="G62" s="14">
        <v>39.851411191919205</v>
      </c>
      <c r="H62" s="14">
        <v>1005.7942092807525</v>
      </c>
      <c r="I62" s="14">
        <v>2352.4998180590778</v>
      </c>
      <c r="J62" s="14">
        <v>7912.473839253099</v>
      </c>
      <c r="K62" s="14">
        <v>13916.783390684668</v>
      </c>
      <c r="L62" s="14">
        <v>16465.600586304343</v>
      </c>
      <c r="M62" s="14">
        <v>17723.573566579824</v>
      </c>
      <c r="N62" s="14">
        <v>18970.532152689164</v>
      </c>
      <c r="O62" s="14">
        <v>20443.6265879038</v>
      </c>
    </row>
    <row r="63" spans="1:19" x14ac:dyDescent="0.3">
      <c r="A63" s="3" t="str">
        <f>INDEX('R1. Scenario specifications'!$C$11:$C$49,MATCH($B63,'R1. Scenario specifications'!$A$11:$A$49,0))</f>
        <v>Vivid BAU - WEO Current Policies Scenario emissions pathway run through TIAM</v>
      </c>
      <c r="B63" s="3" t="s">
        <v>13</v>
      </c>
      <c r="C63" s="3" t="s">
        <v>306</v>
      </c>
      <c r="D63" s="3" t="s">
        <v>342</v>
      </c>
      <c r="E63" s="14">
        <v>137.78908903239369</v>
      </c>
      <c r="F63" s="14">
        <v>216.37756234498164</v>
      </c>
      <c r="G63" s="14">
        <v>2343.8471577254904</v>
      </c>
      <c r="H63" s="14">
        <v>2227.2987385062647</v>
      </c>
      <c r="I63" s="14">
        <v>2586.4474930932683</v>
      </c>
      <c r="J63" s="14">
        <v>2569.7450675001191</v>
      </c>
      <c r="K63" s="14">
        <v>1952.2340209004144</v>
      </c>
      <c r="L63" s="14">
        <v>1740.1186657273106</v>
      </c>
      <c r="M63" s="14">
        <v>2336.2819268422836</v>
      </c>
      <c r="N63" s="14">
        <v>2510.7942805982075</v>
      </c>
      <c r="O63" s="14">
        <v>3229.0235120000007</v>
      </c>
    </row>
    <row r="64" spans="1:19" x14ac:dyDescent="0.3">
      <c r="A64" s="3" t="str">
        <f>INDEX('R1. Scenario specifications'!$C$11:$C$49,MATCH($B64,'R1. Scenario specifications'!$A$11:$A$49,0))</f>
        <v>Vivid BAU - WEO Current Policies Scenario emissions pathway run through TIAM</v>
      </c>
      <c r="B64" s="3" t="s">
        <v>13</v>
      </c>
      <c r="C64" s="3" t="s">
        <v>52</v>
      </c>
      <c r="D64" s="3" t="s">
        <v>343</v>
      </c>
      <c r="E64" s="14">
        <v>47508.324267550692</v>
      </c>
      <c r="F64" s="14">
        <v>51414.786795508677</v>
      </c>
      <c r="G64" s="14">
        <v>61964.434445701627</v>
      </c>
      <c r="H64" s="14">
        <v>46001.243758895187</v>
      </c>
      <c r="I64" s="14">
        <v>17527.745488691216</v>
      </c>
      <c r="J64" s="14">
        <v>10679.116687185824</v>
      </c>
      <c r="K64" s="14">
        <v>6982.6766429053623</v>
      </c>
      <c r="L64" s="14">
        <v>7424.4775002974084</v>
      </c>
      <c r="M64" s="14">
        <v>6376.6631543251879</v>
      </c>
      <c r="N64" s="14">
        <v>4134.7791720580744</v>
      </c>
      <c r="O64" s="14">
        <v>1777.6026799196443</v>
      </c>
    </row>
    <row r="65" spans="1:15" x14ac:dyDescent="0.3">
      <c r="A65" s="3" t="str">
        <f>INDEX('R1. Scenario specifications'!$C$11:$C$49,MATCH($B65,'R1. Scenario specifications'!$A$11:$A$49,0))</f>
        <v>Vivid BAU - WEO Current Policies Scenario emissions pathway run through TIAM</v>
      </c>
      <c r="B65" s="3" t="s">
        <v>13</v>
      </c>
      <c r="C65" s="3" t="s">
        <v>53</v>
      </c>
      <c r="D65" s="3" t="s">
        <v>344</v>
      </c>
      <c r="E65" s="14">
        <v>701.71044106117211</v>
      </c>
      <c r="F65" s="14">
        <v>335.89869295391009</v>
      </c>
      <c r="G65" s="14">
        <v>662.79575791232651</v>
      </c>
      <c r="H65" s="14">
        <v>1185.840330326467</v>
      </c>
      <c r="I65" s="14">
        <v>1116.0246256625881</v>
      </c>
      <c r="J65" s="14">
        <v>658.39019522914998</v>
      </c>
      <c r="K65" s="14">
        <v>1126.6184636668606</v>
      </c>
      <c r="L65" s="14">
        <v>1204.2064097401189</v>
      </c>
      <c r="M65" s="14">
        <v>1307.0825485766647</v>
      </c>
      <c r="N65" s="14">
        <v>1445.7575193930606</v>
      </c>
      <c r="O65" s="14">
        <v>1604.8577653895725</v>
      </c>
    </row>
    <row r="66" spans="1:15" x14ac:dyDescent="0.3">
      <c r="A66" s="3" t="str">
        <f>INDEX('R1. Scenario specifications'!$C$11:$C$49,MATCH($B66,'R1. Scenario specifications'!$A$11:$A$49,0))</f>
        <v>Vivid BAU - WEO Current Policies Scenario emissions pathway run through TIAM</v>
      </c>
      <c r="B66" s="3" t="s">
        <v>13</v>
      </c>
      <c r="C66" s="3" t="s">
        <v>307</v>
      </c>
      <c r="D66" s="3" t="s">
        <v>345</v>
      </c>
      <c r="E66" s="14">
        <v>0</v>
      </c>
      <c r="F66" s="14">
        <v>0</v>
      </c>
      <c r="G66" s="14">
        <v>259.61894112312001</v>
      </c>
      <c r="H66" s="14">
        <v>2349.9009296868926</v>
      </c>
      <c r="I66" s="14">
        <v>817.27979035942894</v>
      </c>
      <c r="J66" s="14">
        <v>1408.3668794527337</v>
      </c>
      <c r="K66" s="14">
        <v>567.27950223847949</v>
      </c>
      <c r="L66" s="14">
        <v>82.217669050508604</v>
      </c>
      <c r="M66" s="14">
        <v>750.90138027335479</v>
      </c>
      <c r="N66" s="14">
        <v>1705.9932650763399</v>
      </c>
      <c r="O66" s="14">
        <v>10593.932104787498</v>
      </c>
    </row>
    <row r="67" spans="1:15" x14ac:dyDescent="0.3">
      <c r="A67" s="3" t="str">
        <f>INDEX('R1. Scenario specifications'!$C$11:$C$49,MATCH($B67,'R1. Scenario specifications'!$A$11:$A$49,0))</f>
        <v>Vivid BAU - WEO Current Policies Scenario emissions pathway run through TIAM</v>
      </c>
      <c r="B67" s="3" t="s">
        <v>13</v>
      </c>
      <c r="C67" s="3" t="s">
        <v>54</v>
      </c>
      <c r="D67" s="3" t="s">
        <v>255</v>
      </c>
      <c r="E67" s="14">
        <v>395.53466572905853</v>
      </c>
      <c r="F67" s="14">
        <v>176.24736951683886</v>
      </c>
      <c r="G67" s="14">
        <v>2414.842892936565</v>
      </c>
      <c r="H67" s="14">
        <v>4764.7005480332382</v>
      </c>
      <c r="I67" s="14">
        <v>12339.592327217895</v>
      </c>
      <c r="J67" s="14">
        <v>23435.939702833402</v>
      </c>
      <c r="K67" s="14">
        <v>19164.631760570559</v>
      </c>
      <c r="L67" s="14">
        <v>16264.327132000064</v>
      </c>
      <c r="M67" s="14">
        <v>17667.916434342609</v>
      </c>
      <c r="N67" s="14">
        <v>17146.389582257598</v>
      </c>
      <c r="O67" s="14">
        <v>18688.575615724323</v>
      </c>
    </row>
    <row r="68" spans="1:15" x14ac:dyDescent="0.3">
      <c r="A68" s="3" t="str">
        <f>INDEX('R1. Scenario specifications'!$C$11:$C$49,MATCH($B68,'R1. Scenario specifications'!$A$11:$A$49,0))</f>
        <v>Vivid BAU - WEO Current Policies Scenario emissions pathway run through TIAM</v>
      </c>
      <c r="B68" s="3" t="s">
        <v>13</v>
      </c>
      <c r="C68" s="3" t="s">
        <v>308</v>
      </c>
      <c r="D68" s="3" t="s">
        <v>326</v>
      </c>
      <c r="E68" s="14">
        <v>0</v>
      </c>
      <c r="F68" s="14">
        <v>0</v>
      </c>
      <c r="G68" s="14">
        <v>203.89493763121564</v>
      </c>
      <c r="H68" s="14">
        <v>749.7011474035528</v>
      </c>
      <c r="I68" s="14">
        <v>944.0173788176777</v>
      </c>
      <c r="J68" s="14">
        <v>1358.291411563855</v>
      </c>
      <c r="K68" s="14">
        <v>1440.8082628018562</v>
      </c>
      <c r="L68" s="14">
        <v>1510.4029272880389</v>
      </c>
      <c r="M68" s="14">
        <v>1609.387907669774</v>
      </c>
      <c r="N68" s="14">
        <v>1708.5189487746229</v>
      </c>
      <c r="O68" s="14">
        <v>1811.6653271799855</v>
      </c>
    </row>
    <row r="69" spans="1:15" x14ac:dyDescent="0.3">
      <c r="A69" s="3" t="str">
        <f>INDEX('R1. Scenario specifications'!$C$11:$C$49,MATCH($B69,'R1. Scenario specifications'!$A$11:$A$49,0))</f>
        <v>Vivid Paris NDCs - WEO New Policies Scenario emissions pathway run through TIAM</v>
      </c>
      <c r="B69" s="3" t="s">
        <v>14</v>
      </c>
      <c r="C69" s="3" t="s">
        <v>304</v>
      </c>
      <c r="D69" s="3" t="s">
        <v>339</v>
      </c>
      <c r="E69" s="14">
        <v>0</v>
      </c>
      <c r="F69" s="14">
        <v>820.1343749999993</v>
      </c>
      <c r="G69" s="14">
        <v>1443.6724304473942</v>
      </c>
      <c r="H69" s="14">
        <v>1052.0173273984929</v>
      </c>
      <c r="I69" s="14">
        <v>515.46111562021497</v>
      </c>
      <c r="J69" s="14">
        <v>2652.7715056347561</v>
      </c>
      <c r="K69" s="14">
        <v>1957.7930553681019</v>
      </c>
      <c r="L69" s="14">
        <v>2809.541834151385</v>
      </c>
      <c r="M69" s="14">
        <v>4046.8914150189366</v>
      </c>
      <c r="N69" s="14">
        <v>5335.8982570118906</v>
      </c>
      <c r="O69" s="14">
        <v>12623.443655923078</v>
      </c>
    </row>
    <row r="70" spans="1:15" x14ac:dyDescent="0.3">
      <c r="A70" s="3" t="str">
        <f>INDEX('R1. Scenario specifications'!$C$11:$C$49,MATCH($B70,'R1. Scenario specifications'!$A$11:$A$49,0))</f>
        <v>Vivid Paris NDCs - WEO New Policies Scenario emissions pathway run through TIAM</v>
      </c>
      <c r="B70" s="3" t="s">
        <v>14</v>
      </c>
      <c r="C70" s="3" t="s">
        <v>51</v>
      </c>
      <c r="D70" s="3" t="s">
        <v>340</v>
      </c>
      <c r="E70" s="14">
        <v>26912.591385085678</v>
      </c>
      <c r="F70" s="14">
        <v>24726.384098969917</v>
      </c>
      <c r="G70" s="14">
        <v>20023.092920446408</v>
      </c>
      <c r="H70" s="14">
        <v>26227.564065710481</v>
      </c>
      <c r="I70" s="14">
        <v>43541.290085667431</v>
      </c>
      <c r="J70" s="14">
        <v>29263.695907534551</v>
      </c>
      <c r="K70" s="14">
        <v>27755.325913195767</v>
      </c>
      <c r="L70" s="14">
        <v>29750.072698086729</v>
      </c>
      <c r="M70" s="14">
        <v>31678.866680709412</v>
      </c>
      <c r="N70" s="14">
        <v>33150.453589348173</v>
      </c>
      <c r="O70" s="14">
        <v>19412.586027210098</v>
      </c>
    </row>
    <row r="71" spans="1:15" x14ac:dyDescent="0.3">
      <c r="A71" s="3" t="str">
        <f>INDEX('R1. Scenario specifications'!$C$11:$C$49,MATCH($B71,'R1. Scenario specifications'!$A$11:$A$49,0))</f>
        <v>Vivid Paris NDCs - WEO New Policies Scenario emissions pathway run through TIAM</v>
      </c>
      <c r="B71" s="3" t="s">
        <v>14</v>
      </c>
      <c r="C71" s="3" t="s">
        <v>305</v>
      </c>
      <c r="D71" s="3" t="s">
        <v>341</v>
      </c>
      <c r="E71" s="14">
        <v>0.55126200000000003</v>
      </c>
      <c r="F71" s="14">
        <v>0.27214200000000005</v>
      </c>
      <c r="G71" s="14">
        <v>39.715545758633766</v>
      </c>
      <c r="H71" s="14">
        <v>1069.5883483275736</v>
      </c>
      <c r="I71" s="14">
        <v>3700.988526160007</v>
      </c>
      <c r="J71" s="14">
        <v>9209.0936752276266</v>
      </c>
      <c r="K71" s="14">
        <v>14203.500481422001</v>
      </c>
      <c r="L71" s="14">
        <v>16466.254314637321</v>
      </c>
      <c r="M71" s="14">
        <v>17739.403812697397</v>
      </c>
      <c r="N71" s="14">
        <v>19018.497199970272</v>
      </c>
      <c r="O71" s="14">
        <v>20454.300783301314</v>
      </c>
    </row>
    <row r="72" spans="1:15" x14ac:dyDescent="0.3">
      <c r="A72" s="3" t="str">
        <f>INDEX('R1. Scenario specifications'!$C$11:$C$49,MATCH($B72,'R1. Scenario specifications'!$A$11:$A$49,0))</f>
        <v>Vivid Paris NDCs - WEO New Policies Scenario emissions pathway run through TIAM</v>
      </c>
      <c r="B72" s="3" t="s">
        <v>14</v>
      </c>
      <c r="C72" s="3" t="s">
        <v>306</v>
      </c>
      <c r="D72" s="3" t="s">
        <v>342</v>
      </c>
      <c r="E72" s="14">
        <v>138.88007226094669</v>
      </c>
      <c r="F72" s="14">
        <v>231.92798987852072</v>
      </c>
      <c r="G72" s="14">
        <v>2394.994594260861</v>
      </c>
      <c r="H72" s="14">
        <v>2330.3092353624561</v>
      </c>
      <c r="I72" s="14">
        <v>2320.2588375945879</v>
      </c>
      <c r="J72" s="14">
        <v>2525.883797801604</v>
      </c>
      <c r="K72" s="14">
        <v>1907.2198217594619</v>
      </c>
      <c r="L72" s="14">
        <v>2206.4548927799005</v>
      </c>
      <c r="M72" s="14">
        <v>2336.3003605678982</v>
      </c>
      <c r="N72" s="14">
        <v>2514.1931235443581</v>
      </c>
      <c r="O72" s="14">
        <v>3229.0391990705352</v>
      </c>
    </row>
    <row r="73" spans="1:15" x14ac:dyDescent="0.3">
      <c r="A73" s="3" t="str">
        <f>INDEX('R1. Scenario specifications'!$C$11:$C$49,MATCH($B73,'R1. Scenario specifications'!$A$11:$A$49,0))</f>
        <v>Vivid Paris NDCs - WEO New Policies Scenario emissions pathway run through TIAM</v>
      </c>
      <c r="B73" s="3" t="s">
        <v>14</v>
      </c>
      <c r="C73" s="3" t="s">
        <v>52</v>
      </c>
      <c r="D73" s="3" t="s">
        <v>343</v>
      </c>
      <c r="E73" s="14">
        <v>47506.40120156738</v>
      </c>
      <c r="F73" s="14">
        <v>51400.759098340677</v>
      </c>
      <c r="G73" s="14">
        <v>62205.547314401418</v>
      </c>
      <c r="H73" s="14">
        <v>44368.574800589129</v>
      </c>
      <c r="I73" s="14">
        <v>15181.179021028536</v>
      </c>
      <c r="J73" s="14">
        <v>9374.7135444465239</v>
      </c>
      <c r="K73" s="14">
        <v>7241.819776490197</v>
      </c>
      <c r="L73" s="14">
        <v>7447.4275511429369</v>
      </c>
      <c r="M73" s="14">
        <v>5943.1059072742573</v>
      </c>
      <c r="N73" s="14">
        <v>4674.7552224473975</v>
      </c>
      <c r="O73" s="14">
        <v>2199.3001021579917</v>
      </c>
    </row>
    <row r="74" spans="1:15" x14ac:dyDescent="0.3">
      <c r="A74" s="3" t="str">
        <f>INDEX('R1. Scenario specifications'!$C$11:$C$49,MATCH($B74,'R1. Scenario specifications'!$A$11:$A$49,0))</f>
        <v>Vivid Paris NDCs - WEO New Policies Scenario emissions pathway run through TIAM</v>
      </c>
      <c r="B74" s="3" t="s">
        <v>14</v>
      </c>
      <c r="C74" s="3" t="s">
        <v>53</v>
      </c>
      <c r="D74" s="3" t="s">
        <v>344</v>
      </c>
      <c r="E74" s="14">
        <v>703.55932605471685</v>
      </c>
      <c r="F74" s="14">
        <v>336.28891863781013</v>
      </c>
      <c r="G74" s="14">
        <v>879.49041101293551</v>
      </c>
      <c r="H74" s="14">
        <v>1203.2907539892126</v>
      </c>
      <c r="I74" s="14">
        <v>1134.0185533439583</v>
      </c>
      <c r="J74" s="14">
        <v>748.26553362211143</v>
      </c>
      <c r="K74" s="14">
        <v>1146.3976464739121</v>
      </c>
      <c r="L74" s="14">
        <v>1215.8359639484017</v>
      </c>
      <c r="M74" s="14">
        <v>1330.9083647093371</v>
      </c>
      <c r="N74" s="14">
        <v>1469.5833355257319</v>
      </c>
      <c r="O74" s="14">
        <v>1616.1971766539366</v>
      </c>
    </row>
    <row r="75" spans="1:15" x14ac:dyDescent="0.3">
      <c r="A75" s="3" t="str">
        <f>INDEX('R1. Scenario specifications'!$C$11:$C$49,MATCH($B75,'R1. Scenario specifications'!$A$11:$A$49,0))</f>
        <v>Vivid Paris NDCs - WEO New Policies Scenario emissions pathway run through TIAM</v>
      </c>
      <c r="B75" s="3" t="s">
        <v>14</v>
      </c>
      <c r="C75" s="3" t="s">
        <v>307</v>
      </c>
      <c r="D75" s="3" t="s">
        <v>345</v>
      </c>
      <c r="E75" s="14">
        <v>0</v>
      </c>
      <c r="F75" s="14">
        <v>0</v>
      </c>
      <c r="G75" s="14">
        <v>0</v>
      </c>
      <c r="H75" s="14">
        <v>335.71272520527293</v>
      </c>
      <c r="I75" s="14">
        <v>99.84763157046666</v>
      </c>
      <c r="J75" s="14">
        <v>2193.9375676365266</v>
      </c>
      <c r="K75" s="14">
        <v>760.70761705245764</v>
      </c>
      <c r="L75" s="14">
        <v>268.98039228195802</v>
      </c>
      <c r="M75" s="14">
        <v>825.92836205710796</v>
      </c>
      <c r="N75" s="14">
        <v>2033.228204386982</v>
      </c>
      <c r="O75" s="14">
        <v>10817.992205904819</v>
      </c>
    </row>
    <row r="76" spans="1:15" x14ac:dyDescent="0.3">
      <c r="A76" s="3" t="str">
        <f>INDEX('R1. Scenario specifications'!$C$11:$C$49,MATCH($B76,'R1. Scenario specifications'!$A$11:$A$49,0))</f>
        <v>Vivid Paris NDCs - WEO New Policies Scenario emissions pathway run through TIAM</v>
      </c>
      <c r="B76" s="3" t="s">
        <v>14</v>
      </c>
      <c r="C76" s="3" t="s">
        <v>54</v>
      </c>
      <c r="D76" s="3" t="s">
        <v>255</v>
      </c>
      <c r="E76" s="14">
        <v>396.62220438997127</v>
      </c>
      <c r="F76" s="14">
        <v>176.86416189251261</v>
      </c>
      <c r="G76" s="14">
        <v>1833.16729548234</v>
      </c>
      <c r="H76" s="14">
        <v>5667.8396467895318</v>
      </c>
      <c r="I76" s="14">
        <v>12440.354125044485</v>
      </c>
      <c r="J76" s="14">
        <v>22036.802911743591</v>
      </c>
      <c r="K76" s="14">
        <v>18458.494224656766</v>
      </c>
      <c r="L76" s="14">
        <v>16271.375248497903</v>
      </c>
      <c r="M76" s="14">
        <v>16690.04564132596</v>
      </c>
      <c r="N76" s="14">
        <v>16069.68943387736</v>
      </c>
      <c r="O76" s="14">
        <v>18483.771433491369</v>
      </c>
    </row>
    <row r="77" spans="1:15" x14ac:dyDescent="0.3">
      <c r="A77" s="3" t="str">
        <f>INDEX('R1. Scenario specifications'!$C$11:$C$49,MATCH($B77,'R1. Scenario specifications'!$A$11:$A$49,0))</f>
        <v>Vivid Paris NDCs - WEO New Policies Scenario emissions pathway run through TIAM</v>
      </c>
      <c r="B77" s="3" t="s">
        <v>14</v>
      </c>
      <c r="C77" s="3" t="s">
        <v>308</v>
      </c>
      <c r="D77" s="3" t="s">
        <v>326</v>
      </c>
      <c r="E77" s="14">
        <v>0</v>
      </c>
      <c r="F77" s="14">
        <v>0</v>
      </c>
      <c r="G77" s="14">
        <v>203.8949376312157</v>
      </c>
      <c r="H77" s="14">
        <v>757.03231328497168</v>
      </c>
      <c r="I77" s="14">
        <v>944.16412092992846</v>
      </c>
      <c r="J77" s="14">
        <v>1358.5212200577482</v>
      </c>
      <c r="K77" s="14">
        <v>1444.3291675628279</v>
      </c>
      <c r="L77" s="14">
        <v>1514.035419799241</v>
      </c>
      <c r="M77" s="14">
        <v>1614.249239569534</v>
      </c>
      <c r="N77" s="14">
        <v>1714.4787493660108</v>
      </c>
      <c r="O77" s="14">
        <v>1813.7709624090751</v>
      </c>
    </row>
    <row r="78" spans="1:15" x14ac:dyDescent="0.3">
      <c r="A78" s="3" t="str">
        <f>INDEX('R1. Scenario specifications'!$C$11:$C$49,MATCH($B78,'R1. Scenario specifications'!$A$11:$A$49,0))</f>
        <v>Current 2DS, 2020 start, 'Expect the Unexpected'</v>
      </c>
      <c r="B78" s="3" t="s">
        <v>15</v>
      </c>
      <c r="C78" s="3" t="s">
        <v>304</v>
      </c>
      <c r="D78" s="3" t="s">
        <v>339</v>
      </c>
      <c r="E78" s="14">
        <v>0</v>
      </c>
      <c r="F78" s="14">
        <v>820.1343749999993</v>
      </c>
      <c r="G78" s="14">
        <v>1443.6724304473942</v>
      </c>
      <c r="H78" s="14">
        <v>1871.5056046834272</v>
      </c>
      <c r="I78" s="14">
        <v>2977.5085267383274</v>
      </c>
      <c r="J78" s="14">
        <v>5657.2628908581228</v>
      </c>
      <c r="K78" s="14">
        <v>6743.9301628861758</v>
      </c>
      <c r="L78" s="14">
        <v>12288.991039740244</v>
      </c>
      <c r="M78" s="14">
        <v>12023.84274600945</v>
      </c>
      <c r="N78" s="14">
        <v>10395.065596648592</v>
      </c>
      <c r="O78" s="14">
        <v>14237.659352101065</v>
      </c>
    </row>
    <row r="79" spans="1:15" x14ac:dyDescent="0.3">
      <c r="A79" s="3" t="str">
        <f>INDEX('R1. Scenario specifications'!$C$11:$C$49,MATCH($B79,'R1. Scenario specifications'!$A$11:$A$49,0))</f>
        <v>Current 2DS, 2020 start, 'Expect the Unexpected'</v>
      </c>
      <c r="B79" s="3" t="s">
        <v>15</v>
      </c>
      <c r="C79" s="3" t="s">
        <v>51</v>
      </c>
      <c r="D79" s="3" t="s">
        <v>340</v>
      </c>
      <c r="E79" s="14">
        <v>26912.591385085678</v>
      </c>
      <c r="F79" s="14">
        <v>24726.384098969917</v>
      </c>
      <c r="G79" s="14">
        <v>20023.092920446408</v>
      </c>
      <c r="H79" s="14">
        <v>25751.973362970708</v>
      </c>
      <c r="I79" s="14">
        <v>42886.792531924242</v>
      </c>
      <c r="J79" s="14">
        <v>24565.49330485244</v>
      </c>
      <c r="K79" s="14">
        <v>26539.866893664064</v>
      </c>
      <c r="L79" s="14">
        <v>29080.401012174982</v>
      </c>
      <c r="M79" s="14">
        <v>29811.395672422026</v>
      </c>
      <c r="N79" s="14">
        <v>27481.8478715458</v>
      </c>
      <c r="O79" s="14">
        <v>19293.368705681925</v>
      </c>
    </row>
    <row r="80" spans="1:15" x14ac:dyDescent="0.3">
      <c r="A80" s="3" t="str">
        <f>INDEX('R1. Scenario specifications'!$C$11:$C$49,MATCH($B80,'R1. Scenario specifications'!$A$11:$A$49,0))</f>
        <v>Current 2DS, 2020 start, 'Expect the Unexpected'</v>
      </c>
      <c r="B80" s="3" t="s">
        <v>15</v>
      </c>
      <c r="C80" s="3" t="s">
        <v>305</v>
      </c>
      <c r="D80" s="3" t="s">
        <v>341</v>
      </c>
      <c r="E80" s="14">
        <v>0.55126200000000003</v>
      </c>
      <c r="F80" s="14">
        <v>0.27214200000000005</v>
      </c>
      <c r="G80" s="14">
        <v>39.715545758633766</v>
      </c>
      <c r="H80" s="14">
        <v>1087.8397472504214</v>
      </c>
      <c r="I80" s="14">
        <v>4193.1500569993486</v>
      </c>
      <c r="J80" s="14">
        <v>9771.5529623626971</v>
      </c>
      <c r="K80" s="14">
        <v>14519.268386292151</v>
      </c>
      <c r="L80" s="14">
        <v>16613.983190062154</v>
      </c>
      <c r="M80" s="14">
        <v>19120.453927830033</v>
      </c>
      <c r="N80" s="14">
        <v>21504.436312408958</v>
      </c>
      <c r="O80" s="14">
        <v>23500.696611899697</v>
      </c>
    </row>
    <row r="81" spans="1:15" x14ac:dyDescent="0.3">
      <c r="A81" s="3" t="str">
        <f>INDEX('R1. Scenario specifications'!$C$11:$C$49,MATCH($B81,'R1. Scenario specifications'!$A$11:$A$49,0))</f>
        <v>Current 2DS, 2020 start, 'Expect the Unexpected'</v>
      </c>
      <c r="B81" s="3" t="s">
        <v>15</v>
      </c>
      <c r="C81" s="3" t="s">
        <v>306</v>
      </c>
      <c r="D81" s="3" t="s">
        <v>342</v>
      </c>
      <c r="E81" s="14">
        <v>138.88007226094669</v>
      </c>
      <c r="F81" s="14">
        <v>231.92798987852072</v>
      </c>
      <c r="G81" s="14">
        <v>2394.994594260861</v>
      </c>
      <c r="H81" s="14">
        <v>2320.7952898253839</v>
      </c>
      <c r="I81" s="14">
        <v>2166.7644245337183</v>
      </c>
      <c r="J81" s="14">
        <v>2187.451732219783</v>
      </c>
      <c r="K81" s="14">
        <v>1514.4376675572316</v>
      </c>
      <c r="L81" s="14">
        <v>651.58297805447012</v>
      </c>
      <c r="M81" s="14">
        <v>207.42787409210158</v>
      </c>
      <c r="N81" s="14">
        <v>251.21140644461164</v>
      </c>
      <c r="O81" s="14">
        <v>715.3856713860738</v>
      </c>
    </row>
    <row r="82" spans="1:15" x14ac:dyDescent="0.3">
      <c r="A82" s="3" t="str">
        <f>INDEX('R1. Scenario specifications'!$C$11:$C$49,MATCH($B82,'R1. Scenario specifications'!$A$11:$A$49,0))</f>
        <v>Current 2DS, 2020 start, 'Expect the Unexpected'</v>
      </c>
      <c r="B82" s="3" t="s">
        <v>15</v>
      </c>
      <c r="C82" s="3" t="s">
        <v>52</v>
      </c>
      <c r="D82" s="3" t="s">
        <v>343</v>
      </c>
      <c r="E82" s="14">
        <v>47506.40120156738</v>
      </c>
      <c r="F82" s="14">
        <v>51400.759098340677</v>
      </c>
      <c r="G82" s="14">
        <v>62205.547314401418</v>
      </c>
      <c r="H82" s="14">
        <v>43636.900621176181</v>
      </c>
      <c r="I82" s="14">
        <v>13371.095582004571</v>
      </c>
      <c r="J82" s="14">
        <v>12343.211176127728</v>
      </c>
      <c r="K82" s="14">
        <v>6689.0382096777375</v>
      </c>
      <c r="L82" s="14">
        <v>3384.1159966592618</v>
      </c>
      <c r="M82" s="14">
        <v>1711.0060501378598</v>
      </c>
      <c r="N82" s="14">
        <v>1072.4666240668535</v>
      </c>
      <c r="O82" s="14">
        <v>913.11681505085949</v>
      </c>
    </row>
    <row r="83" spans="1:15" x14ac:dyDescent="0.3">
      <c r="A83" s="3" t="str">
        <f>INDEX('R1. Scenario specifications'!$C$11:$C$49,MATCH($B83,'R1. Scenario specifications'!$A$11:$A$49,0))</f>
        <v>Current 2DS, 2020 start, 'Expect the Unexpected'</v>
      </c>
      <c r="B83" s="3" t="s">
        <v>15</v>
      </c>
      <c r="C83" s="3" t="s">
        <v>53</v>
      </c>
      <c r="D83" s="3" t="s">
        <v>344</v>
      </c>
      <c r="E83" s="14">
        <v>703.55932605471685</v>
      </c>
      <c r="F83" s="14">
        <v>336.28891863781013</v>
      </c>
      <c r="G83" s="14">
        <v>879.49041101293551</v>
      </c>
      <c r="H83" s="14">
        <v>1222.1932445416369</v>
      </c>
      <c r="I83" s="14">
        <v>1155.8712086890555</v>
      </c>
      <c r="J83" s="14">
        <v>799.36237736514738</v>
      </c>
      <c r="K83" s="14">
        <v>1161.355343224016</v>
      </c>
      <c r="L83" s="14">
        <v>1292.4350674792481</v>
      </c>
      <c r="M83" s="14">
        <v>1263.6117466482247</v>
      </c>
      <c r="N83" s="14">
        <v>4103.1876199205699</v>
      </c>
      <c r="O83" s="14">
        <v>4647.3537482938509</v>
      </c>
    </row>
    <row r="84" spans="1:15" x14ac:dyDescent="0.3">
      <c r="A84" s="3" t="str">
        <f>INDEX('R1. Scenario specifications'!$C$11:$C$49,MATCH($B84,'R1. Scenario specifications'!$A$11:$A$49,0))</f>
        <v>Current 2DS, 2020 start, 'Expect the Unexpected'</v>
      </c>
      <c r="B84" s="3" t="s">
        <v>15</v>
      </c>
      <c r="C84" s="3" t="s">
        <v>307</v>
      </c>
      <c r="D84" s="3" t="s">
        <v>345</v>
      </c>
      <c r="E84" s="14">
        <v>0</v>
      </c>
      <c r="F84" s="14">
        <v>0</v>
      </c>
      <c r="G84" s="14">
        <v>0</v>
      </c>
      <c r="H84" s="14">
        <v>81.9106525387609</v>
      </c>
      <c r="I84" s="14">
        <v>43.877969784738298</v>
      </c>
      <c r="J84" s="14">
        <v>1368.5973431427462</v>
      </c>
      <c r="K84" s="14">
        <v>421.56248776264385</v>
      </c>
      <c r="L84" s="14">
        <v>138.09372952203566</v>
      </c>
      <c r="M84" s="14">
        <v>186.42105120915727</v>
      </c>
      <c r="N84" s="14">
        <v>208.04604903232996</v>
      </c>
      <c r="O84" s="14">
        <v>360.41132124032004</v>
      </c>
    </row>
    <row r="85" spans="1:15" x14ac:dyDescent="0.3">
      <c r="A85" s="3" t="str">
        <f>INDEX('R1. Scenario specifications'!$C$11:$C$49,MATCH($B85,'R1. Scenario specifications'!$A$11:$A$49,0))</f>
        <v>Current 2DS, 2020 start, 'Expect the Unexpected'</v>
      </c>
      <c r="B85" s="3" t="s">
        <v>15</v>
      </c>
      <c r="C85" s="3" t="s">
        <v>54</v>
      </c>
      <c r="D85" s="3" t="s">
        <v>255</v>
      </c>
      <c r="E85" s="14">
        <v>396.62220438997127</v>
      </c>
      <c r="F85" s="14">
        <v>176.86416189251261</v>
      </c>
      <c r="G85" s="14">
        <v>1833.16729548234</v>
      </c>
      <c r="H85" s="14">
        <v>4653.5820837462752</v>
      </c>
      <c r="I85" s="14">
        <v>9359.1911126288451</v>
      </c>
      <c r="J85" s="14">
        <v>17258.491615155926</v>
      </c>
      <c r="K85" s="14">
        <v>11588.375909181328</v>
      </c>
      <c r="L85" s="14">
        <v>3577.7519147427552</v>
      </c>
      <c r="M85" s="14">
        <v>1314.7826809857017</v>
      </c>
      <c r="N85" s="14">
        <v>934.18450422491901</v>
      </c>
      <c r="O85" s="14">
        <v>5746.779667888105</v>
      </c>
    </row>
    <row r="86" spans="1:15" x14ac:dyDescent="0.3">
      <c r="A86" s="3" t="str">
        <f>INDEX('R1. Scenario specifications'!$C$11:$C$49,MATCH($B86,'R1. Scenario specifications'!$A$11:$A$49,0))</f>
        <v>Current 2DS, 2020 start, 'Expect the Unexpected'</v>
      </c>
      <c r="B86" s="3" t="s">
        <v>15</v>
      </c>
      <c r="C86" s="3" t="s">
        <v>308</v>
      </c>
      <c r="D86" s="3" t="s">
        <v>326</v>
      </c>
      <c r="E86" s="14">
        <v>0</v>
      </c>
      <c r="F86" s="14">
        <v>0</v>
      </c>
      <c r="G86" s="14">
        <v>203.8949376312157</v>
      </c>
      <c r="H86" s="14">
        <v>754.78539866170013</v>
      </c>
      <c r="I86" s="14">
        <v>947.89438224338028</v>
      </c>
      <c r="J86" s="14">
        <v>1358.4819901001761</v>
      </c>
      <c r="K86" s="14">
        <v>1440.808262801856</v>
      </c>
      <c r="L86" s="14">
        <v>1502.0051444471421</v>
      </c>
      <c r="M86" s="14">
        <v>1600.0632810365532</v>
      </c>
      <c r="N86" s="14">
        <v>1744.4188655850755</v>
      </c>
      <c r="O86" s="14">
        <v>1854.8060825252512</v>
      </c>
    </row>
    <row r="87" spans="1:15" x14ac:dyDescent="0.3">
      <c r="A87" s="3" t="str">
        <f>INDEX('R1. Scenario specifications'!$C$11:$C$49,MATCH($B87,'R1. Scenario specifications'!$A$11:$A$49,0))</f>
        <v>Current 2DS, 2030 start, 'Expect the Unexpected' but with cheap energy efficiency</v>
      </c>
      <c r="B87" s="3" t="s">
        <v>16</v>
      </c>
      <c r="C87" s="3" t="s">
        <v>304</v>
      </c>
      <c r="D87" s="3" t="s">
        <v>339</v>
      </c>
      <c r="E87" s="14">
        <v>0</v>
      </c>
      <c r="F87" s="14">
        <v>820.1343749999993</v>
      </c>
      <c r="G87" s="14">
        <v>1443.6724304473942</v>
      </c>
      <c r="H87" s="14">
        <v>1052.0173273984929</v>
      </c>
      <c r="I87" s="14">
        <v>2142.9073003588965</v>
      </c>
      <c r="J87" s="14">
        <v>4719.3681892391432</v>
      </c>
      <c r="K87" s="14">
        <v>7495.2566904971955</v>
      </c>
      <c r="L87" s="14">
        <v>13482.006564205294</v>
      </c>
      <c r="M87" s="14">
        <v>14335.898663216969</v>
      </c>
      <c r="N87" s="14">
        <v>12087.187047775289</v>
      </c>
      <c r="O87" s="14">
        <v>14310.115550541614</v>
      </c>
    </row>
    <row r="88" spans="1:15" x14ac:dyDescent="0.3">
      <c r="A88" s="3" t="str">
        <f>INDEX('R1. Scenario specifications'!$C$11:$C$49,MATCH($B88,'R1. Scenario specifications'!$A$11:$A$49,0))</f>
        <v>Current 2DS, 2030 start, 'Expect the Unexpected' but with cheap energy efficiency</v>
      </c>
      <c r="B88" s="3" t="s">
        <v>16</v>
      </c>
      <c r="C88" s="3" t="s">
        <v>51</v>
      </c>
      <c r="D88" s="3" t="s">
        <v>340</v>
      </c>
      <c r="E88" s="14">
        <v>26912.591385085678</v>
      </c>
      <c r="F88" s="14">
        <v>24726.384098969917</v>
      </c>
      <c r="G88" s="14">
        <v>20023.092920446408</v>
      </c>
      <c r="H88" s="14">
        <v>26227.564065710481</v>
      </c>
      <c r="I88" s="14">
        <v>37302.681982234848</v>
      </c>
      <c r="J88" s="14">
        <v>22591.587180152113</v>
      </c>
      <c r="K88" s="14">
        <v>23913.831258921884</v>
      </c>
      <c r="L88" s="14">
        <v>26877.837309835722</v>
      </c>
      <c r="M88" s="14">
        <v>27053.183630939391</v>
      </c>
      <c r="N88" s="14">
        <v>26726.774421834427</v>
      </c>
      <c r="O88" s="14">
        <v>20030.331050552028</v>
      </c>
    </row>
    <row r="89" spans="1:15" x14ac:dyDescent="0.3">
      <c r="A89" s="3" t="str">
        <f>INDEX('R1. Scenario specifications'!$C$11:$C$49,MATCH($B89,'R1. Scenario specifications'!$A$11:$A$49,0))</f>
        <v>Current 2DS, 2030 start, 'Expect the Unexpected' but with cheap energy efficiency</v>
      </c>
      <c r="B89" s="3" t="s">
        <v>16</v>
      </c>
      <c r="C89" s="3" t="s">
        <v>305</v>
      </c>
      <c r="D89" s="3" t="s">
        <v>341</v>
      </c>
      <c r="E89" s="14">
        <v>0.55126200000000003</v>
      </c>
      <c r="F89" s="14">
        <v>0.27214200000000005</v>
      </c>
      <c r="G89" s="14">
        <v>39.715545758633766</v>
      </c>
      <c r="H89" s="14">
        <v>1069.5883483275736</v>
      </c>
      <c r="I89" s="14">
        <v>3505.1511172462219</v>
      </c>
      <c r="J89" s="14">
        <v>8061.9339468085291</v>
      </c>
      <c r="K89" s="14">
        <v>11550.015709522595</v>
      </c>
      <c r="L89" s="14">
        <v>13238.094822986666</v>
      </c>
      <c r="M89" s="14">
        <v>14821.164761477185</v>
      </c>
      <c r="N89" s="14">
        <v>16705.845783080673</v>
      </c>
      <c r="O89" s="14">
        <v>18455.472288866767</v>
      </c>
    </row>
    <row r="90" spans="1:15" x14ac:dyDescent="0.3">
      <c r="A90" s="3" t="str">
        <f>INDEX('R1. Scenario specifications'!$C$11:$C$49,MATCH($B90,'R1. Scenario specifications'!$A$11:$A$49,0))</f>
        <v>Current 2DS, 2030 start, 'Expect the Unexpected' but with cheap energy efficiency</v>
      </c>
      <c r="B90" s="3" t="s">
        <v>16</v>
      </c>
      <c r="C90" s="3" t="s">
        <v>306</v>
      </c>
      <c r="D90" s="3" t="s">
        <v>342</v>
      </c>
      <c r="E90" s="14">
        <v>138.88007226094669</v>
      </c>
      <c r="F90" s="14">
        <v>231.92798987852072</v>
      </c>
      <c r="G90" s="14">
        <v>2394.994594260861</v>
      </c>
      <c r="H90" s="14">
        <v>2330.3092353624561</v>
      </c>
      <c r="I90" s="14">
        <v>2186.8296424237451</v>
      </c>
      <c r="J90" s="14">
        <v>2196.9119914311791</v>
      </c>
      <c r="K90" s="14">
        <v>1518.7393611910334</v>
      </c>
      <c r="L90" s="14">
        <v>653.80209412681086</v>
      </c>
      <c r="M90" s="14">
        <v>221.90305931805162</v>
      </c>
      <c r="N90" s="14">
        <v>249.92156442874773</v>
      </c>
      <c r="O90" s="14">
        <v>791.02655310324508</v>
      </c>
    </row>
    <row r="91" spans="1:15" x14ac:dyDescent="0.3">
      <c r="A91" s="3" t="str">
        <f>INDEX('R1. Scenario specifications'!$C$11:$C$49,MATCH($B91,'R1. Scenario specifications'!$A$11:$A$49,0))</f>
        <v>Current 2DS, 2030 start, 'Expect the Unexpected' but with cheap energy efficiency</v>
      </c>
      <c r="B91" s="3" t="s">
        <v>16</v>
      </c>
      <c r="C91" s="3" t="s">
        <v>52</v>
      </c>
      <c r="D91" s="3" t="s">
        <v>343</v>
      </c>
      <c r="E91" s="14">
        <v>47506.40120156738</v>
      </c>
      <c r="F91" s="14">
        <v>51400.759098340677</v>
      </c>
      <c r="G91" s="14">
        <v>62205.547314401418</v>
      </c>
      <c r="H91" s="14">
        <v>44368.574800589129</v>
      </c>
      <c r="I91" s="14">
        <v>14962.20963815401</v>
      </c>
      <c r="J91" s="14">
        <v>11342.312295101252</v>
      </c>
      <c r="K91" s="14">
        <v>8027.2574304520404</v>
      </c>
      <c r="L91" s="14">
        <v>4717.0468021035358</v>
      </c>
      <c r="M91" s="14">
        <v>2764.2427688078274</v>
      </c>
      <c r="N91" s="14">
        <v>1514.7038983551427</v>
      </c>
      <c r="O91" s="14">
        <v>905.79855393488606</v>
      </c>
    </row>
    <row r="92" spans="1:15" x14ac:dyDescent="0.3">
      <c r="A92" s="3" t="str">
        <f>INDEX('R1. Scenario specifications'!$C$11:$C$49,MATCH($B92,'R1. Scenario specifications'!$A$11:$A$49,0))</f>
        <v>Current 2DS, 2030 start, 'Expect the Unexpected' but with cheap energy efficiency</v>
      </c>
      <c r="B92" s="3" t="s">
        <v>16</v>
      </c>
      <c r="C92" s="3" t="s">
        <v>53</v>
      </c>
      <c r="D92" s="3" t="s">
        <v>344</v>
      </c>
      <c r="E92" s="14">
        <v>703.55932605471685</v>
      </c>
      <c r="F92" s="14">
        <v>336.28891863781013</v>
      </c>
      <c r="G92" s="14">
        <v>879.49041101293551</v>
      </c>
      <c r="H92" s="14">
        <v>1203.2907539892126</v>
      </c>
      <c r="I92" s="14">
        <v>1160.789642894503</v>
      </c>
      <c r="J92" s="14">
        <v>856.2950683235041</v>
      </c>
      <c r="K92" s="14">
        <v>1128.043312796895</v>
      </c>
      <c r="L92" s="14">
        <v>1258.5295854913641</v>
      </c>
      <c r="M92" s="14">
        <v>1521.9194923874318</v>
      </c>
      <c r="N92" s="14">
        <v>4122.551659466837</v>
      </c>
      <c r="O92" s="14">
        <v>4712.7516731115202</v>
      </c>
    </row>
    <row r="93" spans="1:15" x14ac:dyDescent="0.3">
      <c r="A93" s="3" t="str">
        <f>INDEX('R1. Scenario specifications'!$C$11:$C$49,MATCH($B93,'R1. Scenario specifications'!$A$11:$A$49,0))</f>
        <v>Current 2DS, 2030 start, 'Expect the Unexpected' but with cheap energy efficiency</v>
      </c>
      <c r="B93" s="3" t="s">
        <v>16</v>
      </c>
      <c r="C93" s="3" t="s">
        <v>307</v>
      </c>
      <c r="D93" s="3" t="s">
        <v>345</v>
      </c>
      <c r="E93" s="14">
        <v>0</v>
      </c>
      <c r="F93" s="14">
        <v>0</v>
      </c>
      <c r="G93" s="14">
        <v>0</v>
      </c>
      <c r="H93" s="14">
        <v>335.71272520527293</v>
      </c>
      <c r="I93" s="14">
        <v>99.84763157046666</v>
      </c>
      <c r="J93" s="14">
        <v>991.94383262478868</v>
      </c>
      <c r="K93" s="14">
        <v>301.18699316790099</v>
      </c>
      <c r="L93" s="14">
        <v>51.47443796462106</v>
      </c>
      <c r="M93" s="14">
        <v>140.56658686700598</v>
      </c>
      <c r="N93" s="14">
        <v>221.91343178040279</v>
      </c>
      <c r="O93" s="14">
        <v>263.79173138032007</v>
      </c>
    </row>
    <row r="94" spans="1:15" x14ac:dyDescent="0.3">
      <c r="A94" s="3" t="str">
        <f>INDEX('R1. Scenario specifications'!$C$11:$C$49,MATCH($B94,'R1. Scenario specifications'!$A$11:$A$49,0))</f>
        <v>Current 2DS, 2030 start, 'Expect the Unexpected' but with cheap energy efficiency</v>
      </c>
      <c r="B94" s="3" t="s">
        <v>16</v>
      </c>
      <c r="C94" s="3" t="s">
        <v>54</v>
      </c>
      <c r="D94" s="3" t="s">
        <v>255</v>
      </c>
      <c r="E94" s="14">
        <v>396.62220438997127</v>
      </c>
      <c r="F94" s="14">
        <v>176.86416189251261</v>
      </c>
      <c r="G94" s="14">
        <v>1833.16729548234</v>
      </c>
      <c r="H94" s="14">
        <v>5667.8396467895318</v>
      </c>
      <c r="I94" s="14">
        <v>9104.2957397735354</v>
      </c>
      <c r="J94" s="14">
        <v>16301.3811841797</v>
      </c>
      <c r="K94" s="14">
        <v>10585.543207004723</v>
      </c>
      <c r="L94" s="14">
        <v>2893.7127024743413</v>
      </c>
      <c r="M94" s="14">
        <v>1295.9695070510261</v>
      </c>
      <c r="N94" s="14">
        <v>1097.6016226220863</v>
      </c>
      <c r="O94" s="14">
        <v>5753.3174041137381</v>
      </c>
    </row>
    <row r="95" spans="1:15" x14ac:dyDescent="0.3">
      <c r="A95" s="3" t="str">
        <f>INDEX('R1. Scenario specifications'!$C$11:$C$49,MATCH($B95,'R1. Scenario specifications'!$A$11:$A$49,0))</f>
        <v>Current 2DS, 2030 start, 'Expect the Unexpected' but with cheap energy efficiency</v>
      </c>
      <c r="B95" s="3" t="s">
        <v>16</v>
      </c>
      <c r="C95" s="3" t="s">
        <v>308</v>
      </c>
      <c r="D95" s="3" t="s">
        <v>326</v>
      </c>
      <c r="E95" s="14">
        <v>0</v>
      </c>
      <c r="F95" s="14">
        <v>0</v>
      </c>
      <c r="G95" s="14">
        <v>203.8949376312157</v>
      </c>
      <c r="H95" s="14">
        <v>757.03231328497168</v>
      </c>
      <c r="I95" s="14">
        <v>807.13046645598263</v>
      </c>
      <c r="J95" s="14">
        <v>1124.3138191915659</v>
      </c>
      <c r="K95" s="14">
        <v>1185.4371925417613</v>
      </c>
      <c r="L95" s="14">
        <v>1229.7552009851361</v>
      </c>
      <c r="M95" s="14">
        <v>1309.586089405451</v>
      </c>
      <c r="N95" s="14">
        <v>1384.5515414130355</v>
      </c>
      <c r="O95" s="14">
        <v>1529.332450604672</v>
      </c>
    </row>
    <row r="96" spans="1:15" x14ac:dyDescent="0.3">
      <c r="A96" s="3" t="str">
        <f>INDEX('R1. Scenario specifications'!$C$11:$C$49,MATCH($B96,'R1. Scenario specifications'!$A$11:$A$49,0))</f>
        <v>Current 2DS, 2020 start, 'Expect the Unexpected' but with most conservative biomass CCS / NET technology cost assumptions</v>
      </c>
      <c r="B96" s="3" t="s">
        <v>17</v>
      </c>
      <c r="C96" s="3" t="s">
        <v>304</v>
      </c>
      <c r="D96" s="3" t="s">
        <v>339</v>
      </c>
      <c r="E96" s="14">
        <v>0</v>
      </c>
      <c r="F96" s="14">
        <v>820.1343749999993</v>
      </c>
      <c r="G96" s="14">
        <v>1443.6724304473942</v>
      </c>
      <c r="H96" s="14">
        <v>1871.5056046834295</v>
      </c>
      <c r="I96" s="14">
        <v>2596.5216569809409</v>
      </c>
      <c r="J96" s="14">
        <v>5210.661318414569</v>
      </c>
      <c r="K96" s="14">
        <v>6643.4840007581661</v>
      </c>
      <c r="L96" s="14">
        <v>12515.262555913607</v>
      </c>
      <c r="M96" s="14">
        <v>12308.403984866316</v>
      </c>
      <c r="N96" s="14">
        <v>10457.349373040246</v>
      </c>
      <c r="O96" s="14">
        <v>14061.855023097147</v>
      </c>
    </row>
    <row r="97" spans="1:15" x14ac:dyDescent="0.3">
      <c r="A97" s="3" t="str">
        <f>INDEX('R1. Scenario specifications'!$C$11:$C$49,MATCH($B97,'R1. Scenario specifications'!$A$11:$A$49,0))</f>
        <v>Current 2DS, 2020 start, 'Expect the Unexpected' but with most conservative biomass CCS / NET technology cost assumptions</v>
      </c>
      <c r="B97" s="3" t="s">
        <v>17</v>
      </c>
      <c r="C97" s="3" t="s">
        <v>51</v>
      </c>
      <c r="D97" s="3" t="s">
        <v>340</v>
      </c>
      <c r="E97" s="14">
        <v>26912.591385085678</v>
      </c>
      <c r="F97" s="14">
        <v>24726.384098969917</v>
      </c>
      <c r="G97" s="14">
        <v>20023.092920446408</v>
      </c>
      <c r="H97" s="14">
        <v>25751.973362970653</v>
      </c>
      <c r="I97" s="14">
        <v>42881.025004181865</v>
      </c>
      <c r="J97" s="14">
        <v>24644.419029907513</v>
      </c>
      <c r="K97" s="14">
        <v>26589.906713381693</v>
      </c>
      <c r="L97" s="14">
        <v>29005.205823607481</v>
      </c>
      <c r="M97" s="14">
        <v>29689.478724371245</v>
      </c>
      <c r="N97" s="14">
        <v>27444.734798362955</v>
      </c>
      <c r="O97" s="14">
        <v>19465.585639076631</v>
      </c>
    </row>
    <row r="98" spans="1:15" x14ac:dyDescent="0.3">
      <c r="A98" s="3" t="str">
        <f>INDEX('R1. Scenario specifications'!$C$11:$C$49,MATCH($B98,'R1. Scenario specifications'!$A$11:$A$49,0))</f>
        <v>Current 2DS, 2020 start, 'Expect the Unexpected' but with most conservative biomass CCS / NET technology cost assumptions</v>
      </c>
      <c r="B98" s="3" t="s">
        <v>17</v>
      </c>
      <c r="C98" s="3" t="s">
        <v>305</v>
      </c>
      <c r="D98" s="3" t="s">
        <v>341</v>
      </c>
      <c r="E98" s="14">
        <v>0.55126200000000003</v>
      </c>
      <c r="F98" s="14">
        <v>0.27214200000000005</v>
      </c>
      <c r="G98" s="14">
        <v>39.715545758633766</v>
      </c>
      <c r="H98" s="14">
        <v>1087.8397472504214</v>
      </c>
      <c r="I98" s="14">
        <v>4193.1500569993486</v>
      </c>
      <c r="J98" s="14">
        <v>9771.0150933455861</v>
      </c>
      <c r="K98" s="14">
        <v>14505.984299997392</v>
      </c>
      <c r="L98" s="14">
        <v>16559.270580326818</v>
      </c>
      <c r="M98" s="14">
        <v>19104.623590399973</v>
      </c>
      <c r="N98" s="14">
        <v>21499.580584520816</v>
      </c>
      <c r="O98" s="14">
        <v>23498.42840017872</v>
      </c>
    </row>
    <row r="99" spans="1:15" x14ac:dyDescent="0.3">
      <c r="A99" s="3" t="str">
        <f>INDEX('R1. Scenario specifications'!$C$11:$C$49,MATCH($B99,'R1. Scenario specifications'!$A$11:$A$49,0))</f>
        <v>Current 2DS, 2020 start, 'Expect the Unexpected' but with most conservative biomass CCS / NET technology cost assumptions</v>
      </c>
      <c r="B99" s="3" t="s">
        <v>17</v>
      </c>
      <c r="C99" s="3" t="s">
        <v>306</v>
      </c>
      <c r="D99" s="3" t="s">
        <v>342</v>
      </c>
      <c r="E99" s="14">
        <v>138.88007226094669</v>
      </c>
      <c r="F99" s="14">
        <v>231.92798987852072</v>
      </c>
      <c r="G99" s="14">
        <v>2394.994594260861</v>
      </c>
      <c r="H99" s="14">
        <v>2320.7952898253839</v>
      </c>
      <c r="I99" s="14">
        <v>2484.0937296040265</v>
      </c>
      <c r="J99" s="14">
        <v>2504.781037290089</v>
      </c>
      <c r="K99" s="14">
        <v>1589.1981820606297</v>
      </c>
      <c r="L99" s="14">
        <v>651.58297805447012</v>
      </c>
      <c r="M99" s="14">
        <v>207.42787409210158</v>
      </c>
      <c r="N99" s="14">
        <v>251.21140644461144</v>
      </c>
      <c r="O99" s="14">
        <v>725.71331349254694</v>
      </c>
    </row>
    <row r="100" spans="1:15" x14ac:dyDescent="0.3">
      <c r="A100" s="3" t="str">
        <f>INDEX('R1. Scenario specifications'!$C$11:$C$49,MATCH($B100,'R1. Scenario specifications'!$A$11:$A$49,0))</f>
        <v>Current 2DS, 2020 start, 'Expect the Unexpected' but with most conservative biomass CCS / NET technology cost assumptions</v>
      </c>
      <c r="B100" s="3" t="s">
        <v>17</v>
      </c>
      <c r="C100" s="3" t="s">
        <v>52</v>
      </c>
      <c r="D100" s="3" t="s">
        <v>343</v>
      </c>
      <c r="E100" s="14">
        <v>47506.40120156738</v>
      </c>
      <c r="F100" s="14">
        <v>51400.759098340677</v>
      </c>
      <c r="G100" s="14">
        <v>62205.547314401418</v>
      </c>
      <c r="H100" s="14">
        <v>43636.900621176181</v>
      </c>
      <c r="I100" s="14">
        <v>13371.095582004571</v>
      </c>
      <c r="J100" s="14">
        <v>12259.372365097051</v>
      </c>
      <c r="K100" s="14">
        <v>6637.9406656590636</v>
      </c>
      <c r="L100" s="14">
        <v>3520.5603353914266</v>
      </c>
      <c r="M100" s="14">
        <v>1752.7432385773436</v>
      </c>
      <c r="N100" s="14">
        <v>1070.724221675285</v>
      </c>
      <c r="O100" s="14">
        <v>912.7722136134754</v>
      </c>
    </row>
    <row r="101" spans="1:15" x14ac:dyDescent="0.3">
      <c r="A101" s="3" t="str">
        <f>INDEX('R1. Scenario specifications'!$C$11:$C$49,MATCH($B101,'R1. Scenario specifications'!$A$11:$A$49,0))</f>
        <v>Current 2DS, 2020 start, 'Expect the Unexpected' but with most conservative biomass CCS / NET technology cost assumptions</v>
      </c>
      <c r="B101" s="3" t="s">
        <v>17</v>
      </c>
      <c r="C101" s="3" t="s">
        <v>53</v>
      </c>
      <c r="D101" s="3" t="s">
        <v>344</v>
      </c>
      <c r="E101" s="14">
        <v>703.55932605471685</v>
      </c>
      <c r="F101" s="14">
        <v>336.28891863781013</v>
      </c>
      <c r="G101" s="14">
        <v>879.49041101293551</v>
      </c>
      <c r="H101" s="14">
        <v>1222.1932445416546</v>
      </c>
      <c r="I101" s="14">
        <v>1155.8715710342319</v>
      </c>
      <c r="J101" s="14">
        <v>799.36305007268948</v>
      </c>
      <c r="K101" s="14">
        <v>1161.2197810476639</v>
      </c>
      <c r="L101" s="14">
        <v>1292.9950463525781</v>
      </c>
      <c r="M101" s="14">
        <v>1264.2262017548669</v>
      </c>
      <c r="N101" s="14">
        <v>4101.4535338674832</v>
      </c>
      <c r="O101" s="14">
        <v>4648.0037548759419</v>
      </c>
    </row>
    <row r="102" spans="1:15" x14ac:dyDescent="0.3">
      <c r="A102" s="3" t="str">
        <f>INDEX('R1. Scenario specifications'!$C$11:$C$49,MATCH($B102,'R1. Scenario specifications'!$A$11:$A$49,0))</f>
        <v>Current 2DS, 2020 start, 'Expect the Unexpected' but with most conservative biomass CCS / NET technology cost assumptions</v>
      </c>
      <c r="B102" s="3" t="s">
        <v>17</v>
      </c>
      <c r="C102" s="3" t="s">
        <v>307</v>
      </c>
      <c r="D102" s="3" t="s">
        <v>345</v>
      </c>
      <c r="E102" s="14">
        <v>0</v>
      </c>
      <c r="F102" s="14">
        <v>0</v>
      </c>
      <c r="G102" s="14">
        <v>0</v>
      </c>
      <c r="H102" s="14">
        <v>81.9106525387609</v>
      </c>
      <c r="I102" s="14">
        <v>43.877969784738298</v>
      </c>
      <c r="J102" s="14">
        <v>1368.5973431427462</v>
      </c>
      <c r="K102" s="14">
        <v>422.27446214879376</v>
      </c>
      <c r="L102" s="14">
        <v>138.09372952203566</v>
      </c>
      <c r="M102" s="14">
        <v>186.42105120915721</v>
      </c>
      <c r="N102" s="14">
        <v>208.04604903233007</v>
      </c>
      <c r="O102" s="14">
        <v>360.41132124032009</v>
      </c>
    </row>
    <row r="103" spans="1:15" x14ac:dyDescent="0.3">
      <c r="A103" s="3" t="str">
        <f>INDEX('R1. Scenario specifications'!$C$11:$C$49,MATCH($B103,'R1. Scenario specifications'!$A$11:$A$49,0))</f>
        <v>Current 2DS, 2020 start, 'Expect the Unexpected' but with most conservative biomass CCS / NET technology cost assumptions</v>
      </c>
      <c r="B103" s="3" t="s">
        <v>17</v>
      </c>
      <c r="C103" s="3" t="s">
        <v>54</v>
      </c>
      <c r="D103" s="3" t="s">
        <v>255</v>
      </c>
      <c r="E103" s="14">
        <v>396.62220438997127</v>
      </c>
      <c r="F103" s="14">
        <v>176.86416189251261</v>
      </c>
      <c r="G103" s="14">
        <v>1833.16729548234</v>
      </c>
      <c r="H103" s="14">
        <v>4653.582083746337</v>
      </c>
      <c r="I103" s="14">
        <v>9432.5176931580445</v>
      </c>
      <c r="J103" s="14">
        <v>17381.170899556371</v>
      </c>
      <c r="K103" s="14">
        <v>11641.536576489942</v>
      </c>
      <c r="L103" s="14">
        <v>3386.9679533032131</v>
      </c>
      <c r="M103" s="14">
        <v>1094.9810143761827</v>
      </c>
      <c r="N103" s="14">
        <v>933.94333186929703</v>
      </c>
      <c r="O103" s="14">
        <v>5746.5544432136821</v>
      </c>
    </row>
    <row r="104" spans="1:15" x14ac:dyDescent="0.3">
      <c r="A104" s="3" t="str">
        <f>INDEX('R1. Scenario specifications'!$C$11:$C$49,MATCH($B104,'R1. Scenario specifications'!$A$11:$A$49,0))</f>
        <v>Current 2DS, 2020 start, 'Expect the Unexpected' but with most conservative biomass CCS / NET technology cost assumptions</v>
      </c>
      <c r="B104" s="3" t="s">
        <v>17</v>
      </c>
      <c r="C104" s="3" t="s">
        <v>308</v>
      </c>
      <c r="D104" s="3" t="s">
        <v>326</v>
      </c>
      <c r="E104" s="14">
        <v>0</v>
      </c>
      <c r="F104" s="14">
        <v>0</v>
      </c>
      <c r="G104" s="14">
        <v>203.8949376312157</v>
      </c>
      <c r="H104" s="14">
        <v>754.78539866170013</v>
      </c>
      <c r="I104" s="14">
        <v>947.89438224338028</v>
      </c>
      <c r="J104" s="14">
        <v>1358.4819901001758</v>
      </c>
      <c r="K104" s="14">
        <v>1440.8082628018558</v>
      </c>
      <c r="L104" s="14">
        <v>1502.005144447143</v>
      </c>
      <c r="M104" s="14">
        <v>1600.0632810365523</v>
      </c>
      <c r="N104" s="14">
        <v>1744.6718992987728</v>
      </c>
      <c r="O104" s="14">
        <v>1854.8060825252512</v>
      </c>
    </row>
    <row r="105" spans="1:15" x14ac:dyDescent="0.3">
      <c r="A105" s="3" t="str">
        <f>INDEX('R1. Scenario specifications'!$C$11:$C$49,MATCH($B105,'R1. Scenario specifications'!$A$11:$A$49,0))</f>
        <v>Current 2DS, 2030 start, 'Expect the Unexpected' but with most conservative biomass CCS / NET technology cost assumptions</v>
      </c>
      <c r="B105" s="3" t="s">
        <v>18</v>
      </c>
      <c r="C105" s="3" t="s">
        <v>304</v>
      </c>
      <c r="D105" s="3" t="s">
        <v>339</v>
      </c>
      <c r="E105" s="14">
        <v>0</v>
      </c>
      <c r="F105" s="14">
        <v>820.1343749999993</v>
      </c>
      <c r="G105" s="14">
        <v>1443.6724304473942</v>
      </c>
      <c r="H105" s="14">
        <v>1052.0173273984929</v>
      </c>
      <c r="I105" s="14">
        <v>3326.6039745353301</v>
      </c>
      <c r="J105" s="14">
        <v>7896.8169040793764</v>
      </c>
      <c r="K105" s="14">
        <v>7768.651677351967</v>
      </c>
      <c r="L105" s="14">
        <v>11066.642357024046</v>
      </c>
      <c r="M105" s="14">
        <v>9964.2571733037876</v>
      </c>
      <c r="N105" s="14">
        <v>9597.394694611583</v>
      </c>
      <c r="O105" s="14">
        <v>13796.485572618685</v>
      </c>
    </row>
    <row r="106" spans="1:15" x14ac:dyDescent="0.3">
      <c r="A106" s="3" t="str">
        <f>INDEX('R1. Scenario specifications'!$C$11:$C$49,MATCH($B106,'R1. Scenario specifications'!$A$11:$A$49,0))</f>
        <v>Current 2DS, 2030 start, 'Expect the Unexpected' but with most conservative biomass CCS / NET technology cost assumptions</v>
      </c>
      <c r="B106" s="3" t="s">
        <v>18</v>
      </c>
      <c r="C106" s="3" t="s">
        <v>51</v>
      </c>
      <c r="D106" s="3" t="s">
        <v>340</v>
      </c>
      <c r="E106" s="14">
        <v>26912.591385085678</v>
      </c>
      <c r="F106" s="14">
        <v>24726.384098969917</v>
      </c>
      <c r="G106" s="14">
        <v>20023.092920446408</v>
      </c>
      <c r="H106" s="14">
        <v>26227.564065710481</v>
      </c>
      <c r="I106" s="14">
        <v>42623.967870673434</v>
      </c>
      <c r="J106" s="14">
        <v>27174.928797266781</v>
      </c>
      <c r="K106" s="14">
        <v>27218.781446154797</v>
      </c>
      <c r="L106" s="14">
        <v>29548.99527036669</v>
      </c>
      <c r="M106" s="14">
        <v>29382.426243315411</v>
      </c>
      <c r="N106" s="14">
        <v>27086.97398456552</v>
      </c>
      <c r="O106" s="14">
        <v>18369.251104603863</v>
      </c>
    </row>
    <row r="107" spans="1:15" x14ac:dyDescent="0.3">
      <c r="A107" s="3" t="str">
        <f>INDEX('R1. Scenario specifications'!$C$11:$C$49,MATCH($B107,'R1. Scenario specifications'!$A$11:$A$49,0))</f>
        <v>Current 2DS, 2030 start, 'Expect the Unexpected' but with most conservative biomass CCS / NET technology cost assumptions</v>
      </c>
      <c r="B107" s="3" t="s">
        <v>18</v>
      </c>
      <c r="C107" s="3" t="s">
        <v>305</v>
      </c>
      <c r="D107" s="3" t="s">
        <v>341</v>
      </c>
      <c r="E107" s="14">
        <v>0.55126200000000003</v>
      </c>
      <c r="F107" s="14">
        <v>0.27214200000000005</v>
      </c>
      <c r="G107" s="14">
        <v>39.715545758633766</v>
      </c>
      <c r="H107" s="14">
        <v>1069.5883483275736</v>
      </c>
      <c r="I107" s="14">
        <v>4055.0588483342849</v>
      </c>
      <c r="J107" s="14">
        <v>9580.7289479646042</v>
      </c>
      <c r="K107" s="14">
        <v>14314.356557629992</v>
      </c>
      <c r="L107" s="14">
        <v>16747.514614632833</v>
      </c>
      <c r="M107" s="14">
        <v>19636.68078384535</v>
      </c>
      <c r="N107" s="14">
        <v>21628.471544540764</v>
      </c>
      <c r="O107" s="14">
        <v>23516.791640864816</v>
      </c>
    </row>
    <row r="108" spans="1:15" x14ac:dyDescent="0.3">
      <c r="A108" s="3" t="str">
        <f>INDEX('R1. Scenario specifications'!$C$11:$C$49,MATCH($B108,'R1. Scenario specifications'!$A$11:$A$49,0))</f>
        <v>Current 2DS, 2030 start, 'Expect the Unexpected' but with most conservative biomass CCS / NET technology cost assumptions</v>
      </c>
      <c r="B108" s="3" t="s">
        <v>18</v>
      </c>
      <c r="C108" s="3" t="s">
        <v>306</v>
      </c>
      <c r="D108" s="3" t="s">
        <v>342</v>
      </c>
      <c r="E108" s="14">
        <v>138.88007226094669</v>
      </c>
      <c r="F108" s="14">
        <v>231.92798987852072</v>
      </c>
      <c r="G108" s="14">
        <v>2394.994594260861</v>
      </c>
      <c r="H108" s="14">
        <v>2330.3092353624561</v>
      </c>
      <c r="I108" s="14">
        <v>2211.1548205556351</v>
      </c>
      <c r="J108" s="14">
        <v>2088.6858979854783</v>
      </c>
      <c r="K108" s="14">
        <v>1292.077579937469</v>
      </c>
      <c r="L108" s="14">
        <v>588.09958904601649</v>
      </c>
      <c r="M108" s="14">
        <v>217.23352692654609</v>
      </c>
      <c r="N108" s="14">
        <v>265.58287695553543</v>
      </c>
      <c r="O108" s="14">
        <v>804.85792318232404</v>
      </c>
    </row>
    <row r="109" spans="1:15" x14ac:dyDescent="0.3">
      <c r="A109" s="3" t="str">
        <f>INDEX('R1. Scenario specifications'!$C$11:$C$49,MATCH($B109,'R1. Scenario specifications'!$A$11:$A$49,0))</f>
        <v>Current 2DS, 2030 start, 'Expect the Unexpected' but with most conservative biomass CCS / NET technology cost assumptions</v>
      </c>
      <c r="B109" s="3" t="s">
        <v>18</v>
      </c>
      <c r="C109" s="3" t="s">
        <v>52</v>
      </c>
      <c r="D109" s="3" t="s">
        <v>343</v>
      </c>
      <c r="E109" s="14">
        <v>47506.40120156738</v>
      </c>
      <c r="F109" s="14">
        <v>51400.759098340677</v>
      </c>
      <c r="G109" s="14">
        <v>62205.547314401418</v>
      </c>
      <c r="H109" s="14">
        <v>44368.574800589129</v>
      </c>
      <c r="I109" s="14">
        <v>13763.276456269834</v>
      </c>
      <c r="J109" s="14">
        <v>11477.520044337964</v>
      </c>
      <c r="K109" s="14">
        <v>6750.6408718414968</v>
      </c>
      <c r="L109" s="14">
        <v>3585.0724491932574</v>
      </c>
      <c r="M109" s="14">
        <v>1818.1428472679065</v>
      </c>
      <c r="N109" s="14">
        <v>1016.5240561470123</v>
      </c>
      <c r="O109" s="14">
        <v>896.74381319625513</v>
      </c>
    </row>
    <row r="110" spans="1:15" x14ac:dyDescent="0.3">
      <c r="A110" s="3" t="str">
        <f>INDEX('R1. Scenario specifications'!$C$11:$C$49,MATCH($B110,'R1. Scenario specifications'!$A$11:$A$49,0))</f>
        <v>Current 2DS, 2030 start, 'Expect the Unexpected' but with most conservative biomass CCS / NET technology cost assumptions</v>
      </c>
      <c r="B110" s="3" t="s">
        <v>18</v>
      </c>
      <c r="C110" s="3" t="s">
        <v>53</v>
      </c>
      <c r="D110" s="3" t="s">
        <v>344</v>
      </c>
      <c r="E110" s="14">
        <v>703.55932605471685</v>
      </c>
      <c r="F110" s="14">
        <v>336.28891863781013</v>
      </c>
      <c r="G110" s="14">
        <v>879.49041101293551</v>
      </c>
      <c r="H110" s="14">
        <v>1203.2907539892126</v>
      </c>
      <c r="I110" s="14">
        <v>1155.8301379720608</v>
      </c>
      <c r="J110" s="14">
        <v>855.89208118399767</v>
      </c>
      <c r="K110" s="14">
        <v>1220.1384341168921</v>
      </c>
      <c r="L110" s="14">
        <v>1423.8823553661689</v>
      </c>
      <c r="M110" s="14">
        <v>2333.6064224451356</v>
      </c>
      <c r="N110" s="14">
        <v>4776.9573588814792</v>
      </c>
      <c r="O110" s="14">
        <v>5801.4369329799447</v>
      </c>
    </row>
    <row r="111" spans="1:15" x14ac:dyDescent="0.3">
      <c r="A111" s="3" t="str">
        <f>INDEX('R1. Scenario specifications'!$C$11:$C$49,MATCH($B111,'R1. Scenario specifications'!$A$11:$A$49,0))</f>
        <v>Current 2DS, 2030 start, 'Expect the Unexpected' but with most conservative biomass CCS / NET technology cost assumptions</v>
      </c>
      <c r="B111" s="3" t="s">
        <v>18</v>
      </c>
      <c r="C111" s="3" t="s">
        <v>307</v>
      </c>
      <c r="D111" s="3" t="s">
        <v>345</v>
      </c>
      <c r="E111" s="14">
        <v>0</v>
      </c>
      <c r="F111" s="14">
        <v>0</v>
      </c>
      <c r="G111" s="14">
        <v>0</v>
      </c>
      <c r="H111" s="14">
        <v>335.71272520527293</v>
      </c>
      <c r="I111" s="14">
        <v>99.84763157046666</v>
      </c>
      <c r="J111" s="14">
        <v>120.91147270114438</v>
      </c>
      <c r="K111" s="14">
        <v>70.733358836179946</v>
      </c>
      <c r="L111" s="14">
        <v>155.44509254581376</v>
      </c>
      <c r="M111" s="14">
        <v>175.19509961916242</v>
      </c>
      <c r="N111" s="14">
        <v>200.29384587855276</v>
      </c>
      <c r="O111" s="14">
        <v>360.41132124032004</v>
      </c>
    </row>
    <row r="112" spans="1:15" x14ac:dyDescent="0.3">
      <c r="A112" s="3" t="str">
        <f>INDEX('R1. Scenario specifications'!$C$11:$C$49,MATCH($B112,'R1. Scenario specifications'!$A$11:$A$49,0))</f>
        <v>Current 2DS, 2030 start, 'Expect the Unexpected' but with most conservative biomass CCS / NET technology cost assumptions</v>
      </c>
      <c r="B112" s="3" t="s">
        <v>18</v>
      </c>
      <c r="C112" s="3" t="s">
        <v>54</v>
      </c>
      <c r="D112" s="3" t="s">
        <v>255</v>
      </c>
      <c r="E112" s="14">
        <v>396.62220438997127</v>
      </c>
      <c r="F112" s="14">
        <v>176.86416189251261</v>
      </c>
      <c r="G112" s="14">
        <v>1833.16729548234</v>
      </c>
      <c r="H112" s="14">
        <v>5667.8396467895318</v>
      </c>
      <c r="I112" s="14">
        <v>9136.1552576133708</v>
      </c>
      <c r="J112" s="14">
        <v>14718.015822025765</v>
      </c>
      <c r="K112" s="14">
        <v>9406.7979625116404</v>
      </c>
      <c r="L112" s="14">
        <v>3105.2639138910481</v>
      </c>
      <c r="M112" s="14">
        <v>1184.3615611399778</v>
      </c>
      <c r="N112" s="14">
        <v>934.13541154876202</v>
      </c>
      <c r="O112" s="14">
        <v>5509.29870412747</v>
      </c>
    </row>
    <row r="113" spans="1:15" x14ac:dyDescent="0.3">
      <c r="A113" s="3" t="str">
        <f>INDEX('R1. Scenario specifications'!$C$11:$C$49,MATCH($B113,'R1. Scenario specifications'!$A$11:$A$49,0))</f>
        <v>Current 2DS, 2030 start, 'Expect the Unexpected' but with most conservative biomass CCS / NET technology cost assumptions</v>
      </c>
      <c r="B113" s="3" t="s">
        <v>18</v>
      </c>
      <c r="C113" s="3" t="s">
        <v>308</v>
      </c>
      <c r="D113" s="3" t="s">
        <v>326</v>
      </c>
      <c r="E113" s="14">
        <v>0</v>
      </c>
      <c r="F113" s="14">
        <v>0</v>
      </c>
      <c r="G113" s="14">
        <v>203.8949376312157</v>
      </c>
      <c r="H113" s="14">
        <v>757.03231328497168</v>
      </c>
      <c r="I113" s="14">
        <v>947.89438224338187</v>
      </c>
      <c r="J113" s="14">
        <v>1354.9064835125964</v>
      </c>
      <c r="K113" s="14">
        <v>1413.1328974829585</v>
      </c>
      <c r="L113" s="14">
        <v>1502.7511362530552</v>
      </c>
      <c r="M113" s="14">
        <v>1599.8911641098293</v>
      </c>
      <c r="N113" s="14">
        <v>1740.2639984374264</v>
      </c>
      <c r="O113" s="14">
        <v>1855.6884293211458</v>
      </c>
    </row>
    <row r="114" spans="1:15" x14ac:dyDescent="0.3">
      <c r="A114" s="3" t="str">
        <f>INDEX('R1. Scenario specifications'!$C$11:$C$49,MATCH($B114,'R1. Scenario specifications'!$A$11:$A$49,0))</f>
        <v>Current 1.5DS, 2020 start, 'Expect the Unexpected'</v>
      </c>
      <c r="B114" s="3" t="s">
        <v>19</v>
      </c>
      <c r="C114" s="3" t="s">
        <v>304</v>
      </c>
      <c r="D114" s="3" t="s">
        <v>339</v>
      </c>
      <c r="E114" s="14">
        <v>0</v>
      </c>
      <c r="F114" s="14">
        <v>820.1343749999993</v>
      </c>
      <c r="G114" s="14">
        <v>1443.6724304473942</v>
      </c>
      <c r="H114" s="14">
        <v>3997.269150927073</v>
      </c>
      <c r="I114" s="14">
        <v>3430.8329537577511</v>
      </c>
      <c r="J114" s="14">
        <v>1695.7028623299284</v>
      </c>
      <c r="K114" s="14">
        <v>10.2551771891643</v>
      </c>
      <c r="L114" s="14">
        <v>2087.2643529085135</v>
      </c>
      <c r="M114" s="14">
        <v>6761.2494270064526</v>
      </c>
      <c r="N114" s="14">
        <v>7801.9982072327157</v>
      </c>
      <c r="O114" s="14">
        <v>13650.719049269355</v>
      </c>
    </row>
    <row r="115" spans="1:15" x14ac:dyDescent="0.3">
      <c r="A115" s="3" t="str">
        <f>INDEX('R1. Scenario specifications'!$C$11:$C$49,MATCH($B115,'R1. Scenario specifications'!$A$11:$A$49,0))</f>
        <v>Current 1.5DS, 2020 start, 'Expect the Unexpected'</v>
      </c>
      <c r="B115" s="3" t="s">
        <v>19</v>
      </c>
      <c r="C115" s="3" t="s">
        <v>51</v>
      </c>
      <c r="D115" s="3" t="s">
        <v>340</v>
      </c>
      <c r="E115" s="14">
        <v>26912.591385085678</v>
      </c>
      <c r="F115" s="14">
        <v>24726.384098969917</v>
      </c>
      <c r="G115" s="14">
        <v>20023.092920446408</v>
      </c>
      <c r="H115" s="14">
        <v>15241.794989838872</v>
      </c>
      <c r="I115" s="14">
        <v>12173.824872690442</v>
      </c>
      <c r="J115" s="14">
        <v>12070.190366367791</v>
      </c>
      <c r="K115" s="14">
        <v>21868.797666487913</v>
      </c>
      <c r="L115" s="14">
        <v>33795.753408279292</v>
      </c>
      <c r="M115" s="14">
        <v>30622.804973313199</v>
      </c>
      <c r="N115" s="14">
        <v>27045.283405619255</v>
      </c>
      <c r="O115" s="14">
        <v>16888.477987045884</v>
      </c>
    </row>
    <row r="116" spans="1:15" x14ac:dyDescent="0.3">
      <c r="A116" s="3" t="str">
        <f>INDEX('R1. Scenario specifications'!$C$11:$C$49,MATCH($B116,'R1. Scenario specifications'!$A$11:$A$49,0))</f>
        <v>Current 1.5DS, 2020 start, 'Expect the Unexpected'</v>
      </c>
      <c r="B116" s="3" t="s">
        <v>19</v>
      </c>
      <c r="C116" s="3" t="s">
        <v>305</v>
      </c>
      <c r="D116" s="3" t="s">
        <v>341</v>
      </c>
      <c r="E116" s="14">
        <v>0.55126200000000003</v>
      </c>
      <c r="F116" s="14">
        <v>0.27214200000000005</v>
      </c>
      <c r="G116" s="14">
        <v>39.715545758633766</v>
      </c>
      <c r="H116" s="14">
        <v>2009.1559159620085</v>
      </c>
      <c r="I116" s="14">
        <v>4276.6761264316383</v>
      </c>
      <c r="J116" s="14">
        <v>9146.7579148285549</v>
      </c>
      <c r="K116" s="14">
        <v>15837.110374635051</v>
      </c>
      <c r="L116" s="14">
        <v>17749.003158195694</v>
      </c>
      <c r="M116" s="14">
        <v>19818.310302716254</v>
      </c>
      <c r="N116" s="14">
        <v>21868.594403989398</v>
      </c>
      <c r="O116" s="14">
        <v>23569.322292774446</v>
      </c>
    </row>
    <row r="117" spans="1:15" x14ac:dyDescent="0.3">
      <c r="A117" s="3" t="str">
        <f>INDEX('R1. Scenario specifications'!$C$11:$C$49,MATCH($B117,'R1. Scenario specifications'!$A$11:$A$49,0))</f>
        <v>Current 1.5DS, 2020 start, 'Expect the Unexpected'</v>
      </c>
      <c r="B117" s="3" t="s">
        <v>19</v>
      </c>
      <c r="C117" s="3" t="s">
        <v>306</v>
      </c>
      <c r="D117" s="3" t="s">
        <v>342</v>
      </c>
      <c r="E117" s="14">
        <v>138.88007226094669</v>
      </c>
      <c r="F117" s="14">
        <v>231.92798987852072</v>
      </c>
      <c r="G117" s="14">
        <v>2394.994594260861</v>
      </c>
      <c r="H117" s="14">
        <v>848.17217477146085</v>
      </c>
      <c r="I117" s="14">
        <v>57.174354247597172</v>
      </c>
      <c r="J117" s="14">
        <v>22.263298786096001</v>
      </c>
      <c r="K117" s="14">
        <v>158.7220403808127</v>
      </c>
      <c r="L117" s="14">
        <v>282.33333385123603</v>
      </c>
      <c r="M117" s="14">
        <v>260.77409849109915</v>
      </c>
      <c r="N117" s="14">
        <v>438.19741336280742</v>
      </c>
      <c r="O117" s="14">
        <v>722.92709240848899</v>
      </c>
    </row>
    <row r="118" spans="1:15" x14ac:dyDescent="0.3">
      <c r="A118" s="3" t="str">
        <f>INDEX('R1. Scenario specifications'!$C$11:$C$49,MATCH($B118,'R1. Scenario specifications'!$A$11:$A$49,0))</f>
        <v>Current 1.5DS, 2020 start, 'Expect the Unexpected'</v>
      </c>
      <c r="B118" s="3" t="s">
        <v>19</v>
      </c>
      <c r="C118" s="3" t="s">
        <v>52</v>
      </c>
      <c r="D118" s="3" t="s">
        <v>343</v>
      </c>
      <c r="E118" s="14">
        <v>47506.40120156738</v>
      </c>
      <c r="F118" s="14">
        <v>51400.759098340677</v>
      </c>
      <c r="G118" s="14">
        <v>62205.547314401418</v>
      </c>
      <c r="H118" s="14">
        <v>32836.551382258731</v>
      </c>
      <c r="I118" s="14">
        <v>14338.097884258801</v>
      </c>
      <c r="J118" s="14">
        <v>4949.1789875815684</v>
      </c>
      <c r="K118" s="14">
        <v>1813.6021408318629</v>
      </c>
      <c r="L118" s="14">
        <v>1980.5317855848707</v>
      </c>
      <c r="M118" s="14">
        <v>1591.4995730551043</v>
      </c>
      <c r="N118" s="14">
        <v>967.84017718627649</v>
      </c>
      <c r="O118" s="14">
        <v>880.27188959819921</v>
      </c>
    </row>
    <row r="119" spans="1:15" x14ac:dyDescent="0.3">
      <c r="A119" s="3" t="str">
        <f>INDEX('R1. Scenario specifications'!$C$11:$C$49,MATCH($B119,'R1. Scenario specifications'!$A$11:$A$49,0))</f>
        <v>Current 1.5DS, 2020 start, 'Expect the Unexpected'</v>
      </c>
      <c r="B119" s="3" t="s">
        <v>19</v>
      </c>
      <c r="C119" s="3" t="s">
        <v>53</v>
      </c>
      <c r="D119" s="3" t="s">
        <v>344</v>
      </c>
      <c r="E119" s="14">
        <v>703.55932605471685</v>
      </c>
      <c r="F119" s="14">
        <v>336.28891863781013</v>
      </c>
      <c r="G119" s="14">
        <v>879.49041101293551</v>
      </c>
      <c r="H119" s="14">
        <v>5579.9270734302618</v>
      </c>
      <c r="I119" s="14">
        <v>8234.6286308687286</v>
      </c>
      <c r="J119" s="14">
        <v>10107.276501372218</v>
      </c>
      <c r="K119" s="14">
        <v>12737.42825098976</v>
      </c>
      <c r="L119" s="14">
        <v>5512.8851402512064</v>
      </c>
      <c r="M119" s="14">
        <v>3931.7778573500391</v>
      </c>
      <c r="N119" s="14">
        <v>6130.6383540015086</v>
      </c>
      <c r="O119" s="14">
        <v>7455.0277521883891</v>
      </c>
    </row>
    <row r="120" spans="1:15" x14ac:dyDescent="0.3">
      <c r="A120" s="3" t="str">
        <f>INDEX('R1. Scenario specifications'!$C$11:$C$49,MATCH($B120,'R1. Scenario specifications'!$A$11:$A$49,0))</f>
        <v>Current 1.5DS, 2020 start, 'Expect the Unexpected'</v>
      </c>
      <c r="B120" s="3" t="s">
        <v>19</v>
      </c>
      <c r="C120" s="3" t="s">
        <v>307</v>
      </c>
      <c r="D120" s="3" t="s">
        <v>345</v>
      </c>
      <c r="E120" s="14">
        <v>0</v>
      </c>
      <c r="F120" s="14">
        <v>0</v>
      </c>
      <c r="G120" s="14">
        <v>0</v>
      </c>
      <c r="H120" s="14">
        <v>86.036535936443272</v>
      </c>
      <c r="I120" s="14">
        <v>105.14202158795837</v>
      </c>
      <c r="J120" s="14">
        <v>114.105766312586</v>
      </c>
      <c r="K120" s="14">
        <v>110.6898240748271</v>
      </c>
      <c r="L120" s="14">
        <v>122.9080380356889</v>
      </c>
      <c r="M120" s="14">
        <v>196.07835722269149</v>
      </c>
      <c r="N120" s="14">
        <v>210.0018410934785</v>
      </c>
      <c r="O120" s="14">
        <v>351.88449082683707</v>
      </c>
    </row>
    <row r="121" spans="1:15" x14ac:dyDescent="0.3">
      <c r="A121" s="3" t="str">
        <f>INDEX('R1. Scenario specifications'!$C$11:$C$49,MATCH($B121,'R1. Scenario specifications'!$A$11:$A$49,0))</f>
        <v>Current 1.5DS, 2020 start, 'Expect the Unexpected'</v>
      </c>
      <c r="B121" s="3" t="s">
        <v>19</v>
      </c>
      <c r="C121" s="3" t="s">
        <v>54</v>
      </c>
      <c r="D121" s="3" t="s">
        <v>255</v>
      </c>
      <c r="E121" s="14">
        <v>396.62220438997127</v>
      </c>
      <c r="F121" s="14">
        <v>176.86416189251261</v>
      </c>
      <c r="G121" s="14">
        <v>1833.16729548234</v>
      </c>
      <c r="H121" s="14">
        <v>1220.9986653371425</v>
      </c>
      <c r="I121" s="14">
        <v>306.37153542292515</v>
      </c>
      <c r="J121" s="14">
        <v>690.56282252351525</v>
      </c>
      <c r="K121" s="14">
        <v>523.69449769558696</v>
      </c>
      <c r="L121" s="14">
        <v>772.93370556639593</v>
      </c>
      <c r="M121" s="14">
        <v>891.67405813530502</v>
      </c>
      <c r="N121" s="14">
        <v>893.41992074745599</v>
      </c>
      <c r="O121" s="14">
        <v>5382.2293257293795</v>
      </c>
    </row>
    <row r="122" spans="1:15" x14ac:dyDescent="0.3">
      <c r="A122" s="3" t="str">
        <f>INDEX('R1. Scenario specifications'!$C$11:$C$49,MATCH($B122,'R1. Scenario specifications'!$A$11:$A$49,0))</f>
        <v>Current 1.5DS, 2020 start, 'Expect the Unexpected'</v>
      </c>
      <c r="B122" s="3" t="s">
        <v>19</v>
      </c>
      <c r="C122" s="3" t="s">
        <v>308</v>
      </c>
      <c r="D122" s="3" t="s">
        <v>326</v>
      </c>
      <c r="E122" s="14">
        <v>0</v>
      </c>
      <c r="F122" s="14">
        <v>0</v>
      </c>
      <c r="G122" s="14">
        <v>203.8949376312157</v>
      </c>
      <c r="H122" s="14">
        <v>473.42411192456046</v>
      </c>
      <c r="I122" s="14">
        <v>261.99951900926936</v>
      </c>
      <c r="J122" s="14">
        <v>267.77414354671595</v>
      </c>
      <c r="K122" s="14">
        <v>746.22256467047987</v>
      </c>
      <c r="L122" s="14">
        <v>1522.2338674813541</v>
      </c>
      <c r="M122" s="14">
        <v>1658.7514543495886</v>
      </c>
      <c r="N122" s="14">
        <v>1745.0732052083779</v>
      </c>
      <c r="O122" s="14">
        <v>1823.1745858265786</v>
      </c>
    </row>
    <row r="123" spans="1:15" x14ac:dyDescent="0.3">
      <c r="A123" s="3" t="str">
        <f>INDEX('R1. Scenario specifications'!$C$11:$C$49,MATCH($B123,'R1. Scenario specifications'!$A$11:$A$49,0))</f>
        <v>Current 1.5DS, 2030 start, 'Expect the Unexpected'</v>
      </c>
      <c r="B123" s="3" t="s">
        <v>20</v>
      </c>
      <c r="C123" s="3" t="s">
        <v>304</v>
      </c>
      <c r="D123" s="3" t="s">
        <v>339</v>
      </c>
      <c r="E123" s="14">
        <v>0</v>
      </c>
      <c r="F123" s="14">
        <v>820.1343749999993</v>
      </c>
      <c r="G123" s="14">
        <v>1443.6724304473942</v>
      </c>
      <c r="H123" s="14">
        <v>1052.0173273984929</v>
      </c>
      <c r="I123" s="14">
        <v>3137.3585720713772</v>
      </c>
      <c r="J123" s="14">
        <v>5832.1064336131021</v>
      </c>
      <c r="K123" s="14">
        <v>1079.9026866588292</v>
      </c>
      <c r="L123" s="14">
        <v>1256.6776088637519</v>
      </c>
      <c r="M123" s="14">
        <v>6817.1865726982305</v>
      </c>
      <c r="N123" s="14">
        <v>9076.8879256222335</v>
      </c>
      <c r="O123" s="14">
        <v>25065.294814715879</v>
      </c>
    </row>
    <row r="124" spans="1:15" x14ac:dyDescent="0.3">
      <c r="A124" s="3" t="str">
        <f>INDEX('R1. Scenario specifications'!$C$11:$C$49,MATCH($B124,'R1. Scenario specifications'!$A$11:$A$49,0))</f>
        <v>Current 1.5DS, 2030 start, 'Expect the Unexpected'</v>
      </c>
      <c r="B124" s="3" t="s">
        <v>20</v>
      </c>
      <c r="C124" s="3" t="s">
        <v>51</v>
      </c>
      <c r="D124" s="3" t="s">
        <v>340</v>
      </c>
      <c r="E124" s="14">
        <v>26912.591385085678</v>
      </c>
      <c r="F124" s="14">
        <v>24726.384098969917</v>
      </c>
      <c r="G124" s="14">
        <v>20023.092920446408</v>
      </c>
      <c r="H124" s="14">
        <v>26227.564065710481</v>
      </c>
      <c r="I124" s="14">
        <v>15425.681231690936</v>
      </c>
      <c r="J124" s="14">
        <v>8105.3605655448646</v>
      </c>
      <c r="K124" s="14">
        <v>13725.361658272255</v>
      </c>
      <c r="L124" s="14">
        <v>34960.317454184369</v>
      </c>
      <c r="M124" s="14">
        <v>35467.181671619241</v>
      </c>
      <c r="N124" s="14">
        <v>36682.491312838749</v>
      </c>
      <c r="O124" s="14">
        <v>21819.753731530407</v>
      </c>
    </row>
    <row r="125" spans="1:15" x14ac:dyDescent="0.3">
      <c r="A125" s="3" t="str">
        <f>INDEX('R1. Scenario specifications'!$C$11:$C$49,MATCH($B125,'R1. Scenario specifications'!$A$11:$A$49,0))</f>
        <v>Current 1.5DS, 2030 start, 'Expect the Unexpected'</v>
      </c>
      <c r="B125" s="3" t="s">
        <v>20</v>
      </c>
      <c r="C125" s="3" t="s">
        <v>305</v>
      </c>
      <c r="D125" s="3" t="s">
        <v>341</v>
      </c>
      <c r="E125" s="14">
        <v>0.55126200000000003</v>
      </c>
      <c r="F125" s="14">
        <v>0.27214200000000005</v>
      </c>
      <c r="G125" s="14">
        <v>39.715545758633766</v>
      </c>
      <c r="H125" s="14">
        <v>1069.5883483275736</v>
      </c>
      <c r="I125" s="14">
        <v>3966.4963601593126</v>
      </c>
      <c r="J125" s="14">
        <v>6894.9014296328914</v>
      </c>
      <c r="K125" s="14">
        <v>10816.812001363774</v>
      </c>
      <c r="L125" s="14">
        <v>16681.220257384932</v>
      </c>
      <c r="M125" s="14">
        <v>17961.734483011198</v>
      </c>
      <c r="N125" s="14">
        <v>19158.368947007322</v>
      </c>
      <c r="O125" s="14">
        <v>20266.673327604592</v>
      </c>
    </row>
    <row r="126" spans="1:15" x14ac:dyDescent="0.3">
      <c r="A126" s="3" t="str">
        <f>INDEX('R1. Scenario specifications'!$C$11:$C$49,MATCH($B126,'R1. Scenario specifications'!$A$11:$A$49,0))</f>
        <v>Current 1.5DS, 2030 start, 'Expect the Unexpected'</v>
      </c>
      <c r="B126" s="3" t="s">
        <v>20</v>
      </c>
      <c r="C126" s="3" t="s">
        <v>306</v>
      </c>
      <c r="D126" s="3" t="s">
        <v>342</v>
      </c>
      <c r="E126" s="14">
        <v>138.88007226094669</v>
      </c>
      <c r="F126" s="14">
        <v>231.92798987852072</v>
      </c>
      <c r="G126" s="14">
        <v>2394.994594260861</v>
      </c>
      <c r="H126" s="14">
        <v>2330.3092353624561</v>
      </c>
      <c r="I126" s="14">
        <v>165.80586166840516</v>
      </c>
      <c r="J126" s="14">
        <v>74.158599766819151</v>
      </c>
      <c r="K126" s="14">
        <v>121.8196841694879</v>
      </c>
      <c r="L126" s="14">
        <v>1891.8147096448797</v>
      </c>
      <c r="M126" s="14">
        <v>1959.8944802972605</v>
      </c>
      <c r="N126" s="14">
        <v>1149.7246438396107</v>
      </c>
      <c r="O126" s="14">
        <v>475.93299557212333</v>
      </c>
    </row>
    <row r="127" spans="1:15" x14ac:dyDescent="0.3">
      <c r="A127" s="3" t="str">
        <f>INDEX('R1. Scenario specifications'!$C$11:$C$49,MATCH($B127,'R1. Scenario specifications'!$A$11:$A$49,0))</f>
        <v>Current 1.5DS, 2030 start, 'Expect the Unexpected'</v>
      </c>
      <c r="B127" s="3" t="s">
        <v>20</v>
      </c>
      <c r="C127" s="3" t="s">
        <v>52</v>
      </c>
      <c r="D127" s="3" t="s">
        <v>343</v>
      </c>
      <c r="E127" s="14">
        <v>47506.40120156738</v>
      </c>
      <c r="F127" s="14">
        <v>51400.759098340677</v>
      </c>
      <c r="G127" s="14">
        <v>62205.547314401418</v>
      </c>
      <c r="H127" s="14">
        <v>44368.574800589129</v>
      </c>
      <c r="I127" s="14">
        <v>19454.135640253164</v>
      </c>
      <c r="J127" s="14">
        <v>9143.9110010450331</v>
      </c>
      <c r="K127" s="14">
        <v>4400.0001295465427</v>
      </c>
      <c r="L127" s="14">
        <v>5249.2751129270764</v>
      </c>
      <c r="M127" s="14">
        <v>5007.0361966868932</v>
      </c>
      <c r="N127" s="14">
        <v>3514.8134358875245</v>
      </c>
      <c r="O127" s="14">
        <v>3104.1086534306482</v>
      </c>
    </row>
    <row r="128" spans="1:15" x14ac:dyDescent="0.3">
      <c r="A128" s="3" t="str">
        <f>INDEX('R1. Scenario specifications'!$C$11:$C$49,MATCH($B128,'R1. Scenario specifications'!$A$11:$A$49,0))</f>
        <v>Current 1.5DS, 2030 start, 'Expect the Unexpected'</v>
      </c>
      <c r="B128" s="3" t="s">
        <v>20</v>
      </c>
      <c r="C128" s="3" t="s">
        <v>53</v>
      </c>
      <c r="D128" s="3" t="s">
        <v>344</v>
      </c>
      <c r="E128" s="14">
        <v>703.55932605471685</v>
      </c>
      <c r="F128" s="14">
        <v>336.28891863781013</v>
      </c>
      <c r="G128" s="14">
        <v>879.49041101293551</v>
      </c>
      <c r="H128" s="14">
        <v>1203.2907539892126</v>
      </c>
      <c r="I128" s="14">
        <v>7650.4021480794781</v>
      </c>
      <c r="J128" s="14">
        <v>12080.038576400813</v>
      </c>
      <c r="K128" s="14">
        <v>11042.588533819951</v>
      </c>
      <c r="L128" s="14">
        <v>4414.629859208334</v>
      </c>
      <c r="M128" s="14">
        <v>1357.9114980732504</v>
      </c>
      <c r="N128" s="14">
        <v>1920.2517931765219</v>
      </c>
      <c r="O128" s="14">
        <v>1045.7519579563052</v>
      </c>
    </row>
    <row r="129" spans="1:15" x14ac:dyDescent="0.3">
      <c r="A129" s="3" t="str">
        <f>INDEX('R1. Scenario specifications'!$C$11:$C$49,MATCH($B129,'R1. Scenario specifications'!$A$11:$A$49,0))</f>
        <v>Current 1.5DS, 2030 start, 'Expect the Unexpected'</v>
      </c>
      <c r="B129" s="3" t="s">
        <v>20</v>
      </c>
      <c r="C129" s="3" t="s">
        <v>307</v>
      </c>
      <c r="D129" s="3" t="s">
        <v>345</v>
      </c>
      <c r="E129" s="14">
        <v>0</v>
      </c>
      <c r="F129" s="14">
        <v>0</v>
      </c>
      <c r="G129" s="14">
        <v>0</v>
      </c>
      <c r="H129" s="14">
        <v>335.71272520527293</v>
      </c>
      <c r="I129" s="14">
        <v>91.856503278553603</v>
      </c>
      <c r="J129" s="14">
        <v>159.5319941442016</v>
      </c>
      <c r="K129" s="14">
        <v>198.66599768312696</v>
      </c>
      <c r="L129" s="14">
        <v>102.09782463220604</v>
      </c>
      <c r="M129" s="14">
        <v>45.802082839586063</v>
      </c>
      <c r="N129" s="14">
        <v>91.457782400352798</v>
      </c>
      <c r="O129" s="14">
        <v>176.64651103391788</v>
      </c>
    </row>
    <row r="130" spans="1:15" x14ac:dyDescent="0.3">
      <c r="A130" s="3" t="str">
        <f>INDEX('R1. Scenario specifications'!$C$11:$C$49,MATCH($B130,'R1. Scenario specifications'!$A$11:$A$49,0))</f>
        <v>Current 1.5DS, 2030 start, 'Expect the Unexpected'</v>
      </c>
      <c r="B130" s="3" t="s">
        <v>20</v>
      </c>
      <c r="C130" s="3" t="s">
        <v>54</v>
      </c>
      <c r="D130" s="3" t="s">
        <v>255</v>
      </c>
      <c r="E130" s="14">
        <v>396.62220438997127</v>
      </c>
      <c r="F130" s="14">
        <v>176.86416189251261</v>
      </c>
      <c r="G130" s="14">
        <v>1833.16729548234</v>
      </c>
      <c r="H130" s="14">
        <v>5667.8396467895318</v>
      </c>
      <c r="I130" s="14">
        <v>2739.3001998096543</v>
      </c>
      <c r="J130" s="14">
        <v>982.78003937993628</v>
      </c>
      <c r="K130" s="14">
        <v>510.80123594585905</v>
      </c>
      <c r="L130" s="14">
        <v>6238.0076156975028</v>
      </c>
      <c r="M130" s="14">
        <v>8576.8544273599946</v>
      </c>
      <c r="N130" s="14">
        <v>7227.2976509290911</v>
      </c>
      <c r="O130" s="14">
        <v>8577.2454660950043</v>
      </c>
    </row>
    <row r="131" spans="1:15" x14ac:dyDescent="0.3">
      <c r="A131" s="3" t="str">
        <f>INDEX('R1. Scenario specifications'!$C$11:$C$49,MATCH($B131,'R1. Scenario specifications'!$A$11:$A$49,0))</f>
        <v>Current 1.5DS, 2030 start, 'Expect the Unexpected'</v>
      </c>
      <c r="B131" s="3" t="s">
        <v>20</v>
      </c>
      <c r="C131" s="3" t="s">
        <v>308</v>
      </c>
      <c r="D131" s="3" t="s">
        <v>326</v>
      </c>
      <c r="E131" s="14">
        <v>0</v>
      </c>
      <c r="F131" s="14">
        <v>0</v>
      </c>
      <c r="G131" s="14">
        <v>203.8949376312157</v>
      </c>
      <c r="H131" s="14">
        <v>757.03231328497168</v>
      </c>
      <c r="I131" s="14">
        <v>444.33603106968235</v>
      </c>
      <c r="J131" s="14">
        <v>343.77633977655699</v>
      </c>
      <c r="K131" s="14">
        <v>349.40242139140031</v>
      </c>
      <c r="L131" s="14">
        <v>1529.3061117114939</v>
      </c>
      <c r="M131" s="14">
        <v>1609.9693652428632</v>
      </c>
      <c r="N131" s="14">
        <v>1708.5189487746243</v>
      </c>
      <c r="O131" s="14">
        <v>1810.1839110001579</v>
      </c>
    </row>
    <row r="132" spans="1:15" x14ac:dyDescent="0.3">
      <c r="A132" s="3" t="str">
        <f>INDEX('R1. Scenario specifications'!$C$11:$C$49,MATCH($B132,'R1. Scenario specifications'!$A$11:$A$49,0))</f>
        <v>Current 1.5DS, 2020 start, 'Expect the Unexpected' but with cheap renewables</v>
      </c>
      <c r="B132" s="3" t="s">
        <v>21</v>
      </c>
      <c r="C132" s="3" t="s">
        <v>304</v>
      </c>
      <c r="D132" s="3" t="s">
        <v>339</v>
      </c>
      <c r="E132" s="14">
        <v>0</v>
      </c>
      <c r="F132" s="14">
        <v>820.1343749999993</v>
      </c>
      <c r="G132" s="14">
        <v>1443.6724304473942</v>
      </c>
      <c r="H132" s="14">
        <v>3971.2133699001693</v>
      </c>
      <c r="I132" s="14">
        <v>3430.2441097428118</v>
      </c>
      <c r="J132" s="14">
        <v>1543.1715911954329</v>
      </c>
      <c r="K132" s="14">
        <v>32.194248771513941</v>
      </c>
      <c r="L132" s="14">
        <v>2245.3878208396418</v>
      </c>
      <c r="M132" s="14">
        <v>6868.3177683620233</v>
      </c>
      <c r="N132" s="14">
        <v>8029.6238060449105</v>
      </c>
      <c r="O132" s="14">
        <v>13741.839790854905</v>
      </c>
    </row>
    <row r="133" spans="1:15" x14ac:dyDescent="0.3">
      <c r="A133" s="3" t="str">
        <f>INDEX('R1. Scenario specifications'!$C$11:$C$49,MATCH($B133,'R1. Scenario specifications'!$A$11:$A$49,0))</f>
        <v>Current 1.5DS, 2020 start, 'Expect the Unexpected' but with cheap renewables</v>
      </c>
      <c r="B133" s="3" t="s">
        <v>21</v>
      </c>
      <c r="C133" s="3" t="s">
        <v>51</v>
      </c>
      <c r="D133" s="3" t="s">
        <v>340</v>
      </c>
      <c r="E133" s="14">
        <v>26912.591385085678</v>
      </c>
      <c r="F133" s="14">
        <v>24726.384098969917</v>
      </c>
      <c r="G133" s="14">
        <v>20023.092920446408</v>
      </c>
      <c r="H133" s="14">
        <v>15624.398206859889</v>
      </c>
      <c r="I133" s="14">
        <v>12417.506237180427</v>
      </c>
      <c r="J133" s="14">
        <v>12205.649850999611</v>
      </c>
      <c r="K133" s="14">
        <v>22123.477482640366</v>
      </c>
      <c r="L133" s="14">
        <v>33857.429274897404</v>
      </c>
      <c r="M133" s="14">
        <v>31467.585788530301</v>
      </c>
      <c r="N133" s="14">
        <v>27551.607573261677</v>
      </c>
      <c r="O133" s="14">
        <v>17697.088975159775</v>
      </c>
    </row>
    <row r="134" spans="1:15" x14ac:dyDescent="0.3">
      <c r="A134" s="3" t="str">
        <f>INDEX('R1. Scenario specifications'!$C$11:$C$49,MATCH($B134,'R1. Scenario specifications'!$A$11:$A$49,0))</f>
        <v>Current 1.5DS, 2020 start, 'Expect the Unexpected' but with cheap renewables</v>
      </c>
      <c r="B134" s="3" t="s">
        <v>21</v>
      </c>
      <c r="C134" s="3" t="s">
        <v>305</v>
      </c>
      <c r="D134" s="3" t="s">
        <v>341</v>
      </c>
      <c r="E134" s="14">
        <v>0.55126200000000003</v>
      </c>
      <c r="F134" s="14">
        <v>0.27214200000000005</v>
      </c>
      <c r="G134" s="14">
        <v>39.715545758633766</v>
      </c>
      <c r="H134" s="14">
        <v>1966.3752110558123</v>
      </c>
      <c r="I134" s="14">
        <v>4237.6286434482909</v>
      </c>
      <c r="J134" s="14">
        <v>9236.5633269748032</v>
      </c>
      <c r="K134" s="14">
        <v>15926.69695846063</v>
      </c>
      <c r="L134" s="14">
        <v>17776.469481930053</v>
      </c>
      <c r="M134" s="14">
        <v>19850.49288000098</v>
      </c>
      <c r="N134" s="14">
        <v>21756.644523727067</v>
      </c>
      <c r="O134" s="14">
        <v>23569.621195451655</v>
      </c>
    </row>
    <row r="135" spans="1:15" x14ac:dyDescent="0.3">
      <c r="A135" s="3" t="str">
        <f>INDEX('R1. Scenario specifications'!$C$11:$C$49,MATCH($B135,'R1. Scenario specifications'!$A$11:$A$49,0))</f>
        <v>Current 1.5DS, 2020 start, 'Expect the Unexpected' but with cheap renewables</v>
      </c>
      <c r="B135" s="3" t="s">
        <v>21</v>
      </c>
      <c r="C135" s="3" t="s">
        <v>306</v>
      </c>
      <c r="D135" s="3" t="s">
        <v>342</v>
      </c>
      <c r="E135" s="14">
        <v>138.88007226094669</v>
      </c>
      <c r="F135" s="14">
        <v>231.92798987852072</v>
      </c>
      <c r="G135" s="14">
        <v>2394.994594260861</v>
      </c>
      <c r="H135" s="14">
        <v>848.17217477146085</v>
      </c>
      <c r="I135" s="14">
        <v>57.174354247597172</v>
      </c>
      <c r="J135" s="14">
        <v>22.263298786096001</v>
      </c>
      <c r="K135" s="14">
        <v>165.13123442612277</v>
      </c>
      <c r="L135" s="14">
        <v>287.49452349201943</v>
      </c>
      <c r="M135" s="14">
        <v>257.30520178481362</v>
      </c>
      <c r="N135" s="14">
        <v>290.99253216717796</v>
      </c>
      <c r="O135" s="14">
        <v>583.15160978711515</v>
      </c>
    </row>
    <row r="136" spans="1:15" x14ac:dyDescent="0.3">
      <c r="A136" s="3" t="str">
        <f>INDEX('R1. Scenario specifications'!$C$11:$C$49,MATCH($B136,'R1. Scenario specifications'!$A$11:$A$49,0))</f>
        <v>Current 1.5DS, 2020 start, 'Expect the Unexpected' but with cheap renewables</v>
      </c>
      <c r="B136" s="3" t="s">
        <v>21</v>
      </c>
      <c r="C136" s="3" t="s">
        <v>52</v>
      </c>
      <c r="D136" s="3" t="s">
        <v>343</v>
      </c>
      <c r="E136" s="14">
        <v>47506.40120156738</v>
      </c>
      <c r="F136" s="14">
        <v>51400.759098340677</v>
      </c>
      <c r="G136" s="14">
        <v>62205.547314401418</v>
      </c>
      <c r="H136" s="14">
        <v>32912.223797519931</v>
      </c>
      <c r="I136" s="14">
        <v>14369.811400859422</v>
      </c>
      <c r="J136" s="14">
        <v>4859.3236908668314</v>
      </c>
      <c r="K136" s="14">
        <v>1797.0973166992853</v>
      </c>
      <c r="L136" s="14">
        <v>1981.8837599682633</v>
      </c>
      <c r="M136" s="14">
        <v>1589.7559798273091</v>
      </c>
      <c r="N136" s="14">
        <v>967.84017718627649</v>
      </c>
      <c r="O136" s="14">
        <v>880.27188959819921</v>
      </c>
    </row>
    <row r="137" spans="1:15" x14ac:dyDescent="0.3">
      <c r="A137" s="3" t="str">
        <f>INDEX('R1. Scenario specifications'!$C$11:$C$49,MATCH($B137,'R1. Scenario specifications'!$A$11:$A$49,0))</f>
        <v>Current 1.5DS, 2020 start, 'Expect the Unexpected' but with cheap renewables</v>
      </c>
      <c r="B137" s="3" t="s">
        <v>21</v>
      </c>
      <c r="C137" s="3" t="s">
        <v>53</v>
      </c>
      <c r="D137" s="3" t="s">
        <v>344</v>
      </c>
      <c r="E137" s="14">
        <v>703.55932605471685</v>
      </c>
      <c r="F137" s="14">
        <v>336.28891863781013</v>
      </c>
      <c r="G137" s="14">
        <v>879.49041101293551</v>
      </c>
      <c r="H137" s="14">
        <v>5603.7003218305617</v>
      </c>
      <c r="I137" s="14">
        <v>8215.5061866567175</v>
      </c>
      <c r="J137" s="14">
        <v>10129.350303371089</v>
      </c>
      <c r="K137" s="14">
        <v>12701.709133763339</v>
      </c>
      <c r="L137" s="14">
        <v>5743.0882864529076</v>
      </c>
      <c r="M137" s="14">
        <v>3102.4932408695026</v>
      </c>
      <c r="N137" s="14">
        <v>5475.4691696276359</v>
      </c>
      <c r="O137" s="14">
        <v>6606.3201402766681</v>
      </c>
    </row>
    <row r="138" spans="1:15" x14ac:dyDescent="0.3">
      <c r="A138" s="3" t="str">
        <f>INDEX('R1. Scenario specifications'!$C$11:$C$49,MATCH($B138,'R1. Scenario specifications'!$A$11:$A$49,0))</f>
        <v>Current 1.5DS, 2020 start, 'Expect the Unexpected' but with cheap renewables</v>
      </c>
      <c r="B138" s="3" t="s">
        <v>21</v>
      </c>
      <c r="C138" s="3" t="s">
        <v>307</v>
      </c>
      <c r="D138" s="3" t="s">
        <v>345</v>
      </c>
      <c r="E138" s="14">
        <v>0</v>
      </c>
      <c r="F138" s="14">
        <v>0</v>
      </c>
      <c r="G138" s="14">
        <v>0</v>
      </c>
      <c r="H138" s="14">
        <v>86.036535936443215</v>
      </c>
      <c r="I138" s="14">
        <v>105.14202158795845</v>
      </c>
      <c r="J138" s="14">
        <v>114.1213242441501</v>
      </c>
      <c r="K138" s="14">
        <v>110.18820088067675</v>
      </c>
      <c r="L138" s="14">
        <v>114.55947377394291</v>
      </c>
      <c r="M138" s="14">
        <v>185.72811511381508</v>
      </c>
      <c r="N138" s="14">
        <v>213.79173138032002</v>
      </c>
      <c r="O138" s="14">
        <v>351.83245550500004</v>
      </c>
    </row>
    <row r="139" spans="1:15" x14ac:dyDescent="0.3">
      <c r="A139" s="3" t="str">
        <f>INDEX('R1. Scenario specifications'!$C$11:$C$49,MATCH($B139,'R1. Scenario specifications'!$A$11:$A$49,0))</f>
        <v>Current 1.5DS, 2020 start, 'Expect the Unexpected' but with cheap renewables</v>
      </c>
      <c r="B139" s="3" t="s">
        <v>21</v>
      </c>
      <c r="C139" s="3" t="s">
        <v>54</v>
      </c>
      <c r="D139" s="3" t="s">
        <v>255</v>
      </c>
      <c r="E139" s="14">
        <v>396.62220438997127</v>
      </c>
      <c r="F139" s="14">
        <v>176.86416189251261</v>
      </c>
      <c r="G139" s="14">
        <v>1833.16729548234</v>
      </c>
      <c r="H139" s="14">
        <v>1237.4872484206264</v>
      </c>
      <c r="I139" s="14">
        <v>307.89680012613991</v>
      </c>
      <c r="J139" s="14">
        <v>688.3002803237564</v>
      </c>
      <c r="K139" s="14">
        <v>598.50172353207802</v>
      </c>
      <c r="L139" s="14">
        <v>599.92994336667698</v>
      </c>
      <c r="M139" s="14">
        <v>777.38912311194304</v>
      </c>
      <c r="N139" s="14">
        <v>907.22743272604794</v>
      </c>
      <c r="O139" s="14">
        <v>5410.5940322830193</v>
      </c>
    </row>
    <row r="140" spans="1:15" x14ac:dyDescent="0.3">
      <c r="A140" s="3" t="str">
        <f>INDEX('R1. Scenario specifications'!$C$11:$C$49,MATCH($B140,'R1. Scenario specifications'!$A$11:$A$49,0))</f>
        <v>Current 1.5DS, 2020 start, 'Expect the Unexpected' but with cheap renewables</v>
      </c>
      <c r="B140" s="3" t="s">
        <v>21</v>
      </c>
      <c r="C140" s="3" t="s">
        <v>308</v>
      </c>
      <c r="D140" s="3" t="s">
        <v>326</v>
      </c>
      <c r="E140" s="14">
        <v>0</v>
      </c>
      <c r="F140" s="14">
        <v>0</v>
      </c>
      <c r="G140" s="14">
        <v>203.8949376312157</v>
      </c>
      <c r="H140" s="14">
        <v>475.74987123541109</v>
      </c>
      <c r="I140" s="14">
        <v>264.50475423041075</v>
      </c>
      <c r="J140" s="14">
        <v>268.8856204710703</v>
      </c>
      <c r="K140" s="14">
        <v>808.67020929326645</v>
      </c>
      <c r="L140" s="14">
        <v>1524.715410647505</v>
      </c>
      <c r="M140" s="14">
        <v>1662.0270833501932</v>
      </c>
      <c r="N140" s="14">
        <v>1739.0150194364944</v>
      </c>
      <c r="O140" s="14">
        <v>1823.1745858265783</v>
      </c>
    </row>
    <row r="141" spans="1:15" x14ac:dyDescent="0.3">
      <c r="A141" s="3" t="str">
        <f>INDEX('R1. Scenario specifications'!$C$11:$C$49,MATCH($B141,'R1. Scenario specifications'!$A$11:$A$49,0))</f>
        <v>Current 1.5DS, 2030 start, 'Expect the Unexpected' but with cheap renewables</v>
      </c>
      <c r="B141" s="3" t="s">
        <v>22</v>
      </c>
      <c r="C141" s="3" t="s">
        <v>304</v>
      </c>
      <c r="D141" s="3" t="s">
        <v>339</v>
      </c>
      <c r="E141" s="14">
        <v>0</v>
      </c>
      <c r="F141" s="14">
        <v>820.1343749999993</v>
      </c>
      <c r="G141" s="14">
        <v>1443.6724304473942</v>
      </c>
      <c r="H141" s="14">
        <v>1052.0173273984929</v>
      </c>
      <c r="I141" s="14">
        <v>3137.1282937127071</v>
      </c>
      <c r="J141" s="14">
        <v>6377.6069421527845</v>
      </c>
      <c r="K141" s="14">
        <v>699.36680933811806</v>
      </c>
      <c r="L141" s="14">
        <v>1058.7345167283618</v>
      </c>
      <c r="M141" s="14">
        <v>6095.8487044324165</v>
      </c>
      <c r="N141" s="14">
        <v>9679.9900431977057</v>
      </c>
      <c r="O141" s="14">
        <v>25398.591853176018</v>
      </c>
    </row>
    <row r="142" spans="1:15" x14ac:dyDescent="0.3">
      <c r="A142" s="3" t="str">
        <f>INDEX('R1. Scenario specifications'!$C$11:$C$49,MATCH($B142,'R1. Scenario specifications'!$A$11:$A$49,0))</f>
        <v>Current 1.5DS, 2030 start, 'Expect the Unexpected' but with cheap renewables</v>
      </c>
      <c r="B142" s="3" t="s">
        <v>22</v>
      </c>
      <c r="C142" s="3" t="s">
        <v>51</v>
      </c>
      <c r="D142" s="3" t="s">
        <v>340</v>
      </c>
      <c r="E142" s="14">
        <v>26912.591385085678</v>
      </c>
      <c r="F142" s="14">
        <v>24726.384098969917</v>
      </c>
      <c r="G142" s="14">
        <v>20023.092920446408</v>
      </c>
      <c r="H142" s="14">
        <v>26227.564065710481</v>
      </c>
      <c r="I142" s="14">
        <v>15443.534969489818</v>
      </c>
      <c r="J142" s="14">
        <v>7560.0899741989788</v>
      </c>
      <c r="K142" s="14">
        <v>14394.643709826965</v>
      </c>
      <c r="L142" s="14">
        <v>35338.370317582987</v>
      </c>
      <c r="M142" s="14">
        <v>36505.411751197535</v>
      </c>
      <c r="N142" s="14">
        <v>36636.670313406888</v>
      </c>
      <c r="O142" s="14">
        <v>21777.140311910884</v>
      </c>
    </row>
    <row r="143" spans="1:15" x14ac:dyDescent="0.3">
      <c r="A143" s="3" t="str">
        <f>INDEX('R1. Scenario specifications'!$C$11:$C$49,MATCH($B143,'R1. Scenario specifications'!$A$11:$A$49,0))</f>
        <v>Current 1.5DS, 2030 start, 'Expect the Unexpected' but with cheap renewables</v>
      </c>
      <c r="B143" s="3" t="s">
        <v>22</v>
      </c>
      <c r="C143" s="3" t="s">
        <v>305</v>
      </c>
      <c r="D143" s="3" t="s">
        <v>341</v>
      </c>
      <c r="E143" s="14">
        <v>0.55126200000000003</v>
      </c>
      <c r="F143" s="14">
        <v>0.27214200000000005</v>
      </c>
      <c r="G143" s="14">
        <v>39.715545758633766</v>
      </c>
      <c r="H143" s="14">
        <v>1069.5883483275736</v>
      </c>
      <c r="I143" s="14">
        <v>3958.6756341595292</v>
      </c>
      <c r="J143" s="14">
        <v>7610.0245500752426</v>
      </c>
      <c r="K143" s="14">
        <v>11324.596252888981</v>
      </c>
      <c r="L143" s="14">
        <v>16792.837592525681</v>
      </c>
      <c r="M143" s="14">
        <v>17955.195436042941</v>
      </c>
      <c r="N143" s="14">
        <v>19158.799056326745</v>
      </c>
      <c r="O143" s="14">
        <v>20266.874404048951</v>
      </c>
    </row>
    <row r="144" spans="1:15" x14ac:dyDescent="0.3">
      <c r="A144" s="3" t="str">
        <f>INDEX('R1. Scenario specifications'!$C$11:$C$49,MATCH($B144,'R1. Scenario specifications'!$A$11:$A$49,0))</f>
        <v>Current 1.5DS, 2030 start, 'Expect the Unexpected' but with cheap renewables</v>
      </c>
      <c r="B144" s="3" t="s">
        <v>22</v>
      </c>
      <c r="C144" s="3" t="s">
        <v>306</v>
      </c>
      <c r="D144" s="3" t="s">
        <v>342</v>
      </c>
      <c r="E144" s="14">
        <v>138.88007226094669</v>
      </c>
      <c r="F144" s="14">
        <v>231.92798987852072</v>
      </c>
      <c r="G144" s="14">
        <v>2394.994594260861</v>
      </c>
      <c r="H144" s="14">
        <v>2330.3092353624561</v>
      </c>
      <c r="I144" s="14">
        <v>163.32791129814206</v>
      </c>
      <c r="J144" s="14">
        <v>74.158599766819151</v>
      </c>
      <c r="K144" s="14">
        <v>121.81968416948789</v>
      </c>
      <c r="L144" s="14">
        <v>1966.5079424631244</v>
      </c>
      <c r="M144" s="14">
        <v>2098.2193626732828</v>
      </c>
      <c r="N144" s="14">
        <v>1224.6720614170863</v>
      </c>
      <c r="O144" s="14">
        <v>479.69093583630934</v>
      </c>
    </row>
    <row r="145" spans="1:15" x14ac:dyDescent="0.3">
      <c r="A145" s="3" t="str">
        <f>INDEX('R1. Scenario specifications'!$C$11:$C$49,MATCH($B145,'R1. Scenario specifications'!$A$11:$A$49,0))</f>
        <v>Current 1.5DS, 2030 start, 'Expect the Unexpected' but with cheap renewables</v>
      </c>
      <c r="B145" s="3" t="s">
        <v>22</v>
      </c>
      <c r="C145" s="3" t="s">
        <v>52</v>
      </c>
      <c r="D145" s="3" t="s">
        <v>343</v>
      </c>
      <c r="E145" s="14">
        <v>47506.40120156738</v>
      </c>
      <c r="F145" s="14">
        <v>51400.759098340677</v>
      </c>
      <c r="G145" s="14">
        <v>62205.547314401418</v>
      </c>
      <c r="H145" s="14">
        <v>44368.574800589129</v>
      </c>
      <c r="I145" s="14">
        <v>19473.450933399832</v>
      </c>
      <c r="J145" s="14">
        <v>8069.5168129515114</v>
      </c>
      <c r="K145" s="14">
        <v>3902.6992080658697</v>
      </c>
      <c r="L145" s="14">
        <v>5175.5782289978333</v>
      </c>
      <c r="M145" s="14">
        <v>5200.9885390699064</v>
      </c>
      <c r="N145" s="14">
        <v>3614.9313616241529</v>
      </c>
      <c r="O145" s="14">
        <v>3103.0436041440403</v>
      </c>
    </row>
    <row r="146" spans="1:15" x14ac:dyDescent="0.3">
      <c r="A146" s="3" t="str">
        <f>INDEX('R1. Scenario specifications'!$C$11:$C$49,MATCH($B146,'R1. Scenario specifications'!$A$11:$A$49,0))</f>
        <v>Current 1.5DS, 2030 start, 'Expect the Unexpected' but with cheap renewables</v>
      </c>
      <c r="B146" s="3" t="s">
        <v>22</v>
      </c>
      <c r="C146" s="3" t="s">
        <v>53</v>
      </c>
      <c r="D146" s="3" t="s">
        <v>344</v>
      </c>
      <c r="E146" s="14">
        <v>703.55932605471685</v>
      </c>
      <c r="F146" s="14">
        <v>336.28891863781013</v>
      </c>
      <c r="G146" s="14">
        <v>879.49041101293551</v>
      </c>
      <c r="H146" s="14">
        <v>1203.2907539892126</v>
      </c>
      <c r="I146" s="14">
        <v>7616.6373055870381</v>
      </c>
      <c r="J146" s="14">
        <v>12079.914128303324</v>
      </c>
      <c r="K146" s="14">
        <v>10651.997333229214</v>
      </c>
      <c r="L146" s="14">
        <v>4190.1909227192509</v>
      </c>
      <c r="M146" s="14">
        <v>1355.5384349349611</v>
      </c>
      <c r="N146" s="14">
        <v>1918.945887926367</v>
      </c>
      <c r="O146" s="14">
        <v>1046.1541050573392</v>
      </c>
    </row>
    <row r="147" spans="1:15" x14ac:dyDescent="0.3">
      <c r="A147" s="3" t="str">
        <f>INDEX('R1. Scenario specifications'!$C$11:$C$49,MATCH($B147,'R1. Scenario specifications'!$A$11:$A$49,0))</f>
        <v>Current 1.5DS, 2030 start, 'Expect the Unexpected' but with cheap renewables</v>
      </c>
      <c r="B147" s="3" t="s">
        <v>22</v>
      </c>
      <c r="C147" s="3" t="s">
        <v>307</v>
      </c>
      <c r="D147" s="3" t="s">
        <v>345</v>
      </c>
      <c r="E147" s="14">
        <v>0</v>
      </c>
      <c r="F147" s="14">
        <v>0</v>
      </c>
      <c r="G147" s="14">
        <v>0</v>
      </c>
      <c r="H147" s="14">
        <v>335.71272520527293</v>
      </c>
      <c r="I147" s="14">
        <v>91.856503278553603</v>
      </c>
      <c r="J147" s="14">
        <v>158.80611079611049</v>
      </c>
      <c r="K147" s="14">
        <v>198.6659976831271</v>
      </c>
      <c r="L147" s="14">
        <v>102.32590979169582</v>
      </c>
      <c r="M147" s="14">
        <v>45.802020741001641</v>
      </c>
      <c r="N147" s="14">
        <v>61.321039563156482</v>
      </c>
      <c r="O147" s="14">
        <v>189.17104888146693</v>
      </c>
    </row>
    <row r="148" spans="1:15" x14ac:dyDescent="0.3">
      <c r="A148" s="3" t="str">
        <f>INDEX('R1. Scenario specifications'!$C$11:$C$49,MATCH($B148,'R1. Scenario specifications'!$A$11:$A$49,0))</f>
        <v>Current 1.5DS, 2030 start, 'Expect the Unexpected' but with cheap renewables</v>
      </c>
      <c r="B148" s="3" t="s">
        <v>22</v>
      </c>
      <c r="C148" s="3" t="s">
        <v>54</v>
      </c>
      <c r="D148" s="3" t="s">
        <v>255</v>
      </c>
      <c r="E148" s="14">
        <v>396.62220438997127</v>
      </c>
      <c r="F148" s="14">
        <v>176.86416189251261</v>
      </c>
      <c r="G148" s="14">
        <v>1833.16729548234</v>
      </c>
      <c r="H148" s="14">
        <v>5667.8396467895318</v>
      </c>
      <c r="I148" s="14">
        <v>2751.6741705360464</v>
      </c>
      <c r="J148" s="14">
        <v>982.78081683562573</v>
      </c>
      <c r="K148" s="14">
        <v>506.91166726092206</v>
      </c>
      <c r="L148" s="14">
        <v>6300.0087006199965</v>
      </c>
      <c r="M148" s="14">
        <v>8023.8996651818061</v>
      </c>
      <c r="N148" s="14">
        <v>6751.4610329358093</v>
      </c>
      <c r="O148" s="14">
        <v>8561.6500568904485</v>
      </c>
    </row>
    <row r="149" spans="1:15" x14ac:dyDescent="0.3">
      <c r="A149" s="3" t="str">
        <f>INDEX('R1. Scenario specifications'!$C$11:$C$49,MATCH($B149,'R1. Scenario specifications'!$A$11:$A$49,0))</f>
        <v>Current 1.5DS, 2030 start, 'Expect the Unexpected' but with cheap renewables</v>
      </c>
      <c r="B149" s="3" t="s">
        <v>22</v>
      </c>
      <c r="C149" s="3" t="s">
        <v>308</v>
      </c>
      <c r="D149" s="3" t="s">
        <v>326</v>
      </c>
      <c r="E149" s="14">
        <v>0</v>
      </c>
      <c r="F149" s="14">
        <v>0</v>
      </c>
      <c r="G149" s="14">
        <v>203.8949376312157</v>
      </c>
      <c r="H149" s="14">
        <v>757.03231328497168</v>
      </c>
      <c r="I149" s="14">
        <v>443.3420621852872</v>
      </c>
      <c r="J149" s="14">
        <v>343.8889274446866</v>
      </c>
      <c r="K149" s="14">
        <v>349.95632662614707</v>
      </c>
      <c r="L149" s="14">
        <v>1530.2501701795363</v>
      </c>
      <c r="M149" s="14">
        <v>1609.3879076697747</v>
      </c>
      <c r="N149" s="14">
        <v>1708.3509621885119</v>
      </c>
      <c r="O149" s="14">
        <v>1810.0897230990213</v>
      </c>
    </row>
    <row r="150" spans="1:15" x14ac:dyDescent="0.3">
      <c r="A150" s="3" t="str">
        <f>INDEX('R1. Scenario specifications'!$C$11:$C$49,MATCH($B150,'R1. Scenario specifications'!$A$11:$A$49,0))</f>
        <v>Current 1.5DS, 2020 start, 'Expect the Unexpected' but with cheap CCS</v>
      </c>
      <c r="B150" s="3" t="s">
        <v>23</v>
      </c>
      <c r="C150" s="3" t="s">
        <v>304</v>
      </c>
      <c r="D150" s="3" t="s">
        <v>339</v>
      </c>
      <c r="E150" s="14">
        <v>0</v>
      </c>
      <c r="F150" s="14">
        <v>820.1343749999993</v>
      </c>
      <c r="G150" s="14">
        <v>1443.6724304473942</v>
      </c>
      <c r="H150" s="14">
        <v>3997.269150927073</v>
      </c>
      <c r="I150" s="14">
        <v>3430.8329537577511</v>
      </c>
      <c r="J150" s="14">
        <v>1695.7028629031722</v>
      </c>
      <c r="K150" s="14">
        <v>10.2551771891643</v>
      </c>
      <c r="L150" s="14">
        <v>2087.2643529085162</v>
      </c>
      <c r="M150" s="14">
        <v>6761.2522404986812</v>
      </c>
      <c r="N150" s="14">
        <v>7802.0009983863038</v>
      </c>
      <c r="O150" s="14">
        <v>13650.719100471004</v>
      </c>
    </row>
    <row r="151" spans="1:15" x14ac:dyDescent="0.3">
      <c r="A151" s="3" t="str">
        <f>INDEX('R1. Scenario specifications'!$C$11:$C$49,MATCH($B151,'R1. Scenario specifications'!$A$11:$A$49,0))</f>
        <v>Current 1.5DS, 2020 start, 'Expect the Unexpected' but with cheap CCS</v>
      </c>
      <c r="B151" s="3" t="s">
        <v>23</v>
      </c>
      <c r="C151" s="3" t="s">
        <v>51</v>
      </c>
      <c r="D151" s="3" t="s">
        <v>340</v>
      </c>
      <c r="E151" s="14">
        <v>26912.591385085678</v>
      </c>
      <c r="F151" s="14">
        <v>24726.384098969917</v>
      </c>
      <c r="G151" s="14">
        <v>20023.092920446408</v>
      </c>
      <c r="H151" s="14">
        <v>15241.794989838872</v>
      </c>
      <c r="I151" s="14">
        <v>12173.824872690442</v>
      </c>
      <c r="J151" s="14">
        <v>12070.190365794544</v>
      </c>
      <c r="K151" s="14">
        <v>21868.79766633124</v>
      </c>
      <c r="L151" s="14">
        <v>33795.753448767508</v>
      </c>
      <c r="M151" s="14">
        <v>30622.807380533464</v>
      </c>
      <c r="N151" s="14">
        <v>27045.282922886039</v>
      </c>
      <c r="O151" s="14">
        <v>16888.476879466376</v>
      </c>
    </row>
    <row r="152" spans="1:15" x14ac:dyDescent="0.3">
      <c r="A152" s="3" t="str">
        <f>INDEX('R1. Scenario specifications'!$C$11:$C$49,MATCH($B152,'R1. Scenario specifications'!$A$11:$A$49,0))</f>
        <v>Current 1.5DS, 2020 start, 'Expect the Unexpected' but with cheap CCS</v>
      </c>
      <c r="B152" s="3" t="s">
        <v>23</v>
      </c>
      <c r="C152" s="3" t="s">
        <v>305</v>
      </c>
      <c r="D152" s="3" t="s">
        <v>341</v>
      </c>
      <c r="E152" s="14">
        <v>0.55126200000000003</v>
      </c>
      <c r="F152" s="14">
        <v>0.27214200000000005</v>
      </c>
      <c r="G152" s="14">
        <v>39.715545758633766</v>
      </c>
      <c r="H152" s="14">
        <v>2009.1559159620085</v>
      </c>
      <c r="I152" s="14">
        <v>4276.6761264316383</v>
      </c>
      <c r="J152" s="14">
        <v>9146.7579142553132</v>
      </c>
      <c r="K152" s="14">
        <v>15837.110374464553</v>
      </c>
      <c r="L152" s="14">
        <v>17749.003158195694</v>
      </c>
      <c r="M152" s="14">
        <v>19818.308402284343</v>
      </c>
      <c r="N152" s="14">
        <v>21868.590690274545</v>
      </c>
      <c r="O152" s="14">
        <v>23569.322292819652</v>
      </c>
    </row>
    <row r="153" spans="1:15" x14ac:dyDescent="0.3">
      <c r="A153" s="3" t="str">
        <f>INDEX('R1. Scenario specifications'!$C$11:$C$49,MATCH($B153,'R1. Scenario specifications'!$A$11:$A$49,0))</f>
        <v>Current 1.5DS, 2020 start, 'Expect the Unexpected' but with cheap CCS</v>
      </c>
      <c r="B153" s="3" t="s">
        <v>23</v>
      </c>
      <c r="C153" s="3" t="s">
        <v>306</v>
      </c>
      <c r="D153" s="3" t="s">
        <v>342</v>
      </c>
      <c r="E153" s="14">
        <v>138.88007226094669</v>
      </c>
      <c r="F153" s="14">
        <v>231.92798987852072</v>
      </c>
      <c r="G153" s="14">
        <v>2394.994594260861</v>
      </c>
      <c r="H153" s="14">
        <v>848.17217477146085</v>
      </c>
      <c r="I153" s="14">
        <v>57.174354247597172</v>
      </c>
      <c r="J153" s="14">
        <v>22.263298786096001</v>
      </c>
      <c r="K153" s="14">
        <v>158.72204055959838</v>
      </c>
      <c r="L153" s="14">
        <v>282.33333385123592</v>
      </c>
      <c r="M153" s="14">
        <v>260.77409849109915</v>
      </c>
      <c r="N153" s="14">
        <v>438.19741336363865</v>
      </c>
      <c r="O153" s="14">
        <v>722.92709240846523</v>
      </c>
    </row>
    <row r="154" spans="1:15" x14ac:dyDescent="0.3">
      <c r="A154" s="3" t="str">
        <f>INDEX('R1. Scenario specifications'!$C$11:$C$49,MATCH($B154,'R1. Scenario specifications'!$A$11:$A$49,0))</f>
        <v>Current 1.5DS, 2020 start, 'Expect the Unexpected' but with cheap CCS</v>
      </c>
      <c r="B154" s="3" t="s">
        <v>23</v>
      </c>
      <c r="C154" s="3" t="s">
        <v>52</v>
      </c>
      <c r="D154" s="3" t="s">
        <v>343</v>
      </c>
      <c r="E154" s="14">
        <v>47506.40120156738</v>
      </c>
      <c r="F154" s="14">
        <v>51400.759098340677</v>
      </c>
      <c r="G154" s="14">
        <v>62205.547314401418</v>
      </c>
      <c r="H154" s="14">
        <v>32836.551382258724</v>
      </c>
      <c r="I154" s="14">
        <v>14338.097884258801</v>
      </c>
      <c r="J154" s="14">
        <v>4949.1789881548129</v>
      </c>
      <c r="K154" s="14">
        <v>1813.6021410023577</v>
      </c>
      <c r="L154" s="14">
        <v>1980.5317855848712</v>
      </c>
      <c r="M154" s="14">
        <v>1591.4995730551043</v>
      </c>
      <c r="N154" s="14">
        <v>967.84017718627649</v>
      </c>
      <c r="O154" s="14">
        <v>880.27188959819921</v>
      </c>
    </row>
    <row r="155" spans="1:15" x14ac:dyDescent="0.3">
      <c r="A155" s="3" t="str">
        <f>INDEX('R1. Scenario specifications'!$C$11:$C$49,MATCH($B155,'R1. Scenario specifications'!$A$11:$A$49,0))</f>
        <v>Current 1.5DS, 2020 start, 'Expect the Unexpected' but with cheap CCS</v>
      </c>
      <c r="B155" s="3" t="s">
        <v>23</v>
      </c>
      <c r="C155" s="3" t="s">
        <v>53</v>
      </c>
      <c r="D155" s="3" t="s">
        <v>344</v>
      </c>
      <c r="E155" s="14">
        <v>703.55932605471685</v>
      </c>
      <c r="F155" s="14">
        <v>336.28891863781013</v>
      </c>
      <c r="G155" s="14">
        <v>879.49041101293551</v>
      </c>
      <c r="H155" s="14">
        <v>5579.9270734302618</v>
      </c>
      <c r="I155" s="14">
        <v>8234.6286308687286</v>
      </c>
      <c r="J155" s="14">
        <v>10107.276501372218</v>
      </c>
      <c r="K155" s="14">
        <v>12737.42825098976</v>
      </c>
      <c r="L155" s="14">
        <v>5512.8850966691498</v>
      </c>
      <c r="M155" s="14">
        <v>3931.7778572938601</v>
      </c>
      <c r="N155" s="14">
        <v>6130.6375251161298</v>
      </c>
      <c r="O155" s="14">
        <v>7455.0289110144786</v>
      </c>
    </row>
    <row r="156" spans="1:15" x14ac:dyDescent="0.3">
      <c r="A156" s="3" t="str">
        <f>INDEX('R1. Scenario specifications'!$C$11:$C$49,MATCH($B156,'R1. Scenario specifications'!$A$11:$A$49,0))</f>
        <v>Current 1.5DS, 2020 start, 'Expect the Unexpected' but with cheap CCS</v>
      </c>
      <c r="B156" s="3" t="s">
        <v>23</v>
      </c>
      <c r="C156" s="3" t="s">
        <v>307</v>
      </c>
      <c r="D156" s="3" t="s">
        <v>345</v>
      </c>
      <c r="E156" s="14">
        <v>0</v>
      </c>
      <c r="F156" s="14">
        <v>0</v>
      </c>
      <c r="G156" s="14">
        <v>0</v>
      </c>
      <c r="H156" s="14">
        <v>86.036535936443201</v>
      </c>
      <c r="I156" s="14">
        <v>105.14202158795842</v>
      </c>
      <c r="J156" s="14">
        <v>114.105766312586</v>
      </c>
      <c r="K156" s="14">
        <v>110.6898240748269</v>
      </c>
      <c r="L156" s="14">
        <v>122.9080380356889</v>
      </c>
      <c r="M156" s="14">
        <v>196.07835722269149</v>
      </c>
      <c r="N156" s="14">
        <v>210.0018410934785</v>
      </c>
      <c r="O156" s="14">
        <v>351.88449082683707</v>
      </c>
    </row>
    <row r="157" spans="1:15" x14ac:dyDescent="0.3">
      <c r="A157" s="3" t="str">
        <f>INDEX('R1. Scenario specifications'!$C$11:$C$49,MATCH($B157,'R1. Scenario specifications'!$A$11:$A$49,0))</f>
        <v>Current 1.5DS, 2020 start, 'Expect the Unexpected' but with cheap CCS</v>
      </c>
      <c r="B157" s="3" t="s">
        <v>23</v>
      </c>
      <c r="C157" s="3" t="s">
        <v>54</v>
      </c>
      <c r="D157" s="3" t="s">
        <v>255</v>
      </c>
      <c r="E157" s="14">
        <v>396.62220438997127</v>
      </c>
      <c r="F157" s="14">
        <v>176.86416189251261</v>
      </c>
      <c r="G157" s="14">
        <v>1833.16729548234</v>
      </c>
      <c r="H157" s="14">
        <v>1220.9986653371452</v>
      </c>
      <c r="I157" s="14">
        <v>306.3715354229239</v>
      </c>
      <c r="J157" s="14">
        <v>690.56282252351366</v>
      </c>
      <c r="K157" s="14">
        <v>523.69449769558696</v>
      </c>
      <c r="L157" s="14">
        <v>772.93370453511193</v>
      </c>
      <c r="M157" s="14">
        <v>891.67405813530593</v>
      </c>
      <c r="N157" s="14">
        <v>893.41992114210188</v>
      </c>
      <c r="O157" s="14">
        <v>5382.2293257291221</v>
      </c>
    </row>
    <row r="158" spans="1:15" x14ac:dyDescent="0.3">
      <c r="A158" s="3" t="str">
        <f>INDEX('R1. Scenario specifications'!$C$11:$C$49,MATCH($B158,'R1. Scenario specifications'!$A$11:$A$49,0))</f>
        <v>Current 1.5DS, 2020 start, 'Expect the Unexpected' but with cheap CCS</v>
      </c>
      <c r="B158" s="3" t="s">
        <v>23</v>
      </c>
      <c r="C158" s="3" t="s">
        <v>308</v>
      </c>
      <c r="D158" s="3" t="s">
        <v>326</v>
      </c>
      <c r="E158" s="14">
        <v>0</v>
      </c>
      <c r="F158" s="14">
        <v>0</v>
      </c>
      <c r="G158" s="14">
        <v>203.8949376312157</v>
      </c>
      <c r="H158" s="14">
        <v>473.42411192456046</v>
      </c>
      <c r="I158" s="14">
        <v>261.99951900926931</v>
      </c>
      <c r="J158" s="14">
        <v>267.77414354671589</v>
      </c>
      <c r="K158" s="14">
        <v>746.22256467047987</v>
      </c>
      <c r="L158" s="14">
        <v>1522.2338674813541</v>
      </c>
      <c r="M158" s="14">
        <v>1658.7514543495886</v>
      </c>
      <c r="N158" s="14">
        <v>1745.073024767783</v>
      </c>
      <c r="O158" s="14">
        <v>1823.1745858265786</v>
      </c>
    </row>
    <row r="159" spans="1:15" x14ac:dyDescent="0.3">
      <c r="A159" s="3" t="str">
        <f>INDEX('R1. Scenario specifications'!$C$11:$C$49,MATCH($B159,'R1. Scenario specifications'!$A$11:$A$49,0))</f>
        <v>Current 1.5DS, 2030 start, 'Expect the Unexpected' but with cheap CCS</v>
      </c>
      <c r="B159" s="3" t="s">
        <v>24</v>
      </c>
      <c r="C159" s="3" t="s">
        <v>304</v>
      </c>
      <c r="D159" s="3" t="s">
        <v>339</v>
      </c>
      <c r="E159" s="14">
        <v>0</v>
      </c>
      <c r="F159" s="14">
        <v>820.1343749999993</v>
      </c>
      <c r="G159" s="14">
        <v>1443.6724304473942</v>
      </c>
      <c r="H159" s="14">
        <v>1052.0173273984929</v>
      </c>
      <c r="I159" s="14">
        <v>3137.3585720713772</v>
      </c>
      <c r="J159" s="14">
        <v>5832.1064336130949</v>
      </c>
      <c r="K159" s="14">
        <v>1079.9026866588292</v>
      </c>
      <c r="L159" s="14">
        <v>1256.6776088637512</v>
      </c>
      <c r="M159" s="14">
        <v>6817.1865726983178</v>
      </c>
      <c r="N159" s="14">
        <v>9076.8879256222845</v>
      </c>
      <c r="O159" s="14">
        <v>25065.294814715882</v>
      </c>
    </row>
    <row r="160" spans="1:15" x14ac:dyDescent="0.3">
      <c r="A160" s="3" t="str">
        <f>INDEX('R1. Scenario specifications'!$C$11:$C$49,MATCH($B160,'R1. Scenario specifications'!$A$11:$A$49,0))</f>
        <v>Current 1.5DS, 2030 start, 'Expect the Unexpected' but with cheap CCS</v>
      </c>
      <c r="B160" s="3" t="s">
        <v>24</v>
      </c>
      <c r="C160" s="3" t="s">
        <v>51</v>
      </c>
      <c r="D160" s="3" t="s">
        <v>340</v>
      </c>
      <c r="E160" s="14">
        <v>26912.591385085678</v>
      </c>
      <c r="F160" s="14">
        <v>24726.384098969917</v>
      </c>
      <c r="G160" s="14">
        <v>20023.092920446408</v>
      </c>
      <c r="H160" s="14">
        <v>26227.564065710481</v>
      </c>
      <c r="I160" s="14">
        <v>15425.681231690936</v>
      </c>
      <c r="J160" s="14">
        <v>8105.36056554487</v>
      </c>
      <c r="K160" s="14">
        <v>13725.361658272255</v>
      </c>
      <c r="L160" s="14">
        <v>34960.317454184558</v>
      </c>
      <c r="M160" s="14">
        <v>35467.181671617087</v>
      </c>
      <c r="N160" s="14">
        <v>36682.49131283749</v>
      </c>
      <c r="O160" s="14">
        <v>21819.753731529781</v>
      </c>
    </row>
    <row r="161" spans="1:15" x14ac:dyDescent="0.3">
      <c r="A161" s="3" t="str">
        <f>INDEX('R1. Scenario specifications'!$C$11:$C$49,MATCH($B161,'R1. Scenario specifications'!$A$11:$A$49,0))</f>
        <v>Current 1.5DS, 2030 start, 'Expect the Unexpected' but with cheap CCS</v>
      </c>
      <c r="B161" s="3" t="s">
        <v>24</v>
      </c>
      <c r="C161" s="3" t="s">
        <v>305</v>
      </c>
      <c r="D161" s="3" t="s">
        <v>341</v>
      </c>
      <c r="E161" s="14">
        <v>0.55126200000000003</v>
      </c>
      <c r="F161" s="14">
        <v>0.27214200000000005</v>
      </c>
      <c r="G161" s="14">
        <v>39.715545758633766</v>
      </c>
      <c r="H161" s="14">
        <v>1069.5883483275736</v>
      </c>
      <c r="I161" s="14">
        <v>3966.4963601593126</v>
      </c>
      <c r="J161" s="14">
        <v>6894.9014296328914</v>
      </c>
      <c r="K161" s="14">
        <v>10816.812001363774</v>
      </c>
      <c r="L161" s="14">
        <v>16681.220257384932</v>
      </c>
      <c r="M161" s="14">
        <v>17961.734483011198</v>
      </c>
      <c r="N161" s="14">
        <v>19158.368947007322</v>
      </c>
      <c r="O161" s="14">
        <v>20266.673327604592</v>
      </c>
    </row>
    <row r="162" spans="1:15" x14ac:dyDescent="0.3">
      <c r="A162" s="3" t="str">
        <f>INDEX('R1. Scenario specifications'!$C$11:$C$49,MATCH($B162,'R1. Scenario specifications'!$A$11:$A$49,0))</f>
        <v>Current 1.5DS, 2030 start, 'Expect the Unexpected' but with cheap CCS</v>
      </c>
      <c r="B162" s="3" t="s">
        <v>24</v>
      </c>
      <c r="C162" s="3" t="s">
        <v>306</v>
      </c>
      <c r="D162" s="3" t="s">
        <v>342</v>
      </c>
      <c r="E162" s="14">
        <v>138.88007226094669</v>
      </c>
      <c r="F162" s="14">
        <v>231.92798987852072</v>
      </c>
      <c r="G162" s="14">
        <v>2394.994594260861</v>
      </c>
      <c r="H162" s="14">
        <v>2330.3092353624561</v>
      </c>
      <c r="I162" s="14">
        <v>165.80586166840516</v>
      </c>
      <c r="J162" s="14">
        <v>74.158599766819151</v>
      </c>
      <c r="K162" s="14">
        <v>121.8196841694879</v>
      </c>
      <c r="L162" s="14">
        <v>1891.8147096448797</v>
      </c>
      <c r="M162" s="14">
        <v>1959.8944802972605</v>
      </c>
      <c r="N162" s="14">
        <v>1149.7246438396105</v>
      </c>
      <c r="O162" s="14">
        <v>475.93299557212333</v>
      </c>
    </row>
    <row r="163" spans="1:15" x14ac:dyDescent="0.3">
      <c r="A163" s="3" t="str">
        <f>INDEX('R1. Scenario specifications'!$C$11:$C$49,MATCH($B163,'R1. Scenario specifications'!$A$11:$A$49,0))</f>
        <v>Current 1.5DS, 2030 start, 'Expect the Unexpected' but with cheap CCS</v>
      </c>
      <c r="B163" s="3" t="s">
        <v>24</v>
      </c>
      <c r="C163" s="3" t="s">
        <v>52</v>
      </c>
      <c r="D163" s="3" t="s">
        <v>343</v>
      </c>
      <c r="E163" s="14">
        <v>47506.40120156738</v>
      </c>
      <c r="F163" s="14">
        <v>51400.759098340677</v>
      </c>
      <c r="G163" s="14">
        <v>62205.547314401418</v>
      </c>
      <c r="H163" s="14">
        <v>44368.574800589129</v>
      </c>
      <c r="I163" s="14">
        <v>19454.135640253164</v>
      </c>
      <c r="J163" s="14">
        <v>9143.9110010450331</v>
      </c>
      <c r="K163" s="14">
        <v>4400.0001295465436</v>
      </c>
      <c r="L163" s="14">
        <v>5249.2751129270737</v>
      </c>
      <c r="M163" s="14">
        <v>5007.0361966895134</v>
      </c>
      <c r="N163" s="14">
        <v>3514.8134358889934</v>
      </c>
      <c r="O163" s="14">
        <v>3104.1086534306482</v>
      </c>
    </row>
    <row r="164" spans="1:15" x14ac:dyDescent="0.3">
      <c r="A164" s="3" t="str">
        <f>INDEX('R1. Scenario specifications'!$C$11:$C$49,MATCH($B164,'R1. Scenario specifications'!$A$11:$A$49,0))</f>
        <v>Current 1.5DS, 2030 start, 'Expect the Unexpected' but with cheap CCS</v>
      </c>
      <c r="B164" s="3" t="s">
        <v>24</v>
      </c>
      <c r="C164" s="3" t="s">
        <v>53</v>
      </c>
      <c r="D164" s="3" t="s">
        <v>344</v>
      </c>
      <c r="E164" s="14">
        <v>703.55932605471685</v>
      </c>
      <c r="F164" s="14">
        <v>336.28891863781013</v>
      </c>
      <c r="G164" s="14">
        <v>879.49041101293551</v>
      </c>
      <c r="H164" s="14">
        <v>1203.2907539892126</v>
      </c>
      <c r="I164" s="14">
        <v>7650.4021480794781</v>
      </c>
      <c r="J164" s="14">
        <v>12080.038576400813</v>
      </c>
      <c r="K164" s="14">
        <v>11042.588533819951</v>
      </c>
      <c r="L164" s="14">
        <v>4414.6298592081293</v>
      </c>
      <c r="M164" s="14">
        <v>1357.9114980731615</v>
      </c>
      <c r="N164" s="14">
        <v>1920.2517931765376</v>
      </c>
      <c r="O164" s="14">
        <v>1045.7519579569673</v>
      </c>
    </row>
    <row r="165" spans="1:15" x14ac:dyDescent="0.3">
      <c r="A165" s="3" t="str">
        <f>INDEX('R1. Scenario specifications'!$C$11:$C$49,MATCH($B165,'R1. Scenario specifications'!$A$11:$A$49,0))</f>
        <v>Current 1.5DS, 2030 start, 'Expect the Unexpected' but with cheap CCS</v>
      </c>
      <c r="B165" s="3" t="s">
        <v>24</v>
      </c>
      <c r="C165" s="3" t="s">
        <v>307</v>
      </c>
      <c r="D165" s="3" t="s">
        <v>345</v>
      </c>
      <c r="E165" s="14">
        <v>0</v>
      </c>
      <c r="F165" s="14">
        <v>0</v>
      </c>
      <c r="G165" s="14">
        <v>0</v>
      </c>
      <c r="H165" s="14">
        <v>335.71272520527293</v>
      </c>
      <c r="I165" s="14">
        <v>91.856503278553603</v>
      </c>
      <c r="J165" s="14">
        <v>159.5319941442016</v>
      </c>
      <c r="K165" s="14">
        <v>198.66599768312696</v>
      </c>
      <c r="L165" s="14">
        <v>102.09782463220604</v>
      </c>
      <c r="M165" s="14">
        <v>45.802082839586056</v>
      </c>
      <c r="N165" s="14">
        <v>91.457782400352798</v>
      </c>
      <c r="O165" s="14">
        <v>176.64651103391788</v>
      </c>
    </row>
    <row r="166" spans="1:15" x14ac:dyDescent="0.3">
      <c r="A166" s="3" t="str">
        <f>INDEX('R1. Scenario specifications'!$C$11:$C$49,MATCH($B166,'R1. Scenario specifications'!$A$11:$A$49,0))</f>
        <v>Current 1.5DS, 2030 start, 'Expect the Unexpected' but with cheap CCS</v>
      </c>
      <c r="B166" s="3" t="s">
        <v>24</v>
      </c>
      <c r="C166" s="3" t="s">
        <v>54</v>
      </c>
      <c r="D166" s="3" t="s">
        <v>255</v>
      </c>
      <c r="E166" s="14">
        <v>396.62220438997127</v>
      </c>
      <c r="F166" s="14">
        <v>176.86416189251261</v>
      </c>
      <c r="G166" s="14">
        <v>1833.16729548234</v>
      </c>
      <c r="H166" s="14">
        <v>5667.8396467895318</v>
      </c>
      <c r="I166" s="14">
        <v>2739.3001998096543</v>
      </c>
      <c r="J166" s="14">
        <v>982.78003937993628</v>
      </c>
      <c r="K166" s="14">
        <v>510.80123594585905</v>
      </c>
      <c r="L166" s="14">
        <v>6238.0076156975056</v>
      </c>
      <c r="M166" s="14">
        <v>8576.8544273599964</v>
      </c>
      <c r="N166" s="14">
        <v>7227.2976509290838</v>
      </c>
      <c r="O166" s="14">
        <v>8577.2454660950443</v>
      </c>
    </row>
    <row r="167" spans="1:15" x14ac:dyDescent="0.3">
      <c r="A167" s="3" t="str">
        <f>INDEX('R1. Scenario specifications'!$C$11:$C$49,MATCH($B167,'R1. Scenario specifications'!$A$11:$A$49,0))</f>
        <v>Current 1.5DS, 2030 start, 'Expect the Unexpected' but with cheap CCS</v>
      </c>
      <c r="B167" s="3" t="s">
        <v>24</v>
      </c>
      <c r="C167" s="3" t="s">
        <v>308</v>
      </c>
      <c r="D167" s="3" t="s">
        <v>326</v>
      </c>
      <c r="E167" s="14">
        <v>0</v>
      </c>
      <c r="F167" s="14">
        <v>0</v>
      </c>
      <c r="G167" s="14">
        <v>203.8949376312157</v>
      </c>
      <c r="H167" s="14">
        <v>757.03231328497168</v>
      </c>
      <c r="I167" s="14">
        <v>444.33603106968235</v>
      </c>
      <c r="J167" s="14">
        <v>343.77633977655699</v>
      </c>
      <c r="K167" s="14">
        <v>349.40242139140042</v>
      </c>
      <c r="L167" s="14">
        <v>1529.3061117114944</v>
      </c>
      <c r="M167" s="14">
        <v>1609.9693652428628</v>
      </c>
      <c r="N167" s="14">
        <v>1708.5189487746243</v>
      </c>
      <c r="O167" s="14">
        <v>1810.1839110001579</v>
      </c>
    </row>
    <row r="168" spans="1:15" x14ac:dyDescent="0.3">
      <c r="A168" s="3" t="str">
        <f>INDEX('R1. Scenario specifications'!$C$11:$C$49,MATCH($B168,'R1. Scenario specifications'!$A$11:$A$49,0))</f>
        <v>Current 1.5DS, 2020 start, 'Expect the Unexpected' but with cheap EVs</v>
      </c>
      <c r="B168" s="3" t="s">
        <v>25</v>
      </c>
      <c r="C168" s="3" t="s">
        <v>304</v>
      </c>
      <c r="D168" s="3" t="s">
        <v>339</v>
      </c>
      <c r="E168" s="14">
        <v>0</v>
      </c>
      <c r="F168" s="14">
        <v>820.1343749999993</v>
      </c>
      <c r="G168" s="14">
        <v>1443.6724304473942</v>
      </c>
      <c r="H168" s="14">
        <v>2832.4056871124367</v>
      </c>
      <c r="I168" s="14">
        <v>2755.9211130461235</v>
      </c>
      <c r="J168" s="14">
        <v>2268.3130926902049</v>
      </c>
      <c r="K168" s="14">
        <v>0</v>
      </c>
      <c r="L168" s="14">
        <v>1584.329840580968</v>
      </c>
      <c r="M168" s="14">
        <v>6141.7246386717197</v>
      </c>
      <c r="N168" s="14">
        <v>7440.4385861650462</v>
      </c>
      <c r="O168" s="14">
        <v>13250.183853151537</v>
      </c>
    </row>
    <row r="169" spans="1:15" x14ac:dyDescent="0.3">
      <c r="A169" s="3" t="str">
        <f>INDEX('R1. Scenario specifications'!$C$11:$C$49,MATCH($B169,'R1. Scenario specifications'!$A$11:$A$49,0))</f>
        <v>Current 1.5DS, 2020 start, 'Expect the Unexpected' but with cheap EVs</v>
      </c>
      <c r="B169" s="3" t="s">
        <v>25</v>
      </c>
      <c r="C169" s="3" t="s">
        <v>51</v>
      </c>
      <c r="D169" s="3" t="s">
        <v>340</v>
      </c>
      <c r="E169" s="14">
        <v>26912.591385085678</v>
      </c>
      <c r="F169" s="14">
        <v>24726.384098969917</v>
      </c>
      <c r="G169" s="14">
        <v>20023.092920446408</v>
      </c>
      <c r="H169" s="14">
        <v>15271.960389603282</v>
      </c>
      <c r="I169" s="14">
        <v>12591.275008604256</v>
      </c>
      <c r="J169" s="14">
        <v>11513.817737463718</v>
      </c>
      <c r="K169" s="14">
        <v>19298.029376845549</v>
      </c>
      <c r="L169" s="14">
        <v>27894.908853172034</v>
      </c>
      <c r="M169" s="14">
        <v>27613.923163951891</v>
      </c>
      <c r="N169" s="14">
        <v>26831.739133854349</v>
      </c>
      <c r="O169" s="14">
        <v>16847.893690334702</v>
      </c>
    </row>
    <row r="170" spans="1:15" x14ac:dyDescent="0.3">
      <c r="A170" s="3" t="str">
        <f>INDEX('R1. Scenario specifications'!$C$11:$C$49,MATCH($B170,'R1. Scenario specifications'!$A$11:$A$49,0))</f>
        <v>Current 1.5DS, 2020 start, 'Expect the Unexpected' but with cheap EVs</v>
      </c>
      <c r="B170" s="3" t="s">
        <v>25</v>
      </c>
      <c r="C170" s="3" t="s">
        <v>305</v>
      </c>
      <c r="D170" s="3" t="s">
        <v>341</v>
      </c>
      <c r="E170" s="14">
        <v>0.55126200000000003</v>
      </c>
      <c r="F170" s="14">
        <v>0.27214200000000005</v>
      </c>
      <c r="G170" s="14">
        <v>39.715545758633766</v>
      </c>
      <c r="H170" s="14">
        <v>2950.8169290263904</v>
      </c>
      <c r="I170" s="14">
        <v>4640.6955673125603</v>
      </c>
      <c r="J170" s="14">
        <v>8736.6526541129006</v>
      </c>
      <c r="K170" s="14">
        <v>16501.266085988758</v>
      </c>
      <c r="L170" s="14">
        <v>19737.276276436027</v>
      </c>
      <c r="M170" s="14">
        <v>21608.872975245318</v>
      </c>
      <c r="N170" s="14">
        <v>23185.316842412569</v>
      </c>
      <c r="O170" s="14">
        <v>24880.403712186286</v>
      </c>
    </row>
    <row r="171" spans="1:15" x14ac:dyDescent="0.3">
      <c r="A171" s="3" t="str">
        <f>INDEX('R1. Scenario specifications'!$C$11:$C$49,MATCH($B171,'R1. Scenario specifications'!$A$11:$A$49,0))</f>
        <v>Current 1.5DS, 2020 start, 'Expect the Unexpected' but with cheap EVs</v>
      </c>
      <c r="B171" s="3" t="s">
        <v>25</v>
      </c>
      <c r="C171" s="3" t="s">
        <v>306</v>
      </c>
      <c r="D171" s="3" t="s">
        <v>342</v>
      </c>
      <c r="E171" s="14">
        <v>138.88007226094669</v>
      </c>
      <c r="F171" s="14">
        <v>231.92798987852072</v>
      </c>
      <c r="G171" s="14">
        <v>2394.994594260861</v>
      </c>
      <c r="H171" s="14">
        <v>773.51583856580442</v>
      </c>
      <c r="I171" s="14">
        <v>61.152187674984901</v>
      </c>
      <c r="J171" s="14">
        <v>44.067794649514006</v>
      </c>
      <c r="K171" s="14">
        <v>163.8623045405044</v>
      </c>
      <c r="L171" s="14">
        <v>174.06263714586112</v>
      </c>
      <c r="M171" s="14">
        <v>210.54395289073491</v>
      </c>
      <c r="N171" s="14">
        <v>443.71942429667911</v>
      </c>
      <c r="O171" s="14">
        <v>722.92709240846762</v>
      </c>
    </row>
    <row r="172" spans="1:15" x14ac:dyDescent="0.3">
      <c r="A172" s="3" t="str">
        <f>INDEX('R1. Scenario specifications'!$C$11:$C$49,MATCH($B172,'R1. Scenario specifications'!$A$11:$A$49,0))</f>
        <v>Current 1.5DS, 2020 start, 'Expect the Unexpected' but with cheap EVs</v>
      </c>
      <c r="B172" s="3" t="s">
        <v>25</v>
      </c>
      <c r="C172" s="3" t="s">
        <v>52</v>
      </c>
      <c r="D172" s="3" t="s">
        <v>343</v>
      </c>
      <c r="E172" s="14">
        <v>47506.40120156738</v>
      </c>
      <c r="F172" s="14">
        <v>51400.759098340677</v>
      </c>
      <c r="G172" s="14">
        <v>62205.547314401418</v>
      </c>
      <c r="H172" s="14">
        <v>27932.442002162246</v>
      </c>
      <c r="I172" s="14">
        <v>12893.332902521403</v>
      </c>
      <c r="J172" s="14">
        <v>5634.2082415873028</v>
      </c>
      <c r="K172" s="14">
        <v>2947.4850906510396</v>
      </c>
      <c r="L172" s="14">
        <v>6482.4708717478625</v>
      </c>
      <c r="M172" s="14">
        <v>4561.1135722037234</v>
      </c>
      <c r="N172" s="14">
        <v>1566.6474074082898</v>
      </c>
      <c r="O172" s="14">
        <v>1008.8650323923102</v>
      </c>
    </row>
    <row r="173" spans="1:15" x14ac:dyDescent="0.3">
      <c r="A173" s="3" t="str">
        <f>INDEX('R1. Scenario specifications'!$C$11:$C$49,MATCH($B173,'R1. Scenario specifications'!$A$11:$A$49,0))</f>
        <v>Current 1.5DS, 2020 start, 'Expect the Unexpected' but with cheap EVs</v>
      </c>
      <c r="B173" s="3" t="s">
        <v>25</v>
      </c>
      <c r="C173" s="3" t="s">
        <v>53</v>
      </c>
      <c r="D173" s="3" t="s">
        <v>344</v>
      </c>
      <c r="E173" s="14">
        <v>703.55932605471685</v>
      </c>
      <c r="F173" s="14">
        <v>336.28891863781013</v>
      </c>
      <c r="G173" s="14">
        <v>879.49041101293551</v>
      </c>
      <c r="H173" s="14">
        <v>5603.7003218305617</v>
      </c>
      <c r="I173" s="14">
        <v>8235.199156836823</v>
      </c>
      <c r="J173" s="14">
        <v>10061.964258923557</v>
      </c>
      <c r="K173" s="14">
        <v>13978.474973815693</v>
      </c>
      <c r="L173" s="14">
        <v>6163.8153401522668</v>
      </c>
      <c r="M173" s="14">
        <v>3444.7121112327341</v>
      </c>
      <c r="N173" s="14">
        <v>5772.2643817644666</v>
      </c>
      <c r="O173" s="14">
        <v>8043.4159993838239</v>
      </c>
    </row>
    <row r="174" spans="1:15" x14ac:dyDescent="0.3">
      <c r="A174" s="3" t="str">
        <f>INDEX('R1. Scenario specifications'!$C$11:$C$49,MATCH($B174,'R1. Scenario specifications'!$A$11:$A$49,0))</f>
        <v>Current 1.5DS, 2020 start, 'Expect the Unexpected' but with cheap EVs</v>
      </c>
      <c r="B174" s="3" t="s">
        <v>25</v>
      </c>
      <c r="C174" s="3" t="s">
        <v>307</v>
      </c>
      <c r="D174" s="3" t="s">
        <v>345</v>
      </c>
      <c r="E174" s="14">
        <v>0</v>
      </c>
      <c r="F174" s="14">
        <v>0</v>
      </c>
      <c r="G174" s="14">
        <v>0</v>
      </c>
      <c r="H174" s="14">
        <v>54.723248808229599</v>
      </c>
      <c r="I174" s="14">
        <v>101.16418816057065</v>
      </c>
      <c r="J174" s="14">
        <v>104.64161067329506</v>
      </c>
      <c r="K174" s="14">
        <v>101.86388382303821</v>
      </c>
      <c r="L174" s="14">
        <v>112.83058958122621</v>
      </c>
      <c r="M174" s="14">
        <v>146.83903565860666</v>
      </c>
      <c r="N174" s="14">
        <v>178.88472973957465</v>
      </c>
      <c r="O174" s="14">
        <v>348.2005286954182</v>
      </c>
    </row>
    <row r="175" spans="1:15" x14ac:dyDescent="0.3">
      <c r="A175" s="3" t="str">
        <f>INDEX('R1. Scenario specifications'!$C$11:$C$49,MATCH($B175,'R1. Scenario specifications'!$A$11:$A$49,0))</f>
        <v>Current 1.5DS, 2020 start, 'Expect the Unexpected' but with cheap EVs</v>
      </c>
      <c r="B175" s="3" t="s">
        <v>25</v>
      </c>
      <c r="C175" s="3" t="s">
        <v>54</v>
      </c>
      <c r="D175" s="3" t="s">
        <v>255</v>
      </c>
      <c r="E175" s="14">
        <v>396.62220438997127</v>
      </c>
      <c r="F175" s="14">
        <v>176.86416189251261</v>
      </c>
      <c r="G175" s="14">
        <v>1833.16729548234</v>
      </c>
      <c r="H175" s="14">
        <v>1223.8570443568537</v>
      </c>
      <c r="I175" s="14">
        <v>216.99321372118811</v>
      </c>
      <c r="J175" s="14">
        <v>623.10605678433274</v>
      </c>
      <c r="K175" s="14">
        <v>454.40208887059504</v>
      </c>
      <c r="L175" s="14">
        <v>607.92294681993894</v>
      </c>
      <c r="M175" s="14">
        <v>754.3254444240996</v>
      </c>
      <c r="N175" s="14">
        <v>822.93423458517498</v>
      </c>
      <c r="O175" s="14">
        <v>5132.5257680846726</v>
      </c>
    </row>
    <row r="176" spans="1:15" x14ac:dyDescent="0.3">
      <c r="A176" s="3" t="str">
        <f>INDEX('R1. Scenario specifications'!$C$11:$C$49,MATCH($B176,'R1. Scenario specifications'!$A$11:$A$49,0))</f>
        <v>Current 1.5DS, 2020 start, 'Expect the Unexpected' but with cheap EVs</v>
      </c>
      <c r="B176" s="3" t="s">
        <v>25</v>
      </c>
      <c r="C176" s="3" t="s">
        <v>308</v>
      </c>
      <c r="D176" s="3" t="s">
        <v>326</v>
      </c>
      <c r="E176" s="14">
        <v>0</v>
      </c>
      <c r="F176" s="14">
        <v>0</v>
      </c>
      <c r="G176" s="14">
        <v>203.8949376312157</v>
      </c>
      <c r="H176" s="14">
        <v>409.53962567784373</v>
      </c>
      <c r="I176" s="14">
        <v>244.31502022381528</v>
      </c>
      <c r="J176" s="14">
        <v>264.9606524633939</v>
      </c>
      <c r="K176" s="14">
        <v>541.26215829971409</v>
      </c>
      <c r="L176" s="14">
        <v>1590.1005658029958</v>
      </c>
      <c r="M176" s="14">
        <v>1671.0075993275477</v>
      </c>
      <c r="N176" s="14">
        <v>1611.9730953780265</v>
      </c>
      <c r="O176" s="14">
        <v>1603.2106862093053</v>
      </c>
    </row>
    <row r="177" spans="1:15" x14ac:dyDescent="0.3">
      <c r="A177" s="3" t="str">
        <f>INDEX('R1. Scenario specifications'!$C$11:$C$49,MATCH($B177,'R1. Scenario specifications'!$A$11:$A$49,0))</f>
        <v>Current 2DS, 2030 start, 'Expect the Unexpected'</v>
      </c>
      <c r="B177" s="3" t="s">
        <v>26</v>
      </c>
      <c r="C177" s="3" t="s">
        <v>304</v>
      </c>
      <c r="D177" s="3" t="s">
        <v>339</v>
      </c>
      <c r="E177" s="14">
        <v>0</v>
      </c>
      <c r="F177" s="14">
        <v>820.1343749999993</v>
      </c>
      <c r="G177" s="14">
        <v>1443.6724304473942</v>
      </c>
      <c r="H177" s="14">
        <v>1052.0173273984929</v>
      </c>
      <c r="I177" s="14">
        <v>3074.8451793290601</v>
      </c>
      <c r="J177" s="14">
        <v>7785.6167139528516</v>
      </c>
      <c r="K177" s="14">
        <v>7464.8813305393687</v>
      </c>
      <c r="L177" s="14">
        <v>10329.598297239165</v>
      </c>
      <c r="M177" s="14">
        <v>9636.6969431290418</v>
      </c>
      <c r="N177" s="14">
        <v>9593.4081412432934</v>
      </c>
      <c r="O177" s="14">
        <v>13821.999469856626</v>
      </c>
    </row>
    <row r="178" spans="1:15" x14ac:dyDescent="0.3">
      <c r="A178" s="3" t="str">
        <f>INDEX('R1. Scenario specifications'!$C$11:$C$49,MATCH($B178,'R1. Scenario specifications'!$A$11:$A$49,0))</f>
        <v>Current 2DS, 2030 start, 'Expect the Unexpected'</v>
      </c>
      <c r="B178" s="3" t="s">
        <v>26</v>
      </c>
      <c r="C178" s="3" t="s">
        <v>51</v>
      </c>
      <c r="D178" s="3" t="s">
        <v>340</v>
      </c>
      <c r="E178" s="14">
        <v>26912.591385085678</v>
      </c>
      <c r="F178" s="14">
        <v>24726.384098969917</v>
      </c>
      <c r="G178" s="14">
        <v>20023.092920446408</v>
      </c>
      <c r="H178" s="14">
        <v>26227.564065710481</v>
      </c>
      <c r="I178" s="14">
        <v>42894.831702591669</v>
      </c>
      <c r="J178" s="14">
        <v>26802.913172730827</v>
      </c>
      <c r="K178" s="14">
        <v>27233.539569664925</v>
      </c>
      <c r="L178" s="14">
        <v>29525.070821758323</v>
      </c>
      <c r="M178" s="14">
        <v>29363.07995455842</v>
      </c>
      <c r="N178" s="14">
        <v>27132.104541879693</v>
      </c>
      <c r="O178" s="14">
        <v>18364.078433167906</v>
      </c>
    </row>
    <row r="179" spans="1:15" x14ac:dyDescent="0.3">
      <c r="A179" s="3" t="str">
        <f>INDEX('R1. Scenario specifications'!$C$11:$C$49,MATCH($B179,'R1. Scenario specifications'!$A$11:$A$49,0))</f>
        <v>Current 2DS, 2030 start, 'Expect the Unexpected'</v>
      </c>
      <c r="B179" s="3" t="s">
        <v>26</v>
      </c>
      <c r="C179" s="3" t="s">
        <v>305</v>
      </c>
      <c r="D179" s="3" t="s">
        <v>341</v>
      </c>
      <c r="E179" s="14">
        <v>0.55126200000000003</v>
      </c>
      <c r="F179" s="14">
        <v>0.27214200000000005</v>
      </c>
      <c r="G179" s="14">
        <v>39.715545758633766</v>
      </c>
      <c r="H179" s="14">
        <v>1069.5883483275736</v>
      </c>
      <c r="I179" s="14">
        <v>4055.0588483342849</v>
      </c>
      <c r="J179" s="14">
        <v>9580.7289479646042</v>
      </c>
      <c r="K179" s="14">
        <v>14326.35581281144</v>
      </c>
      <c r="L179" s="14">
        <v>16745.940240593398</v>
      </c>
      <c r="M179" s="14">
        <v>19637.829813532884</v>
      </c>
      <c r="N179" s="14">
        <v>21597.513557029939</v>
      </c>
      <c r="O179" s="14">
        <v>23521.494146794506</v>
      </c>
    </row>
    <row r="180" spans="1:15" x14ac:dyDescent="0.3">
      <c r="A180" s="3" t="str">
        <f>INDEX('R1. Scenario specifications'!$C$11:$C$49,MATCH($B180,'R1. Scenario specifications'!$A$11:$A$49,0))</f>
        <v>Current 2DS, 2030 start, 'Expect the Unexpected'</v>
      </c>
      <c r="B180" s="3" t="s">
        <v>26</v>
      </c>
      <c r="C180" s="3" t="s">
        <v>306</v>
      </c>
      <c r="D180" s="3" t="s">
        <v>342</v>
      </c>
      <c r="E180" s="14">
        <v>138.88007226094669</v>
      </c>
      <c r="F180" s="14">
        <v>231.92798987852072</v>
      </c>
      <c r="G180" s="14">
        <v>2394.994594260861</v>
      </c>
      <c r="H180" s="14">
        <v>2330.3092353624561</v>
      </c>
      <c r="I180" s="14">
        <v>2200.9196559363422</v>
      </c>
      <c r="J180" s="14">
        <v>2070.816657104318</v>
      </c>
      <c r="K180" s="14">
        <v>1218.0606192142232</v>
      </c>
      <c r="L180" s="14">
        <v>588.09958904601626</v>
      </c>
      <c r="M180" s="14">
        <v>237.69540996601074</v>
      </c>
      <c r="N180" s="14">
        <v>285.6450285186512</v>
      </c>
      <c r="O180" s="14">
        <v>804.85792318232393</v>
      </c>
    </row>
    <row r="181" spans="1:15" x14ac:dyDescent="0.3">
      <c r="A181" s="3" t="str">
        <f>INDEX('R1. Scenario specifications'!$C$11:$C$49,MATCH($B181,'R1. Scenario specifications'!$A$11:$A$49,0))</f>
        <v>Current 2DS, 2030 start, 'Expect the Unexpected'</v>
      </c>
      <c r="B181" s="3" t="s">
        <v>26</v>
      </c>
      <c r="C181" s="3" t="s">
        <v>52</v>
      </c>
      <c r="D181" s="3" t="s">
        <v>343</v>
      </c>
      <c r="E181" s="14">
        <v>47506.40120156738</v>
      </c>
      <c r="F181" s="14">
        <v>51400.759098340677</v>
      </c>
      <c r="G181" s="14">
        <v>62205.547314401418</v>
      </c>
      <c r="H181" s="14">
        <v>44368.574800589129</v>
      </c>
      <c r="I181" s="14">
        <v>13763.276456269834</v>
      </c>
      <c r="J181" s="14">
        <v>11770.558296988615</v>
      </c>
      <c r="K181" s="14">
        <v>6761.0322720526674</v>
      </c>
      <c r="L181" s="14">
        <v>3548.1857190238843</v>
      </c>
      <c r="M181" s="14">
        <v>1830.1086802133464</v>
      </c>
      <c r="N181" s="14">
        <v>1023.0683385884226</v>
      </c>
      <c r="O181" s="14">
        <v>897.02260386070418</v>
      </c>
    </row>
    <row r="182" spans="1:15" x14ac:dyDescent="0.3">
      <c r="A182" s="3" t="str">
        <f>INDEX('R1. Scenario specifications'!$C$11:$C$49,MATCH($B182,'R1. Scenario specifications'!$A$11:$A$49,0))</f>
        <v>Current 2DS, 2030 start, 'Expect the Unexpected'</v>
      </c>
      <c r="B182" s="3" t="s">
        <v>26</v>
      </c>
      <c r="C182" s="3" t="s">
        <v>53</v>
      </c>
      <c r="D182" s="3" t="s">
        <v>344</v>
      </c>
      <c r="E182" s="14">
        <v>703.55932605471685</v>
      </c>
      <c r="F182" s="14">
        <v>336.28891863781013</v>
      </c>
      <c r="G182" s="14">
        <v>879.49041101293551</v>
      </c>
      <c r="H182" s="14">
        <v>1203.2907539892126</v>
      </c>
      <c r="I182" s="14">
        <v>1155.8301379720515</v>
      </c>
      <c r="J182" s="14">
        <v>855.89169978865198</v>
      </c>
      <c r="K182" s="14">
        <v>1220.1384341164062</v>
      </c>
      <c r="L182" s="14">
        <v>1383.5186824692573</v>
      </c>
      <c r="M182" s="14">
        <v>2325.2842061691263</v>
      </c>
      <c r="N182" s="14">
        <v>4784.9756019300739</v>
      </c>
      <c r="O182" s="14">
        <v>5801.249693601987</v>
      </c>
    </row>
    <row r="183" spans="1:15" x14ac:dyDescent="0.3">
      <c r="A183" s="3" t="str">
        <f>INDEX('R1. Scenario specifications'!$C$11:$C$49,MATCH($B183,'R1. Scenario specifications'!$A$11:$A$49,0))</f>
        <v>Current 2DS, 2030 start, 'Expect the Unexpected'</v>
      </c>
      <c r="B183" s="3" t="s">
        <v>26</v>
      </c>
      <c r="C183" s="3" t="s">
        <v>307</v>
      </c>
      <c r="D183" s="3" t="s">
        <v>345</v>
      </c>
      <c r="E183" s="14">
        <v>0</v>
      </c>
      <c r="F183" s="14">
        <v>0</v>
      </c>
      <c r="G183" s="14">
        <v>0</v>
      </c>
      <c r="H183" s="14">
        <v>335.71272520527293</v>
      </c>
      <c r="I183" s="14">
        <v>99.84763157046666</v>
      </c>
      <c r="J183" s="14">
        <v>270.90365831582153</v>
      </c>
      <c r="K183" s="14">
        <v>109.27888499144684</v>
      </c>
      <c r="L183" s="14">
        <v>155.77105303829848</v>
      </c>
      <c r="M183" s="14">
        <v>175.41528160655241</v>
      </c>
      <c r="N183" s="14">
        <v>201.23572979986187</v>
      </c>
      <c r="O183" s="14">
        <v>360.41132124031998</v>
      </c>
    </row>
    <row r="184" spans="1:15" x14ac:dyDescent="0.3">
      <c r="A184" s="3" t="str">
        <f>INDEX('R1. Scenario specifications'!$C$11:$C$49,MATCH($B184,'R1. Scenario specifications'!$A$11:$A$49,0))</f>
        <v>Current 2DS, 2030 start, 'Expect the Unexpected'</v>
      </c>
      <c r="B184" s="3" t="s">
        <v>26</v>
      </c>
      <c r="C184" s="3" t="s">
        <v>54</v>
      </c>
      <c r="D184" s="3" t="s">
        <v>255</v>
      </c>
      <c r="E184" s="14">
        <v>396.62220438997127</v>
      </c>
      <c r="F184" s="14">
        <v>176.86416189251261</v>
      </c>
      <c r="G184" s="14">
        <v>1833.16729548234</v>
      </c>
      <c r="H184" s="14">
        <v>5667.8396467895318</v>
      </c>
      <c r="I184" s="14">
        <v>9124.7919567038207</v>
      </c>
      <c r="J184" s="14">
        <v>14726.779553738161</v>
      </c>
      <c r="K184" s="14">
        <v>9765.2140679960703</v>
      </c>
      <c r="L184" s="14">
        <v>3807.7998008923137</v>
      </c>
      <c r="M184" s="14">
        <v>1520.2903235805538</v>
      </c>
      <c r="N184" s="14">
        <v>934.61304202350993</v>
      </c>
      <c r="O184" s="14">
        <v>5509.411079154188</v>
      </c>
    </row>
    <row r="185" spans="1:15" x14ac:dyDescent="0.3">
      <c r="A185" s="3" t="str">
        <f>INDEX('R1. Scenario specifications'!$C$11:$C$49,MATCH($B185,'R1. Scenario specifications'!$A$11:$A$49,0))</f>
        <v>Current 2DS, 2030 start, 'Expect the Unexpected'</v>
      </c>
      <c r="B185" s="3" t="s">
        <v>26</v>
      </c>
      <c r="C185" s="3" t="s">
        <v>308</v>
      </c>
      <c r="D185" s="3" t="s">
        <v>326</v>
      </c>
      <c r="E185" s="14">
        <v>0</v>
      </c>
      <c r="F185" s="14">
        <v>0</v>
      </c>
      <c r="G185" s="14">
        <v>203.8949376312157</v>
      </c>
      <c r="H185" s="14">
        <v>757.03231328497168</v>
      </c>
      <c r="I185" s="14">
        <v>947.89438224338187</v>
      </c>
      <c r="J185" s="14">
        <v>1354.9064835125964</v>
      </c>
      <c r="K185" s="14">
        <v>1413.8361548597541</v>
      </c>
      <c r="L185" s="14">
        <v>1502.0051444471419</v>
      </c>
      <c r="M185" s="14">
        <v>1600.0632810365535</v>
      </c>
      <c r="N185" s="14">
        <v>1740.2639984374262</v>
      </c>
      <c r="O185" s="14">
        <v>1818.4524327359677</v>
      </c>
    </row>
    <row r="186" spans="1:15" x14ac:dyDescent="0.3">
      <c r="A186" s="3" t="str">
        <f>INDEX('R1. Scenario specifications'!$C$11:$C$49,MATCH($B186,'R1. Scenario specifications'!$A$11:$A$49,0))</f>
        <v>Current 1.5DS, 2030 start, 'Expect the Unexpected' but with cheap EVs</v>
      </c>
      <c r="B186" s="3" t="s">
        <v>27</v>
      </c>
      <c r="C186" s="3" t="s">
        <v>304</v>
      </c>
      <c r="D186" s="3" t="s">
        <v>339</v>
      </c>
      <c r="E186" s="14">
        <v>0</v>
      </c>
      <c r="F186" s="14">
        <v>820.1343749999993</v>
      </c>
      <c r="G186" s="14">
        <v>1443.6724304473942</v>
      </c>
      <c r="H186" s="14">
        <v>1052.0173273984929</v>
      </c>
      <c r="I186" s="14">
        <v>3141.9383716581165</v>
      </c>
      <c r="J186" s="14">
        <v>5521.6691628096505</v>
      </c>
      <c r="K186" s="14">
        <v>1024.3337513375425</v>
      </c>
      <c r="L186" s="14">
        <v>1112.1699403642472</v>
      </c>
      <c r="M186" s="14">
        <v>5916.6662161467711</v>
      </c>
      <c r="N186" s="14">
        <v>9046.063236268812</v>
      </c>
      <c r="O186" s="14">
        <v>21223.555514746946</v>
      </c>
    </row>
    <row r="187" spans="1:15" x14ac:dyDescent="0.3">
      <c r="A187" s="3" t="str">
        <f>INDEX('R1. Scenario specifications'!$C$11:$C$49,MATCH($B187,'R1. Scenario specifications'!$A$11:$A$49,0))</f>
        <v>Current 1.5DS, 2030 start, 'Expect the Unexpected' but with cheap EVs</v>
      </c>
      <c r="B187" s="3" t="s">
        <v>27</v>
      </c>
      <c r="C187" s="3" t="s">
        <v>51</v>
      </c>
      <c r="D187" s="3" t="s">
        <v>340</v>
      </c>
      <c r="E187" s="14">
        <v>26912.591385085678</v>
      </c>
      <c r="F187" s="14">
        <v>24726.384098969917</v>
      </c>
      <c r="G187" s="14">
        <v>20023.092920446408</v>
      </c>
      <c r="H187" s="14">
        <v>26227.564065710481</v>
      </c>
      <c r="I187" s="14">
        <v>15672.013652587329</v>
      </c>
      <c r="J187" s="14">
        <v>8557.4410246118787</v>
      </c>
      <c r="K187" s="14">
        <v>13707.338337516978</v>
      </c>
      <c r="L187" s="14">
        <v>28300.420265558929</v>
      </c>
      <c r="M187" s="14">
        <v>28006.852853199514</v>
      </c>
      <c r="N187" s="14">
        <v>28541.033014477271</v>
      </c>
      <c r="O187" s="14">
        <v>16840.167165375013</v>
      </c>
    </row>
    <row r="188" spans="1:15" x14ac:dyDescent="0.3">
      <c r="A188" s="3" t="str">
        <f>INDEX('R1. Scenario specifications'!$C$11:$C$49,MATCH($B188,'R1. Scenario specifications'!$A$11:$A$49,0))</f>
        <v>Current 1.5DS, 2030 start, 'Expect the Unexpected' but with cheap EVs</v>
      </c>
      <c r="B188" s="3" t="s">
        <v>27</v>
      </c>
      <c r="C188" s="3" t="s">
        <v>305</v>
      </c>
      <c r="D188" s="3" t="s">
        <v>341</v>
      </c>
      <c r="E188" s="14">
        <v>0.55126200000000003</v>
      </c>
      <c r="F188" s="14">
        <v>0.27214200000000005</v>
      </c>
      <c r="G188" s="14">
        <v>39.715545758633766</v>
      </c>
      <c r="H188" s="14">
        <v>1069.5883483275736</v>
      </c>
      <c r="I188" s="14">
        <v>4184.9986415202657</v>
      </c>
      <c r="J188" s="14">
        <v>7420.2316780124875</v>
      </c>
      <c r="K188" s="14">
        <v>11143.896584662767</v>
      </c>
      <c r="L188" s="14">
        <v>19760.486404231109</v>
      </c>
      <c r="M188" s="14">
        <v>22047.437587588473</v>
      </c>
      <c r="N188" s="14">
        <v>23448.557337223334</v>
      </c>
      <c r="O188" s="14">
        <v>24848.874953646704</v>
      </c>
    </row>
    <row r="189" spans="1:15" x14ac:dyDescent="0.3">
      <c r="A189" s="3" t="str">
        <f>INDEX('R1. Scenario specifications'!$C$11:$C$49,MATCH($B189,'R1. Scenario specifications'!$A$11:$A$49,0))</f>
        <v>Current 1.5DS, 2030 start, 'Expect the Unexpected' but with cheap EVs</v>
      </c>
      <c r="B189" s="3" t="s">
        <v>27</v>
      </c>
      <c r="C189" s="3" t="s">
        <v>306</v>
      </c>
      <c r="D189" s="3" t="s">
        <v>342</v>
      </c>
      <c r="E189" s="14">
        <v>138.88007226094669</v>
      </c>
      <c r="F189" s="14">
        <v>231.92798987852072</v>
      </c>
      <c r="G189" s="14">
        <v>2394.994594260861</v>
      </c>
      <c r="H189" s="14">
        <v>2330.3092353624561</v>
      </c>
      <c r="I189" s="14">
        <v>163.32791129814206</v>
      </c>
      <c r="J189" s="14">
        <v>74.158599766819108</v>
      </c>
      <c r="K189" s="14">
        <v>104.08478614801882</v>
      </c>
      <c r="L189" s="14">
        <v>1802.0190802783291</v>
      </c>
      <c r="M189" s="14">
        <v>1872.1716114756889</v>
      </c>
      <c r="N189" s="14">
        <v>1121.5996829178787</v>
      </c>
      <c r="O189" s="14">
        <v>464.76166563727236</v>
      </c>
    </row>
    <row r="190" spans="1:15" x14ac:dyDescent="0.3">
      <c r="A190" s="3" t="str">
        <f>INDEX('R1. Scenario specifications'!$C$11:$C$49,MATCH($B190,'R1. Scenario specifications'!$A$11:$A$49,0))</f>
        <v>Current 1.5DS, 2030 start, 'Expect the Unexpected' but with cheap EVs</v>
      </c>
      <c r="B190" s="3" t="s">
        <v>27</v>
      </c>
      <c r="C190" s="3" t="s">
        <v>52</v>
      </c>
      <c r="D190" s="3" t="s">
        <v>343</v>
      </c>
      <c r="E190" s="14">
        <v>47506.40120156738</v>
      </c>
      <c r="F190" s="14">
        <v>51400.759098340677</v>
      </c>
      <c r="G190" s="14">
        <v>62205.547314401418</v>
      </c>
      <c r="H190" s="14">
        <v>44368.574800589129</v>
      </c>
      <c r="I190" s="14">
        <v>19852.468323978181</v>
      </c>
      <c r="J190" s="14">
        <v>8547.2311122958345</v>
      </c>
      <c r="K190" s="14">
        <v>4188.6018191174571</v>
      </c>
      <c r="L190" s="14">
        <v>7450.6959597773412</v>
      </c>
      <c r="M190" s="14">
        <v>6817.8840308276376</v>
      </c>
      <c r="N190" s="14">
        <v>3507.9318548320371</v>
      </c>
      <c r="O190" s="14">
        <v>2398.3101598444368</v>
      </c>
    </row>
    <row r="191" spans="1:15" x14ac:dyDescent="0.3">
      <c r="A191" s="3" t="str">
        <f>INDEX('R1. Scenario specifications'!$C$11:$C$49,MATCH($B191,'R1. Scenario specifications'!$A$11:$A$49,0))</f>
        <v>Current 1.5DS, 2030 start, 'Expect the Unexpected' but with cheap EVs</v>
      </c>
      <c r="B191" s="3" t="s">
        <v>27</v>
      </c>
      <c r="C191" s="3" t="s">
        <v>53</v>
      </c>
      <c r="D191" s="3" t="s">
        <v>344</v>
      </c>
      <c r="E191" s="14">
        <v>703.55932605471685</v>
      </c>
      <c r="F191" s="14">
        <v>336.28891863781013</v>
      </c>
      <c r="G191" s="14">
        <v>879.49041101293551</v>
      </c>
      <c r="H191" s="14">
        <v>1203.2907539892126</v>
      </c>
      <c r="I191" s="14">
        <v>7623.9451750740227</v>
      </c>
      <c r="J191" s="14">
        <v>12092.044707567486</v>
      </c>
      <c r="K191" s="14">
        <v>11153.496811331861</v>
      </c>
      <c r="L191" s="14">
        <v>4467.7777790804994</v>
      </c>
      <c r="M191" s="14">
        <v>1360.4209943886362</v>
      </c>
      <c r="N191" s="14">
        <v>1922.8490223678618</v>
      </c>
      <c r="O191" s="14">
        <v>1052.0668436582926</v>
      </c>
    </row>
    <row r="192" spans="1:15" x14ac:dyDescent="0.3">
      <c r="A192" s="3" t="str">
        <f>INDEX('R1. Scenario specifications'!$C$11:$C$49,MATCH($B192,'R1. Scenario specifications'!$A$11:$A$49,0))</f>
        <v>Current 1.5DS, 2030 start, 'Expect the Unexpected' but with cheap EVs</v>
      </c>
      <c r="B192" s="3" t="s">
        <v>27</v>
      </c>
      <c r="C192" s="3" t="s">
        <v>307</v>
      </c>
      <c r="D192" s="3" t="s">
        <v>345</v>
      </c>
      <c r="E192" s="14">
        <v>0</v>
      </c>
      <c r="F192" s="14">
        <v>0</v>
      </c>
      <c r="G192" s="14">
        <v>0</v>
      </c>
      <c r="H192" s="14">
        <v>335.71272520527293</v>
      </c>
      <c r="I192" s="14">
        <v>85.430213523769794</v>
      </c>
      <c r="J192" s="14">
        <v>159.82596535610321</v>
      </c>
      <c r="K192" s="14">
        <v>185.96600699369304</v>
      </c>
      <c r="L192" s="14">
        <v>99.612904843577184</v>
      </c>
      <c r="M192" s="14">
        <v>44.226728951970244</v>
      </c>
      <c r="N192" s="14">
        <v>58.851417488300676</v>
      </c>
      <c r="O192" s="14">
        <v>143.84546513490957</v>
      </c>
    </row>
    <row r="193" spans="1:15" x14ac:dyDescent="0.3">
      <c r="A193" s="3" t="str">
        <f>INDEX('R1. Scenario specifications'!$C$11:$C$49,MATCH($B193,'R1. Scenario specifications'!$A$11:$A$49,0))</f>
        <v>Current 1.5DS, 2030 start, 'Expect the Unexpected' but with cheap EVs</v>
      </c>
      <c r="B193" s="3" t="s">
        <v>27</v>
      </c>
      <c r="C193" s="3" t="s">
        <v>54</v>
      </c>
      <c r="D193" s="3" t="s">
        <v>255</v>
      </c>
      <c r="E193" s="14">
        <v>396.62220438997127</v>
      </c>
      <c r="F193" s="14">
        <v>176.86416189251261</v>
      </c>
      <c r="G193" s="14">
        <v>1833.16729548234</v>
      </c>
      <c r="H193" s="14">
        <v>5667.8396467895318</v>
      </c>
      <c r="I193" s="14">
        <v>2713.1925639122173</v>
      </c>
      <c r="J193" s="14">
        <v>855.45037754123689</v>
      </c>
      <c r="K193" s="14">
        <v>447.6166014595442</v>
      </c>
      <c r="L193" s="14">
        <v>2943.6919024710814</v>
      </c>
      <c r="M193" s="14">
        <v>4407.463699122347</v>
      </c>
      <c r="N193" s="14">
        <v>4050.8430028314215</v>
      </c>
      <c r="O193" s="14">
        <v>7418.1691945426401</v>
      </c>
    </row>
    <row r="194" spans="1:15" x14ac:dyDescent="0.3">
      <c r="A194" s="3" t="str">
        <f>INDEX('R1. Scenario specifications'!$C$11:$C$49,MATCH($B194,'R1. Scenario specifications'!$A$11:$A$49,0))</f>
        <v>Current 1.5DS, 2030 start, 'Expect the Unexpected' but with cheap EVs</v>
      </c>
      <c r="B194" s="3" t="s">
        <v>27</v>
      </c>
      <c r="C194" s="3" t="s">
        <v>308</v>
      </c>
      <c r="D194" s="3" t="s">
        <v>326</v>
      </c>
      <c r="E194" s="14">
        <v>0</v>
      </c>
      <c r="F194" s="14">
        <v>0</v>
      </c>
      <c r="G194" s="14">
        <v>203.8949376312157</v>
      </c>
      <c r="H194" s="14">
        <v>757.03231328497168</v>
      </c>
      <c r="I194" s="14">
        <v>458.65622677805527</v>
      </c>
      <c r="J194" s="14">
        <v>354.45228562040643</v>
      </c>
      <c r="K194" s="14">
        <v>323.36524628258496</v>
      </c>
      <c r="L194" s="14">
        <v>1624.3864854560829</v>
      </c>
      <c r="M194" s="14">
        <v>1740.4179202147511</v>
      </c>
      <c r="N194" s="14">
        <v>1841.1015775259229</v>
      </c>
      <c r="O194" s="14">
        <v>1938.049584029478</v>
      </c>
    </row>
    <row r="195" spans="1:15" x14ac:dyDescent="0.3">
      <c r="A195" s="3" t="str">
        <f>INDEX('R1. Scenario specifications'!$C$11:$C$49,MATCH($B195,'R1. Scenario specifications'!$A$11:$A$49,0))</f>
        <v>Current 1.5DS, 2020 start, 'Expect the Unexpected' but with cheap energy efficiency</v>
      </c>
      <c r="B195" s="3" t="s">
        <v>28</v>
      </c>
      <c r="C195" s="3" t="s">
        <v>304</v>
      </c>
      <c r="D195" s="3" t="s">
        <v>339</v>
      </c>
      <c r="E195" s="14">
        <v>0</v>
      </c>
      <c r="F195" s="14">
        <v>820.1343749999993</v>
      </c>
      <c r="G195" s="14">
        <v>1443.6724304473942</v>
      </c>
      <c r="H195" s="14">
        <v>3277.0410757578193</v>
      </c>
      <c r="I195" s="14">
        <v>2600.6250719492245</v>
      </c>
      <c r="J195" s="14">
        <v>787.7694343883793</v>
      </c>
      <c r="K195" s="14">
        <v>0</v>
      </c>
      <c r="L195" s="14">
        <v>2053.3928289954547</v>
      </c>
      <c r="M195" s="14">
        <v>7699.6098017178538</v>
      </c>
      <c r="N195" s="14">
        <v>8128.8929952072021</v>
      </c>
      <c r="O195" s="14">
        <v>12841.336882643052</v>
      </c>
    </row>
    <row r="196" spans="1:15" x14ac:dyDescent="0.3">
      <c r="A196" s="3" t="str">
        <f>INDEX('R1. Scenario specifications'!$C$11:$C$49,MATCH($B196,'R1. Scenario specifications'!$A$11:$A$49,0))</f>
        <v>Current 1.5DS, 2020 start, 'Expect the Unexpected' but with cheap energy efficiency</v>
      </c>
      <c r="B196" s="3" t="s">
        <v>28</v>
      </c>
      <c r="C196" s="3" t="s">
        <v>51</v>
      </c>
      <c r="D196" s="3" t="s">
        <v>340</v>
      </c>
      <c r="E196" s="14">
        <v>26912.591385085678</v>
      </c>
      <c r="F196" s="14">
        <v>24726.384098969917</v>
      </c>
      <c r="G196" s="14">
        <v>20023.092920446408</v>
      </c>
      <c r="H196" s="14">
        <v>15904.602774091989</v>
      </c>
      <c r="I196" s="14">
        <v>13183.086017187792</v>
      </c>
      <c r="J196" s="14">
        <v>14238.540587954496</v>
      </c>
      <c r="K196" s="14">
        <v>21519.019444359943</v>
      </c>
      <c r="L196" s="14">
        <v>33686.376769876617</v>
      </c>
      <c r="M196" s="14">
        <v>30768.222067138231</v>
      </c>
      <c r="N196" s="14">
        <v>26917.388738255031</v>
      </c>
      <c r="O196" s="14">
        <v>18294.500578085223</v>
      </c>
    </row>
    <row r="197" spans="1:15" x14ac:dyDescent="0.3">
      <c r="A197" s="3" t="str">
        <f>INDEX('R1. Scenario specifications'!$C$11:$C$49,MATCH($B197,'R1. Scenario specifications'!$A$11:$A$49,0))</f>
        <v>Current 1.5DS, 2020 start, 'Expect the Unexpected' but with cheap energy efficiency</v>
      </c>
      <c r="B197" s="3" t="s">
        <v>28</v>
      </c>
      <c r="C197" s="3" t="s">
        <v>305</v>
      </c>
      <c r="D197" s="3" t="s">
        <v>341</v>
      </c>
      <c r="E197" s="14">
        <v>0.55126200000000003</v>
      </c>
      <c r="F197" s="14">
        <v>0.27214200000000005</v>
      </c>
      <c r="G197" s="14">
        <v>39.715545758633766</v>
      </c>
      <c r="H197" s="14">
        <v>1626.8079631243993</v>
      </c>
      <c r="I197" s="14">
        <v>3701.6944360330017</v>
      </c>
      <c r="J197" s="14">
        <v>8758.0991589149162</v>
      </c>
      <c r="K197" s="14">
        <v>13050.30015802595</v>
      </c>
      <c r="L197" s="14">
        <v>13913.529885040327</v>
      </c>
      <c r="M197" s="14">
        <v>15144.361207924047</v>
      </c>
      <c r="N197" s="14">
        <v>17156.769722281977</v>
      </c>
      <c r="O197" s="14">
        <v>18582.622705164304</v>
      </c>
    </row>
    <row r="198" spans="1:15" x14ac:dyDescent="0.3">
      <c r="A198" s="3" t="str">
        <f>INDEX('R1. Scenario specifications'!$C$11:$C$49,MATCH($B198,'R1. Scenario specifications'!$A$11:$A$49,0))</f>
        <v>Current 1.5DS, 2020 start, 'Expect the Unexpected' but with cheap energy efficiency</v>
      </c>
      <c r="B198" s="3" t="s">
        <v>28</v>
      </c>
      <c r="C198" s="3" t="s">
        <v>306</v>
      </c>
      <c r="D198" s="3" t="s">
        <v>342</v>
      </c>
      <c r="E198" s="14">
        <v>138.88007226094669</v>
      </c>
      <c r="F198" s="14">
        <v>231.92798987852072</v>
      </c>
      <c r="G198" s="14">
        <v>2394.994594260861</v>
      </c>
      <c r="H198" s="14">
        <v>989.86365691011395</v>
      </c>
      <c r="I198" s="14">
        <v>102.74854056387377</v>
      </c>
      <c r="J198" s="14">
        <v>45.989425666763609</v>
      </c>
      <c r="K198" s="14">
        <v>156.07859101032383</v>
      </c>
      <c r="L198" s="14">
        <v>257.89255436865983</v>
      </c>
      <c r="M198" s="14">
        <v>229.17576444097213</v>
      </c>
      <c r="N198" s="14">
        <v>465.73744837525408</v>
      </c>
      <c r="O198" s="14">
        <v>1193.7728241449224</v>
      </c>
    </row>
    <row r="199" spans="1:15" x14ac:dyDescent="0.3">
      <c r="A199" s="3" t="str">
        <f>INDEX('R1. Scenario specifications'!$C$11:$C$49,MATCH($B199,'R1. Scenario specifications'!$A$11:$A$49,0))</f>
        <v>Current 1.5DS, 2020 start, 'Expect the Unexpected' but with cheap energy efficiency</v>
      </c>
      <c r="B199" s="3" t="s">
        <v>28</v>
      </c>
      <c r="C199" s="3" t="s">
        <v>52</v>
      </c>
      <c r="D199" s="3" t="s">
        <v>343</v>
      </c>
      <c r="E199" s="14">
        <v>47506.40120156738</v>
      </c>
      <c r="F199" s="14">
        <v>51400.759098340677</v>
      </c>
      <c r="G199" s="14">
        <v>62205.547314401418</v>
      </c>
      <c r="H199" s="14">
        <v>24328.865736390126</v>
      </c>
      <c r="I199" s="14">
        <v>11359.654502099393</v>
      </c>
      <c r="J199" s="14">
        <v>4156.7493977551967</v>
      </c>
      <c r="K199" s="14">
        <v>1562.5954414484661</v>
      </c>
      <c r="L199" s="14">
        <v>1996.6434261207742</v>
      </c>
      <c r="M199" s="14">
        <v>2518.1999357283053</v>
      </c>
      <c r="N199" s="14">
        <v>1497.9397418643578</v>
      </c>
      <c r="O199" s="14">
        <v>889.36217939460994</v>
      </c>
    </row>
    <row r="200" spans="1:15" x14ac:dyDescent="0.3">
      <c r="A200" s="3" t="str">
        <f>INDEX('R1. Scenario specifications'!$C$11:$C$49,MATCH($B200,'R1. Scenario specifications'!$A$11:$A$49,0))</f>
        <v>Current 1.5DS, 2020 start, 'Expect the Unexpected' but with cheap energy efficiency</v>
      </c>
      <c r="B200" s="3" t="s">
        <v>28</v>
      </c>
      <c r="C200" s="3" t="s">
        <v>53</v>
      </c>
      <c r="D200" s="3" t="s">
        <v>344</v>
      </c>
      <c r="E200" s="14">
        <v>703.55932605471685</v>
      </c>
      <c r="F200" s="14">
        <v>336.28891863781013</v>
      </c>
      <c r="G200" s="14">
        <v>879.49041101293551</v>
      </c>
      <c r="H200" s="14">
        <v>5647.0249204624424</v>
      </c>
      <c r="I200" s="14">
        <v>8895.2609384350817</v>
      </c>
      <c r="J200" s="14">
        <v>11296.494378167934</v>
      </c>
      <c r="K200" s="14">
        <v>13022.93936696295</v>
      </c>
      <c r="L200" s="14">
        <v>5677.0311542904965</v>
      </c>
      <c r="M200" s="14">
        <v>3396.6490599179047</v>
      </c>
      <c r="N200" s="14">
        <v>5595.9705945494552</v>
      </c>
      <c r="O200" s="14">
        <v>6690.4821199434582</v>
      </c>
    </row>
    <row r="201" spans="1:15" x14ac:dyDescent="0.3">
      <c r="A201" s="3" t="str">
        <f>INDEX('R1. Scenario specifications'!$C$11:$C$49,MATCH($B201,'R1. Scenario specifications'!$A$11:$A$49,0))</f>
        <v>Current 1.5DS, 2020 start, 'Expect the Unexpected' but with cheap energy efficiency</v>
      </c>
      <c r="B201" s="3" t="s">
        <v>28</v>
      </c>
      <c r="C201" s="3" t="s">
        <v>307</v>
      </c>
      <c r="D201" s="3" t="s">
        <v>345</v>
      </c>
      <c r="E201" s="14">
        <v>0</v>
      </c>
      <c r="F201" s="14">
        <v>0</v>
      </c>
      <c r="G201" s="14">
        <v>0</v>
      </c>
      <c r="H201" s="14">
        <v>78.941965938348503</v>
      </c>
      <c r="I201" s="14">
        <v>101.16418816057072</v>
      </c>
      <c r="J201" s="14">
        <v>100</v>
      </c>
      <c r="K201" s="14">
        <v>68.406072190658904</v>
      </c>
      <c r="L201" s="14">
        <v>147.06475435341912</v>
      </c>
      <c r="M201" s="14">
        <v>159.67437433648621</v>
      </c>
      <c r="N201" s="14">
        <v>209.99280330744236</v>
      </c>
      <c r="O201" s="14">
        <v>263.79173138032002</v>
      </c>
    </row>
    <row r="202" spans="1:15" x14ac:dyDescent="0.3">
      <c r="A202" s="3" t="str">
        <f>INDEX('R1. Scenario specifications'!$C$11:$C$49,MATCH($B202,'R1. Scenario specifications'!$A$11:$A$49,0))</f>
        <v>Current 1.5DS, 2020 start, 'Expect the Unexpected' but with cheap energy efficiency</v>
      </c>
      <c r="B202" s="3" t="s">
        <v>28</v>
      </c>
      <c r="C202" s="3" t="s">
        <v>54</v>
      </c>
      <c r="D202" s="3" t="s">
        <v>255</v>
      </c>
      <c r="E202" s="14">
        <v>396.62220438997127</v>
      </c>
      <c r="F202" s="14">
        <v>176.86416189251261</v>
      </c>
      <c r="G202" s="14">
        <v>1833.16729548234</v>
      </c>
      <c r="H202" s="14">
        <v>1269.8912200644072</v>
      </c>
      <c r="I202" s="14">
        <v>320.5852397799203</v>
      </c>
      <c r="J202" s="14">
        <v>749.53652464507468</v>
      </c>
      <c r="K202" s="14">
        <v>668.12857444984104</v>
      </c>
      <c r="L202" s="14">
        <v>960.79717497805007</v>
      </c>
      <c r="M202" s="14">
        <v>1071.237590466779</v>
      </c>
      <c r="N202" s="14">
        <v>1088.3714121308888</v>
      </c>
      <c r="O202" s="14">
        <v>5322.4831847559954</v>
      </c>
    </row>
    <row r="203" spans="1:15" x14ac:dyDescent="0.3">
      <c r="A203" s="3" t="str">
        <f>INDEX('R1. Scenario specifications'!$C$11:$C$49,MATCH($B203,'R1. Scenario specifications'!$A$11:$A$49,0))</f>
        <v>Current 1.5DS, 2020 start, 'Expect the Unexpected' but with cheap energy efficiency</v>
      </c>
      <c r="B203" s="3" t="s">
        <v>28</v>
      </c>
      <c r="C203" s="3" t="s">
        <v>308</v>
      </c>
      <c r="D203" s="3" t="s">
        <v>326</v>
      </c>
      <c r="E203" s="14">
        <v>0</v>
      </c>
      <c r="F203" s="14">
        <v>0</v>
      </c>
      <c r="G203" s="14">
        <v>203.8949376312157</v>
      </c>
      <c r="H203" s="14">
        <v>333.52365600405085</v>
      </c>
      <c r="I203" s="14">
        <v>216.36733819471056</v>
      </c>
      <c r="J203" s="14">
        <v>307.30142097400557</v>
      </c>
      <c r="K203" s="14">
        <v>661.365227509124</v>
      </c>
      <c r="L203" s="14">
        <v>1248.5407982382933</v>
      </c>
      <c r="M203" s="14">
        <v>1309.1631785534066</v>
      </c>
      <c r="N203" s="14">
        <v>1437.6745224990914</v>
      </c>
      <c r="O203" s="14">
        <v>1527.7412959788694</v>
      </c>
    </row>
    <row r="204" spans="1:15" x14ac:dyDescent="0.3">
      <c r="A204" s="3" t="str">
        <f>INDEX('R1. Scenario specifications'!$C$11:$C$49,MATCH($B204,'R1. Scenario specifications'!$A$11:$A$49,0))</f>
        <v>Current 1.5DS, 2030 start, 'Expect the Unexpected' but with cheap energy efficiency</v>
      </c>
      <c r="B204" s="3" t="s">
        <v>29</v>
      </c>
      <c r="C204" s="3" t="s">
        <v>304</v>
      </c>
      <c r="D204" s="3" t="s">
        <v>339</v>
      </c>
      <c r="E204" s="14">
        <v>0</v>
      </c>
      <c r="F204" s="14">
        <v>820.1343749999993</v>
      </c>
      <c r="G204" s="14">
        <v>1443.6724304473942</v>
      </c>
      <c r="H204" s="14">
        <v>1052.0173273984929</v>
      </c>
      <c r="I204" s="14">
        <v>2582.120999826051</v>
      </c>
      <c r="J204" s="14">
        <v>5482.6523459574109</v>
      </c>
      <c r="K204" s="14">
        <v>658.12287055964998</v>
      </c>
      <c r="L204" s="14">
        <v>751.4571419371232</v>
      </c>
      <c r="M204" s="14">
        <v>5670.9356966108817</v>
      </c>
      <c r="N204" s="14">
        <v>10883.405374621512</v>
      </c>
      <c r="O204" s="14">
        <v>24717.048629347879</v>
      </c>
    </row>
    <row r="205" spans="1:15" x14ac:dyDescent="0.3">
      <c r="A205" s="3" t="str">
        <f>INDEX('R1. Scenario specifications'!$C$11:$C$49,MATCH($B205,'R1. Scenario specifications'!$A$11:$A$49,0))</f>
        <v>Current 1.5DS, 2030 start, 'Expect the Unexpected' but with cheap energy efficiency</v>
      </c>
      <c r="B205" s="3" t="s">
        <v>29</v>
      </c>
      <c r="C205" s="3" t="s">
        <v>51</v>
      </c>
      <c r="D205" s="3" t="s">
        <v>340</v>
      </c>
      <c r="E205" s="14">
        <v>26912.591385085678</v>
      </c>
      <c r="F205" s="14">
        <v>24726.384098969917</v>
      </c>
      <c r="G205" s="14">
        <v>20023.092920446408</v>
      </c>
      <c r="H205" s="14">
        <v>26227.564065710481</v>
      </c>
      <c r="I205" s="14">
        <v>16321.409843331217</v>
      </c>
      <c r="J205" s="14">
        <v>8597.3004671569797</v>
      </c>
      <c r="K205" s="14">
        <v>13316.182941520647</v>
      </c>
      <c r="L205" s="14">
        <v>32150.977506855172</v>
      </c>
      <c r="M205" s="14">
        <v>33753.46756992169</v>
      </c>
      <c r="N205" s="14">
        <v>33265.946730966774</v>
      </c>
      <c r="O205" s="14">
        <v>20135.031544849113</v>
      </c>
    </row>
    <row r="206" spans="1:15" x14ac:dyDescent="0.3">
      <c r="A206" s="3" t="str">
        <f>INDEX('R1. Scenario specifications'!$C$11:$C$49,MATCH($B206,'R1. Scenario specifications'!$A$11:$A$49,0))</f>
        <v>Current 1.5DS, 2030 start, 'Expect the Unexpected' but with cheap energy efficiency</v>
      </c>
      <c r="B206" s="3" t="s">
        <v>29</v>
      </c>
      <c r="C206" s="3" t="s">
        <v>305</v>
      </c>
      <c r="D206" s="3" t="s">
        <v>341</v>
      </c>
      <c r="E206" s="14">
        <v>0.55126200000000003</v>
      </c>
      <c r="F206" s="14">
        <v>0.27214200000000005</v>
      </c>
      <c r="G206" s="14">
        <v>39.715545758633766</v>
      </c>
      <c r="H206" s="14">
        <v>1069.5883483275736</v>
      </c>
      <c r="I206" s="14">
        <v>3311.1575692516117</v>
      </c>
      <c r="J206" s="14">
        <v>5644.2854034049378</v>
      </c>
      <c r="K206" s="14">
        <v>8717.9339901732583</v>
      </c>
      <c r="L206" s="14">
        <v>13353.195095853258</v>
      </c>
      <c r="M206" s="14">
        <v>14350.280433287611</v>
      </c>
      <c r="N206" s="14">
        <v>15271.542231555322</v>
      </c>
      <c r="O206" s="14">
        <v>16074.221660628864</v>
      </c>
    </row>
    <row r="207" spans="1:15" x14ac:dyDescent="0.3">
      <c r="A207" s="3" t="str">
        <f>INDEX('R1. Scenario specifications'!$C$11:$C$49,MATCH($B207,'R1. Scenario specifications'!$A$11:$A$49,0))</f>
        <v>Current 1.5DS, 2030 start, 'Expect the Unexpected' but with cheap energy efficiency</v>
      </c>
      <c r="B207" s="3" t="s">
        <v>29</v>
      </c>
      <c r="C207" s="3" t="s">
        <v>306</v>
      </c>
      <c r="D207" s="3" t="s">
        <v>342</v>
      </c>
      <c r="E207" s="14">
        <v>138.88007226094669</v>
      </c>
      <c r="F207" s="14">
        <v>231.92798987852072</v>
      </c>
      <c r="G207" s="14">
        <v>2394.994594260861</v>
      </c>
      <c r="H207" s="14">
        <v>2330.3092353624561</v>
      </c>
      <c r="I207" s="14">
        <v>439.87025858759671</v>
      </c>
      <c r="J207" s="14">
        <v>72.263298786095987</v>
      </c>
      <c r="K207" s="14">
        <v>93.045446225318173</v>
      </c>
      <c r="L207" s="14">
        <v>1974.93788025649</v>
      </c>
      <c r="M207" s="14">
        <v>2111.2356043889149</v>
      </c>
      <c r="N207" s="14">
        <v>1235.412148895917</v>
      </c>
      <c r="O207" s="14">
        <v>482.78231373117478</v>
      </c>
    </row>
    <row r="208" spans="1:15" x14ac:dyDescent="0.3">
      <c r="A208" s="3" t="str">
        <f>INDEX('R1. Scenario specifications'!$C$11:$C$49,MATCH($B208,'R1. Scenario specifications'!$A$11:$A$49,0))</f>
        <v>Current 1.5DS, 2030 start, 'Expect the Unexpected' but with cheap energy efficiency</v>
      </c>
      <c r="B208" s="3" t="s">
        <v>29</v>
      </c>
      <c r="C208" s="3" t="s">
        <v>52</v>
      </c>
      <c r="D208" s="3" t="s">
        <v>343</v>
      </c>
      <c r="E208" s="14">
        <v>47506.40120156738</v>
      </c>
      <c r="F208" s="14">
        <v>51400.759098340677</v>
      </c>
      <c r="G208" s="14">
        <v>62205.547314401418</v>
      </c>
      <c r="H208" s="14">
        <v>44368.574800589129</v>
      </c>
      <c r="I208" s="14">
        <v>17617.338052962645</v>
      </c>
      <c r="J208" s="14">
        <v>7399.0002457396022</v>
      </c>
      <c r="K208" s="14">
        <v>3517.5222215542185</v>
      </c>
      <c r="L208" s="14">
        <v>5936.1887276037287</v>
      </c>
      <c r="M208" s="14">
        <v>5976.484692537676</v>
      </c>
      <c r="N208" s="14">
        <v>5524.5284544862388</v>
      </c>
      <c r="O208" s="14">
        <v>4533.9426924624941</v>
      </c>
    </row>
    <row r="209" spans="1:15" x14ac:dyDescent="0.3">
      <c r="A209" s="3" t="str">
        <f>INDEX('R1. Scenario specifications'!$C$11:$C$49,MATCH($B209,'R1. Scenario specifications'!$A$11:$A$49,0))</f>
        <v>Current 1.5DS, 2030 start, 'Expect the Unexpected' but with cheap energy efficiency</v>
      </c>
      <c r="B209" s="3" t="s">
        <v>29</v>
      </c>
      <c r="C209" s="3" t="s">
        <v>53</v>
      </c>
      <c r="D209" s="3" t="s">
        <v>344</v>
      </c>
      <c r="E209" s="14">
        <v>703.55932605471685</v>
      </c>
      <c r="F209" s="14">
        <v>336.28891863781013</v>
      </c>
      <c r="G209" s="14">
        <v>879.49041101293551</v>
      </c>
      <c r="H209" s="14">
        <v>1203.2907539892126</v>
      </c>
      <c r="I209" s="14">
        <v>7879.4459278086915</v>
      </c>
      <c r="J209" s="14">
        <v>12140.200558482815</v>
      </c>
      <c r="K209" s="14">
        <v>12203.658159420236</v>
      </c>
      <c r="L209" s="14">
        <v>5113.6052091614947</v>
      </c>
      <c r="M209" s="14">
        <v>1397.2515233189911</v>
      </c>
      <c r="N209" s="14">
        <v>1938.125453133041</v>
      </c>
      <c r="O209" s="14">
        <v>1255.4769329368735</v>
      </c>
    </row>
    <row r="210" spans="1:15" x14ac:dyDescent="0.3">
      <c r="A210" s="3" t="str">
        <f>INDEX('R1. Scenario specifications'!$C$11:$C$49,MATCH($B210,'R1. Scenario specifications'!$A$11:$A$49,0))</f>
        <v>Current 1.5DS, 2030 start, 'Expect the Unexpected' but with cheap energy efficiency</v>
      </c>
      <c r="B210" s="3" t="s">
        <v>29</v>
      </c>
      <c r="C210" s="3" t="s">
        <v>307</v>
      </c>
      <c r="D210" s="3" t="s">
        <v>345</v>
      </c>
      <c r="E210" s="14">
        <v>0</v>
      </c>
      <c r="F210" s="14">
        <v>0</v>
      </c>
      <c r="G210" s="14">
        <v>0</v>
      </c>
      <c r="H210" s="14">
        <v>335.71272520527293</v>
      </c>
      <c r="I210" s="14">
        <v>116.21076076071709</v>
      </c>
      <c r="J210" s="14">
        <v>136.47521881603816</v>
      </c>
      <c r="K210" s="14">
        <v>176.63366258079833</v>
      </c>
      <c r="L210" s="14">
        <v>90.542197343569399</v>
      </c>
      <c r="M210" s="14">
        <v>39.702009450129189</v>
      </c>
      <c r="N210" s="14">
        <v>13.765215552429611</v>
      </c>
      <c r="O210" s="14">
        <v>80.491994167022341</v>
      </c>
    </row>
    <row r="211" spans="1:15" x14ac:dyDescent="0.3">
      <c r="A211" s="3" t="str">
        <f>INDEX('R1. Scenario specifications'!$C$11:$C$49,MATCH($B211,'R1. Scenario specifications'!$A$11:$A$49,0))</f>
        <v>Current 1.5DS, 2030 start, 'Expect the Unexpected' but with cheap energy efficiency</v>
      </c>
      <c r="B211" s="3" t="s">
        <v>29</v>
      </c>
      <c r="C211" s="3" t="s">
        <v>54</v>
      </c>
      <c r="D211" s="3" t="s">
        <v>255</v>
      </c>
      <c r="E211" s="14">
        <v>396.62220438997127</v>
      </c>
      <c r="F211" s="14">
        <v>176.86416189251261</v>
      </c>
      <c r="G211" s="14">
        <v>1833.16729548234</v>
      </c>
      <c r="H211" s="14">
        <v>5667.8396467895318</v>
      </c>
      <c r="I211" s="14">
        <v>2804.1321747764155</v>
      </c>
      <c r="J211" s="14">
        <v>973.46408321153649</v>
      </c>
      <c r="K211" s="14">
        <v>485.1966751739684</v>
      </c>
      <c r="L211" s="14">
        <v>5828.7349111319727</v>
      </c>
      <c r="M211" s="14">
        <v>7610.2623429974965</v>
      </c>
      <c r="N211" s="14">
        <v>4068.9106175516872</v>
      </c>
      <c r="O211" s="14">
        <v>7303.1669798563062</v>
      </c>
    </row>
    <row r="212" spans="1:15" x14ac:dyDescent="0.3">
      <c r="A212" s="3" t="str">
        <f>INDEX('R1. Scenario specifications'!$C$11:$C$49,MATCH($B212,'R1. Scenario specifications'!$A$11:$A$49,0))</f>
        <v>Current 1.5DS, 2030 start, 'Expect the Unexpected' but with cheap energy efficiency</v>
      </c>
      <c r="B212" s="3" t="s">
        <v>29</v>
      </c>
      <c r="C212" s="3" t="s">
        <v>308</v>
      </c>
      <c r="D212" s="3" t="s">
        <v>326</v>
      </c>
      <c r="E212" s="14">
        <v>0</v>
      </c>
      <c r="F212" s="14">
        <v>0</v>
      </c>
      <c r="G212" s="14">
        <v>203.8949376312157</v>
      </c>
      <c r="H212" s="14">
        <v>757.03231328497168</v>
      </c>
      <c r="I212" s="14">
        <v>365.19264698840522</v>
      </c>
      <c r="J212" s="14">
        <v>270.52704907906502</v>
      </c>
      <c r="K212" s="14">
        <v>362.62479797815723</v>
      </c>
      <c r="L212" s="14">
        <v>1281.5753987285707</v>
      </c>
      <c r="M212" s="14">
        <v>1315.8935261213101</v>
      </c>
      <c r="N212" s="14">
        <v>1395.5323627093903</v>
      </c>
      <c r="O212" s="14">
        <v>1477.5685036697412</v>
      </c>
    </row>
    <row r="213" spans="1:15" x14ac:dyDescent="0.3">
      <c r="A213" s="3" t="str">
        <f>INDEX('R1. Scenario specifications'!$C$11:$C$49,MATCH($B213,'R1. Scenario specifications'!$A$11:$A$49,0))</f>
        <v>Current 1.5DS, 2020 start, 'Expect the Unexpected' but with most conservative biomass CCS / NET technology cost assumptions</v>
      </c>
      <c r="B213" s="3" t="s">
        <v>30</v>
      </c>
      <c r="C213" s="3" t="s">
        <v>304</v>
      </c>
      <c r="D213" s="3" t="s">
        <v>339</v>
      </c>
      <c r="E213" s="14">
        <v>0</v>
      </c>
      <c r="F213" s="14">
        <v>820.1343749999993</v>
      </c>
      <c r="G213" s="14">
        <v>1443.6724304473942</v>
      </c>
      <c r="H213" s="14">
        <v>4069.5137257909564</v>
      </c>
      <c r="I213" s="14">
        <v>3428.7966633902106</v>
      </c>
      <c r="J213" s="14">
        <v>1289.4719952215573</v>
      </c>
      <c r="K213" s="14">
        <v>47.713499198159774</v>
      </c>
      <c r="L213" s="14">
        <v>2606.0371486736694</v>
      </c>
      <c r="M213" s="14">
        <v>8018.1085023001142</v>
      </c>
      <c r="N213" s="14">
        <v>8480.1025716339609</v>
      </c>
      <c r="O213" s="14">
        <v>13852.434278632041</v>
      </c>
    </row>
    <row r="214" spans="1:15" x14ac:dyDescent="0.3">
      <c r="A214" s="3" t="str">
        <f>INDEX('R1. Scenario specifications'!$C$11:$C$49,MATCH($B214,'R1. Scenario specifications'!$A$11:$A$49,0))</f>
        <v>Current 1.5DS, 2020 start, 'Expect the Unexpected' but with most conservative biomass CCS / NET technology cost assumptions</v>
      </c>
      <c r="B214" s="3" t="s">
        <v>30</v>
      </c>
      <c r="C214" s="3" t="s">
        <v>51</v>
      </c>
      <c r="D214" s="3" t="s">
        <v>340</v>
      </c>
      <c r="E214" s="14">
        <v>26912.591385085678</v>
      </c>
      <c r="F214" s="14">
        <v>24726.384098969917</v>
      </c>
      <c r="G214" s="14">
        <v>20023.092920446408</v>
      </c>
      <c r="H214" s="14">
        <v>15169.55041497499</v>
      </c>
      <c r="I214" s="14">
        <v>12714.284414486268</v>
      </c>
      <c r="J214" s="14">
        <v>13458.968164989868</v>
      </c>
      <c r="K214" s="14">
        <v>22979.690756550342</v>
      </c>
      <c r="L214" s="14">
        <v>33649.646649786533</v>
      </c>
      <c r="M214" s="14">
        <v>31894.463216238179</v>
      </c>
      <c r="N214" s="14">
        <v>27935.419984073644</v>
      </c>
      <c r="O214" s="14">
        <v>17733.535455142919</v>
      </c>
    </row>
    <row r="215" spans="1:15" x14ac:dyDescent="0.3">
      <c r="A215" s="3" t="str">
        <f>INDEX('R1. Scenario specifications'!$C$11:$C$49,MATCH($B215,'R1. Scenario specifications'!$A$11:$A$49,0))</f>
        <v>Current 1.5DS, 2020 start, 'Expect the Unexpected' but with most conservative biomass CCS / NET technology cost assumptions</v>
      </c>
      <c r="B215" s="3" t="s">
        <v>30</v>
      </c>
      <c r="C215" s="3" t="s">
        <v>305</v>
      </c>
      <c r="D215" s="3" t="s">
        <v>341</v>
      </c>
      <c r="E215" s="14">
        <v>0.55126200000000003</v>
      </c>
      <c r="F215" s="14">
        <v>0.27214200000000005</v>
      </c>
      <c r="G215" s="14">
        <v>39.715545758633766</v>
      </c>
      <c r="H215" s="14">
        <v>2003.9684113962383</v>
      </c>
      <c r="I215" s="14">
        <v>4276.9568295709996</v>
      </c>
      <c r="J215" s="14">
        <v>9231.965035709678</v>
      </c>
      <c r="K215" s="14">
        <v>16228.74313770946</v>
      </c>
      <c r="L215" s="14">
        <v>17786.742330082583</v>
      </c>
      <c r="M215" s="14">
        <v>19377.030461981616</v>
      </c>
      <c r="N215" s="14">
        <v>21619.825226232555</v>
      </c>
      <c r="O215" s="14">
        <v>23553.858976758391</v>
      </c>
    </row>
    <row r="216" spans="1:15" x14ac:dyDescent="0.3">
      <c r="A216" s="3" t="str">
        <f>INDEX('R1. Scenario specifications'!$C$11:$C$49,MATCH($B216,'R1. Scenario specifications'!$A$11:$A$49,0))</f>
        <v>Current 1.5DS, 2020 start, 'Expect the Unexpected' but with most conservative biomass CCS / NET technology cost assumptions</v>
      </c>
      <c r="B216" s="3" t="s">
        <v>30</v>
      </c>
      <c r="C216" s="3" t="s">
        <v>306</v>
      </c>
      <c r="D216" s="3" t="s">
        <v>342</v>
      </c>
      <c r="E216" s="14">
        <v>138.88007226094669</v>
      </c>
      <c r="F216" s="14">
        <v>231.92798987852072</v>
      </c>
      <c r="G216" s="14">
        <v>2394.994594260861</v>
      </c>
      <c r="H216" s="14">
        <v>848.17217477146085</v>
      </c>
      <c r="I216" s="14">
        <v>57.174354247597172</v>
      </c>
      <c r="J216" s="14">
        <v>22.263298786096001</v>
      </c>
      <c r="K216" s="14">
        <v>165.24883296128058</v>
      </c>
      <c r="L216" s="14">
        <v>235.89756275375572</v>
      </c>
      <c r="M216" s="14">
        <v>252.13251483841995</v>
      </c>
      <c r="N216" s="14">
        <v>280.82656486873384</v>
      </c>
      <c r="O216" s="14">
        <v>671.56131780620615</v>
      </c>
    </row>
    <row r="217" spans="1:15" x14ac:dyDescent="0.3">
      <c r="A217" s="3" t="str">
        <f>INDEX('R1. Scenario specifications'!$C$11:$C$49,MATCH($B217,'R1. Scenario specifications'!$A$11:$A$49,0))</f>
        <v>Current 1.5DS, 2020 start, 'Expect the Unexpected' but with most conservative biomass CCS / NET technology cost assumptions</v>
      </c>
      <c r="B217" s="3" t="s">
        <v>30</v>
      </c>
      <c r="C217" s="3" t="s">
        <v>52</v>
      </c>
      <c r="D217" s="3" t="s">
        <v>343</v>
      </c>
      <c r="E217" s="14">
        <v>47506.40120156738</v>
      </c>
      <c r="F217" s="14">
        <v>51400.759098340677</v>
      </c>
      <c r="G217" s="14">
        <v>62205.547314401418</v>
      </c>
      <c r="H217" s="14">
        <v>32825.789452669662</v>
      </c>
      <c r="I217" s="14">
        <v>14336.579031378022</v>
      </c>
      <c r="J217" s="14">
        <v>4864.0242366856182</v>
      </c>
      <c r="K217" s="14">
        <v>1808.7734356356043</v>
      </c>
      <c r="L217" s="14">
        <v>1978.3116677504531</v>
      </c>
      <c r="M217" s="14">
        <v>1715.7994474598961</v>
      </c>
      <c r="N217" s="14">
        <v>1063.6170263016077</v>
      </c>
      <c r="O217" s="14">
        <v>889.92426480912798</v>
      </c>
    </row>
    <row r="218" spans="1:15" x14ac:dyDescent="0.3">
      <c r="A218" s="3" t="str">
        <f>INDEX('R1. Scenario specifications'!$C$11:$C$49,MATCH($B218,'R1. Scenario specifications'!$A$11:$A$49,0))</f>
        <v>Current 1.5DS, 2020 start, 'Expect the Unexpected' but with most conservative biomass CCS / NET technology cost assumptions</v>
      </c>
      <c r="B218" s="3" t="s">
        <v>30</v>
      </c>
      <c r="C218" s="3" t="s">
        <v>53</v>
      </c>
      <c r="D218" s="3" t="s">
        <v>344</v>
      </c>
      <c r="E218" s="14">
        <v>703.55932605471685</v>
      </c>
      <c r="F218" s="14">
        <v>336.28891863781013</v>
      </c>
      <c r="G218" s="14">
        <v>879.49041101293551</v>
      </c>
      <c r="H218" s="14">
        <v>5534.021999788758</v>
      </c>
      <c r="I218" s="14">
        <v>7549.2968804015363</v>
      </c>
      <c r="J218" s="14">
        <v>8843.5956581826194</v>
      </c>
      <c r="K218" s="14">
        <v>12386.011872006404</v>
      </c>
      <c r="L218" s="14">
        <v>5941.1123541210327</v>
      </c>
      <c r="M218" s="14">
        <v>2994.3093055729946</v>
      </c>
      <c r="N218" s="14">
        <v>5098.6127452735946</v>
      </c>
      <c r="O218" s="14">
        <v>6488.3763728386357</v>
      </c>
    </row>
    <row r="219" spans="1:15" x14ac:dyDescent="0.3">
      <c r="A219" s="3" t="str">
        <f>INDEX('R1. Scenario specifications'!$C$11:$C$49,MATCH($B219,'R1. Scenario specifications'!$A$11:$A$49,0))</f>
        <v>Current 1.5DS, 2020 start, 'Expect the Unexpected' but with most conservative biomass CCS / NET technology cost assumptions</v>
      </c>
      <c r="B219" s="3" t="s">
        <v>30</v>
      </c>
      <c r="C219" s="3" t="s">
        <v>307</v>
      </c>
      <c r="D219" s="3" t="s">
        <v>345</v>
      </c>
      <c r="E219" s="14">
        <v>0</v>
      </c>
      <c r="F219" s="14">
        <v>0</v>
      </c>
      <c r="G219" s="14">
        <v>0</v>
      </c>
      <c r="H219" s="14">
        <v>86.0365359364433</v>
      </c>
      <c r="I219" s="14">
        <v>105.1420215879584</v>
      </c>
      <c r="J219" s="14">
        <v>114.105766312586</v>
      </c>
      <c r="K219" s="14">
        <v>116.35914202952392</v>
      </c>
      <c r="L219" s="14">
        <v>105.07320604169043</v>
      </c>
      <c r="M219" s="14">
        <v>174.14834067988758</v>
      </c>
      <c r="N219" s="14">
        <v>213.79173138031996</v>
      </c>
      <c r="O219" s="14">
        <v>351.83245550499998</v>
      </c>
    </row>
    <row r="220" spans="1:15" x14ac:dyDescent="0.3">
      <c r="A220" s="3" t="str">
        <f>INDEX('R1. Scenario specifications'!$C$11:$C$49,MATCH($B220,'R1. Scenario specifications'!$A$11:$A$49,0))</f>
        <v>Current 1.5DS, 2020 start, 'Expect the Unexpected' but with most conservative biomass CCS / NET technology cost assumptions</v>
      </c>
      <c r="B220" s="3" t="s">
        <v>30</v>
      </c>
      <c r="C220" s="3" t="s">
        <v>54</v>
      </c>
      <c r="D220" s="3" t="s">
        <v>255</v>
      </c>
      <c r="E220" s="14">
        <v>396.62220438997127</v>
      </c>
      <c r="F220" s="14">
        <v>176.86416189251261</v>
      </c>
      <c r="G220" s="14">
        <v>1833.16729548234</v>
      </c>
      <c r="H220" s="14">
        <v>1222.2674083859936</v>
      </c>
      <c r="I220" s="14">
        <v>306.38820191954835</v>
      </c>
      <c r="J220" s="14">
        <v>690.17331251962446</v>
      </c>
      <c r="K220" s="14">
        <v>580.38410242500606</v>
      </c>
      <c r="L220" s="14">
        <v>624.30934131500703</v>
      </c>
      <c r="M220" s="14">
        <v>797.10992109234007</v>
      </c>
      <c r="N220" s="14">
        <v>933.83746181074707</v>
      </c>
      <c r="O220" s="14">
        <v>5515.579291492465</v>
      </c>
    </row>
    <row r="221" spans="1:15" x14ac:dyDescent="0.3">
      <c r="A221" s="3" t="str">
        <f>INDEX('R1. Scenario specifications'!$C$11:$C$49,MATCH($B221,'R1. Scenario specifications'!$A$11:$A$49,0))</f>
        <v>Current 1.5DS, 2020 start, 'Expect the Unexpected' but with most conservative biomass CCS / NET technology cost assumptions</v>
      </c>
      <c r="B221" s="3" t="s">
        <v>30</v>
      </c>
      <c r="C221" s="3" t="s">
        <v>308</v>
      </c>
      <c r="D221" s="3" t="s">
        <v>326</v>
      </c>
      <c r="E221" s="14">
        <v>0</v>
      </c>
      <c r="F221" s="14">
        <v>0</v>
      </c>
      <c r="G221" s="14">
        <v>203.8949376312157</v>
      </c>
      <c r="H221" s="14">
        <v>473.09197504625632</v>
      </c>
      <c r="I221" s="14">
        <v>261.90636508765721</v>
      </c>
      <c r="J221" s="14">
        <v>267.91284730452566</v>
      </c>
      <c r="K221" s="14">
        <v>894.2903053705129</v>
      </c>
      <c r="L221" s="14">
        <v>1527.99339973569</v>
      </c>
      <c r="M221" s="14">
        <v>1600.063281036553</v>
      </c>
      <c r="N221" s="14">
        <v>1742.3507991743254</v>
      </c>
      <c r="O221" s="14">
        <v>1824.549501515268</v>
      </c>
    </row>
    <row r="222" spans="1:15" x14ac:dyDescent="0.3">
      <c r="A222" s="3" t="str">
        <f>INDEX('R1. Scenario specifications'!$C$11:$C$49,MATCH($B222,'R1. Scenario specifications'!$A$11:$A$49,0))</f>
        <v>Current 1.5DS, 2030 start, 'Expect the Unexpected' but with most conservative biomass CCS / NET technology cost assumptions</v>
      </c>
      <c r="B222" s="3" t="s">
        <v>31</v>
      </c>
      <c r="C222" s="3" t="s">
        <v>304</v>
      </c>
      <c r="D222" s="3" t="s">
        <v>339</v>
      </c>
      <c r="E222" s="14">
        <v>0</v>
      </c>
      <c r="F222" s="14">
        <v>820.1343749999993</v>
      </c>
      <c r="G222" s="14">
        <v>1443.6724304473942</v>
      </c>
      <c r="H222" s="14">
        <v>1052.0173273984929</v>
      </c>
      <c r="I222" s="14">
        <v>3128.5778441660041</v>
      </c>
      <c r="J222" s="14">
        <v>6590.6891843912199</v>
      </c>
      <c r="K222" s="14">
        <v>1098.7899971542461</v>
      </c>
      <c r="L222" s="14">
        <v>1222.7539673012411</v>
      </c>
      <c r="M222" s="14">
        <v>5982.4078119063615</v>
      </c>
      <c r="N222" s="14">
        <v>9318.2689688319224</v>
      </c>
      <c r="O222" s="14">
        <v>25315.10844381696</v>
      </c>
    </row>
    <row r="223" spans="1:15" x14ac:dyDescent="0.3">
      <c r="A223" s="3" t="str">
        <f>INDEX('R1. Scenario specifications'!$C$11:$C$49,MATCH($B223,'R1. Scenario specifications'!$A$11:$A$49,0))</f>
        <v>Current 1.5DS, 2030 start, 'Expect the Unexpected' but with most conservative biomass CCS / NET technology cost assumptions</v>
      </c>
      <c r="B223" s="3" t="s">
        <v>31</v>
      </c>
      <c r="C223" s="3" t="s">
        <v>51</v>
      </c>
      <c r="D223" s="3" t="s">
        <v>340</v>
      </c>
      <c r="E223" s="14">
        <v>26912.591385085678</v>
      </c>
      <c r="F223" s="14">
        <v>24726.384098969917</v>
      </c>
      <c r="G223" s="14">
        <v>20023.092920446408</v>
      </c>
      <c r="H223" s="14">
        <v>26227.564065710481</v>
      </c>
      <c r="I223" s="14">
        <v>15500.07886796192</v>
      </c>
      <c r="J223" s="14">
        <v>7373.10571150131</v>
      </c>
      <c r="K223" s="14">
        <v>13709.903456644572</v>
      </c>
      <c r="L223" s="14">
        <v>35116.863425271622</v>
      </c>
      <c r="M223" s="14">
        <v>35591.106253666352</v>
      </c>
      <c r="N223" s="14">
        <v>36438.115153644816</v>
      </c>
      <c r="O223" s="14">
        <v>21717.929365071963</v>
      </c>
    </row>
    <row r="224" spans="1:15" x14ac:dyDescent="0.3">
      <c r="A224" s="3" t="str">
        <f>INDEX('R1. Scenario specifications'!$C$11:$C$49,MATCH($B224,'R1. Scenario specifications'!$A$11:$A$49,0))</f>
        <v>Current 1.5DS, 2030 start, 'Expect the Unexpected' but with most conservative biomass CCS / NET technology cost assumptions</v>
      </c>
      <c r="B224" s="3" t="s">
        <v>31</v>
      </c>
      <c r="C224" s="3" t="s">
        <v>305</v>
      </c>
      <c r="D224" s="3" t="s">
        <v>341</v>
      </c>
      <c r="E224" s="14">
        <v>0.55126200000000003</v>
      </c>
      <c r="F224" s="14">
        <v>0.27214200000000005</v>
      </c>
      <c r="G224" s="14">
        <v>39.715545758633766</v>
      </c>
      <c r="H224" s="14">
        <v>1069.5883483275736</v>
      </c>
      <c r="I224" s="14">
        <v>3950.652225962599</v>
      </c>
      <c r="J224" s="14">
        <v>7454.246045575841</v>
      </c>
      <c r="K224" s="14">
        <v>11006.112350258712</v>
      </c>
      <c r="L224" s="14">
        <v>16623.568649151122</v>
      </c>
      <c r="M224" s="14">
        <v>17981.504967768265</v>
      </c>
      <c r="N224" s="14">
        <v>19158.695679966055</v>
      </c>
      <c r="O224" s="14">
        <v>20279.420337519139</v>
      </c>
    </row>
    <row r="225" spans="1:15" x14ac:dyDescent="0.3">
      <c r="A225" s="3" t="str">
        <f>INDEX('R1. Scenario specifications'!$C$11:$C$49,MATCH($B225,'R1. Scenario specifications'!$A$11:$A$49,0))</f>
        <v>Current 1.5DS, 2030 start, 'Expect the Unexpected' but with most conservative biomass CCS / NET technology cost assumptions</v>
      </c>
      <c r="B225" s="3" t="s">
        <v>31</v>
      </c>
      <c r="C225" s="3" t="s">
        <v>306</v>
      </c>
      <c r="D225" s="3" t="s">
        <v>342</v>
      </c>
      <c r="E225" s="14">
        <v>138.88007226094669</v>
      </c>
      <c r="F225" s="14">
        <v>231.92798987852072</v>
      </c>
      <c r="G225" s="14">
        <v>2394.994594260861</v>
      </c>
      <c r="H225" s="14">
        <v>2330.3092353624561</v>
      </c>
      <c r="I225" s="14">
        <v>165.80586166840516</v>
      </c>
      <c r="J225" s="14">
        <v>74.158599766819151</v>
      </c>
      <c r="K225" s="14">
        <v>122.30323740133358</v>
      </c>
      <c r="L225" s="14">
        <v>1961.4326767157841</v>
      </c>
      <c r="M225" s="14">
        <v>2098.2193626732828</v>
      </c>
      <c r="N225" s="14">
        <v>1231.090838701394</v>
      </c>
      <c r="O225" s="14">
        <v>479.61023982668081</v>
      </c>
    </row>
    <row r="226" spans="1:15" x14ac:dyDescent="0.3">
      <c r="A226" s="3" t="str">
        <f>INDEX('R1. Scenario specifications'!$C$11:$C$49,MATCH($B226,'R1. Scenario specifications'!$A$11:$A$49,0))</f>
        <v>Current 1.5DS, 2030 start, 'Expect the Unexpected' but with most conservative biomass CCS / NET technology cost assumptions</v>
      </c>
      <c r="B226" s="3" t="s">
        <v>31</v>
      </c>
      <c r="C226" s="3" t="s">
        <v>52</v>
      </c>
      <c r="D226" s="3" t="s">
        <v>343</v>
      </c>
      <c r="E226" s="14">
        <v>47506.40120156738</v>
      </c>
      <c r="F226" s="14">
        <v>51400.759098340677</v>
      </c>
      <c r="G226" s="14">
        <v>62205.547314401418</v>
      </c>
      <c r="H226" s="14">
        <v>44368.574800589129</v>
      </c>
      <c r="I226" s="14">
        <v>19437.114971254014</v>
      </c>
      <c r="J226" s="14">
        <v>8445.0293584257633</v>
      </c>
      <c r="K226" s="14">
        <v>4254.2106614528684</v>
      </c>
      <c r="L226" s="14">
        <v>5101.276528497322</v>
      </c>
      <c r="M226" s="14">
        <v>5100.1942197914714</v>
      </c>
      <c r="N226" s="14">
        <v>3614.94399434359</v>
      </c>
      <c r="O226" s="14">
        <v>3104.5250199131165</v>
      </c>
    </row>
    <row r="227" spans="1:15" x14ac:dyDescent="0.3">
      <c r="A227" s="3" t="str">
        <f>INDEX('R1. Scenario specifications'!$C$11:$C$49,MATCH($B227,'R1. Scenario specifications'!$A$11:$A$49,0))</f>
        <v>Current 1.5DS, 2030 start, 'Expect the Unexpected' but with most conservative biomass CCS / NET technology cost assumptions</v>
      </c>
      <c r="B227" s="3" t="s">
        <v>31</v>
      </c>
      <c r="C227" s="3" t="s">
        <v>53</v>
      </c>
      <c r="D227" s="3" t="s">
        <v>344</v>
      </c>
      <c r="E227" s="14">
        <v>703.55932605471685</v>
      </c>
      <c r="F227" s="14">
        <v>336.28891863781013</v>
      </c>
      <c r="G227" s="14">
        <v>879.49041101293551</v>
      </c>
      <c r="H227" s="14">
        <v>1203.2907539892126</v>
      </c>
      <c r="I227" s="14">
        <v>7501.6253013455862</v>
      </c>
      <c r="J227" s="14">
        <v>12014.950041716233</v>
      </c>
      <c r="K227" s="14">
        <v>11132.434603921718</v>
      </c>
      <c r="L227" s="14">
        <v>4459.2512046199399</v>
      </c>
      <c r="M227" s="14">
        <v>1355.7029085798167</v>
      </c>
      <c r="N227" s="14">
        <v>1920.028684907204</v>
      </c>
      <c r="O227" s="14">
        <v>1045.9013565881653</v>
      </c>
    </row>
    <row r="228" spans="1:15" x14ac:dyDescent="0.3">
      <c r="A228" s="3" t="str">
        <f>INDEX('R1. Scenario specifications'!$C$11:$C$49,MATCH($B228,'R1. Scenario specifications'!$A$11:$A$49,0))</f>
        <v>Current 1.5DS, 2030 start, 'Expect the Unexpected' but with most conservative biomass CCS / NET technology cost assumptions</v>
      </c>
      <c r="B228" s="3" t="s">
        <v>31</v>
      </c>
      <c r="C228" s="3" t="s">
        <v>307</v>
      </c>
      <c r="D228" s="3" t="s">
        <v>345</v>
      </c>
      <c r="E228" s="14">
        <v>0</v>
      </c>
      <c r="F228" s="14">
        <v>0</v>
      </c>
      <c r="G228" s="14">
        <v>0</v>
      </c>
      <c r="H228" s="14">
        <v>335.71272520527293</v>
      </c>
      <c r="I228" s="14">
        <v>91.856503278553603</v>
      </c>
      <c r="J228" s="14">
        <v>161.57388150335959</v>
      </c>
      <c r="K228" s="14">
        <v>197.28135454716335</v>
      </c>
      <c r="L228" s="14">
        <v>100.0712734633463</v>
      </c>
      <c r="M228" s="14">
        <v>45.461021580505523</v>
      </c>
      <c r="N228" s="14">
        <v>19.503593926188799</v>
      </c>
      <c r="O228" s="14">
        <v>189.25494797759654</v>
      </c>
    </row>
    <row r="229" spans="1:15" x14ac:dyDescent="0.3">
      <c r="A229" s="3" t="str">
        <f>INDEX('R1. Scenario specifications'!$C$11:$C$49,MATCH($B229,'R1. Scenario specifications'!$A$11:$A$49,0))</f>
        <v>Current 1.5DS, 2030 start, 'Expect the Unexpected' but with most conservative biomass CCS / NET technology cost assumptions</v>
      </c>
      <c r="B229" s="3" t="s">
        <v>31</v>
      </c>
      <c r="C229" s="3" t="s">
        <v>54</v>
      </c>
      <c r="D229" s="3" t="s">
        <v>255</v>
      </c>
      <c r="E229" s="14">
        <v>396.62220438997127</v>
      </c>
      <c r="F229" s="14">
        <v>176.86416189251261</v>
      </c>
      <c r="G229" s="14">
        <v>1833.16729548234</v>
      </c>
      <c r="H229" s="14">
        <v>5667.8396467895318</v>
      </c>
      <c r="I229" s="14">
        <v>2744.2543602968676</v>
      </c>
      <c r="J229" s="14">
        <v>944.96480481944332</v>
      </c>
      <c r="K229" s="14">
        <v>488.04128494708891</v>
      </c>
      <c r="L229" s="14">
        <v>6505.501973160669</v>
      </c>
      <c r="M229" s="14">
        <v>9259.9283841259803</v>
      </c>
      <c r="N229" s="14">
        <v>7366.069109509006</v>
      </c>
      <c r="O229" s="14">
        <v>8743.3396325790618</v>
      </c>
    </row>
    <row r="230" spans="1:15" x14ac:dyDescent="0.3">
      <c r="A230" s="3" t="str">
        <f>INDEX('R1. Scenario specifications'!$C$11:$C$49,MATCH($B230,'R1. Scenario specifications'!$A$11:$A$49,0))</f>
        <v>Current 1.5DS, 2030 start, 'Expect the Unexpected' but with most conservative biomass CCS / NET technology cost assumptions</v>
      </c>
      <c r="B230" s="3" t="s">
        <v>31</v>
      </c>
      <c r="C230" s="3" t="s">
        <v>308</v>
      </c>
      <c r="D230" s="3" t="s">
        <v>326</v>
      </c>
      <c r="E230" s="14">
        <v>0</v>
      </c>
      <c r="F230" s="14">
        <v>0</v>
      </c>
      <c r="G230" s="14">
        <v>203.8949376312157</v>
      </c>
      <c r="H230" s="14">
        <v>757.03231328497168</v>
      </c>
      <c r="I230" s="14">
        <v>441.9576582811336</v>
      </c>
      <c r="J230" s="14">
        <v>343.51967029482716</v>
      </c>
      <c r="K230" s="14">
        <v>351.16910276545707</v>
      </c>
      <c r="L230" s="14">
        <v>1529.3061117114942</v>
      </c>
      <c r="M230" s="14">
        <v>1611.102361341915</v>
      </c>
      <c r="N230" s="14">
        <v>1708.5189487746234</v>
      </c>
      <c r="O230" s="14">
        <v>1811.3687148936338</v>
      </c>
    </row>
    <row r="231" spans="1:15" x14ac:dyDescent="0.3">
      <c r="A231" s="3" t="str">
        <f>INDEX('R1. Scenario specifications'!$C$11:$C$49,MATCH($B231,'R1. Scenario specifications'!$A$11:$A$49,0))</f>
        <v>Current 1.75DS, 2020 start, 'Expect the Unexpected'</v>
      </c>
      <c r="B231" s="3" t="s">
        <v>32</v>
      </c>
      <c r="C231" s="3" t="s">
        <v>304</v>
      </c>
      <c r="D231" s="3" t="s">
        <v>339</v>
      </c>
      <c r="E231" s="14">
        <v>0</v>
      </c>
      <c r="F231" s="14">
        <v>820.1343749999993</v>
      </c>
      <c r="G231" s="14">
        <v>1443.6724304473942</v>
      </c>
      <c r="H231" s="14">
        <v>2079.1488960224824</v>
      </c>
      <c r="I231" s="14">
        <v>2620.8106662094469</v>
      </c>
      <c r="J231" s="14">
        <v>5864.5961278498489</v>
      </c>
      <c r="K231" s="14">
        <v>4547.1800482021517</v>
      </c>
      <c r="L231" s="14">
        <v>2449.3224649516669</v>
      </c>
      <c r="M231" s="14">
        <v>4826.7543165582538</v>
      </c>
      <c r="N231" s="14">
        <v>6661.0994095655997</v>
      </c>
      <c r="O231" s="14">
        <v>12312.549542402907</v>
      </c>
    </row>
    <row r="232" spans="1:15" x14ac:dyDescent="0.3">
      <c r="A232" s="3" t="str">
        <f>INDEX('R1. Scenario specifications'!$C$11:$C$49,MATCH($B232,'R1. Scenario specifications'!$A$11:$A$49,0))</f>
        <v>Current 1.75DS, 2020 start, 'Expect the Unexpected'</v>
      </c>
      <c r="B232" s="3" t="s">
        <v>32</v>
      </c>
      <c r="C232" s="3" t="s">
        <v>51</v>
      </c>
      <c r="D232" s="3" t="s">
        <v>340</v>
      </c>
      <c r="E232" s="14">
        <v>26912.591385085678</v>
      </c>
      <c r="F232" s="14">
        <v>24726.384098969917</v>
      </c>
      <c r="G232" s="14">
        <v>20023.092920446408</v>
      </c>
      <c r="H232" s="14">
        <v>25608.822442657802</v>
      </c>
      <c r="I232" s="14">
        <v>43089.555106222237</v>
      </c>
      <c r="J232" s="14">
        <v>31022.74646031842</v>
      </c>
      <c r="K232" s="14">
        <v>31624.063317894354</v>
      </c>
      <c r="L232" s="14">
        <v>32420.904265161491</v>
      </c>
      <c r="M232" s="14">
        <v>27847.649820516323</v>
      </c>
      <c r="N232" s="14">
        <v>22494.676425234549</v>
      </c>
      <c r="O232" s="14">
        <v>12374.312617410655</v>
      </c>
    </row>
    <row r="233" spans="1:15" x14ac:dyDescent="0.3">
      <c r="A233" s="3" t="str">
        <f>INDEX('R1. Scenario specifications'!$C$11:$C$49,MATCH($B233,'R1. Scenario specifications'!$A$11:$A$49,0))</f>
        <v>Current 1.75DS, 2020 start, 'Expect the Unexpected'</v>
      </c>
      <c r="B233" s="3" t="s">
        <v>32</v>
      </c>
      <c r="C233" s="3" t="s">
        <v>305</v>
      </c>
      <c r="D233" s="3" t="s">
        <v>341</v>
      </c>
      <c r="E233" s="14">
        <v>0.55126200000000003</v>
      </c>
      <c r="F233" s="14">
        <v>0.27214200000000005</v>
      </c>
      <c r="G233" s="14">
        <v>39.715545758633766</v>
      </c>
      <c r="H233" s="14">
        <v>1130.2454144358746</v>
      </c>
      <c r="I233" s="14">
        <v>4395.4478487279748</v>
      </c>
      <c r="J233" s="14">
        <v>10346.618019879585</v>
      </c>
      <c r="K233" s="14">
        <v>14942.983261331266</v>
      </c>
      <c r="L233" s="14">
        <v>18421.524446237447</v>
      </c>
      <c r="M233" s="14">
        <v>20561.454263369928</v>
      </c>
      <c r="N233" s="14">
        <v>21741.663786238249</v>
      </c>
      <c r="O233" s="14">
        <v>23569.571100268739</v>
      </c>
    </row>
    <row r="234" spans="1:15" x14ac:dyDescent="0.3">
      <c r="A234" s="3" t="str">
        <f>INDEX('R1. Scenario specifications'!$C$11:$C$49,MATCH($B234,'R1. Scenario specifications'!$A$11:$A$49,0))</f>
        <v>Current 1.75DS, 2020 start, 'Expect the Unexpected'</v>
      </c>
      <c r="B234" s="3" t="s">
        <v>32</v>
      </c>
      <c r="C234" s="3" t="s">
        <v>306</v>
      </c>
      <c r="D234" s="3" t="s">
        <v>342</v>
      </c>
      <c r="E234" s="14">
        <v>138.88007226094669</v>
      </c>
      <c r="F234" s="14">
        <v>231.92798987852072</v>
      </c>
      <c r="G234" s="14">
        <v>2394.994594260861</v>
      </c>
      <c r="H234" s="14">
        <v>2233.2165121790613</v>
      </c>
      <c r="I234" s="14">
        <v>2020.9573500330639</v>
      </c>
      <c r="J234" s="14">
        <v>1829.1730427547268</v>
      </c>
      <c r="K234" s="14">
        <v>802.56419076187433</v>
      </c>
      <c r="L234" s="14">
        <v>282.48729182269369</v>
      </c>
      <c r="M234" s="14">
        <v>726.54646709564736</v>
      </c>
      <c r="N234" s="14">
        <v>1033.3098170819003</v>
      </c>
      <c r="O234" s="14">
        <v>1315.7335119533786</v>
      </c>
    </row>
    <row r="235" spans="1:15" x14ac:dyDescent="0.3">
      <c r="A235" s="3" t="str">
        <f>INDEX('R1. Scenario specifications'!$C$11:$C$49,MATCH($B235,'R1. Scenario specifications'!$A$11:$A$49,0))</f>
        <v>Current 1.75DS, 2020 start, 'Expect the Unexpected'</v>
      </c>
      <c r="B235" s="3" t="s">
        <v>32</v>
      </c>
      <c r="C235" s="3" t="s">
        <v>52</v>
      </c>
      <c r="D235" s="3" t="s">
        <v>343</v>
      </c>
      <c r="E235" s="14">
        <v>47506.40120156738</v>
      </c>
      <c r="F235" s="14">
        <v>51400.759098340677</v>
      </c>
      <c r="G235" s="14">
        <v>62205.547314401418</v>
      </c>
      <c r="H235" s="14">
        <v>40576.983455799018</v>
      </c>
      <c r="I235" s="14">
        <v>12445.193467390212</v>
      </c>
      <c r="J235" s="14">
        <v>9427.7088493978808</v>
      </c>
      <c r="K235" s="14">
        <v>4464.253793976588</v>
      </c>
      <c r="L235" s="14">
        <v>1690.2327781705378</v>
      </c>
      <c r="M235" s="14">
        <v>1061.5025470474295</v>
      </c>
      <c r="N235" s="14">
        <v>930.24275249204959</v>
      </c>
      <c r="O235" s="14">
        <v>867.40189020230594</v>
      </c>
    </row>
    <row r="236" spans="1:15" x14ac:dyDescent="0.3">
      <c r="A236" s="3" t="str">
        <f>INDEX('R1. Scenario specifications'!$C$11:$C$49,MATCH($B236,'R1. Scenario specifications'!$A$11:$A$49,0))</f>
        <v>Current 1.75DS, 2020 start, 'Expect the Unexpected'</v>
      </c>
      <c r="B236" s="3" t="s">
        <v>32</v>
      </c>
      <c r="C236" s="3" t="s">
        <v>53</v>
      </c>
      <c r="D236" s="3" t="s">
        <v>344</v>
      </c>
      <c r="E236" s="14">
        <v>703.55932605471685</v>
      </c>
      <c r="F236" s="14">
        <v>336.28891863781013</v>
      </c>
      <c r="G236" s="14">
        <v>879.49041101293551</v>
      </c>
      <c r="H236" s="14">
        <v>1223.6964136737179</v>
      </c>
      <c r="I236" s="14">
        <v>1155.9240428758874</v>
      </c>
      <c r="J236" s="14">
        <v>923.78792596646235</v>
      </c>
      <c r="K236" s="14">
        <v>1143.9183524122298</v>
      </c>
      <c r="L236" s="14">
        <v>3888.9587664956043</v>
      </c>
      <c r="M236" s="14">
        <v>5494.7889729236558</v>
      </c>
      <c r="N236" s="14">
        <v>10424.656854532572</v>
      </c>
      <c r="O236" s="14">
        <v>12496.579108270429</v>
      </c>
    </row>
    <row r="237" spans="1:15" x14ac:dyDescent="0.3">
      <c r="A237" s="3" t="str">
        <f>INDEX('R1. Scenario specifications'!$C$11:$C$49,MATCH($B237,'R1. Scenario specifications'!$A$11:$A$49,0))</f>
        <v>Current 1.75DS, 2020 start, 'Expect the Unexpected'</v>
      </c>
      <c r="B237" s="3" t="s">
        <v>32</v>
      </c>
      <c r="C237" s="3" t="s">
        <v>307</v>
      </c>
      <c r="D237" s="3" t="s">
        <v>345</v>
      </c>
      <c r="E237" s="14">
        <v>0</v>
      </c>
      <c r="F237" s="14">
        <v>0</v>
      </c>
      <c r="G237" s="14">
        <v>0</v>
      </c>
      <c r="H237" s="14">
        <v>83.3333333333334</v>
      </c>
      <c r="I237" s="14">
        <v>102.7061072089583</v>
      </c>
      <c r="J237" s="14">
        <v>190.47888108592483</v>
      </c>
      <c r="K237" s="14">
        <v>126.48827887406533</v>
      </c>
      <c r="L237" s="14">
        <v>186.68987533812628</v>
      </c>
      <c r="M237" s="14">
        <v>198.55682606436079</v>
      </c>
      <c r="N237" s="14">
        <v>194.13299340109339</v>
      </c>
      <c r="O237" s="14">
        <v>463.79173138032007</v>
      </c>
    </row>
    <row r="238" spans="1:15" x14ac:dyDescent="0.3">
      <c r="A238" s="3" t="str">
        <f>INDEX('R1. Scenario specifications'!$C$11:$C$49,MATCH($B238,'R1. Scenario specifications'!$A$11:$A$49,0))</f>
        <v>Current 1.75DS, 2020 start, 'Expect the Unexpected'</v>
      </c>
      <c r="B238" s="3" t="s">
        <v>32</v>
      </c>
      <c r="C238" s="3" t="s">
        <v>54</v>
      </c>
      <c r="D238" s="3" t="s">
        <v>255</v>
      </c>
      <c r="E238" s="14">
        <v>396.62220438997127</v>
      </c>
      <c r="F238" s="14">
        <v>176.86416189251261</v>
      </c>
      <c r="G238" s="14">
        <v>1833.16729548234</v>
      </c>
      <c r="H238" s="14">
        <v>4105.6831496768718</v>
      </c>
      <c r="I238" s="14">
        <v>5406.5726238454909</v>
      </c>
      <c r="J238" s="14">
        <v>9182.1538890326774</v>
      </c>
      <c r="K238" s="14">
        <v>5604.4984440372127</v>
      </c>
      <c r="L238" s="14">
        <v>1258.6837095014271</v>
      </c>
      <c r="M238" s="14">
        <v>693.16007013943397</v>
      </c>
      <c r="N238" s="14">
        <v>764.938068905725</v>
      </c>
      <c r="O238" s="14">
        <v>5104.7233701131618</v>
      </c>
    </row>
    <row r="239" spans="1:15" x14ac:dyDescent="0.3">
      <c r="A239" s="3" t="str">
        <f>INDEX('R1. Scenario specifications'!$C$11:$C$49,MATCH($B239,'R1. Scenario specifications'!$A$11:$A$49,0))</f>
        <v>Current 1.75DS, 2020 start, 'Expect the Unexpected'</v>
      </c>
      <c r="B239" s="3" t="s">
        <v>32</v>
      </c>
      <c r="C239" s="3" t="s">
        <v>308</v>
      </c>
      <c r="D239" s="3" t="s">
        <v>326</v>
      </c>
      <c r="E239" s="14">
        <v>0</v>
      </c>
      <c r="F239" s="14">
        <v>0</v>
      </c>
      <c r="G239" s="14">
        <v>203.8949376312157</v>
      </c>
      <c r="H239" s="14">
        <v>739.78895561422746</v>
      </c>
      <c r="I239" s="14">
        <v>945.84762085617729</v>
      </c>
      <c r="J239" s="14">
        <v>1346.8676083381329</v>
      </c>
      <c r="K239" s="14">
        <v>1430.4115216710247</v>
      </c>
      <c r="L239" s="14">
        <v>1505.4814501206044</v>
      </c>
      <c r="M239" s="14">
        <v>1645.3460588904136</v>
      </c>
      <c r="N239" s="14">
        <v>1567.1019600304116</v>
      </c>
      <c r="O239" s="14">
        <v>1593.684597628722</v>
      </c>
    </row>
    <row r="240" spans="1:15" x14ac:dyDescent="0.3">
      <c r="A240" s="3" t="str">
        <f>INDEX('R1. Scenario specifications'!$C$11:$C$49,MATCH($B240,'R1. Scenario specifications'!$A$11:$A$49,0))</f>
        <v>Current 1.75DS, 2030 start, 'Expect the Unexpected'</v>
      </c>
      <c r="B240" s="3" t="s">
        <v>33</v>
      </c>
      <c r="C240" s="3" t="s">
        <v>304</v>
      </c>
      <c r="D240" s="3" t="s">
        <v>339</v>
      </c>
      <c r="E240" s="14">
        <v>0</v>
      </c>
      <c r="F240" s="14">
        <v>820.1343749999993</v>
      </c>
      <c r="G240" s="14">
        <v>1443.6724304473942</v>
      </c>
      <c r="H240" s="14">
        <v>1052.0173273984929</v>
      </c>
      <c r="I240" s="14">
        <v>2481.766341444174</v>
      </c>
      <c r="J240" s="14">
        <v>10232.214953819815</v>
      </c>
      <c r="K240" s="14">
        <v>7076.7615226236612</v>
      </c>
      <c r="L240" s="14">
        <v>3213.4284367504915</v>
      </c>
      <c r="M240" s="14">
        <v>4593.9230794516134</v>
      </c>
      <c r="N240" s="14">
        <v>7363.6605794830903</v>
      </c>
      <c r="O240" s="14">
        <v>12986.62483989224</v>
      </c>
    </row>
    <row r="241" spans="1:15" x14ac:dyDescent="0.3">
      <c r="A241" s="3" t="str">
        <f>INDEX('R1. Scenario specifications'!$C$11:$C$49,MATCH($B241,'R1. Scenario specifications'!$A$11:$A$49,0))</f>
        <v>Current 1.75DS, 2030 start, 'Expect the Unexpected'</v>
      </c>
      <c r="B241" s="3" t="s">
        <v>33</v>
      </c>
      <c r="C241" s="3" t="s">
        <v>51</v>
      </c>
      <c r="D241" s="3" t="s">
        <v>340</v>
      </c>
      <c r="E241" s="14">
        <v>26912.591385085678</v>
      </c>
      <c r="F241" s="14">
        <v>24726.384098969917</v>
      </c>
      <c r="G241" s="14">
        <v>20023.092920446408</v>
      </c>
      <c r="H241" s="14">
        <v>26227.564065710481</v>
      </c>
      <c r="I241" s="14">
        <v>44987.470385932087</v>
      </c>
      <c r="J241" s="14">
        <v>26342.09763145219</v>
      </c>
      <c r="K241" s="14">
        <v>22642.138409391588</v>
      </c>
      <c r="L241" s="14">
        <v>32645.67178642724</v>
      </c>
      <c r="M241" s="14">
        <v>29855.503893621499</v>
      </c>
      <c r="N241" s="14">
        <v>23149.280108186653</v>
      </c>
      <c r="O241" s="14">
        <v>13908.909146756332</v>
      </c>
    </row>
    <row r="242" spans="1:15" x14ac:dyDescent="0.3">
      <c r="A242" s="3" t="str">
        <f>INDEX('R1. Scenario specifications'!$C$11:$C$49,MATCH($B242,'R1. Scenario specifications'!$A$11:$A$49,0))</f>
        <v>Current 1.75DS, 2030 start, 'Expect the Unexpected'</v>
      </c>
      <c r="B242" s="3" t="s">
        <v>33</v>
      </c>
      <c r="C242" s="3" t="s">
        <v>305</v>
      </c>
      <c r="D242" s="3" t="s">
        <v>341</v>
      </c>
      <c r="E242" s="14">
        <v>0.55126200000000003</v>
      </c>
      <c r="F242" s="14">
        <v>0.27214200000000005</v>
      </c>
      <c r="G242" s="14">
        <v>39.715545758633766</v>
      </c>
      <c r="H242" s="14">
        <v>1069.5883483275736</v>
      </c>
      <c r="I242" s="14">
        <v>4136.5183599319244</v>
      </c>
      <c r="J242" s="14">
        <v>9648.6523299483033</v>
      </c>
      <c r="K242" s="14">
        <v>13365.104084295897</v>
      </c>
      <c r="L242" s="14">
        <v>17037.636776940275</v>
      </c>
      <c r="M242" s="14">
        <v>20275.310977684265</v>
      </c>
      <c r="N242" s="14">
        <v>21744.412550279132</v>
      </c>
      <c r="O242" s="14">
        <v>23615.877285419334</v>
      </c>
    </row>
    <row r="243" spans="1:15" x14ac:dyDescent="0.3">
      <c r="A243" s="3" t="str">
        <f>INDEX('R1. Scenario specifications'!$C$11:$C$49,MATCH($B243,'R1. Scenario specifications'!$A$11:$A$49,0))</f>
        <v>Current 1.75DS, 2030 start, 'Expect the Unexpected'</v>
      </c>
      <c r="B243" s="3" t="s">
        <v>33</v>
      </c>
      <c r="C243" s="3" t="s">
        <v>306</v>
      </c>
      <c r="D243" s="3" t="s">
        <v>342</v>
      </c>
      <c r="E243" s="14">
        <v>138.88007226094669</v>
      </c>
      <c r="F243" s="14">
        <v>231.92798987852072</v>
      </c>
      <c r="G243" s="14">
        <v>2394.994594260861</v>
      </c>
      <c r="H243" s="14">
        <v>2330.3092353624561</v>
      </c>
      <c r="I243" s="14">
        <v>1926.612834648952</v>
      </c>
      <c r="J243" s="14">
        <v>997.31112273151246</v>
      </c>
      <c r="K243" s="14">
        <v>182.11937747868555</v>
      </c>
      <c r="L243" s="14">
        <v>201.70933576664214</v>
      </c>
      <c r="M243" s="14">
        <v>277.86202660201735</v>
      </c>
      <c r="N243" s="14">
        <v>463.39545531650583</v>
      </c>
      <c r="O243" s="14">
        <v>1006.6471498277165</v>
      </c>
    </row>
    <row r="244" spans="1:15" x14ac:dyDescent="0.3">
      <c r="A244" s="3" t="str">
        <f>INDEX('R1. Scenario specifications'!$C$11:$C$49,MATCH($B244,'R1. Scenario specifications'!$A$11:$A$49,0))</f>
        <v>Current 1.75DS, 2030 start, 'Expect the Unexpected'</v>
      </c>
      <c r="B244" s="3" t="s">
        <v>33</v>
      </c>
      <c r="C244" s="3" t="s">
        <v>52</v>
      </c>
      <c r="D244" s="3" t="s">
        <v>343</v>
      </c>
      <c r="E244" s="14">
        <v>47506.40120156738</v>
      </c>
      <c r="F244" s="14">
        <v>51400.759098340677</v>
      </c>
      <c r="G244" s="14">
        <v>62205.547314401418</v>
      </c>
      <c r="H244" s="14">
        <v>44368.574800589129</v>
      </c>
      <c r="I244" s="14">
        <v>13327.910201472389</v>
      </c>
      <c r="J244" s="14">
        <v>9098.5851448080157</v>
      </c>
      <c r="K244" s="14">
        <v>3649.5864956856576</v>
      </c>
      <c r="L244" s="14">
        <v>2099.9301942314178</v>
      </c>
      <c r="M244" s="14">
        <v>1560.3582012178824</v>
      </c>
      <c r="N244" s="14">
        <v>949.62878303203252</v>
      </c>
      <c r="O244" s="14">
        <v>868.70467624524815</v>
      </c>
    </row>
    <row r="245" spans="1:15" x14ac:dyDescent="0.3">
      <c r="A245" s="3" t="str">
        <f>INDEX('R1. Scenario specifications'!$C$11:$C$49,MATCH($B245,'R1. Scenario specifications'!$A$11:$A$49,0))</f>
        <v>Current 1.75DS, 2030 start, 'Expect the Unexpected'</v>
      </c>
      <c r="B245" s="3" t="s">
        <v>33</v>
      </c>
      <c r="C245" s="3" t="s">
        <v>53</v>
      </c>
      <c r="D245" s="3" t="s">
        <v>344</v>
      </c>
      <c r="E245" s="14">
        <v>703.55932605471685</v>
      </c>
      <c r="F245" s="14">
        <v>336.28891863781013</v>
      </c>
      <c r="G245" s="14">
        <v>879.49041101293551</v>
      </c>
      <c r="H245" s="14">
        <v>1203.2907539892126</v>
      </c>
      <c r="I245" s="14">
        <v>1208.2904944277223</v>
      </c>
      <c r="J245" s="14">
        <v>6232.5163150146836</v>
      </c>
      <c r="K245" s="14">
        <v>11872.975521594264</v>
      </c>
      <c r="L245" s="14">
        <v>6967.6267573279583</v>
      </c>
      <c r="M245" s="14">
        <v>4856.1735122786686</v>
      </c>
      <c r="N245" s="14">
        <v>10038.079517979841</v>
      </c>
      <c r="O245" s="14">
        <v>10850.867741471409</v>
      </c>
    </row>
    <row r="246" spans="1:15" x14ac:dyDescent="0.3">
      <c r="A246" s="3" t="str">
        <f>INDEX('R1. Scenario specifications'!$C$11:$C$49,MATCH($B246,'R1. Scenario specifications'!$A$11:$A$49,0))</f>
        <v>Current 1.75DS, 2030 start, 'Expect the Unexpected'</v>
      </c>
      <c r="B246" s="3" t="s">
        <v>33</v>
      </c>
      <c r="C246" s="3" t="s">
        <v>307</v>
      </c>
      <c r="D246" s="3" t="s">
        <v>345</v>
      </c>
      <c r="E246" s="14">
        <v>0</v>
      </c>
      <c r="F246" s="14">
        <v>0</v>
      </c>
      <c r="G246" s="14">
        <v>0</v>
      </c>
      <c r="H246" s="14">
        <v>335.71272520527293</v>
      </c>
      <c r="I246" s="14">
        <v>138.73652045935552</v>
      </c>
      <c r="J246" s="14">
        <v>188.19775699928516</v>
      </c>
      <c r="K246" s="14">
        <v>132.11282966071033</v>
      </c>
      <c r="L246" s="14">
        <v>181.90673785396979</v>
      </c>
      <c r="M246" s="14">
        <v>209.82695651834689</v>
      </c>
      <c r="N246" s="14">
        <v>197.06489305482913</v>
      </c>
      <c r="O246" s="14">
        <v>385.34327270719689</v>
      </c>
    </row>
    <row r="247" spans="1:15" x14ac:dyDescent="0.3">
      <c r="A247" s="3" t="str">
        <f>INDEX('R1. Scenario specifications'!$C$11:$C$49,MATCH($B247,'R1. Scenario specifications'!$A$11:$A$49,0))</f>
        <v>Current 1.75DS, 2030 start, 'Expect the Unexpected'</v>
      </c>
      <c r="B247" s="3" t="s">
        <v>33</v>
      </c>
      <c r="C247" s="3" t="s">
        <v>54</v>
      </c>
      <c r="D247" s="3" t="s">
        <v>255</v>
      </c>
      <c r="E247" s="14">
        <v>396.62220438997127</v>
      </c>
      <c r="F247" s="14">
        <v>176.86416189251261</v>
      </c>
      <c r="G247" s="14">
        <v>1833.16729548234</v>
      </c>
      <c r="H247" s="14">
        <v>5667.8396467895318</v>
      </c>
      <c r="I247" s="14">
        <v>4110.7298282168831</v>
      </c>
      <c r="J247" s="14">
        <v>2099.7233326958094</v>
      </c>
      <c r="K247" s="14">
        <v>880.39143101349237</v>
      </c>
      <c r="L247" s="14">
        <v>661.44760776537191</v>
      </c>
      <c r="M247" s="14">
        <v>765.37605117369299</v>
      </c>
      <c r="N247" s="14">
        <v>814.84381185114989</v>
      </c>
      <c r="O247" s="14">
        <v>5175.7891647637807</v>
      </c>
    </row>
    <row r="248" spans="1:15" x14ac:dyDescent="0.3">
      <c r="A248" s="3" t="str">
        <f>INDEX('R1. Scenario specifications'!$C$11:$C$49,MATCH($B248,'R1. Scenario specifications'!$A$11:$A$49,0))</f>
        <v>Current 1.75DS, 2030 start, 'Expect the Unexpected'</v>
      </c>
      <c r="B248" s="3" t="s">
        <v>33</v>
      </c>
      <c r="C248" s="3" t="s">
        <v>308</v>
      </c>
      <c r="D248" s="3" t="s">
        <v>326</v>
      </c>
      <c r="E248" s="14">
        <v>0</v>
      </c>
      <c r="F248" s="14">
        <v>0</v>
      </c>
      <c r="G248" s="14">
        <v>203.8949376312157</v>
      </c>
      <c r="H248" s="14">
        <v>757.03231328497168</v>
      </c>
      <c r="I248" s="14">
        <v>940.44860434596455</v>
      </c>
      <c r="J248" s="14">
        <v>1187.7954411978656</v>
      </c>
      <c r="K248" s="14">
        <v>965.45922696520392</v>
      </c>
      <c r="L248" s="14">
        <v>1500.8530067851973</v>
      </c>
      <c r="M248" s="14">
        <v>1651.2215888806829</v>
      </c>
      <c r="N248" s="14">
        <v>1569.6901744949439</v>
      </c>
      <c r="O248" s="14">
        <v>1621.6367896177965</v>
      </c>
    </row>
    <row r="249" spans="1:15" x14ac:dyDescent="0.3">
      <c r="A249" s="3" t="str">
        <f>INDEX('R1. Scenario specifications'!$C$11:$C$49,MATCH($B249,'R1. Scenario specifications'!$A$11:$A$49,0))</f>
        <v>Current 1.75DS, 2020 start, 'Expect the Unexpected' but with cheap renewables</v>
      </c>
      <c r="B249" s="3" t="s">
        <v>34</v>
      </c>
      <c r="C249" s="3" t="s">
        <v>304</v>
      </c>
      <c r="D249" s="3" t="s">
        <v>339</v>
      </c>
      <c r="E249" s="14">
        <v>0</v>
      </c>
      <c r="F249" s="14">
        <v>820.1343749999993</v>
      </c>
      <c r="G249" s="14">
        <v>1443.6724304473942</v>
      </c>
      <c r="H249" s="14">
        <v>1993.8781828673532</v>
      </c>
      <c r="I249" s="14">
        <v>4433.2291076610982</v>
      </c>
      <c r="J249" s="14">
        <v>8430.1119026034667</v>
      </c>
      <c r="K249" s="14">
        <v>6518.0096673365524</v>
      </c>
      <c r="L249" s="14">
        <v>4003.8967269658228</v>
      </c>
      <c r="M249" s="14">
        <v>5153.6779949337824</v>
      </c>
      <c r="N249" s="14">
        <v>6751.5528014962465</v>
      </c>
      <c r="O249" s="14">
        <v>12376.982148188914</v>
      </c>
    </row>
    <row r="250" spans="1:15" x14ac:dyDescent="0.3">
      <c r="A250" s="3" t="str">
        <f>INDEX('R1. Scenario specifications'!$C$11:$C$49,MATCH($B250,'R1. Scenario specifications'!$A$11:$A$49,0))</f>
        <v>Current 1.75DS, 2020 start, 'Expect the Unexpected' but with cheap renewables</v>
      </c>
      <c r="B250" s="3" t="s">
        <v>34</v>
      </c>
      <c r="C250" s="3" t="s">
        <v>51</v>
      </c>
      <c r="D250" s="3" t="s">
        <v>340</v>
      </c>
      <c r="E250" s="14">
        <v>26912.591385085678</v>
      </c>
      <c r="F250" s="14">
        <v>24726.384098969917</v>
      </c>
      <c r="G250" s="14">
        <v>20023.092920446408</v>
      </c>
      <c r="H250" s="14">
        <v>25688.973621706322</v>
      </c>
      <c r="I250" s="14">
        <v>43047.804237256605</v>
      </c>
      <c r="J250" s="14">
        <v>29107.762973906367</v>
      </c>
      <c r="K250" s="14">
        <v>29710.521040567612</v>
      </c>
      <c r="L250" s="14">
        <v>31608.537327362741</v>
      </c>
      <c r="M250" s="14">
        <v>27897.051835648628</v>
      </c>
      <c r="N250" s="14">
        <v>22376.959429513099</v>
      </c>
      <c r="O250" s="14">
        <v>12345.628485967316</v>
      </c>
    </row>
    <row r="251" spans="1:15" x14ac:dyDescent="0.3">
      <c r="A251" s="3" t="str">
        <f>INDEX('R1. Scenario specifications'!$C$11:$C$49,MATCH($B251,'R1. Scenario specifications'!$A$11:$A$49,0))</f>
        <v>Current 1.75DS, 2020 start, 'Expect the Unexpected' but with cheap renewables</v>
      </c>
      <c r="B251" s="3" t="s">
        <v>34</v>
      </c>
      <c r="C251" s="3" t="s">
        <v>305</v>
      </c>
      <c r="D251" s="3" t="s">
        <v>341</v>
      </c>
      <c r="E251" s="14">
        <v>0.55126200000000003</v>
      </c>
      <c r="F251" s="14">
        <v>0.27214200000000005</v>
      </c>
      <c r="G251" s="14">
        <v>39.715545758633766</v>
      </c>
      <c r="H251" s="14">
        <v>1148.2875370024105</v>
      </c>
      <c r="I251" s="14">
        <v>4400.8139342872009</v>
      </c>
      <c r="J251" s="14">
        <v>10346.603629910936</v>
      </c>
      <c r="K251" s="14">
        <v>14943.92848157042</v>
      </c>
      <c r="L251" s="14">
        <v>18421.202459459506</v>
      </c>
      <c r="M251" s="14">
        <v>20597.117196155599</v>
      </c>
      <c r="N251" s="14">
        <v>21741.373253551978</v>
      </c>
      <c r="O251" s="14">
        <v>23601.592923637156</v>
      </c>
    </row>
    <row r="252" spans="1:15" x14ac:dyDescent="0.3">
      <c r="A252" s="3" t="str">
        <f>INDEX('R1. Scenario specifications'!$C$11:$C$49,MATCH($B252,'R1. Scenario specifications'!$A$11:$A$49,0))</f>
        <v>Current 1.75DS, 2020 start, 'Expect the Unexpected' but with cheap renewables</v>
      </c>
      <c r="B252" s="3" t="s">
        <v>34</v>
      </c>
      <c r="C252" s="3" t="s">
        <v>306</v>
      </c>
      <c r="D252" s="3" t="s">
        <v>342</v>
      </c>
      <c r="E252" s="14">
        <v>138.88007226094669</v>
      </c>
      <c r="F252" s="14">
        <v>231.92798987852072</v>
      </c>
      <c r="G252" s="14">
        <v>2394.994594260861</v>
      </c>
      <c r="H252" s="14">
        <v>2233.2165121790613</v>
      </c>
      <c r="I252" s="14">
        <v>2021.0614536474636</v>
      </c>
      <c r="J252" s="14">
        <v>1419.4783022841227</v>
      </c>
      <c r="K252" s="14">
        <v>569.43145830817741</v>
      </c>
      <c r="L252" s="14">
        <v>287.37182970631437</v>
      </c>
      <c r="M252" s="14">
        <v>741.64800808922587</v>
      </c>
      <c r="N252" s="14">
        <v>1003.1503259169383</v>
      </c>
      <c r="O252" s="14">
        <v>1317.9000788659725</v>
      </c>
    </row>
    <row r="253" spans="1:15" x14ac:dyDescent="0.3">
      <c r="A253" s="3" t="str">
        <f>INDEX('R1. Scenario specifications'!$C$11:$C$49,MATCH($B253,'R1. Scenario specifications'!$A$11:$A$49,0))</f>
        <v>Current 1.75DS, 2020 start, 'Expect the Unexpected' but with cheap renewables</v>
      </c>
      <c r="B253" s="3" t="s">
        <v>34</v>
      </c>
      <c r="C253" s="3" t="s">
        <v>52</v>
      </c>
      <c r="D253" s="3" t="s">
        <v>343</v>
      </c>
      <c r="E253" s="14">
        <v>47506.40120156738</v>
      </c>
      <c r="F253" s="14">
        <v>51400.759098340677</v>
      </c>
      <c r="G253" s="14">
        <v>62205.547314401418</v>
      </c>
      <c r="H253" s="14">
        <v>40441.551230196361</v>
      </c>
      <c r="I253" s="14">
        <v>12608.979001645224</v>
      </c>
      <c r="J253" s="14">
        <v>10229.865776570135</v>
      </c>
      <c r="K253" s="14">
        <v>4845.1950186512786</v>
      </c>
      <c r="L253" s="14">
        <v>1679.5898507083277</v>
      </c>
      <c r="M253" s="14">
        <v>1062.0841087588153</v>
      </c>
      <c r="N253" s="14">
        <v>943.94638553527454</v>
      </c>
      <c r="O253" s="14">
        <v>868.70467624524815</v>
      </c>
    </row>
    <row r="254" spans="1:15" x14ac:dyDescent="0.3">
      <c r="A254" s="3" t="str">
        <f>INDEX('R1. Scenario specifications'!$C$11:$C$49,MATCH($B254,'R1. Scenario specifications'!$A$11:$A$49,0))</f>
        <v>Current 1.75DS, 2020 start, 'Expect the Unexpected' but with cheap renewables</v>
      </c>
      <c r="B254" s="3" t="s">
        <v>34</v>
      </c>
      <c r="C254" s="3" t="s">
        <v>53</v>
      </c>
      <c r="D254" s="3" t="s">
        <v>344</v>
      </c>
      <c r="E254" s="14">
        <v>703.55932605471685</v>
      </c>
      <c r="F254" s="14">
        <v>336.28891863781013</v>
      </c>
      <c r="G254" s="14">
        <v>879.49041101293551</v>
      </c>
      <c r="H254" s="14">
        <v>1223.6536023339213</v>
      </c>
      <c r="I254" s="14">
        <v>1155.924042875954</v>
      </c>
      <c r="J254" s="14">
        <v>911.00455669309042</v>
      </c>
      <c r="K254" s="14">
        <v>1143.9183524122127</v>
      </c>
      <c r="L254" s="14">
        <v>3301.7968716050955</v>
      </c>
      <c r="M254" s="14">
        <v>5158.560333339864</v>
      </c>
      <c r="N254" s="14">
        <v>10552.456379034807</v>
      </c>
      <c r="O254" s="14">
        <v>12577.025990045095</v>
      </c>
    </row>
    <row r="255" spans="1:15" x14ac:dyDescent="0.3">
      <c r="A255" s="3" t="str">
        <f>INDEX('R1. Scenario specifications'!$C$11:$C$49,MATCH($B255,'R1. Scenario specifications'!$A$11:$A$49,0))</f>
        <v>Current 1.75DS, 2020 start, 'Expect the Unexpected' but with cheap renewables</v>
      </c>
      <c r="B255" s="3" t="s">
        <v>34</v>
      </c>
      <c r="C255" s="3" t="s">
        <v>307</v>
      </c>
      <c r="D255" s="3" t="s">
        <v>345</v>
      </c>
      <c r="E255" s="14">
        <v>0</v>
      </c>
      <c r="F255" s="14">
        <v>0</v>
      </c>
      <c r="G255" s="14">
        <v>0</v>
      </c>
      <c r="H255" s="14">
        <v>83.3333333333334</v>
      </c>
      <c r="I255" s="14">
        <v>91.594996097847201</v>
      </c>
      <c r="J255" s="14">
        <v>190.47888108592485</v>
      </c>
      <c r="K255" s="14">
        <v>128.34116175882437</v>
      </c>
      <c r="L255" s="14">
        <v>192.91973129910281</v>
      </c>
      <c r="M255" s="14">
        <v>203.72591150306422</v>
      </c>
      <c r="N255" s="14">
        <v>192.845524839044</v>
      </c>
      <c r="O255" s="14">
        <v>463.79173138032002</v>
      </c>
    </row>
    <row r="256" spans="1:15" x14ac:dyDescent="0.3">
      <c r="A256" s="3" t="str">
        <f>INDEX('R1. Scenario specifications'!$C$11:$C$49,MATCH($B256,'R1. Scenario specifications'!$A$11:$A$49,0))</f>
        <v>Current 1.75DS, 2020 start, 'Expect the Unexpected' but with cheap renewables</v>
      </c>
      <c r="B256" s="3" t="s">
        <v>34</v>
      </c>
      <c r="C256" s="3" t="s">
        <v>54</v>
      </c>
      <c r="D256" s="3" t="s">
        <v>255</v>
      </c>
      <c r="E256" s="14">
        <v>396.62220438997127</v>
      </c>
      <c r="F256" s="14">
        <v>176.86416189251261</v>
      </c>
      <c r="G256" s="14">
        <v>1833.16729548234</v>
      </c>
      <c r="H256" s="14">
        <v>4179.5536782280151</v>
      </c>
      <c r="I256" s="14">
        <v>5275.1871324905369</v>
      </c>
      <c r="J256" s="14">
        <v>8956.6619231816694</v>
      </c>
      <c r="K256" s="14">
        <v>5468.672774992745</v>
      </c>
      <c r="L256" s="14">
        <v>1249.764236857432</v>
      </c>
      <c r="M256" s="14">
        <v>692.97640831441004</v>
      </c>
      <c r="N256" s="14">
        <v>791.71835312593294</v>
      </c>
      <c r="O256" s="14">
        <v>5100.414127207835</v>
      </c>
    </row>
    <row r="257" spans="1:15" x14ac:dyDescent="0.3">
      <c r="A257" s="3" t="str">
        <f>INDEX('R1. Scenario specifications'!$C$11:$C$49,MATCH($B257,'R1. Scenario specifications'!$A$11:$A$49,0))</f>
        <v>Current 1.75DS, 2020 start, 'Expect the Unexpected' but with cheap renewables</v>
      </c>
      <c r="B257" s="3" t="s">
        <v>34</v>
      </c>
      <c r="C257" s="3" t="s">
        <v>308</v>
      </c>
      <c r="D257" s="3" t="s">
        <v>326</v>
      </c>
      <c r="E257" s="14">
        <v>0</v>
      </c>
      <c r="F257" s="14">
        <v>0</v>
      </c>
      <c r="G257" s="14">
        <v>203.8949376312157</v>
      </c>
      <c r="H257" s="14">
        <v>747.10091701110957</v>
      </c>
      <c r="I257" s="14">
        <v>946.4700655244468</v>
      </c>
      <c r="J257" s="14">
        <v>1346.8676083381324</v>
      </c>
      <c r="K257" s="14">
        <v>1430.4115216710243</v>
      </c>
      <c r="L257" s="14">
        <v>1500.2415249106064</v>
      </c>
      <c r="M257" s="14">
        <v>1645.9962893880447</v>
      </c>
      <c r="N257" s="14">
        <v>1566.8263008437589</v>
      </c>
      <c r="O257" s="14">
        <v>1595.513921907896</v>
      </c>
    </row>
    <row r="258" spans="1:15" x14ac:dyDescent="0.3">
      <c r="A258" s="3" t="str">
        <f>INDEX('R1. Scenario specifications'!$C$11:$C$49,MATCH($B258,'R1. Scenario specifications'!$A$11:$A$49,0))</f>
        <v>Current 1.75DS, 2030 start, 'Expect the Unexpected' but with cheap renewables</v>
      </c>
      <c r="B258" s="3" t="s">
        <v>35</v>
      </c>
      <c r="C258" s="3" t="s">
        <v>304</v>
      </c>
      <c r="D258" s="3" t="s">
        <v>339</v>
      </c>
      <c r="E258" s="14">
        <v>0</v>
      </c>
      <c r="F258" s="14">
        <v>820.1343749999993</v>
      </c>
      <c r="G258" s="14">
        <v>1443.6724304473942</v>
      </c>
      <c r="H258" s="14">
        <v>1052.0173273984929</v>
      </c>
      <c r="I258" s="14">
        <v>2630.9844528656886</v>
      </c>
      <c r="J258" s="14">
        <v>9940.7032328425794</v>
      </c>
      <c r="K258" s="14">
        <v>7070.9353643697523</v>
      </c>
      <c r="L258" s="14">
        <v>3059.4143815457551</v>
      </c>
      <c r="M258" s="14">
        <v>4528.087704145576</v>
      </c>
      <c r="N258" s="14">
        <v>7360.9808145005218</v>
      </c>
      <c r="O258" s="14">
        <v>12954.324160493596</v>
      </c>
    </row>
    <row r="259" spans="1:15" x14ac:dyDescent="0.3">
      <c r="A259" s="3" t="str">
        <f>INDEX('R1. Scenario specifications'!$C$11:$C$49,MATCH($B259,'R1. Scenario specifications'!$A$11:$A$49,0))</f>
        <v>Current 1.75DS, 2030 start, 'Expect the Unexpected' but with cheap renewables</v>
      </c>
      <c r="B259" s="3" t="s">
        <v>35</v>
      </c>
      <c r="C259" s="3" t="s">
        <v>51</v>
      </c>
      <c r="D259" s="3" t="s">
        <v>340</v>
      </c>
      <c r="E259" s="14">
        <v>26912.591385085678</v>
      </c>
      <c r="F259" s="14">
        <v>24726.384098969917</v>
      </c>
      <c r="G259" s="14">
        <v>20023.092920446408</v>
      </c>
      <c r="H259" s="14">
        <v>26227.564065710481</v>
      </c>
      <c r="I259" s="14">
        <v>44513.421906596748</v>
      </c>
      <c r="J259" s="14">
        <v>27159.240051850338</v>
      </c>
      <c r="K259" s="14">
        <v>23137.996228834621</v>
      </c>
      <c r="L259" s="14">
        <v>32738.59324622804</v>
      </c>
      <c r="M259" s="14">
        <v>29864.194988139519</v>
      </c>
      <c r="N259" s="14">
        <v>23175.457482174119</v>
      </c>
      <c r="O259" s="14">
        <v>13933.058803896532</v>
      </c>
    </row>
    <row r="260" spans="1:15" x14ac:dyDescent="0.3">
      <c r="A260" s="3" t="str">
        <f>INDEX('R1. Scenario specifications'!$C$11:$C$49,MATCH($B260,'R1. Scenario specifications'!$A$11:$A$49,0))</f>
        <v>Current 1.75DS, 2030 start, 'Expect the Unexpected' but with cheap renewables</v>
      </c>
      <c r="B260" s="3" t="s">
        <v>35</v>
      </c>
      <c r="C260" s="3" t="s">
        <v>305</v>
      </c>
      <c r="D260" s="3" t="s">
        <v>341</v>
      </c>
      <c r="E260" s="14">
        <v>0.55126200000000003</v>
      </c>
      <c r="F260" s="14">
        <v>0.27214200000000005</v>
      </c>
      <c r="G260" s="14">
        <v>39.715545758633766</v>
      </c>
      <c r="H260" s="14">
        <v>1069.5883483275736</v>
      </c>
      <c r="I260" s="14">
        <v>4139.4131807954809</v>
      </c>
      <c r="J260" s="14">
        <v>9742.6781871365001</v>
      </c>
      <c r="K260" s="14">
        <v>13377.466974619725</v>
      </c>
      <c r="L260" s="14">
        <v>17058.068135270263</v>
      </c>
      <c r="M260" s="14">
        <v>20269.176018910362</v>
      </c>
      <c r="N260" s="14">
        <v>21730.94724358683</v>
      </c>
      <c r="O260" s="14">
        <v>23607.381424125855</v>
      </c>
    </row>
    <row r="261" spans="1:15" x14ac:dyDescent="0.3">
      <c r="A261" s="3" t="str">
        <f>INDEX('R1. Scenario specifications'!$C$11:$C$49,MATCH($B261,'R1. Scenario specifications'!$A$11:$A$49,0))</f>
        <v>Current 1.75DS, 2030 start, 'Expect the Unexpected' but with cheap renewables</v>
      </c>
      <c r="B261" s="3" t="s">
        <v>35</v>
      </c>
      <c r="C261" s="3" t="s">
        <v>306</v>
      </c>
      <c r="D261" s="3" t="s">
        <v>342</v>
      </c>
      <c r="E261" s="14">
        <v>138.88007226094669</v>
      </c>
      <c r="F261" s="14">
        <v>231.92798987852072</v>
      </c>
      <c r="G261" s="14">
        <v>2394.994594260861</v>
      </c>
      <c r="H261" s="14">
        <v>2330.3092353624561</v>
      </c>
      <c r="I261" s="14">
        <v>1954.3744053176436</v>
      </c>
      <c r="J261" s="14">
        <v>1024.3431997747741</v>
      </c>
      <c r="K261" s="14">
        <v>188.69614551619134</v>
      </c>
      <c r="L261" s="14">
        <v>196.37791802329789</v>
      </c>
      <c r="M261" s="14">
        <v>274.11222795780247</v>
      </c>
      <c r="N261" s="14">
        <v>420.93553320738579</v>
      </c>
      <c r="O261" s="14">
        <v>1006.647149827721</v>
      </c>
    </row>
    <row r="262" spans="1:15" x14ac:dyDescent="0.3">
      <c r="A262" s="3" t="str">
        <f>INDEX('R1. Scenario specifications'!$C$11:$C$49,MATCH($B262,'R1. Scenario specifications'!$A$11:$A$49,0))</f>
        <v>Current 1.75DS, 2030 start, 'Expect the Unexpected' but with cheap renewables</v>
      </c>
      <c r="B262" s="3" t="s">
        <v>35</v>
      </c>
      <c r="C262" s="3" t="s">
        <v>52</v>
      </c>
      <c r="D262" s="3" t="s">
        <v>343</v>
      </c>
      <c r="E262" s="14">
        <v>47506.40120156738</v>
      </c>
      <c r="F262" s="14">
        <v>51400.759098340677</v>
      </c>
      <c r="G262" s="14">
        <v>62205.547314401418</v>
      </c>
      <c r="H262" s="14">
        <v>44368.574800589129</v>
      </c>
      <c r="I262" s="14">
        <v>13327.910201472389</v>
      </c>
      <c r="J262" s="14">
        <v>9533.5158738807295</v>
      </c>
      <c r="K262" s="14">
        <v>3796.8753122066205</v>
      </c>
      <c r="L262" s="14">
        <v>2099.9301942314155</v>
      </c>
      <c r="M262" s="14">
        <v>1559.8139536444735</v>
      </c>
      <c r="N262" s="14">
        <v>959.13414770629231</v>
      </c>
      <c r="O262" s="14">
        <v>868.70467624524815</v>
      </c>
    </row>
    <row r="263" spans="1:15" x14ac:dyDescent="0.3">
      <c r="A263" s="3" t="str">
        <f>INDEX('R1. Scenario specifications'!$C$11:$C$49,MATCH($B263,'R1. Scenario specifications'!$A$11:$A$49,0))</f>
        <v>Current 1.75DS, 2030 start, 'Expect the Unexpected' but with cheap renewables</v>
      </c>
      <c r="B263" s="3" t="s">
        <v>35</v>
      </c>
      <c r="C263" s="3" t="s">
        <v>53</v>
      </c>
      <c r="D263" s="3" t="s">
        <v>344</v>
      </c>
      <c r="E263" s="14">
        <v>703.55932605471685</v>
      </c>
      <c r="F263" s="14">
        <v>336.28891863781013</v>
      </c>
      <c r="G263" s="14">
        <v>879.49041101293551</v>
      </c>
      <c r="H263" s="14">
        <v>1203.2907539892126</v>
      </c>
      <c r="I263" s="14">
        <v>1183.8749023999912</v>
      </c>
      <c r="J263" s="14">
        <v>5029.619588119961</v>
      </c>
      <c r="K263" s="14">
        <v>11192.550062807462</v>
      </c>
      <c r="L263" s="14">
        <v>6966.6310054843216</v>
      </c>
      <c r="M263" s="14">
        <v>4911.3483306474445</v>
      </c>
      <c r="N263" s="14">
        <v>10177.295257287118</v>
      </c>
      <c r="O263" s="14">
        <v>10866.021838145918</v>
      </c>
    </row>
    <row r="264" spans="1:15" x14ac:dyDescent="0.3">
      <c r="A264" s="3" t="str">
        <f>INDEX('R1. Scenario specifications'!$C$11:$C$49,MATCH($B264,'R1. Scenario specifications'!$A$11:$A$49,0))</f>
        <v>Current 1.75DS, 2030 start, 'Expect the Unexpected' but with cheap renewables</v>
      </c>
      <c r="B264" s="3" t="s">
        <v>35</v>
      </c>
      <c r="C264" s="3" t="s">
        <v>307</v>
      </c>
      <c r="D264" s="3" t="s">
        <v>345</v>
      </c>
      <c r="E264" s="14">
        <v>0</v>
      </c>
      <c r="F264" s="14">
        <v>0</v>
      </c>
      <c r="G264" s="14">
        <v>0</v>
      </c>
      <c r="H264" s="14">
        <v>335.71272520527293</v>
      </c>
      <c r="I264" s="14">
        <v>138.73652045935552</v>
      </c>
      <c r="J264" s="14">
        <v>208.80949952569756</v>
      </c>
      <c r="K264" s="14">
        <v>138.2431712274298</v>
      </c>
      <c r="L264" s="14">
        <v>175.67688189299324</v>
      </c>
      <c r="M264" s="14">
        <v>207.48932410093391</v>
      </c>
      <c r="N264" s="14">
        <v>197.06489305482918</v>
      </c>
      <c r="O264" s="14">
        <v>384.60782867657258</v>
      </c>
    </row>
    <row r="265" spans="1:15" x14ac:dyDescent="0.3">
      <c r="A265" s="3" t="str">
        <f>INDEX('R1. Scenario specifications'!$C$11:$C$49,MATCH($B265,'R1. Scenario specifications'!$A$11:$A$49,0))</f>
        <v>Current 1.75DS, 2030 start, 'Expect the Unexpected' but with cheap renewables</v>
      </c>
      <c r="B265" s="3" t="s">
        <v>35</v>
      </c>
      <c r="C265" s="3" t="s">
        <v>54</v>
      </c>
      <c r="D265" s="3" t="s">
        <v>255</v>
      </c>
      <c r="E265" s="14">
        <v>396.62220438997127</v>
      </c>
      <c r="F265" s="14">
        <v>176.86416189251261</v>
      </c>
      <c r="G265" s="14">
        <v>1833.16729548234</v>
      </c>
      <c r="H265" s="14">
        <v>5667.8396467895318</v>
      </c>
      <c r="I265" s="14">
        <v>4556.1364156653754</v>
      </c>
      <c r="J265" s="14">
        <v>2339.8926804942034</v>
      </c>
      <c r="K265" s="14">
        <v>875.50896946128012</v>
      </c>
      <c r="L265" s="14">
        <v>656.56865735835186</v>
      </c>
      <c r="M265" s="14">
        <v>762.28471190375512</v>
      </c>
      <c r="N265" s="14">
        <v>814.53575455754003</v>
      </c>
      <c r="O265" s="14">
        <v>5166.5174746919329</v>
      </c>
    </row>
    <row r="266" spans="1:15" x14ac:dyDescent="0.3">
      <c r="A266" s="3" t="str">
        <f>INDEX('R1. Scenario specifications'!$C$11:$C$49,MATCH($B266,'R1. Scenario specifications'!$A$11:$A$49,0))</f>
        <v>Current 1.75DS, 2030 start, 'Expect the Unexpected' but with cheap renewables</v>
      </c>
      <c r="B266" s="3" t="s">
        <v>35</v>
      </c>
      <c r="C266" s="3" t="s">
        <v>308</v>
      </c>
      <c r="D266" s="3" t="s">
        <v>326</v>
      </c>
      <c r="E266" s="14">
        <v>0</v>
      </c>
      <c r="F266" s="14">
        <v>0</v>
      </c>
      <c r="G266" s="14">
        <v>203.8949376312157</v>
      </c>
      <c r="H266" s="14">
        <v>757.03231328497168</v>
      </c>
      <c r="I266" s="14">
        <v>940.44860434596364</v>
      </c>
      <c r="J266" s="14">
        <v>1203.5737416978691</v>
      </c>
      <c r="K266" s="14">
        <v>969.14677613890535</v>
      </c>
      <c r="L266" s="14">
        <v>1500.3409857373247</v>
      </c>
      <c r="M266" s="14">
        <v>1652.6477252683896</v>
      </c>
      <c r="N266" s="14">
        <v>1686.4573876802406</v>
      </c>
      <c r="O266" s="14">
        <v>1685.8184703550542</v>
      </c>
    </row>
    <row r="267" spans="1:15" x14ac:dyDescent="0.3">
      <c r="A267" s="3" t="str">
        <f>INDEX('R1. Scenario specifications'!$C$11:$C$49,MATCH($B267,'R1. Scenario specifications'!$A$11:$A$49,0))</f>
        <v>Current 1.75DS, 2020 start, 'Expect the Unexpected' but with cheap CCS</v>
      </c>
      <c r="B267" s="3" t="s">
        <v>36</v>
      </c>
      <c r="C267" s="3" t="s">
        <v>304</v>
      </c>
      <c r="D267" s="3" t="s">
        <v>339</v>
      </c>
      <c r="E267" s="14">
        <v>0</v>
      </c>
      <c r="F267" s="14">
        <v>820.1343749999993</v>
      </c>
      <c r="G267" s="14">
        <v>1443.6724304473942</v>
      </c>
      <c r="H267" s="14">
        <v>2079.1488960224733</v>
      </c>
      <c r="I267" s="14">
        <v>2620.8106662043242</v>
      </c>
      <c r="J267" s="14">
        <v>5864.5961278366958</v>
      </c>
      <c r="K267" s="14">
        <v>4547.180048195245</v>
      </c>
      <c r="L267" s="14">
        <v>2449.3224649512977</v>
      </c>
      <c r="M267" s="14">
        <v>4826.7543165539246</v>
      </c>
      <c r="N267" s="14">
        <v>6661.0994095619308</v>
      </c>
      <c r="O267" s="14">
        <v>12312.549542402907</v>
      </c>
    </row>
    <row r="268" spans="1:15" x14ac:dyDescent="0.3">
      <c r="A268" s="3" t="str">
        <f>INDEX('R1. Scenario specifications'!$C$11:$C$49,MATCH($B268,'R1. Scenario specifications'!$A$11:$A$49,0))</f>
        <v>Current 1.75DS, 2020 start, 'Expect the Unexpected' but with cheap CCS</v>
      </c>
      <c r="B268" s="3" t="s">
        <v>36</v>
      </c>
      <c r="C268" s="3" t="s">
        <v>51</v>
      </c>
      <c r="D268" s="3" t="s">
        <v>340</v>
      </c>
      <c r="E268" s="14">
        <v>26912.591385085678</v>
      </c>
      <c r="F268" s="14">
        <v>24726.384098969917</v>
      </c>
      <c r="G268" s="14">
        <v>20023.092920446408</v>
      </c>
      <c r="H268" s="14">
        <v>25608.822442657776</v>
      </c>
      <c r="I268" s="14">
        <v>43089.555106227373</v>
      </c>
      <c r="J268" s="14">
        <v>31022.74646032149</v>
      </c>
      <c r="K268" s="14">
        <v>31624.063317896158</v>
      </c>
      <c r="L268" s="14">
        <v>32420.904265162666</v>
      </c>
      <c r="M268" s="14">
        <v>27847.649820522591</v>
      </c>
      <c r="N268" s="14">
        <v>22494.676425239035</v>
      </c>
      <c r="O268" s="14">
        <v>12374.312617413188</v>
      </c>
    </row>
    <row r="269" spans="1:15" x14ac:dyDescent="0.3">
      <c r="A269" s="3" t="str">
        <f>INDEX('R1. Scenario specifications'!$C$11:$C$49,MATCH($B269,'R1. Scenario specifications'!$A$11:$A$49,0))</f>
        <v>Current 1.75DS, 2020 start, 'Expect the Unexpected' but with cheap CCS</v>
      </c>
      <c r="B269" s="3" t="s">
        <v>36</v>
      </c>
      <c r="C269" s="3" t="s">
        <v>305</v>
      </c>
      <c r="D269" s="3" t="s">
        <v>341</v>
      </c>
      <c r="E269" s="14">
        <v>0.55126200000000003</v>
      </c>
      <c r="F269" s="14">
        <v>0.27214200000000005</v>
      </c>
      <c r="G269" s="14">
        <v>39.715545758633766</v>
      </c>
      <c r="H269" s="14">
        <v>1130.2454144358746</v>
      </c>
      <c r="I269" s="14">
        <v>4395.4478487279748</v>
      </c>
      <c r="J269" s="14">
        <v>10346.618019879585</v>
      </c>
      <c r="K269" s="14">
        <v>14942.983261331266</v>
      </c>
      <c r="L269" s="14">
        <v>18421.524446237712</v>
      </c>
      <c r="M269" s="14">
        <v>20561.454263370008</v>
      </c>
      <c r="N269" s="14">
        <v>21741.663786238249</v>
      </c>
      <c r="O269" s="14">
        <v>23569.571100268739</v>
      </c>
    </row>
    <row r="270" spans="1:15" x14ac:dyDescent="0.3">
      <c r="A270" s="3" t="str">
        <f>INDEX('R1. Scenario specifications'!$C$11:$C$49,MATCH($B270,'R1. Scenario specifications'!$A$11:$A$49,0))</f>
        <v>Current 1.75DS, 2020 start, 'Expect the Unexpected' but with cheap CCS</v>
      </c>
      <c r="B270" s="3" t="s">
        <v>36</v>
      </c>
      <c r="C270" s="3" t="s">
        <v>306</v>
      </c>
      <c r="D270" s="3" t="s">
        <v>342</v>
      </c>
      <c r="E270" s="14">
        <v>138.88007226094669</v>
      </c>
      <c r="F270" s="14">
        <v>231.92798987852072</v>
      </c>
      <c r="G270" s="14">
        <v>2394.994594260861</v>
      </c>
      <c r="H270" s="14">
        <v>2233.2165121790613</v>
      </c>
      <c r="I270" s="14">
        <v>2020.9573500330639</v>
      </c>
      <c r="J270" s="14">
        <v>1829.1730427547268</v>
      </c>
      <c r="K270" s="14">
        <v>802.56419076187433</v>
      </c>
      <c r="L270" s="14">
        <v>282.48729182272092</v>
      </c>
      <c r="M270" s="14">
        <v>726.54646710001987</v>
      </c>
      <c r="N270" s="14">
        <v>1033.3098170855778</v>
      </c>
      <c r="O270" s="14">
        <v>1315.7335119533784</v>
      </c>
    </row>
    <row r="271" spans="1:15" x14ac:dyDescent="0.3">
      <c r="A271" s="3" t="str">
        <f>INDEX('R1. Scenario specifications'!$C$11:$C$49,MATCH($B271,'R1. Scenario specifications'!$A$11:$A$49,0))</f>
        <v>Current 1.75DS, 2020 start, 'Expect the Unexpected' but with cheap CCS</v>
      </c>
      <c r="B271" s="3" t="s">
        <v>36</v>
      </c>
      <c r="C271" s="3" t="s">
        <v>52</v>
      </c>
      <c r="D271" s="3" t="s">
        <v>343</v>
      </c>
      <c r="E271" s="14">
        <v>47506.40120156738</v>
      </c>
      <c r="F271" s="14">
        <v>51400.759098340677</v>
      </c>
      <c r="G271" s="14">
        <v>62205.547314401418</v>
      </c>
      <c r="H271" s="14">
        <v>40576.983455799018</v>
      </c>
      <c r="I271" s="14">
        <v>12445.193467390212</v>
      </c>
      <c r="J271" s="14">
        <v>9427.7088493978808</v>
      </c>
      <c r="K271" s="14">
        <v>4464.253793976588</v>
      </c>
      <c r="L271" s="14">
        <v>1690.2327781705394</v>
      </c>
      <c r="M271" s="14">
        <v>1061.5025470474302</v>
      </c>
      <c r="N271" s="14">
        <v>930.24275249204959</v>
      </c>
      <c r="O271" s="14">
        <v>867.40189020230594</v>
      </c>
    </row>
    <row r="272" spans="1:15" x14ac:dyDescent="0.3">
      <c r="A272" s="3" t="str">
        <f>INDEX('R1. Scenario specifications'!$C$11:$C$49,MATCH($B272,'R1. Scenario specifications'!$A$11:$A$49,0))</f>
        <v>Current 1.75DS, 2020 start, 'Expect the Unexpected' but with cheap CCS</v>
      </c>
      <c r="B272" s="3" t="s">
        <v>36</v>
      </c>
      <c r="C272" s="3" t="s">
        <v>53</v>
      </c>
      <c r="D272" s="3" t="s">
        <v>344</v>
      </c>
      <c r="E272" s="14">
        <v>703.55932605471685</v>
      </c>
      <c r="F272" s="14">
        <v>336.28891863781013</v>
      </c>
      <c r="G272" s="14">
        <v>879.49041101293551</v>
      </c>
      <c r="H272" s="14">
        <v>1223.6964136737433</v>
      </c>
      <c r="I272" s="14">
        <v>1155.9240428758733</v>
      </c>
      <c r="J272" s="14">
        <v>923.78792596644689</v>
      </c>
      <c r="K272" s="14">
        <v>1143.9183524122077</v>
      </c>
      <c r="L272" s="14">
        <v>3888.9587664942474</v>
      </c>
      <c r="M272" s="14">
        <v>5494.7889729169729</v>
      </c>
      <c r="N272" s="14">
        <v>10424.656854528022</v>
      </c>
      <c r="O272" s="14">
        <v>12496.579108267721</v>
      </c>
    </row>
    <row r="273" spans="1:15" x14ac:dyDescent="0.3">
      <c r="A273" s="3" t="str">
        <f>INDEX('R1. Scenario specifications'!$C$11:$C$49,MATCH($B273,'R1. Scenario specifications'!$A$11:$A$49,0))</f>
        <v>Current 1.75DS, 2020 start, 'Expect the Unexpected' but with cheap CCS</v>
      </c>
      <c r="B273" s="3" t="s">
        <v>36</v>
      </c>
      <c r="C273" s="3" t="s">
        <v>307</v>
      </c>
      <c r="D273" s="3" t="s">
        <v>345</v>
      </c>
      <c r="E273" s="14">
        <v>0</v>
      </c>
      <c r="F273" s="14">
        <v>0</v>
      </c>
      <c r="G273" s="14">
        <v>0</v>
      </c>
      <c r="H273" s="14">
        <v>83.3333333333334</v>
      </c>
      <c r="I273" s="14">
        <v>102.7061072089583</v>
      </c>
      <c r="J273" s="14">
        <v>190.47888108592483</v>
      </c>
      <c r="K273" s="14">
        <v>126.48827887406533</v>
      </c>
      <c r="L273" s="14">
        <v>186.68987533812628</v>
      </c>
      <c r="M273" s="14">
        <v>198.55682606436079</v>
      </c>
      <c r="N273" s="14">
        <v>194.13299340109324</v>
      </c>
      <c r="O273" s="14">
        <v>463.79173138032007</v>
      </c>
    </row>
    <row r="274" spans="1:15" x14ac:dyDescent="0.3">
      <c r="A274" s="3" t="str">
        <f>INDEX('R1. Scenario specifications'!$C$11:$C$49,MATCH($B274,'R1. Scenario specifications'!$A$11:$A$49,0))</f>
        <v>Current 1.75DS, 2020 start, 'Expect the Unexpected' but with cheap CCS</v>
      </c>
      <c r="B274" s="3" t="s">
        <v>36</v>
      </c>
      <c r="C274" s="3" t="s">
        <v>54</v>
      </c>
      <c r="D274" s="3" t="s">
        <v>255</v>
      </c>
      <c r="E274" s="14">
        <v>396.62220438997127</v>
      </c>
      <c r="F274" s="14">
        <v>176.86416189251261</v>
      </c>
      <c r="G274" s="14">
        <v>1833.16729548234</v>
      </c>
      <c r="H274" s="14">
        <v>4105.6831496768809</v>
      </c>
      <c r="I274" s="14">
        <v>5406.5726238454954</v>
      </c>
      <c r="J274" s="14">
        <v>9182.1538890466363</v>
      </c>
      <c r="K274" s="14">
        <v>5604.4984440443131</v>
      </c>
      <c r="L274" s="14">
        <v>1258.6837095009889</v>
      </c>
      <c r="M274" s="14">
        <v>693.16007013936303</v>
      </c>
      <c r="N274" s="14">
        <v>764.93806890569203</v>
      </c>
      <c r="O274" s="14">
        <v>5104.7233701129862</v>
      </c>
    </row>
    <row r="275" spans="1:15" x14ac:dyDescent="0.3">
      <c r="A275" s="3" t="str">
        <f>INDEX('R1. Scenario specifications'!$C$11:$C$49,MATCH($B275,'R1. Scenario specifications'!$A$11:$A$49,0))</f>
        <v>Current 1.75DS, 2020 start, 'Expect the Unexpected' but with cheap CCS</v>
      </c>
      <c r="B275" s="3" t="s">
        <v>36</v>
      </c>
      <c r="C275" s="3" t="s">
        <v>308</v>
      </c>
      <c r="D275" s="3" t="s">
        <v>326</v>
      </c>
      <c r="E275" s="14">
        <v>0</v>
      </c>
      <c r="F275" s="14">
        <v>0</v>
      </c>
      <c r="G275" s="14">
        <v>203.8949376312157</v>
      </c>
      <c r="H275" s="14">
        <v>739.78895561422746</v>
      </c>
      <c r="I275" s="14">
        <v>945.84762085617729</v>
      </c>
      <c r="J275" s="14">
        <v>1346.8676083381329</v>
      </c>
      <c r="K275" s="14">
        <v>1430.4115216710247</v>
      </c>
      <c r="L275" s="14">
        <v>1505.4814501206047</v>
      </c>
      <c r="M275" s="14">
        <v>1645.3460588904136</v>
      </c>
      <c r="N275" s="14">
        <v>1567.1019600304116</v>
      </c>
      <c r="O275" s="14">
        <v>1593.6845976287223</v>
      </c>
    </row>
    <row r="276" spans="1:15" x14ac:dyDescent="0.3">
      <c r="A276" s="3" t="str">
        <f>INDEX('R1. Scenario specifications'!$C$11:$C$49,MATCH($B276,'R1. Scenario specifications'!$A$11:$A$49,0))</f>
        <v>Current 2DS, 2020 start, 'Expect the Unexpected' but with cheap renewables</v>
      </c>
      <c r="B276" s="3" t="s">
        <v>37</v>
      </c>
      <c r="C276" s="3" t="s">
        <v>304</v>
      </c>
      <c r="D276" s="3" t="s">
        <v>339</v>
      </c>
      <c r="E276" s="14">
        <v>0</v>
      </c>
      <c r="F276" s="14">
        <v>820.1343749999993</v>
      </c>
      <c r="G276" s="14">
        <v>1443.6724304473942</v>
      </c>
      <c r="H276" s="14">
        <v>1781.4664947202796</v>
      </c>
      <c r="I276" s="14">
        <v>2720.1589629620275</v>
      </c>
      <c r="J276" s="14">
        <v>6043.5056582015768</v>
      </c>
      <c r="K276" s="14">
        <v>7066.0621479795645</v>
      </c>
      <c r="L276" s="14">
        <v>12083.716865875365</v>
      </c>
      <c r="M276" s="14">
        <v>11885.874144187746</v>
      </c>
      <c r="N276" s="14">
        <v>10256.915153151924</v>
      </c>
      <c r="O276" s="14">
        <v>14168.186129300973</v>
      </c>
    </row>
    <row r="277" spans="1:15" x14ac:dyDescent="0.3">
      <c r="A277" s="3" t="str">
        <f>INDEX('R1. Scenario specifications'!$C$11:$C$49,MATCH($B277,'R1. Scenario specifications'!$A$11:$A$49,0))</f>
        <v>Current 2DS, 2020 start, 'Expect the Unexpected' but with cheap renewables</v>
      </c>
      <c r="B277" s="3" t="s">
        <v>37</v>
      </c>
      <c r="C277" s="3" t="s">
        <v>51</v>
      </c>
      <c r="D277" s="3" t="s">
        <v>340</v>
      </c>
      <c r="E277" s="14">
        <v>26912.591385085678</v>
      </c>
      <c r="F277" s="14">
        <v>24726.384098969917</v>
      </c>
      <c r="G277" s="14">
        <v>20023.092920446408</v>
      </c>
      <c r="H277" s="14">
        <v>25593.243354719281</v>
      </c>
      <c r="I277" s="14">
        <v>43026.94330587663</v>
      </c>
      <c r="J277" s="14">
        <v>24234.265509867942</v>
      </c>
      <c r="K277" s="14">
        <v>26376.509428754314</v>
      </c>
      <c r="L277" s="14">
        <v>29184.594748387361</v>
      </c>
      <c r="M277" s="14">
        <v>30124.043024151659</v>
      </c>
      <c r="N277" s="14">
        <v>27719.862116137527</v>
      </c>
      <c r="O277" s="14">
        <v>19375.875395756997</v>
      </c>
    </row>
    <row r="278" spans="1:15" x14ac:dyDescent="0.3">
      <c r="A278" s="3" t="str">
        <f>INDEX('R1. Scenario specifications'!$C$11:$C$49,MATCH($B278,'R1. Scenario specifications'!$A$11:$A$49,0))</f>
        <v>Current 2DS, 2020 start, 'Expect the Unexpected' but with cheap renewables</v>
      </c>
      <c r="B278" s="3" t="s">
        <v>37</v>
      </c>
      <c r="C278" s="3" t="s">
        <v>305</v>
      </c>
      <c r="D278" s="3" t="s">
        <v>341</v>
      </c>
      <c r="E278" s="14">
        <v>0.55126200000000003</v>
      </c>
      <c r="F278" s="14">
        <v>0.27214200000000005</v>
      </c>
      <c r="G278" s="14">
        <v>39.715545758633766</v>
      </c>
      <c r="H278" s="14">
        <v>1087.8397472504214</v>
      </c>
      <c r="I278" s="14">
        <v>4153.5059618013538</v>
      </c>
      <c r="J278" s="14">
        <v>9746.9405155306486</v>
      </c>
      <c r="K278" s="14">
        <v>14499.874008228842</v>
      </c>
      <c r="L278" s="14">
        <v>16676.399593206916</v>
      </c>
      <c r="M278" s="14">
        <v>19072.274881925838</v>
      </c>
      <c r="N278" s="14">
        <v>21482.791789169707</v>
      </c>
      <c r="O278" s="14">
        <v>23508.935988787092</v>
      </c>
    </row>
    <row r="279" spans="1:15" x14ac:dyDescent="0.3">
      <c r="A279" s="3" t="str">
        <f>INDEX('R1. Scenario specifications'!$C$11:$C$49,MATCH($B279,'R1. Scenario specifications'!$A$11:$A$49,0))</f>
        <v>Current 2DS, 2020 start, 'Expect the Unexpected' but with cheap renewables</v>
      </c>
      <c r="B279" s="3" t="s">
        <v>37</v>
      </c>
      <c r="C279" s="3" t="s">
        <v>306</v>
      </c>
      <c r="D279" s="3" t="s">
        <v>342</v>
      </c>
      <c r="E279" s="14">
        <v>138.88007226094669</v>
      </c>
      <c r="F279" s="14">
        <v>231.92798987852072</v>
      </c>
      <c r="G279" s="14">
        <v>2394.994594260861</v>
      </c>
      <c r="H279" s="14">
        <v>2309.2740707360203</v>
      </c>
      <c r="I279" s="14">
        <v>2164.9155217701668</v>
      </c>
      <c r="J279" s="14">
        <v>2182.1281247138677</v>
      </c>
      <c r="K279" s="14">
        <v>1512.8601307745676</v>
      </c>
      <c r="L279" s="14">
        <v>653.80209412681063</v>
      </c>
      <c r="M279" s="14">
        <v>209.64699016444209</v>
      </c>
      <c r="N279" s="14">
        <v>251.2114064446115</v>
      </c>
      <c r="O279" s="14">
        <v>613.54205010210796</v>
      </c>
    </row>
    <row r="280" spans="1:15" x14ac:dyDescent="0.3">
      <c r="A280" s="3" t="str">
        <f>INDEX('R1. Scenario specifications'!$C$11:$C$49,MATCH($B280,'R1. Scenario specifications'!$A$11:$A$49,0))</f>
        <v>Current 2DS, 2020 start, 'Expect the Unexpected' but with cheap renewables</v>
      </c>
      <c r="B280" s="3" t="s">
        <v>37</v>
      </c>
      <c r="C280" s="3" t="s">
        <v>52</v>
      </c>
      <c r="D280" s="3" t="s">
        <v>343</v>
      </c>
      <c r="E280" s="14">
        <v>47506.40120156738</v>
      </c>
      <c r="F280" s="14">
        <v>51400.759098340677</v>
      </c>
      <c r="G280" s="14">
        <v>62205.547314401418</v>
      </c>
      <c r="H280" s="14">
        <v>43651.512314039392</v>
      </c>
      <c r="I280" s="14">
        <v>13550.536108178343</v>
      </c>
      <c r="J280" s="14">
        <v>12569.006799676197</v>
      </c>
      <c r="K280" s="14">
        <v>6760.8110641265821</v>
      </c>
      <c r="L280" s="14">
        <v>3229.5050604132553</v>
      </c>
      <c r="M280" s="14">
        <v>1658.1382930629447</v>
      </c>
      <c r="N280" s="14">
        <v>1067.5989052527252</v>
      </c>
      <c r="O280" s="14">
        <v>911.86870663250238</v>
      </c>
    </row>
    <row r="281" spans="1:15" x14ac:dyDescent="0.3">
      <c r="A281" s="3" t="str">
        <f>INDEX('R1. Scenario specifications'!$C$11:$C$49,MATCH($B281,'R1. Scenario specifications'!$A$11:$A$49,0))</f>
        <v>Current 2DS, 2020 start, 'Expect the Unexpected' but with cheap renewables</v>
      </c>
      <c r="B281" s="3" t="s">
        <v>37</v>
      </c>
      <c r="C281" s="3" t="s">
        <v>53</v>
      </c>
      <c r="D281" s="3" t="s">
        <v>344</v>
      </c>
      <c r="E281" s="14">
        <v>703.55932605471685</v>
      </c>
      <c r="F281" s="14">
        <v>336.28891863781013</v>
      </c>
      <c r="G281" s="14">
        <v>879.49041101293551</v>
      </c>
      <c r="H281" s="14">
        <v>1203.3197528895837</v>
      </c>
      <c r="I281" s="14">
        <v>1154.7332284508955</v>
      </c>
      <c r="J281" s="14">
        <v>804.28721101099757</v>
      </c>
      <c r="K281" s="14">
        <v>1159.9365409140394</v>
      </c>
      <c r="L281" s="14">
        <v>1293.1715690656665</v>
      </c>
      <c r="M281" s="14">
        <v>1265.3672981158682</v>
      </c>
      <c r="N281" s="14">
        <v>4094.7259575308008</v>
      </c>
      <c r="O281" s="14">
        <v>4751.2053862620623</v>
      </c>
    </row>
    <row r="282" spans="1:15" x14ac:dyDescent="0.3">
      <c r="A282" s="3" t="str">
        <f>INDEX('R1. Scenario specifications'!$C$11:$C$49,MATCH($B282,'R1. Scenario specifications'!$A$11:$A$49,0))</f>
        <v>Current 2DS, 2020 start, 'Expect the Unexpected' but with cheap renewables</v>
      </c>
      <c r="B282" s="3" t="s">
        <v>37</v>
      </c>
      <c r="C282" s="3" t="s">
        <v>307</v>
      </c>
      <c r="D282" s="3" t="s">
        <v>345</v>
      </c>
      <c r="E282" s="14">
        <v>0</v>
      </c>
      <c r="F282" s="14">
        <v>0</v>
      </c>
      <c r="G282" s="14">
        <v>0</v>
      </c>
      <c r="H282" s="14">
        <v>261.27855508713901</v>
      </c>
      <c r="I282" s="14">
        <v>97.225546163521798</v>
      </c>
      <c r="J282" s="14">
        <v>1412.7359746896773</v>
      </c>
      <c r="K282" s="14">
        <v>433.76802960773387</v>
      </c>
      <c r="L282" s="14">
        <v>133.37136759543225</v>
      </c>
      <c r="M282" s="14">
        <v>178.25208808888442</v>
      </c>
      <c r="N282" s="14">
        <v>209.29526662726968</v>
      </c>
      <c r="O282" s="14">
        <v>359.79768895039325</v>
      </c>
    </row>
    <row r="283" spans="1:15" x14ac:dyDescent="0.3">
      <c r="A283" s="3" t="str">
        <f>INDEX('R1. Scenario specifications'!$C$11:$C$49,MATCH($B283,'R1. Scenario specifications'!$A$11:$A$49,0))</f>
        <v>Current 2DS, 2020 start, 'Expect the Unexpected' but with cheap renewables</v>
      </c>
      <c r="B283" s="3" t="s">
        <v>37</v>
      </c>
      <c r="C283" s="3" t="s">
        <v>54</v>
      </c>
      <c r="D283" s="3" t="s">
        <v>255</v>
      </c>
      <c r="E283" s="14">
        <v>396.62220438997127</v>
      </c>
      <c r="F283" s="14">
        <v>176.86416189251261</v>
      </c>
      <c r="G283" s="14">
        <v>1833.16729548234</v>
      </c>
      <c r="H283" s="14">
        <v>4773.949391003448</v>
      </c>
      <c r="I283" s="14">
        <v>9406.4053314324265</v>
      </c>
      <c r="J283" s="14">
        <v>16898.903452697905</v>
      </c>
      <c r="K283" s="14">
        <v>11284.761958758581</v>
      </c>
      <c r="L283" s="14">
        <v>3707.0508685137174</v>
      </c>
      <c r="M283" s="14">
        <v>1302.4048698888978</v>
      </c>
      <c r="N283" s="14">
        <v>933.95213887335706</v>
      </c>
      <c r="O283" s="14">
        <v>5746.5040910892076</v>
      </c>
    </row>
    <row r="284" spans="1:15" x14ac:dyDescent="0.3">
      <c r="A284" s="3" t="str">
        <f>INDEX('R1. Scenario specifications'!$C$11:$C$49,MATCH($B284,'R1. Scenario specifications'!$A$11:$A$49,0))</f>
        <v>Current 2DS, 2020 start, 'Expect the Unexpected' but with cheap renewables</v>
      </c>
      <c r="B284" s="3" t="s">
        <v>37</v>
      </c>
      <c r="C284" s="3" t="s">
        <v>308</v>
      </c>
      <c r="D284" s="3" t="s">
        <v>326</v>
      </c>
      <c r="E284" s="14">
        <v>0</v>
      </c>
      <c r="F284" s="14">
        <v>0</v>
      </c>
      <c r="G284" s="14">
        <v>203.8949376312157</v>
      </c>
      <c r="H284" s="14">
        <v>754.95353428762087</v>
      </c>
      <c r="I284" s="14">
        <v>947.40921582037902</v>
      </c>
      <c r="J284" s="14">
        <v>1358.2269652340049</v>
      </c>
      <c r="K284" s="14">
        <v>1440.8082628018562</v>
      </c>
      <c r="L284" s="14">
        <v>1502.005144447143</v>
      </c>
      <c r="M284" s="14">
        <v>1600.0632810365532</v>
      </c>
      <c r="N284" s="14">
        <v>1745.3270007038479</v>
      </c>
      <c r="O284" s="14">
        <v>1855.5457876822404</v>
      </c>
    </row>
    <row r="285" spans="1:15" x14ac:dyDescent="0.3">
      <c r="A285" s="3" t="str">
        <f>INDEX('R1. Scenario specifications'!$C$11:$C$49,MATCH($B285,'R1. Scenario specifications'!$A$11:$A$49,0))</f>
        <v>Current 1.75DS, 2030 start, 'Expect the Unexpected' but with cheap CCS</v>
      </c>
      <c r="B285" s="3" t="s">
        <v>38</v>
      </c>
      <c r="C285" s="3" t="s">
        <v>304</v>
      </c>
      <c r="D285" s="3" t="s">
        <v>339</v>
      </c>
      <c r="E285" s="14">
        <v>0</v>
      </c>
      <c r="F285" s="14">
        <v>820.1343749999993</v>
      </c>
      <c r="G285" s="14">
        <v>1443.6724304473942</v>
      </c>
      <c r="H285" s="14">
        <v>1052.0173273984929</v>
      </c>
      <c r="I285" s="14">
        <v>2481.7663414451968</v>
      </c>
      <c r="J285" s="14">
        <v>10232.214954984383</v>
      </c>
      <c r="K285" s="14">
        <v>7076.7615226235494</v>
      </c>
      <c r="L285" s="14">
        <v>3213.4284367500804</v>
      </c>
      <c r="M285" s="14">
        <v>4593.9230794512614</v>
      </c>
      <c r="N285" s="14">
        <v>7363.6605794830975</v>
      </c>
      <c r="O285" s="14">
        <v>12986.624839892236</v>
      </c>
    </row>
    <row r="286" spans="1:15" x14ac:dyDescent="0.3">
      <c r="A286" s="3" t="str">
        <f>INDEX('R1. Scenario specifications'!$C$11:$C$49,MATCH($B286,'R1. Scenario specifications'!$A$11:$A$49,0))</f>
        <v>Current 1.75DS, 2030 start, 'Expect the Unexpected' but with cheap CCS</v>
      </c>
      <c r="B286" s="3" t="s">
        <v>38</v>
      </c>
      <c r="C286" s="3" t="s">
        <v>51</v>
      </c>
      <c r="D286" s="3" t="s">
        <v>340</v>
      </c>
      <c r="E286" s="14">
        <v>26912.591385085678</v>
      </c>
      <c r="F286" s="14">
        <v>24726.384098969917</v>
      </c>
      <c r="G286" s="14">
        <v>20023.092920446408</v>
      </c>
      <c r="H286" s="14">
        <v>26227.564065710481</v>
      </c>
      <c r="I286" s="14">
        <v>44987.470387572495</v>
      </c>
      <c r="J286" s="14">
        <v>26342.097631203629</v>
      </c>
      <c r="K286" s="14">
        <v>22642.138409390016</v>
      </c>
      <c r="L286" s="14">
        <v>32645.6717864167</v>
      </c>
      <c r="M286" s="14">
        <v>29855.503893620353</v>
      </c>
      <c r="N286" s="14">
        <v>23149.280108189228</v>
      </c>
      <c r="O286" s="14">
        <v>13908.909146757065</v>
      </c>
    </row>
    <row r="287" spans="1:15" x14ac:dyDescent="0.3">
      <c r="A287" s="3" t="str">
        <f>INDEX('R1. Scenario specifications'!$C$11:$C$49,MATCH($B287,'R1. Scenario specifications'!$A$11:$A$49,0))</f>
        <v>Current 1.75DS, 2030 start, 'Expect the Unexpected' but with cheap CCS</v>
      </c>
      <c r="B287" s="3" t="s">
        <v>38</v>
      </c>
      <c r="C287" s="3" t="s">
        <v>305</v>
      </c>
      <c r="D287" s="3" t="s">
        <v>341</v>
      </c>
      <c r="E287" s="14">
        <v>0.55126200000000003</v>
      </c>
      <c r="F287" s="14">
        <v>0.27214200000000005</v>
      </c>
      <c r="G287" s="14">
        <v>39.715545758633766</v>
      </c>
      <c r="H287" s="14">
        <v>1069.5883483275736</v>
      </c>
      <c r="I287" s="14">
        <v>4136.5183599319216</v>
      </c>
      <c r="J287" s="14">
        <v>9648.652329948276</v>
      </c>
      <c r="K287" s="14">
        <v>13365.104084295921</v>
      </c>
      <c r="L287" s="14">
        <v>17037.636776940286</v>
      </c>
      <c r="M287" s="14">
        <v>20275.310977684829</v>
      </c>
      <c r="N287" s="14">
        <v>21744.412550279132</v>
      </c>
      <c r="O287" s="14">
        <v>23615.877285419334</v>
      </c>
    </row>
    <row r="288" spans="1:15" x14ac:dyDescent="0.3">
      <c r="A288" s="3" t="str">
        <f>INDEX('R1. Scenario specifications'!$C$11:$C$49,MATCH($B288,'R1. Scenario specifications'!$A$11:$A$49,0))</f>
        <v>Current 1.75DS, 2030 start, 'Expect the Unexpected' but with cheap CCS</v>
      </c>
      <c r="B288" s="3" t="s">
        <v>38</v>
      </c>
      <c r="C288" s="3" t="s">
        <v>306</v>
      </c>
      <c r="D288" s="3" t="s">
        <v>342</v>
      </c>
      <c r="E288" s="14">
        <v>138.88007226094669</v>
      </c>
      <c r="F288" s="14">
        <v>231.92798987852072</v>
      </c>
      <c r="G288" s="14">
        <v>2394.994594260861</v>
      </c>
      <c r="H288" s="14">
        <v>2330.3092353624561</v>
      </c>
      <c r="I288" s="14">
        <v>1926.612834648952</v>
      </c>
      <c r="J288" s="14">
        <v>997.31112273179758</v>
      </c>
      <c r="K288" s="14">
        <v>182.11937747877033</v>
      </c>
      <c r="L288" s="14">
        <v>201.70933576664146</v>
      </c>
      <c r="M288" s="14">
        <v>277.86202660192504</v>
      </c>
      <c r="N288" s="14">
        <v>463.39545531650708</v>
      </c>
      <c r="O288" s="14">
        <v>1006.6471498277187</v>
      </c>
    </row>
    <row r="289" spans="1:15" x14ac:dyDescent="0.3">
      <c r="A289" s="3" t="str">
        <f>INDEX('R1. Scenario specifications'!$C$11:$C$49,MATCH($B289,'R1. Scenario specifications'!$A$11:$A$49,0))</f>
        <v>Current 1.75DS, 2030 start, 'Expect the Unexpected' but with cheap CCS</v>
      </c>
      <c r="B289" s="3" t="s">
        <v>38</v>
      </c>
      <c r="C289" s="3" t="s">
        <v>52</v>
      </c>
      <c r="D289" s="3" t="s">
        <v>343</v>
      </c>
      <c r="E289" s="14">
        <v>47506.40120156738</v>
      </c>
      <c r="F289" s="14">
        <v>51400.759098340677</v>
      </c>
      <c r="G289" s="14">
        <v>62205.547314401418</v>
      </c>
      <c r="H289" s="14">
        <v>44368.574800589129</v>
      </c>
      <c r="I289" s="14">
        <v>13327.910201472389</v>
      </c>
      <c r="J289" s="14">
        <v>9098.5851448106496</v>
      </c>
      <c r="K289" s="14">
        <v>3649.5864956864407</v>
      </c>
      <c r="L289" s="14">
        <v>2099.9301942314178</v>
      </c>
      <c r="M289" s="14">
        <v>1560.3582012178842</v>
      </c>
      <c r="N289" s="14">
        <v>949.62878303203354</v>
      </c>
      <c r="O289" s="14">
        <v>868.70467624524815</v>
      </c>
    </row>
    <row r="290" spans="1:15" x14ac:dyDescent="0.3">
      <c r="A290" s="3" t="str">
        <f>INDEX('R1. Scenario specifications'!$C$11:$C$49,MATCH($B290,'R1. Scenario specifications'!$A$11:$A$49,0))</f>
        <v>Current 1.75DS, 2030 start, 'Expect the Unexpected' but with cheap CCS</v>
      </c>
      <c r="B290" s="3" t="s">
        <v>38</v>
      </c>
      <c r="C290" s="3" t="s">
        <v>53</v>
      </c>
      <c r="D290" s="3" t="s">
        <v>344</v>
      </c>
      <c r="E290" s="14">
        <v>703.55932605471685</v>
      </c>
      <c r="F290" s="14">
        <v>336.28891863781013</v>
      </c>
      <c r="G290" s="14">
        <v>879.49041101293551</v>
      </c>
      <c r="H290" s="14">
        <v>1203.2907539892126</v>
      </c>
      <c r="I290" s="14">
        <v>1208.2904944327315</v>
      </c>
      <c r="J290" s="14">
        <v>6232.5163150191038</v>
      </c>
      <c r="K290" s="14">
        <v>11872.975521595166</v>
      </c>
      <c r="L290" s="14">
        <v>6967.6267573397581</v>
      </c>
      <c r="M290" s="14">
        <v>4856.1735122803648</v>
      </c>
      <c r="N290" s="14">
        <v>10038.079517977061</v>
      </c>
      <c r="O290" s="14">
        <v>10850.867741470624</v>
      </c>
    </row>
    <row r="291" spans="1:15" x14ac:dyDescent="0.3">
      <c r="A291" s="3" t="str">
        <f>INDEX('R1. Scenario specifications'!$C$11:$C$49,MATCH($B291,'R1. Scenario specifications'!$A$11:$A$49,0))</f>
        <v>Current 1.75DS, 2030 start, 'Expect the Unexpected' but with cheap CCS</v>
      </c>
      <c r="B291" s="3" t="s">
        <v>38</v>
      </c>
      <c r="C291" s="3" t="s">
        <v>307</v>
      </c>
      <c r="D291" s="3" t="s">
        <v>345</v>
      </c>
      <c r="E291" s="14">
        <v>0</v>
      </c>
      <c r="F291" s="14">
        <v>0</v>
      </c>
      <c r="G291" s="14">
        <v>0</v>
      </c>
      <c r="H291" s="14">
        <v>335.71272520527293</v>
      </c>
      <c r="I291" s="14">
        <v>138.73652045935552</v>
      </c>
      <c r="J291" s="14">
        <v>188.19775699928857</v>
      </c>
      <c r="K291" s="14">
        <v>132.11282966071136</v>
      </c>
      <c r="L291" s="14">
        <v>181.90673785396979</v>
      </c>
      <c r="M291" s="14">
        <v>209.82695651834689</v>
      </c>
      <c r="N291" s="14">
        <v>197.06489305482913</v>
      </c>
      <c r="O291" s="14">
        <v>385.34327270719689</v>
      </c>
    </row>
    <row r="292" spans="1:15" x14ac:dyDescent="0.3">
      <c r="A292" s="3" t="str">
        <f>INDEX('R1. Scenario specifications'!$C$11:$C$49,MATCH($B292,'R1. Scenario specifications'!$A$11:$A$49,0))</f>
        <v>Current 1.75DS, 2030 start, 'Expect the Unexpected' but with cheap CCS</v>
      </c>
      <c r="B292" s="3" t="s">
        <v>38</v>
      </c>
      <c r="C292" s="3" t="s">
        <v>54</v>
      </c>
      <c r="D292" s="3" t="s">
        <v>255</v>
      </c>
      <c r="E292" s="14">
        <v>396.62220438997127</v>
      </c>
      <c r="F292" s="14">
        <v>176.86416189251261</v>
      </c>
      <c r="G292" s="14">
        <v>1833.16729548234</v>
      </c>
      <c r="H292" s="14">
        <v>5667.8396467895318</v>
      </c>
      <c r="I292" s="14">
        <v>4110.7298259546751</v>
      </c>
      <c r="J292" s="14">
        <v>2099.7233314274645</v>
      </c>
      <c r="K292" s="14">
        <v>880.39143101351692</v>
      </c>
      <c r="L292" s="14">
        <v>661.44760776565113</v>
      </c>
      <c r="M292" s="14">
        <v>765.37605117373812</v>
      </c>
      <c r="N292" s="14">
        <v>814.84381185107009</v>
      </c>
      <c r="O292" s="14">
        <v>5175.7891647637289</v>
      </c>
    </row>
    <row r="293" spans="1:15" x14ac:dyDescent="0.3">
      <c r="A293" s="3" t="str">
        <f>INDEX('R1. Scenario specifications'!$C$11:$C$49,MATCH($B293,'R1. Scenario specifications'!$A$11:$A$49,0))</f>
        <v>Current 1.75DS, 2030 start, 'Expect the Unexpected' but with cheap CCS</v>
      </c>
      <c r="B293" s="3" t="s">
        <v>38</v>
      </c>
      <c r="C293" s="3" t="s">
        <v>308</v>
      </c>
      <c r="D293" s="3" t="s">
        <v>326</v>
      </c>
      <c r="E293" s="14">
        <v>0</v>
      </c>
      <c r="F293" s="14">
        <v>0</v>
      </c>
      <c r="G293" s="14">
        <v>203.8949376312157</v>
      </c>
      <c r="H293" s="14">
        <v>757.03231328497168</v>
      </c>
      <c r="I293" s="14">
        <v>940.44860434596455</v>
      </c>
      <c r="J293" s="14">
        <v>1187.7954411978656</v>
      </c>
      <c r="K293" s="14">
        <v>965.45922696520392</v>
      </c>
      <c r="L293" s="14">
        <v>1500.8530067851973</v>
      </c>
      <c r="M293" s="14">
        <v>1651.2215888807311</v>
      </c>
      <c r="N293" s="14">
        <v>1569.6901744949439</v>
      </c>
      <c r="O293" s="14">
        <v>1621.6367896177965</v>
      </c>
    </row>
    <row r="294" spans="1:15" x14ac:dyDescent="0.3">
      <c r="A294" s="3" t="str">
        <f>INDEX('R1. Scenario specifications'!$C$11:$C$49,MATCH($B294,'R1. Scenario specifications'!$A$11:$A$49,0))</f>
        <v>Current 1.75DS, 2020 start, 'Expect the Unexpected' but with cheap EVs</v>
      </c>
      <c r="B294" s="3" t="s">
        <v>39</v>
      </c>
      <c r="C294" s="3" t="s">
        <v>304</v>
      </c>
      <c r="D294" s="3" t="s">
        <v>339</v>
      </c>
      <c r="E294" s="14">
        <v>0</v>
      </c>
      <c r="F294" s="14">
        <v>820.1343749999993</v>
      </c>
      <c r="G294" s="14">
        <v>1443.6724304473942</v>
      </c>
      <c r="H294" s="14">
        <v>594.54293858554547</v>
      </c>
      <c r="I294" s="14">
        <v>2312.9675115235732</v>
      </c>
      <c r="J294" s="14">
        <v>4824.1665793934517</v>
      </c>
      <c r="K294" s="14">
        <v>5162.9772055871799</v>
      </c>
      <c r="L294" s="14">
        <v>3061.8479008028771</v>
      </c>
      <c r="M294" s="14">
        <v>4029.5535576038037</v>
      </c>
      <c r="N294" s="14">
        <v>6258.6400961705967</v>
      </c>
      <c r="O294" s="14">
        <v>11983.999523379545</v>
      </c>
    </row>
    <row r="295" spans="1:15" x14ac:dyDescent="0.3">
      <c r="A295" s="3" t="str">
        <f>INDEX('R1. Scenario specifications'!$C$11:$C$49,MATCH($B295,'R1. Scenario specifications'!$A$11:$A$49,0))</f>
        <v>Current 1.75DS, 2020 start, 'Expect the Unexpected' but with cheap EVs</v>
      </c>
      <c r="B295" s="3" t="s">
        <v>39</v>
      </c>
      <c r="C295" s="3" t="s">
        <v>51</v>
      </c>
      <c r="D295" s="3" t="s">
        <v>340</v>
      </c>
      <c r="E295" s="14">
        <v>26912.591385085678</v>
      </c>
      <c r="F295" s="14">
        <v>24726.384098969917</v>
      </c>
      <c r="G295" s="14">
        <v>20023.092920446408</v>
      </c>
      <c r="H295" s="14">
        <v>20587.895711450841</v>
      </c>
      <c r="I295" s="14">
        <v>27548.078759398726</v>
      </c>
      <c r="J295" s="14">
        <v>26929.495035375116</v>
      </c>
      <c r="K295" s="14">
        <v>28757.616801845288</v>
      </c>
      <c r="L295" s="14">
        <v>29412.022132189544</v>
      </c>
      <c r="M295" s="14">
        <v>27892.209415705351</v>
      </c>
      <c r="N295" s="14">
        <v>22507.376766022084</v>
      </c>
      <c r="O295" s="14">
        <v>12636.355799712615</v>
      </c>
    </row>
    <row r="296" spans="1:15" x14ac:dyDescent="0.3">
      <c r="A296" s="3" t="str">
        <f>INDEX('R1. Scenario specifications'!$C$11:$C$49,MATCH($B296,'R1. Scenario specifications'!$A$11:$A$49,0))</f>
        <v>Current 1.75DS, 2020 start, 'Expect the Unexpected' but with cheap EVs</v>
      </c>
      <c r="B296" s="3" t="s">
        <v>39</v>
      </c>
      <c r="C296" s="3" t="s">
        <v>305</v>
      </c>
      <c r="D296" s="3" t="s">
        <v>341</v>
      </c>
      <c r="E296" s="14">
        <v>0.55126200000000003</v>
      </c>
      <c r="F296" s="14">
        <v>0.27214200000000005</v>
      </c>
      <c r="G296" s="14">
        <v>39.715545758633766</v>
      </c>
      <c r="H296" s="14">
        <v>2179.8622543927167</v>
      </c>
      <c r="I296" s="14">
        <v>5863.8321424408687</v>
      </c>
      <c r="J296" s="14">
        <v>11731.050850112166</v>
      </c>
      <c r="K296" s="14">
        <v>16763.261947631858</v>
      </c>
      <c r="L296" s="14">
        <v>20187.063777692158</v>
      </c>
      <c r="M296" s="14">
        <v>21848.102978456336</v>
      </c>
      <c r="N296" s="14">
        <v>23223.196636067674</v>
      </c>
      <c r="O296" s="14">
        <v>24839.279134313685</v>
      </c>
    </row>
    <row r="297" spans="1:15" x14ac:dyDescent="0.3">
      <c r="A297" s="3" t="str">
        <f>INDEX('R1. Scenario specifications'!$C$11:$C$49,MATCH($B297,'R1. Scenario specifications'!$A$11:$A$49,0))</f>
        <v>Current 1.75DS, 2020 start, 'Expect the Unexpected' but with cheap EVs</v>
      </c>
      <c r="B297" s="3" t="s">
        <v>39</v>
      </c>
      <c r="C297" s="3" t="s">
        <v>306</v>
      </c>
      <c r="D297" s="3" t="s">
        <v>342</v>
      </c>
      <c r="E297" s="14">
        <v>138.88007226094669</v>
      </c>
      <c r="F297" s="14">
        <v>231.92798987852072</v>
      </c>
      <c r="G297" s="14">
        <v>2394.994594260861</v>
      </c>
      <c r="H297" s="14">
        <v>1836.1139298051805</v>
      </c>
      <c r="I297" s="14">
        <v>1857.0856634700453</v>
      </c>
      <c r="J297" s="14">
        <v>1247.9593783673402</v>
      </c>
      <c r="K297" s="14">
        <v>407.86432374217605</v>
      </c>
      <c r="L297" s="14">
        <v>204.02216901952281</v>
      </c>
      <c r="M297" s="14">
        <v>693.59937232944526</v>
      </c>
      <c r="N297" s="14">
        <v>1071.5370667167331</v>
      </c>
      <c r="O297" s="14">
        <v>1351.3332478373752</v>
      </c>
    </row>
    <row r="298" spans="1:15" x14ac:dyDescent="0.3">
      <c r="A298" s="3" t="str">
        <f>INDEX('R1. Scenario specifications'!$C$11:$C$49,MATCH($B298,'R1. Scenario specifications'!$A$11:$A$49,0))</f>
        <v>Current 1.75DS, 2020 start, 'Expect the Unexpected' but with cheap EVs</v>
      </c>
      <c r="B298" s="3" t="s">
        <v>39</v>
      </c>
      <c r="C298" s="3" t="s">
        <v>52</v>
      </c>
      <c r="D298" s="3" t="s">
        <v>343</v>
      </c>
      <c r="E298" s="14">
        <v>47506.40120156738</v>
      </c>
      <c r="F298" s="14">
        <v>51400.759098340677</v>
      </c>
      <c r="G298" s="14">
        <v>62205.547314401418</v>
      </c>
      <c r="H298" s="14">
        <v>41203.087139862524</v>
      </c>
      <c r="I298" s="14">
        <v>17924.902989909529</v>
      </c>
      <c r="J298" s="14">
        <v>7988.0084145246938</v>
      </c>
      <c r="K298" s="14">
        <v>4030.8950647526021</v>
      </c>
      <c r="L298" s="14">
        <v>2562.1267310868561</v>
      </c>
      <c r="M298" s="14">
        <v>1903.8404447591615</v>
      </c>
      <c r="N298" s="14">
        <v>1445.6165046866752</v>
      </c>
      <c r="O298" s="14">
        <v>943.82619730183967</v>
      </c>
    </row>
    <row r="299" spans="1:15" x14ac:dyDescent="0.3">
      <c r="A299" s="3" t="str">
        <f>INDEX('R1. Scenario specifications'!$C$11:$C$49,MATCH($B299,'R1. Scenario specifications'!$A$11:$A$49,0))</f>
        <v>Current 1.75DS, 2020 start, 'Expect the Unexpected' but with cheap EVs</v>
      </c>
      <c r="B299" s="3" t="s">
        <v>39</v>
      </c>
      <c r="C299" s="3" t="s">
        <v>53</v>
      </c>
      <c r="D299" s="3" t="s">
        <v>344</v>
      </c>
      <c r="E299" s="14">
        <v>703.55932605471685</v>
      </c>
      <c r="F299" s="14">
        <v>336.28891863781013</v>
      </c>
      <c r="G299" s="14">
        <v>879.49041101293551</v>
      </c>
      <c r="H299" s="14">
        <v>1154.8570718875494</v>
      </c>
      <c r="I299" s="14">
        <v>1155.9240428758762</v>
      </c>
      <c r="J299" s="14">
        <v>955.33357554376505</v>
      </c>
      <c r="K299" s="14">
        <v>1026.1895228654685</v>
      </c>
      <c r="L299" s="14">
        <v>3811.6194927224105</v>
      </c>
      <c r="M299" s="14">
        <v>5194.6037050243767</v>
      </c>
      <c r="N299" s="14">
        <v>10404.151517050463</v>
      </c>
      <c r="O299" s="14">
        <v>12656.165356612664</v>
      </c>
    </row>
    <row r="300" spans="1:15" x14ac:dyDescent="0.3">
      <c r="A300" s="3" t="str">
        <f>INDEX('R1. Scenario specifications'!$C$11:$C$49,MATCH($B300,'R1. Scenario specifications'!$A$11:$A$49,0))</f>
        <v>Current 1.75DS, 2020 start, 'Expect the Unexpected' but with cheap EVs</v>
      </c>
      <c r="B300" s="3" t="s">
        <v>39</v>
      </c>
      <c r="C300" s="3" t="s">
        <v>307</v>
      </c>
      <c r="D300" s="3" t="s">
        <v>345</v>
      </c>
      <c r="E300" s="14">
        <v>0</v>
      </c>
      <c r="F300" s="14">
        <v>0</v>
      </c>
      <c r="G300" s="14">
        <v>0</v>
      </c>
      <c r="H300" s="14">
        <v>23.386410382792899</v>
      </c>
      <c r="I300" s="14">
        <v>23.386410382792921</v>
      </c>
      <c r="J300" s="14">
        <v>153.68699560100058</v>
      </c>
      <c r="K300" s="14">
        <v>118.74022164375032</v>
      </c>
      <c r="L300" s="14">
        <v>198.37946656155248</v>
      </c>
      <c r="M300" s="14">
        <v>200.26038228650395</v>
      </c>
      <c r="N300" s="14">
        <v>203.81194238420167</v>
      </c>
      <c r="O300" s="14">
        <v>441.1292120900215</v>
      </c>
    </row>
    <row r="301" spans="1:15" x14ac:dyDescent="0.3">
      <c r="A301" s="3" t="str">
        <f>INDEX('R1. Scenario specifications'!$C$11:$C$49,MATCH($B301,'R1. Scenario specifications'!$A$11:$A$49,0))</f>
        <v>Current 1.75DS, 2020 start, 'Expect the Unexpected' but with cheap EVs</v>
      </c>
      <c r="B301" s="3" t="s">
        <v>39</v>
      </c>
      <c r="C301" s="3" t="s">
        <v>54</v>
      </c>
      <c r="D301" s="3" t="s">
        <v>255</v>
      </c>
      <c r="E301" s="14">
        <v>396.62220438997127</v>
      </c>
      <c r="F301" s="14">
        <v>176.86416189251261</v>
      </c>
      <c r="G301" s="14">
        <v>1833.16729548234</v>
      </c>
      <c r="H301" s="14">
        <v>2132.5185372964092</v>
      </c>
      <c r="I301" s="14">
        <v>4168.6260109860859</v>
      </c>
      <c r="J301" s="14">
        <v>9237.2543493337944</v>
      </c>
      <c r="K301" s="14">
        <v>4390.5161794511996</v>
      </c>
      <c r="L301" s="14">
        <v>501.95676284003702</v>
      </c>
      <c r="M301" s="14">
        <v>609.60703862764103</v>
      </c>
      <c r="N301" s="14">
        <v>670.77715523892198</v>
      </c>
      <c r="O301" s="14">
        <v>4886.2916574017127</v>
      </c>
    </row>
    <row r="302" spans="1:15" x14ac:dyDescent="0.3">
      <c r="A302" s="3" t="str">
        <f>INDEX('R1. Scenario specifications'!$C$11:$C$49,MATCH($B302,'R1. Scenario specifications'!$A$11:$A$49,0))</f>
        <v>Current 1.75DS, 2020 start, 'Expect the Unexpected' but with cheap EVs</v>
      </c>
      <c r="B302" s="3" t="s">
        <v>39</v>
      </c>
      <c r="C302" s="3" t="s">
        <v>308</v>
      </c>
      <c r="D302" s="3" t="s">
        <v>326</v>
      </c>
      <c r="E302" s="14">
        <v>0</v>
      </c>
      <c r="F302" s="14">
        <v>0</v>
      </c>
      <c r="G302" s="14">
        <v>203.8949376312157</v>
      </c>
      <c r="H302" s="14">
        <v>762.90857964669783</v>
      </c>
      <c r="I302" s="14">
        <v>1036.5379605475425</v>
      </c>
      <c r="J302" s="14">
        <v>1374.9133146230838</v>
      </c>
      <c r="K302" s="14">
        <v>1473.2907821873491</v>
      </c>
      <c r="L302" s="14">
        <v>1575.87416874006</v>
      </c>
      <c r="M302" s="14">
        <v>1530.7600065476393</v>
      </c>
      <c r="N302" s="14">
        <v>1324.5004542375787</v>
      </c>
      <c r="O302" s="14">
        <v>1357.1404470210134</v>
      </c>
    </row>
    <row r="303" spans="1:15" x14ac:dyDescent="0.3">
      <c r="A303" s="3" t="str">
        <f>INDEX('R1. Scenario specifications'!$C$11:$C$49,MATCH($B303,'R1. Scenario specifications'!$A$11:$A$49,0))</f>
        <v>Current 1.75DS, 2030 start, 'Expect the Unexpected' but with cheap EVs</v>
      </c>
      <c r="B303" s="3" t="s">
        <v>40</v>
      </c>
      <c r="C303" s="3" t="s">
        <v>304</v>
      </c>
      <c r="D303" s="3" t="s">
        <v>339</v>
      </c>
      <c r="E303" s="14">
        <v>0</v>
      </c>
      <c r="F303" s="14">
        <v>820.1343749999993</v>
      </c>
      <c r="G303" s="14">
        <v>1443.6724304473942</v>
      </c>
      <c r="H303" s="14">
        <v>1052.0173273984929</v>
      </c>
      <c r="I303" s="14">
        <v>2359.4874514954831</v>
      </c>
      <c r="J303" s="14">
        <v>6506.0321111405556</v>
      </c>
      <c r="K303" s="14">
        <v>3819.6623116987444</v>
      </c>
      <c r="L303" s="14">
        <v>1503.6018426758765</v>
      </c>
      <c r="M303" s="14">
        <v>3186.9679986037172</v>
      </c>
      <c r="N303" s="14">
        <v>6414.7153087817733</v>
      </c>
      <c r="O303" s="14">
        <v>12471.988266215127</v>
      </c>
    </row>
    <row r="304" spans="1:15" x14ac:dyDescent="0.3">
      <c r="A304" s="3" t="str">
        <f>INDEX('R1. Scenario specifications'!$C$11:$C$49,MATCH($B304,'R1. Scenario specifications'!$A$11:$A$49,0))</f>
        <v>Current 1.75DS, 2030 start, 'Expect the Unexpected' but with cheap EVs</v>
      </c>
      <c r="B304" s="3" t="s">
        <v>40</v>
      </c>
      <c r="C304" s="3" t="s">
        <v>51</v>
      </c>
      <c r="D304" s="3" t="s">
        <v>340</v>
      </c>
      <c r="E304" s="14">
        <v>26912.591385085678</v>
      </c>
      <c r="F304" s="14">
        <v>24726.384098969917</v>
      </c>
      <c r="G304" s="14">
        <v>20023.092920446408</v>
      </c>
      <c r="H304" s="14">
        <v>26227.564065710481</v>
      </c>
      <c r="I304" s="14">
        <v>29653.897801774325</v>
      </c>
      <c r="J304" s="14">
        <v>21165.150263929547</v>
      </c>
      <c r="K304" s="14">
        <v>19085.736298974538</v>
      </c>
      <c r="L304" s="14">
        <v>27578.19725823469</v>
      </c>
      <c r="M304" s="14">
        <v>29333.497054321022</v>
      </c>
      <c r="N304" s="14">
        <v>23635.727317075827</v>
      </c>
      <c r="O304" s="14">
        <v>14405.366762536803</v>
      </c>
    </row>
    <row r="305" spans="1:15" x14ac:dyDescent="0.3">
      <c r="A305" s="3" t="str">
        <f>INDEX('R1. Scenario specifications'!$C$11:$C$49,MATCH($B305,'R1. Scenario specifications'!$A$11:$A$49,0))</f>
        <v>Current 1.75DS, 2030 start, 'Expect the Unexpected' but with cheap EVs</v>
      </c>
      <c r="B305" s="3" t="s">
        <v>40</v>
      </c>
      <c r="C305" s="3" t="s">
        <v>305</v>
      </c>
      <c r="D305" s="3" t="s">
        <v>341</v>
      </c>
      <c r="E305" s="14">
        <v>0.55126200000000003</v>
      </c>
      <c r="F305" s="14">
        <v>0.27214200000000005</v>
      </c>
      <c r="G305" s="14">
        <v>39.715545758633766</v>
      </c>
      <c r="H305" s="14">
        <v>1069.5883483275736</v>
      </c>
      <c r="I305" s="14">
        <v>5224.2802220438125</v>
      </c>
      <c r="J305" s="14">
        <v>11629.527236542648</v>
      </c>
      <c r="K305" s="14">
        <v>15722.445299207306</v>
      </c>
      <c r="L305" s="14">
        <v>18942.448367475994</v>
      </c>
      <c r="M305" s="14">
        <v>21586.579810818919</v>
      </c>
      <c r="N305" s="14">
        <v>23139.98199382774</v>
      </c>
      <c r="O305" s="14">
        <v>24825.421116629997</v>
      </c>
    </row>
    <row r="306" spans="1:15" x14ac:dyDescent="0.3">
      <c r="A306" s="3" t="str">
        <f>INDEX('R1. Scenario specifications'!$C$11:$C$49,MATCH($B306,'R1. Scenario specifications'!$A$11:$A$49,0))</f>
        <v>Current 1.75DS, 2030 start, 'Expect the Unexpected' but with cheap EVs</v>
      </c>
      <c r="B306" s="3" t="s">
        <v>40</v>
      </c>
      <c r="C306" s="3" t="s">
        <v>306</v>
      </c>
      <c r="D306" s="3" t="s">
        <v>342</v>
      </c>
      <c r="E306" s="14">
        <v>138.88007226094669</v>
      </c>
      <c r="F306" s="14">
        <v>231.92798987852072</v>
      </c>
      <c r="G306" s="14">
        <v>2394.994594260861</v>
      </c>
      <c r="H306" s="14">
        <v>2330.3092353624561</v>
      </c>
      <c r="I306" s="14">
        <v>1369.957484550046</v>
      </c>
      <c r="J306" s="14">
        <v>529.47607791020266</v>
      </c>
      <c r="K306" s="14">
        <v>51.786907032070154</v>
      </c>
      <c r="L306" s="14">
        <v>154.21038414970593</v>
      </c>
      <c r="M306" s="14">
        <v>530.07154690531206</v>
      </c>
      <c r="N306" s="14">
        <v>812.23360796375869</v>
      </c>
      <c r="O306" s="14">
        <v>1228.0086056122477</v>
      </c>
    </row>
    <row r="307" spans="1:15" x14ac:dyDescent="0.3">
      <c r="A307" s="3" t="str">
        <f>INDEX('R1. Scenario specifications'!$C$11:$C$49,MATCH($B307,'R1. Scenario specifications'!$A$11:$A$49,0))</f>
        <v>Current 1.75DS, 2030 start, 'Expect the Unexpected' but with cheap EVs</v>
      </c>
      <c r="B307" s="3" t="s">
        <v>40</v>
      </c>
      <c r="C307" s="3" t="s">
        <v>52</v>
      </c>
      <c r="D307" s="3" t="s">
        <v>343</v>
      </c>
      <c r="E307" s="14">
        <v>47506.40120156738</v>
      </c>
      <c r="F307" s="14">
        <v>51400.759098340677</v>
      </c>
      <c r="G307" s="14">
        <v>62205.547314401418</v>
      </c>
      <c r="H307" s="14">
        <v>44368.574800589129</v>
      </c>
      <c r="I307" s="14">
        <v>19386.954990894112</v>
      </c>
      <c r="J307" s="14">
        <v>8370.1725509676908</v>
      </c>
      <c r="K307" s="14">
        <v>4581.8463896489811</v>
      </c>
      <c r="L307" s="14">
        <v>3974.6180465673742</v>
      </c>
      <c r="M307" s="14">
        <v>2695.5375153177147</v>
      </c>
      <c r="N307" s="14">
        <v>1456.3100336804855</v>
      </c>
      <c r="O307" s="14">
        <v>936.33041272170885</v>
      </c>
    </row>
    <row r="308" spans="1:15" x14ac:dyDescent="0.3">
      <c r="A308" s="3" t="str">
        <f>INDEX('R1. Scenario specifications'!$C$11:$C$49,MATCH($B308,'R1. Scenario specifications'!$A$11:$A$49,0))</f>
        <v>Current 1.75DS, 2030 start, 'Expect the Unexpected' but with cheap EVs</v>
      </c>
      <c r="B308" s="3" t="s">
        <v>40</v>
      </c>
      <c r="C308" s="3" t="s">
        <v>53</v>
      </c>
      <c r="D308" s="3" t="s">
        <v>344</v>
      </c>
      <c r="E308" s="14">
        <v>703.55932605471685</v>
      </c>
      <c r="F308" s="14">
        <v>336.28891863781013</v>
      </c>
      <c r="G308" s="14">
        <v>879.49041101293551</v>
      </c>
      <c r="H308" s="14">
        <v>1203.2907539892126</v>
      </c>
      <c r="I308" s="14">
        <v>1141.174743728594</v>
      </c>
      <c r="J308" s="14">
        <v>4654.9733657825418</v>
      </c>
      <c r="K308" s="14">
        <v>10524.65334476657</v>
      </c>
      <c r="L308" s="14">
        <v>6306.9577414345658</v>
      </c>
      <c r="M308" s="14">
        <v>4367.74358173158</v>
      </c>
      <c r="N308" s="14">
        <v>9761.9336818004704</v>
      </c>
      <c r="O308" s="14">
        <v>10777.309723109773</v>
      </c>
    </row>
    <row r="309" spans="1:15" x14ac:dyDescent="0.3">
      <c r="A309" s="3" t="str">
        <f>INDEX('R1. Scenario specifications'!$C$11:$C$49,MATCH($B309,'R1. Scenario specifications'!$A$11:$A$49,0))</f>
        <v>Current 1.75DS, 2030 start, 'Expect the Unexpected' but with cheap EVs</v>
      </c>
      <c r="B309" s="3" t="s">
        <v>40</v>
      </c>
      <c r="C309" s="3" t="s">
        <v>307</v>
      </c>
      <c r="D309" s="3" t="s">
        <v>345</v>
      </c>
      <c r="E309" s="14">
        <v>0</v>
      </c>
      <c r="F309" s="14">
        <v>0</v>
      </c>
      <c r="G309" s="14">
        <v>0</v>
      </c>
      <c r="H309" s="14">
        <v>335.71272520527293</v>
      </c>
      <c r="I309" s="14">
        <v>119.97783711885056</v>
      </c>
      <c r="J309" s="14">
        <v>155.33404347022099</v>
      </c>
      <c r="K309" s="14">
        <v>107.61054837961183</v>
      </c>
      <c r="L309" s="14">
        <v>171.50637992778161</v>
      </c>
      <c r="M309" s="14">
        <v>172.01096233234392</v>
      </c>
      <c r="N309" s="14">
        <v>184.29067333702935</v>
      </c>
      <c r="O309" s="14">
        <v>361.89494875090321</v>
      </c>
    </row>
    <row r="310" spans="1:15" x14ac:dyDescent="0.3">
      <c r="A310" s="3" t="str">
        <f>INDEX('R1. Scenario specifications'!$C$11:$C$49,MATCH($B310,'R1. Scenario specifications'!$A$11:$A$49,0))</f>
        <v>Current 1.75DS, 2030 start, 'Expect the Unexpected' but with cheap EVs</v>
      </c>
      <c r="B310" s="3" t="s">
        <v>40</v>
      </c>
      <c r="C310" s="3" t="s">
        <v>54</v>
      </c>
      <c r="D310" s="3" t="s">
        <v>255</v>
      </c>
      <c r="E310" s="14">
        <v>396.62220438997127</v>
      </c>
      <c r="F310" s="14">
        <v>176.86416189251261</v>
      </c>
      <c r="G310" s="14">
        <v>1833.16729548234</v>
      </c>
      <c r="H310" s="14">
        <v>5667.8396467895318</v>
      </c>
      <c r="I310" s="14">
        <v>4627.8245996956193</v>
      </c>
      <c r="J310" s="14">
        <v>2216.0076853890455</v>
      </c>
      <c r="K310" s="14">
        <v>744.71158166422492</v>
      </c>
      <c r="L310" s="14">
        <v>535.60508189643133</v>
      </c>
      <c r="M310" s="14">
        <v>650.35957952616798</v>
      </c>
      <c r="N310" s="14">
        <v>720.64437810510299</v>
      </c>
      <c r="O310" s="14">
        <v>4948.5186179199864</v>
      </c>
    </row>
    <row r="311" spans="1:15" x14ac:dyDescent="0.3">
      <c r="A311" s="3" t="str">
        <f>INDEX('R1. Scenario specifications'!$C$11:$C$49,MATCH($B311,'R1. Scenario specifications'!$A$11:$A$49,0))</f>
        <v>Current 1.75DS, 2030 start, 'Expect the Unexpected' but with cheap EVs</v>
      </c>
      <c r="B311" s="3" t="s">
        <v>40</v>
      </c>
      <c r="C311" s="3" t="s">
        <v>308</v>
      </c>
      <c r="D311" s="3" t="s">
        <v>326</v>
      </c>
      <c r="E311" s="14">
        <v>0</v>
      </c>
      <c r="F311" s="14">
        <v>0</v>
      </c>
      <c r="G311" s="14">
        <v>203.8949376312157</v>
      </c>
      <c r="H311" s="14">
        <v>757.03231328497168</v>
      </c>
      <c r="I311" s="14">
        <v>1033.4027625853826</v>
      </c>
      <c r="J311" s="14">
        <v>1170.3717798579353</v>
      </c>
      <c r="K311" s="14">
        <v>902.33828153001434</v>
      </c>
      <c r="L311" s="14">
        <v>1584.4982971193517</v>
      </c>
      <c r="M311" s="14">
        <v>1594.3655881824425</v>
      </c>
      <c r="N311" s="14">
        <v>1545.2139956615192</v>
      </c>
      <c r="O311" s="14">
        <v>1447.3498274213157</v>
      </c>
    </row>
    <row r="312" spans="1:15" x14ac:dyDescent="0.3">
      <c r="A312" s="3" t="str">
        <f>INDEX('R1. Scenario specifications'!$C$11:$C$49,MATCH($B312,'R1. Scenario specifications'!$A$11:$A$49,0))</f>
        <v>Current 1.75DS, 2020 start, 'Expect the Unexpected' but with cheap energy efficiency</v>
      </c>
      <c r="B312" s="3" t="s">
        <v>41</v>
      </c>
      <c r="C312" s="3" t="s">
        <v>304</v>
      </c>
      <c r="D312" s="3" t="s">
        <v>339</v>
      </c>
      <c r="E312" s="14">
        <v>0</v>
      </c>
      <c r="F312" s="14">
        <v>820.1343749999993</v>
      </c>
      <c r="G312" s="14">
        <v>1443.6724304473942</v>
      </c>
      <c r="H312" s="14">
        <v>1769.6816766792663</v>
      </c>
      <c r="I312" s="14">
        <v>4176.2953176880847</v>
      </c>
      <c r="J312" s="14">
        <v>6765.4188070909067</v>
      </c>
      <c r="K312" s="14">
        <v>8267.0913097348675</v>
      </c>
      <c r="L312" s="14">
        <v>8367.3529546656409</v>
      </c>
      <c r="M312" s="14">
        <v>7314.6734898648192</v>
      </c>
      <c r="N312" s="14">
        <v>7283.7866307043005</v>
      </c>
      <c r="O312" s="14">
        <v>12011.003121119971</v>
      </c>
    </row>
    <row r="313" spans="1:15" x14ac:dyDescent="0.3">
      <c r="A313" s="3" t="str">
        <f>INDEX('R1. Scenario specifications'!$C$11:$C$49,MATCH($B313,'R1. Scenario specifications'!$A$11:$A$49,0))</f>
        <v>Current 1.75DS, 2020 start, 'Expect the Unexpected' but with cheap energy efficiency</v>
      </c>
      <c r="B313" s="3" t="s">
        <v>41</v>
      </c>
      <c r="C313" s="3" t="s">
        <v>51</v>
      </c>
      <c r="D313" s="3" t="s">
        <v>340</v>
      </c>
      <c r="E313" s="14">
        <v>26912.591385085678</v>
      </c>
      <c r="F313" s="14">
        <v>24726.384098969917</v>
      </c>
      <c r="G313" s="14">
        <v>20023.092920446408</v>
      </c>
      <c r="H313" s="14">
        <v>24361.752945818611</v>
      </c>
      <c r="I313" s="14">
        <v>40827.988643376753</v>
      </c>
      <c r="J313" s="14">
        <v>27234.20993086938</v>
      </c>
      <c r="K313" s="14">
        <v>25972.41539152386</v>
      </c>
      <c r="L313" s="14">
        <v>28814.149904954276</v>
      </c>
      <c r="M313" s="14">
        <v>26832.084131020147</v>
      </c>
      <c r="N313" s="14">
        <v>23855.1361491645</v>
      </c>
      <c r="O313" s="14">
        <v>14248.409356284443</v>
      </c>
    </row>
    <row r="314" spans="1:15" x14ac:dyDescent="0.3">
      <c r="A314" s="3" t="str">
        <f>INDEX('R1. Scenario specifications'!$C$11:$C$49,MATCH($B314,'R1. Scenario specifications'!$A$11:$A$49,0))</f>
        <v>Current 1.75DS, 2020 start, 'Expect the Unexpected' but with cheap energy efficiency</v>
      </c>
      <c r="B314" s="3" t="s">
        <v>41</v>
      </c>
      <c r="C314" s="3" t="s">
        <v>305</v>
      </c>
      <c r="D314" s="3" t="s">
        <v>341</v>
      </c>
      <c r="E314" s="14">
        <v>0.55126200000000003</v>
      </c>
      <c r="F314" s="14">
        <v>0.27214200000000005</v>
      </c>
      <c r="G314" s="14">
        <v>39.715545758633766</v>
      </c>
      <c r="H314" s="14">
        <v>1012.6805124232906</v>
      </c>
      <c r="I314" s="14">
        <v>3793.1351033952706</v>
      </c>
      <c r="J314" s="14">
        <v>8744.7038716175884</v>
      </c>
      <c r="K314" s="14">
        <v>12001.393567575924</v>
      </c>
      <c r="L314" s="14">
        <v>14147.490325501782</v>
      </c>
      <c r="M314" s="14">
        <v>16145.39513018248</v>
      </c>
      <c r="N314" s="14">
        <v>17342.754785639827</v>
      </c>
      <c r="O314" s="14">
        <v>18590.377015460599</v>
      </c>
    </row>
    <row r="315" spans="1:15" x14ac:dyDescent="0.3">
      <c r="A315" s="3" t="str">
        <f>INDEX('R1. Scenario specifications'!$C$11:$C$49,MATCH($B315,'R1. Scenario specifications'!$A$11:$A$49,0))</f>
        <v>Current 1.75DS, 2020 start, 'Expect the Unexpected' but with cheap energy efficiency</v>
      </c>
      <c r="B315" s="3" t="s">
        <v>41</v>
      </c>
      <c r="C315" s="3" t="s">
        <v>306</v>
      </c>
      <c r="D315" s="3" t="s">
        <v>342</v>
      </c>
      <c r="E315" s="14">
        <v>138.88007226094669</v>
      </c>
      <c r="F315" s="14">
        <v>231.92798987852072</v>
      </c>
      <c r="G315" s="14">
        <v>2394.994594260861</v>
      </c>
      <c r="H315" s="14">
        <v>2221.9986940036233</v>
      </c>
      <c r="I315" s="14">
        <v>2027.2996280132011</v>
      </c>
      <c r="J315" s="14">
        <v>1750.9046018325209</v>
      </c>
      <c r="K315" s="14">
        <v>1013.813475028472</v>
      </c>
      <c r="L315" s="14">
        <v>474.03634410022187</v>
      </c>
      <c r="M315" s="14">
        <v>634.48900440490115</v>
      </c>
      <c r="N315" s="14">
        <v>1036.3688273393916</v>
      </c>
      <c r="O315" s="14">
        <v>1576.2166728222526</v>
      </c>
    </row>
    <row r="316" spans="1:15" x14ac:dyDescent="0.3">
      <c r="A316" s="3" t="str">
        <f>INDEX('R1. Scenario specifications'!$C$11:$C$49,MATCH($B316,'R1. Scenario specifications'!$A$11:$A$49,0))</f>
        <v>Current 1.75DS, 2020 start, 'Expect the Unexpected' but with cheap energy efficiency</v>
      </c>
      <c r="B316" s="3" t="s">
        <v>41</v>
      </c>
      <c r="C316" s="3" t="s">
        <v>52</v>
      </c>
      <c r="D316" s="3" t="s">
        <v>343</v>
      </c>
      <c r="E316" s="14">
        <v>47506.40120156738</v>
      </c>
      <c r="F316" s="14">
        <v>51400.759098340677</v>
      </c>
      <c r="G316" s="14">
        <v>62205.547314401418</v>
      </c>
      <c r="H316" s="14">
        <v>33252.966921144754</v>
      </c>
      <c r="I316" s="14">
        <v>10850.156807266045</v>
      </c>
      <c r="J316" s="14">
        <v>7566.7931770863206</v>
      </c>
      <c r="K316" s="14">
        <v>5290.7714108554346</v>
      </c>
      <c r="L316" s="14">
        <v>2428.0138726811774</v>
      </c>
      <c r="M316" s="14">
        <v>1287.2211284516152</v>
      </c>
      <c r="N316" s="14">
        <v>1025.8890179220484</v>
      </c>
      <c r="O316" s="14">
        <v>870.10005426070018</v>
      </c>
    </row>
    <row r="317" spans="1:15" x14ac:dyDescent="0.3">
      <c r="A317" s="3" t="str">
        <f>INDEX('R1. Scenario specifications'!$C$11:$C$49,MATCH($B317,'R1. Scenario specifications'!$A$11:$A$49,0))</f>
        <v>Current 1.75DS, 2020 start, 'Expect the Unexpected' but with cheap energy efficiency</v>
      </c>
      <c r="B317" s="3" t="s">
        <v>41</v>
      </c>
      <c r="C317" s="3" t="s">
        <v>53</v>
      </c>
      <c r="D317" s="3" t="s">
        <v>344</v>
      </c>
      <c r="E317" s="14">
        <v>703.55932605471685</v>
      </c>
      <c r="F317" s="14">
        <v>336.28891863781013</v>
      </c>
      <c r="G317" s="14">
        <v>879.49041101293551</v>
      </c>
      <c r="H317" s="14">
        <v>1154.8567384691814</v>
      </c>
      <c r="I317" s="14">
        <v>1163.3440686517376</v>
      </c>
      <c r="J317" s="14">
        <v>875.23399053450714</v>
      </c>
      <c r="K317" s="14">
        <v>1114.4986822150081</v>
      </c>
      <c r="L317" s="14">
        <v>1795.8513359489648</v>
      </c>
      <c r="M317" s="14">
        <v>4402.827889628019</v>
      </c>
      <c r="N317" s="14">
        <v>8631.7426917098146</v>
      </c>
      <c r="O317" s="14">
        <v>11260.754760437932</v>
      </c>
    </row>
    <row r="318" spans="1:15" x14ac:dyDescent="0.3">
      <c r="A318" s="3" t="str">
        <f>INDEX('R1. Scenario specifications'!$C$11:$C$49,MATCH($B318,'R1. Scenario specifications'!$A$11:$A$49,0))</f>
        <v>Current 1.75DS, 2020 start, 'Expect the Unexpected' but with cheap energy efficiency</v>
      </c>
      <c r="B318" s="3" t="s">
        <v>41</v>
      </c>
      <c r="C318" s="3" t="s">
        <v>307</v>
      </c>
      <c r="D318" s="3" t="s">
        <v>345</v>
      </c>
      <c r="E318" s="14">
        <v>0</v>
      </c>
      <c r="F318" s="14">
        <v>0</v>
      </c>
      <c r="G318" s="14">
        <v>0</v>
      </c>
      <c r="H318" s="14">
        <v>16.100192006960501</v>
      </c>
      <c r="I318" s="14">
        <v>16.100192006960512</v>
      </c>
      <c r="J318" s="14">
        <v>32.434923132757099</v>
      </c>
      <c r="K318" s="14">
        <v>20.304593792094607</v>
      </c>
      <c r="L318" s="14">
        <v>164.78771380571453</v>
      </c>
      <c r="M318" s="14">
        <v>206.97512409479057</v>
      </c>
      <c r="N318" s="14">
        <v>203.95858901941219</v>
      </c>
      <c r="O318" s="14">
        <v>370.55255166031998</v>
      </c>
    </row>
    <row r="319" spans="1:15" x14ac:dyDescent="0.3">
      <c r="A319" s="3" t="str">
        <f>INDEX('R1. Scenario specifications'!$C$11:$C$49,MATCH($B319,'R1. Scenario specifications'!$A$11:$A$49,0))</f>
        <v>Current 1.75DS, 2020 start, 'Expect the Unexpected' but with cheap energy efficiency</v>
      </c>
      <c r="B319" s="3" t="s">
        <v>41</v>
      </c>
      <c r="C319" s="3" t="s">
        <v>54</v>
      </c>
      <c r="D319" s="3" t="s">
        <v>255</v>
      </c>
      <c r="E319" s="14">
        <v>396.62220438997127</v>
      </c>
      <c r="F319" s="14">
        <v>176.86416189251261</v>
      </c>
      <c r="G319" s="14">
        <v>1833.16729548234</v>
      </c>
      <c r="H319" s="14">
        <v>1896.8818347234142</v>
      </c>
      <c r="I319" s="14">
        <v>4529.3286228452316</v>
      </c>
      <c r="J319" s="14">
        <v>11484.329955305893</v>
      </c>
      <c r="K319" s="14">
        <v>5777.0354258383195</v>
      </c>
      <c r="L319" s="14">
        <v>1041.9242985559147</v>
      </c>
      <c r="M319" s="14">
        <v>905.26988778954819</v>
      </c>
      <c r="N319" s="14">
        <v>1029.016077065482</v>
      </c>
      <c r="O319" s="14">
        <v>4977.9144043524648</v>
      </c>
    </row>
    <row r="320" spans="1:15" x14ac:dyDescent="0.3">
      <c r="A320" s="3" t="str">
        <f>INDEX('R1. Scenario specifications'!$C$11:$C$49,MATCH($B320,'R1. Scenario specifications'!$A$11:$A$49,0))</f>
        <v>Current 1.75DS, 2020 start, 'Expect the Unexpected' but with cheap energy efficiency</v>
      </c>
      <c r="B320" s="3" t="s">
        <v>41</v>
      </c>
      <c r="C320" s="3" t="s">
        <v>308</v>
      </c>
      <c r="D320" s="3" t="s">
        <v>326</v>
      </c>
      <c r="E320" s="14">
        <v>0</v>
      </c>
      <c r="F320" s="14">
        <v>0</v>
      </c>
      <c r="G320" s="14">
        <v>203.8949376312157</v>
      </c>
      <c r="H320" s="14">
        <v>554.70000132409962</v>
      </c>
      <c r="I320" s="14">
        <v>806.83190249554866</v>
      </c>
      <c r="J320" s="14">
        <v>1120.9421311182716</v>
      </c>
      <c r="K320" s="14">
        <v>1178.0493098087131</v>
      </c>
      <c r="L320" s="14">
        <v>1289.8004188875243</v>
      </c>
      <c r="M320" s="14">
        <v>1365.8444343884707</v>
      </c>
      <c r="N320" s="14">
        <v>1436.4803765695617</v>
      </c>
      <c r="O320" s="14">
        <v>1398.4845625296855</v>
      </c>
    </row>
    <row r="321" spans="1:15" x14ac:dyDescent="0.3">
      <c r="A321" s="3" t="str">
        <f>INDEX('R1. Scenario specifications'!$C$11:$C$49,MATCH($B321,'R1. Scenario specifications'!$A$11:$A$49,0))</f>
        <v>Current 1.75DS, 2030 start, 'Expect the Unexpected' but with cheap energy efficiency</v>
      </c>
      <c r="B321" s="3" t="s">
        <v>42</v>
      </c>
      <c r="C321" s="3" t="s">
        <v>304</v>
      </c>
      <c r="D321" s="3" t="s">
        <v>339</v>
      </c>
      <c r="E321" s="14">
        <v>0</v>
      </c>
      <c r="F321" s="14">
        <v>820.1343749999993</v>
      </c>
      <c r="G321" s="14">
        <v>1443.6724304473942</v>
      </c>
      <c r="H321" s="14">
        <v>1052.0173273984929</v>
      </c>
      <c r="I321" s="14">
        <v>2546.7958186355418</v>
      </c>
      <c r="J321" s="14">
        <v>8235.034852272438</v>
      </c>
      <c r="K321" s="14">
        <v>7699.573978205005</v>
      </c>
      <c r="L321" s="14">
        <v>5275.552753927881</v>
      </c>
      <c r="M321" s="14">
        <v>5153.0952570516829</v>
      </c>
      <c r="N321" s="14">
        <v>8269.6121455271586</v>
      </c>
      <c r="O321" s="14">
        <v>12664.531128551633</v>
      </c>
    </row>
    <row r="322" spans="1:15" x14ac:dyDescent="0.3">
      <c r="A322" s="3" t="str">
        <f>INDEX('R1. Scenario specifications'!$C$11:$C$49,MATCH($B322,'R1. Scenario specifications'!$A$11:$A$49,0))</f>
        <v>Current 1.75DS, 2030 start, 'Expect the Unexpected' but with cheap energy efficiency</v>
      </c>
      <c r="B322" s="3" t="s">
        <v>42</v>
      </c>
      <c r="C322" s="3" t="s">
        <v>51</v>
      </c>
      <c r="D322" s="3" t="s">
        <v>340</v>
      </c>
      <c r="E322" s="14">
        <v>26912.591385085678</v>
      </c>
      <c r="F322" s="14">
        <v>24726.384098969917</v>
      </c>
      <c r="G322" s="14">
        <v>20023.092920446408</v>
      </c>
      <c r="H322" s="14">
        <v>26227.564065710481</v>
      </c>
      <c r="I322" s="14">
        <v>38510.220578800217</v>
      </c>
      <c r="J322" s="14">
        <v>25424.071221939259</v>
      </c>
      <c r="K322" s="14">
        <v>22635.929660670685</v>
      </c>
      <c r="L322" s="14">
        <v>30056.136895022784</v>
      </c>
      <c r="M322" s="14">
        <v>30382.647905640148</v>
      </c>
      <c r="N322" s="14">
        <v>25781.157729075388</v>
      </c>
      <c r="O322" s="14">
        <v>17112.65657868273</v>
      </c>
    </row>
    <row r="323" spans="1:15" x14ac:dyDescent="0.3">
      <c r="A323" s="3" t="str">
        <f>INDEX('R1. Scenario specifications'!$C$11:$C$49,MATCH($B323,'R1. Scenario specifications'!$A$11:$A$49,0))</f>
        <v>Current 1.75DS, 2030 start, 'Expect the Unexpected' but with cheap energy efficiency</v>
      </c>
      <c r="B323" s="3" t="s">
        <v>42</v>
      </c>
      <c r="C323" s="3" t="s">
        <v>305</v>
      </c>
      <c r="D323" s="3" t="s">
        <v>341</v>
      </c>
      <c r="E323" s="14">
        <v>0.55126200000000003</v>
      </c>
      <c r="F323" s="14">
        <v>0.27214200000000005</v>
      </c>
      <c r="G323" s="14">
        <v>39.715545758633766</v>
      </c>
      <c r="H323" s="14">
        <v>1069.5883483275736</v>
      </c>
      <c r="I323" s="14">
        <v>3561.7409576576129</v>
      </c>
      <c r="J323" s="14">
        <v>8346.3220684562075</v>
      </c>
      <c r="K323" s="14">
        <v>10492.261243208044</v>
      </c>
      <c r="L323" s="14">
        <v>13706.64807687941</v>
      </c>
      <c r="M323" s="14">
        <v>16038.226702805641</v>
      </c>
      <c r="N323" s="14">
        <v>17330.429217139725</v>
      </c>
      <c r="O323" s="14">
        <v>18588.294116941885</v>
      </c>
    </row>
    <row r="324" spans="1:15" x14ac:dyDescent="0.3">
      <c r="A324" s="3" t="str">
        <f>INDEX('R1. Scenario specifications'!$C$11:$C$49,MATCH($B324,'R1. Scenario specifications'!$A$11:$A$49,0))</f>
        <v>Current 1.75DS, 2030 start, 'Expect the Unexpected' but with cheap energy efficiency</v>
      </c>
      <c r="B324" s="3" t="s">
        <v>42</v>
      </c>
      <c r="C324" s="3" t="s">
        <v>306</v>
      </c>
      <c r="D324" s="3" t="s">
        <v>342</v>
      </c>
      <c r="E324" s="14">
        <v>138.88007226094669</v>
      </c>
      <c r="F324" s="14">
        <v>231.92798987852072</v>
      </c>
      <c r="G324" s="14">
        <v>2394.994594260861</v>
      </c>
      <c r="H324" s="14">
        <v>2330.3092353624561</v>
      </c>
      <c r="I324" s="14">
        <v>2002.4430311014889</v>
      </c>
      <c r="J324" s="14">
        <v>868.28215746208377</v>
      </c>
      <c r="K324" s="14">
        <v>139.0390975675021</v>
      </c>
      <c r="L324" s="14">
        <v>210.06191830299605</v>
      </c>
      <c r="M324" s="14">
        <v>233.00312319451771</v>
      </c>
      <c r="N324" s="14">
        <v>695.80090937237208</v>
      </c>
      <c r="O324" s="14">
        <v>1349.9532597236848</v>
      </c>
    </row>
    <row r="325" spans="1:15" x14ac:dyDescent="0.3">
      <c r="A325" s="3" t="str">
        <f>INDEX('R1. Scenario specifications'!$C$11:$C$49,MATCH($B325,'R1. Scenario specifications'!$A$11:$A$49,0))</f>
        <v>Current 1.75DS, 2030 start, 'Expect the Unexpected' but with cheap energy efficiency</v>
      </c>
      <c r="B325" s="3" t="s">
        <v>42</v>
      </c>
      <c r="C325" s="3" t="s">
        <v>52</v>
      </c>
      <c r="D325" s="3" t="s">
        <v>343</v>
      </c>
      <c r="E325" s="14">
        <v>47506.40120156738</v>
      </c>
      <c r="F325" s="14">
        <v>51400.759098340677</v>
      </c>
      <c r="G325" s="14">
        <v>62205.547314401418</v>
      </c>
      <c r="H325" s="14">
        <v>44368.574800589129</v>
      </c>
      <c r="I325" s="14">
        <v>14183.230537165302</v>
      </c>
      <c r="J325" s="14">
        <v>8910.156425488467</v>
      </c>
      <c r="K325" s="14">
        <v>3880.5922854516034</v>
      </c>
      <c r="L325" s="14">
        <v>2278.4814386682583</v>
      </c>
      <c r="M325" s="14">
        <v>1720.3296888841858</v>
      </c>
      <c r="N325" s="14">
        <v>1037.529374792538</v>
      </c>
      <c r="O325" s="14">
        <v>880.27188959819921</v>
      </c>
    </row>
    <row r="326" spans="1:15" x14ac:dyDescent="0.3">
      <c r="A326" s="3" t="str">
        <f>INDEX('R1. Scenario specifications'!$C$11:$C$49,MATCH($B326,'R1. Scenario specifications'!$A$11:$A$49,0))</f>
        <v>Current 1.75DS, 2030 start, 'Expect the Unexpected' but with cheap energy efficiency</v>
      </c>
      <c r="B326" s="3" t="s">
        <v>42</v>
      </c>
      <c r="C326" s="3" t="s">
        <v>53</v>
      </c>
      <c r="D326" s="3" t="s">
        <v>344</v>
      </c>
      <c r="E326" s="14">
        <v>703.55932605471685</v>
      </c>
      <c r="F326" s="14">
        <v>336.28891863781013</v>
      </c>
      <c r="G326" s="14">
        <v>879.49041101293551</v>
      </c>
      <c r="H326" s="14">
        <v>1203.2907539892126</v>
      </c>
      <c r="I326" s="14">
        <v>1149.6241550934396</v>
      </c>
      <c r="J326" s="14">
        <v>4135.0291785038426</v>
      </c>
      <c r="K326" s="14">
        <v>10002.394486803441</v>
      </c>
      <c r="L326" s="14">
        <v>5373.4346984865915</v>
      </c>
      <c r="M326" s="14">
        <v>4004.5311101638026</v>
      </c>
      <c r="N326" s="14">
        <v>6011.2115640510037</v>
      </c>
      <c r="O326" s="14">
        <v>7890.4042948853221</v>
      </c>
    </row>
    <row r="327" spans="1:15" x14ac:dyDescent="0.3">
      <c r="A327" s="3" t="str">
        <f>INDEX('R1. Scenario specifications'!$C$11:$C$49,MATCH($B327,'R1. Scenario specifications'!$A$11:$A$49,0))</f>
        <v>Current 1.75DS, 2030 start, 'Expect the Unexpected' but with cheap energy efficiency</v>
      </c>
      <c r="B327" s="3" t="s">
        <v>42</v>
      </c>
      <c r="C327" s="3" t="s">
        <v>307</v>
      </c>
      <c r="D327" s="3" t="s">
        <v>345</v>
      </c>
      <c r="E327" s="14">
        <v>0</v>
      </c>
      <c r="F327" s="14">
        <v>0</v>
      </c>
      <c r="G327" s="14">
        <v>0</v>
      </c>
      <c r="H327" s="14">
        <v>335.71272520527293</v>
      </c>
      <c r="I327" s="14">
        <v>138.73652045935557</v>
      </c>
      <c r="J327" s="14">
        <v>213.31699660193348</v>
      </c>
      <c r="K327" s="14">
        <v>131.6612227041239</v>
      </c>
      <c r="L327" s="14">
        <v>153.38157321304294</v>
      </c>
      <c r="M327" s="14">
        <v>197.30720032587362</v>
      </c>
      <c r="N327" s="14">
        <v>204.17583629875028</v>
      </c>
      <c r="O327" s="14">
        <v>310.41132124031998</v>
      </c>
    </row>
    <row r="328" spans="1:15" x14ac:dyDescent="0.3">
      <c r="A328" s="3" t="str">
        <f>INDEX('R1. Scenario specifications'!$C$11:$C$49,MATCH($B328,'R1. Scenario specifications'!$A$11:$A$49,0))</f>
        <v>Current 1.75DS, 2030 start, 'Expect the Unexpected' but with cheap energy efficiency</v>
      </c>
      <c r="B328" s="3" t="s">
        <v>42</v>
      </c>
      <c r="C328" s="3" t="s">
        <v>54</v>
      </c>
      <c r="D328" s="3" t="s">
        <v>255</v>
      </c>
      <c r="E328" s="14">
        <v>396.62220438997127</v>
      </c>
      <c r="F328" s="14">
        <v>176.86416189251261</v>
      </c>
      <c r="G328" s="14">
        <v>1833.16729548234</v>
      </c>
      <c r="H328" s="14">
        <v>5667.8396467895318</v>
      </c>
      <c r="I328" s="14">
        <v>6668.4271998599497</v>
      </c>
      <c r="J328" s="14">
        <v>3593.5114036886166</v>
      </c>
      <c r="K328" s="14">
        <v>951.37818562994562</v>
      </c>
      <c r="L328" s="14">
        <v>1219.4176892111577</v>
      </c>
      <c r="M328" s="14">
        <v>1128.1186437852091</v>
      </c>
      <c r="N328" s="14">
        <v>1048.4159455732829</v>
      </c>
      <c r="O328" s="14">
        <v>5146.2850951731789</v>
      </c>
    </row>
    <row r="329" spans="1:15" x14ac:dyDescent="0.3">
      <c r="A329" s="3" t="str">
        <f>INDEX('R1. Scenario specifications'!$C$11:$C$49,MATCH($B329,'R1. Scenario specifications'!$A$11:$A$49,0))</f>
        <v>Current 1.75DS, 2030 start, 'Expect the Unexpected' but with cheap energy efficiency</v>
      </c>
      <c r="B329" s="3" t="s">
        <v>42</v>
      </c>
      <c r="C329" s="3" t="s">
        <v>308</v>
      </c>
      <c r="D329" s="3" t="s">
        <v>326</v>
      </c>
      <c r="E329" s="14">
        <v>0</v>
      </c>
      <c r="F329" s="14">
        <v>0</v>
      </c>
      <c r="G329" s="14">
        <v>203.8949376312157</v>
      </c>
      <c r="H329" s="14">
        <v>757.03231328497168</v>
      </c>
      <c r="I329" s="14">
        <v>806.46877446390101</v>
      </c>
      <c r="J329" s="14">
        <v>991.89173387214123</v>
      </c>
      <c r="K329" s="14">
        <v>789.60010186938348</v>
      </c>
      <c r="L329" s="14">
        <v>1229.8802927350193</v>
      </c>
      <c r="M329" s="14">
        <v>1308.6989419624042</v>
      </c>
      <c r="N329" s="14">
        <v>1434.3770561927845</v>
      </c>
      <c r="O329" s="14">
        <v>1421.766296134612</v>
      </c>
    </row>
    <row r="330" spans="1:15" x14ac:dyDescent="0.3">
      <c r="A330" s="3" t="str">
        <f>INDEX('R1. Scenario specifications'!$C$11:$C$49,MATCH($B330,'R1. Scenario specifications'!$A$11:$A$49,0))</f>
        <v>Current 1.75DS, 2020 start, 'Expect the Unexpected' but with most conservative biomass CCS / NET technology cost assumptions</v>
      </c>
      <c r="B330" s="3" t="s">
        <v>43</v>
      </c>
      <c r="C330" s="3" t="s">
        <v>304</v>
      </c>
      <c r="D330" s="3" t="s">
        <v>339</v>
      </c>
      <c r="E330" s="14">
        <v>0</v>
      </c>
      <c r="F330" s="14">
        <v>820.1343749999993</v>
      </c>
      <c r="G330" s="14">
        <v>1443.6724304473942</v>
      </c>
      <c r="H330" s="14">
        <v>2022.300613497265</v>
      </c>
      <c r="I330" s="14">
        <v>3035.3768820649193</v>
      </c>
      <c r="J330" s="14">
        <v>6176.0408659732693</v>
      </c>
      <c r="K330" s="14">
        <v>4837.4767374562525</v>
      </c>
      <c r="L330" s="14">
        <v>2175.2599036752299</v>
      </c>
      <c r="M330" s="14">
        <v>4751.886975631216</v>
      </c>
      <c r="N330" s="14">
        <v>6709.8825698287883</v>
      </c>
      <c r="O330" s="14">
        <v>12312.990818410208</v>
      </c>
    </row>
    <row r="331" spans="1:15" x14ac:dyDescent="0.3">
      <c r="A331" s="3" t="str">
        <f>INDEX('R1. Scenario specifications'!$C$11:$C$49,MATCH($B331,'R1. Scenario specifications'!$A$11:$A$49,0))</f>
        <v>Current 1.75DS, 2020 start, 'Expect the Unexpected' but with most conservative biomass CCS / NET technology cost assumptions</v>
      </c>
      <c r="B331" s="3" t="s">
        <v>43</v>
      </c>
      <c r="C331" s="3" t="s">
        <v>51</v>
      </c>
      <c r="D331" s="3" t="s">
        <v>340</v>
      </c>
      <c r="E331" s="14">
        <v>26912.591385085678</v>
      </c>
      <c r="F331" s="14">
        <v>24726.384098969917</v>
      </c>
      <c r="G331" s="14">
        <v>20023.092920446408</v>
      </c>
      <c r="H331" s="14">
        <v>25497.144206410398</v>
      </c>
      <c r="I331" s="14">
        <v>42835.011827218499</v>
      </c>
      <c r="J331" s="14">
        <v>31566.655700697833</v>
      </c>
      <c r="K331" s="14">
        <v>32256.064393140881</v>
      </c>
      <c r="L331" s="14">
        <v>32876.781321433962</v>
      </c>
      <c r="M331" s="14">
        <v>27997.326225914749</v>
      </c>
      <c r="N331" s="14">
        <v>22449.151214284106</v>
      </c>
      <c r="O331" s="14">
        <v>12378.283193397889</v>
      </c>
    </row>
    <row r="332" spans="1:15" x14ac:dyDescent="0.3">
      <c r="A332" s="3" t="str">
        <f>INDEX('R1. Scenario specifications'!$C$11:$C$49,MATCH($B332,'R1. Scenario specifications'!$A$11:$A$49,0))</f>
        <v>Current 1.75DS, 2020 start, 'Expect the Unexpected' but with most conservative biomass CCS / NET technology cost assumptions</v>
      </c>
      <c r="B332" s="3" t="s">
        <v>43</v>
      </c>
      <c r="C332" s="3" t="s">
        <v>305</v>
      </c>
      <c r="D332" s="3" t="s">
        <v>341</v>
      </c>
      <c r="E332" s="14">
        <v>0.55126200000000003</v>
      </c>
      <c r="F332" s="14">
        <v>0.27214200000000005</v>
      </c>
      <c r="G332" s="14">
        <v>39.715545758633766</v>
      </c>
      <c r="H332" s="14">
        <v>1130.2454144358746</v>
      </c>
      <c r="I332" s="14">
        <v>4433.6266683366284</v>
      </c>
      <c r="J332" s="14">
        <v>10371.517344326721</v>
      </c>
      <c r="K332" s="14">
        <v>14865.02669729335</v>
      </c>
      <c r="L332" s="14">
        <v>18386.21953712223</v>
      </c>
      <c r="M332" s="14">
        <v>20549.096030219112</v>
      </c>
      <c r="N332" s="14">
        <v>21740.662028200612</v>
      </c>
      <c r="O332" s="14">
        <v>23567.634627741492</v>
      </c>
    </row>
    <row r="333" spans="1:15" x14ac:dyDescent="0.3">
      <c r="A333" s="3" t="str">
        <f>INDEX('R1. Scenario specifications'!$C$11:$C$49,MATCH($B333,'R1. Scenario specifications'!$A$11:$A$49,0))</f>
        <v>Current 1.75DS, 2020 start, 'Expect the Unexpected' but with most conservative biomass CCS / NET technology cost assumptions</v>
      </c>
      <c r="B333" s="3" t="s">
        <v>43</v>
      </c>
      <c r="C333" s="3" t="s">
        <v>306</v>
      </c>
      <c r="D333" s="3" t="s">
        <v>342</v>
      </c>
      <c r="E333" s="14">
        <v>138.88007226094669</v>
      </c>
      <c r="F333" s="14">
        <v>231.92798987852072</v>
      </c>
      <c r="G333" s="14">
        <v>2394.994594260861</v>
      </c>
      <c r="H333" s="14">
        <v>2233.2165121790613</v>
      </c>
      <c r="I333" s="14">
        <v>2021.0614536474636</v>
      </c>
      <c r="J333" s="14">
        <v>1263.0275927163134</v>
      </c>
      <c r="K333" s="14">
        <v>480.9147205458998</v>
      </c>
      <c r="L333" s="14">
        <v>201.9702020488524</v>
      </c>
      <c r="M333" s="14">
        <v>758.42070903667525</v>
      </c>
      <c r="N333" s="14">
        <v>1022.9895194665997</v>
      </c>
      <c r="O333" s="14">
        <v>1312.4796540619432</v>
      </c>
    </row>
    <row r="334" spans="1:15" x14ac:dyDescent="0.3">
      <c r="A334" s="3" t="str">
        <f>INDEX('R1. Scenario specifications'!$C$11:$C$49,MATCH($B334,'R1. Scenario specifications'!$A$11:$A$49,0))</f>
        <v>Current 1.75DS, 2020 start, 'Expect the Unexpected' but with most conservative biomass CCS / NET technology cost assumptions</v>
      </c>
      <c r="B334" s="3" t="s">
        <v>43</v>
      </c>
      <c r="C334" s="3" t="s">
        <v>52</v>
      </c>
      <c r="D334" s="3" t="s">
        <v>343</v>
      </c>
      <c r="E334" s="14">
        <v>47506.40120156738</v>
      </c>
      <c r="F334" s="14">
        <v>51400.759098340677</v>
      </c>
      <c r="G334" s="14">
        <v>62205.547314401418</v>
      </c>
      <c r="H334" s="14">
        <v>40717.9230354561</v>
      </c>
      <c r="I334" s="14">
        <v>12013.79983689708</v>
      </c>
      <c r="J334" s="14">
        <v>9191.1057942622665</v>
      </c>
      <c r="K334" s="14">
        <v>4172.7303681161766</v>
      </c>
      <c r="L334" s="14">
        <v>1521.980573968224</v>
      </c>
      <c r="M334" s="14">
        <v>1066.512807608935</v>
      </c>
      <c r="N334" s="14">
        <v>931.73290348442367</v>
      </c>
      <c r="O334" s="14">
        <v>867.40189020230594</v>
      </c>
    </row>
    <row r="335" spans="1:15" x14ac:dyDescent="0.3">
      <c r="A335" s="3" t="str">
        <f>INDEX('R1. Scenario specifications'!$C$11:$C$49,MATCH($B335,'R1. Scenario specifications'!$A$11:$A$49,0))</f>
        <v>Current 1.75DS, 2020 start, 'Expect the Unexpected' but with most conservative biomass CCS / NET technology cost assumptions</v>
      </c>
      <c r="B335" s="3" t="s">
        <v>43</v>
      </c>
      <c r="C335" s="3" t="s">
        <v>53</v>
      </c>
      <c r="D335" s="3" t="s">
        <v>344</v>
      </c>
      <c r="E335" s="14">
        <v>703.55932605471685</v>
      </c>
      <c r="F335" s="14">
        <v>336.28891863781013</v>
      </c>
      <c r="G335" s="14">
        <v>879.49041101293551</v>
      </c>
      <c r="H335" s="14">
        <v>1223.696413673629</v>
      </c>
      <c r="I335" s="14">
        <v>1155.9240428758869</v>
      </c>
      <c r="J335" s="14">
        <v>923.74989023514354</v>
      </c>
      <c r="K335" s="14">
        <v>1143.9183524122068</v>
      </c>
      <c r="L335" s="14">
        <v>3872.6668527623688</v>
      </c>
      <c r="M335" s="14">
        <v>5404.7416686081124</v>
      </c>
      <c r="N335" s="14">
        <v>10495.315300526394</v>
      </c>
      <c r="O335" s="14">
        <v>12496.829432421004</v>
      </c>
    </row>
    <row r="336" spans="1:15" x14ac:dyDescent="0.3">
      <c r="A336" s="3" t="str">
        <f>INDEX('R1. Scenario specifications'!$C$11:$C$49,MATCH($B336,'R1. Scenario specifications'!$A$11:$A$49,0))</f>
        <v>Current 1.75DS, 2020 start, 'Expect the Unexpected' but with most conservative biomass CCS / NET technology cost assumptions</v>
      </c>
      <c r="B336" s="3" t="s">
        <v>43</v>
      </c>
      <c r="C336" s="3" t="s">
        <v>307</v>
      </c>
      <c r="D336" s="3" t="s">
        <v>345</v>
      </c>
      <c r="E336" s="14">
        <v>0</v>
      </c>
      <c r="F336" s="14">
        <v>0</v>
      </c>
      <c r="G336" s="14">
        <v>0</v>
      </c>
      <c r="H336" s="14">
        <v>83.3333333333334</v>
      </c>
      <c r="I336" s="14">
        <v>105.5555555555556</v>
      </c>
      <c r="J336" s="14">
        <v>193.32832943252211</v>
      </c>
      <c r="K336" s="14">
        <v>134.51800101383492</v>
      </c>
      <c r="L336" s="14">
        <v>190.85818971021803</v>
      </c>
      <c r="M336" s="14">
        <v>198.14476132557431</v>
      </c>
      <c r="N336" s="14">
        <v>197.72450934761963</v>
      </c>
      <c r="O336" s="14">
        <v>463.79173138031996</v>
      </c>
    </row>
    <row r="337" spans="1:15" x14ac:dyDescent="0.3">
      <c r="A337" s="3" t="str">
        <f>INDEX('R1. Scenario specifications'!$C$11:$C$49,MATCH($B337,'R1. Scenario specifications'!$A$11:$A$49,0))</f>
        <v>Current 1.75DS, 2020 start, 'Expect the Unexpected' but with most conservative biomass CCS / NET technology cost assumptions</v>
      </c>
      <c r="B337" s="3" t="s">
        <v>43</v>
      </c>
      <c r="C337" s="3" t="s">
        <v>54</v>
      </c>
      <c r="D337" s="3" t="s">
        <v>255</v>
      </c>
      <c r="E337" s="14">
        <v>396.62220438997127</v>
      </c>
      <c r="F337" s="14">
        <v>176.86416189251261</v>
      </c>
      <c r="G337" s="14">
        <v>1833.16729548234</v>
      </c>
      <c r="H337" s="14">
        <v>4159.7016629886703</v>
      </c>
      <c r="I337" s="14">
        <v>5578.7994733486812</v>
      </c>
      <c r="J337" s="14">
        <v>8784.3225619644963</v>
      </c>
      <c r="K337" s="14">
        <v>5354.8540347931721</v>
      </c>
      <c r="L337" s="14">
        <v>1263.8234228656502</v>
      </c>
      <c r="M337" s="14">
        <v>692.97787674059305</v>
      </c>
      <c r="N337" s="14">
        <v>764.89801188986189</v>
      </c>
      <c r="O337" s="14">
        <v>5108.2227572701349</v>
      </c>
    </row>
    <row r="338" spans="1:15" x14ac:dyDescent="0.3">
      <c r="A338" s="3" t="str">
        <f>INDEX('R1. Scenario specifications'!$C$11:$C$49,MATCH($B338,'R1. Scenario specifications'!$A$11:$A$49,0))</f>
        <v>Current 1.75DS, 2020 start, 'Expect the Unexpected' but with most conservative biomass CCS / NET technology cost assumptions</v>
      </c>
      <c r="B338" s="3" t="s">
        <v>43</v>
      </c>
      <c r="C338" s="3" t="s">
        <v>308</v>
      </c>
      <c r="D338" s="3" t="s">
        <v>326</v>
      </c>
      <c r="E338" s="14">
        <v>0</v>
      </c>
      <c r="F338" s="14">
        <v>0</v>
      </c>
      <c r="G338" s="14">
        <v>203.8949376312157</v>
      </c>
      <c r="H338" s="14">
        <v>746.77575973977855</v>
      </c>
      <c r="I338" s="14">
        <v>946.4700655244468</v>
      </c>
      <c r="J338" s="14">
        <v>1346.8676083381324</v>
      </c>
      <c r="K338" s="14">
        <v>1430.4115216710247</v>
      </c>
      <c r="L338" s="14">
        <v>1558.2184326747674</v>
      </c>
      <c r="M338" s="14">
        <v>1645.3416007287096</v>
      </c>
      <c r="N338" s="14">
        <v>1566.9086312373531</v>
      </c>
      <c r="O338" s="14">
        <v>1593.5300012526775</v>
      </c>
    </row>
    <row r="339" spans="1:15" x14ac:dyDescent="0.3">
      <c r="A339" s="3" t="str">
        <f>INDEX('R1. Scenario specifications'!$C$11:$C$49,MATCH($B339,'R1. Scenario specifications'!$A$11:$A$49,0))</f>
        <v>Current 2DS, 2020 start, 'Expect the unexpceted' but with expensive renewables (cheap CCS)</v>
      </c>
      <c r="B339" s="3" t="s">
        <v>1026</v>
      </c>
      <c r="C339" s="3" t="s">
        <v>304</v>
      </c>
      <c r="D339" s="3" t="s">
        <v>339</v>
      </c>
      <c r="E339" s="14">
        <v>0</v>
      </c>
      <c r="F339" s="14">
        <v>820.1343749999993</v>
      </c>
      <c r="G339" s="14">
        <v>1443.6724304473942</v>
      </c>
      <c r="H339" s="14">
        <v>1743.761218883717</v>
      </c>
      <c r="I339" s="14">
        <v>2969.3353980794368</v>
      </c>
      <c r="J339" s="14">
        <v>5071.6947987622707</v>
      </c>
      <c r="K339" s="14">
        <v>5923.7057169949167</v>
      </c>
      <c r="L339" s="14">
        <v>6670.7203374017272</v>
      </c>
      <c r="M339" s="14">
        <v>7352.0208887468925</v>
      </c>
      <c r="N339" s="14">
        <v>7884.7569376126548</v>
      </c>
      <c r="O339" s="14">
        <v>13905.915019308688</v>
      </c>
    </row>
    <row r="340" spans="1:15" x14ac:dyDescent="0.3">
      <c r="A340" s="3" t="str">
        <f>INDEX('R1. Scenario specifications'!$C$11:$C$49,MATCH($B340,'R1. Scenario specifications'!$A$11:$A$49,0))</f>
        <v>Current 2DS, 2020 start, 'Expect the unexpceted' but with expensive renewables (cheap CCS)</v>
      </c>
      <c r="B340" s="3" t="s">
        <v>1026</v>
      </c>
      <c r="C340" s="3" t="s">
        <v>51</v>
      </c>
      <c r="D340" s="3" t="s">
        <v>340</v>
      </c>
      <c r="E340" s="14">
        <v>26912.591385085678</v>
      </c>
      <c r="F340" s="14">
        <v>24726.384098969917</v>
      </c>
      <c r="G340" s="14">
        <v>20023.092920446408</v>
      </c>
      <c r="H340" s="14">
        <v>25621.957644235645</v>
      </c>
      <c r="I340" s="14">
        <v>42303.678147060324</v>
      </c>
      <c r="J340" s="14">
        <v>24014.689108830094</v>
      </c>
      <c r="K340" s="14">
        <v>26734.77835282142</v>
      </c>
      <c r="L340" s="14">
        <v>30870.28732804981</v>
      </c>
      <c r="M340" s="14">
        <v>27924.691815581264</v>
      </c>
      <c r="N340" s="14">
        <v>26976.076442500125</v>
      </c>
      <c r="O340" s="14">
        <v>16863.854267848888</v>
      </c>
    </row>
    <row r="341" spans="1:15" x14ac:dyDescent="0.3">
      <c r="A341" s="3" t="str">
        <f>INDEX('R1. Scenario specifications'!$C$11:$C$49,MATCH($B341,'R1. Scenario specifications'!$A$11:$A$49,0))</f>
        <v>Current 2DS, 2020 start, 'Expect the unexpceted' but with expensive renewables (cheap CCS)</v>
      </c>
      <c r="B341" s="3" t="s">
        <v>1026</v>
      </c>
      <c r="C341" s="3" t="s">
        <v>305</v>
      </c>
      <c r="D341" s="3" t="s">
        <v>341</v>
      </c>
      <c r="E341" s="14">
        <v>0.55126200000000003</v>
      </c>
      <c r="F341" s="14">
        <v>0.27214200000000005</v>
      </c>
      <c r="G341" s="14">
        <v>39.715545758633766</v>
      </c>
      <c r="H341" s="14">
        <v>1110.6666556858063</v>
      </c>
      <c r="I341" s="14">
        <v>4199.875967417026</v>
      </c>
      <c r="J341" s="14">
        <v>9770.8452424066199</v>
      </c>
      <c r="K341" s="14">
        <v>14553.719955923556</v>
      </c>
      <c r="L341" s="14">
        <v>16717.286032878015</v>
      </c>
      <c r="M341" s="14">
        <v>20189.59205260982</v>
      </c>
      <c r="N341" s="14">
        <v>21998.734618237206</v>
      </c>
      <c r="O341" s="14">
        <v>23571.084713757584</v>
      </c>
    </row>
    <row r="342" spans="1:15" x14ac:dyDescent="0.3">
      <c r="A342" s="3" t="str">
        <f>INDEX('R1. Scenario specifications'!$C$11:$C$49,MATCH($B342,'R1. Scenario specifications'!$A$11:$A$49,0))</f>
        <v>Current 2DS, 2020 start, 'Expect the unexpceted' but with expensive renewables (cheap CCS)</v>
      </c>
      <c r="B342" s="3" t="s">
        <v>1026</v>
      </c>
      <c r="C342" s="3" t="s">
        <v>306</v>
      </c>
      <c r="D342" s="3" t="s">
        <v>342</v>
      </c>
      <c r="E342" s="14">
        <v>138.88007226094669</v>
      </c>
      <c r="F342" s="14">
        <v>231.92798987852072</v>
      </c>
      <c r="G342" s="14">
        <v>2394.994594260861</v>
      </c>
      <c r="H342" s="14">
        <v>2309.5773089028812</v>
      </c>
      <c r="I342" s="14">
        <v>2131.5027335477839</v>
      </c>
      <c r="J342" s="14">
        <v>2150.7049266972795</v>
      </c>
      <c r="K342" s="14">
        <v>1494.0968988450841</v>
      </c>
      <c r="L342" s="14">
        <v>669.1076923045373</v>
      </c>
      <c r="M342" s="14">
        <v>866.00366265858543</v>
      </c>
      <c r="N342" s="14">
        <v>1293.5895667157561</v>
      </c>
      <c r="O342" s="14">
        <v>1224.9571649759152</v>
      </c>
    </row>
    <row r="343" spans="1:15" x14ac:dyDescent="0.3">
      <c r="A343" s="3" t="str">
        <f>INDEX('R1. Scenario specifications'!$C$11:$C$49,MATCH($B343,'R1. Scenario specifications'!$A$11:$A$49,0))</f>
        <v>Current 2DS, 2020 start, 'Expect the unexpceted' but with expensive renewables (cheap CCS)</v>
      </c>
      <c r="B343" s="3" t="s">
        <v>1026</v>
      </c>
      <c r="C343" s="3" t="s">
        <v>52</v>
      </c>
      <c r="D343" s="3" t="s">
        <v>343</v>
      </c>
      <c r="E343" s="14">
        <v>47506.40120156738</v>
      </c>
      <c r="F343" s="14">
        <v>51400.759098340677</v>
      </c>
      <c r="G343" s="14">
        <v>62205.547314401418</v>
      </c>
      <c r="H343" s="14">
        <v>42291.784673329996</v>
      </c>
      <c r="I343" s="14">
        <v>12897.457236406213</v>
      </c>
      <c r="J343" s="14">
        <v>12985.17254475644</v>
      </c>
      <c r="K343" s="14">
        <v>5910.9990583897588</v>
      </c>
      <c r="L343" s="14">
        <v>1999.708039319218</v>
      </c>
      <c r="M343" s="14">
        <v>1161.4317575909402</v>
      </c>
      <c r="N343" s="14">
        <v>962.18814298825725</v>
      </c>
      <c r="O343" s="14">
        <v>880.27188959819921</v>
      </c>
    </row>
    <row r="344" spans="1:15" x14ac:dyDescent="0.3">
      <c r="A344" s="3" t="str">
        <f>INDEX('R1. Scenario specifications'!$C$11:$C$49,MATCH($B344,'R1. Scenario specifications'!$A$11:$A$49,0))</f>
        <v>Current 2DS, 2020 start, 'Expect the unexpceted' but with expensive renewables (cheap CCS)</v>
      </c>
      <c r="B344" s="3" t="s">
        <v>1026</v>
      </c>
      <c r="C344" s="3" t="s">
        <v>53</v>
      </c>
      <c r="D344" s="3" t="s">
        <v>344</v>
      </c>
      <c r="E344" s="14">
        <v>703.55932605471685</v>
      </c>
      <c r="F344" s="14">
        <v>336.28891863781013</v>
      </c>
      <c r="G344" s="14">
        <v>879.49041101293551</v>
      </c>
      <c r="H344" s="14">
        <v>1165.8766771252174</v>
      </c>
      <c r="I344" s="14">
        <v>1155.872440629508</v>
      </c>
      <c r="J344" s="14">
        <v>863.85458843037395</v>
      </c>
      <c r="K344" s="14">
        <v>1149.6412528305036</v>
      </c>
      <c r="L344" s="14">
        <v>1350.5520735234509</v>
      </c>
      <c r="M344" s="14">
        <v>2258.6978910363518</v>
      </c>
      <c r="N344" s="14">
        <v>4945.9184518810262</v>
      </c>
      <c r="O344" s="14">
        <v>7381.1779768635324</v>
      </c>
    </row>
    <row r="345" spans="1:15" x14ac:dyDescent="0.3">
      <c r="A345" s="3" t="str">
        <f>INDEX('R1. Scenario specifications'!$C$11:$C$49,MATCH($B345,'R1. Scenario specifications'!$A$11:$A$49,0))</f>
        <v>Current 2DS, 2020 start, 'Expect the unexpceted' but with expensive renewables (cheap CCS)</v>
      </c>
      <c r="B345" s="3" t="s">
        <v>1026</v>
      </c>
      <c r="C345" s="3" t="s">
        <v>307</v>
      </c>
      <c r="D345" s="3" t="s">
        <v>345</v>
      </c>
      <c r="E345" s="14">
        <v>0</v>
      </c>
      <c r="F345" s="14">
        <v>0</v>
      </c>
      <c r="G345" s="14">
        <v>0</v>
      </c>
      <c r="H345" s="14">
        <v>45.020574658697171</v>
      </c>
      <c r="I345" s="14">
        <v>45.020574658697178</v>
      </c>
      <c r="J345" s="14">
        <v>1289.0712789963275</v>
      </c>
      <c r="K345" s="14">
        <v>396.80812356561898</v>
      </c>
      <c r="L345" s="14">
        <v>195.84769242230135</v>
      </c>
      <c r="M345" s="14">
        <v>237.29030980553051</v>
      </c>
      <c r="N345" s="14">
        <v>240.3899082982507</v>
      </c>
      <c r="O345" s="14">
        <v>360.41132124032004</v>
      </c>
    </row>
    <row r="346" spans="1:15" x14ac:dyDescent="0.3">
      <c r="A346" s="3" t="str">
        <f>INDEX('R1. Scenario specifications'!$C$11:$C$49,MATCH($B346,'R1. Scenario specifications'!$A$11:$A$49,0))</f>
        <v>Current 2DS, 2020 start, 'Expect the unexpceted' but with expensive renewables (cheap CCS)</v>
      </c>
      <c r="B346" s="3" t="s">
        <v>1026</v>
      </c>
      <c r="C346" s="3" t="s">
        <v>54</v>
      </c>
      <c r="D346" s="3" t="s">
        <v>255</v>
      </c>
      <c r="E346" s="14">
        <v>396.62220438997127</v>
      </c>
      <c r="F346" s="14">
        <v>176.86416189251261</v>
      </c>
      <c r="G346" s="14">
        <v>1833.16729548234</v>
      </c>
      <c r="H346" s="14">
        <v>4732.050380622919</v>
      </c>
      <c r="I346" s="14">
        <v>9505.1976785408897</v>
      </c>
      <c r="J346" s="14">
        <v>17277.231487211786</v>
      </c>
      <c r="K346" s="14">
        <v>11383.672985460829</v>
      </c>
      <c r="L346" s="14">
        <v>7656.6059808295522</v>
      </c>
      <c r="M346" s="14">
        <v>3541.750049862821</v>
      </c>
      <c r="N346" s="14">
        <v>902.49731931419603</v>
      </c>
      <c r="O346" s="14">
        <v>5403.2267214063631</v>
      </c>
    </row>
    <row r="347" spans="1:15" x14ac:dyDescent="0.3">
      <c r="A347" s="3" t="str">
        <f>INDEX('R1. Scenario specifications'!$C$11:$C$49,MATCH($B347,'R1. Scenario specifications'!$A$11:$A$49,0))</f>
        <v>Current 2DS, 2020 start, 'Expect the unexpceted' but with expensive renewables (cheap CCS)</v>
      </c>
      <c r="B347" s="3" t="s">
        <v>1026</v>
      </c>
      <c r="C347" s="3" t="s">
        <v>308</v>
      </c>
      <c r="D347" s="3" t="s">
        <v>326</v>
      </c>
      <c r="E347" s="14">
        <v>0</v>
      </c>
      <c r="F347" s="14">
        <v>0</v>
      </c>
      <c r="G347" s="14">
        <v>203.8949376312157</v>
      </c>
      <c r="H347" s="14">
        <v>754.78539866169945</v>
      </c>
      <c r="I347" s="14">
        <v>947.89438224338164</v>
      </c>
      <c r="J347" s="14">
        <v>1354.9064835125964</v>
      </c>
      <c r="K347" s="14">
        <v>1429.9639050188009</v>
      </c>
      <c r="L347" s="14">
        <v>1562.3902275490746</v>
      </c>
      <c r="M347" s="14">
        <v>1656.8523583458859</v>
      </c>
      <c r="N347" s="14">
        <v>1737.4985099862697</v>
      </c>
      <c r="O347" s="14">
        <v>1673.0259044233433</v>
      </c>
    </row>
    <row r="348" spans="1:15" x14ac:dyDescent="0.3">
      <c r="A348" s="3" t="str">
        <f>INDEX('R1. Scenario specifications'!$C$11:$C$49,MATCH($B348,'R1. Scenario specifications'!$A$11:$A$49,0))</f>
        <v>Current 2DS, 2030 start, 'Expect the Unexpected' but with cheap renewables</v>
      </c>
      <c r="B348" s="3" t="s">
        <v>44</v>
      </c>
      <c r="C348" s="3" t="s">
        <v>304</v>
      </c>
      <c r="D348" s="3" t="s">
        <v>339</v>
      </c>
      <c r="E348" s="14">
        <v>0</v>
      </c>
      <c r="F348" s="14">
        <v>820.1343749999993</v>
      </c>
      <c r="G348" s="14">
        <v>1443.6724304473942</v>
      </c>
      <c r="H348" s="14">
        <v>1052.0173273984929</v>
      </c>
      <c r="I348" s="14">
        <v>2786.9904062225105</v>
      </c>
      <c r="J348" s="14">
        <v>7648.8634129305428</v>
      </c>
      <c r="K348" s="14">
        <v>7776.6891140991138</v>
      </c>
      <c r="L348" s="14">
        <v>10509.070698684403</v>
      </c>
      <c r="M348" s="14">
        <v>9788.0495113653069</v>
      </c>
      <c r="N348" s="14">
        <v>9648.594351691514</v>
      </c>
      <c r="O348" s="14">
        <v>13978.539480016298</v>
      </c>
    </row>
    <row r="349" spans="1:15" x14ac:dyDescent="0.3">
      <c r="A349" s="3" t="str">
        <f>INDEX('R1. Scenario specifications'!$C$11:$C$49,MATCH($B349,'R1. Scenario specifications'!$A$11:$A$49,0))</f>
        <v>Current 2DS, 2030 start, 'Expect the Unexpected' but with cheap renewables</v>
      </c>
      <c r="B349" s="3" t="s">
        <v>44</v>
      </c>
      <c r="C349" s="3" t="s">
        <v>51</v>
      </c>
      <c r="D349" s="3" t="s">
        <v>340</v>
      </c>
      <c r="E349" s="14">
        <v>26912.591385085678</v>
      </c>
      <c r="F349" s="14">
        <v>24726.384098969917</v>
      </c>
      <c r="G349" s="14">
        <v>20023.092920446408</v>
      </c>
      <c r="H349" s="14">
        <v>26227.564065710481</v>
      </c>
      <c r="I349" s="14">
        <v>43195.07447361105</v>
      </c>
      <c r="J349" s="14">
        <v>26464.125218123922</v>
      </c>
      <c r="K349" s="14">
        <v>27193.515424203648</v>
      </c>
      <c r="L349" s="14">
        <v>30004.249065051896</v>
      </c>
      <c r="M349" s="14">
        <v>30210.689251488082</v>
      </c>
      <c r="N349" s="14">
        <v>27421.710966017607</v>
      </c>
      <c r="O349" s="14">
        <v>18286.894948237299</v>
      </c>
    </row>
    <row r="350" spans="1:15" x14ac:dyDescent="0.3">
      <c r="A350" s="3" t="str">
        <f>INDEX('R1. Scenario specifications'!$C$11:$C$49,MATCH($B350,'R1. Scenario specifications'!$A$11:$A$49,0))</f>
        <v>Current 2DS, 2030 start, 'Expect the Unexpected' but with cheap renewables</v>
      </c>
      <c r="B350" s="3" t="s">
        <v>44</v>
      </c>
      <c r="C350" s="3" t="s">
        <v>305</v>
      </c>
      <c r="D350" s="3" t="s">
        <v>341</v>
      </c>
      <c r="E350" s="14">
        <v>0.55126200000000003</v>
      </c>
      <c r="F350" s="14">
        <v>0.27214200000000005</v>
      </c>
      <c r="G350" s="14">
        <v>39.715545758633766</v>
      </c>
      <c r="H350" s="14">
        <v>1069.5883483275736</v>
      </c>
      <c r="I350" s="14">
        <v>4055.2731880678975</v>
      </c>
      <c r="J350" s="14">
        <v>9580.8683255127289</v>
      </c>
      <c r="K350" s="14">
        <v>14316.373936400665</v>
      </c>
      <c r="L350" s="14">
        <v>16656.879969528945</v>
      </c>
      <c r="M350" s="14">
        <v>19462.838239799108</v>
      </c>
      <c r="N350" s="14">
        <v>21575.714685983403</v>
      </c>
      <c r="O350" s="14">
        <v>23504.46129235646</v>
      </c>
    </row>
    <row r="351" spans="1:15" x14ac:dyDescent="0.3">
      <c r="A351" s="3" t="str">
        <f>INDEX('R1. Scenario specifications'!$C$11:$C$49,MATCH($B351,'R1. Scenario specifications'!$A$11:$A$49,0))</f>
        <v>Current 2DS, 2030 start, 'Expect the Unexpected' but with cheap renewables</v>
      </c>
      <c r="B351" s="3" t="s">
        <v>44</v>
      </c>
      <c r="C351" s="3" t="s">
        <v>306</v>
      </c>
      <c r="D351" s="3" t="s">
        <v>342</v>
      </c>
      <c r="E351" s="14">
        <v>138.88007226094669</v>
      </c>
      <c r="F351" s="14">
        <v>231.92798987852072</v>
      </c>
      <c r="G351" s="14">
        <v>2394.994594260861</v>
      </c>
      <c r="H351" s="14">
        <v>2330.3092353624561</v>
      </c>
      <c r="I351" s="14">
        <v>2179.1523287722198</v>
      </c>
      <c r="J351" s="14">
        <v>2086.7905458419677</v>
      </c>
      <c r="K351" s="14">
        <v>871.09225866121903</v>
      </c>
      <c r="L351" s="14">
        <v>588.09958904601604</v>
      </c>
      <c r="M351" s="14">
        <v>350.18569736942294</v>
      </c>
      <c r="N351" s="14">
        <v>399.2676830466246</v>
      </c>
      <c r="O351" s="14">
        <v>716.0076769734186</v>
      </c>
    </row>
    <row r="352" spans="1:15" x14ac:dyDescent="0.3">
      <c r="A352" s="3" t="str">
        <f>INDEX('R1. Scenario specifications'!$C$11:$C$49,MATCH($B352,'R1. Scenario specifications'!$A$11:$A$49,0))</f>
        <v>Current 2DS, 2030 start, 'Expect the Unexpected' but with cheap renewables</v>
      </c>
      <c r="B352" s="3" t="s">
        <v>44</v>
      </c>
      <c r="C352" s="3" t="s">
        <v>52</v>
      </c>
      <c r="D352" s="3" t="s">
        <v>343</v>
      </c>
      <c r="E352" s="14">
        <v>47506.40120156738</v>
      </c>
      <c r="F352" s="14">
        <v>51400.759098340677</v>
      </c>
      <c r="G352" s="14">
        <v>62205.547314401418</v>
      </c>
      <c r="H352" s="14">
        <v>44368.574800589129</v>
      </c>
      <c r="I352" s="14">
        <v>13763.470935893713</v>
      </c>
      <c r="J352" s="14">
        <v>12074.224622632886</v>
      </c>
      <c r="K352" s="14">
        <v>6748.7731879355179</v>
      </c>
      <c r="L352" s="14">
        <v>3427.4671135465242</v>
      </c>
      <c r="M352" s="14">
        <v>1859.2281548075111</v>
      </c>
      <c r="N352" s="14">
        <v>1057.4780260748023</v>
      </c>
      <c r="O352" s="14">
        <v>900.79886196187249</v>
      </c>
    </row>
    <row r="353" spans="1:15" x14ac:dyDescent="0.3">
      <c r="A353" s="3" t="str">
        <f>INDEX('R1. Scenario specifications'!$C$11:$C$49,MATCH($B353,'R1. Scenario specifications'!$A$11:$A$49,0))</f>
        <v>Current 2DS, 2030 start, 'Expect the Unexpected' but with cheap renewables</v>
      </c>
      <c r="B353" s="3" t="s">
        <v>44</v>
      </c>
      <c r="C353" s="3" t="s">
        <v>53</v>
      </c>
      <c r="D353" s="3" t="s">
        <v>344</v>
      </c>
      <c r="E353" s="14">
        <v>703.55932605471685</v>
      </c>
      <c r="F353" s="14">
        <v>336.28891863781013</v>
      </c>
      <c r="G353" s="14">
        <v>879.49041101293551</v>
      </c>
      <c r="H353" s="14">
        <v>1203.2907539892126</v>
      </c>
      <c r="I353" s="14">
        <v>1155.8301379720517</v>
      </c>
      <c r="J353" s="14">
        <v>855.89169978872019</v>
      </c>
      <c r="K353" s="14">
        <v>1220.138434116433</v>
      </c>
      <c r="L353" s="14">
        <v>1342.2754237732129</v>
      </c>
      <c r="M353" s="14">
        <v>1767.1366661389052</v>
      </c>
      <c r="N353" s="14">
        <v>4484.7275984902008</v>
      </c>
      <c r="O353" s="14">
        <v>5807.3304890291456</v>
      </c>
    </row>
    <row r="354" spans="1:15" x14ac:dyDescent="0.3">
      <c r="A354" s="3" t="str">
        <f>INDEX('R1. Scenario specifications'!$C$11:$C$49,MATCH($B354,'R1. Scenario specifications'!$A$11:$A$49,0))</f>
        <v>Current 2DS, 2030 start, 'Expect the Unexpected' but with cheap renewables</v>
      </c>
      <c r="B354" s="3" t="s">
        <v>44</v>
      </c>
      <c r="C354" s="3" t="s">
        <v>307</v>
      </c>
      <c r="D354" s="3" t="s">
        <v>345</v>
      </c>
      <c r="E354" s="14">
        <v>0</v>
      </c>
      <c r="F354" s="14">
        <v>0</v>
      </c>
      <c r="G354" s="14">
        <v>0</v>
      </c>
      <c r="H354" s="14">
        <v>335.71272520527293</v>
      </c>
      <c r="I354" s="14">
        <v>99.84763157046666</v>
      </c>
      <c r="J354" s="14">
        <v>360.89706220149651</v>
      </c>
      <c r="K354" s="14">
        <v>137.1925420834778</v>
      </c>
      <c r="L354" s="14">
        <v>155.7710530382985</v>
      </c>
      <c r="M354" s="14">
        <v>175.05443785613193</v>
      </c>
      <c r="N354" s="14">
        <v>202.53661729199717</v>
      </c>
      <c r="O354" s="14">
        <v>360.41132124031998</v>
      </c>
    </row>
    <row r="355" spans="1:15" x14ac:dyDescent="0.3">
      <c r="A355" s="3" t="str">
        <f>INDEX('R1. Scenario specifications'!$C$11:$C$49,MATCH($B355,'R1. Scenario specifications'!$A$11:$A$49,0))</f>
        <v>Current 2DS, 2030 start, 'Expect the Unexpected' but with cheap renewables</v>
      </c>
      <c r="B355" s="3" t="s">
        <v>44</v>
      </c>
      <c r="C355" s="3" t="s">
        <v>54</v>
      </c>
      <c r="D355" s="3" t="s">
        <v>255</v>
      </c>
      <c r="E355" s="14">
        <v>396.62220438997127</v>
      </c>
      <c r="F355" s="14">
        <v>176.86416189251261</v>
      </c>
      <c r="G355" s="14">
        <v>1833.16729548234</v>
      </c>
      <c r="H355" s="14">
        <v>5667.8396467895318</v>
      </c>
      <c r="I355" s="14">
        <v>9139.005929292327</v>
      </c>
      <c r="J355" s="14">
        <v>14721.558546432134</v>
      </c>
      <c r="K355" s="14">
        <v>9753.1245224071481</v>
      </c>
      <c r="L355" s="14">
        <v>3844.0426014944619</v>
      </c>
      <c r="M355" s="14">
        <v>1480.9248496859491</v>
      </c>
      <c r="N355" s="14">
        <v>934.13398395168906</v>
      </c>
      <c r="O355" s="14">
        <v>5619.3112635753123</v>
      </c>
    </row>
    <row r="356" spans="1:15" x14ac:dyDescent="0.3">
      <c r="A356" s="3" t="str">
        <f>INDEX('R1. Scenario specifications'!$C$11:$C$49,MATCH($B356,'R1. Scenario specifications'!$A$11:$A$49,0))</f>
        <v>Current 2DS, 2030 start, 'Expect the Unexpected' but with cheap renewables</v>
      </c>
      <c r="B356" s="3" t="s">
        <v>44</v>
      </c>
      <c r="C356" s="3" t="s">
        <v>308</v>
      </c>
      <c r="D356" s="3" t="s">
        <v>326</v>
      </c>
      <c r="E356" s="14">
        <v>0</v>
      </c>
      <c r="F356" s="14">
        <v>0</v>
      </c>
      <c r="G356" s="14">
        <v>203.8949376312157</v>
      </c>
      <c r="H356" s="14">
        <v>757.03231328497168</v>
      </c>
      <c r="I356" s="14">
        <v>947.40921582038004</v>
      </c>
      <c r="J356" s="14">
        <v>1354.6514586464241</v>
      </c>
      <c r="K356" s="14">
        <v>1413.1328974829582</v>
      </c>
      <c r="L356" s="14">
        <v>1502.7511362530552</v>
      </c>
      <c r="M356" s="14">
        <v>1599.8911641098289</v>
      </c>
      <c r="N356" s="14">
        <v>1742.1128064533652</v>
      </c>
      <c r="O356" s="14">
        <v>1851.9542666498157</v>
      </c>
    </row>
    <row r="357" spans="1:15" x14ac:dyDescent="0.3">
      <c r="A357" s="3" t="str">
        <f>INDEX('R1. Scenario specifications'!$C$11:$C$49,MATCH($B357,'R1. Scenario specifications'!$A$11:$A$49,0))</f>
        <v>Current 2DS, 2020 start, 'Expect the Unexpected' but with cheap CCS</v>
      </c>
      <c r="B357" s="3" t="s">
        <v>45</v>
      </c>
      <c r="C357" s="3" t="s">
        <v>304</v>
      </c>
      <c r="D357" s="3" t="s">
        <v>339</v>
      </c>
      <c r="E357" s="14">
        <v>0</v>
      </c>
      <c r="F357" s="14">
        <v>820.1343749999993</v>
      </c>
      <c r="G357" s="14">
        <v>1443.6724304473942</v>
      </c>
      <c r="H357" s="14">
        <v>1871.5056051052486</v>
      </c>
      <c r="I357" s="14">
        <v>2977.9670392160479</v>
      </c>
      <c r="J357" s="14">
        <v>5660.7638672728854</v>
      </c>
      <c r="K357" s="14">
        <v>6805.7967023902238</v>
      </c>
      <c r="L357" s="14">
        <v>12443.802382354641</v>
      </c>
      <c r="M357" s="14">
        <v>12161.453117503032</v>
      </c>
      <c r="N357" s="14">
        <v>10467.160963398426</v>
      </c>
      <c r="O357" s="14">
        <v>14253.055753561128</v>
      </c>
    </row>
    <row r="358" spans="1:15" x14ac:dyDescent="0.3">
      <c r="A358" s="3" t="str">
        <f>INDEX('R1. Scenario specifications'!$C$11:$C$49,MATCH($B358,'R1. Scenario specifications'!$A$11:$A$49,0))</f>
        <v>Current 2DS, 2020 start, 'Expect the Unexpected' but with cheap CCS</v>
      </c>
      <c r="B358" s="3" t="s">
        <v>45</v>
      </c>
      <c r="C358" s="3" t="s">
        <v>51</v>
      </c>
      <c r="D358" s="3" t="s">
        <v>340</v>
      </c>
      <c r="E358" s="14">
        <v>26912.591385085678</v>
      </c>
      <c r="F358" s="14">
        <v>24726.384098969917</v>
      </c>
      <c r="G358" s="14">
        <v>20023.092920446408</v>
      </c>
      <c r="H358" s="14">
        <v>25751.973324909843</v>
      </c>
      <c r="I358" s="14">
        <v>42881.476378365871</v>
      </c>
      <c r="J358" s="14">
        <v>24566.049058971959</v>
      </c>
      <c r="K358" s="14">
        <v>26600.826146081428</v>
      </c>
      <c r="L358" s="14">
        <v>29148.620159041617</v>
      </c>
      <c r="M358" s="14">
        <v>29750.949778534774</v>
      </c>
      <c r="N358" s="14">
        <v>27465.329506263246</v>
      </c>
      <c r="O358" s="14">
        <v>19296.231595887988</v>
      </c>
    </row>
    <row r="359" spans="1:15" x14ac:dyDescent="0.3">
      <c r="A359" s="3" t="str">
        <f>INDEX('R1. Scenario specifications'!$C$11:$C$49,MATCH($B359,'R1. Scenario specifications'!$A$11:$A$49,0))</f>
        <v>Current 2DS, 2020 start, 'Expect the Unexpected' but with cheap CCS</v>
      </c>
      <c r="B359" s="3" t="s">
        <v>45</v>
      </c>
      <c r="C359" s="3" t="s">
        <v>305</v>
      </c>
      <c r="D359" s="3" t="s">
        <v>341</v>
      </c>
      <c r="E359" s="14">
        <v>0.55126200000000003</v>
      </c>
      <c r="F359" s="14">
        <v>0.27214200000000005</v>
      </c>
      <c r="G359" s="14">
        <v>39.715545758633766</v>
      </c>
      <c r="H359" s="14">
        <v>1087.8397472504214</v>
      </c>
      <c r="I359" s="14">
        <v>4193.2194465730618</v>
      </c>
      <c r="J359" s="14">
        <v>9772.2348354780079</v>
      </c>
      <c r="K359" s="14">
        <v>14491.344294156945</v>
      </c>
      <c r="L359" s="14">
        <v>16677.523684793432</v>
      </c>
      <c r="M359" s="14">
        <v>19146.504957726564</v>
      </c>
      <c r="N359" s="14">
        <v>21498.616094548757</v>
      </c>
      <c r="O359" s="14">
        <v>23494.040311479705</v>
      </c>
    </row>
    <row r="360" spans="1:15" x14ac:dyDescent="0.3">
      <c r="A360" s="3" t="str">
        <f>INDEX('R1. Scenario specifications'!$C$11:$C$49,MATCH($B360,'R1. Scenario specifications'!$A$11:$A$49,0))</f>
        <v>Current 2DS, 2020 start, 'Expect the Unexpected' but with cheap CCS</v>
      </c>
      <c r="B360" s="3" t="s">
        <v>45</v>
      </c>
      <c r="C360" s="3" t="s">
        <v>306</v>
      </c>
      <c r="D360" s="3" t="s">
        <v>342</v>
      </c>
      <c r="E360" s="14">
        <v>138.88007226094669</v>
      </c>
      <c r="F360" s="14">
        <v>231.92798987852072</v>
      </c>
      <c r="G360" s="14">
        <v>2394.994594260861</v>
      </c>
      <c r="H360" s="14">
        <v>2320.7952898253839</v>
      </c>
      <c r="I360" s="14">
        <v>2165.389035643389</v>
      </c>
      <c r="J360" s="14">
        <v>2187.451732219783</v>
      </c>
      <c r="K360" s="14">
        <v>1514.4376675572321</v>
      </c>
      <c r="L360" s="14">
        <v>653.80209412681063</v>
      </c>
      <c r="M360" s="14">
        <v>209.64699016444209</v>
      </c>
      <c r="N360" s="14">
        <v>251.21140644461141</v>
      </c>
      <c r="O360" s="14">
        <v>715.38567138605981</v>
      </c>
    </row>
    <row r="361" spans="1:15" x14ac:dyDescent="0.3">
      <c r="A361" s="3" t="str">
        <f>INDEX('R1. Scenario specifications'!$C$11:$C$49,MATCH($B361,'R1. Scenario specifications'!$A$11:$A$49,0))</f>
        <v>Current 2DS, 2020 start, 'Expect the Unexpected' but with cheap CCS</v>
      </c>
      <c r="B361" s="3" t="s">
        <v>45</v>
      </c>
      <c r="C361" s="3" t="s">
        <v>52</v>
      </c>
      <c r="D361" s="3" t="s">
        <v>343</v>
      </c>
      <c r="E361" s="14">
        <v>47506.40120156738</v>
      </c>
      <c r="F361" s="14">
        <v>51400.759098340677</v>
      </c>
      <c r="G361" s="14">
        <v>62205.547314401418</v>
      </c>
      <c r="H361" s="14">
        <v>43636.900621176181</v>
      </c>
      <c r="I361" s="14">
        <v>13371.095582004569</v>
      </c>
      <c r="J361" s="14">
        <v>12341.465223272246</v>
      </c>
      <c r="K361" s="14">
        <v>6670.8940174892932</v>
      </c>
      <c r="L361" s="14">
        <v>3201.1193680960628</v>
      </c>
      <c r="M361" s="14">
        <v>1658.1382930629372</v>
      </c>
      <c r="N361" s="14">
        <v>1073.9343280384053</v>
      </c>
      <c r="O361" s="14">
        <v>913.75298718743636</v>
      </c>
    </row>
    <row r="362" spans="1:15" x14ac:dyDescent="0.3">
      <c r="A362" s="3" t="str">
        <f>INDEX('R1. Scenario specifications'!$C$11:$C$49,MATCH($B362,'R1. Scenario specifications'!$A$11:$A$49,0))</f>
        <v>Current 2DS, 2020 start, 'Expect the Unexpected' but with cheap CCS</v>
      </c>
      <c r="B362" s="3" t="s">
        <v>45</v>
      </c>
      <c r="C362" s="3" t="s">
        <v>53</v>
      </c>
      <c r="D362" s="3" t="s">
        <v>344</v>
      </c>
      <c r="E362" s="14">
        <v>703.55932605471685</v>
      </c>
      <c r="F362" s="14">
        <v>336.28891863781013</v>
      </c>
      <c r="G362" s="14">
        <v>879.49041101293551</v>
      </c>
      <c r="H362" s="14">
        <v>1222.1932863988413</v>
      </c>
      <c r="I362" s="14">
        <v>1155.871208689136</v>
      </c>
      <c r="J362" s="14">
        <v>799.36237736518808</v>
      </c>
      <c r="K362" s="14">
        <v>1161.2509979392362</v>
      </c>
      <c r="L362" s="14">
        <v>1292.7412978319176</v>
      </c>
      <c r="M362" s="14">
        <v>1265.0334066960374</v>
      </c>
      <c r="N362" s="14">
        <v>4101.4551310799025</v>
      </c>
      <c r="O362" s="14">
        <v>4647.0471058363128</v>
      </c>
    </row>
    <row r="363" spans="1:15" x14ac:dyDescent="0.3">
      <c r="A363" s="3" t="str">
        <f>INDEX('R1. Scenario specifications'!$C$11:$C$49,MATCH($B363,'R1. Scenario specifications'!$A$11:$A$49,0))</f>
        <v>Current 2DS, 2020 start, 'Expect the Unexpected' but with cheap CCS</v>
      </c>
      <c r="B363" s="3" t="s">
        <v>45</v>
      </c>
      <c r="C363" s="3" t="s">
        <v>307</v>
      </c>
      <c r="D363" s="3" t="s">
        <v>345</v>
      </c>
      <c r="E363" s="14">
        <v>0</v>
      </c>
      <c r="F363" s="14">
        <v>0</v>
      </c>
      <c r="G363" s="14">
        <v>0</v>
      </c>
      <c r="H363" s="14">
        <v>81.9106525387609</v>
      </c>
      <c r="I363" s="14">
        <v>43.877969784738298</v>
      </c>
      <c r="J363" s="14">
        <v>1365.009398693172</v>
      </c>
      <c r="K363" s="14">
        <v>419.59192714131598</v>
      </c>
      <c r="L363" s="14">
        <v>137.49540584444827</v>
      </c>
      <c r="M363" s="14">
        <v>186.08557887951071</v>
      </c>
      <c r="N363" s="14">
        <v>207.710576702683</v>
      </c>
      <c r="O363" s="14">
        <v>360.20679929010885</v>
      </c>
    </row>
    <row r="364" spans="1:15" x14ac:dyDescent="0.3">
      <c r="A364" s="3" t="str">
        <f>INDEX('R1. Scenario specifications'!$C$11:$C$49,MATCH($B364,'R1. Scenario specifications'!$A$11:$A$49,0))</f>
        <v>Current 2DS, 2020 start, 'Expect the Unexpected' but with cheap CCS</v>
      </c>
      <c r="B364" s="3" t="s">
        <v>45</v>
      </c>
      <c r="C364" s="3" t="s">
        <v>54</v>
      </c>
      <c r="D364" s="3" t="s">
        <v>255</v>
      </c>
      <c r="E364" s="14">
        <v>396.62220438997127</v>
      </c>
      <c r="F364" s="14">
        <v>176.86416189251261</v>
      </c>
      <c r="G364" s="14">
        <v>1833.16729548234</v>
      </c>
      <c r="H364" s="14">
        <v>4653.582083746337</v>
      </c>
      <c r="I364" s="14">
        <v>9367.4446534804065</v>
      </c>
      <c r="J364" s="14">
        <v>17257.598772833378</v>
      </c>
      <c r="K364" s="14">
        <v>11579.926674391205</v>
      </c>
      <c r="L364" s="14">
        <v>3327.0404336069028</v>
      </c>
      <c r="M364" s="14">
        <v>1180.1809766710869</v>
      </c>
      <c r="N364" s="14">
        <v>934.205114198194</v>
      </c>
      <c r="O364" s="14">
        <v>5746.7691207952248</v>
      </c>
    </row>
    <row r="365" spans="1:15" x14ac:dyDescent="0.3">
      <c r="A365" s="3" t="str">
        <f>INDEX('R1. Scenario specifications'!$C$11:$C$49,MATCH($B365,'R1. Scenario specifications'!$A$11:$A$49,0))</f>
        <v>Current 2DS, 2020 start, 'Expect the Unexpected' but with cheap CCS</v>
      </c>
      <c r="B365" s="3" t="s">
        <v>45</v>
      </c>
      <c r="C365" s="3" t="s">
        <v>308</v>
      </c>
      <c r="D365" s="3" t="s">
        <v>326</v>
      </c>
      <c r="E365" s="14">
        <v>0</v>
      </c>
      <c r="F365" s="14">
        <v>0</v>
      </c>
      <c r="G365" s="14">
        <v>203.8949376312157</v>
      </c>
      <c r="H365" s="14">
        <v>754.78539866170013</v>
      </c>
      <c r="I365" s="14">
        <v>947.89438224338016</v>
      </c>
      <c r="J365" s="14">
        <v>1358.4819901001756</v>
      </c>
      <c r="K365" s="14">
        <v>1440.8082628018562</v>
      </c>
      <c r="L365" s="14">
        <v>1502.495380797078</v>
      </c>
      <c r="M365" s="14">
        <v>1600.0632810365521</v>
      </c>
      <c r="N365" s="14">
        <v>1745.3270007038475</v>
      </c>
      <c r="O365" s="14">
        <v>1854.8060825252517</v>
      </c>
    </row>
    <row r="366" spans="1:15" x14ac:dyDescent="0.3">
      <c r="A366" s="3" t="str">
        <f>INDEX('R1. Scenario specifications'!$C$11:$C$49,MATCH($B366,'R1. Scenario specifications'!$A$11:$A$49,0))</f>
        <v>Current 2DS, 2030 start, 'Expect the Unexpected' but with cheap CCS</v>
      </c>
      <c r="B366" s="3" t="s">
        <v>46</v>
      </c>
      <c r="C366" s="3" t="s">
        <v>304</v>
      </c>
      <c r="D366" s="3" t="s">
        <v>339</v>
      </c>
      <c r="E366" s="14">
        <v>0</v>
      </c>
      <c r="F366" s="14">
        <v>820.1343749999993</v>
      </c>
      <c r="G366" s="14">
        <v>1443.6724304473942</v>
      </c>
      <c r="H366" s="14">
        <v>1052.0173273984929</v>
      </c>
      <c r="I366" s="14">
        <v>3074.8451793257477</v>
      </c>
      <c r="J366" s="14">
        <v>7785.6167139528452</v>
      </c>
      <c r="K366" s="14">
        <v>7464.8813305753029</v>
      </c>
      <c r="L366" s="14">
        <v>10329.598297534845</v>
      </c>
      <c r="M366" s="14">
        <v>9636.6969432818842</v>
      </c>
      <c r="N366" s="14">
        <v>9593.4081412754149</v>
      </c>
      <c r="O366" s="14">
        <v>13821.999469869534</v>
      </c>
    </row>
    <row r="367" spans="1:15" x14ac:dyDescent="0.3">
      <c r="A367" s="3" t="str">
        <f>INDEX('R1. Scenario specifications'!$C$11:$C$49,MATCH($B367,'R1. Scenario specifications'!$A$11:$A$49,0))</f>
        <v>Current 2DS, 2030 start, 'Expect the Unexpected' but with cheap CCS</v>
      </c>
      <c r="B367" s="3" t="s">
        <v>46</v>
      </c>
      <c r="C367" s="3" t="s">
        <v>51</v>
      </c>
      <c r="D367" s="3" t="s">
        <v>340</v>
      </c>
      <c r="E367" s="14">
        <v>26912.591385085678</v>
      </c>
      <c r="F367" s="14">
        <v>24726.384098969917</v>
      </c>
      <c r="G367" s="14">
        <v>20023.092920446408</v>
      </c>
      <c r="H367" s="14">
        <v>26227.564065710481</v>
      </c>
      <c r="I367" s="14">
        <v>42894.83170259498</v>
      </c>
      <c r="J367" s="14">
        <v>26802.913172730827</v>
      </c>
      <c r="K367" s="14">
        <v>27233.539569214085</v>
      </c>
      <c r="L367" s="14">
        <v>29525.070821197525</v>
      </c>
      <c r="M367" s="14">
        <v>29363.07995442846</v>
      </c>
      <c r="N367" s="14">
        <v>27132.104541927125</v>
      </c>
      <c r="O367" s="14">
        <v>18364.07843318284</v>
      </c>
    </row>
    <row r="368" spans="1:15" x14ac:dyDescent="0.3">
      <c r="A368" s="3" t="str">
        <f>INDEX('R1. Scenario specifications'!$C$11:$C$49,MATCH($B368,'R1. Scenario specifications'!$A$11:$A$49,0))</f>
        <v>Current 2DS, 2030 start, 'Expect the Unexpected' but with cheap CCS</v>
      </c>
      <c r="B368" s="3" t="s">
        <v>46</v>
      </c>
      <c r="C368" s="3" t="s">
        <v>305</v>
      </c>
      <c r="D368" s="3" t="s">
        <v>341</v>
      </c>
      <c r="E368" s="14">
        <v>0.55126200000000003</v>
      </c>
      <c r="F368" s="14">
        <v>0.27214200000000005</v>
      </c>
      <c r="G368" s="14">
        <v>39.715545758633766</v>
      </c>
      <c r="H368" s="14">
        <v>1069.5883483275736</v>
      </c>
      <c r="I368" s="14">
        <v>4055.0588483342849</v>
      </c>
      <c r="J368" s="14">
        <v>9580.7289479646042</v>
      </c>
      <c r="K368" s="14">
        <v>14326.355812814496</v>
      </c>
      <c r="L368" s="14">
        <v>16745.940240618147</v>
      </c>
      <c r="M368" s="14">
        <v>19637.829813544446</v>
      </c>
      <c r="N368" s="14">
        <v>21597.513557010287</v>
      </c>
      <c r="O368" s="14">
        <v>23521.494146788475</v>
      </c>
    </row>
    <row r="369" spans="1:15" x14ac:dyDescent="0.3">
      <c r="A369" s="3" t="str">
        <f>INDEX('R1. Scenario specifications'!$C$11:$C$49,MATCH($B369,'R1. Scenario specifications'!$A$11:$A$49,0))</f>
        <v>Current 2DS, 2030 start, 'Expect the Unexpected' but with cheap CCS</v>
      </c>
      <c r="B369" s="3" t="s">
        <v>46</v>
      </c>
      <c r="C369" s="3" t="s">
        <v>306</v>
      </c>
      <c r="D369" s="3" t="s">
        <v>342</v>
      </c>
      <c r="E369" s="14">
        <v>138.88007226094669</v>
      </c>
      <c r="F369" s="14">
        <v>231.92798987852072</v>
      </c>
      <c r="G369" s="14">
        <v>2394.994594260861</v>
      </c>
      <c r="H369" s="14">
        <v>2330.3092353624561</v>
      </c>
      <c r="I369" s="14">
        <v>2200.9196559363427</v>
      </c>
      <c r="J369" s="14">
        <v>2070.8166571043193</v>
      </c>
      <c r="K369" s="14">
        <v>1218.0606192134703</v>
      </c>
      <c r="L369" s="14">
        <v>588.09958904601717</v>
      </c>
      <c r="M369" s="14">
        <v>237.69540996629709</v>
      </c>
      <c r="N369" s="14">
        <v>285.64502851889091</v>
      </c>
      <c r="O369" s="14">
        <v>804.85792318232427</v>
      </c>
    </row>
    <row r="370" spans="1:15" x14ac:dyDescent="0.3">
      <c r="A370" s="3" t="str">
        <f>INDEX('R1. Scenario specifications'!$C$11:$C$49,MATCH($B370,'R1. Scenario specifications'!$A$11:$A$49,0))</f>
        <v>Current 2DS, 2030 start, 'Expect the Unexpected' but with cheap CCS</v>
      </c>
      <c r="B370" s="3" t="s">
        <v>46</v>
      </c>
      <c r="C370" s="3" t="s">
        <v>52</v>
      </c>
      <c r="D370" s="3" t="s">
        <v>343</v>
      </c>
      <c r="E370" s="14">
        <v>47506.40120156738</v>
      </c>
      <c r="F370" s="14">
        <v>51400.759098340677</v>
      </c>
      <c r="G370" s="14">
        <v>62205.547314401418</v>
      </c>
      <c r="H370" s="14">
        <v>44368.574800589129</v>
      </c>
      <c r="I370" s="14">
        <v>13763.276456269834</v>
      </c>
      <c r="J370" s="14">
        <v>11770.558296988615</v>
      </c>
      <c r="K370" s="14">
        <v>6761.0322726043023</v>
      </c>
      <c r="L370" s="14">
        <v>3548.1857193331798</v>
      </c>
      <c r="M370" s="14">
        <v>1830.1086801685919</v>
      </c>
      <c r="N370" s="14">
        <v>1023.068338563339</v>
      </c>
      <c r="O370" s="14">
        <v>897.02260386070964</v>
      </c>
    </row>
    <row r="371" spans="1:15" x14ac:dyDescent="0.3">
      <c r="A371" s="3" t="str">
        <f>INDEX('R1. Scenario specifications'!$C$11:$C$49,MATCH($B371,'R1. Scenario specifications'!$A$11:$A$49,0))</f>
        <v>Current 2DS, 2030 start, 'Expect the Unexpected' but with cheap CCS</v>
      </c>
      <c r="B371" s="3" t="s">
        <v>46</v>
      </c>
      <c r="C371" s="3" t="s">
        <v>53</v>
      </c>
      <c r="D371" s="3" t="s">
        <v>344</v>
      </c>
      <c r="E371" s="14">
        <v>703.55932605471685</v>
      </c>
      <c r="F371" s="14">
        <v>336.28891863781013</v>
      </c>
      <c r="G371" s="14">
        <v>879.49041101293551</v>
      </c>
      <c r="H371" s="14">
        <v>1203.2907539892126</v>
      </c>
      <c r="I371" s="14">
        <v>1155.8301379720515</v>
      </c>
      <c r="J371" s="14">
        <v>855.89169978863924</v>
      </c>
      <c r="K371" s="14">
        <v>1220.1384341164196</v>
      </c>
      <c r="L371" s="14">
        <v>1383.5186826984157</v>
      </c>
      <c r="M371" s="14">
        <v>2325.2842062933214</v>
      </c>
      <c r="N371" s="14">
        <v>4784.9756019293573</v>
      </c>
      <c r="O371" s="14">
        <v>5801.2496935926174</v>
      </c>
    </row>
    <row r="372" spans="1:15" x14ac:dyDescent="0.3">
      <c r="A372" s="3" t="str">
        <f>INDEX('R1. Scenario specifications'!$C$11:$C$49,MATCH($B372,'R1. Scenario specifications'!$A$11:$A$49,0))</f>
        <v>Current 2DS, 2030 start, 'Expect the Unexpected' but with cheap CCS</v>
      </c>
      <c r="B372" s="3" t="s">
        <v>46</v>
      </c>
      <c r="C372" s="3" t="s">
        <v>307</v>
      </c>
      <c r="D372" s="3" t="s">
        <v>345</v>
      </c>
      <c r="E372" s="14">
        <v>0</v>
      </c>
      <c r="F372" s="14">
        <v>0</v>
      </c>
      <c r="G372" s="14">
        <v>0</v>
      </c>
      <c r="H372" s="14">
        <v>335.71272520527293</v>
      </c>
      <c r="I372" s="14">
        <v>99.84763157046666</v>
      </c>
      <c r="J372" s="14">
        <v>270.90365831582221</v>
      </c>
      <c r="K372" s="14">
        <v>109.27888499144687</v>
      </c>
      <c r="L372" s="14">
        <v>155.77105303829848</v>
      </c>
      <c r="M372" s="14">
        <v>175.41528160655253</v>
      </c>
      <c r="N372" s="14">
        <v>201.23572979986199</v>
      </c>
      <c r="O372" s="14">
        <v>360.41132124031998</v>
      </c>
    </row>
    <row r="373" spans="1:15" x14ac:dyDescent="0.3">
      <c r="A373" s="3" t="str">
        <f>INDEX('R1. Scenario specifications'!$C$11:$C$49,MATCH($B373,'R1. Scenario specifications'!$A$11:$A$49,0))</f>
        <v>Current 2DS, 2030 start, 'Expect the Unexpected' but with cheap CCS</v>
      </c>
      <c r="B373" s="3" t="s">
        <v>46</v>
      </c>
      <c r="C373" s="3" t="s">
        <v>54</v>
      </c>
      <c r="D373" s="3" t="s">
        <v>255</v>
      </c>
      <c r="E373" s="14">
        <v>396.62220438997127</v>
      </c>
      <c r="F373" s="14">
        <v>176.86416189251261</v>
      </c>
      <c r="G373" s="14">
        <v>1833.16729548234</v>
      </c>
      <c r="H373" s="14">
        <v>5667.8396467895318</v>
      </c>
      <c r="I373" s="14">
        <v>9124.7919567038207</v>
      </c>
      <c r="J373" s="14">
        <v>14726.779553738161</v>
      </c>
      <c r="K373" s="14">
        <v>9765.2140679960703</v>
      </c>
      <c r="L373" s="14">
        <v>3807.7998005644336</v>
      </c>
      <c r="M373" s="14">
        <v>1520.2903233965803</v>
      </c>
      <c r="N373" s="14">
        <v>934.61304202344195</v>
      </c>
      <c r="O373" s="14">
        <v>5509.4110791535131</v>
      </c>
    </row>
    <row r="374" spans="1:15" x14ac:dyDescent="0.3">
      <c r="A374" s="3" t="str">
        <f>INDEX('R1. Scenario specifications'!$C$11:$C$49,MATCH($B374,'R1. Scenario specifications'!$A$11:$A$49,0))</f>
        <v>Current 2DS, 2030 start, 'Expect the Unexpected' but with cheap CCS</v>
      </c>
      <c r="B374" s="3" t="s">
        <v>46</v>
      </c>
      <c r="C374" s="3" t="s">
        <v>308</v>
      </c>
      <c r="D374" s="3" t="s">
        <v>326</v>
      </c>
      <c r="E374" s="14">
        <v>0</v>
      </c>
      <c r="F374" s="14">
        <v>0</v>
      </c>
      <c r="G374" s="14">
        <v>203.8949376312157</v>
      </c>
      <c r="H374" s="14">
        <v>757.03231328497168</v>
      </c>
      <c r="I374" s="14">
        <v>947.89438224338187</v>
      </c>
      <c r="J374" s="14">
        <v>1354.9064835125964</v>
      </c>
      <c r="K374" s="14">
        <v>1413.8361548597541</v>
      </c>
      <c r="L374" s="14">
        <v>1502.0051444471419</v>
      </c>
      <c r="M374" s="14">
        <v>1600.0632810365535</v>
      </c>
      <c r="N374" s="14">
        <v>1740.2639984374262</v>
      </c>
      <c r="O374" s="14">
        <v>1818.4524327353965</v>
      </c>
    </row>
    <row r="375" spans="1:15" x14ac:dyDescent="0.3">
      <c r="A375" s="3" t="str">
        <f>INDEX('R1. Scenario specifications'!$C$11:$C$49,MATCH($B375,'R1. Scenario specifications'!$A$11:$A$49,0))</f>
        <v>Current 2DS, 2020 start, 'Expect the Unexpected' but with cheap EVs</v>
      </c>
      <c r="B375" s="3" t="s">
        <v>47</v>
      </c>
      <c r="C375" s="3" t="s">
        <v>304</v>
      </c>
      <c r="D375" s="3" t="s">
        <v>339</v>
      </c>
      <c r="E375" s="14">
        <v>0</v>
      </c>
      <c r="F375" s="14">
        <v>820.1343749999993</v>
      </c>
      <c r="G375" s="14">
        <v>1443.6724304473942</v>
      </c>
      <c r="H375" s="14">
        <v>459.42167941480841</v>
      </c>
      <c r="I375" s="14">
        <v>1650.7366726174212</v>
      </c>
      <c r="J375" s="14">
        <v>3973.2850025954058</v>
      </c>
      <c r="K375" s="14">
        <v>5867.6050912597548</v>
      </c>
      <c r="L375" s="14">
        <v>9339.4361394222033</v>
      </c>
      <c r="M375" s="14">
        <v>10274.255776273163</v>
      </c>
      <c r="N375" s="14">
        <v>9452.9277780019911</v>
      </c>
      <c r="O375" s="14">
        <v>13890.893224649575</v>
      </c>
    </row>
    <row r="376" spans="1:15" x14ac:dyDescent="0.3">
      <c r="A376" s="3" t="str">
        <f>INDEX('R1. Scenario specifications'!$C$11:$C$49,MATCH($B376,'R1. Scenario specifications'!$A$11:$A$49,0))</f>
        <v>Current 2DS, 2020 start, 'Expect the Unexpected' but with cheap EVs</v>
      </c>
      <c r="B376" s="3" t="s">
        <v>47</v>
      </c>
      <c r="C376" s="3" t="s">
        <v>51</v>
      </c>
      <c r="D376" s="3" t="s">
        <v>340</v>
      </c>
      <c r="E376" s="14">
        <v>26912.591385085678</v>
      </c>
      <c r="F376" s="14">
        <v>24726.384098969917</v>
      </c>
      <c r="G376" s="14">
        <v>20023.092920446408</v>
      </c>
      <c r="H376" s="14">
        <v>20881.62082286656</v>
      </c>
      <c r="I376" s="14">
        <v>19876.30574834063</v>
      </c>
      <c r="J376" s="14">
        <v>16526.026986218487</v>
      </c>
      <c r="K376" s="14">
        <v>20508.207837925191</v>
      </c>
      <c r="L376" s="14">
        <v>24212.473170450437</v>
      </c>
      <c r="M376" s="14">
        <v>26386.056776693364</v>
      </c>
      <c r="N376" s="14">
        <v>26704.453687805766</v>
      </c>
      <c r="O376" s="14">
        <v>19858.572891073338</v>
      </c>
    </row>
    <row r="377" spans="1:15" x14ac:dyDescent="0.3">
      <c r="A377" s="3" t="str">
        <f>INDEX('R1. Scenario specifications'!$C$11:$C$49,MATCH($B377,'R1. Scenario specifications'!$A$11:$A$49,0))</f>
        <v>Current 2DS, 2020 start, 'Expect the Unexpected' but with cheap EVs</v>
      </c>
      <c r="B377" s="3" t="s">
        <v>47</v>
      </c>
      <c r="C377" s="3" t="s">
        <v>305</v>
      </c>
      <c r="D377" s="3" t="s">
        <v>341</v>
      </c>
      <c r="E377" s="14">
        <v>0.55126200000000003</v>
      </c>
      <c r="F377" s="14">
        <v>0.27214200000000005</v>
      </c>
      <c r="G377" s="14">
        <v>39.715545758633766</v>
      </c>
      <c r="H377" s="14">
        <v>2987.1868954474389</v>
      </c>
      <c r="I377" s="14">
        <v>6288.9695919427177</v>
      </c>
      <c r="J377" s="14">
        <v>12162.344866724903</v>
      </c>
      <c r="K377" s="14">
        <v>17240.406461598093</v>
      </c>
      <c r="L377" s="14">
        <v>20602.102468841611</v>
      </c>
      <c r="M377" s="14">
        <v>22280.234277310054</v>
      </c>
      <c r="N377" s="14">
        <v>23640.855220019748</v>
      </c>
      <c r="O377" s="14">
        <v>25412.979598641221</v>
      </c>
    </row>
    <row r="378" spans="1:15" x14ac:dyDescent="0.3">
      <c r="A378" s="3" t="str">
        <f>INDEX('R1. Scenario specifications'!$C$11:$C$49,MATCH($B378,'R1. Scenario specifications'!$A$11:$A$49,0))</f>
        <v>Current 2DS, 2020 start, 'Expect the Unexpected' but with cheap EVs</v>
      </c>
      <c r="B378" s="3" t="s">
        <v>47</v>
      </c>
      <c r="C378" s="3" t="s">
        <v>306</v>
      </c>
      <c r="D378" s="3" t="s">
        <v>342</v>
      </c>
      <c r="E378" s="14">
        <v>138.88007226094669</v>
      </c>
      <c r="F378" s="14">
        <v>231.92798987852072</v>
      </c>
      <c r="G378" s="14">
        <v>2394.994594260861</v>
      </c>
      <c r="H378" s="14">
        <v>1950.5535494545081</v>
      </c>
      <c r="I378" s="14">
        <v>2159.9639758274757</v>
      </c>
      <c r="J378" s="14">
        <v>2216.9385527325062</v>
      </c>
      <c r="K378" s="14">
        <v>1564.2350843793417</v>
      </c>
      <c r="L378" s="14">
        <v>609.93038159438674</v>
      </c>
      <c r="M378" s="14">
        <v>179.69340905404675</v>
      </c>
      <c r="N378" s="14">
        <v>244.35492777657902</v>
      </c>
      <c r="O378" s="14">
        <v>613.68899243157853</v>
      </c>
    </row>
    <row r="379" spans="1:15" x14ac:dyDescent="0.3">
      <c r="A379" s="3" t="str">
        <f>INDEX('R1. Scenario specifications'!$C$11:$C$49,MATCH($B379,'R1. Scenario specifications'!$A$11:$A$49,0))</f>
        <v>Current 2DS, 2020 start, 'Expect the Unexpected' but with cheap EVs</v>
      </c>
      <c r="B379" s="3" t="s">
        <v>47</v>
      </c>
      <c r="C379" s="3" t="s">
        <v>52</v>
      </c>
      <c r="D379" s="3" t="s">
        <v>343</v>
      </c>
      <c r="E379" s="14">
        <v>47506.40120156738</v>
      </c>
      <c r="F379" s="14">
        <v>51400.759098340677</v>
      </c>
      <c r="G379" s="14">
        <v>62205.547314401418</v>
      </c>
      <c r="H379" s="14">
        <v>31098.59256296356</v>
      </c>
      <c r="I379" s="14">
        <v>18010.058953216401</v>
      </c>
      <c r="J379" s="14">
        <v>10162.903301318553</v>
      </c>
      <c r="K379" s="14">
        <v>6366.2458709529674</v>
      </c>
      <c r="L379" s="14">
        <v>4271.8669293204493</v>
      </c>
      <c r="M379" s="14">
        <v>2540.4855243984771</v>
      </c>
      <c r="N379" s="14">
        <v>1671.5754939265419</v>
      </c>
      <c r="O379" s="14">
        <v>1046.8613016663171</v>
      </c>
    </row>
    <row r="380" spans="1:15" x14ac:dyDescent="0.3">
      <c r="A380" s="3" t="str">
        <f>INDEX('R1. Scenario specifications'!$C$11:$C$49,MATCH($B380,'R1. Scenario specifications'!$A$11:$A$49,0))</f>
        <v>Current 2DS, 2020 start, 'Expect the Unexpected' but with cheap EVs</v>
      </c>
      <c r="B380" s="3" t="s">
        <v>47</v>
      </c>
      <c r="C380" s="3" t="s">
        <v>53</v>
      </c>
      <c r="D380" s="3" t="s">
        <v>344</v>
      </c>
      <c r="E380" s="14">
        <v>703.55932605471685</v>
      </c>
      <c r="F380" s="14">
        <v>336.28891863781013</v>
      </c>
      <c r="G380" s="14">
        <v>879.49041101293551</v>
      </c>
      <c r="H380" s="14">
        <v>1129.2263084072947</v>
      </c>
      <c r="I380" s="14">
        <v>1154.7332195807605</v>
      </c>
      <c r="J380" s="14">
        <v>894.31939751470031</v>
      </c>
      <c r="K380" s="14">
        <v>1129.6051621221477</v>
      </c>
      <c r="L380" s="14">
        <v>1306.9101851101377</v>
      </c>
      <c r="M380" s="14">
        <v>1126.0109482975204</v>
      </c>
      <c r="N380" s="14">
        <v>3943.1649383906197</v>
      </c>
      <c r="O380" s="14">
        <v>4595.4542152491686</v>
      </c>
    </row>
    <row r="381" spans="1:15" x14ac:dyDescent="0.3">
      <c r="A381" s="3" t="str">
        <f>INDEX('R1. Scenario specifications'!$C$11:$C$49,MATCH($B381,'R1. Scenario specifications'!$A$11:$A$49,0))</f>
        <v>Current 2DS, 2020 start, 'Expect the Unexpected' but with cheap EVs</v>
      </c>
      <c r="B381" s="3" t="s">
        <v>47</v>
      </c>
      <c r="C381" s="3" t="s">
        <v>307</v>
      </c>
      <c r="D381" s="3" t="s">
        <v>345</v>
      </c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46.619589859999998</v>
      </c>
      <c r="M381" s="14">
        <v>180.45614411540052</v>
      </c>
      <c r="N381" s="14">
        <v>202.23899752342237</v>
      </c>
      <c r="O381" s="14">
        <v>344.19442700173363</v>
      </c>
    </row>
    <row r="382" spans="1:15" x14ac:dyDescent="0.3">
      <c r="A382" s="3" t="str">
        <f>INDEX('R1. Scenario specifications'!$C$11:$C$49,MATCH($B382,'R1. Scenario specifications'!$A$11:$A$49,0))</f>
        <v>Current 2DS, 2020 start, 'Expect the Unexpected' but with cheap EVs</v>
      </c>
      <c r="B382" s="3" t="s">
        <v>47</v>
      </c>
      <c r="C382" s="3" t="s">
        <v>54</v>
      </c>
      <c r="D382" s="3" t="s">
        <v>255</v>
      </c>
      <c r="E382" s="14">
        <v>396.62220438997127</v>
      </c>
      <c r="F382" s="14">
        <v>176.86416189251261</v>
      </c>
      <c r="G382" s="14">
        <v>1833.16729548234</v>
      </c>
      <c r="H382" s="14">
        <v>1974.0667768686606</v>
      </c>
      <c r="I382" s="14">
        <v>6010.2502851889767</v>
      </c>
      <c r="J382" s="14">
        <v>14124.914247144052</v>
      </c>
      <c r="K382" s="14">
        <v>8190.2428869486321</v>
      </c>
      <c r="L382" s="14">
        <v>1823.0037941770752</v>
      </c>
      <c r="M382" s="14">
        <v>961.29956462071573</v>
      </c>
      <c r="N382" s="14">
        <v>808.37881749464509</v>
      </c>
      <c r="O382" s="14">
        <v>5484.1657616947159</v>
      </c>
    </row>
    <row r="383" spans="1:15" x14ac:dyDescent="0.3">
      <c r="A383" s="3" t="str">
        <f>INDEX('R1. Scenario specifications'!$C$11:$C$49,MATCH($B383,'R1. Scenario specifications'!$A$11:$A$49,0))</f>
        <v>Current 2DS, 2020 start, 'Expect the Unexpected' but with cheap EVs</v>
      </c>
      <c r="B383" s="3" t="s">
        <v>47</v>
      </c>
      <c r="C383" s="3" t="s">
        <v>308</v>
      </c>
      <c r="D383" s="3" t="s">
        <v>326</v>
      </c>
      <c r="E383" s="14">
        <v>0</v>
      </c>
      <c r="F383" s="14">
        <v>0</v>
      </c>
      <c r="G383" s="14">
        <v>203.8949376312157</v>
      </c>
      <c r="H383" s="14">
        <v>793.44333829056382</v>
      </c>
      <c r="I383" s="14">
        <v>1047.9218899873338</v>
      </c>
      <c r="J383" s="14">
        <v>1396.5506503985914</v>
      </c>
      <c r="K383" s="14">
        <v>1521.8365113694222</v>
      </c>
      <c r="L383" s="14">
        <v>1619.1577756955066</v>
      </c>
      <c r="M383" s="14">
        <v>1709.9186834980205</v>
      </c>
      <c r="N383" s="14">
        <v>1661.9527457245026</v>
      </c>
      <c r="O383" s="14">
        <v>1506.931612864561</v>
      </c>
    </row>
    <row r="384" spans="1:15" x14ac:dyDescent="0.3">
      <c r="A384" s="3" t="str">
        <f>INDEX('R1. Scenario specifications'!$C$11:$C$49,MATCH($B384,'R1. Scenario specifications'!$A$11:$A$49,0))</f>
        <v>Current 2DS, 2030 start, 'Expect the Unexpected' but with cheap EVs</v>
      </c>
      <c r="B384" s="3" t="s">
        <v>48</v>
      </c>
      <c r="C384" s="3" t="s">
        <v>304</v>
      </c>
      <c r="D384" s="3" t="s">
        <v>339</v>
      </c>
      <c r="E384" s="14">
        <v>0</v>
      </c>
      <c r="F384" s="14">
        <v>820.1343749999993</v>
      </c>
      <c r="G384" s="14">
        <v>1443.6724304473942</v>
      </c>
      <c r="H384" s="14">
        <v>1052.0173273984929</v>
      </c>
      <c r="I384" s="14">
        <v>1544.5673201555544</v>
      </c>
      <c r="J384" s="14">
        <v>6756.4724107550101</v>
      </c>
      <c r="K384" s="14">
        <v>7422.3845129699275</v>
      </c>
      <c r="L384" s="14">
        <v>9995.0056341168711</v>
      </c>
      <c r="M384" s="14">
        <v>8685.6271476428719</v>
      </c>
      <c r="N384" s="14">
        <v>8765.9246021265826</v>
      </c>
      <c r="O384" s="14">
        <v>13557.623832385147</v>
      </c>
    </row>
    <row r="385" spans="1:15" x14ac:dyDescent="0.3">
      <c r="A385" s="3" t="str">
        <f>INDEX('R1. Scenario specifications'!$C$11:$C$49,MATCH($B385,'R1. Scenario specifications'!$A$11:$A$49,0))</f>
        <v>Current 2DS, 2030 start, 'Expect the Unexpected' but with cheap EVs</v>
      </c>
      <c r="B385" s="3" t="s">
        <v>48</v>
      </c>
      <c r="C385" s="3" t="s">
        <v>51</v>
      </c>
      <c r="D385" s="3" t="s">
        <v>340</v>
      </c>
      <c r="E385" s="14">
        <v>26912.591385085678</v>
      </c>
      <c r="F385" s="14">
        <v>24726.384098969917</v>
      </c>
      <c r="G385" s="14">
        <v>20023.092920446408</v>
      </c>
      <c r="H385" s="14">
        <v>26227.564065710481</v>
      </c>
      <c r="I385" s="14">
        <v>28453.821834447681</v>
      </c>
      <c r="J385" s="14">
        <v>22597.43439473445</v>
      </c>
      <c r="K385" s="14">
        <v>27673.297955682152</v>
      </c>
      <c r="L385" s="14">
        <v>27941.509070495227</v>
      </c>
      <c r="M385" s="14">
        <v>27953.303512642335</v>
      </c>
      <c r="N385" s="14">
        <v>26797.577719361634</v>
      </c>
      <c r="O385" s="14">
        <v>18732.733357496123</v>
      </c>
    </row>
    <row r="386" spans="1:15" x14ac:dyDescent="0.3">
      <c r="A386" s="3" t="str">
        <f>INDEX('R1. Scenario specifications'!$C$11:$C$49,MATCH($B386,'R1. Scenario specifications'!$A$11:$A$49,0))</f>
        <v>Current 2DS, 2030 start, 'Expect the Unexpected' but with cheap EVs</v>
      </c>
      <c r="B386" s="3" t="s">
        <v>48</v>
      </c>
      <c r="C386" s="3" t="s">
        <v>305</v>
      </c>
      <c r="D386" s="3" t="s">
        <v>341</v>
      </c>
      <c r="E386" s="14">
        <v>0.55126200000000003</v>
      </c>
      <c r="F386" s="14">
        <v>0.27214200000000005</v>
      </c>
      <c r="G386" s="14">
        <v>39.715545758633766</v>
      </c>
      <c r="H386" s="14">
        <v>1069.5883483275736</v>
      </c>
      <c r="I386" s="14">
        <v>5060.7707909388009</v>
      </c>
      <c r="J386" s="14">
        <v>10927.931781296626</v>
      </c>
      <c r="K386" s="14">
        <v>15242.098029906972</v>
      </c>
      <c r="L386" s="14">
        <v>18209.544405355449</v>
      </c>
      <c r="M386" s="14">
        <v>21467.870154214685</v>
      </c>
      <c r="N386" s="14">
        <v>23205.730397427142</v>
      </c>
      <c r="O386" s="14">
        <v>24824.160320388539</v>
      </c>
    </row>
    <row r="387" spans="1:15" x14ac:dyDescent="0.3">
      <c r="A387" s="3" t="str">
        <f>INDEX('R1. Scenario specifications'!$C$11:$C$49,MATCH($B387,'R1. Scenario specifications'!$A$11:$A$49,0))</f>
        <v>Current 2DS, 2030 start, 'Expect the Unexpected' but with cheap EVs</v>
      </c>
      <c r="B387" s="3" t="s">
        <v>48</v>
      </c>
      <c r="C387" s="3" t="s">
        <v>306</v>
      </c>
      <c r="D387" s="3" t="s">
        <v>342</v>
      </c>
      <c r="E387" s="14">
        <v>138.88007226094669</v>
      </c>
      <c r="F387" s="14">
        <v>231.92798987852072</v>
      </c>
      <c r="G387" s="14">
        <v>2394.994594260861</v>
      </c>
      <c r="H387" s="14">
        <v>2330.3092353624561</v>
      </c>
      <c r="I387" s="14">
        <v>2164.2343352075354</v>
      </c>
      <c r="J387" s="14">
        <v>1916.6672461995488</v>
      </c>
      <c r="K387" s="14">
        <v>1070.8180688476305</v>
      </c>
      <c r="L387" s="14">
        <v>511.32975988774012</v>
      </c>
      <c r="M387" s="14">
        <v>190.06190816822959</v>
      </c>
      <c r="N387" s="14">
        <v>249.20407295505817</v>
      </c>
      <c r="O387" s="14">
        <v>638.99530551143209</v>
      </c>
    </row>
    <row r="388" spans="1:15" x14ac:dyDescent="0.3">
      <c r="A388" s="3" t="str">
        <f>INDEX('R1. Scenario specifications'!$C$11:$C$49,MATCH($B388,'R1. Scenario specifications'!$A$11:$A$49,0))</f>
        <v>Current 2DS, 2030 start, 'Expect the Unexpected' but with cheap EVs</v>
      </c>
      <c r="B388" s="3" t="s">
        <v>48</v>
      </c>
      <c r="C388" s="3" t="s">
        <v>52</v>
      </c>
      <c r="D388" s="3" t="s">
        <v>343</v>
      </c>
      <c r="E388" s="14">
        <v>47506.40120156738</v>
      </c>
      <c r="F388" s="14">
        <v>51400.759098340677</v>
      </c>
      <c r="G388" s="14">
        <v>62205.547314401418</v>
      </c>
      <c r="H388" s="14">
        <v>44368.574800589129</v>
      </c>
      <c r="I388" s="14">
        <v>20198.154359342068</v>
      </c>
      <c r="J388" s="14">
        <v>10150.49867538969</v>
      </c>
      <c r="K388" s="14">
        <v>5360.1817958940082</v>
      </c>
      <c r="L388" s="14">
        <v>4049.9486364189092</v>
      </c>
      <c r="M388" s="14">
        <v>2766.0970585112682</v>
      </c>
      <c r="N388" s="14">
        <v>1632.2500835804303</v>
      </c>
      <c r="O388" s="14">
        <v>1022.3729237164134</v>
      </c>
    </row>
    <row r="389" spans="1:15" x14ac:dyDescent="0.3">
      <c r="A389" s="3" t="str">
        <f>INDEX('R1. Scenario specifications'!$C$11:$C$49,MATCH($B389,'R1. Scenario specifications'!$A$11:$A$49,0))</f>
        <v>Current 2DS, 2030 start, 'Expect the Unexpected' but with cheap EVs</v>
      </c>
      <c r="B389" s="3" t="s">
        <v>48</v>
      </c>
      <c r="C389" s="3" t="s">
        <v>53</v>
      </c>
      <c r="D389" s="3" t="s">
        <v>344</v>
      </c>
      <c r="E389" s="14">
        <v>703.55932605471685</v>
      </c>
      <c r="F389" s="14">
        <v>336.28891863781013</v>
      </c>
      <c r="G389" s="14">
        <v>879.49041101293551</v>
      </c>
      <c r="H389" s="14">
        <v>1203.2907539892126</v>
      </c>
      <c r="I389" s="14">
        <v>1144.4399798912361</v>
      </c>
      <c r="J389" s="14">
        <v>901.00161749050517</v>
      </c>
      <c r="K389" s="14">
        <v>1150.7061965660087</v>
      </c>
      <c r="L389" s="14">
        <v>1306.5529796183864</v>
      </c>
      <c r="M389" s="14">
        <v>1840.700310937159</v>
      </c>
      <c r="N389" s="14">
        <v>4530.3580899483713</v>
      </c>
      <c r="O389" s="14">
        <v>5818.8184178621177</v>
      </c>
    </row>
    <row r="390" spans="1:15" x14ac:dyDescent="0.3">
      <c r="A390" s="3" t="str">
        <f>INDEX('R1. Scenario specifications'!$C$11:$C$49,MATCH($B390,'R1. Scenario specifications'!$A$11:$A$49,0))</f>
        <v>Current 2DS, 2030 start, 'Expect the Unexpected' but with cheap EVs</v>
      </c>
      <c r="B390" s="3" t="s">
        <v>48</v>
      </c>
      <c r="C390" s="3" t="s">
        <v>307</v>
      </c>
      <c r="D390" s="3" t="s">
        <v>345</v>
      </c>
      <c r="E390" s="14">
        <v>0</v>
      </c>
      <c r="F390" s="14">
        <v>0</v>
      </c>
      <c r="G390" s="14">
        <v>0</v>
      </c>
      <c r="H390" s="14">
        <v>335.71272520527293</v>
      </c>
      <c r="I390" s="14">
        <v>99.84763157046666</v>
      </c>
      <c r="J390" s="14">
        <v>112.2830538223581</v>
      </c>
      <c r="K390" s="14">
        <v>57.632483591915438</v>
      </c>
      <c r="L390" s="14">
        <v>140.70817455189774</v>
      </c>
      <c r="M390" s="14">
        <v>170.50407103623283</v>
      </c>
      <c r="N390" s="14">
        <v>206.0969713014083</v>
      </c>
      <c r="O390" s="14">
        <v>362.57443712474691</v>
      </c>
    </row>
    <row r="391" spans="1:15" x14ac:dyDescent="0.3">
      <c r="A391" s="3" t="str">
        <f>INDEX('R1. Scenario specifications'!$C$11:$C$49,MATCH($B391,'R1. Scenario specifications'!$A$11:$A$49,0))</f>
        <v>Current 2DS, 2030 start, 'Expect the Unexpected' but with cheap EVs</v>
      </c>
      <c r="B391" s="3" t="s">
        <v>48</v>
      </c>
      <c r="C391" s="3" t="s">
        <v>54</v>
      </c>
      <c r="D391" s="3" t="s">
        <v>255</v>
      </c>
      <c r="E391" s="14">
        <v>396.62220438997127</v>
      </c>
      <c r="F391" s="14">
        <v>176.86416189251261</v>
      </c>
      <c r="G391" s="14">
        <v>1833.16729548234</v>
      </c>
      <c r="H391" s="14">
        <v>5667.8396467895318</v>
      </c>
      <c r="I391" s="14">
        <v>7792.5704978635467</v>
      </c>
      <c r="J391" s="14">
        <v>12756.413247741766</v>
      </c>
      <c r="K391" s="14">
        <v>8859.5723124304022</v>
      </c>
      <c r="L391" s="14">
        <v>2671.2340273138839</v>
      </c>
      <c r="M391" s="14">
        <v>899.54842612588982</v>
      </c>
      <c r="N391" s="14">
        <v>835.151601631012</v>
      </c>
      <c r="O391" s="14">
        <v>5288.869045720161</v>
      </c>
    </row>
    <row r="392" spans="1:15" x14ac:dyDescent="0.3">
      <c r="A392" s="3" t="str">
        <f>INDEX('R1. Scenario specifications'!$C$11:$C$49,MATCH($B392,'R1. Scenario specifications'!$A$11:$A$49,0))</f>
        <v>Current 2DS, 2030 start, 'Expect the Unexpected' but with cheap EVs</v>
      </c>
      <c r="B392" s="3" t="s">
        <v>48</v>
      </c>
      <c r="C392" s="3" t="s">
        <v>308</v>
      </c>
      <c r="D392" s="3" t="s">
        <v>326</v>
      </c>
      <c r="E392" s="14">
        <v>0</v>
      </c>
      <c r="F392" s="14">
        <v>0</v>
      </c>
      <c r="G392" s="14">
        <v>203.8949376312157</v>
      </c>
      <c r="H392" s="14">
        <v>757.03231328497168</v>
      </c>
      <c r="I392" s="14">
        <v>1036.6855622254784</v>
      </c>
      <c r="J392" s="14">
        <v>1385.2475928165763</v>
      </c>
      <c r="K392" s="14">
        <v>1493.7757698800938</v>
      </c>
      <c r="L392" s="14">
        <v>1583.0085549740038</v>
      </c>
      <c r="M392" s="14">
        <v>1689.0139908387212</v>
      </c>
      <c r="N392" s="14">
        <v>1632.8916233626114</v>
      </c>
      <c r="O392" s="14">
        <v>1674.4232452521453</v>
      </c>
    </row>
    <row r="393" spans="1:15" x14ac:dyDescent="0.3">
      <c r="A393" s="3" t="str">
        <f>INDEX('R1. Scenario specifications'!$C$11:$C$49,MATCH($B393,'R1. Scenario specifications'!$A$11:$A$49,0))</f>
        <v>Current 2DS, 2020 start, 'Expect the Unexpected' but with cheap energy efficiency</v>
      </c>
      <c r="B393" s="3" t="s">
        <v>49</v>
      </c>
      <c r="C393" s="3" t="s">
        <v>304</v>
      </c>
      <c r="D393" s="3" t="s">
        <v>339</v>
      </c>
      <c r="E393" s="14">
        <v>0</v>
      </c>
      <c r="F393" s="14">
        <v>820.1343749999993</v>
      </c>
      <c r="G393" s="14">
        <v>1443.6724304473942</v>
      </c>
      <c r="H393" s="14">
        <v>1129.8022515232078</v>
      </c>
      <c r="I393" s="14">
        <v>1985.0459772984391</v>
      </c>
      <c r="J393" s="14">
        <v>3998.5453767394442</v>
      </c>
      <c r="K393" s="14">
        <v>5607.0840100577971</v>
      </c>
      <c r="L393" s="14">
        <v>12800.516505273165</v>
      </c>
      <c r="M393" s="14">
        <v>15404.098300476937</v>
      </c>
      <c r="N393" s="14">
        <v>12896.444693069776</v>
      </c>
      <c r="O393" s="14">
        <v>15215.366982051048</v>
      </c>
    </row>
    <row r="394" spans="1:15" x14ac:dyDescent="0.3">
      <c r="A394" s="3" t="str">
        <f>INDEX('R1. Scenario specifications'!$C$11:$C$49,MATCH($B394,'R1. Scenario specifications'!$A$11:$A$49,0))</f>
        <v>Current 2DS, 2020 start, 'Expect the Unexpected' but with cheap energy efficiency</v>
      </c>
      <c r="B394" s="3" t="s">
        <v>49</v>
      </c>
      <c r="C394" s="3" t="s">
        <v>51</v>
      </c>
      <c r="D394" s="3" t="s">
        <v>340</v>
      </c>
      <c r="E394" s="14">
        <v>26912.591385085678</v>
      </c>
      <c r="F394" s="14">
        <v>24726.384098969917</v>
      </c>
      <c r="G394" s="14">
        <v>20023.092920446408</v>
      </c>
      <c r="H394" s="14">
        <v>25415.220720340574</v>
      </c>
      <c r="I394" s="14">
        <v>41483.354992461544</v>
      </c>
      <c r="J394" s="14">
        <v>23638.473807769791</v>
      </c>
      <c r="K394" s="14">
        <v>25056.238368358692</v>
      </c>
      <c r="L394" s="14">
        <v>27528.952486929</v>
      </c>
      <c r="M394" s="14">
        <v>26967.335158515758</v>
      </c>
      <c r="N394" s="14">
        <v>27689.840005553568</v>
      </c>
      <c r="O394" s="14">
        <v>19675.028321534824</v>
      </c>
    </row>
    <row r="395" spans="1:15" x14ac:dyDescent="0.3">
      <c r="A395" s="3" t="str">
        <f>INDEX('R1. Scenario specifications'!$C$11:$C$49,MATCH($B395,'R1. Scenario specifications'!$A$11:$A$49,0))</f>
        <v>Current 2DS, 2020 start, 'Expect the Unexpected' but with cheap energy efficiency</v>
      </c>
      <c r="B395" s="3" t="s">
        <v>49</v>
      </c>
      <c r="C395" s="3" t="s">
        <v>305</v>
      </c>
      <c r="D395" s="3" t="s">
        <v>341</v>
      </c>
      <c r="E395" s="14">
        <v>0.55126200000000003</v>
      </c>
      <c r="F395" s="14">
        <v>0.27214200000000005</v>
      </c>
      <c r="G395" s="14">
        <v>39.715545758633766</v>
      </c>
      <c r="H395" s="14">
        <v>999.95558638009925</v>
      </c>
      <c r="I395" s="14">
        <v>3675.5480065476968</v>
      </c>
      <c r="J395" s="14">
        <v>8192.341798754469</v>
      </c>
      <c r="K395" s="14">
        <v>11770.760958235978</v>
      </c>
      <c r="L395" s="14">
        <v>13245.891370034678</v>
      </c>
      <c r="M395" s="14">
        <v>14510.010924640565</v>
      </c>
      <c r="N395" s="14">
        <v>16351.1018196974</v>
      </c>
      <c r="O395" s="14">
        <v>18377.124008339604</v>
      </c>
    </row>
    <row r="396" spans="1:15" x14ac:dyDescent="0.3">
      <c r="A396" s="3" t="str">
        <f>INDEX('R1. Scenario specifications'!$C$11:$C$49,MATCH($B396,'R1. Scenario specifications'!$A$11:$A$49,0))</f>
        <v>Current 2DS, 2020 start, 'Expect the Unexpected' but with cheap energy efficiency</v>
      </c>
      <c r="B396" s="3" t="s">
        <v>49</v>
      </c>
      <c r="C396" s="3" t="s">
        <v>306</v>
      </c>
      <c r="D396" s="3" t="s">
        <v>342</v>
      </c>
      <c r="E396" s="14">
        <v>138.88007226094669</v>
      </c>
      <c r="F396" s="14">
        <v>231.92798987852072</v>
      </c>
      <c r="G396" s="14">
        <v>2394.994594260861</v>
      </c>
      <c r="H396" s="14">
        <v>2289.4948025955828</v>
      </c>
      <c r="I396" s="14">
        <v>2171.2597807757861</v>
      </c>
      <c r="J396" s="14">
        <v>2234.3613823555884</v>
      </c>
      <c r="K396" s="14">
        <v>1549.2793447163417</v>
      </c>
      <c r="L396" s="14">
        <v>653.57182367652933</v>
      </c>
      <c r="M396" s="14">
        <v>250.36203668116784</v>
      </c>
      <c r="N396" s="14">
        <v>251.45536455638305</v>
      </c>
      <c r="O396" s="14">
        <v>275.41320342888162</v>
      </c>
    </row>
    <row r="397" spans="1:15" x14ac:dyDescent="0.3">
      <c r="A397" s="3" t="str">
        <f>INDEX('R1. Scenario specifications'!$C$11:$C$49,MATCH($B397,'R1. Scenario specifications'!$A$11:$A$49,0))</f>
        <v>Current 2DS, 2020 start, 'Expect the Unexpected' but with cheap energy efficiency</v>
      </c>
      <c r="B397" s="3" t="s">
        <v>49</v>
      </c>
      <c r="C397" s="3" t="s">
        <v>52</v>
      </c>
      <c r="D397" s="3" t="s">
        <v>343</v>
      </c>
      <c r="E397" s="14">
        <v>47506.40120156738</v>
      </c>
      <c r="F397" s="14">
        <v>51400.759098340677</v>
      </c>
      <c r="G397" s="14">
        <v>62205.547314401418</v>
      </c>
      <c r="H397" s="14">
        <v>34623.006345419111</v>
      </c>
      <c r="I397" s="14">
        <v>11969.179770786235</v>
      </c>
      <c r="J397" s="14">
        <v>10163.604035390154</v>
      </c>
      <c r="K397" s="14">
        <v>6686.9677523176761</v>
      </c>
      <c r="L397" s="14">
        <v>4395.0196162760203</v>
      </c>
      <c r="M397" s="14">
        <v>2829.1534163411893</v>
      </c>
      <c r="N397" s="14">
        <v>1614.4656549297295</v>
      </c>
      <c r="O397" s="14">
        <v>1800.3526907289215</v>
      </c>
    </row>
    <row r="398" spans="1:15" x14ac:dyDescent="0.3">
      <c r="A398" s="3" t="str">
        <f>INDEX('R1. Scenario specifications'!$C$11:$C$49,MATCH($B398,'R1. Scenario specifications'!$A$11:$A$49,0))</f>
        <v>Current 2DS, 2020 start, 'Expect the Unexpected' but with cheap energy efficiency</v>
      </c>
      <c r="B398" s="3" t="s">
        <v>49</v>
      </c>
      <c r="C398" s="3" t="s">
        <v>53</v>
      </c>
      <c r="D398" s="3" t="s">
        <v>344</v>
      </c>
      <c r="E398" s="14">
        <v>703.55932605471685</v>
      </c>
      <c r="F398" s="14">
        <v>336.28891863781013</v>
      </c>
      <c r="G398" s="14">
        <v>879.49041101293551</v>
      </c>
      <c r="H398" s="14">
        <v>1151.0171254730626</v>
      </c>
      <c r="I398" s="14">
        <v>1160.4381237516004</v>
      </c>
      <c r="J398" s="14">
        <v>851.32345047382023</v>
      </c>
      <c r="K398" s="14">
        <v>1195.577022524853</v>
      </c>
      <c r="L398" s="14">
        <v>1267.1941814066695</v>
      </c>
      <c r="M398" s="14">
        <v>1454.614023349792</v>
      </c>
      <c r="N398" s="14">
        <v>3164.9602844412047</v>
      </c>
      <c r="O398" s="14">
        <v>4198.9707375308899</v>
      </c>
    </row>
    <row r="399" spans="1:15" x14ac:dyDescent="0.3">
      <c r="A399" s="3" t="str">
        <f>INDEX('R1. Scenario specifications'!$C$11:$C$49,MATCH($B399,'R1. Scenario specifications'!$A$11:$A$49,0))</f>
        <v>Current 2DS, 2020 start, 'Expect the Unexpected' but with cheap energy efficiency</v>
      </c>
      <c r="B399" s="3" t="s">
        <v>49</v>
      </c>
      <c r="C399" s="3" t="s">
        <v>307</v>
      </c>
      <c r="D399" s="3" t="s">
        <v>345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945.23191438228992</v>
      </c>
      <c r="K399" s="14">
        <v>287.35848748835701</v>
      </c>
      <c r="L399" s="14">
        <v>42.936430589148848</v>
      </c>
      <c r="M399" s="14">
        <v>144.40183873557922</v>
      </c>
      <c r="N399" s="14">
        <v>217.90056899054829</v>
      </c>
      <c r="O399" s="14">
        <v>263.79173138032002</v>
      </c>
    </row>
    <row r="400" spans="1:15" x14ac:dyDescent="0.3">
      <c r="A400" s="3" t="str">
        <f>INDEX('R1. Scenario specifications'!$C$11:$C$49,MATCH($B400,'R1. Scenario specifications'!$A$11:$A$49,0))</f>
        <v>Current 2DS, 2020 start, 'Expect the Unexpected' but with cheap energy efficiency</v>
      </c>
      <c r="B400" s="3" t="s">
        <v>49</v>
      </c>
      <c r="C400" s="3" t="s">
        <v>54</v>
      </c>
      <c r="D400" s="3" t="s">
        <v>255</v>
      </c>
      <c r="E400" s="14">
        <v>396.62220438997127</v>
      </c>
      <c r="F400" s="14">
        <v>176.86416189251261</v>
      </c>
      <c r="G400" s="14">
        <v>1833.16729548234</v>
      </c>
      <c r="H400" s="14">
        <v>2076.3825746094112</v>
      </c>
      <c r="I400" s="14">
        <v>7548.4037901130132</v>
      </c>
      <c r="J400" s="14">
        <v>16966.045443020041</v>
      </c>
      <c r="K400" s="14">
        <v>12207.27343524678</v>
      </c>
      <c r="L400" s="14">
        <v>3590.4034318126796</v>
      </c>
      <c r="M400" s="14">
        <v>1272.3208290149139</v>
      </c>
      <c r="N400" s="14">
        <v>1115.3392182278885</v>
      </c>
      <c r="O400" s="14">
        <v>5786.3959250024254</v>
      </c>
    </row>
    <row r="401" spans="1:15" x14ac:dyDescent="0.3">
      <c r="A401" s="3" t="str">
        <f>INDEX('R1. Scenario specifications'!$C$11:$C$49,MATCH($B401,'R1. Scenario specifications'!$A$11:$A$49,0))</f>
        <v>Current 2DS, 2020 start, 'Expect the Unexpected' but with cheap energy efficiency</v>
      </c>
      <c r="B401" s="3" t="s">
        <v>49</v>
      </c>
      <c r="C401" s="3" t="s">
        <v>308</v>
      </c>
      <c r="D401" s="3" t="s">
        <v>326</v>
      </c>
      <c r="E401" s="14">
        <v>0</v>
      </c>
      <c r="F401" s="14">
        <v>0</v>
      </c>
      <c r="G401" s="14">
        <v>203.8949376312157</v>
      </c>
      <c r="H401" s="14">
        <v>546.12248029465377</v>
      </c>
      <c r="I401" s="14">
        <v>807.13046645598251</v>
      </c>
      <c r="J401" s="14">
        <v>1124.230342924011</v>
      </c>
      <c r="K401" s="14">
        <v>1186.0386721655707</v>
      </c>
      <c r="L401" s="14">
        <v>1231.7497903174908</v>
      </c>
      <c r="M401" s="14">
        <v>1309.5860894054517</v>
      </c>
      <c r="N401" s="14">
        <v>1388.0626684027734</v>
      </c>
      <c r="O401" s="14">
        <v>1529.7707749554527</v>
      </c>
    </row>
  </sheetData>
  <mergeCells count="2">
    <mergeCell ref="C37:N37"/>
    <mergeCell ref="O37:Z37"/>
  </mergeCells>
  <conditionalFormatting sqref="N19:XFD19 A3271:XFD1048576 E712:XFD3270 A37:C37 A36:N36 AA36:XFD37 E599:E711 G402:XFD711 C52:C334 B52:B451 A52:A3270 E50:XFD401 A50:C51 A38:XFD49 A20:XFD35 A1:XFD12 A14:XFD18 A13:E13 J13:XFD13">
    <cfRule type="expression" dxfId="92" priority="4">
      <formula>_xlfn.ISFORMULA(A1)</formula>
    </cfRule>
  </conditionalFormatting>
  <conditionalFormatting sqref="A19:M19">
    <cfRule type="expression" dxfId="91" priority="3">
      <formula>_xlfn.ISFORMULA(A19)</formula>
    </cfRule>
  </conditionalFormatting>
  <conditionalFormatting sqref="O37 O36:Z36">
    <cfRule type="expression" dxfId="90" priority="2">
      <formula>_xlfn.ISFORMULA(O36)</formula>
    </cfRule>
  </conditionalFormatting>
  <conditionalFormatting sqref="F13:I13">
    <cfRule type="expression" dxfId="89" priority="1">
      <formula>_xlfn.ISFORMULA(F13)</formula>
    </cfRule>
  </conditionalFormatting>
  <dataValidations count="1">
    <dataValidation type="list" allowBlank="1" showInputMessage="1" showErrorMessage="1" sqref="B22" xr:uid="{878B7C4C-84DD-41B2-9BA8-E62834AE77E0}">
      <formula1>$D$51:$D$59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4B0F5C-0761-45AF-B5A3-AABF6AF45DFB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648B-5CD2-4DEC-A8C8-FAC95CF359C0}">
  <sheetPr>
    <tabColor theme="5" tint="0.39997558519241921"/>
  </sheetPr>
  <dimension ref="A1:Z281"/>
  <sheetViews>
    <sheetView zoomScale="70" zoomScaleNormal="70" workbookViewId="0">
      <selection activeCell="E2" sqref="E2"/>
    </sheetView>
  </sheetViews>
  <sheetFormatPr defaultColWidth="15.77734375" defaultRowHeight="14.4" x14ac:dyDescent="0.3"/>
  <cols>
    <col min="1" max="2" width="15.77734375" style="3" customWidth="1"/>
    <col min="3" max="13" width="12.77734375" style="3" customWidth="1"/>
    <col min="14" max="14" width="15.77734375" style="3" customWidth="1"/>
    <col min="15" max="16384" width="15.77734375" style="3"/>
  </cols>
  <sheetData>
    <row r="1" spans="1:9" s="13" customFormat="1" ht="36.6" x14ac:dyDescent="0.7">
      <c r="A1" s="13" t="s">
        <v>321</v>
      </c>
    </row>
    <row r="2" spans="1:9" s="5" customFormat="1" x14ac:dyDescent="0.3">
      <c r="A2" s="5" t="s">
        <v>5</v>
      </c>
      <c r="B2" s="5" t="s">
        <v>319</v>
      </c>
    </row>
    <row r="3" spans="1:9" s="5" customFormat="1" x14ac:dyDescent="0.3">
      <c r="A3" s="5" t="s">
        <v>6</v>
      </c>
      <c r="B3" s="5" t="s">
        <v>320</v>
      </c>
    </row>
    <row r="4" spans="1:9" s="5" customFormat="1" x14ac:dyDescent="0.3">
      <c r="A4" s="5" t="s">
        <v>4</v>
      </c>
    </row>
    <row r="5" spans="1:9" s="5" customFormat="1" x14ac:dyDescent="0.3">
      <c r="A5" s="5" t="s">
        <v>185</v>
      </c>
      <c r="B5" s="5" t="s">
        <v>186</v>
      </c>
    </row>
    <row r="6" spans="1:9" s="5" customFormat="1" x14ac:dyDescent="0.3">
      <c r="B6" s="5" t="s">
        <v>187</v>
      </c>
      <c r="C6" s="5" t="s">
        <v>8</v>
      </c>
      <c r="D6" s="5" t="s">
        <v>309</v>
      </c>
    </row>
    <row r="7" spans="1:9" s="5" customFormat="1" x14ac:dyDescent="0.3">
      <c r="B7" s="5" t="s">
        <v>188</v>
      </c>
      <c r="C7" s="5" t="s">
        <v>59</v>
      </c>
      <c r="D7" s="5" t="s">
        <v>310</v>
      </c>
    </row>
    <row r="8" spans="1:9" s="5" customFormat="1" x14ac:dyDescent="0.3">
      <c r="B8" s="5" t="s">
        <v>190</v>
      </c>
      <c r="C8" s="5" t="s">
        <v>10</v>
      </c>
      <c r="D8" s="5" t="s">
        <v>311</v>
      </c>
    </row>
    <row r="9" spans="1:9" s="5" customFormat="1" x14ac:dyDescent="0.3">
      <c r="B9" s="5" t="s">
        <v>189</v>
      </c>
      <c r="C9" s="5" t="s">
        <v>192</v>
      </c>
      <c r="D9" s="5" t="s">
        <v>208</v>
      </c>
    </row>
    <row r="10" spans="1:9" s="5" customFormat="1" x14ac:dyDescent="0.3">
      <c r="B10" s="5" t="s">
        <v>191</v>
      </c>
      <c r="C10" s="5" t="s">
        <v>95</v>
      </c>
      <c r="D10" s="5" t="s">
        <v>95</v>
      </c>
    </row>
    <row r="11" spans="1:9" s="5" customFormat="1" x14ac:dyDescent="0.3">
      <c r="B11" s="5" t="s">
        <v>186</v>
      </c>
      <c r="D11" s="5" t="str">
        <f>CONCATENATE(LEFT($D9,3),MID($D6,4,3),MID($D9,7,1),MID($D6,9,LEN($D6)-8))</f>
        <v>$E$8:$P3300</v>
      </c>
    </row>
    <row r="12" spans="1:9" s="5" customFormat="1" x14ac:dyDescent="0.3">
      <c r="A12" s="5" t="s">
        <v>184</v>
      </c>
      <c r="B12" s="5" t="s">
        <v>81</v>
      </c>
    </row>
    <row r="13" spans="1:9" s="5" customFormat="1" x14ac:dyDescent="0.3">
      <c r="A13" s="5" t="s">
        <v>2</v>
      </c>
      <c r="B13" s="5" t="str">
        <f>CONCATENATE("Billion passenger km from total ",$B$22," capacity")</f>
        <v>Billion passenger km from total Electric capacity</v>
      </c>
      <c r="F13" s="777" t="s">
        <v>1027</v>
      </c>
      <c r="G13" s="777"/>
      <c r="H13" s="777"/>
      <c r="I13" s="777"/>
    </row>
    <row r="14" spans="1:9" ht="15" thickBot="1" x14ac:dyDescent="0.35"/>
    <row r="15" spans="1:9" s="15" customFormat="1" ht="15" thickBot="1" x14ac:dyDescent="0.35">
      <c r="A15" s="15" t="s">
        <v>200</v>
      </c>
    </row>
    <row r="17" spans="1:13" x14ac:dyDescent="0.3">
      <c r="A17" s="4" t="s">
        <v>201</v>
      </c>
    </row>
    <row r="18" spans="1:13" x14ac:dyDescent="0.3">
      <c r="A18" s="3" t="s">
        <v>85</v>
      </c>
      <c r="B18" s="3">
        <v>1</v>
      </c>
      <c r="C18" s="3">
        <f>B18+1</f>
        <v>2</v>
      </c>
      <c r="D18" s="3">
        <f t="shared" ref="D18:M18" si="0">C18+1</f>
        <v>3</v>
      </c>
      <c r="E18" s="3">
        <f t="shared" si="0"/>
        <v>4</v>
      </c>
      <c r="F18" s="3">
        <f t="shared" si="0"/>
        <v>5</v>
      </c>
      <c r="G18" s="3">
        <f t="shared" si="0"/>
        <v>6</v>
      </c>
      <c r="H18" s="3">
        <f t="shared" si="0"/>
        <v>7</v>
      </c>
      <c r="I18" s="3">
        <f t="shared" si="0"/>
        <v>8</v>
      </c>
      <c r="J18" s="3">
        <f t="shared" si="0"/>
        <v>9</v>
      </c>
      <c r="K18" s="3">
        <f t="shared" si="0"/>
        <v>10</v>
      </c>
      <c r="L18" s="3">
        <f t="shared" si="0"/>
        <v>11</v>
      </c>
      <c r="M18" s="3">
        <f t="shared" si="0"/>
        <v>12</v>
      </c>
    </row>
    <row r="19" spans="1:13" ht="100.8" x14ac:dyDescent="0.3">
      <c r="A19" s="18" t="s">
        <v>86</v>
      </c>
      <c r="B19" s="18" t="str">
        <f>INDEX('R1. Scenario specifications'!$C$11:$C$49,MATCH(B$20,'R1. Scenario specifications'!$A$11:$A$49,0))</f>
        <v>TIAM BAU - No Policy Action</v>
      </c>
      <c r="C19" s="18" t="str">
        <f>INDEX('R1. Scenario specifications'!$C$11:$C$49,MATCH(C$20,'R1. Scenario specifications'!$A$11:$A$49,0))</f>
        <v>Vivid BAU - WEO Current Policies Scenario emissions pathway run through TIAM</v>
      </c>
      <c r="D19" s="18" t="str">
        <f>INDEX('R1. Scenario specifications'!$C$11:$C$49,MATCH(D$20,'R1. Scenario specifications'!$A$11:$A$49,0))</f>
        <v>Vivid Paris NDCs - WEO New Policies Scenario emissions pathway run through TIAM</v>
      </c>
      <c r="E19" s="18" t="str">
        <f>INDEX('R1. Scenario specifications'!$C$11:$C$49,MATCH(E$20,'R1. Scenario specifications'!$A$11:$A$49,0))</f>
        <v>Current 2DS, 2020 start, 'Expect the Unexpected'</v>
      </c>
      <c r="F19" s="18" t="str">
        <f>INDEX('R1. Scenario specifications'!$C$11:$C$49,MATCH(F$20,'R1. Scenario specifications'!$A$11:$A$49,0))</f>
        <v>Current 2DS, 2030 start, 'Expect the Unexpected'</v>
      </c>
      <c r="G19" s="18" t="str">
        <f>INDEX('R1. Scenario specifications'!$C$11:$C$49,MATCH(G$20,'R1. Scenario specifications'!$A$11:$A$49,0))</f>
        <v>Current 1.5DS, 2020 start, 'Expect the Unexpected'</v>
      </c>
      <c r="H19" s="18" t="str">
        <f>INDEX('R1. Scenario specifications'!$C$11:$C$49,MATCH(H$20,'R1. Scenario specifications'!$A$11:$A$49,0))</f>
        <v>Current 1.5DS, 2030 start, 'Expect the Unexpected'</v>
      </c>
      <c r="I19" s="18" t="str">
        <f>INDEX('R1. Scenario specifications'!$C$11:$C$49,MATCH(I$20,'R1. Scenario specifications'!$A$11:$A$49,0))</f>
        <v>Current 1.75DS, 2020 start, 'Expect the Unexpected'</v>
      </c>
      <c r="J19" s="18" t="str">
        <f>INDEX('R1. Scenario specifications'!$C$11:$C$49,MATCH(J$20,'R1. Scenario specifications'!$A$11:$A$49,0))</f>
        <v>Current 1.75DS, 2030 start, 'Expect the Unexpected'</v>
      </c>
      <c r="K19" s="18" t="e">
        <f>INDEX('R1. Scenario specifications'!$C$11:$C$49,MATCH(K$20,'R1. Scenario specifications'!$A$11:$A$49,0))</f>
        <v>#N/A</v>
      </c>
      <c r="L19" s="18" t="e">
        <f>INDEX('R1. Scenario specifications'!$C$11:$C$49,MATCH(L$20,'R1. Scenario specifications'!$A$11:$A$49,0))</f>
        <v>#N/A</v>
      </c>
      <c r="M19" s="18" t="e">
        <f>INDEX('R1. Scenario specifications'!$C$11:$C$49,MATCH(M$20,'R1. Scenario specifications'!$A$11:$A$49,0))</f>
        <v>#N/A</v>
      </c>
    </row>
    <row r="20" spans="1:13" x14ac:dyDescent="0.3">
      <c r="A20" s="3" t="s">
        <v>8</v>
      </c>
      <c r="B20" s="17" t="s">
        <v>11</v>
      </c>
      <c r="C20" s="17" t="s">
        <v>13</v>
      </c>
      <c r="D20" s="17" t="s">
        <v>14</v>
      </c>
      <c r="E20" s="17" t="s">
        <v>15</v>
      </c>
      <c r="F20" s="17" t="s">
        <v>26</v>
      </c>
      <c r="G20" s="17" t="s">
        <v>19</v>
      </c>
      <c r="H20" s="17" t="s">
        <v>20</v>
      </c>
      <c r="I20" s="17" t="s">
        <v>32</v>
      </c>
      <c r="J20" s="17" t="s">
        <v>33</v>
      </c>
      <c r="K20" s="17"/>
      <c r="L20" s="17"/>
      <c r="M20" s="17"/>
    </row>
    <row r="22" spans="1:13" x14ac:dyDescent="0.3">
      <c r="A22" s="3" t="s">
        <v>346</v>
      </c>
      <c r="B22" s="17" t="s">
        <v>324</v>
      </c>
    </row>
    <row r="24" spans="1:13" x14ac:dyDescent="0.3">
      <c r="A24" s="3" t="s">
        <v>192</v>
      </c>
      <c r="B24" s="3" t="str">
        <f>IF(ISBLANK(B20),"",B20)</f>
        <v>Vivid_0A</v>
      </c>
      <c r="C24" s="3" t="str">
        <f t="shared" ref="C24:M24" si="1">IF(ISBLANK(C20),"",C20)</f>
        <v>Vivid_0A_BAU</v>
      </c>
      <c r="D24" s="3" t="str">
        <f t="shared" si="1"/>
        <v>Vivid_0B</v>
      </c>
      <c r="E24" s="3" t="str">
        <f t="shared" si="1"/>
        <v>Vivid_1</v>
      </c>
      <c r="F24" s="3" t="str">
        <f t="shared" si="1"/>
        <v>Vivid_2</v>
      </c>
      <c r="G24" s="3" t="str">
        <f t="shared" si="1"/>
        <v>Vivid_13</v>
      </c>
      <c r="H24" s="3" t="str">
        <f t="shared" si="1"/>
        <v>Vivid_14</v>
      </c>
      <c r="I24" s="3" t="str">
        <f t="shared" si="1"/>
        <v>Vivid_25</v>
      </c>
      <c r="J24" s="3" t="str">
        <f t="shared" si="1"/>
        <v>Vivid_26</v>
      </c>
      <c r="K24" s="3" t="str">
        <f t="shared" si="1"/>
        <v/>
      </c>
      <c r="L24" s="3" t="str">
        <f t="shared" si="1"/>
        <v/>
      </c>
      <c r="M24" s="3" t="str">
        <f t="shared" si="1"/>
        <v/>
      </c>
    </row>
    <row r="25" spans="1:13" x14ac:dyDescent="0.3">
      <c r="A25" s="3">
        <v>2012</v>
      </c>
      <c r="B25" s="14">
        <f t="array" ref="B25">INDEX($E$48:$O$281,MATCH(B$24&amp;$B$22,$B$48:$B$281&amp;$D$48:$D$281,0),MATCH($A25,$E$47:$O$47,0))</f>
        <v>6.1144027199999992E-2</v>
      </c>
      <c r="C25" s="14">
        <f t="array" ref="C25">INDEX($E$48:$O$281,MATCH(C$24&amp;$B$22,$B$48:$B$281&amp;$D$48:$D$281,0),MATCH($A25,$E$47:$O$47,0))</f>
        <v>6.1144027199999992E-2</v>
      </c>
      <c r="D25" s="14">
        <f t="array" ref="D25">INDEX($E$48:$O$281,MATCH(D$24&amp;$B$22,$B$48:$B$281&amp;$D$48:$D$281,0),MATCH($A25,$E$47:$O$47,0))</f>
        <v>6.1144027199999992E-2</v>
      </c>
      <c r="E25" s="14">
        <f t="array" ref="E25">INDEX($E$48:$O$281,MATCH(E$24&amp;$B$22,$B$48:$B$281&amp;$D$48:$D$281,0),MATCH($A25,$E$47:$O$47,0))</f>
        <v>6.1144027199999992E-2</v>
      </c>
      <c r="F25" s="14">
        <f t="array" ref="F25">INDEX($E$48:$O$281,MATCH(F$24&amp;$B$22,$B$48:$B$281&amp;$D$48:$D$281,0),MATCH($A25,$E$47:$O$47,0))</f>
        <v>6.1144027199999992E-2</v>
      </c>
      <c r="G25" s="14">
        <f t="array" ref="G25">INDEX($E$48:$O$281,MATCH(G$24&amp;$B$22,$B$48:$B$281&amp;$D$48:$D$281,0),MATCH($A25,$E$47:$O$47,0))</f>
        <v>6.1144027199999992E-2</v>
      </c>
      <c r="H25" s="14">
        <f t="array" ref="H25">INDEX($E$48:$O$281,MATCH(H$24&amp;$B$22,$B$48:$B$281&amp;$D$48:$D$281,0),MATCH($A25,$E$47:$O$47,0))</f>
        <v>6.1144027199999992E-2</v>
      </c>
      <c r="I25" s="14">
        <f t="array" ref="I25">INDEX($E$48:$O$281,MATCH(I$24&amp;$B$22,$B$48:$B$281&amp;$D$48:$D$281,0),MATCH($A25,$E$47:$O$47,0))</f>
        <v>6.1144027199999992E-2</v>
      </c>
      <c r="J25" s="14">
        <f t="array" ref="J25">INDEX($E$48:$O$281,MATCH(J$24&amp;$B$22,$B$48:$B$281&amp;$D$48:$D$281,0),MATCH($A25,$E$47:$O$47,0))</f>
        <v>6.1144027199999992E-2</v>
      </c>
      <c r="K25" s="14" t="e">
        <f t="array" ref="K25">INDEX($E$48:$O$281,MATCH(K$24&amp;$B$22,$B$48:$B$281&amp;$D$48:$D$281,0),MATCH($A25,$E$47:$O$47,0))</f>
        <v>#N/A</v>
      </c>
      <c r="L25" s="14" t="e">
        <f t="array" ref="L25">INDEX($E$48:$O$281,MATCH(L$24&amp;$B$22,$B$48:$B$281&amp;$D$48:$D$281,0),MATCH($A25,$E$47:$O$47,0))</f>
        <v>#N/A</v>
      </c>
      <c r="M25" s="14" t="e">
        <f t="array" ref="M25">INDEX($E$48:$O$281,MATCH(M$24&amp;$B$22,$B$48:$B$281&amp;$D$48:$D$281,0),MATCH($A25,$E$47:$O$47,0))</f>
        <v>#N/A</v>
      </c>
    </row>
    <row r="26" spans="1:13" x14ac:dyDescent="0.3">
      <c r="A26" s="3">
        <v>2020</v>
      </c>
      <c r="B26" s="14">
        <f t="array" ref="B26">INDEX($E$48:$O$281,MATCH(B$24&amp;$B$22,$B$48:$B$281&amp;$D$48:$D$281,0),MATCH($A26,$E$47:$O$47,0))</f>
        <v>55.299999999999926</v>
      </c>
      <c r="C26" s="14">
        <f t="array" ref="C26">INDEX($E$48:$O$281,MATCH(C$24&amp;$B$22,$B$48:$B$281&amp;$D$48:$D$281,0),MATCH($A26,$E$47:$O$47,0))</f>
        <v>55.29999999999994</v>
      </c>
      <c r="D26" s="14">
        <f t="array" ref="D26">INDEX($E$48:$O$281,MATCH(D$24&amp;$B$22,$B$48:$B$281&amp;$D$48:$D$281,0),MATCH($A26,$E$47:$O$47,0))</f>
        <v>55.300000000000061</v>
      </c>
      <c r="E26" s="14">
        <f t="array" ref="E26">INDEX($E$48:$O$281,MATCH(E$24&amp;$B$22,$B$48:$B$281&amp;$D$48:$D$281,0),MATCH($A26,$E$47:$O$47,0))</f>
        <v>55.300000000000061</v>
      </c>
      <c r="F26" s="14">
        <f t="array" ref="F26">INDEX($E$48:$O$281,MATCH(F$24&amp;$B$22,$B$48:$B$281&amp;$D$48:$D$281,0),MATCH($A26,$E$47:$O$47,0))</f>
        <v>55.300000000000061</v>
      </c>
      <c r="G26" s="14">
        <f t="array" ref="G26">INDEX($E$48:$O$281,MATCH(G$24&amp;$B$22,$B$48:$B$281&amp;$D$48:$D$281,0),MATCH($A26,$E$47:$O$47,0))</f>
        <v>55.300000000000061</v>
      </c>
      <c r="H26" s="14">
        <f t="array" ref="H26">INDEX($E$48:$O$281,MATCH(H$24&amp;$B$22,$B$48:$B$281&amp;$D$48:$D$281,0),MATCH($A26,$E$47:$O$47,0))</f>
        <v>55.300000000000061</v>
      </c>
      <c r="I26" s="14">
        <f t="array" ref="I26">INDEX($E$48:$O$281,MATCH(I$24&amp;$B$22,$B$48:$B$281&amp;$D$48:$D$281,0),MATCH($A26,$E$47:$O$47,0))</f>
        <v>55.300000000000061</v>
      </c>
      <c r="J26" s="14">
        <f t="array" ref="J26">INDEX($E$48:$O$281,MATCH(J$24&amp;$B$22,$B$48:$B$281&amp;$D$48:$D$281,0),MATCH($A26,$E$47:$O$47,0))</f>
        <v>55.300000000000061</v>
      </c>
      <c r="K26" s="14" t="e">
        <f t="array" ref="K26">INDEX($E$48:$O$281,MATCH(K$24&amp;$B$22,$B$48:$B$281&amp;$D$48:$D$281,0),MATCH($A26,$E$47:$O$47,0))</f>
        <v>#N/A</v>
      </c>
      <c r="L26" s="14" t="e">
        <f t="array" ref="L26">INDEX($E$48:$O$281,MATCH(L$24&amp;$B$22,$B$48:$B$281&amp;$D$48:$D$281,0),MATCH($A26,$E$47:$O$47,0))</f>
        <v>#N/A</v>
      </c>
      <c r="M26" s="14" t="e">
        <f t="array" ref="M26">INDEX($E$48:$O$281,MATCH(M$24&amp;$B$22,$B$48:$B$281&amp;$D$48:$D$281,0),MATCH($A26,$E$47:$O$47,0))</f>
        <v>#N/A</v>
      </c>
    </row>
    <row r="27" spans="1:13" x14ac:dyDescent="0.3">
      <c r="A27" s="3">
        <v>2030</v>
      </c>
      <c r="B27" s="14">
        <f t="array" ref="B27">INDEX($E$48:$O$281,MATCH(B$24&amp;$B$22,$B$48:$B$281&amp;$D$48:$D$281,0),MATCH($A27,$E$47:$O$47,0))</f>
        <v>355.53808330786768</v>
      </c>
      <c r="C27" s="14">
        <f t="array" ref="C27">INDEX($E$48:$O$281,MATCH(C$24&amp;$B$22,$B$48:$B$281&amp;$D$48:$D$281,0),MATCH($A27,$E$47:$O$47,0))</f>
        <v>355.53808330786762</v>
      </c>
      <c r="D27" s="14">
        <f t="array" ref="D27">INDEX($E$48:$O$281,MATCH(D$24&amp;$B$22,$B$48:$B$281&amp;$D$48:$D$281,0),MATCH($A27,$E$47:$O$47,0))</f>
        <v>527.86598912037414</v>
      </c>
      <c r="E27" s="14">
        <f t="array" ref="E27">INDEX($E$48:$O$281,MATCH(E$24&amp;$B$22,$B$48:$B$281&amp;$D$48:$D$281,0),MATCH($A27,$E$47:$O$47,0))</f>
        <v>571.0772213208769</v>
      </c>
      <c r="F27" s="14">
        <f t="array" ref="F27">INDEX($E$48:$O$281,MATCH(F$24&amp;$B$22,$B$48:$B$281&amp;$D$48:$D$281,0),MATCH($A27,$E$47:$O$47,0))</f>
        <v>527.86598912037414</v>
      </c>
      <c r="G27" s="14">
        <f t="array" ref="G27">INDEX($E$48:$O$281,MATCH(G$24&amp;$B$22,$B$48:$B$281&amp;$D$48:$D$281,0),MATCH($A27,$E$47:$O$47,0))</f>
        <v>665.05064902766617</v>
      </c>
      <c r="H27" s="14">
        <f t="array" ref="H27">INDEX($E$48:$O$281,MATCH(H$24&amp;$B$22,$B$48:$B$281&amp;$D$48:$D$281,0),MATCH($A27,$E$47:$O$47,0))</f>
        <v>527.86598912037414</v>
      </c>
      <c r="I27" s="14">
        <f t="array" ref="I27">INDEX($E$48:$O$281,MATCH(I$24&amp;$B$22,$B$48:$B$281&amp;$D$48:$D$281,0),MATCH($A27,$E$47:$O$47,0))</f>
        <v>616.9359513247648</v>
      </c>
      <c r="J27" s="14">
        <f t="array" ref="J27">INDEX($E$48:$O$281,MATCH(J$24&amp;$B$22,$B$48:$B$281&amp;$D$48:$D$281,0),MATCH($A27,$E$47:$O$47,0))</f>
        <v>527.86598912037414</v>
      </c>
      <c r="K27" s="14" t="e">
        <f t="array" ref="K27">INDEX($E$48:$O$281,MATCH(K$24&amp;$B$22,$B$48:$B$281&amp;$D$48:$D$281,0),MATCH($A27,$E$47:$O$47,0))</f>
        <v>#N/A</v>
      </c>
      <c r="L27" s="14" t="e">
        <f t="array" ref="L27">INDEX($E$48:$O$281,MATCH(L$24&amp;$B$22,$B$48:$B$281&amp;$D$48:$D$281,0),MATCH($A27,$E$47:$O$47,0))</f>
        <v>#N/A</v>
      </c>
      <c r="M27" s="14" t="e">
        <f t="array" ref="M27">INDEX($E$48:$O$281,MATCH(M$24&amp;$B$22,$B$48:$B$281&amp;$D$48:$D$281,0),MATCH($A27,$E$47:$O$47,0))</f>
        <v>#N/A</v>
      </c>
    </row>
    <row r="28" spans="1:13" x14ac:dyDescent="0.3">
      <c r="A28" s="3">
        <v>2040</v>
      </c>
      <c r="B28" s="14">
        <f t="array" ref="B28">INDEX($E$48:$O$281,MATCH(B$24&amp;$B$22,$B$48:$B$281&amp;$D$48:$D$281,0),MATCH($A28,$E$47:$O$47,0))</f>
        <v>2215.3980999676087</v>
      </c>
      <c r="C28" s="14">
        <f t="array" ref="C28">INDEX($E$48:$O$281,MATCH(C$24&amp;$B$22,$B$48:$B$281&amp;$D$48:$D$281,0),MATCH($A28,$E$47:$O$47,0))</f>
        <v>2215.3980999676091</v>
      </c>
      <c r="D28" s="14">
        <f t="array" ref="D28">INDEX($E$48:$O$281,MATCH(D$24&amp;$B$22,$B$48:$B$281&amp;$D$48:$D$281,0),MATCH($A28,$E$47:$O$47,0))</f>
        <v>4929.8951605300153</v>
      </c>
      <c r="E28" s="14">
        <f t="array" ref="E28">INDEX($E$48:$O$281,MATCH(E$24&amp;$B$22,$B$48:$B$281&amp;$D$48:$D$281,0),MATCH($A28,$E$47:$O$47,0))</f>
        <v>5572.5908312283918</v>
      </c>
      <c r="F28" s="14">
        <f t="array" ref="F28">INDEX($E$48:$O$281,MATCH(F$24&amp;$B$22,$B$48:$B$281&amp;$D$48:$D$281,0),MATCH($A28,$E$47:$O$47,0))</f>
        <v>5287.0366376343291</v>
      </c>
      <c r="G28" s="14">
        <f t="array" ref="G28">INDEX($E$48:$O$281,MATCH(G$24&amp;$B$22,$B$48:$B$281&amp;$D$48:$D$281,0),MATCH($A28,$E$47:$O$47,0))</f>
        <v>2886.2759313765596</v>
      </c>
      <c r="H28" s="14">
        <f t="array" ref="H28">INDEX($E$48:$O$281,MATCH(H$24&amp;$B$22,$B$48:$B$281&amp;$D$48:$D$281,0),MATCH($A28,$E$47:$O$47,0))</f>
        <v>2796.1023680210205</v>
      </c>
      <c r="I28" s="14">
        <f t="array" ref="I28">INDEX($E$48:$O$281,MATCH(I$24&amp;$B$22,$B$48:$B$281&amp;$D$48:$D$281,0),MATCH($A28,$E$47:$O$47,0))</f>
        <v>5983.6414767577571</v>
      </c>
      <c r="J28" s="14">
        <f t="array" ref="J28">INDEX($E$48:$O$281,MATCH(J$24&amp;$B$22,$B$48:$B$281&amp;$D$48:$D$281,0),MATCH($A28,$E$47:$O$47,0))</f>
        <v>5544.6231731719836</v>
      </c>
      <c r="K28" s="14" t="e">
        <f t="array" ref="K28">INDEX($E$48:$O$281,MATCH(K$24&amp;$B$22,$B$48:$B$281&amp;$D$48:$D$281,0),MATCH($A28,$E$47:$O$47,0))</f>
        <v>#N/A</v>
      </c>
      <c r="L28" s="14" t="e">
        <f t="array" ref="L28">INDEX($E$48:$O$281,MATCH(L$24&amp;$B$22,$B$48:$B$281&amp;$D$48:$D$281,0),MATCH($A28,$E$47:$O$47,0))</f>
        <v>#N/A</v>
      </c>
      <c r="M28" s="14" t="e">
        <f t="array" ref="M28">INDEX($E$48:$O$281,MATCH(M$24&amp;$B$22,$B$48:$B$281&amp;$D$48:$D$281,0),MATCH($A28,$E$47:$O$47,0))</f>
        <v>#N/A</v>
      </c>
    </row>
    <row r="29" spans="1:13" x14ac:dyDescent="0.3">
      <c r="A29" s="3">
        <v>2050</v>
      </c>
      <c r="B29" s="14">
        <f t="array" ref="B29">INDEX($E$48:$O$281,MATCH(B$24&amp;$B$22,$B$48:$B$281&amp;$D$48:$D$281,0),MATCH($A29,$E$47:$O$47,0))</f>
        <v>12068.61050999042</v>
      </c>
      <c r="C29" s="14">
        <f t="array" ref="C29">INDEX($E$48:$O$281,MATCH(C$24&amp;$B$22,$B$48:$B$281&amp;$D$48:$D$281,0),MATCH($A29,$E$47:$O$47,0))</f>
        <v>11962.909373298215</v>
      </c>
      <c r="D29" s="14">
        <f t="array" ref="D29">INDEX($E$48:$O$281,MATCH(D$24&amp;$B$22,$B$48:$B$281&amp;$D$48:$D$281,0),MATCH($A29,$E$47:$O$47,0))</f>
        <v>14036.289169606507</v>
      </c>
      <c r="E29" s="14">
        <f t="array" ref="E29">INDEX($E$48:$O$281,MATCH(E$24&amp;$B$22,$B$48:$B$281&amp;$D$48:$D$281,0),MATCH($A29,$E$47:$O$47,0))</f>
        <v>14848.182316384198</v>
      </c>
      <c r="F29" s="14">
        <f t="array" ref="F29">INDEX($E$48:$O$281,MATCH(F$24&amp;$B$22,$B$48:$B$281&amp;$D$48:$D$281,0),MATCH($A29,$E$47:$O$47,0))</f>
        <v>14534.873802718907</v>
      </c>
      <c r="G29" s="14">
        <f t="array" ref="G29">INDEX($E$48:$O$281,MATCH(G$24&amp;$B$22,$B$48:$B$281&amp;$D$48:$D$281,0),MATCH($A29,$E$47:$O$47,0))</f>
        <v>11476.75907969812</v>
      </c>
      <c r="H29" s="14">
        <f t="array" ref="H29">INDEX($E$48:$O$281,MATCH(H$24&amp;$B$22,$B$48:$B$281&amp;$D$48:$D$281,0),MATCH($A29,$E$47:$O$47,0))</f>
        <v>6465.437313483967</v>
      </c>
      <c r="I29" s="14">
        <f t="array" ref="I29">INDEX($E$48:$O$281,MATCH(I$24&amp;$B$22,$B$48:$B$281&amp;$D$48:$D$281,0),MATCH($A29,$E$47:$O$47,0))</f>
        <v>15676.182554143497</v>
      </c>
      <c r="J29" s="14">
        <f t="array" ref="J29">INDEX($E$48:$O$281,MATCH(J$24&amp;$B$22,$B$48:$B$281&amp;$D$48:$D$281,0),MATCH($A29,$E$47:$O$47,0))</f>
        <v>14639.370146671916</v>
      </c>
      <c r="K29" s="14" t="e">
        <f t="array" ref="K29">INDEX($E$48:$O$281,MATCH(K$24&amp;$B$22,$B$48:$B$281&amp;$D$48:$D$281,0),MATCH($A29,$E$47:$O$47,0))</f>
        <v>#N/A</v>
      </c>
      <c r="L29" s="14" t="e">
        <f t="array" ref="L29">INDEX($E$48:$O$281,MATCH(L$24&amp;$B$22,$B$48:$B$281&amp;$D$48:$D$281,0),MATCH($A29,$E$47:$O$47,0))</f>
        <v>#N/A</v>
      </c>
      <c r="M29" s="14" t="e">
        <f t="array" ref="M29">INDEX($E$48:$O$281,MATCH(M$24&amp;$B$22,$B$48:$B$281&amp;$D$48:$D$281,0),MATCH($A29,$E$47:$O$47,0))</f>
        <v>#N/A</v>
      </c>
    </row>
    <row r="30" spans="1:13" x14ac:dyDescent="0.3">
      <c r="A30" s="3">
        <v>2060</v>
      </c>
      <c r="B30" s="14">
        <f t="array" ref="B30">INDEX($E$48:$O$281,MATCH(B$24&amp;$B$22,$B$48:$B$281&amp;$D$48:$D$281,0),MATCH($A30,$E$47:$O$47,0))</f>
        <v>21449.614252765281</v>
      </c>
      <c r="C30" s="14">
        <f t="array" ref="C30">INDEX($E$48:$O$281,MATCH(C$24&amp;$B$22,$B$48:$B$281&amp;$D$48:$D$281,0),MATCH($A30,$E$47:$O$47,0))</f>
        <v>21440.376325362016</v>
      </c>
      <c r="D30" s="14">
        <f t="array" ref="D30">INDEX($E$48:$O$281,MATCH(D$24&amp;$B$22,$B$48:$B$281&amp;$D$48:$D$281,0),MATCH($A30,$E$47:$O$47,0))</f>
        <v>21855.014625964104</v>
      </c>
      <c r="E30" s="14">
        <f t="array" ref="E30">INDEX($E$48:$O$281,MATCH(E$24&amp;$B$22,$B$48:$B$281&amp;$D$48:$D$281,0),MATCH($A30,$E$47:$O$47,0))</f>
        <v>22343.406660254568</v>
      </c>
      <c r="F30" s="14">
        <f t="array" ref="F30">INDEX($E$48:$O$281,MATCH(F$24&amp;$B$22,$B$48:$B$281&amp;$D$48:$D$281,0),MATCH($A30,$E$47:$O$47,0))</f>
        <v>22000.017594024081</v>
      </c>
      <c r="G30" s="14">
        <f t="array" ref="G30">INDEX($E$48:$O$281,MATCH(G$24&amp;$B$22,$B$48:$B$281&amp;$D$48:$D$281,0),MATCH($A30,$E$47:$O$47,0))</f>
        <v>24028.797573950178</v>
      </c>
      <c r="H30" s="14">
        <f t="array" ref="H30">INDEX($E$48:$O$281,MATCH(H$24&amp;$B$22,$B$48:$B$281&amp;$D$48:$D$281,0),MATCH($A30,$E$47:$O$47,0))</f>
        <v>14550.484569588765</v>
      </c>
      <c r="I30" s="14">
        <f t="array" ref="I30">INDEX($E$48:$O$281,MATCH(I$24&amp;$B$22,$B$48:$B$281&amp;$D$48:$D$281,0),MATCH($A30,$E$47:$O$47,0))</f>
        <v>22913.870031430681</v>
      </c>
      <c r="J30" s="14">
        <f t="array" ref="J30">INDEX($E$48:$O$281,MATCH(J$24&amp;$B$22,$B$48:$B$281&amp;$D$48:$D$281,0),MATCH($A30,$E$47:$O$47,0))</f>
        <v>20477.626770522562</v>
      </c>
      <c r="K30" s="14" t="e">
        <f t="array" ref="K30">INDEX($E$48:$O$281,MATCH(K$24&amp;$B$22,$B$48:$B$281&amp;$D$48:$D$281,0),MATCH($A30,$E$47:$O$47,0))</f>
        <v>#N/A</v>
      </c>
      <c r="L30" s="14" t="e">
        <f t="array" ref="L30">INDEX($E$48:$O$281,MATCH(L$24&amp;$B$22,$B$48:$B$281&amp;$D$48:$D$281,0),MATCH($A30,$E$47:$O$47,0))</f>
        <v>#N/A</v>
      </c>
      <c r="M30" s="14" t="e">
        <f t="array" ref="M30">INDEX($E$48:$O$281,MATCH(M$24&amp;$B$22,$B$48:$B$281&amp;$D$48:$D$281,0),MATCH($A30,$E$47:$O$47,0))</f>
        <v>#N/A</v>
      </c>
    </row>
    <row r="31" spans="1:13" x14ac:dyDescent="0.3">
      <c r="A31" s="3">
        <v>2070</v>
      </c>
      <c r="B31" s="14">
        <f t="array" ref="B31">INDEX($E$48:$O$281,MATCH(B$24&amp;$B$22,$B$48:$B$281&amp;$D$48:$D$281,0),MATCH($A31,$E$47:$O$47,0))</f>
        <v>25450.366495925155</v>
      </c>
      <c r="C31" s="14">
        <f t="array" ref="C31">INDEX($E$48:$O$281,MATCH(C$24&amp;$B$22,$B$48:$B$281&amp;$D$48:$D$281,0),MATCH($A31,$E$47:$O$47,0))</f>
        <v>25449.680803165</v>
      </c>
      <c r="D31" s="14">
        <f t="array" ref="D31">INDEX($E$48:$O$281,MATCH(D$24&amp;$B$22,$B$48:$B$281&amp;$D$48:$D$281,0),MATCH($A31,$E$47:$O$47,0))</f>
        <v>25453.552570071264</v>
      </c>
      <c r="E31" s="14">
        <f t="array" ref="E31">INDEX($E$48:$O$281,MATCH(E$24&amp;$B$22,$B$48:$B$281&amp;$D$48:$D$281,0),MATCH($A31,$E$47:$O$47,0))</f>
        <v>25636.558322690034</v>
      </c>
      <c r="F31" s="14">
        <f t="array" ref="F31">INDEX($E$48:$O$281,MATCH(F$24&amp;$B$22,$B$48:$B$281&amp;$D$48:$D$281,0),MATCH($A31,$E$47:$O$47,0))</f>
        <v>25836.100156750021</v>
      </c>
      <c r="G31" s="14">
        <f t="array" ref="G31">INDEX($E$48:$O$281,MATCH(G$24&amp;$B$22,$B$48:$B$281&amp;$D$48:$D$281,0),MATCH($A31,$E$47:$O$47,0))</f>
        <v>27543.123738430575</v>
      </c>
      <c r="H31" s="14">
        <f t="array" ref="H31">INDEX($E$48:$O$281,MATCH(H$24&amp;$B$22,$B$48:$B$281&amp;$D$48:$D$281,0),MATCH($A31,$E$47:$O$47,0))</f>
        <v>25430.659176057627</v>
      </c>
      <c r="I31" s="14">
        <f t="array" ref="I31">INDEX($E$48:$O$281,MATCH(I$24&amp;$B$22,$B$48:$B$281&amp;$D$48:$D$281,0),MATCH($A31,$E$47:$O$47,0))</f>
        <v>28685.020309457017</v>
      </c>
      <c r="J31" s="14">
        <f t="array" ref="J31">INDEX($E$48:$O$281,MATCH(J$24&amp;$B$22,$B$48:$B$281&amp;$D$48:$D$281,0),MATCH($A31,$E$47:$O$47,0))</f>
        <v>26360.202006900083</v>
      </c>
      <c r="K31" s="14" t="e">
        <f t="array" ref="K31">INDEX($E$48:$O$281,MATCH(K$24&amp;$B$22,$B$48:$B$281&amp;$D$48:$D$281,0),MATCH($A31,$E$47:$O$47,0))</f>
        <v>#N/A</v>
      </c>
      <c r="L31" s="14" t="e">
        <f t="array" ref="L31">INDEX($E$48:$O$281,MATCH(L$24&amp;$B$22,$B$48:$B$281&amp;$D$48:$D$281,0),MATCH($A31,$E$47:$O$47,0))</f>
        <v>#N/A</v>
      </c>
      <c r="M31" s="14" t="e">
        <f t="array" ref="M31">INDEX($E$48:$O$281,MATCH(M$24&amp;$B$22,$B$48:$B$281&amp;$D$48:$D$281,0),MATCH($A31,$E$47:$O$47,0))</f>
        <v>#N/A</v>
      </c>
    </row>
    <row r="32" spans="1:13" x14ac:dyDescent="0.3">
      <c r="A32" s="3">
        <v>2080</v>
      </c>
      <c r="B32" s="14">
        <f t="array" ref="B32">INDEX($E$48:$O$281,MATCH(B$24&amp;$B$22,$B$48:$B$281&amp;$D$48:$D$281,0),MATCH($A32,$E$47:$O$47,0))</f>
        <v>27544.39677074576</v>
      </c>
      <c r="C32" s="14">
        <f t="array" ref="C32">INDEX($E$48:$O$281,MATCH(C$24&amp;$B$22,$B$48:$B$281&amp;$D$48:$D$281,0),MATCH($A32,$E$47:$O$47,0))</f>
        <v>27544.396717216601</v>
      </c>
      <c r="D32" s="14">
        <f t="array" ref="D32">INDEX($E$48:$O$281,MATCH(D$24&amp;$B$22,$B$48:$B$281&amp;$D$48:$D$281,0),MATCH($A32,$E$47:$O$47,0))</f>
        <v>27548.166724713439</v>
      </c>
      <c r="E32" s="14">
        <f t="array" ref="E32">INDEX($E$48:$O$281,MATCH(E$24&amp;$B$22,$B$48:$B$281&amp;$D$48:$D$281,0),MATCH($A32,$E$47:$O$47,0))</f>
        <v>29843.802722737913</v>
      </c>
      <c r="F32" s="14">
        <f t="array" ref="F32">INDEX($E$48:$O$281,MATCH(F$24&amp;$B$22,$B$48:$B$281&amp;$D$48:$D$281,0),MATCH($A32,$E$47:$O$47,0))</f>
        <v>30722.455872273204</v>
      </c>
      <c r="G32" s="14">
        <f t="array" ref="G32">INDEX($E$48:$O$281,MATCH(G$24&amp;$B$22,$B$48:$B$281&amp;$D$48:$D$281,0),MATCH($A32,$E$47:$O$47,0))</f>
        <v>31039.960964773694</v>
      </c>
      <c r="H32" s="14">
        <f t="array" ref="H32">INDEX($E$48:$O$281,MATCH(H$24&amp;$B$22,$B$48:$B$281&amp;$D$48:$D$281,0),MATCH($A32,$E$47:$O$47,0))</f>
        <v>27853.674828869105</v>
      </c>
      <c r="I32" s="14">
        <f t="array" ref="I32">INDEX($E$48:$O$281,MATCH(I$24&amp;$B$22,$B$48:$B$281&amp;$D$48:$D$281,0),MATCH($A32,$E$47:$O$47,0))</f>
        <v>32321.179113039554</v>
      </c>
      <c r="J32" s="14">
        <f t="array" ref="J32">INDEX($E$48:$O$281,MATCH(J$24&amp;$B$22,$B$48:$B$281&amp;$D$48:$D$281,0),MATCH($A32,$E$47:$O$47,0))</f>
        <v>31830.504661701816</v>
      </c>
      <c r="K32" s="14" t="e">
        <f t="array" ref="K32">INDEX($E$48:$O$281,MATCH(K$24&amp;$B$22,$B$48:$B$281&amp;$D$48:$D$281,0),MATCH($A32,$E$47:$O$47,0))</f>
        <v>#N/A</v>
      </c>
      <c r="L32" s="14" t="e">
        <f t="array" ref="L32">INDEX($E$48:$O$281,MATCH(L$24&amp;$B$22,$B$48:$B$281&amp;$D$48:$D$281,0),MATCH($A32,$E$47:$O$47,0))</f>
        <v>#N/A</v>
      </c>
      <c r="M32" s="14" t="e">
        <f t="array" ref="M32">INDEX($E$48:$O$281,MATCH(M$24&amp;$B$22,$B$48:$B$281&amp;$D$48:$D$281,0),MATCH($A32,$E$47:$O$47,0))</f>
        <v>#N/A</v>
      </c>
    </row>
    <row r="33" spans="1:26" x14ac:dyDescent="0.3">
      <c r="A33" s="3">
        <v>2090</v>
      </c>
      <c r="B33" s="14">
        <f t="array" ref="B33">INDEX($E$48:$O$281,MATCH(B$24&amp;$B$22,$B$48:$B$281&amp;$D$48:$D$281,0),MATCH($A33,$E$47:$O$47,0))</f>
        <v>29589.318680615848</v>
      </c>
      <c r="C33" s="14">
        <f t="array" ref="C33">INDEX($E$48:$O$281,MATCH(C$24&amp;$B$22,$B$48:$B$281&amp;$D$48:$D$281,0),MATCH($A33,$E$47:$O$47,0))</f>
        <v>29589.318349177331</v>
      </c>
      <c r="D33" s="14">
        <f t="array" ref="D33">INDEX($E$48:$O$281,MATCH(D$24&amp;$B$22,$B$48:$B$281&amp;$D$48:$D$281,0),MATCH($A33,$E$47:$O$47,0))</f>
        <v>29657.004486752961</v>
      </c>
      <c r="E33" s="14">
        <f t="array" ref="E33">INDEX($E$48:$O$281,MATCH(E$24&amp;$B$22,$B$48:$B$281&amp;$D$48:$D$281,0),MATCH($A33,$E$47:$O$47,0))</f>
        <v>33882.624134339574</v>
      </c>
      <c r="F33" s="14">
        <f t="array" ref="F33">INDEX($E$48:$O$281,MATCH(F$24&amp;$B$22,$B$48:$B$281&amp;$D$48:$D$281,0),MATCH($A33,$E$47:$O$47,0))</f>
        <v>34040.583651713947</v>
      </c>
      <c r="G33" s="14">
        <f t="array" ref="G33">INDEX($E$48:$O$281,MATCH(G$24&amp;$B$22,$B$48:$B$281&amp;$D$48:$D$281,0),MATCH($A33,$E$47:$O$47,0))</f>
        <v>34520.052272393965</v>
      </c>
      <c r="H33" s="14">
        <f t="array" ref="H33">INDEX($E$48:$O$281,MATCH(H$24&amp;$B$22,$B$48:$B$281&amp;$D$48:$D$281,0),MATCH($A33,$E$47:$O$47,0))</f>
        <v>29895.527596969056</v>
      </c>
      <c r="I33" s="14">
        <f t="array" ref="I33">INDEX($E$48:$O$281,MATCH(I$24&amp;$B$22,$B$48:$B$281&amp;$D$48:$D$281,0),MATCH($A33,$E$47:$O$47,0))</f>
        <v>34279.762621274269</v>
      </c>
      <c r="J33" s="14">
        <f t="array" ref="J33">INDEX($E$48:$O$281,MATCH(J$24&amp;$B$22,$B$48:$B$281&amp;$D$48:$D$281,0),MATCH($A33,$E$47:$O$47,0))</f>
        <v>34283.391057273002</v>
      </c>
      <c r="K33" s="14" t="e">
        <f t="array" ref="K33">INDEX($E$48:$O$281,MATCH(K$24&amp;$B$22,$B$48:$B$281&amp;$D$48:$D$281,0),MATCH($A33,$E$47:$O$47,0))</f>
        <v>#N/A</v>
      </c>
      <c r="L33" s="14" t="e">
        <f t="array" ref="L33">INDEX($E$48:$O$281,MATCH(L$24&amp;$B$22,$B$48:$B$281&amp;$D$48:$D$281,0),MATCH($A33,$E$47:$O$47,0))</f>
        <v>#N/A</v>
      </c>
      <c r="M33" s="14" t="e">
        <f t="array" ref="M33">INDEX($E$48:$O$281,MATCH(M$24&amp;$B$22,$B$48:$B$281&amp;$D$48:$D$281,0),MATCH($A33,$E$47:$O$47,0))</f>
        <v>#N/A</v>
      </c>
    </row>
    <row r="34" spans="1:26" x14ac:dyDescent="0.3">
      <c r="A34" s="3">
        <v>2100</v>
      </c>
      <c r="B34" s="14">
        <f t="array" ref="B34">INDEX($E$48:$O$281,MATCH(B$24&amp;$B$22,$B$48:$B$281&amp;$D$48:$D$281,0),MATCH($A34,$E$47:$O$47,0))</f>
        <v>32047.129512268166</v>
      </c>
      <c r="C34" s="14">
        <f t="array" ref="C34">INDEX($E$48:$O$281,MATCH(C$24&amp;$B$22,$B$48:$B$281&amp;$D$48:$D$281,0),MATCH($A34,$E$47:$O$47,0))</f>
        <v>32046.935716094962</v>
      </c>
      <c r="D34" s="14">
        <f t="array" ref="D34">INDEX($E$48:$O$281,MATCH(D$24&amp;$B$22,$B$48:$B$281&amp;$D$48:$D$281,0),MATCH($A34,$E$47:$O$47,0))</f>
        <v>32065.776262808151</v>
      </c>
      <c r="E34" s="14">
        <f t="array" ref="E34">INDEX($E$48:$O$281,MATCH(E$24&amp;$B$22,$B$48:$B$281&amp;$D$48:$D$281,0),MATCH($A34,$E$47:$O$47,0))</f>
        <v>37273.194565329461</v>
      </c>
      <c r="F34" s="14">
        <f t="array" ref="F34">INDEX($E$48:$O$281,MATCH(F$24&amp;$B$22,$B$48:$B$281&amp;$D$48:$D$281,0),MATCH($A34,$E$47:$O$47,0))</f>
        <v>37304.935146654447</v>
      </c>
      <c r="G34" s="14">
        <f t="array" ref="G34">INDEX($E$48:$O$281,MATCH(G$24&amp;$B$22,$B$48:$B$281&amp;$D$48:$D$281,0),MATCH($A34,$E$47:$O$47,0))</f>
        <v>37389.988301122634</v>
      </c>
      <c r="H34" s="14">
        <f t="array" ref="H34">INDEX($E$48:$O$281,MATCH(H$24&amp;$B$22,$B$48:$B$281&amp;$D$48:$D$281,0),MATCH($A34,$E$47:$O$47,0))</f>
        <v>31816.857055127206</v>
      </c>
      <c r="I34" s="14">
        <f t="array" ref="I34">INDEX($E$48:$O$281,MATCH(I$24&amp;$B$22,$B$48:$B$281&amp;$D$48:$D$281,0),MATCH($A34,$E$47:$O$47,0))</f>
        <v>37380.290281786707</v>
      </c>
      <c r="J34" s="14">
        <f t="array" ref="J34">INDEX($E$48:$O$281,MATCH(J$24&amp;$B$22,$B$48:$B$281&amp;$D$48:$D$281,0),MATCH($A34,$E$47:$O$47,0))</f>
        <v>37450.997531400237</v>
      </c>
      <c r="K34" s="14" t="e">
        <f t="array" ref="K34">INDEX($E$48:$O$281,MATCH(K$24&amp;$B$22,$B$48:$B$281&amp;$D$48:$D$281,0),MATCH($A34,$E$47:$O$47,0))</f>
        <v>#N/A</v>
      </c>
      <c r="L34" s="14" t="e">
        <f t="array" ref="L34">INDEX($E$48:$O$281,MATCH(L$24&amp;$B$22,$B$48:$B$281&amp;$D$48:$D$281,0),MATCH($A34,$E$47:$O$47,0))</f>
        <v>#N/A</v>
      </c>
      <c r="M34" s="14" t="e">
        <f t="array" ref="M34">INDEX($E$48:$O$281,MATCH(M$24&amp;$B$22,$B$48:$B$281&amp;$D$48:$D$281,0),MATCH($A34,$E$47:$O$47,0))</f>
        <v>#N/A</v>
      </c>
    </row>
    <row r="36" spans="1:26" x14ac:dyDescent="0.3">
      <c r="A36" s="3" t="s">
        <v>192</v>
      </c>
      <c r="B36" s="3">
        <v>2012</v>
      </c>
      <c r="C36" s="3">
        <v>2030</v>
      </c>
      <c r="D36" s="3">
        <v>2030</v>
      </c>
      <c r="E36" s="3">
        <v>2030</v>
      </c>
      <c r="F36" s="3">
        <v>2030</v>
      </c>
      <c r="G36" s="3">
        <v>2030</v>
      </c>
      <c r="H36" s="3">
        <v>2030</v>
      </c>
      <c r="I36" s="3">
        <v>2030</v>
      </c>
      <c r="J36" s="3">
        <v>2030</v>
      </c>
      <c r="K36" s="3">
        <v>2030</v>
      </c>
      <c r="L36" s="3">
        <v>2030</v>
      </c>
      <c r="M36" s="3">
        <v>2030</v>
      </c>
      <c r="N36" s="3">
        <v>2030</v>
      </c>
      <c r="O36" s="3">
        <v>2050</v>
      </c>
      <c r="P36" s="3">
        <v>2050</v>
      </c>
      <c r="Q36" s="3">
        <v>2050</v>
      </c>
      <c r="R36" s="3">
        <v>2050</v>
      </c>
      <c r="S36" s="3">
        <v>2050</v>
      </c>
      <c r="T36" s="3">
        <v>2050</v>
      </c>
      <c r="U36" s="3">
        <v>2050</v>
      </c>
      <c r="V36" s="3">
        <v>2050</v>
      </c>
      <c r="W36" s="3">
        <v>2050</v>
      </c>
      <c r="X36" s="3">
        <v>2050</v>
      </c>
      <c r="Y36" s="3">
        <v>2050</v>
      </c>
      <c r="Z36" s="3">
        <v>2050</v>
      </c>
    </row>
    <row r="37" spans="1:26" x14ac:dyDescent="0.3">
      <c r="B37" s="3">
        <v>2012</v>
      </c>
      <c r="C37" s="786">
        <v>2030</v>
      </c>
      <c r="D37" s="786"/>
      <c r="E37" s="786"/>
      <c r="F37" s="786"/>
      <c r="G37" s="786"/>
      <c r="H37" s="786"/>
      <c r="I37" s="786"/>
      <c r="J37" s="786"/>
      <c r="K37" s="786"/>
      <c r="L37" s="786"/>
      <c r="M37" s="786"/>
      <c r="N37" s="786"/>
      <c r="O37" s="786">
        <v>2050</v>
      </c>
      <c r="P37" s="786"/>
      <c r="Q37" s="786"/>
      <c r="R37" s="786"/>
      <c r="S37" s="786"/>
      <c r="T37" s="786"/>
      <c r="U37" s="786"/>
      <c r="V37" s="786"/>
      <c r="W37" s="786"/>
      <c r="X37" s="786"/>
      <c r="Y37" s="786"/>
      <c r="Z37" s="786"/>
    </row>
    <row r="38" spans="1:26" x14ac:dyDescent="0.3">
      <c r="A38" s="3" t="s">
        <v>252</v>
      </c>
      <c r="B38" s="3" t="str">
        <f>$B$24</f>
        <v>Vivid_0A</v>
      </c>
      <c r="C38" s="3" t="str">
        <f>B$24</f>
        <v>Vivid_0A</v>
      </c>
      <c r="D38" s="3" t="str">
        <f t="shared" ref="D38:N38" si="2">C$24</f>
        <v>Vivid_0A_BAU</v>
      </c>
      <c r="E38" s="3" t="str">
        <f t="shared" si="2"/>
        <v>Vivid_0B</v>
      </c>
      <c r="F38" s="3" t="str">
        <f t="shared" si="2"/>
        <v>Vivid_1</v>
      </c>
      <c r="G38" s="3" t="str">
        <f t="shared" si="2"/>
        <v>Vivid_2</v>
      </c>
      <c r="H38" s="3" t="str">
        <f t="shared" si="2"/>
        <v>Vivid_13</v>
      </c>
      <c r="I38" s="3" t="str">
        <f t="shared" si="2"/>
        <v>Vivid_14</v>
      </c>
      <c r="J38" s="3" t="str">
        <f t="shared" si="2"/>
        <v>Vivid_25</v>
      </c>
      <c r="K38" s="3" t="str">
        <f t="shared" si="2"/>
        <v>Vivid_26</v>
      </c>
      <c r="L38" s="3" t="str">
        <f t="shared" si="2"/>
        <v/>
      </c>
      <c r="M38" s="3" t="str">
        <f t="shared" si="2"/>
        <v/>
      </c>
      <c r="N38" s="3" t="str">
        <f t="shared" si="2"/>
        <v/>
      </c>
      <c r="O38" s="3" t="str">
        <f>B$24</f>
        <v>Vivid_0A</v>
      </c>
      <c r="P38" s="3" t="str">
        <f t="shared" ref="P38:Z38" si="3">C$24</f>
        <v>Vivid_0A_BAU</v>
      </c>
      <c r="Q38" s="3" t="str">
        <f t="shared" si="3"/>
        <v>Vivid_0B</v>
      </c>
      <c r="R38" s="3" t="str">
        <f t="shared" si="3"/>
        <v>Vivid_1</v>
      </c>
      <c r="S38" s="3" t="str">
        <f t="shared" si="3"/>
        <v>Vivid_2</v>
      </c>
      <c r="T38" s="3" t="str">
        <f t="shared" si="3"/>
        <v>Vivid_13</v>
      </c>
      <c r="U38" s="3" t="str">
        <f t="shared" si="3"/>
        <v>Vivid_14</v>
      </c>
      <c r="V38" s="3" t="str">
        <f t="shared" si="3"/>
        <v>Vivid_25</v>
      </c>
      <c r="W38" s="3" t="str">
        <f t="shared" si="3"/>
        <v>Vivid_26</v>
      </c>
      <c r="X38" s="3" t="str">
        <f t="shared" si="3"/>
        <v/>
      </c>
      <c r="Y38" s="3" t="str">
        <f t="shared" si="3"/>
        <v/>
      </c>
      <c r="Z38" s="3" t="str">
        <f t="shared" si="3"/>
        <v/>
      </c>
    </row>
    <row r="39" spans="1:26" x14ac:dyDescent="0.3">
      <c r="A39" s="3" t="s">
        <v>325</v>
      </c>
      <c r="B39" s="14">
        <f t="array" ref="B39">INDEX($E$48:$O$281,MATCH(B$38&amp;$A39,$B$48:$B$281&amp;$D$48:$D$281,0),MATCH(B$36,$E$47:$O$47,0))</f>
        <v>156.6315521560405</v>
      </c>
      <c r="C39" s="14">
        <f t="array" ref="C39">INDEX($E$48:$O$281,MATCH(C$38&amp;$A39,$B$48:$B$281&amp;$D$48:$D$281,0),MATCH(C$36,$E$47:$O$47,0))</f>
        <v>2689.2532180821918</v>
      </c>
      <c r="D39" s="14">
        <f t="array" ref="D39">INDEX($E$48:$O$281,MATCH(D$38&amp;$A39,$B$48:$B$281&amp;$D$48:$D$281,0),MATCH(D$36,$E$47:$O$47,0))</f>
        <v>2551.6170493957902</v>
      </c>
      <c r="E39" s="14">
        <f t="array" ref="E39">INDEX($E$48:$O$281,MATCH(E$38&amp;$A39,$B$48:$B$281&amp;$D$48:$D$281,0),MATCH(E$36,$E$47:$O$47,0))</f>
        <v>1939.5191416210841</v>
      </c>
      <c r="F39" s="14">
        <f t="array" ref="F39">INDEX($E$48:$O$281,MATCH(F$38&amp;$A39,$B$48:$B$281&amp;$D$48:$D$281,0),MATCH(F$36,$E$47:$O$47,0))</f>
        <v>1665.5252192606074</v>
      </c>
      <c r="G39" s="14">
        <f t="array" ref="G39">INDEX($E$48:$O$281,MATCH(G$38&amp;$A39,$B$48:$B$281&amp;$D$48:$D$281,0),MATCH(G$36,$E$47:$O$47,0))</f>
        <v>1939.5191416210841</v>
      </c>
      <c r="H39" s="14">
        <f t="array" ref="H39">INDEX($E$48:$O$281,MATCH(H$38&amp;$A39,$B$48:$B$281&amp;$D$48:$D$281,0),MATCH(H$36,$E$47:$O$47,0))</f>
        <v>1201.3317090132505</v>
      </c>
      <c r="I39" s="14">
        <f t="array" ref="I39">INDEX($E$48:$O$281,MATCH(I$38&amp;$A39,$B$48:$B$281&amp;$D$48:$D$281,0),MATCH(I$36,$E$47:$O$47,0))</f>
        <v>1939.5191416210841</v>
      </c>
      <c r="J39" s="14">
        <f t="array" ref="J39">INDEX($E$48:$O$281,MATCH(J$38&amp;$A39,$B$48:$B$281&amp;$D$48:$D$281,0),MATCH(J$36,$E$47:$O$47,0))</f>
        <v>1558.0747825819149</v>
      </c>
      <c r="K39" s="14">
        <f t="array" ref="K39">INDEX($E$48:$O$281,MATCH(K$38&amp;$A39,$B$48:$B$281&amp;$D$48:$D$281,0),MATCH(K$36,$E$47:$O$47,0))</f>
        <v>1939.5191416210841</v>
      </c>
      <c r="L39" s="14" t="e">
        <f t="array" ref="L39">INDEX($E$48:$O$281,MATCH(L$38&amp;$A39,$B$48:$B$281&amp;$D$48:$D$281,0),MATCH(L$36,$E$47:$O$47,0))</f>
        <v>#N/A</v>
      </c>
      <c r="M39" s="14" t="e">
        <f t="array" ref="M39">INDEX($E$48:$O$281,MATCH(M$38&amp;$A39,$B$48:$B$281&amp;$D$48:$D$281,0),MATCH(M$36,$E$47:$O$47,0))</f>
        <v>#N/A</v>
      </c>
      <c r="N39" s="14" t="e">
        <f t="array" ref="N39">INDEX($E$48:$O$281,MATCH(N$38&amp;$A39,$B$48:$B$281&amp;$D$48:$D$281,0),MATCH(N$36,$E$47:$O$47,0))</f>
        <v>#N/A</v>
      </c>
      <c r="O39" s="14">
        <f t="array" ref="O39">INDEX($E$48:$O$281,MATCH(O$38&amp;$A39,$B$48:$B$281&amp;$D$48:$D$281,0),MATCH(O$36,$E$47:$O$47,0))</f>
        <v>4236.8678304942987</v>
      </c>
      <c r="P39" s="14">
        <f t="array" ref="P39">INDEX($E$48:$O$281,MATCH(P$38&amp;$A39,$B$48:$B$281&amp;$D$48:$D$281,0),MATCH(P$36,$E$47:$O$47,0))</f>
        <v>4261.9734978118731</v>
      </c>
      <c r="Q39" s="14">
        <f t="array" ref="Q39">INDEX($E$48:$O$281,MATCH(Q$38&amp;$A39,$B$48:$B$281&amp;$D$48:$D$281,0),MATCH(Q$36,$E$47:$O$47,0))</f>
        <v>4081.4319994565894</v>
      </c>
      <c r="R39" s="14">
        <f t="array" ref="R39">INDEX($E$48:$O$281,MATCH(R$38&amp;$A39,$B$48:$B$281&amp;$D$48:$D$281,0),MATCH(R$36,$E$47:$O$47,0))</f>
        <v>3282.5240196734026</v>
      </c>
      <c r="S39" s="14">
        <f t="array" ref="S39">INDEX($E$48:$O$281,MATCH(S$38&amp;$A39,$B$48:$B$281&amp;$D$48:$D$281,0),MATCH(S$36,$E$47:$O$47,0))</f>
        <v>2861.0198775308363</v>
      </c>
      <c r="T39" s="14">
        <f t="array" ref="T39">INDEX($E$48:$O$281,MATCH(T$38&amp;$A39,$B$48:$B$281&amp;$D$48:$D$281,0),MATCH(T$36,$E$47:$O$47,0))</f>
        <v>1915.5710333044274</v>
      </c>
      <c r="U39" s="14">
        <f t="array" ref="U39">INDEX($E$48:$O$281,MATCH(U$38&amp;$A39,$B$48:$B$281&amp;$D$48:$D$281,0),MATCH(U$36,$E$47:$O$47,0))</f>
        <v>2356.068508613731</v>
      </c>
      <c r="V39" s="14">
        <f t="array" ref="V39">INDEX($E$48:$O$281,MATCH(V$38&amp;$A39,$B$48:$B$281&amp;$D$48:$D$281,0),MATCH(V$36,$E$47:$O$47,0))</f>
        <v>2129.6493924172046</v>
      </c>
      <c r="W39" s="14">
        <f t="array" ref="W39">INDEX($E$48:$O$281,MATCH(W$38&amp;$A39,$B$48:$B$281&amp;$D$48:$D$281,0),MATCH(W$36,$E$47:$O$47,0))</f>
        <v>1575.1086388193585</v>
      </c>
      <c r="X39" s="14" t="e">
        <f t="array" ref="X39">INDEX($E$48:$O$281,MATCH(X$38&amp;$A39,$B$48:$B$281&amp;$D$48:$D$281,0),MATCH(X$36,$E$47:$O$47,0))</f>
        <v>#N/A</v>
      </c>
      <c r="Y39" s="14" t="e">
        <f t="array" ref="Y39">INDEX($E$48:$O$281,MATCH(Y$38&amp;$A39,$B$48:$B$281&amp;$D$48:$D$281,0),MATCH(Y$36,$E$47:$O$47,0))</f>
        <v>#N/A</v>
      </c>
      <c r="Z39" s="14" t="e">
        <f t="array" ref="Z39">INDEX($E$48:$O$281,MATCH(Z$38&amp;$A39,$B$48:$B$281&amp;$D$48:$D$281,0),MATCH(Z$36,$E$47:$O$47,0))</f>
        <v>#N/A</v>
      </c>
    </row>
    <row r="40" spans="1:26" x14ac:dyDescent="0.3">
      <c r="A40" s="3" t="s">
        <v>324</v>
      </c>
      <c r="B40" s="14">
        <f t="array" ref="B40">INDEX($E$48:$O$281,MATCH(B$38&amp;$A40,$B$48:$B$281&amp;$D$48:$D$281,0),MATCH(B$36,$E$47:$O$47,0))</f>
        <v>6.1144027199999992E-2</v>
      </c>
      <c r="C40" s="14">
        <f t="array" ref="C40">INDEX($E$48:$O$281,MATCH(C$38&amp;$A40,$B$48:$B$281&amp;$D$48:$D$281,0),MATCH(C$36,$E$47:$O$47,0))</f>
        <v>355.53808330786768</v>
      </c>
      <c r="D40" s="14">
        <f t="array" ref="D40">INDEX($E$48:$O$281,MATCH(D$38&amp;$A40,$B$48:$B$281&amp;$D$48:$D$281,0),MATCH(D$36,$E$47:$O$47,0))</f>
        <v>355.53808330786762</v>
      </c>
      <c r="E40" s="14">
        <f t="array" ref="E40">INDEX($E$48:$O$281,MATCH(E$38&amp;$A40,$B$48:$B$281&amp;$D$48:$D$281,0),MATCH(E$36,$E$47:$O$47,0))</f>
        <v>527.86598912037414</v>
      </c>
      <c r="F40" s="14">
        <f t="array" ref="F40">INDEX($E$48:$O$281,MATCH(F$38&amp;$A40,$B$48:$B$281&amp;$D$48:$D$281,0),MATCH(F$36,$E$47:$O$47,0))</f>
        <v>571.0772213208769</v>
      </c>
      <c r="G40" s="14">
        <f t="array" ref="G40">INDEX($E$48:$O$281,MATCH(G$38&amp;$A40,$B$48:$B$281&amp;$D$48:$D$281,0),MATCH(G$36,$E$47:$O$47,0))</f>
        <v>527.86598912037414</v>
      </c>
      <c r="H40" s="14">
        <f t="array" ref="H40">INDEX($E$48:$O$281,MATCH(H$38&amp;$A40,$B$48:$B$281&amp;$D$48:$D$281,0),MATCH(H$36,$E$47:$O$47,0))</f>
        <v>665.05064902766617</v>
      </c>
      <c r="I40" s="14">
        <f t="array" ref="I40">INDEX($E$48:$O$281,MATCH(I$38&amp;$A40,$B$48:$B$281&amp;$D$48:$D$281,0),MATCH(I$36,$E$47:$O$47,0))</f>
        <v>527.86598912037414</v>
      </c>
      <c r="J40" s="14">
        <f t="array" ref="J40">INDEX($E$48:$O$281,MATCH(J$38&amp;$A40,$B$48:$B$281&amp;$D$48:$D$281,0),MATCH(J$36,$E$47:$O$47,0))</f>
        <v>616.9359513247648</v>
      </c>
      <c r="K40" s="14">
        <f t="array" ref="K40">INDEX($E$48:$O$281,MATCH(K$38&amp;$A40,$B$48:$B$281&amp;$D$48:$D$281,0),MATCH(K$36,$E$47:$O$47,0))</f>
        <v>527.86598912037414</v>
      </c>
      <c r="L40" s="14" t="e">
        <f t="array" ref="L40">INDEX($E$48:$O$281,MATCH(L$38&amp;$A40,$B$48:$B$281&amp;$D$48:$D$281,0),MATCH(L$36,$E$47:$O$47,0))</f>
        <v>#N/A</v>
      </c>
      <c r="M40" s="14" t="e">
        <f t="array" ref="M40">INDEX($E$48:$O$281,MATCH(M$38&amp;$A40,$B$48:$B$281&amp;$D$48:$D$281,0),MATCH(M$36,$E$47:$O$47,0))</f>
        <v>#N/A</v>
      </c>
      <c r="N40" s="14" t="e">
        <f t="array" ref="N40">INDEX($E$48:$O$281,MATCH(N$38&amp;$A40,$B$48:$B$281&amp;$D$48:$D$281,0),MATCH(N$36,$E$47:$O$47,0))</f>
        <v>#N/A</v>
      </c>
      <c r="O40" s="14">
        <f t="array" ref="O40">INDEX($E$48:$O$281,MATCH(O$38&amp;$A40,$B$48:$B$281&amp;$D$48:$D$281,0),MATCH(O$36,$E$47:$O$47,0))</f>
        <v>12068.61050999042</v>
      </c>
      <c r="P40" s="14">
        <f t="array" ref="P40">INDEX($E$48:$O$281,MATCH(P$38&amp;$A40,$B$48:$B$281&amp;$D$48:$D$281,0),MATCH(P$36,$E$47:$O$47,0))</f>
        <v>11962.909373298215</v>
      </c>
      <c r="Q40" s="14">
        <f t="array" ref="Q40">INDEX($E$48:$O$281,MATCH(Q$38&amp;$A40,$B$48:$B$281&amp;$D$48:$D$281,0),MATCH(Q$36,$E$47:$O$47,0))</f>
        <v>14036.289169606507</v>
      </c>
      <c r="R40" s="14">
        <f t="array" ref="R40">INDEX($E$48:$O$281,MATCH(R$38&amp;$A40,$B$48:$B$281&amp;$D$48:$D$281,0),MATCH(R$36,$E$47:$O$47,0))</f>
        <v>14848.182316384198</v>
      </c>
      <c r="S40" s="14">
        <f t="array" ref="S40">INDEX($E$48:$O$281,MATCH(S$38&amp;$A40,$B$48:$B$281&amp;$D$48:$D$281,0),MATCH(S$36,$E$47:$O$47,0))</f>
        <v>14534.873802718907</v>
      </c>
      <c r="T40" s="14">
        <f t="array" ref="T40">INDEX($E$48:$O$281,MATCH(T$38&amp;$A40,$B$48:$B$281&amp;$D$48:$D$281,0),MATCH(T$36,$E$47:$O$47,0))</f>
        <v>11476.75907969812</v>
      </c>
      <c r="U40" s="14">
        <f t="array" ref="U40">INDEX($E$48:$O$281,MATCH(U$38&amp;$A40,$B$48:$B$281&amp;$D$48:$D$281,0),MATCH(U$36,$E$47:$O$47,0))</f>
        <v>6465.437313483967</v>
      </c>
      <c r="V40" s="14">
        <f t="array" ref="V40">INDEX($E$48:$O$281,MATCH(V$38&amp;$A40,$B$48:$B$281&amp;$D$48:$D$281,0),MATCH(V$36,$E$47:$O$47,0))</f>
        <v>15676.182554143497</v>
      </c>
      <c r="W40" s="14">
        <f t="array" ref="W40">INDEX($E$48:$O$281,MATCH(W$38&amp;$A40,$B$48:$B$281&amp;$D$48:$D$281,0),MATCH(W$36,$E$47:$O$47,0))</f>
        <v>14639.370146671916</v>
      </c>
      <c r="X40" s="14" t="e">
        <f t="array" ref="X40">INDEX($E$48:$O$281,MATCH(X$38&amp;$A40,$B$48:$B$281&amp;$D$48:$D$281,0),MATCH(X$36,$E$47:$O$47,0))</f>
        <v>#N/A</v>
      </c>
      <c r="Y40" s="14" t="e">
        <f t="array" ref="Y40">INDEX($E$48:$O$281,MATCH(Y$38&amp;$A40,$B$48:$B$281&amp;$D$48:$D$281,0),MATCH(Y$36,$E$47:$O$47,0))</f>
        <v>#N/A</v>
      </c>
      <c r="Z40" s="14" t="e">
        <f t="array" ref="Z40">INDEX($E$48:$O$281,MATCH(Z$38&amp;$A40,$B$48:$B$281&amp;$D$48:$D$281,0),MATCH(Z$36,$E$47:$O$47,0))</f>
        <v>#N/A</v>
      </c>
    </row>
    <row r="41" spans="1:26" x14ac:dyDescent="0.3">
      <c r="A41" s="3" t="s">
        <v>326</v>
      </c>
      <c r="B41" s="14">
        <f t="array" ref="B41">INDEX($E$48:$O$281,MATCH(B$38&amp;$A41,$B$48:$B$281&amp;$D$48:$D$281,0),MATCH(B$36,$E$47:$O$47,0))</f>
        <v>0</v>
      </c>
      <c r="C41" s="14">
        <f t="array" ref="C41">INDEX($E$48:$O$281,MATCH(C$38&amp;$A41,$B$48:$B$281&amp;$D$48:$D$281,0),MATCH(C$36,$E$47:$O$47,0))</f>
        <v>481.28086698579983</v>
      </c>
      <c r="D41" s="14">
        <f t="array" ref="D41">INDEX($E$48:$O$281,MATCH(D$38&amp;$A41,$B$48:$B$281&amp;$D$48:$D$281,0),MATCH(D$36,$E$47:$O$47,0))</f>
        <v>481.28086698579926</v>
      </c>
      <c r="E41" s="14">
        <f t="array" ref="E41">INDEX($E$48:$O$281,MATCH(E$38&amp;$A41,$B$48:$B$281&amp;$D$48:$D$281,0),MATCH(E$36,$E$47:$O$47,0))</f>
        <v>482.8334985499514</v>
      </c>
      <c r="F41" s="14">
        <f t="array" ref="F41">INDEX($E$48:$O$281,MATCH(F$38&amp;$A41,$B$48:$B$281&amp;$D$48:$D$281,0),MATCH(F$36,$E$47:$O$47,0))</f>
        <v>481.68557757966153</v>
      </c>
      <c r="G41" s="14">
        <f t="array" ref="G41">INDEX($E$48:$O$281,MATCH(G$38&amp;$A41,$B$48:$B$281&amp;$D$48:$D$281,0),MATCH(G$36,$E$47:$O$47,0))</f>
        <v>482.8334985499514</v>
      </c>
      <c r="H41" s="14">
        <f t="array" ref="H41">INDEX($E$48:$O$281,MATCH(H$38&amp;$A41,$B$48:$B$281&amp;$D$48:$D$281,0),MATCH(H$36,$E$47:$O$47,0))</f>
        <v>326.3611685222171</v>
      </c>
      <c r="I41" s="14">
        <f t="array" ref="I41">INDEX($E$48:$O$281,MATCH(I$38&amp;$A41,$B$48:$B$281&amp;$D$48:$D$281,0),MATCH(I$36,$E$47:$O$47,0))</f>
        <v>482.8334985499514</v>
      </c>
      <c r="J41" s="14">
        <f t="array" ref="J41">INDEX($E$48:$O$281,MATCH(J$38&amp;$A41,$B$48:$B$281&amp;$D$48:$D$281,0),MATCH(J$36,$E$47:$O$47,0))</f>
        <v>471.99519681892286</v>
      </c>
      <c r="K41" s="14">
        <f t="array" ref="K41">INDEX($E$48:$O$281,MATCH(K$38&amp;$A41,$B$48:$B$281&amp;$D$48:$D$281,0),MATCH(K$36,$E$47:$O$47,0))</f>
        <v>482.8334985499514</v>
      </c>
      <c r="L41" s="14" t="e">
        <f t="array" ref="L41">INDEX($E$48:$O$281,MATCH(L$38&amp;$A41,$B$48:$B$281&amp;$D$48:$D$281,0),MATCH(L$36,$E$47:$O$47,0))</f>
        <v>#N/A</v>
      </c>
      <c r="M41" s="14" t="e">
        <f t="array" ref="M41">INDEX($E$48:$O$281,MATCH(M$38&amp;$A41,$B$48:$B$281&amp;$D$48:$D$281,0),MATCH(M$36,$E$47:$O$47,0))</f>
        <v>#N/A</v>
      </c>
      <c r="N41" s="14" t="e">
        <f t="array" ref="N41">INDEX($E$48:$O$281,MATCH(N$38&amp;$A41,$B$48:$B$281&amp;$D$48:$D$281,0),MATCH(N$36,$E$47:$O$47,0))</f>
        <v>#N/A</v>
      </c>
      <c r="O41" s="14">
        <f t="array" ref="O41">INDEX($E$48:$O$281,MATCH(O$38&amp;$A41,$B$48:$B$281&amp;$D$48:$D$281,0),MATCH(O$36,$E$47:$O$47,0))</f>
        <v>886.48696521742045</v>
      </c>
      <c r="P41" s="14">
        <f t="array" ref="P41">INDEX($E$48:$O$281,MATCH(P$38&amp;$A41,$B$48:$B$281&amp;$D$48:$D$281,0),MATCH(P$36,$E$47:$O$47,0))</f>
        <v>886.48696521742056</v>
      </c>
      <c r="Q41" s="14">
        <f t="array" ref="Q41">INDEX($E$48:$O$281,MATCH(Q$38&amp;$A41,$B$48:$B$281&amp;$D$48:$D$281,0),MATCH(Q$36,$E$47:$O$47,0))</f>
        <v>886.61445609937277</v>
      </c>
      <c r="R41" s="14">
        <f t="array" ref="R41">INDEX($E$48:$O$281,MATCH(R$38&amp;$A41,$B$48:$B$281&amp;$D$48:$D$281,0),MATCH(R$36,$E$47:$O$47,0))</f>
        <v>886.59185964381095</v>
      </c>
      <c r="S41" s="14">
        <f t="array" ref="S41">INDEX($E$48:$O$281,MATCH(S$38&amp;$A41,$B$48:$B$281&amp;$D$48:$D$281,0),MATCH(S$36,$E$47:$O$47,0))</f>
        <v>885.71715120151725</v>
      </c>
      <c r="T41" s="14">
        <f t="array" ref="T41">INDEX($E$48:$O$281,MATCH(T$38&amp;$A41,$B$48:$B$281&amp;$D$48:$D$281,0),MATCH(T$36,$E$47:$O$47,0))</f>
        <v>75.020017963512473</v>
      </c>
      <c r="U41" s="14">
        <f t="array" ref="U41">INDEX($E$48:$O$281,MATCH(U$38&amp;$A41,$B$48:$B$281&amp;$D$48:$D$281,0),MATCH(U$36,$E$47:$O$47,0))</f>
        <v>143.33270869343755</v>
      </c>
      <c r="V41" s="14">
        <f t="array" ref="V41">INDEX($E$48:$O$281,MATCH(V$38&amp;$A41,$B$48:$B$281&amp;$D$48:$D$281,0),MATCH(V$36,$E$47:$O$47,0))</f>
        <v>878.92105526194382</v>
      </c>
      <c r="W41" s="14">
        <f t="array" ref="W41">INDEX($E$48:$O$281,MATCH(W$38&amp;$A41,$B$48:$B$281&amp;$D$48:$D$281,0),MATCH(W$36,$E$47:$O$47,0))</f>
        <v>812.45158515724108</v>
      </c>
      <c r="X41" s="14" t="e">
        <f t="array" ref="X41">INDEX($E$48:$O$281,MATCH(X$38&amp;$A41,$B$48:$B$281&amp;$D$48:$D$281,0),MATCH(X$36,$E$47:$O$47,0))</f>
        <v>#N/A</v>
      </c>
      <c r="Y41" s="14" t="e">
        <f t="array" ref="Y41">INDEX($E$48:$O$281,MATCH(Y$38&amp;$A41,$B$48:$B$281&amp;$D$48:$D$281,0),MATCH(Y$36,$E$47:$O$47,0))</f>
        <v>#N/A</v>
      </c>
      <c r="Z41" s="14" t="e">
        <f t="array" ref="Z41">INDEX($E$48:$O$281,MATCH(Z$38&amp;$A41,$B$48:$B$281&amp;$D$48:$D$281,0),MATCH(Z$36,$E$47:$O$47,0))</f>
        <v>#N/A</v>
      </c>
    </row>
    <row r="42" spans="1:26" x14ac:dyDescent="0.3">
      <c r="A42" s="3" t="s">
        <v>327</v>
      </c>
      <c r="B42" s="14">
        <f t="array" ref="B42">INDEX($E$48:$O$281,MATCH(B$38&amp;$A42,$B$48:$B$281&amp;$D$48:$D$281,0),MATCH(B$36,$E$47:$O$47,0))</f>
        <v>17010.52444269968</v>
      </c>
      <c r="C42" s="14">
        <f t="array" ref="C42">INDEX($E$48:$O$281,MATCH(C$38&amp;$A42,$B$48:$B$281&amp;$D$48:$D$281,0),MATCH(C$36,$E$47:$O$47,0))</f>
        <v>20063.922071324712</v>
      </c>
      <c r="D42" s="14">
        <f t="array" ref="D42">INDEX($E$48:$O$281,MATCH(D$38&amp;$A42,$B$48:$B$281&amp;$D$48:$D$281,0),MATCH(D$36,$E$47:$O$47,0))</f>
        <v>20185.022799104991</v>
      </c>
      <c r="E42" s="14">
        <f t="array" ref="E42">INDEX($E$48:$O$281,MATCH(E$38&amp;$A42,$B$48:$B$281&amp;$D$48:$D$281,0),MATCH(E$36,$E$47:$O$47,0))</f>
        <v>20725.30794297465</v>
      </c>
      <c r="F42" s="14">
        <f t="array" ref="F42">INDEX($E$48:$O$281,MATCH(F$38&amp;$A42,$B$48:$B$281&amp;$D$48:$D$281,0),MATCH(F$36,$E$47:$O$47,0))</f>
        <v>20961.758368697203</v>
      </c>
      <c r="G42" s="14">
        <f t="array" ref="G42">INDEX($E$48:$O$281,MATCH(G$38&amp;$A42,$B$48:$B$281&amp;$D$48:$D$281,0),MATCH(G$36,$E$47:$O$47,0))</f>
        <v>20725.30794297465</v>
      </c>
      <c r="H42" s="14">
        <f t="array" ref="H42">INDEX($E$48:$O$281,MATCH(H$38&amp;$A42,$B$48:$B$281&amp;$D$48:$D$281,0),MATCH(H$36,$E$47:$O$47,0))</f>
        <v>13702.673441094643</v>
      </c>
      <c r="I42" s="14">
        <f t="array" ref="I42">INDEX($E$48:$O$281,MATCH(I$38&amp;$A42,$B$48:$B$281&amp;$D$48:$D$281,0),MATCH(I$36,$E$47:$O$47,0))</f>
        <v>20725.30794297465</v>
      </c>
      <c r="J42" s="14">
        <f t="array" ref="J42">INDEX($E$48:$O$281,MATCH(J$38&amp;$A42,$B$48:$B$281&amp;$D$48:$D$281,0),MATCH(J$36,$E$47:$O$47,0))</f>
        <v>20762.008212491255</v>
      </c>
      <c r="K42" s="14">
        <f t="array" ref="K42">INDEX($E$48:$O$281,MATCH(K$38&amp;$A42,$B$48:$B$281&amp;$D$48:$D$281,0),MATCH(K$36,$E$47:$O$47,0))</f>
        <v>20725.30794297465</v>
      </c>
      <c r="L42" s="14" t="e">
        <f t="array" ref="L42">INDEX($E$48:$O$281,MATCH(L$38&amp;$A42,$B$48:$B$281&amp;$D$48:$D$281,0),MATCH(L$36,$E$47:$O$47,0))</f>
        <v>#N/A</v>
      </c>
      <c r="M42" s="14" t="e">
        <f t="array" ref="M42">INDEX($E$48:$O$281,MATCH(M$38&amp;$A42,$B$48:$B$281&amp;$D$48:$D$281,0),MATCH(M$36,$E$47:$O$47,0))</f>
        <v>#N/A</v>
      </c>
      <c r="N42" s="14" t="e">
        <f t="array" ref="N42">INDEX($E$48:$O$281,MATCH(N$38&amp;$A42,$B$48:$B$281&amp;$D$48:$D$281,0),MATCH(N$36,$E$47:$O$47,0))</f>
        <v>#N/A</v>
      </c>
      <c r="O42" s="14">
        <f t="array" ref="O42">INDEX($E$48:$O$281,MATCH(O$38&amp;$A42,$B$48:$B$281&amp;$D$48:$D$281,0),MATCH(O$36,$E$47:$O$47,0))</f>
        <v>15871.412351681429</v>
      </c>
      <c r="P42" s="14">
        <f t="array" ref="P42">INDEX($E$48:$O$281,MATCH(P$38&amp;$A42,$B$48:$B$281&amp;$D$48:$D$281,0),MATCH(P$36,$E$47:$O$47,0))</f>
        <v>15957.082749413657</v>
      </c>
      <c r="Q42" s="14">
        <f t="array" ref="Q42">INDEX($E$48:$O$281,MATCH(Q$38&amp;$A42,$B$48:$B$281&amp;$D$48:$D$281,0),MATCH(Q$36,$E$47:$O$47,0))</f>
        <v>14867.943274189052</v>
      </c>
      <c r="R42" s="14">
        <f t="array" ref="R42">INDEX($E$48:$O$281,MATCH(R$38&amp;$A42,$B$48:$B$281&amp;$D$48:$D$281,0),MATCH(R$36,$E$47:$O$47,0))</f>
        <v>14972.495384228194</v>
      </c>
      <c r="S42" s="14">
        <f t="array" ref="S42">INDEX($E$48:$O$281,MATCH(S$38&amp;$A42,$B$48:$B$281&amp;$D$48:$D$281,0),MATCH(S$36,$E$47:$O$47,0))</f>
        <v>15617.00485622734</v>
      </c>
      <c r="T42" s="14">
        <f t="array" ref="T42">INDEX($E$48:$O$281,MATCH(T$38&amp;$A42,$B$48:$B$281&amp;$D$48:$D$281,0),MATCH(T$36,$E$47:$O$47,0))</f>
        <v>3251.2014613950078</v>
      </c>
      <c r="U42" s="14">
        <f t="array" ref="U42">INDEX($E$48:$O$281,MATCH(U$38&amp;$A42,$B$48:$B$281&amp;$D$48:$D$281,0),MATCH(U$36,$E$47:$O$47,0))</f>
        <v>3453.2524915104709</v>
      </c>
      <c r="V42" s="14">
        <f t="array" ref="V42">INDEX($E$48:$O$281,MATCH(V$38&amp;$A42,$B$48:$B$281&amp;$D$48:$D$281,0),MATCH(V$36,$E$47:$O$47,0))</f>
        <v>15038.962994077692</v>
      </c>
      <c r="W42" s="14">
        <f t="array" ref="W42">INDEX($E$48:$O$281,MATCH(W$38&amp;$A42,$B$48:$B$281&amp;$D$48:$D$281,0),MATCH(W$36,$E$47:$O$47,0))</f>
        <v>16174.941682464027</v>
      </c>
      <c r="X42" s="14" t="e">
        <f t="array" ref="X42">INDEX($E$48:$O$281,MATCH(X$38&amp;$A42,$B$48:$B$281&amp;$D$48:$D$281,0),MATCH(X$36,$E$47:$O$47,0))</f>
        <v>#N/A</v>
      </c>
      <c r="Y42" s="14" t="e">
        <f t="array" ref="Y42">INDEX($E$48:$O$281,MATCH(Y$38&amp;$A42,$B$48:$B$281&amp;$D$48:$D$281,0),MATCH(Y$36,$E$47:$O$47,0))</f>
        <v>#N/A</v>
      </c>
      <c r="Z42" s="14" t="e">
        <f t="array" ref="Z42">INDEX($E$48:$O$281,MATCH(Z$38&amp;$A42,$B$48:$B$281&amp;$D$48:$D$281,0),MATCH(Z$36,$E$47:$O$47,0))</f>
        <v>#N/A</v>
      </c>
    </row>
    <row r="43" spans="1:26" x14ac:dyDescent="0.3">
      <c r="A43" s="3" t="s">
        <v>328</v>
      </c>
      <c r="B43" s="14">
        <f t="array" ref="B43">INDEX($E$48:$O$281,MATCH(B$38&amp;$A43,$B$48:$B$281&amp;$D$48:$D$281,0),MATCH(B$36,$E$47:$O$47,0))</f>
        <v>0</v>
      </c>
      <c r="C43" s="14">
        <f t="array" ref="C43">INDEX($E$48:$O$281,MATCH(C$38&amp;$A43,$B$48:$B$281&amp;$D$48:$D$281,0),MATCH(C$36,$E$47:$O$47,0))</f>
        <v>1530.723305438546</v>
      </c>
      <c r="D43" s="14">
        <f t="array" ref="D43">INDEX($E$48:$O$281,MATCH(D$38&amp;$A43,$B$48:$B$281&amp;$D$48:$D$281,0),MATCH(D$36,$E$47:$O$47,0))</f>
        <v>1530.723305438547</v>
      </c>
      <c r="E43" s="14">
        <f t="array" ref="E43">INDEX($E$48:$O$281,MATCH(E$38&amp;$A43,$B$48:$B$281&amp;$D$48:$D$281,0),MATCH(E$36,$E$47:$O$47,0))</f>
        <v>1628.0096568892475</v>
      </c>
      <c r="F43" s="14">
        <f t="array" ref="F43">INDEX($E$48:$O$281,MATCH(F$38&amp;$A43,$B$48:$B$281&amp;$D$48:$D$281,0),MATCH(F$36,$E$47:$O$47,0))</f>
        <v>1624.4498779170683</v>
      </c>
      <c r="G43" s="14">
        <f t="array" ref="G43">INDEX($E$48:$O$281,MATCH(G$38&amp;$A43,$B$48:$B$281&amp;$D$48:$D$281,0),MATCH(G$36,$E$47:$O$47,0))</f>
        <v>1628.0096568892475</v>
      </c>
      <c r="H43" s="14">
        <f t="array" ref="H43">INDEX($E$48:$O$281,MATCH(H$38&amp;$A43,$B$48:$B$281&amp;$D$48:$D$281,0),MATCH(H$36,$E$47:$O$47,0))</f>
        <v>3171.6526148510102</v>
      </c>
      <c r="I43" s="14">
        <f t="array" ref="I43">INDEX($E$48:$O$281,MATCH(I$38&amp;$A43,$B$48:$B$281&amp;$D$48:$D$281,0),MATCH(I$36,$E$47:$O$47,0))</f>
        <v>1628.0096568892475</v>
      </c>
      <c r="J43" s="14">
        <f t="array" ref="J43">INDEX($E$48:$O$281,MATCH(J$38&amp;$A43,$B$48:$B$281&amp;$D$48:$D$281,0),MATCH(J$36,$E$47:$O$47,0))</f>
        <v>1521.2453199451252</v>
      </c>
      <c r="K43" s="14">
        <f t="array" ref="K43">INDEX($E$48:$O$281,MATCH(K$38&amp;$A43,$B$48:$B$281&amp;$D$48:$D$281,0),MATCH(K$36,$E$47:$O$47,0))</f>
        <v>1628.0096568892475</v>
      </c>
      <c r="L43" s="14" t="e">
        <f t="array" ref="L43">INDEX($E$48:$O$281,MATCH(L$38&amp;$A43,$B$48:$B$281&amp;$D$48:$D$281,0),MATCH(L$36,$E$47:$O$47,0))</f>
        <v>#N/A</v>
      </c>
      <c r="M43" s="14" t="e">
        <f t="array" ref="M43">INDEX($E$48:$O$281,MATCH(M$38&amp;$A43,$B$48:$B$281&amp;$D$48:$D$281,0),MATCH(M$36,$E$47:$O$47,0))</f>
        <v>#N/A</v>
      </c>
      <c r="N43" s="14" t="e">
        <f t="array" ref="N43">INDEX($E$48:$O$281,MATCH(N$38&amp;$A43,$B$48:$B$281&amp;$D$48:$D$281,0),MATCH(N$36,$E$47:$O$47,0))</f>
        <v>#N/A</v>
      </c>
      <c r="O43" s="14">
        <f t="array" ref="O43">INDEX($E$48:$O$281,MATCH(O$38&amp;$A43,$B$48:$B$281&amp;$D$48:$D$281,0),MATCH(O$36,$E$47:$O$47,0))</f>
        <v>501.96592724146268</v>
      </c>
      <c r="P43" s="14">
        <f t="array" ref="P43">INDEX($E$48:$O$281,MATCH(P$38&amp;$A43,$B$48:$B$281&amp;$D$48:$D$281,0),MATCH(P$36,$E$47:$O$47,0))</f>
        <v>501.96592724146268</v>
      </c>
      <c r="Q43" s="14">
        <f t="array" ref="Q43">INDEX($E$48:$O$281,MATCH(Q$38&amp;$A43,$B$48:$B$281&amp;$D$48:$D$281,0),MATCH(Q$36,$E$47:$O$47,0))</f>
        <v>246.4966573481554</v>
      </c>
      <c r="R43" s="14">
        <f t="array" ref="R43">INDEX($E$48:$O$281,MATCH(R$38&amp;$A43,$B$48:$B$281&amp;$D$48:$D$281,0),MATCH(R$36,$E$47:$O$47,0))</f>
        <v>38.506856992110897</v>
      </c>
      <c r="S43" s="14">
        <f t="array" ref="S43">INDEX($E$48:$O$281,MATCH(S$38&amp;$A43,$B$48:$B$281&amp;$D$48:$D$281,0),MATCH(S$36,$E$47:$O$47,0))</f>
        <v>42.765311797273</v>
      </c>
      <c r="T43" s="14">
        <f t="array" ref="T43">INDEX($E$48:$O$281,MATCH(T$38&amp;$A43,$B$48:$B$281&amp;$D$48:$D$281,0),MATCH(T$36,$E$47:$O$47,0))</f>
        <v>464.43951522472372</v>
      </c>
      <c r="U43" s="14">
        <f t="array" ref="U43">INDEX($E$48:$O$281,MATCH(U$38&amp;$A43,$B$48:$B$281&amp;$D$48:$D$281,0),MATCH(U$36,$E$47:$O$47,0))</f>
        <v>632.39245330827055</v>
      </c>
      <c r="V43" s="14">
        <f t="array" ref="V43">INDEX($E$48:$O$281,MATCH(V$38&amp;$A43,$B$48:$B$281&amp;$D$48:$D$281,0),MATCH(V$36,$E$47:$O$47,0))</f>
        <v>28.114499401015507</v>
      </c>
      <c r="W43" s="14">
        <f t="array" ref="W43">INDEX($E$48:$O$281,MATCH(W$38&amp;$A43,$B$48:$B$281&amp;$D$48:$D$281,0),MATCH(W$36,$E$47:$O$47,0))</f>
        <v>37.6940462481315</v>
      </c>
      <c r="X43" s="14" t="e">
        <f t="array" ref="X43">INDEX($E$48:$O$281,MATCH(X$38&amp;$A43,$B$48:$B$281&amp;$D$48:$D$281,0),MATCH(X$36,$E$47:$O$47,0))</f>
        <v>#N/A</v>
      </c>
      <c r="Y43" s="14" t="e">
        <f t="array" ref="Y43">INDEX($E$48:$O$281,MATCH(Y$38&amp;$A43,$B$48:$B$281&amp;$D$48:$D$281,0),MATCH(Y$36,$E$47:$O$47,0))</f>
        <v>#N/A</v>
      </c>
      <c r="Z43" s="14" t="e">
        <f t="array" ref="Z43">INDEX($E$48:$O$281,MATCH(Z$38&amp;$A43,$B$48:$B$281&amp;$D$48:$D$281,0),MATCH(Z$36,$E$47:$O$47,0))</f>
        <v>#N/A</v>
      </c>
    </row>
    <row r="44" spans="1:26" x14ac:dyDescent="0.3">
      <c r="A44" s="3" t="s">
        <v>329</v>
      </c>
      <c r="B44" s="14">
        <f t="array" ref="B44">INDEX($E$48:$O$281,MATCH(B$38&amp;$A44,$B$48:$B$281&amp;$D$48:$D$281,0),MATCH(B$36,$E$47:$O$47,0))</f>
        <v>0</v>
      </c>
      <c r="C44" s="14">
        <f t="array" ref="C44">INDEX($E$48:$O$281,MATCH(C$38&amp;$A44,$B$48:$B$281&amp;$D$48:$D$281,0),MATCH(C$36,$E$47:$O$47,0))</f>
        <v>3223.064024929854</v>
      </c>
      <c r="D44" s="14">
        <f t="array" ref="D44">INDEX($E$48:$O$281,MATCH(D$38&amp;$A44,$B$48:$B$281&amp;$D$48:$D$281,0),MATCH(D$36,$E$47:$O$47,0))</f>
        <v>3239.5994658359714</v>
      </c>
      <c r="E44" s="14">
        <f t="array" ref="E44">INDEX($E$48:$O$281,MATCH(E$38&amp;$A44,$B$48:$B$281&amp;$D$48:$D$281,0),MATCH(E$36,$E$47:$O$47,0))</f>
        <v>3040.2453409136619</v>
      </c>
      <c r="F44" s="14">
        <f t="array" ref="F44">INDEX($E$48:$O$281,MATCH(F$38&amp;$A44,$B$48:$B$281&amp;$D$48:$D$281,0),MATCH(F$36,$E$47:$O$47,0))</f>
        <v>2981.889256779049</v>
      </c>
      <c r="G44" s="14">
        <f t="array" ref="G44">INDEX($E$48:$O$281,MATCH(G$38&amp;$A44,$B$48:$B$281&amp;$D$48:$D$281,0),MATCH(G$36,$E$47:$O$47,0))</f>
        <v>3040.2453409136619</v>
      </c>
      <c r="H44" s="14">
        <f t="array" ref="H44">INDEX($E$48:$O$281,MATCH(H$38&amp;$A44,$B$48:$B$281&amp;$D$48:$D$281,0),MATCH(H$36,$E$47:$O$47,0))</f>
        <v>7633.309909055718</v>
      </c>
      <c r="I44" s="14">
        <f t="array" ref="I44">INDEX($E$48:$O$281,MATCH(I$38&amp;$A44,$B$48:$B$281&amp;$D$48:$D$281,0),MATCH(I$36,$E$47:$O$47,0))</f>
        <v>3040.2453409136619</v>
      </c>
      <c r="J44" s="14">
        <f t="array" ref="J44">INDEX($E$48:$O$281,MATCH(J$38&amp;$A44,$B$48:$B$281&amp;$D$48:$D$281,0),MATCH(J$36,$E$47:$O$47,0))</f>
        <v>3023.1510647418336</v>
      </c>
      <c r="K44" s="14">
        <f t="array" ref="K44">INDEX($E$48:$O$281,MATCH(K$38&amp;$A44,$B$48:$B$281&amp;$D$48:$D$281,0),MATCH(K$36,$E$47:$O$47,0))</f>
        <v>3040.2453409136619</v>
      </c>
      <c r="L44" s="14" t="e">
        <f t="array" ref="L44">INDEX($E$48:$O$281,MATCH(L$38&amp;$A44,$B$48:$B$281&amp;$D$48:$D$281,0),MATCH(L$36,$E$47:$O$47,0))</f>
        <v>#N/A</v>
      </c>
      <c r="M44" s="14" t="e">
        <f t="array" ref="M44">INDEX($E$48:$O$281,MATCH(M$38&amp;$A44,$B$48:$B$281&amp;$D$48:$D$281,0),MATCH(M$36,$E$47:$O$47,0))</f>
        <v>#N/A</v>
      </c>
      <c r="N44" s="14" t="e">
        <f t="array" ref="N44">INDEX($E$48:$O$281,MATCH(N$38&amp;$A44,$B$48:$B$281&amp;$D$48:$D$281,0),MATCH(N$36,$E$47:$O$47,0))</f>
        <v>#N/A</v>
      </c>
      <c r="O44" s="14">
        <f t="array" ref="O44">INDEX($E$48:$O$281,MATCH(O$38&amp;$A44,$B$48:$B$281&amp;$D$48:$D$281,0),MATCH(O$36,$E$47:$O$47,0))</f>
        <v>844.26703188808733</v>
      </c>
      <c r="P44" s="14">
        <f t="array" ref="P44">INDEX($E$48:$O$281,MATCH(P$38&amp;$A44,$B$48:$B$281&amp;$D$48:$D$281,0),MATCH(P$36,$E$47:$O$47,0))</f>
        <v>839.1921035304955</v>
      </c>
      <c r="Q44" s="14">
        <f t="array" ref="Q44">INDEX($E$48:$O$281,MATCH(Q$38&amp;$A44,$B$48:$B$281&amp;$D$48:$D$281,0),MATCH(Q$36,$E$47:$O$47,0))</f>
        <v>295.08475587852939</v>
      </c>
      <c r="R44" s="14">
        <f t="array" ref="R44">INDEX($E$48:$O$281,MATCH(R$38&amp;$A44,$B$48:$B$281&amp;$D$48:$D$281,0),MATCH(R$36,$E$47:$O$47,0))</f>
        <v>371.77332343100937</v>
      </c>
      <c r="S44" s="14">
        <f t="array" ref="S44">INDEX($E$48:$O$281,MATCH(S$38&amp;$A44,$B$48:$B$281&amp;$D$48:$D$281,0),MATCH(S$36,$E$47:$O$47,0))</f>
        <v>434.20503334059327</v>
      </c>
      <c r="T44" s="14">
        <f t="array" ref="T44">INDEX($E$48:$O$281,MATCH(T$38&amp;$A44,$B$48:$B$281&amp;$D$48:$D$281,0),MATCH(T$36,$E$47:$O$47,0))</f>
        <v>8249.6797754605359</v>
      </c>
      <c r="U44" s="14">
        <f t="array" ref="U44">INDEX($E$48:$O$281,MATCH(U$38&amp;$A44,$B$48:$B$281&amp;$D$48:$D$281,0),MATCH(U$36,$E$47:$O$47,0))</f>
        <v>13964.72423756922</v>
      </c>
      <c r="V44" s="14">
        <f t="array" ref="V44">INDEX($E$48:$O$281,MATCH(V$38&amp;$A44,$B$48:$B$281&amp;$D$48:$D$281,0),MATCH(V$36,$E$47:$O$47,0))</f>
        <v>340.3806185883044</v>
      </c>
      <c r="W44" s="14">
        <f t="array" ref="W44">INDEX($E$48:$O$281,MATCH(W$38&amp;$A44,$B$48:$B$281&amp;$D$48:$D$281,0),MATCH(W$36,$E$47:$O$47,0))</f>
        <v>369.91365372865869</v>
      </c>
      <c r="X44" s="14" t="e">
        <f t="array" ref="X44">INDEX($E$48:$O$281,MATCH(X$38&amp;$A44,$B$48:$B$281&amp;$D$48:$D$281,0),MATCH(X$36,$E$47:$O$47,0))</f>
        <v>#N/A</v>
      </c>
      <c r="Y44" s="14" t="e">
        <f t="array" ref="Y44">INDEX($E$48:$O$281,MATCH(Y$38&amp;$A44,$B$48:$B$281&amp;$D$48:$D$281,0),MATCH(Y$36,$E$47:$O$47,0))</f>
        <v>#N/A</v>
      </c>
      <c r="Z44" s="14" t="e">
        <f t="array" ref="Z44">INDEX($E$48:$O$281,MATCH(Z$38&amp;$A44,$B$48:$B$281&amp;$D$48:$D$281,0),MATCH(Z$36,$E$47:$O$47,0))</f>
        <v>#N/A</v>
      </c>
    </row>
    <row r="45" spans="1:26" ht="15" thickBot="1" x14ac:dyDescent="0.35"/>
    <row r="46" spans="1:26" s="15" customFormat="1" ht="15" thickBot="1" x14ac:dyDescent="0.35">
      <c r="A46" s="15" t="s">
        <v>198</v>
      </c>
      <c r="S46" s="16"/>
    </row>
    <row r="47" spans="1:26" x14ac:dyDescent="0.3">
      <c r="A47" s="3" t="s">
        <v>86</v>
      </c>
      <c r="B47" s="3" t="s">
        <v>8</v>
      </c>
      <c r="C47" s="3" t="s">
        <v>59</v>
      </c>
      <c r="D47" s="3" t="s">
        <v>346</v>
      </c>
      <c r="E47" s="3">
        <v>2007</v>
      </c>
      <c r="F47" s="3">
        <v>2012</v>
      </c>
      <c r="G47" s="3">
        <v>2020</v>
      </c>
      <c r="H47" s="3">
        <v>2030</v>
      </c>
      <c r="I47" s="3">
        <v>2040</v>
      </c>
      <c r="J47" s="3">
        <v>2050</v>
      </c>
      <c r="K47" s="3">
        <v>2060</v>
      </c>
      <c r="L47" s="3">
        <v>2070</v>
      </c>
      <c r="M47" s="3">
        <v>2080</v>
      </c>
      <c r="N47" s="3">
        <v>2090</v>
      </c>
      <c r="O47" s="3">
        <v>2100</v>
      </c>
    </row>
    <row r="48" spans="1:26" x14ac:dyDescent="0.3">
      <c r="A48" s="3" t="str">
        <f>INDEX('R1. Scenario specifications'!$C$11:$C$49,MATCH($B48,'R1. Scenario specifications'!$A$11:$A$49,0))</f>
        <v>TIAM BAU - No Policy Action</v>
      </c>
      <c r="B48" s="3" t="s">
        <v>11</v>
      </c>
      <c r="C48" s="3" t="s">
        <v>298</v>
      </c>
      <c r="D48" s="3" t="s">
        <v>325</v>
      </c>
      <c r="E48" s="14">
        <v>217.28224258600872</v>
      </c>
      <c r="F48" s="14">
        <v>156.6315521560405</v>
      </c>
      <c r="G48" s="14">
        <v>912.03435085488707</v>
      </c>
      <c r="H48" s="14">
        <v>2689.2532180821918</v>
      </c>
      <c r="I48" s="14">
        <v>3192.8362802332081</v>
      </c>
      <c r="J48" s="14">
        <v>4236.8678304942987</v>
      </c>
      <c r="K48" s="14">
        <v>3450.0428468076952</v>
      </c>
      <c r="L48" s="14">
        <v>3019.9350270164341</v>
      </c>
      <c r="M48" s="14">
        <v>3549.9174703913204</v>
      </c>
      <c r="N48" s="14">
        <v>3873.8104611985868</v>
      </c>
      <c r="O48" s="14">
        <v>5487.4840111339854</v>
      </c>
    </row>
    <row r="49" spans="1:15" x14ac:dyDescent="0.3">
      <c r="A49" s="3" t="str">
        <f>INDEX('R1. Scenario specifications'!$C$11:$C$49,MATCH($B49,'R1. Scenario specifications'!$A$11:$A$49,0))</f>
        <v>TIAM BAU - No Policy Action</v>
      </c>
      <c r="B49" s="3" t="s">
        <v>11</v>
      </c>
      <c r="C49" s="3" t="s">
        <v>299</v>
      </c>
      <c r="D49" s="3" t="s">
        <v>324</v>
      </c>
      <c r="E49" s="14">
        <v>0.14080836420000001</v>
      </c>
      <c r="F49" s="14">
        <v>6.1144027199999992E-2</v>
      </c>
      <c r="G49" s="14">
        <v>55.299999999999926</v>
      </c>
      <c r="H49" s="14">
        <v>355.53808330786768</v>
      </c>
      <c r="I49" s="14">
        <v>2215.3980999676087</v>
      </c>
      <c r="J49" s="14">
        <v>12068.61050999042</v>
      </c>
      <c r="K49" s="14">
        <v>21449.614252765281</v>
      </c>
      <c r="L49" s="14">
        <v>25450.366495925155</v>
      </c>
      <c r="M49" s="14">
        <v>27544.39677074576</v>
      </c>
      <c r="N49" s="14">
        <v>29589.318680615848</v>
      </c>
      <c r="O49" s="14">
        <v>32047.129512268166</v>
      </c>
    </row>
    <row r="50" spans="1:15" x14ac:dyDescent="0.3">
      <c r="A50" s="3" t="str">
        <f>INDEX('R1. Scenario specifications'!$C$11:$C$49,MATCH($B50,'R1. Scenario specifications'!$A$11:$A$49,0))</f>
        <v>TIAM BAU - No Policy Action</v>
      </c>
      <c r="B50" s="3" t="s">
        <v>11</v>
      </c>
      <c r="C50" s="3" t="s">
        <v>302</v>
      </c>
      <c r="D50" s="3" t="s">
        <v>326</v>
      </c>
      <c r="E50" s="14">
        <v>0</v>
      </c>
      <c r="F50" s="14">
        <v>0</v>
      </c>
      <c r="G50" s="14">
        <v>137.17533571711004</v>
      </c>
      <c r="H50" s="14">
        <v>481.28086698579983</v>
      </c>
      <c r="I50" s="14">
        <v>606.68920671909279</v>
      </c>
      <c r="J50" s="14">
        <v>886.48696521742045</v>
      </c>
      <c r="K50" s="14">
        <v>956.54078074868505</v>
      </c>
      <c r="L50" s="14">
        <v>1019.7080095729816</v>
      </c>
      <c r="M50" s="14">
        <v>1089.4399881994561</v>
      </c>
      <c r="N50" s="14">
        <v>1160.5809698557257</v>
      </c>
      <c r="O50" s="14">
        <v>1236.5496492097627</v>
      </c>
    </row>
    <row r="51" spans="1:15" x14ac:dyDescent="0.3">
      <c r="A51" s="3" t="str">
        <f>INDEX('R1. Scenario specifications'!$C$11:$C$49,MATCH($B51,'R1. Scenario specifications'!$A$11:$A$49,0))</f>
        <v>TIAM BAU - No Policy Action</v>
      </c>
      <c r="B51" s="3" t="s">
        <v>11</v>
      </c>
      <c r="C51" s="3" t="s">
        <v>300</v>
      </c>
      <c r="D51" s="3" t="s">
        <v>327</v>
      </c>
      <c r="E51" s="14">
        <v>12817.718070131599</v>
      </c>
      <c r="F51" s="14">
        <v>17010.52444269968</v>
      </c>
      <c r="G51" s="14">
        <v>24469.682016089868</v>
      </c>
      <c r="H51" s="14">
        <v>20063.922071324712</v>
      </c>
      <c r="I51" s="14">
        <v>17067.999296750721</v>
      </c>
      <c r="J51" s="14">
        <v>15871.412351681429</v>
      </c>
      <c r="K51" s="14">
        <v>11477.796312257018</v>
      </c>
      <c r="L51" s="14">
        <v>10592.415840288591</v>
      </c>
      <c r="M51" s="14">
        <v>10594.237599583561</v>
      </c>
      <c r="N51" s="14">
        <v>10872.162506663546</v>
      </c>
      <c r="O51" s="14">
        <v>9584.9934934025223</v>
      </c>
    </row>
    <row r="52" spans="1:15" x14ac:dyDescent="0.3">
      <c r="A52" s="3" t="str">
        <f>INDEX('R1. Scenario specifications'!$C$11:$C$49,MATCH($B52,'R1. Scenario specifications'!$A$11:$A$49,0))</f>
        <v>TIAM BAU - No Policy Action</v>
      </c>
      <c r="B52" s="3" t="s">
        <v>11</v>
      </c>
      <c r="C52" s="3" t="s">
        <v>301</v>
      </c>
      <c r="D52" s="3" t="s">
        <v>328</v>
      </c>
      <c r="E52" s="14">
        <v>0</v>
      </c>
      <c r="F52" s="14">
        <v>0</v>
      </c>
      <c r="G52" s="14">
        <v>92.306852962776702</v>
      </c>
      <c r="H52" s="14">
        <v>1530.723305438546</v>
      </c>
      <c r="I52" s="14">
        <v>2134.8372473591621</v>
      </c>
      <c r="J52" s="14">
        <v>501.96592724146268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</row>
    <row r="53" spans="1:15" x14ac:dyDescent="0.3">
      <c r="A53" s="3" t="str">
        <f>INDEX('R1. Scenario specifications'!$C$11:$C$49,MATCH($B53,'R1. Scenario specifications'!$A$11:$A$49,0))</f>
        <v>TIAM BAU - No Policy Action</v>
      </c>
      <c r="B53" s="3" t="s">
        <v>11</v>
      </c>
      <c r="C53" s="3" t="s">
        <v>303</v>
      </c>
      <c r="D53" s="3" t="s">
        <v>329</v>
      </c>
      <c r="E53" s="14">
        <v>0</v>
      </c>
      <c r="F53" s="14">
        <v>0</v>
      </c>
      <c r="G53" s="14">
        <v>0</v>
      </c>
      <c r="H53" s="14">
        <v>3223.064024929854</v>
      </c>
      <c r="I53" s="14">
        <v>3797.2402969771629</v>
      </c>
      <c r="J53" s="14">
        <v>844.26703188808733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</row>
    <row r="54" spans="1:15" x14ac:dyDescent="0.3">
      <c r="A54" s="3" t="str">
        <f>INDEX('R1. Scenario specifications'!$C$11:$C$49,MATCH($B54,'R1. Scenario specifications'!$A$11:$A$49,0))</f>
        <v>Vivid BAU - WEO Current Policies Scenario emissions pathway run through TIAM</v>
      </c>
      <c r="B54" s="3" t="s">
        <v>13</v>
      </c>
      <c r="C54" s="3" t="s">
        <v>298</v>
      </c>
      <c r="D54" s="3" t="s">
        <v>325</v>
      </c>
      <c r="E54" s="14">
        <v>216.50836473498683</v>
      </c>
      <c r="F54" s="14">
        <v>151.98471759890444</v>
      </c>
      <c r="G54" s="14">
        <v>1191.7885643727086</v>
      </c>
      <c r="H54" s="14">
        <v>2551.6170493957902</v>
      </c>
      <c r="I54" s="14">
        <v>3221.7716298432383</v>
      </c>
      <c r="J54" s="14">
        <v>4261.9734978118731</v>
      </c>
      <c r="K54" s="14">
        <v>3535.2834868261793</v>
      </c>
      <c r="L54" s="14">
        <v>3049.9973484775674</v>
      </c>
      <c r="M54" s="14">
        <v>3536.2223385206094</v>
      </c>
      <c r="N54" s="14">
        <v>3851.9628987698152</v>
      </c>
      <c r="O54" s="14">
        <v>5443.4558012756934</v>
      </c>
    </row>
    <row r="55" spans="1:15" x14ac:dyDescent="0.3">
      <c r="A55" s="3" t="str">
        <f>INDEX('R1. Scenario specifications'!$C$11:$C$49,MATCH($B55,'R1. Scenario specifications'!$A$11:$A$49,0))</f>
        <v>Vivid BAU - WEO Current Policies Scenario emissions pathway run through TIAM</v>
      </c>
      <c r="B55" s="3" t="s">
        <v>13</v>
      </c>
      <c r="C55" s="3" t="s">
        <v>299</v>
      </c>
      <c r="D55" s="3" t="s">
        <v>324</v>
      </c>
      <c r="E55" s="14">
        <v>0.14080836420000001</v>
      </c>
      <c r="F55" s="14">
        <v>6.1144027199999992E-2</v>
      </c>
      <c r="G55" s="14">
        <v>55.29999999999994</v>
      </c>
      <c r="H55" s="14">
        <v>355.53808330786762</v>
      </c>
      <c r="I55" s="14">
        <v>2215.3980999676091</v>
      </c>
      <c r="J55" s="14">
        <v>11962.909373298215</v>
      </c>
      <c r="K55" s="14">
        <v>21440.376325362016</v>
      </c>
      <c r="L55" s="14">
        <v>25449.680803165</v>
      </c>
      <c r="M55" s="14">
        <v>27544.396717216601</v>
      </c>
      <c r="N55" s="14">
        <v>29589.318349177331</v>
      </c>
      <c r="O55" s="14">
        <v>32046.935716094962</v>
      </c>
    </row>
    <row r="56" spans="1:15" x14ac:dyDescent="0.3">
      <c r="A56" s="3" t="str">
        <f>INDEX('R1. Scenario specifications'!$C$11:$C$49,MATCH($B56,'R1. Scenario specifications'!$A$11:$A$49,0))</f>
        <v>Vivid BAU - WEO Current Policies Scenario emissions pathway run through TIAM</v>
      </c>
      <c r="B56" s="3" t="s">
        <v>13</v>
      </c>
      <c r="C56" s="3" t="s">
        <v>302</v>
      </c>
      <c r="D56" s="3" t="s">
        <v>326</v>
      </c>
      <c r="E56" s="14">
        <v>0</v>
      </c>
      <c r="F56" s="14">
        <v>0</v>
      </c>
      <c r="G56" s="14">
        <v>137.17533571710985</v>
      </c>
      <c r="H56" s="14">
        <v>481.28086698579926</v>
      </c>
      <c r="I56" s="14">
        <v>606.68920671909234</v>
      </c>
      <c r="J56" s="14">
        <v>886.48696521742056</v>
      </c>
      <c r="K56" s="14">
        <v>956.54078074868494</v>
      </c>
      <c r="L56" s="14">
        <v>1019.7080095729827</v>
      </c>
      <c r="M56" s="14">
        <v>1089.439988199455</v>
      </c>
      <c r="N56" s="14">
        <v>1160.5809698557257</v>
      </c>
      <c r="O56" s="14">
        <v>1236.5496492097632</v>
      </c>
    </row>
    <row r="57" spans="1:15" x14ac:dyDescent="0.3">
      <c r="A57" s="3" t="str">
        <f>INDEX('R1. Scenario specifications'!$C$11:$C$49,MATCH($B57,'R1. Scenario specifications'!$A$11:$A$49,0))</f>
        <v>Vivid BAU - WEO Current Policies Scenario emissions pathway run through TIAM</v>
      </c>
      <c r="B57" s="3" t="s">
        <v>13</v>
      </c>
      <c r="C57" s="3" t="s">
        <v>300</v>
      </c>
      <c r="D57" s="3" t="s">
        <v>327</v>
      </c>
      <c r="E57" s="14">
        <v>12818.491947982624</v>
      </c>
      <c r="F57" s="14">
        <v>17014.902533173685</v>
      </c>
      <c r="G57" s="14">
        <v>24189.804390770627</v>
      </c>
      <c r="H57" s="14">
        <v>20185.022799104991</v>
      </c>
      <c r="I57" s="14">
        <v>17051.209157818903</v>
      </c>
      <c r="J57" s="14">
        <v>15957.082749413657</v>
      </c>
      <c r="K57" s="14">
        <v>11401.793599641795</v>
      </c>
      <c r="L57" s="14">
        <v>10563.039211587607</v>
      </c>
      <c r="M57" s="14">
        <v>10607.932784983441</v>
      </c>
      <c r="N57" s="14">
        <v>10894.010400530829</v>
      </c>
      <c r="O57" s="14">
        <v>9629.2154994340181</v>
      </c>
    </row>
    <row r="58" spans="1:15" x14ac:dyDescent="0.3">
      <c r="A58" s="3" t="str">
        <f>INDEX('R1. Scenario specifications'!$C$11:$C$49,MATCH($B58,'R1. Scenario specifications'!$A$11:$A$49,0))</f>
        <v>Vivid BAU - WEO Current Policies Scenario emissions pathway run through TIAM</v>
      </c>
      <c r="B58" s="3" t="s">
        <v>13</v>
      </c>
      <c r="C58" s="3" t="s">
        <v>301</v>
      </c>
      <c r="D58" s="3" t="s">
        <v>328</v>
      </c>
      <c r="E58" s="14">
        <v>0</v>
      </c>
      <c r="F58" s="14">
        <v>0</v>
      </c>
      <c r="G58" s="14">
        <v>92.306852962777</v>
      </c>
      <c r="H58" s="14">
        <v>1530.723305438547</v>
      </c>
      <c r="I58" s="14">
        <v>2134.8372473591621</v>
      </c>
      <c r="J58" s="14">
        <v>501.96592724146268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</row>
    <row r="59" spans="1:15" x14ac:dyDescent="0.3">
      <c r="A59" s="3" t="str">
        <f>INDEX('R1. Scenario specifications'!$C$11:$C$49,MATCH($B59,'R1. Scenario specifications'!$A$11:$A$49,0))</f>
        <v>Vivid BAU - WEO Current Policies Scenario emissions pathway run through TIAM</v>
      </c>
      <c r="B59" s="3" t="s">
        <v>13</v>
      </c>
      <c r="C59" s="3" t="s">
        <v>303</v>
      </c>
      <c r="D59" s="3" t="s">
        <v>329</v>
      </c>
      <c r="E59" s="14">
        <v>0</v>
      </c>
      <c r="F59" s="14">
        <v>0</v>
      </c>
      <c r="G59" s="14">
        <v>0</v>
      </c>
      <c r="H59" s="14">
        <v>3239.5994658359714</v>
      </c>
      <c r="I59" s="14">
        <v>3785.0950862989575</v>
      </c>
      <c r="J59" s="14">
        <v>839.1921035304955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</row>
    <row r="60" spans="1:15" x14ac:dyDescent="0.3">
      <c r="A60" s="3" t="str">
        <f>INDEX('R1. Scenario specifications'!$C$11:$C$49,MATCH($B60,'R1. Scenario specifications'!$A$11:$A$49,0))</f>
        <v>Vivid Paris NDCs - WEO New Policies Scenario emissions pathway run through TIAM</v>
      </c>
      <c r="B60" s="3" t="s">
        <v>14</v>
      </c>
      <c r="C60" s="3" t="s">
        <v>298</v>
      </c>
      <c r="D60" s="3" t="s">
        <v>325</v>
      </c>
      <c r="E60" s="14">
        <v>217.28224258600872</v>
      </c>
      <c r="F60" s="14">
        <v>156.6315521560405</v>
      </c>
      <c r="G60" s="14">
        <v>1062.76238560823</v>
      </c>
      <c r="H60" s="14">
        <v>1939.5191416210841</v>
      </c>
      <c r="I60" s="14">
        <v>2950.1753639737017</v>
      </c>
      <c r="J60" s="14">
        <v>4081.4319994565894</v>
      </c>
      <c r="K60" s="14">
        <v>3422.6860749431053</v>
      </c>
      <c r="L60" s="14">
        <v>3123.1320703843062</v>
      </c>
      <c r="M60" s="14">
        <v>3441.6825630143603</v>
      </c>
      <c r="N60" s="14">
        <v>3702.6000471753277</v>
      </c>
      <c r="O60" s="14">
        <v>5406.3313179722063</v>
      </c>
    </row>
    <row r="61" spans="1:15" x14ac:dyDescent="0.3">
      <c r="A61" s="3" t="str">
        <f>INDEX('R1. Scenario specifications'!$C$11:$C$49,MATCH($B61,'R1. Scenario specifications'!$A$11:$A$49,0))</f>
        <v>Vivid Paris NDCs - WEO New Policies Scenario emissions pathway run through TIAM</v>
      </c>
      <c r="B61" s="3" t="s">
        <v>14</v>
      </c>
      <c r="C61" s="3" t="s">
        <v>299</v>
      </c>
      <c r="D61" s="3" t="s">
        <v>324</v>
      </c>
      <c r="E61" s="14">
        <v>0.14080836420000001</v>
      </c>
      <c r="F61" s="14">
        <v>6.1144027199999992E-2</v>
      </c>
      <c r="G61" s="14">
        <v>55.300000000000061</v>
      </c>
      <c r="H61" s="14">
        <v>527.86598912037414</v>
      </c>
      <c r="I61" s="14">
        <v>4929.8951605300153</v>
      </c>
      <c r="J61" s="14">
        <v>14036.289169606507</v>
      </c>
      <c r="K61" s="14">
        <v>21855.014625964104</v>
      </c>
      <c r="L61" s="14">
        <v>25453.552570071264</v>
      </c>
      <c r="M61" s="14">
        <v>27548.166724713439</v>
      </c>
      <c r="N61" s="14">
        <v>29657.004486752961</v>
      </c>
      <c r="O61" s="14">
        <v>32065.776262808151</v>
      </c>
    </row>
    <row r="62" spans="1:15" x14ac:dyDescent="0.3">
      <c r="A62" s="3" t="str">
        <f>INDEX('R1. Scenario specifications'!$C$11:$C$49,MATCH($B62,'R1. Scenario specifications'!$A$11:$A$49,0))</f>
        <v>Vivid Paris NDCs - WEO New Policies Scenario emissions pathway run through TIAM</v>
      </c>
      <c r="B62" s="3" t="s">
        <v>14</v>
      </c>
      <c r="C62" s="3" t="s">
        <v>302</v>
      </c>
      <c r="D62" s="3" t="s">
        <v>326</v>
      </c>
      <c r="E62" s="14">
        <v>0</v>
      </c>
      <c r="F62" s="14">
        <v>0</v>
      </c>
      <c r="G62" s="14">
        <v>137.17533571710985</v>
      </c>
      <c r="H62" s="14">
        <v>482.8334985499514</v>
      </c>
      <c r="I62" s="14">
        <v>606.82514861188031</v>
      </c>
      <c r="J62" s="14">
        <v>886.61445609937277</v>
      </c>
      <c r="K62" s="14">
        <v>957.34354703418649</v>
      </c>
      <c r="L62" s="14">
        <v>1020.5362178655353</v>
      </c>
      <c r="M62" s="14">
        <v>1090.5955499578295</v>
      </c>
      <c r="N62" s="14">
        <v>1161.9662565313561</v>
      </c>
      <c r="O62" s="14">
        <v>1237.0297340419954</v>
      </c>
    </row>
    <row r="63" spans="1:15" x14ac:dyDescent="0.3">
      <c r="A63" s="3" t="str">
        <f>INDEX('R1. Scenario specifications'!$C$11:$C$49,MATCH($B63,'R1. Scenario specifications'!$A$11:$A$49,0))</f>
        <v>Vivid Paris NDCs - WEO New Policies Scenario emissions pathway run through TIAM</v>
      </c>
      <c r="B63" s="3" t="s">
        <v>14</v>
      </c>
      <c r="C63" s="3" t="s">
        <v>300</v>
      </c>
      <c r="D63" s="3" t="s">
        <v>327</v>
      </c>
      <c r="E63" s="14">
        <v>12817.718070131599</v>
      </c>
      <c r="F63" s="14">
        <v>17010.52444269968</v>
      </c>
      <c r="G63" s="14">
        <v>24316.999999428546</v>
      </c>
      <c r="H63" s="14">
        <v>20725.30794297465</v>
      </c>
      <c r="I63" s="14">
        <v>17332.516616451543</v>
      </c>
      <c r="J63" s="14">
        <v>14867.943274189052</v>
      </c>
      <c r="K63" s="14">
        <v>11098.949944637277</v>
      </c>
      <c r="L63" s="14">
        <v>10485.204514482055</v>
      </c>
      <c r="M63" s="14">
        <v>10697.546991234482</v>
      </c>
      <c r="N63" s="14">
        <v>10974.301827874053</v>
      </c>
      <c r="O63" s="14">
        <v>9647.0193511920806</v>
      </c>
    </row>
    <row r="64" spans="1:15" x14ac:dyDescent="0.3">
      <c r="A64" s="3" t="str">
        <f>INDEX('R1. Scenario specifications'!$C$11:$C$49,MATCH($B64,'R1. Scenario specifications'!$A$11:$A$49,0))</f>
        <v>Vivid Paris NDCs - WEO New Policies Scenario emissions pathway run through TIAM</v>
      </c>
      <c r="B64" s="3" t="s">
        <v>14</v>
      </c>
      <c r="C64" s="3" t="s">
        <v>301</v>
      </c>
      <c r="D64" s="3" t="s">
        <v>328</v>
      </c>
      <c r="E64" s="14">
        <v>0</v>
      </c>
      <c r="F64" s="14">
        <v>0</v>
      </c>
      <c r="G64" s="14">
        <v>94.260834870759595</v>
      </c>
      <c r="H64" s="14">
        <v>1628.0096568892475</v>
      </c>
      <c r="I64" s="14">
        <v>1304.6476747768197</v>
      </c>
      <c r="J64" s="14">
        <v>246.4966573481554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</row>
    <row r="65" spans="1:15" x14ac:dyDescent="0.3">
      <c r="A65" s="3" t="str">
        <f>INDEX('R1. Scenario specifications'!$C$11:$C$49,MATCH($B65,'R1. Scenario specifications'!$A$11:$A$49,0))</f>
        <v>Vivid Paris NDCs - WEO New Policies Scenario emissions pathway run through TIAM</v>
      </c>
      <c r="B65" s="3" t="s">
        <v>14</v>
      </c>
      <c r="C65" s="3" t="s">
        <v>303</v>
      </c>
      <c r="D65" s="3" t="s">
        <v>329</v>
      </c>
      <c r="E65" s="14">
        <v>0</v>
      </c>
      <c r="F65" s="14">
        <v>0</v>
      </c>
      <c r="G65" s="14">
        <v>0</v>
      </c>
      <c r="H65" s="14">
        <v>3040.2453409136619</v>
      </c>
      <c r="I65" s="14">
        <v>1896.3781393744807</v>
      </c>
      <c r="J65" s="14">
        <v>295.08475587852939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</row>
    <row r="66" spans="1:15" x14ac:dyDescent="0.3">
      <c r="A66" s="3" t="str">
        <f>INDEX('R1. Scenario specifications'!$C$11:$C$49,MATCH($B66,'R1. Scenario specifications'!$A$11:$A$49,0))</f>
        <v>Current 2DS, 2020 start, 'Expect the Unexpected'</v>
      </c>
      <c r="B66" s="3" t="s">
        <v>15</v>
      </c>
      <c r="C66" s="3" t="s">
        <v>298</v>
      </c>
      <c r="D66" s="3" t="s">
        <v>325</v>
      </c>
      <c r="E66" s="14">
        <v>217.28224258600872</v>
      </c>
      <c r="F66" s="14">
        <v>156.6315521560405</v>
      </c>
      <c r="G66" s="14">
        <v>1062.76238560823</v>
      </c>
      <c r="H66" s="14">
        <v>1665.5252192606074</v>
      </c>
      <c r="I66" s="14">
        <v>2481.4830980978149</v>
      </c>
      <c r="J66" s="14">
        <v>3282.5240196734026</v>
      </c>
      <c r="K66" s="14">
        <v>2378.4134674434076</v>
      </c>
      <c r="L66" s="14">
        <v>1041.0674413226786</v>
      </c>
      <c r="M66" s="14">
        <v>543.92171887221605</v>
      </c>
      <c r="N66" s="14">
        <v>905.43581998241882</v>
      </c>
      <c r="O66" s="14">
        <v>1885.0068116604011</v>
      </c>
    </row>
    <row r="67" spans="1:15" x14ac:dyDescent="0.3">
      <c r="A67" s="3" t="str">
        <f>INDEX('R1. Scenario specifications'!$C$11:$C$49,MATCH($B67,'R1. Scenario specifications'!$A$11:$A$49,0))</f>
        <v>Current 2DS, 2020 start, 'Expect the Unexpected'</v>
      </c>
      <c r="B67" s="3" t="s">
        <v>15</v>
      </c>
      <c r="C67" s="3" t="s">
        <v>299</v>
      </c>
      <c r="D67" s="3" t="s">
        <v>324</v>
      </c>
      <c r="E67" s="14">
        <v>0.14080836420000001</v>
      </c>
      <c r="F67" s="14">
        <v>6.1144027199999992E-2</v>
      </c>
      <c r="G67" s="14">
        <v>55.300000000000061</v>
      </c>
      <c r="H67" s="14">
        <v>571.0772213208769</v>
      </c>
      <c r="I67" s="14">
        <v>5572.5908312283918</v>
      </c>
      <c r="J67" s="14">
        <v>14848.182316384198</v>
      </c>
      <c r="K67" s="14">
        <v>22343.406660254568</v>
      </c>
      <c r="L67" s="14">
        <v>25636.558322690034</v>
      </c>
      <c r="M67" s="14">
        <v>29843.802722737913</v>
      </c>
      <c r="N67" s="14">
        <v>33882.624134339574</v>
      </c>
      <c r="O67" s="14">
        <v>37273.194565329461</v>
      </c>
    </row>
    <row r="68" spans="1:15" x14ac:dyDescent="0.3">
      <c r="A68" s="3" t="str">
        <f>INDEX('R1. Scenario specifications'!$C$11:$C$49,MATCH($B68,'R1. Scenario specifications'!$A$11:$A$49,0))</f>
        <v>Current 2DS, 2020 start, 'Expect the Unexpected'</v>
      </c>
      <c r="B68" s="3" t="s">
        <v>15</v>
      </c>
      <c r="C68" s="3" t="s">
        <v>302</v>
      </c>
      <c r="D68" s="3" t="s">
        <v>326</v>
      </c>
      <c r="E68" s="14">
        <v>0</v>
      </c>
      <c r="F68" s="14">
        <v>0</v>
      </c>
      <c r="G68" s="14">
        <v>137.17533571710985</v>
      </c>
      <c r="H68" s="14">
        <v>481.68557757966153</v>
      </c>
      <c r="I68" s="14">
        <v>609.38817452037051</v>
      </c>
      <c r="J68" s="14">
        <v>886.59185964381095</v>
      </c>
      <c r="K68" s="14">
        <v>956.54078074868505</v>
      </c>
      <c r="L68" s="14">
        <v>1012.3451681689551</v>
      </c>
      <c r="M68" s="14">
        <v>1081.7606432120629</v>
      </c>
      <c r="N68" s="14">
        <v>1157.7919394778955</v>
      </c>
      <c r="O68" s="14">
        <v>1237.319977881225</v>
      </c>
    </row>
    <row r="69" spans="1:15" x14ac:dyDescent="0.3">
      <c r="A69" s="3" t="str">
        <f>INDEX('R1. Scenario specifications'!$C$11:$C$49,MATCH($B69,'R1. Scenario specifications'!$A$11:$A$49,0))</f>
        <v>Current 2DS, 2020 start, 'Expect the Unexpected'</v>
      </c>
      <c r="B69" s="3" t="s">
        <v>15</v>
      </c>
      <c r="C69" s="3" t="s">
        <v>300</v>
      </c>
      <c r="D69" s="3" t="s">
        <v>327</v>
      </c>
      <c r="E69" s="14">
        <v>12817.718070131599</v>
      </c>
      <c r="F69" s="14">
        <v>17010.52444269968</v>
      </c>
      <c r="G69" s="14">
        <v>24316.999999428546</v>
      </c>
      <c r="H69" s="14">
        <v>20961.758368697203</v>
      </c>
      <c r="I69" s="14">
        <v>17718.35383349589</v>
      </c>
      <c r="J69" s="14">
        <v>14972.495384228194</v>
      </c>
      <c r="K69" s="14">
        <v>11654.496205593765</v>
      </c>
      <c r="L69" s="14">
        <v>12081.998915715703</v>
      </c>
      <c r="M69" s="14">
        <v>10878.218547471577</v>
      </c>
      <c r="N69" s="14">
        <v>8783.3903716471705</v>
      </c>
      <c r="O69" s="14">
        <v>7176.8623495544061</v>
      </c>
    </row>
    <row r="70" spans="1:15" x14ac:dyDescent="0.3">
      <c r="A70" s="3" t="str">
        <f>INDEX('R1. Scenario specifications'!$C$11:$C$49,MATCH($B70,'R1. Scenario specifications'!$A$11:$A$49,0))</f>
        <v>Current 2DS, 2020 start, 'Expect the Unexpected'</v>
      </c>
      <c r="B70" s="3" t="s">
        <v>15</v>
      </c>
      <c r="C70" s="3" t="s">
        <v>301</v>
      </c>
      <c r="D70" s="3" t="s">
        <v>328</v>
      </c>
      <c r="E70" s="14">
        <v>0</v>
      </c>
      <c r="F70" s="14">
        <v>0</v>
      </c>
      <c r="G70" s="14">
        <v>94.260834870759595</v>
      </c>
      <c r="H70" s="14">
        <v>1624.4498779170683</v>
      </c>
      <c r="I70" s="14">
        <v>604.27516549659424</v>
      </c>
      <c r="J70" s="14">
        <v>38.506856992110897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</row>
    <row r="71" spans="1:15" x14ac:dyDescent="0.3">
      <c r="A71" s="3" t="str">
        <f>INDEX('R1. Scenario specifications'!$C$11:$C$49,MATCH($B71,'R1. Scenario specifications'!$A$11:$A$49,0))</f>
        <v>Current 2DS, 2020 start, 'Expect the Unexpected'</v>
      </c>
      <c r="B71" s="3" t="s">
        <v>15</v>
      </c>
      <c r="C71" s="3" t="s">
        <v>303</v>
      </c>
      <c r="D71" s="3" t="s">
        <v>329</v>
      </c>
      <c r="E71" s="14">
        <v>0</v>
      </c>
      <c r="F71" s="14">
        <v>0</v>
      </c>
      <c r="G71" s="14">
        <v>0</v>
      </c>
      <c r="H71" s="14">
        <v>2981.889256779049</v>
      </c>
      <c r="I71" s="14">
        <v>2136.8680372189947</v>
      </c>
      <c r="J71" s="14">
        <v>371.77332343100937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</row>
    <row r="72" spans="1:15" x14ac:dyDescent="0.3">
      <c r="A72" s="3" t="str">
        <f>INDEX('R1. Scenario specifications'!$C$11:$C$49,MATCH($B72,'R1. Scenario specifications'!$A$11:$A$49,0))</f>
        <v>Current 2DS, 2030 start, 'Expect the Unexpected' but with cheap energy efficiency</v>
      </c>
      <c r="B72" s="3" t="s">
        <v>16</v>
      </c>
      <c r="C72" s="3" t="s">
        <v>298</v>
      </c>
      <c r="D72" s="3" t="s">
        <v>325</v>
      </c>
      <c r="E72" s="14">
        <v>217.28224258600872</v>
      </c>
      <c r="F72" s="14">
        <v>156.6315521560405</v>
      </c>
      <c r="G72" s="14">
        <v>1062.76238560823</v>
      </c>
      <c r="H72" s="14">
        <v>1939.5191416210841</v>
      </c>
      <c r="I72" s="14">
        <v>2448.7344855170563</v>
      </c>
      <c r="J72" s="14">
        <v>3110.6544345145821</v>
      </c>
      <c r="K72" s="14">
        <v>2230.3003056229427</v>
      </c>
      <c r="L72" s="14">
        <v>918.26328833682351</v>
      </c>
      <c r="M72" s="14">
        <v>578.66402685342962</v>
      </c>
      <c r="N72" s="14">
        <v>953.77515452790828</v>
      </c>
      <c r="O72" s="14">
        <v>1909.8929406108532</v>
      </c>
    </row>
    <row r="73" spans="1:15" x14ac:dyDescent="0.3">
      <c r="A73" s="3" t="str">
        <f>INDEX('R1. Scenario specifications'!$C$11:$C$49,MATCH($B73,'R1. Scenario specifications'!$A$11:$A$49,0))</f>
        <v>Current 2DS, 2030 start, 'Expect the Unexpected' but with cheap energy efficiency</v>
      </c>
      <c r="B73" s="3" t="s">
        <v>16</v>
      </c>
      <c r="C73" s="3" t="s">
        <v>299</v>
      </c>
      <c r="D73" s="3" t="s">
        <v>324</v>
      </c>
      <c r="E73" s="14">
        <v>0.14080836420000001</v>
      </c>
      <c r="F73" s="14">
        <v>6.1144027199999992E-2</v>
      </c>
      <c r="G73" s="14">
        <v>55.300000000000061</v>
      </c>
      <c r="H73" s="14">
        <v>527.86598912037414</v>
      </c>
      <c r="I73" s="14">
        <v>4488.7416520969755</v>
      </c>
      <c r="J73" s="14">
        <v>11943.010801193854</v>
      </c>
      <c r="K73" s="14">
        <v>17314.778890987254</v>
      </c>
      <c r="L73" s="14">
        <v>19932.4291244817</v>
      </c>
      <c r="M73" s="14">
        <v>22558.86555447811</v>
      </c>
      <c r="N73" s="14">
        <v>25735.429499455542</v>
      </c>
      <c r="O73" s="14">
        <v>28722.878661345978</v>
      </c>
    </row>
    <row r="74" spans="1:15" x14ac:dyDescent="0.3">
      <c r="A74" s="3" t="str">
        <f>INDEX('R1. Scenario specifications'!$C$11:$C$49,MATCH($B74,'R1. Scenario specifications'!$A$11:$A$49,0))</f>
        <v>Current 2DS, 2030 start, 'Expect the Unexpected' but with cheap energy efficiency</v>
      </c>
      <c r="B74" s="3" t="s">
        <v>16</v>
      </c>
      <c r="C74" s="3" t="s">
        <v>302</v>
      </c>
      <c r="D74" s="3" t="s">
        <v>326</v>
      </c>
      <c r="E74" s="14">
        <v>0</v>
      </c>
      <c r="F74" s="14">
        <v>0</v>
      </c>
      <c r="G74" s="14">
        <v>137.17533571710985</v>
      </c>
      <c r="H74" s="14">
        <v>482.8334985499514</v>
      </c>
      <c r="I74" s="14">
        <v>503.20630977270582</v>
      </c>
      <c r="J74" s="14">
        <v>700.90694874801932</v>
      </c>
      <c r="K74" s="14">
        <v>753.78766287900271</v>
      </c>
      <c r="L74" s="14">
        <v>796.23108951743507</v>
      </c>
      <c r="M74" s="14">
        <v>850.35084683829223</v>
      </c>
      <c r="N74" s="14">
        <v>904.02695513370838</v>
      </c>
      <c r="O74" s="14">
        <v>976.24935413246146</v>
      </c>
    </row>
    <row r="75" spans="1:15" x14ac:dyDescent="0.3">
      <c r="A75" s="3" t="str">
        <f>INDEX('R1. Scenario specifications'!$C$11:$C$49,MATCH($B75,'R1. Scenario specifications'!$A$11:$A$49,0))</f>
        <v>Current 2DS, 2030 start, 'Expect the Unexpected' but with cheap energy efficiency</v>
      </c>
      <c r="B75" s="3" t="s">
        <v>16</v>
      </c>
      <c r="C75" s="3" t="s">
        <v>300</v>
      </c>
      <c r="D75" s="3" t="s">
        <v>327</v>
      </c>
      <c r="E75" s="14">
        <v>12817.718070131599</v>
      </c>
      <c r="F75" s="14">
        <v>17010.52444269968</v>
      </c>
      <c r="G75" s="14">
        <v>24316.999999428546</v>
      </c>
      <c r="H75" s="14">
        <v>20725.30794297465</v>
      </c>
      <c r="I75" s="14">
        <v>15132.021727262721</v>
      </c>
      <c r="J75" s="14">
        <v>12194.364262974037</v>
      </c>
      <c r="K75" s="14">
        <v>10296.347013052062</v>
      </c>
      <c r="L75" s="14">
        <v>10966.286825018246</v>
      </c>
      <c r="M75" s="14">
        <v>10726.279457742992</v>
      </c>
      <c r="N75" s="14">
        <v>9209.0884589102261</v>
      </c>
      <c r="O75" s="14">
        <v>7337.0821598417688</v>
      </c>
    </row>
    <row r="76" spans="1:15" x14ac:dyDescent="0.3">
      <c r="A76" s="3" t="str">
        <f>INDEX('R1. Scenario specifications'!$C$11:$C$49,MATCH($B76,'R1. Scenario specifications'!$A$11:$A$49,0))</f>
        <v>Current 2DS, 2030 start, 'Expect the Unexpected' but with cheap energy efficiency</v>
      </c>
      <c r="B76" s="3" t="s">
        <v>16</v>
      </c>
      <c r="C76" s="3" t="s">
        <v>301</v>
      </c>
      <c r="D76" s="3" t="s">
        <v>328</v>
      </c>
      <c r="E76" s="14">
        <v>0</v>
      </c>
      <c r="F76" s="14">
        <v>0</v>
      </c>
      <c r="G76" s="14">
        <v>94.260834870759595</v>
      </c>
      <c r="H76" s="14">
        <v>1628.0096568892475</v>
      </c>
      <c r="I76" s="14">
        <v>638.69349724130154</v>
      </c>
      <c r="J76" s="14">
        <v>48.42865941712143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</row>
    <row r="77" spans="1:15" x14ac:dyDescent="0.3">
      <c r="A77" s="3" t="str">
        <f>INDEX('R1. Scenario specifications'!$C$11:$C$49,MATCH($B77,'R1. Scenario specifications'!$A$11:$A$49,0))</f>
        <v>Current 2DS, 2030 start, 'Expect the Unexpected' but with cheap energy efficiency</v>
      </c>
      <c r="B77" s="3" t="s">
        <v>16</v>
      </c>
      <c r="C77" s="3" t="s">
        <v>303</v>
      </c>
      <c r="D77" s="3" t="s">
        <v>329</v>
      </c>
      <c r="E77" s="14">
        <v>0</v>
      </c>
      <c r="F77" s="14">
        <v>0</v>
      </c>
      <c r="G77" s="14">
        <v>0</v>
      </c>
      <c r="H77" s="14">
        <v>3040.2453409136619</v>
      </c>
      <c r="I77" s="14">
        <v>1683.5243569233303</v>
      </c>
      <c r="J77" s="14">
        <v>231.77781380307681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</row>
    <row r="78" spans="1:15" x14ac:dyDescent="0.3">
      <c r="A78" s="3" t="str">
        <f>INDEX('R1. Scenario specifications'!$C$11:$C$49,MATCH($B78,'R1. Scenario specifications'!$A$11:$A$49,0))</f>
        <v>Current 2DS, 2020 start, 'Expect the Unexpected' but with most conservative biomass CCS / NET technology cost assumptions</v>
      </c>
      <c r="B78" s="3" t="s">
        <v>17</v>
      </c>
      <c r="C78" s="3" t="s">
        <v>298</v>
      </c>
      <c r="D78" s="3" t="s">
        <v>325</v>
      </c>
      <c r="E78" s="14">
        <v>217.28224258600872</v>
      </c>
      <c r="F78" s="14">
        <v>156.6315521560405</v>
      </c>
      <c r="G78" s="14">
        <v>1062.76238560823</v>
      </c>
      <c r="H78" s="14">
        <v>1665.5252192606185</v>
      </c>
      <c r="I78" s="14">
        <v>2527.6924116356918</v>
      </c>
      <c r="J78" s="14">
        <v>3346.1555644764489</v>
      </c>
      <c r="K78" s="14">
        <v>2399.7074760046426</v>
      </c>
      <c r="L78" s="14">
        <v>1000.3133226462924</v>
      </c>
      <c r="M78" s="14">
        <v>498.0594606033635</v>
      </c>
      <c r="N78" s="14">
        <v>905.20118312638169</v>
      </c>
      <c r="O78" s="14">
        <v>1890.0653844449137</v>
      </c>
    </row>
    <row r="79" spans="1:15" x14ac:dyDescent="0.3">
      <c r="A79" s="3" t="str">
        <f>INDEX('R1. Scenario specifications'!$C$11:$C$49,MATCH($B79,'R1. Scenario specifications'!$A$11:$A$49,0))</f>
        <v>Current 2DS, 2020 start, 'Expect the Unexpected' but with most conservative biomass CCS / NET technology cost assumptions</v>
      </c>
      <c r="B79" s="3" t="s">
        <v>17</v>
      </c>
      <c r="C79" s="3" t="s">
        <v>299</v>
      </c>
      <c r="D79" s="3" t="s">
        <v>324</v>
      </c>
      <c r="E79" s="14">
        <v>0.14080836420000001</v>
      </c>
      <c r="F79" s="14">
        <v>6.1144027199999992E-2</v>
      </c>
      <c r="G79" s="14">
        <v>55.300000000000061</v>
      </c>
      <c r="H79" s="14">
        <v>571.0772213208769</v>
      </c>
      <c r="I79" s="14">
        <v>5572.5908312283918</v>
      </c>
      <c r="J79" s="14">
        <v>14847.314097901708</v>
      </c>
      <c r="K79" s="14">
        <v>22321.875561585144</v>
      </c>
      <c r="L79" s="14">
        <v>25548.242213216683</v>
      </c>
      <c r="M79" s="14">
        <v>29818.247642178074</v>
      </c>
      <c r="N79" s="14">
        <v>33873.498298178507</v>
      </c>
      <c r="O79" s="14">
        <v>37269.244548544651</v>
      </c>
    </row>
    <row r="80" spans="1:15" x14ac:dyDescent="0.3">
      <c r="A80" s="3" t="str">
        <f>INDEX('R1. Scenario specifications'!$C$11:$C$49,MATCH($B80,'R1. Scenario specifications'!$A$11:$A$49,0))</f>
        <v>Current 2DS, 2020 start, 'Expect the Unexpected' but with most conservative biomass CCS / NET technology cost assumptions</v>
      </c>
      <c r="B80" s="3" t="s">
        <v>17</v>
      </c>
      <c r="C80" s="3" t="s">
        <v>302</v>
      </c>
      <c r="D80" s="3" t="s">
        <v>326</v>
      </c>
      <c r="E80" s="14">
        <v>0</v>
      </c>
      <c r="F80" s="14">
        <v>0</v>
      </c>
      <c r="G80" s="14">
        <v>137.17533571710985</v>
      </c>
      <c r="H80" s="14">
        <v>481.68557757966153</v>
      </c>
      <c r="I80" s="14">
        <v>609.3881745203704</v>
      </c>
      <c r="J80" s="14">
        <v>886.59185964381095</v>
      </c>
      <c r="K80" s="14">
        <v>956.54078074868482</v>
      </c>
      <c r="L80" s="14">
        <v>1012.3451681689555</v>
      </c>
      <c r="M80" s="14">
        <v>1081.7606432120629</v>
      </c>
      <c r="N80" s="14">
        <v>1157.9312092339142</v>
      </c>
      <c r="O80" s="14">
        <v>1237.319977881225</v>
      </c>
    </row>
    <row r="81" spans="1:15" x14ac:dyDescent="0.3">
      <c r="A81" s="3" t="str">
        <f>INDEX('R1. Scenario specifications'!$C$11:$C$49,MATCH($B81,'R1. Scenario specifications'!$A$11:$A$49,0))</f>
        <v>Current 2DS, 2020 start, 'Expect the Unexpected' but with most conservative biomass CCS / NET technology cost assumptions</v>
      </c>
      <c r="B81" s="3" t="s">
        <v>17</v>
      </c>
      <c r="C81" s="3" t="s">
        <v>300</v>
      </c>
      <c r="D81" s="3" t="s">
        <v>327</v>
      </c>
      <c r="E81" s="14">
        <v>12817.718070131599</v>
      </c>
      <c r="F81" s="14">
        <v>17010.52444269968</v>
      </c>
      <c r="G81" s="14">
        <v>24316.999999428546</v>
      </c>
      <c r="H81" s="14">
        <v>20961.758368697192</v>
      </c>
      <c r="I81" s="14">
        <v>17672.144519958012</v>
      </c>
      <c r="J81" s="14">
        <v>14910.923826387325</v>
      </c>
      <c r="K81" s="14">
        <v>11654.733295701943</v>
      </c>
      <c r="L81" s="14">
        <v>12211.069143865441</v>
      </c>
      <c r="M81" s="14">
        <v>10949.635886300268</v>
      </c>
      <c r="N81" s="14">
        <v>8797.2539001089044</v>
      </c>
      <c r="O81" s="14">
        <v>7175.753793554697</v>
      </c>
    </row>
    <row r="82" spans="1:15" x14ac:dyDescent="0.3">
      <c r="A82" s="3" t="str">
        <f>INDEX('R1. Scenario specifications'!$C$11:$C$49,MATCH($B82,'R1. Scenario specifications'!$A$11:$A$49,0))</f>
        <v>Current 2DS, 2020 start, 'Expect the Unexpected' but with most conservative biomass CCS / NET technology cost assumptions</v>
      </c>
      <c r="B82" s="3" t="s">
        <v>17</v>
      </c>
      <c r="C82" s="3" t="s">
        <v>301</v>
      </c>
      <c r="D82" s="3" t="s">
        <v>328</v>
      </c>
      <c r="E82" s="14">
        <v>0</v>
      </c>
      <c r="F82" s="14">
        <v>0</v>
      </c>
      <c r="G82" s="14">
        <v>94.260834870759595</v>
      </c>
      <c r="H82" s="14">
        <v>1624.4498779170683</v>
      </c>
      <c r="I82" s="14">
        <v>604.27516549659424</v>
      </c>
      <c r="J82" s="14">
        <v>38.506856992110897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</row>
    <row r="83" spans="1:15" x14ac:dyDescent="0.3">
      <c r="A83" s="3" t="str">
        <f>INDEX('R1. Scenario specifications'!$C$11:$C$49,MATCH($B83,'R1. Scenario specifications'!$A$11:$A$49,0))</f>
        <v>Current 2DS, 2020 start, 'Expect the Unexpected' but with most conservative biomass CCS / NET technology cost assumptions</v>
      </c>
      <c r="B83" s="3" t="s">
        <v>17</v>
      </c>
      <c r="C83" s="3" t="s">
        <v>303</v>
      </c>
      <c r="D83" s="3" t="s">
        <v>329</v>
      </c>
      <c r="E83" s="14">
        <v>0</v>
      </c>
      <c r="F83" s="14">
        <v>0</v>
      </c>
      <c r="G83" s="14">
        <v>0</v>
      </c>
      <c r="H83" s="14">
        <v>2981.889256779049</v>
      </c>
      <c r="I83" s="14">
        <v>2136.8680372189947</v>
      </c>
      <c r="J83" s="14">
        <v>371.77332343100937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</row>
    <row r="84" spans="1:15" x14ac:dyDescent="0.3">
      <c r="A84" s="3" t="str">
        <f>INDEX('R1. Scenario specifications'!$C$11:$C$49,MATCH($B84,'R1. Scenario specifications'!$A$11:$A$49,0))</f>
        <v>Current 2DS, 2030 start, 'Expect the Unexpected' but with most conservative biomass CCS / NET technology cost assumptions</v>
      </c>
      <c r="B84" s="3" t="s">
        <v>18</v>
      </c>
      <c r="C84" s="3" t="s">
        <v>298</v>
      </c>
      <c r="D84" s="3" t="s">
        <v>325</v>
      </c>
      <c r="E84" s="14">
        <v>217.28224258600872</v>
      </c>
      <c r="F84" s="14">
        <v>156.6315521560405</v>
      </c>
      <c r="G84" s="14">
        <v>1062.76238560823</v>
      </c>
      <c r="H84" s="14">
        <v>1939.5191416210841</v>
      </c>
      <c r="I84" s="14">
        <v>2514.1033009856146</v>
      </c>
      <c r="J84" s="14">
        <v>2852.0654236841201</v>
      </c>
      <c r="K84" s="14">
        <v>2008.3917374420853</v>
      </c>
      <c r="L84" s="14">
        <v>994.49474522537616</v>
      </c>
      <c r="M84" s="14">
        <v>678.79649447295651</v>
      </c>
      <c r="N84" s="14">
        <v>1013.2873684859723</v>
      </c>
      <c r="O84" s="14">
        <v>2065.5544321890579</v>
      </c>
    </row>
    <row r="85" spans="1:15" x14ac:dyDescent="0.3">
      <c r="A85" s="3" t="str">
        <f>INDEX('R1. Scenario specifications'!$C$11:$C$49,MATCH($B85,'R1. Scenario specifications'!$A$11:$A$49,0))</f>
        <v>Current 2DS, 2030 start, 'Expect the Unexpected' but with most conservative biomass CCS / NET technology cost assumptions</v>
      </c>
      <c r="B85" s="3" t="s">
        <v>18</v>
      </c>
      <c r="C85" s="3" t="s">
        <v>299</v>
      </c>
      <c r="D85" s="3" t="s">
        <v>324</v>
      </c>
      <c r="E85" s="14">
        <v>0.14080836420000001</v>
      </c>
      <c r="F85" s="14">
        <v>6.1144027199999992E-2</v>
      </c>
      <c r="G85" s="14">
        <v>55.300000000000061</v>
      </c>
      <c r="H85" s="14">
        <v>527.86598912037414</v>
      </c>
      <c r="I85" s="14">
        <v>5287.0366376343291</v>
      </c>
      <c r="J85" s="14">
        <v>14534.873802718907</v>
      </c>
      <c r="K85" s="14">
        <v>21983.734932775289</v>
      </c>
      <c r="L85" s="14">
        <v>25840.784810216166</v>
      </c>
      <c r="M85" s="14">
        <v>30720.758547150021</v>
      </c>
      <c r="N85" s="14">
        <v>34094.187790779011</v>
      </c>
      <c r="O85" s="14">
        <v>37301.25554072739</v>
      </c>
    </row>
    <row r="86" spans="1:15" x14ac:dyDescent="0.3">
      <c r="A86" s="3" t="str">
        <f>INDEX('R1. Scenario specifications'!$C$11:$C$49,MATCH($B86,'R1. Scenario specifications'!$A$11:$A$49,0))</f>
        <v>Current 2DS, 2030 start, 'Expect the Unexpected' but with most conservative biomass CCS / NET technology cost assumptions</v>
      </c>
      <c r="B86" s="3" t="s">
        <v>18</v>
      </c>
      <c r="C86" s="3" t="s">
        <v>302</v>
      </c>
      <c r="D86" s="3" t="s">
        <v>326</v>
      </c>
      <c r="E86" s="14">
        <v>0</v>
      </c>
      <c r="F86" s="14">
        <v>0</v>
      </c>
      <c r="G86" s="14">
        <v>137.17533571710985</v>
      </c>
      <c r="H86" s="14">
        <v>482.8334985499514</v>
      </c>
      <c r="I86" s="14">
        <v>609.38817452037085</v>
      </c>
      <c r="J86" s="14">
        <v>885.71715120151714</v>
      </c>
      <c r="K86" s="14">
        <v>944.53806337015249</v>
      </c>
      <c r="L86" s="14">
        <v>1012.9729468088356</v>
      </c>
      <c r="M86" s="14">
        <v>1081.6615038622699</v>
      </c>
      <c r="N86" s="14">
        <v>1153.8470405596736</v>
      </c>
      <c r="O86" s="14">
        <v>1237.5343665353191</v>
      </c>
    </row>
    <row r="87" spans="1:15" x14ac:dyDescent="0.3">
      <c r="A87" s="3" t="str">
        <f>INDEX('R1. Scenario specifications'!$C$11:$C$49,MATCH($B87,'R1. Scenario specifications'!$A$11:$A$49,0))</f>
        <v>Current 2DS, 2030 start, 'Expect the Unexpected' but with most conservative biomass CCS / NET technology cost assumptions</v>
      </c>
      <c r="B87" s="3" t="s">
        <v>18</v>
      </c>
      <c r="C87" s="3" t="s">
        <v>300</v>
      </c>
      <c r="D87" s="3" t="s">
        <v>327</v>
      </c>
      <c r="E87" s="14">
        <v>12817.718070131599</v>
      </c>
      <c r="F87" s="14">
        <v>17010.52444269968</v>
      </c>
      <c r="G87" s="14">
        <v>24316.999999428546</v>
      </c>
      <c r="H87" s="14">
        <v>20725.30794297465</v>
      </c>
      <c r="I87" s="14">
        <v>17728.643793245079</v>
      </c>
      <c r="J87" s="14">
        <v>15621.616711946528</v>
      </c>
      <c r="K87" s="14">
        <v>12092.925619167981</v>
      </c>
      <c r="L87" s="14">
        <v>11916.10248287767</v>
      </c>
      <c r="M87" s="14">
        <v>9863.1824418154101</v>
      </c>
      <c r="N87" s="14">
        <v>8319.6492883897099</v>
      </c>
      <c r="O87" s="14">
        <v>6891.027355876814</v>
      </c>
    </row>
    <row r="88" spans="1:15" x14ac:dyDescent="0.3">
      <c r="A88" s="3" t="str">
        <f>INDEX('R1. Scenario specifications'!$C$11:$C$49,MATCH($B88,'R1. Scenario specifications'!$A$11:$A$49,0))</f>
        <v>Current 2DS, 2030 start, 'Expect the Unexpected' but with most conservative biomass CCS / NET technology cost assumptions</v>
      </c>
      <c r="B88" s="3" t="s">
        <v>18</v>
      </c>
      <c r="C88" s="3" t="s">
        <v>301</v>
      </c>
      <c r="D88" s="3" t="s">
        <v>328</v>
      </c>
      <c r="E88" s="14">
        <v>0</v>
      </c>
      <c r="F88" s="14">
        <v>0</v>
      </c>
      <c r="G88" s="14">
        <v>94.260834870759595</v>
      </c>
      <c r="H88" s="14">
        <v>1628.0096568892475</v>
      </c>
      <c r="I88" s="14">
        <v>619.65190523416072</v>
      </c>
      <c r="J88" s="14">
        <v>42.765311797273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</row>
    <row r="89" spans="1:15" x14ac:dyDescent="0.3">
      <c r="A89" s="3" t="str">
        <f>INDEX('R1. Scenario specifications'!$C$11:$C$49,MATCH($B89,'R1. Scenario specifications'!$A$11:$A$49,0))</f>
        <v>Current 2DS, 2030 start, 'Expect the Unexpected' but with most conservative biomass CCS / NET technology cost assumptions</v>
      </c>
      <c r="B89" s="3" t="s">
        <v>18</v>
      </c>
      <c r="C89" s="3" t="s">
        <v>303</v>
      </c>
      <c r="D89" s="3" t="s">
        <v>329</v>
      </c>
      <c r="E89" s="14">
        <v>0</v>
      </c>
      <c r="F89" s="14">
        <v>0</v>
      </c>
      <c r="G89" s="14">
        <v>0</v>
      </c>
      <c r="H89" s="14">
        <v>3040.2453409136619</v>
      </c>
      <c r="I89" s="14">
        <v>2364.1353284385154</v>
      </c>
      <c r="J89" s="14">
        <v>434.20503334059327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</row>
    <row r="90" spans="1:15" x14ac:dyDescent="0.3">
      <c r="A90" s="3" t="str">
        <f>INDEX('R1. Scenario specifications'!$C$11:$C$49,MATCH($B90,'R1. Scenario specifications'!$A$11:$A$49,0))</f>
        <v>Current 1.5DS, 2020 start, 'Expect the Unexpected'</v>
      </c>
      <c r="B90" s="3" t="s">
        <v>19</v>
      </c>
      <c r="C90" s="3" t="s">
        <v>298</v>
      </c>
      <c r="D90" s="3" t="s">
        <v>325</v>
      </c>
      <c r="E90" s="14">
        <v>217.28224258600872</v>
      </c>
      <c r="F90" s="14">
        <v>156.6315521560405</v>
      </c>
      <c r="G90" s="14">
        <v>1062.76238560823</v>
      </c>
      <c r="H90" s="14">
        <v>1201.3317090132505</v>
      </c>
      <c r="I90" s="14">
        <v>1358.9824640215575</v>
      </c>
      <c r="J90" s="14">
        <v>1915.5710333044274</v>
      </c>
      <c r="K90" s="14">
        <v>2310.4403648169573</v>
      </c>
      <c r="L90" s="14">
        <v>1144.5088449296513</v>
      </c>
      <c r="M90" s="14">
        <v>874.5874784312108</v>
      </c>
      <c r="N90" s="14">
        <v>1244.9386056683127</v>
      </c>
      <c r="O90" s="14">
        <v>2275.1606593505371</v>
      </c>
    </row>
    <row r="91" spans="1:15" x14ac:dyDescent="0.3">
      <c r="A91" s="3" t="str">
        <f>INDEX('R1. Scenario specifications'!$C$11:$C$49,MATCH($B91,'R1. Scenario specifications'!$A$11:$A$49,0))</f>
        <v>Current 1.5DS, 2020 start, 'Expect the Unexpected'</v>
      </c>
      <c r="B91" s="3" t="s">
        <v>19</v>
      </c>
      <c r="C91" s="3" t="s">
        <v>299</v>
      </c>
      <c r="D91" s="3" t="s">
        <v>324</v>
      </c>
      <c r="E91" s="14">
        <v>0.14080836420000001</v>
      </c>
      <c r="F91" s="14">
        <v>6.1144027199999992E-2</v>
      </c>
      <c r="G91" s="14">
        <v>55.300000000000061</v>
      </c>
      <c r="H91" s="14">
        <v>665.05064902766617</v>
      </c>
      <c r="I91" s="14">
        <v>2886.2759313765596</v>
      </c>
      <c r="J91" s="14">
        <v>11476.75907969812</v>
      </c>
      <c r="K91" s="14">
        <v>24028.797573950178</v>
      </c>
      <c r="L91" s="14">
        <v>27543.123738430575</v>
      </c>
      <c r="M91" s="14">
        <v>31039.960964773694</v>
      </c>
      <c r="N91" s="14">
        <v>34520.052272393965</v>
      </c>
      <c r="O91" s="14">
        <v>37389.988301122634</v>
      </c>
    </row>
    <row r="92" spans="1:15" x14ac:dyDescent="0.3">
      <c r="A92" s="3" t="str">
        <f>INDEX('R1. Scenario specifications'!$C$11:$C$49,MATCH($B92,'R1. Scenario specifications'!$A$11:$A$49,0))</f>
        <v>Current 1.5DS, 2020 start, 'Expect the Unexpected'</v>
      </c>
      <c r="B92" s="3" t="s">
        <v>19</v>
      </c>
      <c r="C92" s="3" t="s">
        <v>302</v>
      </c>
      <c r="D92" s="3" t="s">
        <v>326</v>
      </c>
      <c r="E92" s="14">
        <v>0</v>
      </c>
      <c r="F92" s="14">
        <v>0</v>
      </c>
      <c r="G92" s="14">
        <v>137.17533571710985</v>
      </c>
      <c r="H92" s="14">
        <v>326.3611685222171</v>
      </c>
      <c r="I92" s="14">
        <v>139.40582668727006</v>
      </c>
      <c r="J92" s="14">
        <v>75.020017963512473</v>
      </c>
      <c r="K92" s="14">
        <v>489.21221544428874</v>
      </c>
      <c r="L92" s="14">
        <v>1017.1216816299045</v>
      </c>
      <c r="M92" s="14">
        <v>1093.8770895434445</v>
      </c>
      <c r="N92" s="14">
        <v>1158.9720219859016</v>
      </c>
      <c r="O92" s="14">
        <v>1219.7582087901033</v>
      </c>
    </row>
    <row r="93" spans="1:15" x14ac:dyDescent="0.3">
      <c r="A93" s="3" t="str">
        <f>INDEX('R1. Scenario specifications'!$C$11:$C$49,MATCH($B93,'R1. Scenario specifications'!$A$11:$A$49,0))</f>
        <v>Current 1.5DS, 2020 start, 'Expect the Unexpected'</v>
      </c>
      <c r="B93" s="3" t="s">
        <v>19</v>
      </c>
      <c r="C93" s="3" t="s">
        <v>300</v>
      </c>
      <c r="D93" s="3" t="s">
        <v>327</v>
      </c>
      <c r="E93" s="14">
        <v>12817.718070131599</v>
      </c>
      <c r="F93" s="14">
        <v>17010.52444269968</v>
      </c>
      <c r="G93" s="14">
        <v>24316.999999428546</v>
      </c>
      <c r="H93" s="14">
        <v>13702.673441094643</v>
      </c>
      <c r="I93" s="14">
        <v>5162.0459541740229</v>
      </c>
      <c r="J93" s="14">
        <v>3251.2014613950078</v>
      </c>
      <c r="K93" s="14">
        <v>6196.1627393387289</v>
      </c>
      <c r="L93" s="14">
        <v>10029.475176650169</v>
      </c>
      <c r="M93" s="14">
        <v>9268.9866662277527</v>
      </c>
      <c r="N93" s="14">
        <v>7819.1385079898992</v>
      </c>
      <c r="O93" s="14">
        <v>6571.5532660891749</v>
      </c>
    </row>
    <row r="94" spans="1:15" x14ac:dyDescent="0.3">
      <c r="A94" s="3" t="str">
        <f>INDEX('R1. Scenario specifications'!$C$11:$C$49,MATCH($B94,'R1. Scenario specifications'!$A$11:$A$49,0))</f>
        <v>Current 1.5DS, 2020 start, 'Expect the Unexpected'</v>
      </c>
      <c r="B94" s="3" t="s">
        <v>19</v>
      </c>
      <c r="C94" s="3" t="s">
        <v>301</v>
      </c>
      <c r="D94" s="3" t="s">
        <v>328</v>
      </c>
      <c r="E94" s="14">
        <v>0</v>
      </c>
      <c r="F94" s="14">
        <v>0</v>
      </c>
      <c r="G94" s="14">
        <v>94.260834870759595</v>
      </c>
      <c r="H94" s="14">
        <v>3171.6526148510102</v>
      </c>
      <c r="I94" s="14">
        <v>2492.3838521842699</v>
      </c>
      <c r="J94" s="14">
        <v>464.43951522472372</v>
      </c>
      <c r="K94" s="14">
        <v>2.4053151546095402</v>
      </c>
      <c r="L94" s="14">
        <v>1.34862902585744</v>
      </c>
      <c r="M94" s="14">
        <v>0</v>
      </c>
      <c r="N94" s="14">
        <v>0</v>
      </c>
      <c r="O94" s="14">
        <v>0</v>
      </c>
    </row>
    <row r="95" spans="1:15" x14ac:dyDescent="0.3">
      <c r="A95" s="3" t="str">
        <f>INDEX('R1. Scenario specifications'!$C$11:$C$49,MATCH($B95,'R1. Scenario specifications'!$A$11:$A$49,0))</f>
        <v>Current 1.5DS, 2020 start, 'Expect the Unexpected'</v>
      </c>
      <c r="B95" s="3" t="s">
        <v>19</v>
      </c>
      <c r="C95" s="3" t="s">
        <v>303</v>
      </c>
      <c r="D95" s="3" t="s">
        <v>329</v>
      </c>
      <c r="E95" s="14">
        <v>0</v>
      </c>
      <c r="F95" s="14">
        <v>0</v>
      </c>
      <c r="G95" s="14">
        <v>0</v>
      </c>
      <c r="H95" s="14">
        <v>7633.309909055718</v>
      </c>
      <c r="I95" s="14">
        <v>11752.016930901955</v>
      </c>
      <c r="J95" s="14">
        <v>8249.6797754605359</v>
      </c>
      <c r="K95" s="14">
        <v>1614.8792717770341</v>
      </c>
      <c r="L95" s="14">
        <v>0</v>
      </c>
      <c r="M95" s="14">
        <v>0</v>
      </c>
      <c r="N95" s="14">
        <v>0</v>
      </c>
      <c r="O95" s="14">
        <v>0</v>
      </c>
    </row>
    <row r="96" spans="1:15" x14ac:dyDescent="0.3">
      <c r="A96" s="3" t="str">
        <f>INDEX('R1. Scenario specifications'!$C$11:$C$49,MATCH($B96,'R1. Scenario specifications'!$A$11:$A$49,0))</f>
        <v>Current 1.5DS, 2030 start, 'Expect the Unexpected'</v>
      </c>
      <c r="B96" s="3" t="s">
        <v>20</v>
      </c>
      <c r="C96" s="3" t="s">
        <v>298</v>
      </c>
      <c r="D96" s="3" t="s">
        <v>325</v>
      </c>
      <c r="E96" s="14">
        <v>217.28224258600872</v>
      </c>
      <c r="F96" s="14">
        <v>156.6315521560405</v>
      </c>
      <c r="G96" s="14">
        <v>1062.76238560823</v>
      </c>
      <c r="H96" s="14">
        <v>1939.5191416210841</v>
      </c>
      <c r="I96" s="14">
        <v>1986.1052173011624</v>
      </c>
      <c r="J96" s="14">
        <v>2356.068508613731</v>
      </c>
      <c r="K96" s="14">
        <v>2095.5740925471869</v>
      </c>
      <c r="L96" s="14">
        <v>2273.8310562924739</v>
      </c>
      <c r="M96" s="14">
        <v>2252.719494429904</v>
      </c>
      <c r="N96" s="14">
        <v>2044.4401650794955</v>
      </c>
      <c r="O96" s="14">
        <v>1818.3294261522447</v>
      </c>
    </row>
    <row r="97" spans="1:15" x14ac:dyDescent="0.3">
      <c r="A97" s="3" t="str">
        <f>INDEX('R1. Scenario specifications'!$C$11:$C$49,MATCH($B97,'R1. Scenario specifications'!$A$11:$A$49,0))</f>
        <v>Current 1.5DS, 2030 start, 'Expect the Unexpected'</v>
      </c>
      <c r="B97" s="3" t="s">
        <v>20</v>
      </c>
      <c r="C97" s="3" t="s">
        <v>299</v>
      </c>
      <c r="D97" s="3" t="s">
        <v>324</v>
      </c>
      <c r="E97" s="14">
        <v>0.14080836420000001</v>
      </c>
      <c r="F97" s="14">
        <v>6.1144027199999992E-2</v>
      </c>
      <c r="G97" s="14">
        <v>55.300000000000061</v>
      </c>
      <c r="H97" s="14">
        <v>527.86598912037414</v>
      </c>
      <c r="I97" s="14">
        <v>2796.1023680210205</v>
      </c>
      <c r="J97" s="14">
        <v>6465.437313483967</v>
      </c>
      <c r="K97" s="14">
        <v>14550.484569588765</v>
      </c>
      <c r="L97" s="14">
        <v>25430.659176057627</v>
      </c>
      <c r="M97" s="14">
        <v>27853.674828869105</v>
      </c>
      <c r="N97" s="14">
        <v>29895.527596969056</v>
      </c>
      <c r="O97" s="14">
        <v>31816.857055127206</v>
      </c>
    </row>
    <row r="98" spans="1:15" x14ac:dyDescent="0.3">
      <c r="A98" s="3" t="str">
        <f>INDEX('R1. Scenario specifications'!$C$11:$C$49,MATCH($B98,'R1. Scenario specifications'!$A$11:$A$49,0))</f>
        <v>Current 1.5DS, 2030 start, 'Expect the Unexpected'</v>
      </c>
      <c r="B98" s="3" t="s">
        <v>20</v>
      </c>
      <c r="C98" s="3" t="s">
        <v>302</v>
      </c>
      <c r="D98" s="3" t="s">
        <v>326</v>
      </c>
      <c r="E98" s="14">
        <v>0</v>
      </c>
      <c r="F98" s="14">
        <v>0</v>
      </c>
      <c r="G98" s="14">
        <v>137.17533571710985</v>
      </c>
      <c r="H98" s="14">
        <v>482.8334985499514</v>
      </c>
      <c r="I98" s="14">
        <v>260.5722295004669</v>
      </c>
      <c r="J98" s="14">
        <v>143.33270869343755</v>
      </c>
      <c r="K98" s="14">
        <v>127.32407085720199</v>
      </c>
      <c r="L98" s="14">
        <v>1025.0533543144763</v>
      </c>
      <c r="M98" s="14">
        <v>1089.8121210462314</v>
      </c>
      <c r="N98" s="14">
        <v>1160.5809698557257</v>
      </c>
      <c r="O98" s="14">
        <v>1235.798150826859</v>
      </c>
    </row>
    <row r="99" spans="1:15" x14ac:dyDescent="0.3">
      <c r="A99" s="3" t="str">
        <f>INDEX('R1. Scenario specifications'!$C$11:$C$49,MATCH($B99,'R1. Scenario specifications'!$A$11:$A$49,0))</f>
        <v>Current 1.5DS, 2030 start, 'Expect the Unexpected'</v>
      </c>
      <c r="B99" s="3" t="s">
        <v>20</v>
      </c>
      <c r="C99" s="3" t="s">
        <v>300</v>
      </c>
      <c r="D99" s="3" t="s">
        <v>327</v>
      </c>
      <c r="E99" s="14">
        <v>12817.718070131599</v>
      </c>
      <c r="F99" s="14">
        <v>17010.52444269968</v>
      </c>
      <c r="G99" s="14">
        <v>24316.999999428546</v>
      </c>
      <c r="H99" s="14">
        <v>20725.30794297465</v>
      </c>
      <c r="I99" s="14">
        <v>7202.2698570323046</v>
      </c>
      <c r="J99" s="14">
        <v>3453.2524915104709</v>
      </c>
      <c r="K99" s="14">
        <v>3564.9821561432532</v>
      </c>
      <c r="L99" s="14">
        <v>10317.326361979043</v>
      </c>
      <c r="M99" s="14">
        <v>11594.189812800743</v>
      </c>
      <c r="N99" s="14">
        <v>12394.118568497834</v>
      </c>
      <c r="O99" s="14">
        <v>13351.243035366635</v>
      </c>
    </row>
    <row r="100" spans="1:15" x14ac:dyDescent="0.3">
      <c r="A100" s="3" t="str">
        <f>INDEX('R1. Scenario specifications'!$C$11:$C$49,MATCH($B100,'R1. Scenario specifications'!$A$11:$A$49,0))</f>
        <v>Current 1.5DS, 2030 start, 'Expect the Unexpected'</v>
      </c>
      <c r="B100" s="3" t="s">
        <v>20</v>
      </c>
      <c r="C100" s="3" t="s">
        <v>301</v>
      </c>
      <c r="D100" s="3" t="s">
        <v>328</v>
      </c>
      <c r="E100" s="14">
        <v>0</v>
      </c>
      <c r="F100" s="14">
        <v>0</v>
      </c>
      <c r="G100" s="14">
        <v>94.260834870759595</v>
      </c>
      <c r="H100" s="14">
        <v>1628.0096568892475</v>
      </c>
      <c r="I100" s="14">
        <v>2571.8794756021698</v>
      </c>
      <c r="J100" s="14">
        <v>632.39245330827055</v>
      </c>
      <c r="K100" s="14">
        <v>122.0211750715262</v>
      </c>
      <c r="L100" s="14">
        <v>34.791370697069603</v>
      </c>
      <c r="M100" s="14">
        <v>0</v>
      </c>
      <c r="N100" s="14">
        <v>0</v>
      </c>
      <c r="O100" s="14">
        <v>0</v>
      </c>
    </row>
    <row r="101" spans="1:15" x14ac:dyDescent="0.3">
      <c r="A101" s="3" t="str">
        <f>INDEX('R1. Scenario specifications'!$C$11:$C$49,MATCH($B101,'R1. Scenario specifications'!$A$11:$A$49,0))</f>
        <v>Current 1.5DS, 2030 start, 'Expect the Unexpected'</v>
      </c>
      <c r="B101" s="3" t="s">
        <v>20</v>
      </c>
      <c r="C101" s="3" t="s">
        <v>303</v>
      </c>
      <c r="D101" s="3" t="s">
        <v>329</v>
      </c>
      <c r="E101" s="14">
        <v>0</v>
      </c>
      <c r="F101" s="14">
        <v>0</v>
      </c>
      <c r="G101" s="14">
        <v>0</v>
      </c>
      <c r="H101" s="14">
        <v>3040.2453409136619</v>
      </c>
      <c r="I101" s="14">
        <v>10783.504265640826</v>
      </c>
      <c r="J101" s="14">
        <v>13964.72423756922</v>
      </c>
      <c r="K101" s="14">
        <v>6807.7540479394147</v>
      </c>
      <c r="L101" s="14">
        <v>1049.3788428963135</v>
      </c>
      <c r="M101" s="14">
        <v>0</v>
      </c>
      <c r="N101" s="14">
        <v>0</v>
      </c>
      <c r="O101" s="14">
        <v>0</v>
      </c>
    </row>
    <row r="102" spans="1:15" x14ac:dyDescent="0.3">
      <c r="A102" s="3" t="str">
        <f>INDEX('R1. Scenario specifications'!$C$11:$C$49,MATCH($B102,'R1. Scenario specifications'!$A$11:$A$49,0))</f>
        <v>Current 1.5DS, 2020 start, 'Expect the Unexpected' but with cheap renewables</v>
      </c>
      <c r="B102" s="3" t="s">
        <v>21</v>
      </c>
      <c r="C102" s="3" t="s">
        <v>298</v>
      </c>
      <c r="D102" s="3" t="s">
        <v>325</v>
      </c>
      <c r="E102" s="14">
        <v>217.28224258600872</v>
      </c>
      <c r="F102" s="14">
        <v>156.6315521560405</v>
      </c>
      <c r="G102" s="14">
        <v>1062.76238560823</v>
      </c>
      <c r="H102" s="14">
        <v>1214.0358815511904</v>
      </c>
      <c r="I102" s="14">
        <v>1358.8335729942498</v>
      </c>
      <c r="J102" s="14">
        <v>1921.3313637962128</v>
      </c>
      <c r="K102" s="14">
        <v>2329.0910811778294</v>
      </c>
      <c r="L102" s="14">
        <v>1149.1021940275332</v>
      </c>
      <c r="M102" s="14">
        <v>721.3094548073982</v>
      </c>
      <c r="N102" s="14">
        <v>1123.9253339597428</v>
      </c>
      <c r="O102" s="14">
        <v>2123.164514479819</v>
      </c>
    </row>
    <row r="103" spans="1:15" x14ac:dyDescent="0.3">
      <c r="A103" s="3" t="str">
        <f>INDEX('R1. Scenario specifications'!$C$11:$C$49,MATCH($B103,'R1. Scenario specifications'!$A$11:$A$49,0))</f>
        <v>Current 1.5DS, 2020 start, 'Expect the Unexpected' but with cheap renewables</v>
      </c>
      <c r="B103" s="3" t="s">
        <v>21</v>
      </c>
      <c r="C103" s="3" t="s">
        <v>299</v>
      </c>
      <c r="D103" s="3" t="s">
        <v>324</v>
      </c>
      <c r="E103" s="14">
        <v>0.14080836420000001</v>
      </c>
      <c r="F103" s="14">
        <v>6.1144027199999992E-2</v>
      </c>
      <c r="G103" s="14">
        <v>55.300000000000061</v>
      </c>
      <c r="H103" s="14">
        <v>665.68603731486064</v>
      </c>
      <c r="I103" s="14">
        <v>2878.6276301561852</v>
      </c>
      <c r="J103" s="14">
        <v>11658.991256984933</v>
      </c>
      <c r="K103" s="14">
        <v>24196.007838153717</v>
      </c>
      <c r="L103" s="14">
        <v>27592.199799795733</v>
      </c>
      <c r="M103" s="14">
        <v>31093.369357717234</v>
      </c>
      <c r="N103" s="14">
        <v>34306.006662722772</v>
      </c>
      <c r="O103" s="14">
        <v>37390.474137534169</v>
      </c>
    </row>
    <row r="104" spans="1:15" x14ac:dyDescent="0.3">
      <c r="A104" s="3" t="str">
        <f>INDEX('R1. Scenario specifications'!$C$11:$C$49,MATCH($B104,'R1. Scenario specifications'!$A$11:$A$49,0))</f>
        <v>Current 1.5DS, 2020 start, 'Expect the Unexpected' but with cheap renewables</v>
      </c>
      <c r="B104" s="3" t="s">
        <v>21</v>
      </c>
      <c r="C104" s="3" t="s">
        <v>302</v>
      </c>
      <c r="D104" s="3" t="s">
        <v>326</v>
      </c>
      <c r="E104" s="14">
        <v>0</v>
      </c>
      <c r="F104" s="14">
        <v>0</v>
      </c>
      <c r="G104" s="14">
        <v>137.17533571710985</v>
      </c>
      <c r="H104" s="14">
        <v>328.21602369004933</v>
      </c>
      <c r="I104" s="14">
        <v>140.26046980353297</v>
      </c>
      <c r="J104" s="14">
        <v>75.244517103549555</v>
      </c>
      <c r="K104" s="14">
        <v>517.04153010766868</v>
      </c>
      <c r="L104" s="14">
        <v>1017.7136589587865</v>
      </c>
      <c r="M104" s="14">
        <v>1095.8883901395718</v>
      </c>
      <c r="N104" s="14">
        <v>1152.6257611664721</v>
      </c>
      <c r="O104" s="14">
        <v>1219.7582087901033</v>
      </c>
    </row>
    <row r="105" spans="1:15" x14ac:dyDescent="0.3">
      <c r="A105" s="3" t="str">
        <f>INDEX('R1. Scenario specifications'!$C$11:$C$49,MATCH($B105,'R1. Scenario specifications'!$A$11:$A$49,0))</f>
        <v>Current 1.5DS, 2020 start, 'Expect the Unexpected' but with cheap renewables</v>
      </c>
      <c r="B105" s="3" t="s">
        <v>21</v>
      </c>
      <c r="C105" s="3" t="s">
        <v>300</v>
      </c>
      <c r="D105" s="3" t="s">
        <v>327</v>
      </c>
      <c r="E105" s="14">
        <v>12817.718070131599</v>
      </c>
      <c r="F105" s="14">
        <v>17010.52444269968</v>
      </c>
      <c r="G105" s="14">
        <v>24316.999999428546</v>
      </c>
      <c r="H105" s="14">
        <v>13757.945181387839</v>
      </c>
      <c r="I105" s="14">
        <v>5190.5131128808234</v>
      </c>
      <c r="J105" s="14">
        <v>3246.2793170696423</v>
      </c>
      <c r="K105" s="14">
        <v>6320.2593813290241</v>
      </c>
      <c r="L105" s="14">
        <v>10001.889302313615</v>
      </c>
      <c r="M105" s="14">
        <v>9433.8883495161335</v>
      </c>
      <c r="N105" s="14">
        <v>7949.0491861504916</v>
      </c>
      <c r="O105" s="14">
        <v>6726.6053177108433</v>
      </c>
    </row>
    <row r="106" spans="1:15" x14ac:dyDescent="0.3">
      <c r="A106" s="3" t="str">
        <f>INDEX('R1. Scenario specifications'!$C$11:$C$49,MATCH($B106,'R1. Scenario specifications'!$A$11:$A$49,0))</f>
        <v>Current 1.5DS, 2020 start, 'Expect the Unexpected' but with cheap renewables</v>
      </c>
      <c r="B106" s="3" t="s">
        <v>21</v>
      </c>
      <c r="C106" s="3" t="s">
        <v>301</v>
      </c>
      <c r="D106" s="3" t="s">
        <v>328</v>
      </c>
      <c r="E106" s="14">
        <v>0</v>
      </c>
      <c r="F106" s="14">
        <v>0</v>
      </c>
      <c r="G106" s="14">
        <v>94.260834870759595</v>
      </c>
      <c r="H106" s="14">
        <v>3180.3406277587296</v>
      </c>
      <c r="I106" s="14">
        <v>2507.6096060199461</v>
      </c>
      <c r="J106" s="14">
        <v>465.93638715637485</v>
      </c>
      <c r="K106" s="14">
        <v>2.56089788396788</v>
      </c>
      <c r="L106" s="14">
        <v>1.43586224531006</v>
      </c>
      <c r="M106" s="14">
        <v>0</v>
      </c>
      <c r="N106" s="14">
        <v>0</v>
      </c>
      <c r="O106" s="14">
        <v>0</v>
      </c>
    </row>
    <row r="107" spans="1:15" x14ac:dyDescent="0.3">
      <c r="A107" s="3" t="str">
        <f>INDEX('R1. Scenario specifications'!$C$11:$C$49,MATCH($B107,'R1. Scenario specifications'!$A$11:$A$49,0))</f>
        <v>Current 1.5DS, 2020 start, 'Expect the Unexpected' but with cheap renewables</v>
      </c>
      <c r="B107" s="3" t="s">
        <v>21</v>
      </c>
      <c r="C107" s="3" t="s">
        <v>303</v>
      </c>
      <c r="D107" s="3" t="s">
        <v>329</v>
      </c>
      <c r="E107" s="14">
        <v>0</v>
      </c>
      <c r="F107" s="14">
        <v>0</v>
      </c>
      <c r="G107" s="14">
        <v>0</v>
      </c>
      <c r="H107" s="14">
        <v>7688.3304224558642</v>
      </c>
      <c r="I107" s="14">
        <v>11747.254313212361</v>
      </c>
      <c r="J107" s="14">
        <v>8067.2967473384469</v>
      </c>
      <c r="K107" s="14">
        <v>1562.5037847283063</v>
      </c>
      <c r="L107" s="14">
        <v>0</v>
      </c>
      <c r="M107" s="14">
        <v>0</v>
      </c>
      <c r="N107" s="14">
        <v>0</v>
      </c>
      <c r="O107" s="14">
        <v>0</v>
      </c>
    </row>
    <row r="108" spans="1:15" x14ac:dyDescent="0.3">
      <c r="A108" s="3" t="str">
        <f>INDEX('R1. Scenario specifications'!$C$11:$C$49,MATCH($B108,'R1. Scenario specifications'!$A$11:$A$49,0))</f>
        <v>Current 1.5DS, 2030 start, 'Expect the Unexpected' but with cheap renewables</v>
      </c>
      <c r="B108" s="3" t="s">
        <v>22</v>
      </c>
      <c r="C108" s="3" t="s">
        <v>298</v>
      </c>
      <c r="D108" s="3" t="s">
        <v>325</v>
      </c>
      <c r="E108" s="14">
        <v>217.28224258600872</v>
      </c>
      <c r="F108" s="14">
        <v>156.6315521560405</v>
      </c>
      <c r="G108" s="14">
        <v>1062.76238560823</v>
      </c>
      <c r="H108" s="14">
        <v>1939.5191416210841</v>
      </c>
      <c r="I108" s="14">
        <v>1980.3982110368158</v>
      </c>
      <c r="J108" s="14">
        <v>2356.0424970814229</v>
      </c>
      <c r="K108" s="14">
        <v>2007.5360868889984</v>
      </c>
      <c r="L108" s="14">
        <v>2226.7925654441315</v>
      </c>
      <c r="M108" s="14">
        <v>2184.8377991402217</v>
      </c>
      <c r="N108" s="14">
        <v>1969.6776708557923</v>
      </c>
      <c r="O108" s="14">
        <v>1816.7759943523374</v>
      </c>
    </row>
    <row r="109" spans="1:15" x14ac:dyDescent="0.3">
      <c r="A109" s="3" t="str">
        <f>INDEX('R1. Scenario specifications'!$C$11:$C$49,MATCH($B109,'R1. Scenario specifications'!$A$11:$A$49,0))</f>
        <v>Current 1.5DS, 2030 start, 'Expect the Unexpected' but with cheap renewables</v>
      </c>
      <c r="B109" s="3" t="s">
        <v>22</v>
      </c>
      <c r="C109" s="3" t="s">
        <v>299</v>
      </c>
      <c r="D109" s="3" t="s">
        <v>324</v>
      </c>
      <c r="E109" s="14">
        <v>0.14080836420000001</v>
      </c>
      <c r="F109" s="14">
        <v>6.1144027199999992E-2</v>
      </c>
      <c r="G109" s="14">
        <v>55.300000000000061</v>
      </c>
      <c r="H109" s="14">
        <v>527.86598912037414</v>
      </c>
      <c r="I109" s="14">
        <v>2775.9330496095345</v>
      </c>
      <c r="J109" s="14">
        <v>8030.8054837253285</v>
      </c>
      <c r="K109" s="14">
        <v>15722.932356239979</v>
      </c>
      <c r="L109" s="14">
        <v>25673.170265978064</v>
      </c>
      <c r="M109" s="14">
        <v>27842.160608961476</v>
      </c>
      <c r="N109" s="14">
        <v>29896.097775997427</v>
      </c>
      <c r="O109" s="14">
        <v>31816.958806490005</v>
      </c>
    </row>
    <row r="110" spans="1:15" x14ac:dyDescent="0.3">
      <c r="A110" s="3" t="str">
        <f>INDEX('R1. Scenario specifications'!$C$11:$C$49,MATCH($B110,'R1. Scenario specifications'!$A$11:$A$49,0))</f>
        <v>Current 1.5DS, 2030 start, 'Expect the Unexpected' but with cheap renewables</v>
      </c>
      <c r="B110" s="3" t="s">
        <v>22</v>
      </c>
      <c r="C110" s="3" t="s">
        <v>302</v>
      </c>
      <c r="D110" s="3" t="s">
        <v>326</v>
      </c>
      <c r="E110" s="14">
        <v>0</v>
      </c>
      <c r="F110" s="14">
        <v>0</v>
      </c>
      <c r="G110" s="14">
        <v>137.17533571710985</v>
      </c>
      <c r="H110" s="14">
        <v>482.8334985499514</v>
      </c>
      <c r="I110" s="14">
        <v>260.05506748991593</v>
      </c>
      <c r="J110" s="14">
        <v>143.3597297337887</v>
      </c>
      <c r="K110" s="14">
        <v>127.71342453721772</v>
      </c>
      <c r="L110" s="14">
        <v>1025.6963435385499</v>
      </c>
      <c r="M110" s="14">
        <v>1089.4399881994548</v>
      </c>
      <c r="N110" s="14">
        <v>1160.5418625784785</v>
      </c>
      <c r="O110" s="14">
        <v>1235.7762238834744</v>
      </c>
    </row>
    <row r="111" spans="1:15" x14ac:dyDescent="0.3">
      <c r="A111" s="3" t="str">
        <f>INDEX('R1. Scenario specifications'!$C$11:$C$49,MATCH($B111,'R1. Scenario specifications'!$A$11:$A$49,0))</f>
        <v>Current 1.5DS, 2030 start, 'Expect the Unexpected' but with cheap renewables</v>
      </c>
      <c r="B111" s="3" t="s">
        <v>22</v>
      </c>
      <c r="C111" s="3" t="s">
        <v>300</v>
      </c>
      <c r="D111" s="3" t="s">
        <v>327</v>
      </c>
      <c r="E111" s="14">
        <v>12817.718070131599</v>
      </c>
      <c r="F111" s="14">
        <v>17010.52444269968</v>
      </c>
      <c r="G111" s="14">
        <v>24316.999999428546</v>
      </c>
      <c r="H111" s="14">
        <v>20725.30794297465</v>
      </c>
      <c r="I111" s="14">
        <v>7207.9768632966498</v>
      </c>
      <c r="J111" s="14">
        <v>3453.2785030427794</v>
      </c>
      <c r="K111" s="14">
        <v>3647.2521833993455</v>
      </c>
      <c r="L111" s="14">
        <v>10364.364852827388</v>
      </c>
      <c r="M111" s="14">
        <v>11661.936206185659</v>
      </c>
      <c r="N111" s="14">
        <v>12469.555308902003</v>
      </c>
      <c r="O111" s="14">
        <v>13375.370137465699</v>
      </c>
    </row>
    <row r="112" spans="1:15" x14ac:dyDescent="0.3">
      <c r="A112" s="3" t="str">
        <f>INDEX('R1. Scenario specifications'!$C$11:$C$49,MATCH($B112,'R1. Scenario specifications'!$A$11:$A$49,0))</f>
        <v>Current 1.5DS, 2030 start, 'Expect the Unexpected' but with cheap renewables</v>
      </c>
      <c r="B112" s="3" t="s">
        <v>22</v>
      </c>
      <c r="C112" s="3" t="s">
        <v>301</v>
      </c>
      <c r="D112" s="3" t="s">
        <v>328</v>
      </c>
      <c r="E112" s="14">
        <v>0</v>
      </c>
      <c r="F112" s="14">
        <v>0</v>
      </c>
      <c r="G112" s="14">
        <v>94.260834870759595</v>
      </c>
      <c r="H112" s="14">
        <v>1628.0096568892475</v>
      </c>
      <c r="I112" s="14">
        <v>2572.753887767989</v>
      </c>
      <c r="J112" s="14">
        <v>632.65252085179316</v>
      </c>
      <c r="K112" s="14">
        <v>122.0211750715262</v>
      </c>
      <c r="L112" s="14">
        <v>34.791370697069603</v>
      </c>
      <c r="M112" s="14">
        <v>0</v>
      </c>
      <c r="N112" s="14">
        <v>0</v>
      </c>
      <c r="O112" s="14">
        <v>0</v>
      </c>
    </row>
    <row r="113" spans="1:15" x14ac:dyDescent="0.3">
      <c r="A113" s="3" t="str">
        <f>INDEX('R1. Scenario specifications'!$C$11:$C$49,MATCH($B113,'R1. Scenario specifications'!$A$11:$A$49,0))</f>
        <v>Current 1.5DS, 2030 start, 'Expect the Unexpected' but with cheap renewables</v>
      </c>
      <c r="B113" s="3" t="s">
        <v>22</v>
      </c>
      <c r="C113" s="3" t="s">
        <v>303</v>
      </c>
      <c r="D113" s="3" t="s">
        <v>329</v>
      </c>
      <c r="E113" s="14">
        <v>0</v>
      </c>
      <c r="F113" s="14">
        <v>0</v>
      </c>
      <c r="G113" s="14">
        <v>0</v>
      </c>
      <c r="H113" s="14">
        <v>3040.2453409136619</v>
      </c>
      <c r="I113" s="14">
        <v>10822.64761990497</v>
      </c>
      <c r="J113" s="14">
        <v>12692.047012461913</v>
      </c>
      <c r="K113" s="14">
        <v>5680.2901582196719</v>
      </c>
      <c r="L113" s="14">
        <v>827.65773788760953</v>
      </c>
      <c r="M113" s="14">
        <v>0</v>
      </c>
      <c r="N113" s="14">
        <v>0</v>
      </c>
      <c r="O113" s="14">
        <v>0</v>
      </c>
    </row>
    <row r="114" spans="1:15" x14ac:dyDescent="0.3">
      <c r="A114" s="3" t="str">
        <f>INDEX('R1. Scenario specifications'!$C$11:$C$49,MATCH($B114,'R1. Scenario specifications'!$A$11:$A$49,0))</f>
        <v>Current 1.5DS, 2020 start, 'Expect the Unexpected' but with cheap CCS</v>
      </c>
      <c r="B114" s="3" t="s">
        <v>23</v>
      </c>
      <c r="C114" s="3" t="s">
        <v>298</v>
      </c>
      <c r="D114" s="3" t="s">
        <v>325</v>
      </c>
      <c r="E114" s="14">
        <v>217.28224258600872</v>
      </c>
      <c r="F114" s="14">
        <v>156.6315521560405</v>
      </c>
      <c r="G114" s="14">
        <v>1062.76238560823</v>
      </c>
      <c r="H114" s="14">
        <v>1201.3317090132514</v>
      </c>
      <c r="I114" s="14">
        <v>1358.9824640215575</v>
      </c>
      <c r="J114" s="14">
        <v>1915.5710333044271</v>
      </c>
      <c r="K114" s="14">
        <v>2310.4403648590792</v>
      </c>
      <c r="L114" s="14">
        <v>1144.5088377553275</v>
      </c>
      <c r="M114" s="14">
        <v>874.58747841797287</v>
      </c>
      <c r="N114" s="14">
        <v>1244.9384733822928</v>
      </c>
      <c r="O114" s="14">
        <v>2275.1608444119211</v>
      </c>
    </row>
    <row r="115" spans="1:15" x14ac:dyDescent="0.3">
      <c r="A115" s="3" t="str">
        <f>INDEX('R1. Scenario specifications'!$C$11:$C$49,MATCH($B115,'R1. Scenario specifications'!$A$11:$A$49,0))</f>
        <v>Current 1.5DS, 2020 start, 'Expect the Unexpected' but with cheap CCS</v>
      </c>
      <c r="B115" s="3" t="s">
        <v>23</v>
      </c>
      <c r="C115" s="3" t="s">
        <v>299</v>
      </c>
      <c r="D115" s="3" t="s">
        <v>324</v>
      </c>
      <c r="E115" s="14">
        <v>0.14080836420000001</v>
      </c>
      <c r="F115" s="14">
        <v>6.1144027199999992E-2</v>
      </c>
      <c r="G115" s="14">
        <v>55.300000000000061</v>
      </c>
      <c r="H115" s="14">
        <v>665.05064902766617</v>
      </c>
      <c r="I115" s="14">
        <v>2886.2759313765596</v>
      </c>
      <c r="J115" s="14">
        <v>11476.759078542471</v>
      </c>
      <c r="K115" s="14">
        <v>24028.797573606455</v>
      </c>
      <c r="L115" s="14">
        <v>27543.123738430575</v>
      </c>
      <c r="M115" s="14">
        <v>31039.957660302684</v>
      </c>
      <c r="N115" s="14">
        <v>34520.045814969337</v>
      </c>
      <c r="O115" s="14">
        <v>37389.988301196106</v>
      </c>
    </row>
    <row r="116" spans="1:15" x14ac:dyDescent="0.3">
      <c r="A116" s="3" t="str">
        <f>INDEX('R1. Scenario specifications'!$C$11:$C$49,MATCH($B116,'R1. Scenario specifications'!$A$11:$A$49,0))</f>
        <v>Current 1.5DS, 2020 start, 'Expect the Unexpected' but with cheap CCS</v>
      </c>
      <c r="B116" s="3" t="s">
        <v>23</v>
      </c>
      <c r="C116" s="3" t="s">
        <v>302</v>
      </c>
      <c r="D116" s="3" t="s">
        <v>326</v>
      </c>
      <c r="E116" s="14">
        <v>0</v>
      </c>
      <c r="F116" s="14">
        <v>0</v>
      </c>
      <c r="G116" s="14">
        <v>137.17533571710985</v>
      </c>
      <c r="H116" s="14">
        <v>326.3611685222171</v>
      </c>
      <c r="I116" s="14">
        <v>139.40582668727006</v>
      </c>
      <c r="J116" s="14">
        <v>75.020017963512458</v>
      </c>
      <c r="K116" s="14">
        <v>489.21221544428874</v>
      </c>
      <c r="L116" s="14">
        <v>1017.1216816299045</v>
      </c>
      <c r="M116" s="14">
        <v>1093.8770895434445</v>
      </c>
      <c r="N116" s="14">
        <v>1158.9718526604472</v>
      </c>
      <c r="O116" s="14">
        <v>1219.7582087901033</v>
      </c>
    </row>
    <row r="117" spans="1:15" x14ac:dyDescent="0.3">
      <c r="A117" s="3" t="str">
        <f>INDEX('R1. Scenario specifications'!$C$11:$C$49,MATCH($B117,'R1. Scenario specifications'!$A$11:$A$49,0))</f>
        <v>Current 1.5DS, 2020 start, 'Expect the Unexpected' but with cheap CCS</v>
      </c>
      <c r="B117" s="3" t="s">
        <v>23</v>
      </c>
      <c r="C117" s="3" t="s">
        <v>300</v>
      </c>
      <c r="D117" s="3" t="s">
        <v>327</v>
      </c>
      <c r="E117" s="14">
        <v>12817.718070131599</v>
      </c>
      <c r="F117" s="14">
        <v>17010.52444269968</v>
      </c>
      <c r="G117" s="14">
        <v>24316.999999428546</v>
      </c>
      <c r="H117" s="14">
        <v>13702.673441094643</v>
      </c>
      <c r="I117" s="14">
        <v>5162.0459541740229</v>
      </c>
      <c r="J117" s="14">
        <v>3251.2014613950078</v>
      </c>
      <c r="K117" s="14">
        <v>6196.1627392966066</v>
      </c>
      <c r="L117" s="14">
        <v>10029.475183824492</v>
      </c>
      <c r="M117" s="14">
        <v>9268.9899707120021</v>
      </c>
      <c r="N117" s="14">
        <v>7819.1396230561513</v>
      </c>
      <c r="O117" s="14">
        <v>6571.5530809805559</v>
      </c>
    </row>
    <row r="118" spans="1:15" x14ac:dyDescent="0.3">
      <c r="A118" s="3" t="str">
        <f>INDEX('R1. Scenario specifications'!$C$11:$C$49,MATCH($B118,'R1. Scenario specifications'!$A$11:$A$49,0))</f>
        <v>Current 1.5DS, 2020 start, 'Expect the Unexpected' but with cheap CCS</v>
      </c>
      <c r="B118" s="3" t="s">
        <v>23</v>
      </c>
      <c r="C118" s="3" t="s">
        <v>301</v>
      </c>
      <c r="D118" s="3" t="s">
        <v>328</v>
      </c>
      <c r="E118" s="14">
        <v>0</v>
      </c>
      <c r="F118" s="14">
        <v>0</v>
      </c>
      <c r="G118" s="14">
        <v>94.260834870759595</v>
      </c>
      <c r="H118" s="14">
        <v>3171.6526148510093</v>
      </c>
      <c r="I118" s="14">
        <v>2492.3838521842695</v>
      </c>
      <c r="J118" s="14">
        <v>464.43951522472372</v>
      </c>
      <c r="K118" s="14">
        <v>2.4053151546095402</v>
      </c>
      <c r="L118" s="14">
        <v>1.34862902585744</v>
      </c>
      <c r="M118" s="14">
        <v>0</v>
      </c>
      <c r="N118" s="14">
        <v>0</v>
      </c>
      <c r="O118" s="14">
        <v>0</v>
      </c>
    </row>
    <row r="119" spans="1:15" x14ac:dyDescent="0.3">
      <c r="A119" s="3" t="str">
        <f>INDEX('R1. Scenario specifications'!$C$11:$C$49,MATCH($B119,'R1. Scenario specifications'!$A$11:$A$49,0))</f>
        <v>Current 1.5DS, 2020 start, 'Expect the Unexpected' but with cheap CCS</v>
      </c>
      <c r="B119" s="3" t="s">
        <v>23</v>
      </c>
      <c r="C119" s="3" t="s">
        <v>303</v>
      </c>
      <c r="D119" s="3" t="s">
        <v>329</v>
      </c>
      <c r="E119" s="14">
        <v>0</v>
      </c>
      <c r="F119" s="14">
        <v>0</v>
      </c>
      <c r="G119" s="14">
        <v>0</v>
      </c>
      <c r="H119" s="14">
        <v>7633.309909055718</v>
      </c>
      <c r="I119" s="14">
        <v>11752.016930901955</v>
      </c>
      <c r="J119" s="14">
        <v>8249.6797766161962</v>
      </c>
      <c r="K119" s="14">
        <v>1614.8792721207501</v>
      </c>
      <c r="L119" s="14">
        <v>0</v>
      </c>
      <c r="M119" s="14">
        <v>0</v>
      </c>
      <c r="N119" s="14">
        <v>0</v>
      </c>
      <c r="O119" s="14">
        <v>0</v>
      </c>
    </row>
    <row r="120" spans="1:15" x14ac:dyDescent="0.3">
      <c r="A120" s="3" t="str">
        <f>INDEX('R1. Scenario specifications'!$C$11:$C$49,MATCH($B120,'R1. Scenario specifications'!$A$11:$A$49,0))</f>
        <v>Current 1.5DS, 2030 start, 'Expect the Unexpected' but with cheap CCS</v>
      </c>
      <c r="B120" s="3" t="s">
        <v>24</v>
      </c>
      <c r="C120" s="3" t="s">
        <v>298</v>
      </c>
      <c r="D120" s="3" t="s">
        <v>325</v>
      </c>
      <c r="E120" s="14">
        <v>217.28224258600872</v>
      </c>
      <c r="F120" s="14">
        <v>156.6315521560405</v>
      </c>
      <c r="G120" s="14">
        <v>1062.76238560823</v>
      </c>
      <c r="H120" s="14">
        <v>1939.5191416210841</v>
      </c>
      <c r="I120" s="14">
        <v>1986.1052173011624</v>
      </c>
      <c r="J120" s="14">
        <v>2356.068508613731</v>
      </c>
      <c r="K120" s="14">
        <v>2095.5740925471869</v>
      </c>
      <c r="L120" s="14">
        <v>2273.8310562924416</v>
      </c>
      <c r="M120" s="14">
        <v>2252.7194944298894</v>
      </c>
      <c r="N120" s="14">
        <v>2044.4401650794946</v>
      </c>
      <c r="O120" s="14">
        <v>1818.3294261523365</v>
      </c>
    </row>
    <row r="121" spans="1:15" x14ac:dyDescent="0.3">
      <c r="A121" s="3" t="str">
        <f>INDEX('R1. Scenario specifications'!$C$11:$C$49,MATCH($B121,'R1. Scenario specifications'!$A$11:$A$49,0))</f>
        <v>Current 1.5DS, 2030 start, 'Expect the Unexpected' but with cheap CCS</v>
      </c>
      <c r="B121" s="3" t="s">
        <v>24</v>
      </c>
      <c r="C121" s="3" t="s">
        <v>299</v>
      </c>
      <c r="D121" s="3" t="s">
        <v>324</v>
      </c>
      <c r="E121" s="14">
        <v>0.14080836420000001</v>
      </c>
      <c r="F121" s="14">
        <v>6.1144027199999992E-2</v>
      </c>
      <c r="G121" s="14">
        <v>55.300000000000061</v>
      </c>
      <c r="H121" s="14">
        <v>527.86598912037414</v>
      </c>
      <c r="I121" s="14">
        <v>2796.1023680210205</v>
      </c>
      <c r="J121" s="14">
        <v>6465.437313483967</v>
      </c>
      <c r="K121" s="14">
        <v>14550.484569588765</v>
      </c>
      <c r="L121" s="14">
        <v>25430.659176057627</v>
      </c>
      <c r="M121" s="14">
        <v>27853.674828869105</v>
      </c>
      <c r="N121" s="14">
        <v>29895.527596969056</v>
      </c>
      <c r="O121" s="14">
        <v>31816.857055127206</v>
      </c>
    </row>
    <row r="122" spans="1:15" x14ac:dyDescent="0.3">
      <c r="A122" s="3" t="str">
        <f>INDEX('R1. Scenario specifications'!$C$11:$C$49,MATCH($B122,'R1. Scenario specifications'!$A$11:$A$49,0))</f>
        <v>Current 1.5DS, 2030 start, 'Expect the Unexpected' but with cheap CCS</v>
      </c>
      <c r="B122" s="3" t="s">
        <v>24</v>
      </c>
      <c r="C122" s="3" t="s">
        <v>302</v>
      </c>
      <c r="D122" s="3" t="s">
        <v>326</v>
      </c>
      <c r="E122" s="14">
        <v>0</v>
      </c>
      <c r="F122" s="14">
        <v>0</v>
      </c>
      <c r="G122" s="14">
        <v>137.17533571710985</v>
      </c>
      <c r="H122" s="14">
        <v>482.8334985499514</v>
      </c>
      <c r="I122" s="14">
        <v>260.5722295004669</v>
      </c>
      <c r="J122" s="14">
        <v>143.33270869343758</v>
      </c>
      <c r="K122" s="14">
        <v>127.324070857202</v>
      </c>
      <c r="L122" s="14">
        <v>1025.0533543144754</v>
      </c>
      <c r="M122" s="14">
        <v>1089.8121210462314</v>
      </c>
      <c r="N122" s="14">
        <v>1160.5809698557255</v>
      </c>
      <c r="O122" s="14">
        <v>1235.798150826859</v>
      </c>
    </row>
    <row r="123" spans="1:15" x14ac:dyDescent="0.3">
      <c r="A123" s="3" t="str">
        <f>INDEX('R1. Scenario specifications'!$C$11:$C$49,MATCH($B123,'R1. Scenario specifications'!$A$11:$A$49,0))</f>
        <v>Current 1.5DS, 2030 start, 'Expect the Unexpected' but with cheap CCS</v>
      </c>
      <c r="B123" s="3" t="s">
        <v>24</v>
      </c>
      <c r="C123" s="3" t="s">
        <v>300</v>
      </c>
      <c r="D123" s="3" t="s">
        <v>327</v>
      </c>
      <c r="E123" s="14">
        <v>12817.718070131599</v>
      </c>
      <c r="F123" s="14">
        <v>17010.52444269968</v>
      </c>
      <c r="G123" s="14">
        <v>24316.999999428546</v>
      </c>
      <c r="H123" s="14">
        <v>20725.30794297465</v>
      </c>
      <c r="I123" s="14">
        <v>7202.2698570323046</v>
      </c>
      <c r="J123" s="14">
        <v>3453.2524915104709</v>
      </c>
      <c r="K123" s="14">
        <v>3564.9821561432532</v>
      </c>
      <c r="L123" s="14">
        <v>10317.326361979076</v>
      </c>
      <c r="M123" s="14">
        <v>11594.189812800754</v>
      </c>
      <c r="N123" s="14">
        <v>12394.11856849783</v>
      </c>
      <c r="O123" s="14">
        <v>13351.243035366544</v>
      </c>
    </row>
    <row r="124" spans="1:15" x14ac:dyDescent="0.3">
      <c r="A124" s="3" t="str">
        <f>INDEX('R1. Scenario specifications'!$C$11:$C$49,MATCH($B124,'R1. Scenario specifications'!$A$11:$A$49,0))</f>
        <v>Current 1.5DS, 2030 start, 'Expect the Unexpected' but with cheap CCS</v>
      </c>
      <c r="B124" s="3" t="s">
        <v>24</v>
      </c>
      <c r="C124" s="3" t="s">
        <v>301</v>
      </c>
      <c r="D124" s="3" t="s">
        <v>328</v>
      </c>
      <c r="E124" s="14">
        <v>0</v>
      </c>
      <c r="F124" s="14">
        <v>0</v>
      </c>
      <c r="G124" s="14">
        <v>94.260834870759595</v>
      </c>
      <c r="H124" s="14">
        <v>1628.0096568892475</v>
      </c>
      <c r="I124" s="14">
        <v>2571.8794756021698</v>
      </c>
      <c r="J124" s="14">
        <v>632.39245330827055</v>
      </c>
      <c r="K124" s="14">
        <v>122.0211750715262</v>
      </c>
      <c r="L124" s="14">
        <v>34.791370697069603</v>
      </c>
      <c r="M124" s="14">
        <v>0</v>
      </c>
      <c r="N124" s="14">
        <v>0</v>
      </c>
      <c r="O124" s="14">
        <v>0</v>
      </c>
    </row>
    <row r="125" spans="1:15" x14ac:dyDescent="0.3">
      <c r="A125" s="3" t="str">
        <f>INDEX('R1. Scenario specifications'!$C$11:$C$49,MATCH($B125,'R1. Scenario specifications'!$A$11:$A$49,0))</f>
        <v>Current 1.5DS, 2030 start, 'Expect the Unexpected' but with cheap CCS</v>
      </c>
      <c r="B125" s="3" t="s">
        <v>24</v>
      </c>
      <c r="C125" s="3" t="s">
        <v>303</v>
      </c>
      <c r="D125" s="3" t="s">
        <v>329</v>
      </c>
      <c r="E125" s="14">
        <v>0</v>
      </c>
      <c r="F125" s="14">
        <v>0</v>
      </c>
      <c r="G125" s="14">
        <v>0</v>
      </c>
      <c r="H125" s="14">
        <v>3040.2453409136619</v>
      </c>
      <c r="I125" s="14">
        <v>10783.504265640826</v>
      </c>
      <c r="J125" s="14">
        <v>13964.72423756922</v>
      </c>
      <c r="K125" s="14">
        <v>6807.7540479394147</v>
      </c>
      <c r="L125" s="14">
        <v>1049.3788428963135</v>
      </c>
      <c r="M125" s="14">
        <v>0</v>
      </c>
      <c r="N125" s="14">
        <v>0</v>
      </c>
      <c r="O125" s="14">
        <v>0</v>
      </c>
    </row>
    <row r="126" spans="1:15" x14ac:dyDescent="0.3">
      <c r="A126" s="3" t="str">
        <f>INDEX('R1. Scenario specifications'!$C$11:$C$49,MATCH($B126,'R1. Scenario specifications'!$A$11:$A$49,0))</f>
        <v>Current 1.5DS, 2020 start, 'Expect the Unexpected' but with cheap EVs</v>
      </c>
      <c r="B126" s="3" t="s">
        <v>25</v>
      </c>
      <c r="C126" s="3" t="s">
        <v>298</v>
      </c>
      <c r="D126" s="3" t="s">
        <v>325</v>
      </c>
      <c r="E126" s="14">
        <v>217.28224258600872</v>
      </c>
      <c r="F126" s="14">
        <v>156.6315521560405</v>
      </c>
      <c r="G126" s="14">
        <v>1062.76238560823</v>
      </c>
      <c r="H126" s="14">
        <v>1188.9197427273846</v>
      </c>
      <c r="I126" s="14">
        <v>1350.0492911397259</v>
      </c>
      <c r="J126" s="14">
        <v>1903.7448567087738</v>
      </c>
      <c r="K126" s="14">
        <v>2602.63645983888</v>
      </c>
      <c r="L126" s="14">
        <v>1247.4154885819703</v>
      </c>
      <c r="M126" s="14">
        <v>759.31918124112394</v>
      </c>
      <c r="N126" s="14">
        <v>1174.3605406621493</v>
      </c>
      <c r="O126" s="14">
        <v>2335.7915046821713</v>
      </c>
    </row>
    <row r="127" spans="1:15" x14ac:dyDescent="0.3">
      <c r="A127" s="3" t="str">
        <f>INDEX('R1. Scenario specifications'!$C$11:$C$49,MATCH($B127,'R1. Scenario specifications'!$A$11:$A$49,0))</f>
        <v>Current 1.5DS, 2020 start, 'Expect the Unexpected' but with cheap EVs</v>
      </c>
      <c r="B127" s="3" t="s">
        <v>25</v>
      </c>
      <c r="C127" s="3" t="s">
        <v>299</v>
      </c>
      <c r="D127" s="3" t="s">
        <v>324</v>
      </c>
      <c r="E127" s="14">
        <v>0.14080836420000001</v>
      </c>
      <c r="F127" s="14">
        <v>6.1144027199999992E-2</v>
      </c>
      <c r="G127" s="14">
        <v>55.300000000000061</v>
      </c>
      <c r="H127" s="14">
        <v>484.09968586170817</v>
      </c>
      <c r="I127" s="14">
        <v>2871.8302833481248</v>
      </c>
      <c r="J127" s="14">
        <v>10526.00535549887</v>
      </c>
      <c r="K127" s="14">
        <v>24693.739699616657</v>
      </c>
      <c r="L127" s="14">
        <v>30926.046745074396</v>
      </c>
      <c r="M127" s="14">
        <v>34136.673125404544</v>
      </c>
      <c r="N127" s="14">
        <v>36752.308825363791</v>
      </c>
      <c r="O127" s="14">
        <v>39591.781132609467</v>
      </c>
    </row>
    <row r="128" spans="1:15" x14ac:dyDescent="0.3">
      <c r="A128" s="3" t="str">
        <f>INDEX('R1. Scenario specifications'!$C$11:$C$49,MATCH($B128,'R1. Scenario specifications'!$A$11:$A$49,0))</f>
        <v>Current 1.5DS, 2020 start, 'Expect the Unexpected' but with cheap EVs</v>
      </c>
      <c r="B128" s="3" t="s">
        <v>25</v>
      </c>
      <c r="C128" s="3" t="s">
        <v>302</v>
      </c>
      <c r="D128" s="3" t="s">
        <v>326</v>
      </c>
      <c r="E128" s="14">
        <v>0</v>
      </c>
      <c r="F128" s="14">
        <v>0</v>
      </c>
      <c r="G128" s="14">
        <v>137.17533571710985</v>
      </c>
      <c r="H128" s="14">
        <v>273.25356025485752</v>
      </c>
      <c r="I128" s="14">
        <v>118.74565769803533</v>
      </c>
      <c r="J128" s="14">
        <v>73.06409023913632</v>
      </c>
      <c r="K128" s="14">
        <v>303.56493352757178</v>
      </c>
      <c r="L128" s="14">
        <v>1063.9533621484768</v>
      </c>
      <c r="M128" s="14">
        <v>1120.5645610338538</v>
      </c>
      <c r="N128" s="14">
        <v>1106.611121295464</v>
      </c>
      <c r="O128" s="14">
        <v>1098.9370067353532</v>
      </c>
    </row>
    <row r="129" spans="1:15" x14ac:dyDescent="0.3">
      <c r="A129" s="3" t="str">
        <f>INDEX('R1. Scenario specifications'!$C$11:$C$49,MATCH($B129,'R1. Scenario specifications'!$A$11:$A$49,0))</f>
        <v>Current 1.5DS, 2020 start, 'Expect the Unexpected' but with cheap EVs</v>
      </c>
      <c r="B129" s="3" t="s">
        <v>25</v>
      </c>
      <c r="C129" s="3" t="s">
        <v>300</v>
      </c>
      <c r="D129" s="3" t="s">
        <v>327</v>
      </c>
      <c r="E129" s="14">
        <v>12817.718070131599</v>
      </c>
      <c r="F129" s="14">
        <v>17010.52444269968</v>
      </c>
      <c r="G129" s="14">
        <v>24316.999999428546</v>
      </c>
      <c r="H129" s="14">
        <v>7866.4995552183964</v>
      </c>
      <c r="I129" s="14">
        <v>3397.0123609972902</v>
      </c>
      <c r="J129" s="14">
        <v>3092.6215302033816</v>
      </c>
      <c r="K129" s="14">
        <v>4751.1342064180872</v>
      </c>
      <c r="L129" s="14">
        <v>7535.7548254193616</v>
      </c>
      <c r="M129" s="14">
        <v>7674.6449941632818</v>
      </c>
      <c r="N129" s="14">
        <v>7364.4794740553698</v>
      </c>
      <c r="O129" s="14">
        <v>6456.2779936923134</v>
      </c>
    </row>
    <row r="130" spans="1:15" x14ac:dyDescent="0.3">
      <c r="A130" s="3" t="str">
        <f>INDEX('R1. Scenario specifications'!$C$11:$C$49,MATCH($B130,'R1. Scenario specifications'!$A$11:$A$49,0))</f>
        <v>Current 1.5DS, 2020 start, 'Expect the Unexpected' but with cheap EVs</v>
      </c>
      <c r="B130" s="3" t="s">
        <v>25</v>
      </c>
      <c r="C130" s="3" t="s">
        <v>301</v>
      </c>
      <c r="D130" s="3" t="s">
        <v>328</v>
      </c>
      <c r="E130" s="14">
        <v>0</v>
      </c>
      <c r="F130" s="14">
        <v>0</v>
      </c>
      <c r="G130" s="14">
        <v>94.260834870759595</v>
      </c>
      <c r="H130" s="14">
        <v>4484.7193182876927</v>
      </c>
      <c r="I130" s="14">
        <v>2993.2492791466002</v>
      </c>
      <c r="J130" s="14">
        <v>658.19782630496184</v>
      </c>
      <c r="K130" s="14">
        <v>56.876736258708675</v>
      </c>
      <c r="L130" s="14">
        <v>11.1513674399705</v>
      </c>
      <c r="M130" s="14">
        <v>180.71253589680578</v>
      </c>
      <c r="N130" s="14">
        <v>162.9329776248413</v>
      </c>
      <c r="O130" s="14">
        <v>34.018709159438281</v>
      </c>
    </row>
    <row r="131" spans="1:15" x14ac:dyDescent="0.3">
      <c r="A131" s="3" t="str">
        <f>INDEX('R1. Scenario specifications'!$C$11:$C$49,MATCH($B131,'R1. Scenario specifications'!$A$11:$A$49,0))</f>
        <v>Current 1.5DS, 2020 start, 'Expect the Unexpected' but with cheap EVs</v>
      </c>
      <c r="B131" s="3" t="s">
        <v>25</v>
      </c>
      <c r="C131" s="3" t="s">
        <v>303</v>
      </c>
      <c r="D131" s="3" t="s">
        <v>329</v>
      </c>
      <c r="E131" s="14">
        <v>0</v>
      </c>
      <c r="F131" s="14">
        <v>0</v>
      </c>
      <c r="G131" s="14">
        <v>0</v>
      </c>
      <c r="H131" s="14">
        <v>13872.70535086073</v>
      </c>
      <c r="I131" s="14">
        <v>13910.937549571667</v>
      </c>
      <c r="J131" s="14">
        <v>9644.4066624402985</v>
      </c>
      <c r="K131" s="14">
        <v>3675.5958441673897</v>
      </c>
      <c r="L131" s="14">
        <v>497.49948755278791</v>
      </c>
      <c r="M131" s="14">
        <v>0</v>
      </c>
      <c r="N131" s="14">
        <v>0</v>
      </c>
      <c r="O131" s="14">
        <v>0</v>
      </c>
    </row>
    <row r="132" spans="1:15" x14ac:dyDescent="0.3">
      <c r="A132" s="3" t="str">
        <f>INDEX('R1. Scenario specifications'!$C$11:$C$49,MATCH($B132,'R1. Scenario specifications'!$A$11:$A$49,0))</f>
        <v>Current 2DS, 2030 start, 'Expect the Unexpected'</v>
      </c>
      <c r="B132" s="3" t="s">
        <v>26</v>
      </c>
      <c r="C132" s="3" t="s">
        <v>298</v>
      </c>
      <c r="D132" s="3" t="s">
        <v>325</v>
      </c>
      <c r="E132" s="14">
        <v>217.28224258600872</v>
      </c>
      <c r="F132" s="14">
        <v>156.6315521560405</v>
      </c>
      <c r="G132" s="14">
        <v>1062.76238560823</v>
      </c>
      <c r="H132" s="14">
        <v>1939.5191416210841</v>
      </c>
      <c r="I132" s="14">
        <v>2511.6240430223975</v>
      </c>
      <c r="J132" s="14">
        <v>2861.0198775308363</v>
      </c>
      <c r="K132" s="14">
        <v>2045.0932738654283</v>
      </c>
      <c r="L132" s="14">
        <v>1122.2210420468307</v>
      </c>
      <c r="M132" s="14">
        <v>752.35340454309369</v>
      </c>
      <c r="N132" s="14">
        <v>1017.6218530232718</v>
      </c>
      <c r="O132" s="14">
        <v>2063.0242520964248</v>
      </c>
    </row>
    <row r="133" spans="1:15" x14ac:dyDescent="0.3">
      <c r="A133" s="3" t="str">
        <f>INDEX('R1. Scenario specifications'!$C$11:$C$49,MATCH($B133,'R1. Scenario specifications'!$A$11:$A$49,0))</f>
        <v>Current 2DS, 2030 start, 'Expect the Unexpected'</v>
      </c>
      <c r="B133" s="3" t="s">
        <v>26</v>
      </c>
      <c r="C133" s="3" t="s">
        <v>299</v>
      </c>
      <c r="D133" s="3" t="s">
        <v>324</v>
      </c>
      <c r="E133" s="14">
        <v>0.14080836420000001</v>
      </c>
      <c r="F133" s="14">
        <v>6.1144027199999992E-2</v>
      </c>
      <c r="G133" s="14">
        <v>55.300000000000061</v>
      </c>
      <c r="H133" s="14">
        <v>527.86598912037414</v>
      </c>
      <c r="I133" s="14">
        <v>5287.0366376343291</v>
      </c>
      <c r="J133" s="14">
        <v>14534.873802718907</v>
      </c>
      <c r="K133" s="14">
        <v>22000.017594024081</v>
      </c>
      <c r="L133" s="14">
        <v>25836.100156750021</v>
      </c>
      <c r="M133" s="14">
        <v>30722.455872273204</v>
      </c>
      <c r="N133" s="14">
        <v>34040.583651713947</v>
      </c>
      <c r="O133" s="14">
        <v>37304.935146654447</v>
      </c>
    </row>
    <row r="134" spans="1:15" x14ac:dyDescent="0.3">
      <c r="A134" s="3" t="str">
        <f>INDEX('R1. Scenario specifications'!$C$11:$C$49,MATCH($B134,'R1. Scenario specifications'!$A$11:$A$49,0))</f>
        <v>Current 2DS, 2030 start, 'Expect the Unexpected'</v>
      </c>
      <c r="B134" s="3" t="s">
        <v>26</v>
      </c>
      <c r="C134" s="3" t="s">
        <v>302</v>
      </c>
      <c r="D134" s="3" t="s">
        <v>326</v>
      </c>
      <c r="E134" s="14">
        <v>0</v>
      </c>
      <c r="F134" s="14">
        <v>0</v>
      </c>
      <c r="G134" s="14">
        <v>137.17533571710985</v>
      </c>
      <c r="H134" s="14">
        <v>482.8334985499514</v>
      </c>
      <c r="I134" s="14">
        <v>609.38817452037085</v>
      </c>
      <c r="J134" s="14">
        <v>885.71715120151725</v>
      </c>
      <c r="K134" s="14">
        <v>945.12832791662436</v>
      </c>
      <c r="L134" s="14">
        <v>1012.3451681689546</v>
      </c>
      <c r="M134" s="14">
        <v>1081.7606432120629</v>
      </c>
      <c r="N134" s="14">
        <v>1153.8470405596736</v>
      </c>
      <c r="O134" s="14">
        <v>1218.4695362837076</v>
      </c>
    </row>
    <row r="135" spans="1:15" x14ac:dyDescent="0.3">
      <c r="A135" s="3" t="str">
        <f>INDEX('R1. Scenario specifications'!$C$11:$C$49,MATCH($B135,'R1. Scenario specifications'!$A$11:$A$49,0))</f>
        <v>Current 2DS, 2030 start, 'Expect the Unexpected'</v>
      </c>
      <c r="B135" s="3" t="s">
        <v>26</v>
      </c>
      <c r="C135" s="3" t="s">
        <v>300</v>
      </c>
      <c r="D135" s="3" t="s">
        <v>327</v>
      </c>
      <c r="E135" s="14">
        <v>12817.718070131599</v>
      </c>
      <c r="F135" s="14">
        <v>17010.52444269968</v>
      </c>
      <c r="G135" s="14">
        <v>24316.999999428546</v>
      </c>
      <c r="H135" s="14">
        <v>20725.30794297465</v>
      </c>
      <c r="I135" s="14">
        <v>17731.123051208295</v>
      </c>
      <c r="J135" s="14">
        <v>15617.00485622734</v>
      </c>
      <c r="K135" s="14">
        <v>12059.02664183177</v>
      </c>
      <c r="L135" s="14">
        <v>11772.762663499534</v>
      </c>
      <c r="M135" s="14">
        <v>9791.1337122653986</v>
      </c>
      <c r="N135" s="14">
        <v>8368.9189429174894</v>
      </c>
      <c r="O135" s="14">
        <v>6908.9427602940032</v>
      </c>
    </row>
    <row r="136" spans="1:15" x14ac:dyDescent="0.3">
      <c r="A136" s="3" t="str">
        <f>INDEX('R1. Scenario specifications'!$C$11:$C$49,MATCH($B136,'R1. Scenario specifications'!$A$11:$A$49,0))</f>
        <v>Current 2DS, 2030 start, 'Expect the Unexpected'</v>
      </c>
      <c r="B136" s="3" t="s">
        <v>26</v>
      </c>
      <c r="C136" s="3" t="s">
        <v>301</v>
      </c>
      <c r="D136" s="3" t="s">
        <v>328</v>
      </c>
      <c r="E136" s="14">
        <v>0</v>
      </c>
      <c r="F136" s="14">
        <v>0</v>
      </c>
      <c r="G136" s="14">
        <v>94.260834870759595</v>
      </c>
      <c r="H136" s="14">
        <v>1628.0096568892475</v>
      </c>
      <c r="I136" s="14">
        <v>619.65190523416072</v>
      </c>
      <c r="J136" s="14">
        <v>42.765311797273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</row>
    <row r="137" spans="1:15" x14ac:dyDescent="0.3">
      <c r="A137" s="3" t="str">
        <f>INDEX('R1. Scenario specifications'!$C$11:$C$49,MATCH($B137,'R1. Scenario specifications'!$A$11:$A$49,0))</f>
        <v>Current 2DS, 2030 start, 'Expect the Unexpected'</v>
      </c>
      <c r="B137" s="3" t="s">
        <v>26</v>
      </c>
      <c r="C137" s="3" t="s">
        <v>303</v>
      </c>
      <c r="D137" s="3" t="s">
        <v>329</v>
      </c>
      <c r="E137" s="14">
        <v>0</v>
      </c>
      <c r="F137" s="14">
        <v>0</v>
      </c>
      <c r="G137" s="14">
        <v>0</v>
      </c>
      <c r="H137" s="14">
        <v>3040.2453409136619</v>
      </c>
      <c r="I137" s="14">
        <v>2364.1353284385154</v>
      </c>
      <c r="J137" s="14">
        <v>434.20503334059327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</row>
    <row r="138" spans="1:15" x14ac:dyDescent="0.3">
      <c r="A138" s="3" t="str">
        <f>INDEX('R1. Scenario specifications'!$C$11:$C$49,MATCH($B138,'R1. Scenario specifications'!$A$11:$A$49,0))</f>
        <v>Current 1.5DS, 2030 start, 'Expect the Unexpected' but with cheap EVs</v>
      </c>
      <c r="B138" s="3" t="s">
        <v>27</v>
      </c>
      <c r="C138" s="3" t="s">
        <v>298</v>
      </c>
      <c r="D138" s="3" t="s">
        <v>325</v>
      </c>
      <c r="E138" s="14">
        <v>217.28224258600872</v>
      </c>
      <c r="F138" s="14">
        <v>156.6315521560405</v>
      </c>
      <c r="G138" s="14">
        <v>1062.76238560823</v>
      </c>
      <c r="H138" s="14">
        <v>1939.5191416210841</v>
      </c>
      <c r="I138" s="14">
        <v>1978.8637960607491</v>
      </c>
      <c r="J138" s="14">
        <v>2358.1173697787194</v>
      </c>
      <c r="K138" s="14">
        <v>2111.9113625151331</v>
      </c>
      <c r="L138" s="14">
        <v>1645.3674180102041</v>
      </c>
      <c r="M138" s="14">
        <v>1436.4270372592416</v>
      </c>
      <c r="N138" s="14">
        <v>1395.1369639976945</v>
      </c>
      <c r="O138" s="14">
        <v>1595.1666075917242</v>
      </c>
    </row>
    <row r="139" spans="1:15" x14ac:dyDescent="0.3">
      <c r="A139" s="3" t="str">
        <f>INDEX('R1. Scenario specifications'!$C$11:$C$49,MATCH($B139,'R1. Scenario specifications'!$A$11:$A$49,0))</f>
        <v>Current 1.5DS, 2030 start, 'Expect the Unexpected' but with cheap EVs</v>
      </c>
      <c r="B139" s="3" t="s">
        <v>27</v>
      </c>
      <c r="C139" s="3" t="s">
        <v>299</v>
      </c>
      <c r="D139" s="3" t="s">
        <v>324</v>
      </c>
      <c r="E139" s="14">
        <v>0.14080836420000001</v>
      </c>
      <c r="F139" s="14">
        <v>6.1144027199999992E-2</v>
      </c>
      <c r="G139" s="14">
        <v>55.300000000000061</v>
      </c>
      <c r="H139" s="14">
        <v>527.86598912037414</v>
      </c>
      <c r="I139" s="14">
        <v>2910.1930586486355</v>
      </c>
      <c r="J139" s="14">
        <v>7055.4356209795851</v>
      </c>
      <c r="K139" s="14">
        <v>15037.194112511155</v>
      </c>
      <c r="L139" s="14">
        <v>30670.691117566294</v>
      </c>
      <c r="M139" s="14">
        <v>34803.723615823947</v>
      </c>
      <c r="N139" s="14">
        <v>37188.26247689093</v>
      </c>
      <c r="O139" s="14">
        <v>39555.812940666074</v>
      </c>
    </row>
    <row r="140" spans="1:15" x14ac:dyDescent="0.3">
      <c r="A140" s="3" t="str">
        <f>INDEX('R1. Scenario specifications'!$C$11:$C$49,MATCH($B140,'R1. Scenario specifications'!$A$11:$A$49,0))</f>
        <v>Current 1.5DS, 2030 start, 'Expect the Unexpected' but with cheap EVs</v>
      </c>
      <c r="B140" s="3" t="s">
        <v>27</v>
      </c>
      <c r="C140" s="3" t="s">
        <v>302</v>
      </c>
      <c r="D140" s="3" t="s">
        <v>326</v>
      </c>
      <c r="E140" s="14">
        <v>0</v>
      </c>
      <c r="F140" s="14">
        <v>0</v>
      </c>
      <c r="G140" s="14">
        <v>137.17533571710985</v>
      </c>
      <c r="H140" s="14">
        <v>482.8334985499514</v>
      </c>
      <c r="I140" s="14">
        <v>271.25413342647124</v>
      </c>
      <c r="J140" s="14">
        <v>151.42378657382338</v>
      </c>
      <c r="K140" s="14">
        <v>105.107074697372</v>
      </c>
      <c r="L140" s="14">
        <v>1073.7562635100028</v>
      </c>
      <c r="M140" s="14">
        <v>1157.0886971877362</v>
      </c>
      <c r="N140" s="14">
        <v>1228.5558357056161</v>
      </c>
      <c r="O140" s="14">
        <v>1301.048713593706</v>
      </c>
    </row>
    <row r="141" spans="1:15" x14ac:dyDescent="0.3">
      <c r="A141" s="3" t="str">
        <f>INDEX('R1. Scenario specifications'!$C$11:$C$49,MATCH($B141,'R1. Scenario specifications'!$A$11:$A$49,0))</f>
        <v>Current 1.5DS, 2030 start, 'Expect the Unexpected' but with cheap EVs</v>
      </c>
      <c r="B141" s="3" t="s">
        <v>27</v>
      </c>
      <c r="C141" s="3" t="s">
        <v>300</v>
      </c>
      <c r="D141" s="3" t="s">
        <v>327</v>
      </c>
      <c r="E141" s="14">
        <v>12817.718070131599</v>
      </c>
      <c r="F141" s="14">
        <v>17010.52444269968</v>
      </c>
      <c r="G141" s="14">
        <v>24316.999999428546</v>
      </c>
      <c r="H141" s="14">
        <v>20725.30794297465</v>
      </c>
      <c r="I141" s="14">
        <v>7166.8362886148934</v>
      </c>
      <c r="J141" s="14">
        <v>3070.1000392269475</v>
      </c>
      <c r="K141" s="14">
        <v>3313.4873956092438</v>
      </c>
      <c r="L141" s="14">
        <v>6944.8011409306891</v>
      </c>
      <c r="M141" s="14">
        <v>7127.7428983406135</v>
      </c>
      <c r="N141" s="14">
        <v>7425.9555673809364</v>
      </c>
      <c r="O141" s="14">
        <v>7592.5919517701177</v>
      </c>
    </row>
    <row r="142" spans="1:15" x14ac:dyDescent="0.3">
      <c r="A142" s="3" t="str">
        <f>INDEX('R1. Scenario specifications'!$C$11:$C$49,MATCH($B142,'R1. Scenario specifications'!$A$11:$A$49,0))</f>
        <v>Current 1.5DS, 2030 start, 'Expect the Unexpected' but with cheap EVs</v>
      </c>
      <c r="B142" s="3" t="s">
        <v>27</v>
      </c>
      <c r="C142" s="3" t="s">
        <v>301</v>
      </c>
      <c r="D142" s="3" t="s">
        <v>328</v>
      </c>
      <c r="E142" s="14">
        <v>0</v>
      </c>
      <c r="F142" s="14">
        <v>0</v>
      </c>
      <c r="G142" s="14">
        <v>94.260834870759595</v>
      </c>
      <c r="H142" s="14">
        <v>1628.0096568892475</v>
      </c>
      <c r="I142" s="14">
        <v>2758.0906023017806</v>
      </c>
      <c r="J142" s="14">
        <v>1045.064979555118</v>
      </c>
      <c r="K142" s="14">
        <v>203.19572520800619</v>
      </c>
      <c r="L142" s="14">
        <v>37.050342085794711</v>
      </c>
      <c r="M142" s="14">
        <v>10.850097263578601</v>
      </c>
      <c r="N142" s="14">
        <v>10.6032951416598</v>
      </c>
      <c r="O142" s="14">
        <v>3.9776629468281399</v>
      </c>
    </row>
    <row r="143" spans="1:15" x14ac:dyDescent="0.3">
      <c r="A143" s="3" t="str">
        <f>INDEX('R1. Scenario specifications'!$C$11:$C$49,MATCH($B143,'R1. Scenario specifications'!$A$11:$A$49,0))</f>
        <v>Current 1.5DS, 2030 start, 'Expect the Unexpected' but with cheap EVs</v>
      </c>
      <c r="B143" s="3" t="s">
        <v>27</v>
      </c>
      <c r="C143" s="3" t="s">
        <v>303</v>
      </c>
      <c r="D143" s="3" t="s">
        <v>329</v>
      </c>
      <c r="E143" s="14">
        <v>0</v>
      </c>
      <c r="F143" s="14">
        <v>0</v>
      </c>
      <c r="G143" s="14">
        <v>0</v>
      </c>
      <c r="H143" s="14">
        <v>3040.2453409136619</v>
      </c>
      <c r="I143" s="14">
        <v>11722.004924373949</v>
      </c>
      <c r="J143" s="14">
        <v>14619.96713285953</v>
      </c>
      <c r="K143" s="14">
        <v>6870.203017999751</v>
      </c>
      <c r="L143" s="14">
        <v>1034.6818848742068</v>
      </c>
      <c r="M143" s="14">
        <v>0</v>
      </c>
      <c r="N143" s="14">
        <v>0</v>
      </c>
      <c r="O143" s="14">
        <v>0</v>
      </c>
    </row>
    <row r="144" spans="1:15" x14ac:dyDescent="0.3">
      <c r="A144" s="3" t="str">
        <f>INDEX('R1. Scenario specifications'!$C$11:$C$49,MATCH($B144,'R1. Scenario specifications'!$A$11:$A$49,0))</f>
        <v>Current 1.5DS, 2020 start, 'Expect the Unexpected' but with cheap energy efficiency</v>
      </c>
      <c r="B144" s="3" t="s">
        <v>28</v>
      </c>
      <c r="C144" s="3" t="s">
        <v>298</v>
      </c>
      <c r="D144" s="3" t="s">
        <v>325</v>
      </c>
      <c r="E144" s="14">
        <v>217.28224258600872</v>
      </c>
      <c r="F144" s="14">
        <v>156.6315521560405</v>
      </c>
      <c r="G144" s="14">
        <v>1062.76238560823</v>
      </c>
      <c r="H144" s="14">
        <v>1292.9860198919712</v>
      </c>
      <c r="I144" s="14">
        <v>1520.1080541867361</v>
      </c>
      <c r="J144" s="14">
        <v>2150.0950258219559</v>
      </c>
      <c r="K144" s="14">
        <v>2406.1944434996581</v>
      </c>
      <c r="L144" s="14">
        <v>1217.1193632701452</v>
      </c>
      <c r="M144" s="14">
        <v>826.97755757513994</v>
      </c>
      <c r="N144" s="14">
        <v>1211.7667074422659</v>
      </c>
      <c r="O144" s="14">
        <v>2244.010997099987</v>
      </c>
    </row>
    <row r="145" spans="1:15" x14ac:dyDescent="0.3">
      <c r="A145" s="3" t="str">
        <f>INDEX('R1. Scenario specifications'!$C$11:$C$49,MATCH($B145,'R1. Scenario specifications'!$A$11:$A$49,0))</f>
        <v>Current 1.5DS, 2020 start, 'Expect the Unexpected' but with cheap energy efficiency</v>
      </c>
      <c r="B145" s="3" t="s">
        <v>28</v>
      </c>
      <c r="C145" s="3" t="s">
        <v>299</v>
      </c>
      <c r="D145" s="3" t="s">
        <v>324</v>
      </c>
      <c r="E145" s="14">
        <v>0.14080836420000001</v>
      </c>
      <c r="F145" s="14">
        <v>6.1144027199999992E-2</v>
      </c>
      <c r="G145" s="14">
        <v>55.300000000000061</v>
      </c>
      <c r="H145" s="14">
        <v>645.1047372876393</v>
      </c>
      <c r="I145" s="14">
        <v>2355.387019872197</v>
      </c>
      <c r="J145" s="14">
        <v>11050.788181408572</v>
      </c>
      <c r="K145" s="14">
        <v>19345.182852697304</v>
      </c>
      <c r="L145" s="14">
        <v>21038.062696980989</v>
      </c>
      <c r="M145" s="14">
        <v>23107.463662122569</v>
      </c>
      <c r="N145" s="14">
        <v>26522.106214231411</v>
      </c>
      <c r="O145" s="14">
        <v>28944.792118992653</v>
      </c>
    </row>
    <row r="146" spans="1:15" x14ac:dyDescent="0.3">
      <c r="A146" s="3" t="str">
        <f>INDEX('R1. Scenario specifications'!$C$11:$C$49,MATCH($B146,'R1. Scenario specifications'!$A$11:$A$49,0))</f>
        <v>Current 1.5DS, 2020 start, 'Expect the Unexpected' but with cheap energy efficiency</v>
      </c>
      <c r="B146" s="3" t="s">
        <v>28</v>
      </c>
      <c r="C146" s="3" t="s">
        <v>302</v>
      </c>
      <c r="D146" s="3" t="s">
        <v>326</v>
      </c>
      <c r="E146" s="14">
        <v>0</v>
      </c>
      <c r="F146" s="14">
        <v>0</v>
      </c>
      <c r="G146" s="14">
        <v>137.17533571710985</v>
      </c>
      <c r="H146" s="14">
        <v>216.59416047360398</v>
      </c>
      <c r="I146" s="14">
        <v>136.6607439818718</v>
      </c>
      <c r="J146" s="14">
        <v>120.00334511875359</v>
      </c>
      <c r="K146" s="14">
        <v>399.5297920790149</v>
      </c>
      <c r="L146" s="14">
        <v>800.72481702619655</v>
      </c>
      <c r="M146" s="14">
        <v>850.11319241587853</v>
      </c>
      <c r="N146" s="14">
        <v>913.44104383781018</v>
      </c>
      <c r="O146" s="14">
        <v>975.53809104123491</v>
      </c>
    </row>
    <row r="147" spans="1:15" x14ac:dyDescent="0.3">
      <c r="A147" s="3" t="str">
        <f>INDEX('R1. Scenario specifications'!$C$11:$C$49,MATCH($B147,'R1. Scenario specifications'!$A$11:$A$49,0))</f>
        <v>Current 1.5DS, 2020 start, 'Expect the Unexpected' but with cheap energy efficiency</v>
      </c>
      <c r="B147" s="3" t="s">
        <v>28</v>
      </c>
      <c r="C147" s="3" t="s">
        <v>300</v>
      </c>
      <c r="D147" s="3" t="s">
        <v>327</v>
      </c>
      <c r="E147" s="14">
        <v>12817.718070131599</v>
      </c>
      <c r="F147" s="14">
        <v>17010.52444269968</v>
      </c>
      <c r="G147" s="14">
        <v>24316.999999428546</v>
      </c>
      <c r="H147" s="14">
        <v>9970.3801281078613</v>
      </c>
      <c r="I147" s="14">
        <v>4034.7033226679464</v>
      </c>
      <c r="J147" s="14">
        <v>3421.9600075504031</v>
      </c>
      <c r="K147" s="14">
        <v>5756.5700863090387</v>
      </c>
      <c r="L147" s="14">
        <v>9543.974237378774</v>
      </c>
      <c r="M147" s="14">
        <v>9879.2149588604152</v>
      </c>
      <c r="N147" s="14">
        <v>7956.7191183019941</v>
      </c>
      <c r="O147" s="14">
        <v>6626.8640126751752</v>
      </c>
    </row>
    <row r="148" spans="1:15" x14ac:dyDescent="0.3">
      <c r="A148" s="3" t="str">
        <f>INDEX('R1. Scenario specifications'!$C$11:$C$49,MATCH($B148,'R1. Scenario specifications'!$A$11:$A$49,0))</f>
        <v>Current 1.5DS, 2020 start, 'Expect the Unexpected' but with cheap energy efficiency</v>
      </c>
      <c r="B148" s="3" t="s">
        <v>28</v>
      </c>
      <c r="C148" s="3" t="s">
        <v>301</v>
      </c>
      <c r="D148" s="3" t="s">
        <v>328</v>
      </c>
      <c r="E148" s="14">
        <v>0</v>
      </c>
      <c r="F148" s="14">
        <v>0</v>
      </c>
      <c r="G148" s="14">
        <v>94.260834870759595</v>
      </c>
      <c r="H148" s="14">
        <v>2508.4104212666516</v>
      </c>
      <c r="I148" s="14">
        <v>2271.7987083901926</v>
      </c>
      <c r="J148" s="14">
        <v>452.7251763242698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</row>
    <row r="149" spans="1:15" x14ac:dyDescent="0.3">
      <c r="A149" s="3" t="str">
        <f>INDEX('R1. Scenario specifications'!$C$11:$C$49,MATCH($B149,'R1. Scenario specifications'!$A$11:$A$49,0))</f>
        <v>Current 1.5DS, 2020 start, 'Expect the Unexpected' but with cheap energy efficiency</v>
      </c>
      <c r="B149" s="3" t="s">
        <v>28</v>
      </c>
      <c r="C149" s="3" t="s">
        <v>303</v>
      </c>
      <c r="D149" s="3" t="s">
        <v>329</v>
      </c>
      <c r="E149" s="14">
        <v>0</v>
      </c>
      <c r="F149" s="14">
        <v>0</v>
      </c>
      <c r="G149" s="14">
        <v>0</v>
      </c>
      <c r="H149" s="14">
        <v>5681.4745198631408</v>
      </c>
      <c r="I149" s="14">
        <v>10257.299660088398</v>
      </c>
      <c r="J149" s="14">
        <v>6416.7065155862156</v>
      </c>
      <c r="K149" s="14">
        <v>1150.5856852193019</v>
      </c>
      <c r="L149" s="14">
        <v>0</v>
      </c>
      <c r="M149" s="14">
        <v>0</v>
      </c>
      <c r="N149" s="14">
        <v>0</v>
      </c>
      <c r="O149" s="14">
        <v>0</v>
      </c>
    </row>
    <row r="150" spans="1:15" x14ac:dyDescent="0.3">
      <c r="A150" s="3" t="str">
        <f>INDEX('R1. Scenario specifications'!$C$11:$C$49,MATCH($B150,'R1. Scenario specifications'!$A$11:$A$49,0))</f>
        <v>Current 1.5DS, 2030 start, 'Expect the Unexpected' but with cheap energy efficiency</v>
      </c>
      <c r="B150" s="3" t="s">
        <v>29</v>
      </c>
      <c r="C150" s="3" t="s">
        <v>298</v>
      </c>
      <c r="D150" s="3" t="s">
        <v>325</v>
      </c>
      <c r="E150" s="14">
        <v>217.28224258600872</v>
      </c>
      <c r="F150" s="14">
        <v>156.6315521560405</v>
      </c>
      <c r="G150" s="14">
        <v>1062.76238560823</v>
      </c>
      <c r="H150" s="14">
        <v>1939.5191416210841</v>
      </c>
      <c r="I150" s="14">
        <v>2025.3727346352821</v>
      </c>
      <c r="J150" s="14">
        <v>2365.1386529174815</v>
      </c>
      <c r="K150" s="14">
        <v>2335.76527671237</v>
      </c>
      <c r="L150" s="14">
        <v>2302.2417225830163</v>
      </c>
      <c r="M150" s="14">
        <v>2087.8296556890982</v>
      </c>
      <c r="N150" s="14">
        <v>1415.5247911495092</v>
      </c>
      <c r="O150" s="14">
        <v>1562.5391155414563</v>
      </c>
    </row>
    <row r="151" spans="1:15" x14ac:dyDescent="0.3">
      <c r="A151" s="3" t="str">
        <f>INDEX('R1. Scenario specifications'!$C$11:$C$49,MATCH($B151,'R1. Scenario specifications'!$A$11:$A$49,0))</f>
        <v>Current 1.5DS, 2030 start, 'Expect the Unexpected' but with cheap energy efficiency</v>
      </c>
      <c r="B151" s="3" t="s">
        <v>29</v>
      </c>
      <c r="C151" s="3" t="s">
        <v>299</v>
      </c>
      <c r="D151" s="3" t="s">
        <v>324</v>
      </c>
      <c r="E151" s="14">
        <v>0.14080836420000001</v>
      </c>
      <c r="F151" s="14">
        <v>6.1144027199999992E-2</v>
      </c>
      <c r="G151" s="14">
        <v>55.300000000000061</v>
      </c>
      <c r="H151" s="14">
        <v>527.86598912037414</v>
      </c>
      <c r="I151" s="14">
        <v>2196.9738320718625</v>
      </c>
      <c r="J151" s="14">
        <v>5113.6087914136942</v>
      </c>
      <c r="K151" s="14">
        <v>11371.099705709574</v>
      </c>
      <c r="L151" s="14">
        <v>19851.960964947713</v>
      </c>
      <c r="M151" s="14">
        <v>21737.772807157642</v>
      </c>
      <c r="N151" s="14">
        <v>23319.81916546902</v>
      </c>
      <c r="O151" s="14">
        <v>24732.432578900331</v>
      </c>
    </row>
    <row r="152" spans="1:15" x14ac:dyDescent="0.3">
      <c r="A152" s="3" t="str">
        <f>INDEX('R1. Scenario specifications'!$C$11:$C$49,MATCH($B152,'R1. Scenario specifications'!$A$11:$A$49,0))</f>
        <v>Current 1.5DS, 2030 start, 'Expect the Unexpected' but with cheap energy efficiency</v>
      </c>
      <c r="B152" s="3" t="s">
        <v>29</v>
      </c>
      <c r="C152" s="3" t="s">
        <v>302</v>
      </c>
      <c r="D152" s="3" t="s">
        <v>326</v>
      </c>
      <c r="E152" s="14">
        <v>0</v>
      </c>
      <c r="F152" s="14">
        <v>0</v>
      </c>
      <c r="G152" s="14">
        <v>137.17533571710985</v>
      </c>
      <c r="H152" s="14">
        <v>482.8334985499514</v>
      </c>
      <c r="I152" s="14">
        <v>222.07459737685298</v>
      </c>
      <c r="J152" s="14">
        <v>109.28141625740437</v>
      </c>
      <c r="K152" s="14">
        <v>119.12871378203941</v>
      </c>
      <c r="L152" s="14">
        <v>812.85328318426832</v>
      </c>
      <c r="M152" s="14">
        <v>855.64617803367469</v>
      </c>
      <c r="N152" s="14">
        <v>910.82704863385754</v>
      </c>
      <c r="O152" s="14">
        <v>969.50446256607074</v>
      </c>
    </row>
    <row r="153" spans="1:15" x14ac:dyDescent="0.3">
      <c r="A153" s="3" t="str">
        <f>INDEX('R1. Scenario specifications'!$C$11:$C$49,MATCH($B153,'R1. Scenario specifications'!$A$11:$A$49,0))</f>
        <v>Current 1.5DS, 2030 start, 'Expect the Unexpected' but with cheap energy efficiency</v>
      </c>
      <c r="B153" s="3" t="s">
        <v>29</v>
      </c>
      <c r="C153" s="3" t="s">
        <v>300</v>
      </c>
      <c r="D153" s="3" t="s">
        <v>327</v>
      </c>
      <c r="E153" s="14">
        <v>12817.718070131599</v>
      </c>
      <c r="F153" s="14">
        <v>17010.52444269968</v>
      </c>
      <c r="G153" s="14">
        <v>24316.999999428546</v>
      </c>
      <c r="H153" s="14">
        <v>20725.30794297465</v>
      </c>
      <c r="I153" s="14">
        <v>7326.9653263545024</v>
      </c>
      <c r="J153" s="14">
        <v>3406.5887735859724</v>
      </c>
      <c r="K153" s="14">
        <v>3259.8104003517515</v>
      </c>
      <c r="L153" s="14">
        <v>9058.9761649505108</v>
      </c>
      <c r="M153" s="14">
        <v>10319.861108146242</v>
      </c>
      <c r="N153" s="14">
        <v>11540.076972769688</v>
      </c>
      <c r="O153" s="14">
        <v>12132.150097710857</v>
      </c>
    </row>
    <row r="154" spans="1:15" x14ac:dyDescent="0.3">
      <c r="A154" s="3" t="str">
        <f>INDEX('R1. Scenario specifications'!$C$11:$C$49,MATCH($B154,'R1. Scenario specifications'!$A$11:$A$49,0))</f>
        <v>Current 1.5DS, 2030 start, 'Expect the Unexpected' but with cheap energy efficiency</v>
      </c>
      <c r="B154" s="3" t="s">
        <v>29</v>
      </c>
      <c r="C154" s="3" t="s">
        <v>301</v>
      </c>
      <c r="D154" s="3" t="s">
        <v>328</v>
      </c>
      <c r="E154" s="14">
        <v>0</v>
      </c>
      <c r="F154" s="14">
        <v>0</v>
      </c>
      <c r="G154" s="14">
        <v>94.260834870759595</v>
      </c>
      <c r="H154" s="14">
        <v>1628.0096568892475</v>
      </c>
      <c r="I154" s="14">
        <v>2107.6810761997726</v>
      </c>
      <c r="J154" s="14">
        <v>496.2838896048342</v>
      </c>
      <c r="K154" s="14">
        <v>87.73527712510294</v>
      </c>
      <c r="L154" s="14">
        <v>24.268339324651901</v>
      </c>
      <c r="M154" s="14">
        <v>0</v>
      </c>
      <c r="N154" s="14">
        <v>0</v>
      </c>
      <c r="O154" s="14">
        <v>0</v>
      </c>
    </row>
    <row r="155" spans="1:15" x14ac:dyDescent="0.3">
      <c r="A155" s="3" t="str">
        <f>INDEX('R1. Scenario specifications'!$C$11:$C$49,MATCH($B155,'R1. Scenario specifications'!$A$11:$A$49,0))</f>
        <v>Current 1.5DS, 2030 start, 'Expect the Unexpected' but with cheap energy efficiency</v>
      </c>
      <c r="B155" s="3" t="s">
        <v>29</v>
      </c>
      <c r="C155" s="3" t="s">
        <v>303</v>
      </c>
      <c r="D155" s="3" t="s">
        <v>329</v>
      </c>
      <c r="E155" s="14">
        <v>0</v>
      </c>
      <c r="F155" s="14">
        <v>0</v>
      </c>
      <c r="G155" s="14">
        <v>0</v>
      </c>
      <c r="H155" s="14">
        <v>3040.2453409136619</v>
      </c>
      <c r="I155" s="14">
        <v>8326.3777961530213</v>
      </c>
      <c r="J155" s="14">
        <v>10780.270885799113</v>
      </c>
      <c r="K155" s="14">
        <v>5280.6652612447315</v>
      </c>
      <c r="L155" s="14">
        <v>812.23914261222399</v>
      </c>
      <c r="M155" s="14">
        <v>0</v>
      </c>
      <c r="N155" s="14">
        <v>0</v>
      </c>
      <c r="O155" s="14">
        <v>0</v>
      </c>
    </row>
    <row r="156" spans="1:15" x14ac:dyDescent="0.3">
      <c r="A156" s="3" t="str">
        <f>INDEX('R1. Scenario specifications'!$C$11:$C$49,MATCH($B156,'R1. Scenario specifications'!$A$11:$A$49,0))</f>
        <v>Current 1.5DS, 2020 start, 'Expect the Unexpected' but with most conservative biomass CCS / NET technology cost assumptions</v>
      </c>
      <c r="B156" s="3" t="s">
        <v>30</v>
      </c>
      <c r="C156" s="3" t="s">
        <v>298</v>
      </c>
      <c r="D156" s="3" t="s">
        <v>325</v>
      </c>
      <c r="E156" s="14">
        <v>217.28224258600872</v>
      </c>
      <c r="F156" s="14">
        <v>156.6315521560405</v>
      </c>
      <c r="G156" s="14">
        <v>1062.76238560823</v>
      </c>
      <c r="H156" s="14">
        <v>1195.3198971671331</v>
      </c>
      <c r="I156" s="14">
        <v>1209.1710217043628</v>
      </c>
      <c r="J156" s="14">
        <v>1635.5429403865824</v>
      </c>
      <c r="K156" s="14">
        <v>2247.9860263510304</v>
      </c>
      <c r="L156" s="14">
        <v>1174.7441060810954</v>
      </c>
      <c r="M156" s="14">
        <v>706.31694022157785</v>
      </c>
      <c r="N156" s="14">
        <v>1070.2366254334631</v>
      </c>
      <c r="O156" s="14">
        <v>2141.1040442940312</v>
      </c>
    </row>
    <row r="157" spans="1:15" x14ac:dyDescent="0.3">
      <c r="A157" s="3" t="str">
        <f>INDEX('R1. Scenario specifications'!$C$11:$C$49,MATCH($B157,'R1. Scenario specifications'!$A$11:$A$49,0))</f>
        <v>Current 1.5DS, 2020 start, 'Expect the Unexpected' but with most conservative biomass CCS / NET technology cost assumptions</v>
      </c>
      <c r="B157" s="3" t="s">
        <v>30</v>
      </c>
      <c r="C157" s="3" t="s">
        <v>299</v>
      </c>
      <c r="D157" s="3" t="s">
        <v>324</v>
      </c>
      <c r="E157" s="14">
        <v>0.14080836420000001</v>
      </c>
      <c r="F157" s="14">
        <v>6.1144027199999992E-2</v>
      </c>
      <c r="G157" s="14">
        <v>55.300000000000061</v>
      </c>
      <c r="H157" s="14">
        <v>665.05064902766571</v>
      </c>
      <c r="I157" s="14">
        <v>2886.7122646810849</v>
      </c>
      <c r="J157" s="14">
        <v>11647.957285017193</v>
      </c>
      <c r="K157" s="14">
        <v>24638.726565261357</v>
      </c>
      <c r="L157" s="14">
        <v>27605.758630483317</v>
      </c>
      <c r="M157" s="14">
        <v>30278.684653162065</v>
      </c>
      <c r="N157" s="14">
        <v>34083.848134587803</v>
      </c>
      <c r="O157" s="14">
        <v>37363.108373095623</v>
      </c>
    </row>
    <row r="158" spans="1:15" x14ac:dyDescent="0.3">
      <c r="A158" s="3" t="str">
        <f>INDEX('R1. Scenario specifications'!$C$11:$C$49,MATCH($B158,'R1. Scenario specifications'!$A$11:$A$49,0))</f>
        <v>Current 1.5DS, 2020 start, 'Expect the Unexpected' but with most conservative biomass CCS / NET technology cost assumptions</v>
      </c>
      <c r="B158" s="3" t="s">
        <v>30</v>
      </c>
      <c r="C158" s="3" t="s">
        <v>302</v>
      </c>
      <c r="D158" s="3" t="s">
        <v>326</v>
      </c>
      <c r="E158" s="14">
        <v>0</v>
      </c>
      <c r="F158" s="14">
        <v>0</v>
      </c>
      <c r="G158" s="14">
        <v>137.17533571710985</v>
      </c>
      <c r="H158" s="14">
        <v>326.07101374533056</v>
      </c>
      <c r="I158" s="14">
        <v>139.31952889428874</v>
      </c>
      <c r="J158" s="14">
        <v>75.055324835530286</v>
      </c>
      <c r="K158" s="14">
        <v>572.76590092211939</v>
      </c>
      <c r="L158" s="14">
        <v>1018.4884659542849</v>
      </c>
      <c r="M158" s="14">
        <v>1081.7606432120617</v>
      </c>
      <c r="N158" s="14">
        <v>1156.0863381888978</v>
      </c>
      <c r="O158" s="14">
        <v>1220.4332154375638</v>
      </c>
    </row>
    <row r="159" spans="1:15" x14ac:dyDescent="0.3">
      <c r="A159" s="3" t="str">
        <f>INDEX('R1. Scenario specifications'!$C$11:$C$49,MATCH($B159,'R1. Scenario specifications'!$A$11:$A$49,0))</f>
        <v>Current 1.5DS, 2020 start, 'Expect the Unexpected' but with most conservative biomass CCS / NET technology cost assumptions</v>
      </c>
      <c r="B159" s="3" t="s">
        <v>30</v>
      </c>
      <c r="C159" s="3" t="s">
        <v>300</v>
      </c>
      <c r="D159" s="3" t="s">
        <v>327</v>
      </c>
      <c r="E159" s="14">
        <v>12817.718070131599</v>
      </c>
      <c r="F159" s="14">
        <v>17010.52444269968</v>
      </c>
      <c r="G159" s="14">
        <v>24316.999999428546</v>
      </c>
      <c r="H159" s="14">
        <v>13702.561312099855</v>
      </c>
      <c r="I159" s="14">
        <v>5310.1830006728733</v>
      </c>
      <c r="J159" s="14">
        <v>3524.4916921815375</v>
      </c>
      <c r="K159" s="14">
        <v>6510.119677062673</v>
      </c>
      <c r="L159" s="14">
        <v>9973.4573706817118</v>
      </c>
      <c r="M159" s="14">
        <v>10283.928239981888</v>
      </c>
      <c r="N159" s="14">
        <v>8349.1086310736846</v>
      </c>
      <c r="O159" s="14">
        <v>6774.1592584413347</v>
      </c>
    </row>
    <row r="160" spans="1:15" x14ac:dyDescent="0.3">
      <c r="A160" s="3" t="str">
        <f>INDEX('R1. Scenario specifications'!$C$11:$C$49,MATCH($B160,'R1. Scenario specifications'!$A$11:$A$49,0))</f>
        <v>Current 1.5DS, 2020 start, 'Expect the Unexpected' but with most conservative biomass CCS / NET technology cost assumptions</v>
      </c>
      <c r="B160" s="3" t="s">
        <v>30</v>
      </c>
      <c r="C160" s="3" t="s">
        <v>301</v>
      </c>
      <c r="D160" s="3" t="s">
        <v>328</v>
      </c>
      <c r="E160" s="14">
        <v>0</v>
      </c>
      <c r="F160" s="14">
        <v>0</v>
      </c>
      <c r="G160" s="14">
        <v>94.260834870759595</v>
      </c>
      <c r="H160" s="14">
        <v>3169.7519035535965</v>
      </c>
      <c r="I160" s="14">
        <v>2491.8814121709911</v>
      </c>
      <c r="J160" s="14">
        <v>464.45821379530298</v>
      </c>
      <c r="K160" s="14">
        <v>1.63040509930647</v>
      </c>
      <c r="L160" s="14">
        <v>0.91414700340489097</v>
      </c>
      <c r="M160" s="14">
        <v>0</v>
      </c>
      <c r="N160" s="14">
        <v>0</v>
      </c>
      <c r="O160" s="14">
        <v>0</v>
      </c>
    </row>
    <row r="161" spans="1:15" x14ac:dyDescent="0.3">
      <c r="A161" s="3" t="str">
        <f>INDEX('R1. Scenario specifications'!$C$11:$C$49,MATCH($B161,'R1. Scenario specifications'!$A$11:$A$49,0))</f>
        <v>Current 1.5DS, 2020 start, 'Expect the Unexpected' but with most conservative biomass CCS / NET technology cost assumptions</v>
      </c>
      <c r="B161" s="3" t="s">
        <v>30</v>
      </c>
      <c r="C161" s="3" t="s">
        <v>303</v>
      </c>
      <c r="D161" s="3" t="s">
        <v>329</v>
      </c>
      <c r="E161" s="14">
        <v>0</v>
      </c>
      <c r="F161" s="14">
        <v>0</v>
      </c>
      <c r="G161" s="14">
        <v>0</v>
      </c>
      <c r="H161" s="14">
        <v>7619.0923249882608</v>
      </c>
      <c r="I161" s="14">
        <v>11752.103228694934</v>
      </c>
      <c r="J161" s="14">
        <v>8078.4815701414645</v>
      </c>
      <c r="K161" s="14">
        <v>1563.57983662022</v>
      </c>
      <c r="L161" s="14">
        <v>0</v>
      </c>
      <c r="M161" s="14">
        <v>0</v>
      </c>
      <c r="N161" s="14">
        <v>0</v>
      </c>
      <c r="O161" s="14">
        <v>0</v>
      </c>
    </row>
    <row r="162" spans="1:15" x14ac:dyDescent="0.3">
      <c r="A162" s="3" t="str">
        <f>INDEX('R1. Scenario specifications'!$C$11:$C$49,MATCH($B162,'R1. Scenario specifications'!$A$11:$A$49,0))</f>
        <v>Current 1.5DS, 2030 start, 'Expect the Unexpected' but with most conservative biomass CCS / NET technology cost assumptions</v>
      </c>
      <c r="B162" s="3" t="s">
        <v>31</v>
      </c>
      <c r="C162" s="3" t="s">
        <v>298</v>
      </c>
      <c r="D162" s="3" t="s">
        <v>325</v>
      </c>
      <c r="E162" s="14">
        <v>217.28224258600872</v>
      </c>
      <c r="F162" s="14">
        <v>156.6315521560405</v>
      </c>
      <c r="G162" s="14">
        <v>1062.76238560823</v>
      </c>
      <c r="H162" s="14">
        <v>1939.5191416210841</v>
      </c>
      <c r="I162" s="14">
        <v>1957.4524592264002</v>
      </c>
      <c r="J162" s="14">
        <v>2339.1657001392314</v>
      </c>
      <c r="K162" s="14">
        <v>2105.7259649600378</v>
      </c>
      <c r="L162" s="14">
        <v>2338.7492137371146</v>
      </c>
      <c r="M162" s="14">
        <v>2367.5434922525378</v>
      </c>
      <c r="N162" s="14">
        <v>2055.1694890669391</v>
      </c>
      <c r="O162" s="14">
        <v>1863.3273140087133</v>
      </c>
    </row>
    <row r="163" spans="1:15" x14ac:dyDescent="0.3">
      <c r="A163" s="3" t="str">
        <f>INDEX('R1. Scenario specifications'!$C$11:$C$49,MATCH($B163,'R1. Scenario specifications'!$A$11:$A$49,0))</f>
        <v>Current 1.5DS, 2030 start, 'Expect the Unexpected' but with most conservative biomass CCS / NET technology cost assumptions</v>
      </c>
      <c r="B163" s="3" t="s">
        <v>31</v>
      </c>
      <c r="C163" s="3" t="s">
        <v>299</v>
      </c>
      <c r="D163" s="3" t="s">
        <v>324</v>
      </c>
      <c r="E163" s="14">
        <v>0.14080836420000001</v>
      </c>
      <c r="F163" s="14">
        <v>6.1144027199999992E-2</v>
      </c>
      <c r="G163" s="14">
        <v>55.300000000000061</v>
      </c>
      <c r="H163" s="14">
        <v>527.86598912037414</v>
      </c>
      <c r="I163" s="14">
        <v>2775.9330496095345</v>
      </c>
      <c r="J163" s="14">
        <v>7870.6914795648636</v>
      </c>
      <c r="K163" s="14">
        <v>15016.978330188813</v>
      </c>
      <c r="L163" s="14">
        <v>25346.18321945165</v>
      </c>
      <c r="M163" s="14">
        <v>27891.041044381782</v>
      </c>
      <c r="N163" s="14">
        <v>29896.058668720179</v>
      </c>
      <c r="O163" s="14">
        <v>31836.959480434933</v>
      </c>
    </row>
    <row r="164" spans="1:15" x14ac:dyDescent="0.3">
      <c r="A164" s="3" t="str">
        <f>INDEX('R1. Scenario specifications'!$C$11:$C$49,MATCH($B164,'R1. Scenario specifications'!$A$11:$A$49,0))</f>
        <v>Current 1.5DS, 2030 start, 'Expect the Unexpected' but with most conservative biomass CCS / NET technology cost assumptions</v>
      </c>
      <c r="B164" s="3" t="s">
        <v>31</v>
      </c>
      <c r="C164" s="3" t="s">
        <v>302</v>
      </c>
      <c r="D164" s="3" t="s">
        <v>326</v>
      </c>
      <c r="E164" s="14">
        <v>0</v>
      </c>
      <c r="F164" s="14">
        <v>0</v>
      </c>
      <c r="G164" s="14">
        <v>137.17533571710985</v>
      </c>
      <c r="H164" s="14">
        <v>482.8334985499514</v>
      </c>
      <c r="I164" s="14">
        <v>259.74357661148139</v>
      </c>
      <c r="J164" s="14">
        <v>143.27418805160323</v>
      </c>
      <c r="K164" s="14">
        <v>128.77727176662026</v>
      </c>
      <c r="L164" s="14">
        <v>1025.0533543144763</v>
      </c>
      <c r="M164" s="14">
        <v>1090.9677770672643</v>
      </c>
      <c r="N164" s="14">
        <v>1160.5809698557259</v>
      </c>
      <c r="O164" s="14">
        <v>1236.4805978695008</v>
      </c>
    </row>
    <row r="165" spans="1:15" x14ac:dyDescent="0.3">
      <c r="A165" s="3" t="str">
        <f>INDEX('R1. Scenario specifications'!$C$11:$C$49,MATCH($B165,'R1. Scenario specifications'!$A$11:$A$49,0))</f>
        <v>Current 1.5DS, 2030 start, 'Expect the Unexpected' but with most conservative biomass CCS / NET technology cost assumptions</v>
      </c>
      <c r="B165" s="3" t="s">
        <v>31</v>
      </c>
      <c r="C165" s="3" t="s">
        <v>300</v>
      </c>
      <c r="D165" s="3" t="s">
        <v>327</v>
      </c>
      <c r="E165" s="14">
        <v>12817.718070131599</v>
      </c>
      <c r="F165" s="14">
        <v>17010.52444269968</v>
      </c>
      <c r="G165" s="14">
        <v>24316.999999428546</v>
      </c>
      <c r="H165" s="14">
        <v>20725.30794297465</v>
      </c>
      <c r="I165" s="14">
        <v>7221.1623294036835</v>
      </c>
      <c r="J165" s="14">
        <v>3458.5999807810254</v>
      </c>
      <c r="K165" s="14">
        <v>3573.3065189336653</v>
      </c>
      <c r="L165" s="14">
        <v>10336.0804106716</v>
      </c>
      <c r="M165" s="14">
        <v>11479.365810812162</v>
      </c>
      <c r="N165" s="14">
        <v>12384.063490690856</v>
      </c>
      <c r="O165" s="14">
        <v>13330.862004633094</v>
      </c>
    </row>
    <row r="166" spans="1:15" x14ac:dyDescent="0.3">
      <c r="A166" s="3" t="str">
        <f>INDEX('R1. Scenario specifications'!$C$11:$C$49,MATCH($B166,'R1. Scenario specifications'!$A$11:$A$49,0))</f>
        <v>Current 1.5DS, 2030 start, 'Expect the Unexpected' but with most conservative biomass CCS / NET technology cost assumptions</v>
      </c>
      <c r="B166" s="3" t="s">
        <v>31</v>
      </c>
      <c r="C166" s="3" t="s">
        <v>301</v>
      </c>
      <c r="D166" s="3" t="s">
        <v>328</v>
      </c>
      <c r="E166" s="14">
        <v>0</v>
      </c>
      <c r="F166" s="14">
        <v>0</v>
      </c>
      <c r="G166" s="14">
        <v>94.260834870759595</v>
      </c>
      <c r="H166" s="14">
        <v>1628.0096568892475</v>
      </c>
      <c r="I166" s="14">
        <v>2564.5671118196606</v>
      </c>
      <c r="J166" s="14">
        <v>630.21761109929923</v>
      </c>
      <c r="K166" s="14">
        <v>124.17398365971221</v>
      </c>
      <c r="L166" s="14">
        <v>35.4316587249468</v>
      </c>
      <c r="M166" s="14">
        <v>0</v>
      </c>
      <c r="N166" s="14">
        <v>0</v>
      </c>
      <c r="O166" s="14">
        <v>0</v>
      </c>
    </row>
    <row r="167" spans="1:15" x14ac:dyDescent="0.3">
      <c r="A167" s="3" t="str">
        <f>INDEX('R1. Scenario specifications'!$C$11:$C$49,MATCH($B167,'R1. Scenario specifications'!$A$11:$A$49,0))</f>
        <v>Current 1.5DS, 2030 start, 'Expect the Unexpected' but with most conservative biomass CCS / NET technology cost assumptions</v>
      </c>
      <c r="B167" s="3" t="s">
        <v>31</v>
      </c>
      <c r="C167" s="3" t="s">
        <v>303</v>
      </c>
      <c r="D167" s="3" t="s">
        <v>329</v>
      </c>
      <c r="E167" s="14">
        <v>0</v>
      </c>
      <c r="F167" s="14">
        <v>0</v>
      </c>
      <c r="G167" s="14">
        <v>0</v>
      </c>
      <c r="H167" s="14">
        <v>3040.2453409136619</v>
      </c>
      <c r="I167" s="14">
        <v>10770.589740802134</v>
      </c>
      <c r="J167" s="14">
        <v>12579.438480050545</v>
      </c>
      <c r="K167" s="14">
        <v>6397.4345546102413</v>
      </c>
      <c r="L167" s="14">
        <v>1049.5423053372187</v>
      </c>
      <c r="M167" s="14">
        <v>0</v>
      </c>
      <c r="N167" s="14">
        <v>0</v>
      </c>
      <c r="O167" s="14">
        <v>0</v>
      </c>
    </row>
    <row r="168" spans="1:15" x14ac:dyDescent="0.3">
      <c r="A168" s="3" t="str">
        <f>INDEX('R1. Scenario specifications'!$C$11:$C$49,MATCH($B168,'R1. Scenario specifications'!$A$11:$A$49,0))</f>
        <v>Current 1.75DS, 2020 start, 'Expect the Unexpected'</v>
      </c>
      <c r="B168" s="3" t="s">
        <v>32</v>
      </c>
      <c r="C168" s="3" t="s">
        <v>298</v>
      </c>
      <c r="D168" s="3" t="s">
        <v>325</v>
      </c>
      <c r="E168" s="14">
        <v>217.28224258600872</v>
      </c>
      <c r="F168" s="14">
        <v>156.6315521560405</v>
      </c>
      <c r="G168" s="14">
        <v>1062.76238560823</v>
      </c>
      <c r="H168" s="14">
        <v>1558.0747825819149</v>
      </c>
      <c r="I168" s="14">
        <v>1914.8585212947346</v>
      </c>
      <c r="J168" s="14">
        <v>2129.6493924172046</v>
      </c>
      <c r="K168" s="14">
        <v>1358.4974895906328</v>
      </c>
      <c r="L168" s="14">
        <v>951.11849266259742</v>
      </c>
      <c r="M168" s="14">
        <v>1174.4731170301934</v>
      </c>
      <c r="N168" s="14">
        <v>2040.1849103923209</v>
      </c>
      <c r="O168" s="14">
        <v>3205.7676446963387</v>
      </c>
    </row>
    <row r="169" spans="1:15" x14ac:dyDescent="0.3">
      <c r="A169" s="3" t="str">
        <f>INDEX('R1. Scenario specifications'!$C$11:$C$49,MATCH($B169,'R1. Scenario specifications'!$A$11:$A$49,0))</f>
        <v>Current 1.75DS, 2020 start, 'Expect the Unexpected'</v>
      </c>
      <c r="B169" s="3" t="s">
        <v>32</v>
      </c>
      <c r="C169" s="3" t="s">
        <v>299</v>
      </c>
      <c r="D169" s="3" t="s">
        <v>324</v>
      </c>
      <c r="E169" s="14">
        <v>0.14080836420000001</v>
      </c>
      <c r="F169" s="14">
        <v>6.1144027199999992E-2</v>
      </c>
      <c r="G169" s="14">
        <v>55.300000000000061</v>
      </c>
      <c r="H169" s="14">
        <v>616.9359513247648</v>
      </c>
      <c r="I169" s="14">
        <v>5983.6414767577571</v>
      </c>
      <c r="J169" s="14">
        <v>15676.182554143497</v>
      </c>
      <c r="K169" s="14">
        <v>22913.870031430681</v>
      </c>
      <c r="L169" s="14">
        <v>28685.020309457017</v>
      </c>
      <c r="M169" s="14">
        <v>32321.179113039554</v>
      </c>
      <c r="N169" s="14">
        <v>34279.762621274269</v>
      </c>
      <c r="O169" s="14">
        <v>37380.290281786707</v>
      </c>
    </row>
    <row r="170" spans="1:15" x14ac:dyDescent="0.3">
      <c r="A170" s="3" t="str">
        <f>INDEX('R1. Scenario specifications'!$C$11:$C$49,MATCH($B170,'R1. Scenario specifications'!$A$11:$A$49,0))</f>
        <v>Current 1.75DS, 2020 start, 'Expect the Unexpected'</v>
      </c>
      <c r="B170" s="3" t="s">
        <v>32</v>
      </c>
      <c r="C170" s="3" t="s">
        <v>302</v>
      </c>
      <c r="D170" s="3" t="s">
        <v>326</v>
      </c>
      <c r="E170" s="14">
        <v>0</v>
      </c>
      <c r="F170" s="14">
        <v>0</v>
      </c>
      <c r="G170" s="14">
        <v>137.17533571710985</v>
      </c>
      <c r="H170" s="14">
        <v>471.99519681892286</v>
      </c>
      <c r="I170" s="14">
        <v>607.98216192774407</v>
      </c>
      <c r="J170" s="14">
        <v>878.92105526194382</v>
      </c>
      <c r="K170" s="14">
        <v>948.87568792863533</v>
      </c>
      <c r="L170" s="14">
        <v>1012.8413236661969</v>
      </c>
      <c r="M170" s="14">
        <v>1086.8693437366439</v>
      </c>
      <c r="N170" s="14">
        <v>1059.3813436141843</v>
      </c>
      <c r="O170" s="14">
        <v>1097.266736808783</v>
      </c>
    </row>
    <row r="171" spans="1:15" x14ac:dyDescent="0.3">
      <c r="A171" s="3" t="str">
        <f>INDEX('R1. Scenario specifications'!$C$11:$C$49,MATCH($B171,'R1. Scenario specifications'!$A$11:$A$49,0))</f>
        <v>Current 1.75DS, 2020 start, 'Expect the Unexpected'</v>
      </c>
      <c r="B171" s="3" t="s">
        <v>32</v>
      </c>
      <c r="C171" s="3" t="s">
        <v>300</v>
      </c>
      <c r="D171" s="3" t="s">
        <v>327</v>
      </c>
      <c r="E171" s="14">
        <v>12817.718070131599</v>
      </c>
      <c r="F171" s="14">
        <v>17010.52444269968</v>
      </c>
      <c r="G171" s="14">
        <v>24316.999999428546</v>
      </c>
      <c r="H171" s="14">
        <v>20762.008212491255</v>
      </c>
      <c r="I171" s="14">
        <v>17954.997058940266</v>
      </c>
      <c r="J171" s="14">
        <v>15038.962994077692</v>
      </c>
      <c r="K171" s="14">
        <v>11777.943003366807</v>
      </c>
      <c r="L171" s="14">
        <v>8992.0280908340428</v>
      </c>
      <c r="M171" s="14">
        <v>7423.0057056376963</v>
      </c>
      <c r="N171" s="14">
        <v>6593.7737429321924</v>
      </c>
      <c r="O171" s="14">
        <v>5448.4088304215611</v>
      </c>
    </row>
    <row r="172" spans="1:15" x14ac:dyDescent="0.3">
      <c r="A172" s="3" t="str">
        <f>INDEX('R1. Scenario specifications'!$C$11:$C$49,MATCH($B172,'R1. Scenario specifications'!$A$11:$A$49,0))</f>
        <v>Current 1.75DS, 2020 start, 'Expect the Unexpected'</v>
      </c>
      <c r="B172" s="3" t="s">
        <v>32</v>
      </c>
      <c r="C172" s="3" t="s">
        <v>301</v>
      </c>
      <c r="D172" s="3" t="s">
        <v>328</v>
      </c>
      <c r="E172" s="14">
        <v>0</v>
      </c>
      <c r="F172" s="14">
        <v>0</v>
      </c>
      <c r="G172" s="14">
        <v>94.260834870759595</v>
      </c>
      <c r="H172" s="14">
        <v>1521.2453199451252</v>
      </c>
      <c r="I172" s="14">
        <v>538.63837335012681</v>
      </c>
      <c r="J172" s="14">
        <v>28.114499401015507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</row>
    <row r="173" spans="1:15" x14ac:dyDescent="0.3">
      <c r="A173" s="3" t="str">
        <f>INDEX('R1. Scenario specifications'!$C$11:$C$49,MATCH($B173,'R1. Scenario specifications'!$A$11:$A$49,0))</f>
        <v>Current 1.75DS, 2020 start, 'Expect the Unexpected'</v>
      </c>
      <c r="B173" s="3" t="s">
        <v>32</v>
      </c>
      <c r="C173" s="3" t="s">
        <v>303</v>
      </c>
      <c r="D173" s="3" t="s">
        <v>329</v>
      </c>
      <c r="E173" s="14">
        <v>0</v>
      </c>
      <c r="F173" s="14">
        <v>0</v>
      </c>
      <c r="G173" s="14">
        <v>0</v>
      </c>
      <c r="H173" s="14">
        <v>3023.1510647418336</v>
      </c>
      <c r="I173" s="14">
        <v>2043.5899883283594</v>
      </c>
      <c r="J173" s="14">
        <v>340.3806185883044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</row>
    <row r="174" spans="1:15" x14ac:dyDescent="0.3">
      <c r="A174" s="3" t="str">
        <f>INDEX('R1. Scenario specifications'!$C$11:$C$49,MATCH($B174,'R1. Scenario specifications'!$A$11:$A$49,0))</f>
        <v>Current 1.75DS, 2030 start, 'Expect the Unexpected'</v>
      </c>
      <c r="B174" s="3" t="s">
        <v>33</v>
      </c>
      <c r="C174" s="3" t="s">
        <v>298</v>
      </c>
      <c r="D174" s="3" t="s">
        <v>325</v>
      </c>
      <c r="E174" s="14">
        <v>217.28224258600872</v>
      </c>
      <c r="F174" s="14">
        <v>156.6315521560405</v>
      </c>
      <c r="G174" s="14">
        <v>1062.76238560823</v>
      </c>
      <c r="H174" s="14">
        <v>1939.5191416210841</v>
      </c>
      <c r="I174" s="14">
        <v>1614.5093123766183</v>
      </c>
      <c r="J174" s="14">
        <v>1575.1086388193585</v>
      </c>
      <c r="K174" s="14">
        <v>2206.2531607486476</v>
      </c>
      <c r="L174" s="14">
        <v>1370.4400942071388</v>
      </c>
      <c r="M174" s="14">
        <v>996.11564734729325</v>
      </c>
      <c r="N174" s="14">
        <v>1853.6248193209342</v>
      </c>
      <c r="O174" s="14">
        <v>2859.911128111818</v>
      </c>
    </row>
    <row r="175" spans="1:15" x14ac:dyDescent="0.3">
      <c r="A175" s="3" t="str">
        <f>INDEX('R1. Scenario specifications'!$C$11:$C$49,MATCH($B175,'R1. Scenario specifications'!$A$11:$A$49,0))</f>
        <v>Current 1.75DS, 2030 start, 'Expect the Unexpected'</v>
      </c>
      <c r="B175" s="3" t="s">
        <v>33</v>
      </c>
      <c r="C175" s="3" t="s">
        <v>299</v>
      </c>
      <c r="D175" s="3" t="s">
        <v>324</v>
      </c>
      <c r="E175" s="14">
        <v>0.14080836420000001</v>
      </c>
      <c r="F175" s="14">
        <v>6.1144027199999992E-2</v>
      </c>
      <c r="G175" s="14">
        <v>55.300000000000061</v>
      </c>
      <c r="H175" s="14">
        <v>527.86598912037414</v>
      </c>
      <c r="I175" s="14">
        <v>5544.6231731719836</v>
      </c>
      <c r="J175" s="14">
        <v>14639.370146671916</v>
      </c>
      <c r="K175" s="14">
        <v>20477.626770522562</v>
      </c>
      <c r="L175" s="14">
        <v>26360.202006900083</v>
      </c>
      <c r="M175" s="14">
        <v>31830.504661701816</v>
      </c>
      <c r="N175" s="14">
        <v>34283.391057273002</v>
      </c>
      <c r="O175" s="14">
        <v>37450.997531400237</v>
      </c>
    </row>
    <row r="176" spans="1:15" x14ac:dyDescent="0.3">
      <c r="A176" s="3" t="str">
        <f>INDEX('R1. Scenario specifications'!$C$11:$C$49,MATCH($B176,'R1. Scenario specifications'!$A$11:$A$49,0))</f>
        <v>Current 1.75DS, 2030 start, 'Expect the Unexpected'</v>
      </c>
      <c r="B176" s="3" t="s">
        <v>33</v>
      </c>
      <c r="C176" s="3" t="s">
        <v>302</v>
      </c>
      <c r="D176" s="3" t="s">
        <v>326</v>
      </c>
      <c r="E176" s="14">
        <v>0</v>
      </c>
      <c r="F176" s="14">
        <v>0</v>
      </c>
      <c r="G176" s="14">
        <v>137.17533571710985</v>
      </c>
      <c r="H176" s="14">
        <v>482.8334985499514</v>
      </c>
      <c r="I176" s="14">
        <v>603.77332628933175</v>
      </c>
      <c r="J176" s="14">
        <v>812.45158515724108</v>
      </c>
      <c r="K176" s="14">
        <v>657.99701000550613</v>
      </c>
      <c r="L176" s="14">
        <v>1011.9760753980947</v>
      </c>
      <c r="M176" s="14">
        <v>1091.1314718922154</v>
      </c>
      <c r="N176" s="14">
        <v>1060.9790786964538</v>
      </c>
      <c r="O176" s="14">
        <v>1116.2051881704035</v>
      </c>
    </row>
    <row r="177" spans="1:15" x14ac:dyDescent="0.3">
      <c r="A177" s="3" t="str">
        <f>INDEX('R1. Scenario specifications'!$C$11:$C$49,MATCH($B177,'R1. Scenario specifications'!$A$11:$A$49,0))</f>
        <v>Current 1.75DS, 2030 start, 'Expect the Unexpected'</v>
      </c>
      <c r="B177" s="3" t="s">
        <v>33</v>
      </c>
      <c r="C177" s="3" t="s">
        <v>300</v>
      </c>
      <c r="D177" s="3" t="s">
        <v>327</v>
      </c>
      <c r="E177" s="14">
        <v>12817.718070131599</v>
      </c>
      <c r="F177" s="14">
        <v>17010.52444269968</v>
      </c>
      <c r="G177" s="14">
        <v>24316.999999428546</v>
      </c>
      <c r="H177" s="14">
        <v>20725.30794297465</v>
      </c>
      <c r="I177" s="14">
        <v>18361.875681276979</v>
      </c>
      <c r="J177" s="14">
        <v>16174.941682464027</v>
      </c>
      <c r="K177" s="14">
        <v>11858.380887658457</v>
      </c>
      <c r="L177" s="14">
        <v>10932.88659691728</v>
      </c>
      <c r="M177" s="14">
        <v>8240.3191783520251</v>
      </c>
      <c r="N177" s="14">
        <v>6883.2778532263201</v>
      </c>
      <c r="O177" s="14">
        <v>5884.4337250421604</v>
      </c>
    </row>
    <row r="178" spans="1:15" x14ac:dyDescent="0.3">
      <c r="A178" s="3" t="str">
        <f>INDEX('R1. Scenario specifications'!$C$11:$C$49,MATCH($B178,'R1. Scenario specifications'!$A$11:$A$49,0))</f>
        <v>Current 1.75DS, 2030 start, 'Expect the Unexpected'</v>
      </c>
      <c r="B178" s="3" t="s">
        <v>33</v>
      </c>
      <c r="C178" s="3" t="s">
        <v>301</v>
      </c>
      <c r="D178" s="3" t="s">
        <v>328</v>
      </c>
      <c r="E178" s="14">
        <v>0</v>
      </c>
      <c r="F178" s="14">
        <v>0</v>
      </c>
      <c r="G178" s="14">
        <v>94.260834870759595</v>
      </c>
      <c r="H178" s="14">
        <v>1628.0096568892475</v>
      </c>
      <c r="I178" s="14">
        <v>602.60104132317872</v>
      </c>
      <c r="J178" s="14">
        <v>37.6940462481315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</row>
    <row r="179" spans="1:15" x14ac:dyDescent="0.3">
      <c r="A179" s="3" t="str">
        <f>INDEX('R1. Scenario specifications'!$C$11:$C$49,MATCH($B179,'R1. Scenario specifications'!$A$11:$A$49,0))</f>
        <v>Current 1.75DS, 2030 start, 'Expect the Unexpected'</v>
      </c>
      <c r="B179" s="3" t="s">
        <v>33</v>
      </c>
      <c r="C179" s="3" t="s">
        <v>303</v>
      </c>
      <c r="D179" s="3" t="s">
        <v>329</v>
      </c>
      <c r="E179" s="14">
        <v>0</v>
      </c>
      <c r="F179" s="14">
        <v>0</v>
      </c>
      <c r="G179" s="14">
        <v>0</v>
      </c>
      <c r="H179" s="14">
        <v>3040.2453409136619</v>
      </c>
      <c r="I179" s="14">
        <v>2147.9716206244061</v>
      </c>
      <c r="J179" s="14">
        <v>369.91365372865869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</row>
    <row r="180" spans="1:15" x14ac:dyDescent="0.3">
      <c r="A180" s="3" t="str">
        <f>INDEX('R1. Scenario specifications'!$C$11:$C$49,MATCH($B180,'R1. Scenario specifications'!$A$11:$A$49,0))</f>
        <v>Current 1.75DS, 2020 start, 'Expect the Unexpected' but with cheap renewables</v>
      </c>
      <c r="B180" s="3" t="s">
        <v>34</v>
      </c>
      <c r="C180" s="3" t="s">
        <v>298</v>
      </c>
      <c r="D180" s="3" t="s">
        <v>325</v>
      </c>
      <c r="E180" s="14">
        <v>217.28224258600872</v>
      </c>
      <c r="F180" s="14">
        <v>156.6315521560405</v>
      </c>
      <c r="G180" s="14">
        <v>1062.76238560823</v>
      </c>
      <c r="H180" s="14">
        <v>1571.8401361274823</v>
      </c>
      <c r="I180" s="14">
        <v>1883.0569656942055</v>
      </c>
      <c r="J180" s="14">
        <v>1989.6594485143519</v>
      </c>
      <c r="K180" s="14">
        <v>1278.877044134596</v>
      </c>
      <c r="L180" s="14">
        <v>860.81676149415102</v>
      </c>
      <c r="M180" s="14">
        <v>1128.9220174204695</v>
      </c>
      <c r="N180" s="14">
        <v>2063.2032454368923</v>
      </c>
      <c r="O180" s="14">
        <v>3221.6038191444081</v>
      </c>
    </row>
    <row r="181" spans="1:15" x14ac:dyDescent="0.3">
      <c r="A181" s="3" t="str">
        <f>INDEX('R1. Scenario specifications'!$C$11:$C$49,MATCH($B181,'R1. Scenario specifications'!$A$11:$A$49,0))</f>
        <v>Current 1.75DS, 2020 start, 'Expect the Unexpected' but with cheap renewables</v>
      </c>
      <c r="B181" s="3" t="s">
        <v>34</v>
      </c>
      <c r="C181" s="3" t="s">
        <v>299</v>
      </c>
      <c r="D181" s="3" t="s">
        <v>324</v>
      </c>
      <c r="E181" s="14">
        <v>0.14080836420000001</v>
      </c>
      <c r="F181" s="14">
        <v>6.1144027199999992E-2</v>
      </c>
      <c r="G181" s="14">
        <v>55.300000000000061</v>
      </c>
      <c r="H181" s="14">
        <v>616.93595132476491</v>
      </c>
      <c r="I181" s="14">
        <v>5983.6414767577589</v>
      </c>
      <c r="J181" s="14">
        <v>15676.182554143497</v>
      </c>
      <c r="K181" s="14">
        <v>22915.403249116531</v>
      </c>
      <c r="L181" s="14">
        <v>28683.268725295376</v>
      </c>
      <c r="M181" s="14">
        <v>32382.562202309142</v>
      </c>
      <c r="N181" s="14">
        <v>34281.447074486037</v>
      </c>
      <c r="O181" s="14">
        <v>37431.938662688663</v>
      </c>
    </row>
    <row r="182" spans="1:15" x14ac:dyDescent="0.3">
      <c r="A182" s="3" t="str">
        <f>INDEX('R1. Scenario specifications'!$C$11:$C$49,MATCH($B182,'R1. Scenario specifications'!$A$11:$A$49,0))</f>
        <v>Current 1.75DS, 2020 start, 'Expect the Unexpected' but with cheap renewables</v>
      </c>
      <c r="B182" s="3" t="s">
        <v>34</v>
      </c>
      <c r="C182" s="3" t="s">
        <v>302</v>
      </c>
      <c r="D182" s="3" t="s">
        <v>326</v>
      </c>
      <c r="E182" s="14">
        <v>0</v>
      </c>
      <c r="F182" s="14">
        <v>0</v>
      </c>
      <c r="G182" s="14">
        <v>137.17533571710985</v>
      </c>
      <c r="H182" s="14">
        <v>475.57287551827972</v>
      </c>
      <c r="I182" s="14">
        <v>608.53476830423369</v>
      </c>
      <c r="J182" s="14">
        <v>878.92105526194382</v>
      </c>
      <c r="K182" s="14">
        <v>948.8756879286351</v>
      </c>
      <c r="L182" s="14">
        <v>1011.6466207183173</v>
      </c>
      <c r="M182" s="14">
        <v>1088.1851453420509</v>
      </c>
      <c r="N182" s="14">
        <v>1059.2588880648491</v>
      </c>
      <c r="O182" s="14">
        <v>1098.8714200664747</v>
      </c>
    </row>
    <row r="183" spans="1:15" x14ac:dyDescent="0.3">
      <c r="A183" s="3" t="str">
        <f>INDEX('R1. Scenario specifications'!$C$11:$C$49,MATCH($B183,'R1. Scenario specifications'!$A$11:$A$49,0))</f>
        <v>Current 1.75DS, 2020 start, 'Expect the Unexpected' but with cheap renewables</v>
      </c>
      <c r="B183" s="3" t="s">
        <v>34</v>
      </c>
      <c r="C183" s="3" t="s">
        <v>300</v>
      </c>
      <c r="D183" s="3" t="s">
        <v>327</v>
      </c>
      <c r="E183" s="14">
        <v>12817.718070131599</v>
      </c>
      <c r="F183" s="14">
        <v>17010.52444269968</v>
      </c>
      <c r="G183" s="14">
        <v>24316.999999428546</v>
      </c>
      <c r="H183" s="14">
        <v>20758.276263624273</v>
      </c>
      <c r="I183" s="14">
        <v>18008.350263223892</v>
      </c>
      <c r="J183" s="14">
        <v>15174.931945234472</v>
      </c>
      <c r="K183" s="14">
        <v>11857.833690885871</v>
      </c>
      <c r="L183" s="14">
        <v>9085.2761091120101</v>
      </c>
      <c r="M183" s="14">
        <v>7457.8007319917397</v>
      </c>
      <c r="N183" s="14">
        <v>6592.1568355694626</v>
      </c>
      <c r="O183" s="14">
        <v>5457.0047432454439</v>
      </c>
    </row>
    <row r="184" spans="1:15" x14ac:dyDescent="0.3">
      <c r="A184" s="3" t="str">
        <f>INDEX('R1. Scenario specifications'!$C$11:$C$49,MATCH($B184,'R1. Scenario specifications'!$A$11:$A$49,0))</f>
        <v>Current 1.75DS, 2020 start, 'Expect the Unexpected' but with cheap renewables</v>
      </c>
      <c r="B184" s="3" t="s">
        <v>34</v>
      </c>
      <c r="C184" s="3" t="s">
        <v>301</v>
      </c>
      <c r="D184" s="3" t="s">
        <v>328</v>
      </c>
      <c r="E184" s="14">
        <v>0</v>
      </c>
      <c r="F184" s="14">
        <v>0</v>
      </c>
      <c r="G184" s="14">
        <v>94.260834870759595</v>
      </c>
      <c r="H184" s="14">
        <v>1434.2678028077853</v>
      </c>
      <c r="I184" s="14">
        <v>512.76953242152376</v>
      </c>
      <c r="J184" s="14">
        <v>28.114499401015507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</row>
    <row r="185" spans="1:15" x14ac:dyDescent="0.3">
      <c r="A185" s="3" t="str">
        <f>INDEX('R1. Scenario specifications'!$C$11:$C$49,MATCH($B185,'R1. Scenario specifications'!$A$11:$A$49,0))</f>
        <v>Current 1.75DS, 2020 start, 'Expect the Unexpected' but with cheap renewables</v>
      </c>
      <c r="B185" s="3" t="s">
        <v>34</v>
      </c>
      <c r="C185" s="3" t="s">
        <v>303</v>
      </c>
      <c r="D185" s="3" t="s">
        <v>329</v>
      </c>
      <c r="E185" s="14">
        <v>0</v>
      </c>
      <c r="F185" s="14">
        <v>0</v>
      </c>
      <c r="G185" s="14">
        <v>0</v>
      </c>
      <c r="H185" s="14">
        <v>3110.1285818791739</v>
      </c>
      <c r="I185" s="14">
        <v>2069.4588292569629</v>
      </c>
      <c r="J185" s="14">
        <v>340.3806185883044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</row>
    <row r="186" spans="1:15" x14ac:dyDescent="0.3">
      <c r="A186" s="3" t="str">
        <f>INDEX('R1. Scenario specifications'!$C$11:$C$49,MATCH($B186,'R1. Scenario specifications'!$A$11:$A$49,0))</f>
        <v>Current 1.75DS, 2030 start, 'Expect the Unexpected' but with cheap renewables</v>
      </c>
      <c r="B186" s="3" t="s">
        <v>35</v>
      </c>
      <c r="C186" s="3" t="s">
        <v>298</v>
      </c>
      <c r="D186" s="3" t="s">
        <v>325</v>
      </c>
      <c r="E186" s="14">
        <v>217.28224258600872</v>
      </c>
      <c r="F186" s="14">
        <v>156.6315521560405</v>
      </c>
      <c r="G186" s="14">
        <v>1062.76238560823</v>
      </c>
      <c r="H186" s="14">
        <v>1939.5191416210841</v>
      </c>
      <c r="I186" s="14">
        <v>1703.115910429138</v>
      </c>
      <c r="J186" s="14">
        <v>1436.3037423627691</v>
      </c>
      <c r="K186" s="14">
        <v>2098.6671678034222</v>
      </c>
      <c r="L186" s="14">
        <v>1367.668509086106</v>
      </c>
      <c r="M186" s="14">
        <v>1004.9076249449678</v>
      </c>
      <c r="N186" s="14">
        <v>1869.1547750696006</v>
      </c>
      <c r="O186" s="14">
        <v>2862.6588605587795</v>
      </c>
    </row>
    <row r="187" spans="1:15" x14ac:dyDescent="0.3">
      <c r="A187" s="3" t="str">
        <f>INDEX('R1. Scenario specifications'!$C$11:$C$49,MATCH($B187,'R1. Scenario specifications'!$A$11:$A$49,0))</f>
        <v>Current 1.75DS, 2030 start, 'Expect the Unexpected' but with cheap renewables</v>
      </c>
      <c r="B187" s="3" t="s">
        <v>35</v>
      </c>
      <c r="C187" s="3" t="s">
        <v>299</v>
      </c>
      <c r="D187" s="3" t="s">
        <v>324</v>
      </c>
      <c r="E187" s="14">
        <v>0.14080836420000001</v>
      </c>
      <c r="F187" s="14">
        <v>6.1144027199999992E-2</v>
      </c>
      <c r="G187" s="14">
        <v>55.300000000000061</v>
      </c>
      <c r="H187" s="14">
        <v>527.86598912037414</v>
      </c>
      <c r="I187" s="14">
        <v>5548.6341680428504</v>
      </c>
      <c r="J187" s="14">
        <v>14821.313138775409</v>
      </c>
      <c r="K187" s="14">
        <v>20507.698823834889</v>
      </c>
      <c r="L187" s="14">
        <v>26395.681568374617</v>
      </c>
      <c r="M187" s="14">
        <v>31820.595175584236</v>
      </c>
      <c r="N187" s="14">
        <v>34270.82203457701</v>
      </c>
      <c r="O187" s="14">
        <v>37443.015039957827</v>
      </c>
    </row>
    <row r="188" spans="1:15" x14ac:dyDescent="0.3">
      <c r="A188" s="3" t="str">
        <f>INDEX('R1. Scenario specifications'!$C$11:$C$49,MATCH($B188,'R1. Scenario specifications'!$A$11:$A$49,0))</f>
        <v>Current 1.75DS, 2030 start, 'Expect the Unexpected' but with cheap renewables</v>
      </c>
      <c r="B188" s="3" t="s">
        <v>35</v>
      </c>
      <c r="C188" s="3" t="s">
        <v>302</v>
      </c>
      <c r="D188" s="3" t="s">
        <v>326</v>
      </c>
      <c r="E188" s="14">
        <v>0</v>
      </c>
      <c r="F188" s="14">
        <v>0</v>
      </c>
      <c r="G188" s="14">
        <v>137.17533571710985</v>
      </c>
      <c r="H188" s="14">
        <v>482.8334985499514</v>
      </c>
      <c r="I188" s="14">
        <v>603.77332628933152</v>
      </c>
      <c r="J188" s="14">
        <v>825.99527624667417</v>
      </c>
      <c r="K188" s="14">
        <v>661.48782280308342</v>
      </c>
      <c r="L188" s="14">
        <v>1011.6811512745211</v>
      </c>
      <c r="M188" s="14">
        <v>1091.0674153661696</v>
      </c>
      <c r="N188" s="14">
        <v>1120.5515490962823</v>
      </c>
      <c r="O188" s="14">
        <v>1149.2565502566624</v>
      </c>
    </row>
    <row r="189" spans="1:15" x14ac:dyDescent="0.3">
      <c r="A189" s="3" t="str">
        <f>INDEX('R1. Scenario specifications'!$C$11:$C$49,MATCH($B189,'R1. Scenario specifications'!$A$11:$A$49,0))</f>
        <v>Current 1.75DS, 2030 start, 'Expect the Unexpected' but with cheap renewables</v>
      </c>
      <c r="B189" s="3" t="s">
        <v>35</v>
      </c>
      <c r="C189" s="3" t="s">
        <v>300</v>
      </c>
      <c r="D189" s="3" t="s">
        <v>327</v>
      </c>
      <c r="E189" s="14">
        <v>12817.718070131599</v>
      </c>
      <c r="F189" s="14">
        <v>17010.52444269968</v>
      </c>
      <c r="G189" s="14">
        <v>24316.999999428546</v>
      </c>
      <c r="H189" s="14">
        <v>20725.30794297465</v>
      </c>
      <c r="I189" s="14">
        <v>18269.258088353592</v>
      </c>
      <c r="J189" s="14">
        <v>16294.394015829863</v>
      </c>
      <c r="K189" s="14">
        <v>11963.793757143902</v>
      </c>
      <c r="L189" s="14">
        <v>10890.64274056819</v>
      </c>
      <c r="M189" s="14">
        <v>8221.633226826305</v>
      </c>
      <c r="N189" s="14">
        <v>6894.2089064873689</v>
      </c>
      <c r="O189" s="14">
        <v>5881.6151273624782</v>
      </c>
    </row>
    <row r="190" spans="1:15" x14ac:dyDescent="0.3">
      <c r="A190" s="3" t="str">
        <f>INDEX('R1. Scenario specifications'!$C$11:$C$49,MATCH($B190,'R1. Scenario specifications'!$A$11:$A$49,0))</f>
        <v>Current 1.75DS, 2030 start, 'Expect the Unexpected' but with cheap renewables</v>
      </c>
      <c r="B190" s="3" t="s">
        <v>35</v>
      </c>
      <c r="C190" s="3" t="s">
        <v>301</v>
      </c>
      <c r="D190" s="3" t="s">
        <v>328</v>
      </c>
      <c r="E190" s="14">
        <v>0</v>
      </c>
      <c r="F190" s="14">
        <v>0</v>
      </c>
      <c r="G190" s="14">
        <v>94.260834870759595</v>
      </c>
      <c r="H190" s="14">
        <v>1628.0096568892475</v>
      </c>
      <c r="I190" s="14">
        <v>602.60104132317872</v>
      </c>
      <c r="J190" s="14">
        <v>37.6940462481315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</row>
    <row r="191" spans="1:15" x14ac:dyDescent="0.3">
      <c r="A191" s="3" t="str">
        <f>INDEX('R1. Scenario specifications'!$C$11:$C$49,MATCH($B191,'R1. Scenario specifications'!$A$11:$A$49,0))</f>
        <v>Current 1.75DS, 2030 start, 'Expect the Unexpected' but with cheap renewables</v>
      </c>
      <c r="B191" s="3" t="s">
        <v>35</v>
      </c>
      <c r="C191" s="3" t="s">
        <v>303</v>
      </c>
      <c r="D191" s="3" t="s">
        <v>329</v>
      </c>
      <c r="E191" s="14">
        <v>0</v>
      </c>
      <c r="F191" s="14">
        <v>0</v>
      </c>
      <c r="G191" s="14">
        <v>0</v>
      </c>
      <c r="H191" s="14">
        <v>3040.2453409136619</v>
      </c>
      <c r="I191" s="14">
        <v>2147.9716206244061</v>
      </c>
      <c r="J191" s="14">
        <v>369.91365372865863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</row>
    <row r="192" spans="1:15" x14ac:dyDescent="0.3">
      <c r="A192" s="3" t="str">
        <f>INDEX('R1. Scenario specifications'!$C$11:$C$49,MATCH($B192,'R1. Scenario specifications'!$A$11:$A$49,0))</f>
        <v>Current 1.75DS, 2020 start, 'Expect the Unexpected' but with cheap CCS</v>
      </c>
      <c r="B192" s="3" t="s">
        <v>36</v>
      </c>
      <c r="C192" s="3" t="s">
        <v>298</v>
      </c>
      <c r="D192" s="3" t="s">
        <v>325</v>
      </c>
      <c r="E192" s="14">
        <v>217.28224258600872</v>
      </c>
      <c r="F192" s="14">
        <v>156.6315521560405</v>
      </c>
      <c r="G192" s="14">
        <v>1062.76238560823</v>
      </c>
      <c r="H192" s="14">
        <v>1558.0747825819215</v>
      </c>
      <c r="I192" s="14">
        <v>1914.8585212947346</v>
      </c>
      <c r="J192" s="14">
        <v>2129.6493924187403</v>
      </c>
      <c r="K192" s="14">
        <v>1358.497489591341</v>
      </c>
      <c r="L192" s="14">
        <v>951.1184926622966</v>
      </c>
      <c r="M192" s="14">
        <v>1174.4731170298091</v>
      </c>
      <c r="N192" s="14">
        <v>2040.1849103921738</v>
      </c>
      <c r="O192" s="14">
        <v>3205.7676446959535</v>
      </c>
    </row>
    <row r="193" spans="1:15" x14ac:dyDescent="0.3">
      <c r="A193" s="3" t="str">
        <f>INDEX('R1. Scenario specifications'!$C$11:$C$49,MATCH($B193,'R1. Scenario specifications'!$A$11:$A$49,0))</f>
        <v>Current 1.75DS, 2020 start, 'Expect the Unexpected' but with cheap CCS</v>
      </c>
      <c r="B193" s="3" t="s">
        <v>36</v>
      </c>
      <c r="C193" s="3" t="s">
        <v>299</v>
      </c>
      <c r="D193" s="3" t="s">
        <v>324</v>
      </c>
      <c r="E193" s="14">
        <v>0.14080836420000001</v>
      </c>
      <c r="F193" s="14">
        <v>6.1144027199999992E-2</v>
      </c>
      <c r="G193" s="14">
        <v>55.300000000000061</v>
      </c>
      <c r="H193" s="14">
        <v>616.9359513247648</v>
      </c>
      <c r="I193" s="14">
        <v>5983.6414767577571</v>
      </c>
      <c r="J193" s="14">
        <v>15676.182554143497</v>
      </c>
      <c r="K193" s="14">
        <v>22913.870031430681</v>
      </c>
      <c r="L193" s="14">
        <v>28685.020309457468</v>
      </c>
      <c r="M193" s="14">
        <v>32321.179113039696</v>
      </c>
      <c r="N193" s="14">
        <v>34279.762621274269</v>
      </c>
      <c r="O193" s="14">
        <v>37380.290281786707</v>
      </c>
    </row>
    <row r="194" spans="1:15" x14ac:dyDescent="0.3">
      <c r="A194" s="3" t="str">
        <f>INDEX('R1. Scenario specifications'!$C$11:$C$49,MATCH($B194,'R1. Scenario specifications'!$A$11:$A$49,0))</f>
        <v>Current 1.75DS, 2020 start, 'Expect the Unexpected' but with cheap CCS</v>
      </c>
      <c r="B194" s="3" t="s">
        <v>36</v>
      </c>
      <c r="C194" s="3" t="s">
        <v>302</v>
      </c>
      <c r="D194" s="3" t="s">
        <v>326</v>
      </c>
      <c r="E194" s="14">
        <v>0</v>
      </c>
      <c r="F194" s="14">
        <v>0</v>
      </c>
      <c r="G194" s="14">
        <v>137.17533571710985</v>
      </c>
      <c r="H194" s="14">
        <v>471.99519681892286</v>
      </c>
      <c r="I194" s="14">
        <v>607.98216192774407</v>
      </c>
      <c r="J194" s="14">
        <v>878.92105526194405</v>
      </c>
      <c r="K194" s="14">
        <v>948.87568792863533</v>
      </c>
      <c r="L194" s="14">
        <v>1012.8413236661971</v>
      </c>
      <c r="M194" s="14">
        <v>1086.8693437366442</v>
      </c>
      <c r="N194" s="14">
        <v>1059.3813436141845</v>
      </c>
      <c r="O194" s="14">
        <v>1097.2667368087832</v>
      </c>
    </row>
    <row r="195" spans="1:15" x14ac:dyDescent="0.3">
      <c r="A195" s="3" t="str">
        <f>INDEX('R1. Scenario specifications'!$C$11:$C$49,MATCH($B195,'R1. Scenario specifications'!$A$11:$A$49,0))</f>
        <v>Current 1.75DS, 2020 start, 'Expect the Unexpected' but with cheap CCS</v>
      </c>
      <c r="B195" s="3" t="s">
        <v>36</v>
      </c>
      <c r="C195" s="3" t="s">
        <v>300</v>
      </c>
      <c r="D195" s="3" t="s">
        <v>327</v>
      </c>
      <c r="E195" s="14">
        <v>12817.718070131599</v>
      </c>
      <c r="F195" s="14">
        <v>17010.52444269968</v>
      </c>
      <c r="G195" s="14">
        <v>24316.999999428546</v>
      </c>
      <c r="H195" s="14">
        <v>20762.008212491248</v>
      </c>
      <c r="I195" s="14">
        <v>17954.997058940269</v>
      </c>
      <c r="J195" s="14">
        <v>15038.962994076157</v>
      </c>
      <c r="K195" s="14">
        <v>11777.943003366099</v>
      </c>
      <c r="L195" s="14">
        <v>8992.0280908338955</v>
      </c>
      <c r="M195" s="14">
        <v>7423.0057056379483</v>
      </c>
      <c r="N195" s="14">
        <v>6593.7737429323397</v>
      </c>
      <c r="O195" s="14">
        <v>5448.4088304219449</v>
      </c>
    </row>
    <row r="196" spans="1:15" x14ac:dyDescent="0.3">
      <c r="A196" s="3" t="str">
        <f>INDEX('R1. Scenario specifications'!$C$11:$C$49,MATCH($B196,'R1. Scenario specifications'!$A$11:$A$49,0))</f>
        <v>Current 1.75DS, 2020 start, 'Expect the Unexpected' but with cheap CCS</v>
      </c>
      <c r="B196" s="3" t="s">
        <v>36</v>
      </c>
      <c r="C196" s="3" t="s">
        <v>301</v>
      </c>
      <c r="D196" s="3" t="s">
        <v>328</v>
      </c>
      <c r="E196" s="14">
        <v>0</v>
      </c>
      <c r="F196" s="14">
        <v>0</v>
      </c>
      <c r="G196" s="14">
        <v>94.260834870759595</v>
      </c>
      <c r="H196" s="14">
        <v>1521.2453199451252</v>
      </c>
      <c r="I196" s="14">
        <v>538.63837335012681</v>
      </c>
      <c r="J196" s="14">
        <v>28.114499401015507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</row>
    <row r="197" spans="1:15" x14ac:dyDescent="0.3">
      <c r="A197" s="3" t="str">
        <f>INDEX('R1. Scenario specifications'!$C$11:$C$49,MATCH($B197,'R1. Scenario specifications'!$A$11:$A$49,0))</f>
        <v>Current 1.75DS, 2020 start, 'Expect the Unexpected' but with cheap CCS</v>
      </c>
      <c r="B197" s="3" t="s">
        <v>36</v>
      </c>
      <c r="C197" s="3" t="s">
        <v>303</v>
      </c>
      <c r="D197" s="3" t="s">
        <v>329</v>
      </c>
      <c r="E197" s="14">
        <v>0</v>
      </c>
      <c r="F197" s="14">
        <v>0</v>
      </c>
      <c r="G197" s="14">
        <v>0</v>
      </c>
      <c r="H197" s="14">
        <v>3023.1510647418336</v>
      </c>
      <c r="I197" s="14">
        <v>2043.5899883283594</v>
      </c>
      <c r="J197" s="14">
        <v>340.3806185883044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</row>
    <row r="198" spans="1:15" x14ac:dyDescent="0.3">
      <c r="A198" s="3" t="str">
        <f>INDEX('R1. Scenario specifications'!$C$11:$C$49,MATCH($B198,'R1. Scenario specifications'!$A$11:$A$49,0))</f>
        <v>Current 2DS, 2020 start, 'Expect the Unexpected' but with cheap renewables</v>
      </c>
      <c r="B198" s="3" t="s">
        <v>37</v>
      </c>
      <c r="C198" s="3" t="s">
        <v>298</v>
      </c>
      <c r="D198" s="3" t="s">
        <v>325</v>
      </c>
      <c r="E198" s="14">
        <v>217.28224258600872</v>
      </c>
      <c r="F198" s="14">
        <v>156.6315521560405</v>
      </c>
      <c r="G198" s="14">
        <v>1062.76238560823</v>
      </c>
      <c r="H198" s="14">
        <v>1749.3648693800021</v>
      </c>
      <c r="I198" s="14">
        <v>2508.8161936341062</v>
      </c>
      <c r="J198" s="14">
        <v>3229.9170947059788</v>
      </c>
      <c r="K198" s="14">
        <v>2337.7155598482191</v>
      </c>
      <c r="L198" s="14">
        <v>1074.5694020540232</v>
      </c>
      <c r="M198" s="14">
        <v>541.70511038024597</v>
      </c>
      <c r="N198" s="14">
        <v>904.82151373221859</v>
      </c>
      <c r="O198" s="14">
        <v>1889.0111185812539</v>
      </c>
    </row>
    <row r="199" spans="1:15" x14ac:dyDescent="0.3">
      <c r="A199" s="3" t="str">
        <f>INDEX('R1. Scenario specifications'!$C$11:$C$49,MATCH($B199,'R1. Scenario specifications'!$A$11:$A$49,0))</f>
        <v>Current 2DS, 2020 start, 'Expect the Unexpected' but with cheap renewables</v>
      </c>
      <c r="B199" s="3" t="s">
        <v>37</v>
      </c>
      <c r="C199" s="3" t="s">
        <v>299</v>
      </c>
      <c r="D199" s="3" t="s">
        <v>324</v>
      </c>
      <c r="E199" s="14">
        <v>0.14080836420000001</v>
      </c>
      <c r="F199" s="14">
        <v>6.1144027199999992E-2</v>
      </c>
      <c r="G199" s="14">
        <v>55.300000000000061</v>
      </c>
      <c r="H199" s="14">
        <v>571.0772213208769</v>
      </c>
      <c r="I199" s="14">
        <v>5572.6999093938775</v>
      </c>
      <c r="J199" s="14">
        <v>14844.158062658054</v>
      </c>
      <c r="K199" s="14">
        <v>22311.805927937705</v>
      </c>
      <c r="L199" s="14">
        <v>25737.232234953666</v>
      </c>
      <c r="M199" s="14">
        <v>29760.085740960643</v>
      </c>
      <c r="N199" s="14">
        <v>33844.641103991606</v>
      </c>
      <c r="O199" s="14">
        <v>37286.058240333448</v>
      </c>
    </row>
    <row r="200" spans="1:15" x14ac:dyDescent="0.3">
      <c r="A200" s="3" t="str">
        <f>INDEX('R1. Scenario specifications'!$C$11:$C$49,MATCH($B200,'R1. Scenario specifications'!$A$11:$A$49,0))</f>
        <v>Current 2DS, 2020 start, 'Expect the Unexpected' but with cheap renewables</v>
      </c>
      <c r="B200" s="3" t="s">
        <v>37</v>
      </c>
      <c r="C200" s="3" t="s">
        <v>302</v>
      </c>
      <c r="D200" s="3" t="s">
        <v>326</v>
      </c>
      <c r="E200" s="14">
        <v>0</v>
      </c>
      <c r="F200" s="14">
        <v>0</v>
      </c>
      <c r="G200" s="14">
        <v>137.17533571710985</v>
      </c>
      <c r="H200" s="14">
        <v>481.77374790189424</v>
      </c>
      <c r="I200" s="14">
        <v>609.28228694855045</v>
      </c>
      <c r="J200" s="14">
        <v>886.53248985496566</v>
      </c>
      <c r="K200" s="14">
        <v>956.54078074868482</v>
      </c>
      <c r="L200" s="14">
        <v>1012.3451681689553</v>
      </c>
      <c r="M200" s="14">
        <v>1081.7606432120629</v>
      </c>
      <c r="N200" s="14">
        <v>1158.5325923237738</v>
      </c>
      <c r="O200" s="14">
        <v>1237.9688472449357</v>
      </c>
    </row>
    <row r="201" spans="1:15" x14ac:dyDescent="0.3">
      <c r="A201" s="3" t="str">
        <f>INDEX('R1. Scenario specifications'!$C$11:$C$49,MATCH($B201,'R1. Scenario specifications'!$A$11:$A$49,0))</f>
        <v>Current 2DS, 2020 start, 'Expect the Unexpected' but with cheap renewables</v>
      </c>
      <c r="B201" s="3" t="s">
        <v>37</v>
      </c>
      <c r="C201" s="3" t="s">
        <v>300</v>
      </c>
      <c r="D201" s="3" t="s">
        <v>327</v>
      </c>
      <c r="E201" s="14">
        <v>12817.718070131599</v>
      </c>
      <c r="F201" s="14">
        <v>17010.52444269968</v>
      </c>
      <c r="G201" s="14">
        <v>24316.999999428546</v>
      </c>
      <c r="H201" s="14">
        <v>20882.239064367215</v>
      </c>
      <c r="I201" s="14">
        <v>17690.911659794114</v>
      </c>
      <c r="J201" s="14">
        <v>15029.154439643877</v>
      </c>
      <c r="K201" s="14">
        <v>11717.606885510953</v>
      </c>
      <c r="L201" s="14">
        <v>11947.823042720733</v>
      </c>
      <c r="M201" s="14">
        <v>10964.152137740806</v>
      </c>
      <c r="N201" s="14">
        <v>8845.9354835953764</v>
      </c>
      <c r="O201" s="14">
        <v>7181.1479636184304</v>
      </c>
    </row>
    <row r="202" spans="1:15" x14ac:dyDescent="0.3">
      <c r="A202" s="3" t="str">
        <f>INDEX('R1. Scenario specifications'!$C$11:$C$49,MATCH($B202,'R1. Scenario specifications'!$A$11:$A$49,0))</f>
        <v>Current 2DS, 2020 start, 'Expect the Unexpected' but with cheap renewables</v>
      </c>
      <c r="B202" s="3" t="s">
        <v>37</v>
      </c>
      <c r="C202" s="3" t="s">
        <v>301</v>
      </c>
      <c r="D202" s="3" t="s">
        <v>328</v>
      </c>
      <c r="E202" s="14">
        <v>0</v>
      </c>
      <c r="F202" s="14">
        <v>0</v>
      </c>
      <c r="G202" s="14">
        <v>94.260834870759595</v>
      </c>
      <c r="H202" s="14">
        <v>1624.4498779170683</v>
      </c>
      <c r="I202" s="14">
        <v>613.23304129908706</v>
      </c>
      <c r="J202" s="14">
        <v>41.171107154908285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</row>
    <row r="203" spans="1:15" x14ac:dyDescent="0.3">
      <c r="A203" s="3" t="str">
        <f>INDEX('R1. Scenario specifications'!$C$11:$C$49,MATCH($B203,'R1. Scenario specifications'!$A$11:$A$49,0))</f>
        <v>Current 2DS, 2020 start, 'Expect the Unexpected' but with cheap renewables</v>
      </c>
      <c r="B203" s="3" t="s">
        <v>37</v>
      </c>
      <c r="C203" s="3" t="s">
        <v>303</v>
      </c>
      <c r="D203" s="3" t="s">
        <v>329</v>
      </c>
      <c r="E203" s="14">
        <v>0</v>
      </c>
      <c r="F203" s="14">
        <v>0</v>
      </c>
      <c r="G203" s="14">
        <v>0</v>
      </c>
      <c r="H203" s="14">
        <v>2981.889256779049</v>
      </c>
      <c r="I203" s="14">
        <v>2128.0160489883219</v>
      </c>
      <c r="J203" s="14">
        <v>369.14056633494789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</row>
    <row r="204" spans="1:15" x14ac:dyDescent="0.3">
      <c r="A204" s="3" t="str">
        <f>INDEX('R1. Scenario specifications'!$C$11:$C$49,MATCH($B204,'R1. Scenario specifications'!$A$11:$A$49,0))</f>
        <v>Current 1.75DS, 2030 start, 'Expect the Unexpected' but with cheap CCS</v>
      </c>
      <c r="B204" s="3" t="s">
        <v>38</v>
      </c>
      <c r="C204" s="3" t="s">
        <v>298</v>
      </c>
      <c r="D204" s="3" t="s">
        <v>325</v>
      </c>
      <c r="E204" s="14">
        <v>217.28224258600872</v>
      </c>
      <c r="F204" s="14">
        <v>156.6315521560405</v>
      </c>
      <c r="G204" s="14">
        <v>1062.76238560823</v>
      </c>
      <c r="H204" s="14">
        <v>1939.5191416210841</v>
      </c>
      <c r="I204" s="14">
        <v>1614.5093119241865</v>
      </c>
      <c r="J204" s="14">
        <v>1575.1086385659491</v>
      </c>
      <c r="K204" s="14">
        <v>2206.253160748794</v>
      </c>
      <c r="L204" s="14">
        <v>1370.4400942090817</v>
      </c>
      <c r="M204" s="14">
        <v>996.11564734755257</v>
      </c>
      <c r="N204" s="14">
        <v>1853.6248193204742</v>
      </c>
      <c r="O204" s="14">
        <v>2859.9111281117061</v>
      </c>
    </row>
    <row r="205" spans="1:15" x14ac:dyDescent="0.3">
      <c r="A205" s="3" t="str">
        <f>INDEX('R1. Scenario specifications'!$C$11:$C$49,MATCH($B205,'R1. Scenario specifications'!$A$11:$A$49,0))</f>
        <v>Current 1.75DS, 2030 start, 'Expect the Unexpected' but with cheap CCS</v>
      </c>
      <c r="B205" s="3" t="s">
        <v>38</v>
      </c>
      <c r="C205" s="3" t="s">
        <v>299</v>
      </c>
      <c r="D205" s="3" t="s">
        <v>324</v>
      </c>
      <c r="E205" s="14">
        <v>0.14080836420000001</v>
      </c>
      <c r="F205" s="14">
        <v>6.1144027199999992E-2</v>
      </c>
      <c r="G205" s="14">
        <v>55.300000000000061</v>
      </c>
      <c r="H205" s="14">
        <v>527.86598912037414</v>
      </c>
      <c r="I205" s="14">
        <v>5544.6231731719799</v>
      </c>
      <c r="J205" s="14">
        <v>14639.370146671878</v>
      </c>
      <c r="K205" s="14">
        <v>20477.626770522555</v>
      </c>
      <c r="L205" s="14">
        <v>26360.202006900086</v>
      </c>
      <c r="M205" s="14">
        <v>31830.504661702766</v>
      </c>
      <c r="N205" s="14">
        <v>34283.391057273002</v>
      </c>
      <c r="O205" s="14">
        <v>37450.997531400237</v>
      </c>
    </row>
    <row r="206" spans="1:15" x14ac:dyDescent="0.3">
      <c r="A206" s="3" t="str">
        <f>INDEX('R1. Scenario specifications'!$C$11:$C$49,MATCH($B206,'R1. Scenario specifications'!$A$11:$A$49,0))</f>
        <v>Current 1.75DS, 2030 start, 'Expect the Unexpected' but with cheap CCS</v>
      </c>
      <c r="B206" s="3" t="s">
        <v>38</v>
      </c>
      <c r="C206" s="3" t="s">
        <v>302</v>
      </c>
      <c r="D206" s="3" t="s">
        <v>326</v>
      </c>
      <c r="E206" s="14">
        <v>0</v>
      </c>
      <c r="F206" s="14">
        <v>0</v>
      </c>
      <c r="G206" s="14">
        <v>137.17533571710985</v>
      </c>
      <c r="H206" s="14">
        <v>482.8334985499514</v>
      </c>
      <c r="I206" s="14">
        <v>603.77332628933175</v>
      </c>
      <c r="J206" s="14">
        <v>812.45158515724108</v>
      </c>
      <c r="K206" s="14">
        <v>657.99701000550613</v>
      </c>
      <c r="L206" s="14">
        <v>1011.9760753980947</v>
      </c>
      <c r="M206" s="14">
        <v>1091.1314718922447</v>
      </c>
      <c r="N206" s="14">
        <v>1060.9790786964538</v>
      </c>
      <c r="O206" s="14">
        <v>1116.2051881704035</v>
      </c>
    </row>
    <row r="207" spans="1:15" x14ac:dyDescent="0.3">
      <c r="A207" s="3" t="str">
        <f>INDEX('R1. Scenario specifications'!$C$11:$C$49,MATCH($B207,'R1. Scenario specifications'!$A$11:$A$49,0))</f>
        <v>Current 1.75DS, 2030 start, 'Expect the Unexpected' but with cheap CCS</v>
      </c>
      <c r="B207" s="3" t="s">
        <v>38</v>
      </c>
      <c r="C207" s="3" t="s">
        <v>300</v>
      </c>
      <c r="D207" s="3" t="s">
        <v>327</v>
      </c>
      <c r="E207" s="14">
        <v>12817.718070131599</v>
      </c>
      <c r="F207" s="14">
        <v>17010.52444269968</v>
      </c>
      <c r="G207" s="14">
        <v>24316.999999428546</v>
      </c>
      <c r="H207" s="14">
        <v>20725.30794297465</v>
      </c>
      <c r="I207" s="14">
        <v>18361.875681729416</v>
      </c>
      <c r="J207" s="14">
        <v>16174.941682717474</v>
      </c>
      <c r="K207" s="14">
        <v>11858.380887658304</v>
      </c>
      <c r="L207" s="14">
        <v>10932.886596915336</v>
      </c>
      <c r="M207" s="14">
        <v>8240.3191783517668</v>
      </c>
      <c r="N207" s="14">
        <v>6883.2778532267794</v>
      </c>
      <c r="O207" s="14">
        <v>5884.4337250422732</v>
      </c>
    </row>
    <row r="208" spans="1:15" x14ac:dyDescent="0.3">
      <c r="A208" s="3" t="str">
        <f>INDEX('R1. Scenario specifications'!$C$11:$C$49,MATCH($B208,'R1. Scenario specifications'!$A$11:$A$49,0))</f>
        <v>Current 1.75DS, 2030 start, 'Expect the Unexpected' but with cheap CCS</v>
      </c>
      <c r="B208" s="3" t="s">
        <v>38</v>
      </c>
      <c r="C208" s="3" t="s">
        <v>301</v>
      </c>
      <c r="D208" s="3" t="s">
        <v>328</v>
      </c>
      <c r="E208" s="14">
        <v>0</v>
      </c>
      <c r="F208" s="14">
        <v>0</v>
      </c>
      <c r="G208" s="14">
        <v>94.260834870759595</v>
      </c>
      <c r="H208" s="14">
        <v>1628.0096568892475</v>
      </c>
      <c r="I208" s="14">
        <v>602.60104132317872</v>
      </c>
      <c r="J208" s="14">
        <v>37.6940462481315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</row>
    <row r="209" spans="1:15" x14ac:dyDescent="0.3">
      <c r="A209" s="3" t="str">
        <f>INDEX('R1. Scenario specifications'!$C$11:$C$49,MATCH($B209,'R1. Scenario specifications'!$A$11:$A$49,0))</f>
        <v>Current 1.75DS, 2030 start, 'Expect the Unexpected' but with cheap CCS</v>
      </c>
      <c r="B209" s="3" t="s">
        <v>38</v>
      </c>
      <c r="C209" s="3" t="s">
        <v>303</v>
      </c>
      <c r="D209" s="3" t="s">
        <v>329</v>
      </c>
      <c r="E209" s="14">
        <v>0</v>
      </c>
      <c r="F209" s="14">
        <v>0</v>
      </c>
      <c r="G209" s="14">
        <v>0</v>
      </c>
      <c r="H209" s="14">
        <v>3040.2453409136619</v>
      </c>
      <c r="I209" s="14">
        <v>2147.9716206244061</v>
      </c>
      <c r="J209" s="14">
        <v>369.91365372865869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</row>
    <row r="210" spans="1:15" x14ac:dyDescent="0.3">
      <c r="A210" s="3" t="str">
        <f>INDEX('R1. Scenario specifications'!$C$11:$C$49,MATCH($B210,'R1. Scenario specifications'!$A$11:$A$49,0))</f>
        <v>Current 1.75DS, 2020 start, 'Expect the Unexpected' but with cheap EVs</v>
      </c>
      <c r="B210" s="3" t="s">
        <v>39</v>
      </c>
      <c r="C210" s="3" t="s">
        <v>298</v>
      </c>
      <c r="D210" s="3" t="s">
        <v>325</v>
      </c>
      <c r="E210" s="14">
        <v>217.28224258600872</v>
      </c>
      <c r="F210" s="14">
        <v>156.6315521560405</v>
      </c>
      <c r="G210" s="14">
        <v>1062.76238560823</v>
      </c>
      <c r="H210" s="14">
        <v>868.74945258942489</v>
      </c>
      <c r="I210" s="14">
        <v>1218.8997489713274</v>
      </c>
      <c r="J210" s="14">
        <v>1989.6471581734506</v>
      </c>
      <c r="K210" s="14">
        <v>1035.9033161951068</v>
      </c>
      <c r="L210" s="14">
        <v>766.75886215213643</v>
      </c>
      <c r="M210" s="14">
        <v>1079.6521595378254</v>
      </c>
      <c r="N210" s="14">
        <v>2019.6676711798029</v>
      </c>
      <c r="O210" s="14">
        <v>3209.3788173734065</v>
      </c>
    </row>
    <row r="211" spans="1:15" x14ac:dyDescent="0.3">
      <c r="A211" s="3" t="str">
        <f>INDEX('R1. Scenario specifications'!$C$11:$C$49,MATCH($B211,'R1. Scenario specifications'!$A$11:$A$49,0))</f>
        <v>Current 1.75DS, 2020 start, 'Expect the Unexpected' but with cheap EVs</v>
      </c>
      <c r="B211" s="3" t="s">
        <v>39</v>
      </c>
      <c r="C211" s="3" t="s">
        <v>299</v>
      </c>
      <c r="D211" s="3" t="s">
        <v>324</v>
      </c>
      <c r="E211" s="14">
        <v>0.14080836420000001</v>
      </c>
      <c r="F211" s="14">
        <v>6.1144027199999992E-2</v>
      </c>
      <c r="G211" s="14">
        <v>55.300000000000061</v>
      </c>
      <c r="H211" s="14">
        <v>618.62910176409491</v>
      </c>
      <c r="I211" s="14">
        <v>6198.6110966665037</v>
      </c>
      <c r="J211" s="14">
        <v>16539.423983917717</v>
      </c>
      <c r="K211" s="14">
        <v>25716.599328112035</v>
      </c>
      <c r="L211" s="14">
        <v>31684.5521173989</v>
      </c>
      <c r="M211" s="14">
        <v>34483.311822487027</v>
      </c>
      <c r="N211" s="14">
        <v>36798.048613742998</v>
      </c>
      <c r="O211" s="14">
        <v>39522.122645959935</v>
      </c>
    </row>
    <row r="212" spans="1:15" x14ac:dyDescent="0.3">
      <c r="A212" s="3" t="str">
        <f>INDEX('R1. Scenario specifications'!$C$11:$C$49,MATCH($B212,'R1. Scenario specifications'!$A$11:$A$49,0))</f>
        <v>Current 1.75DS, 2020 start, 'Expect the Unexpected' but with cheap EVs</v>
      </c>
      <c r="B212" s="3" t="s">
        <v>39</v>
      </c>
      <c r="C212" s="3" t="s">
        <v>302</v>
      </c>
      <c r="D212" s="3" t="s">
        <v>326</v>
      </c>
      <c r="E212" s="14">
        <v>0</v>
      </c>
      <c r="F212" s="14">
        <v>0</v>
      </c>
      <c r="G212" s="14">
        <v>137.17533571710985</v>
      </c>
      <c r="H212" s="14">
        <v>489.2384440072118</v>
      </c>
      <c r="I212" s="14">
        <v>637.78399429407045</v>
      </c>
      <c r="J212" s="14">
        <v>902.59917989007249</v>
      </c>
      <c r="K212" s="14">
        <v>971.23753956453083</v>
      </c>
      <c r="L212" s="14">
        <v>1046.0545211860754</v>
      </c>
      <c r="M212" s="14">
        <v>1041.2859616224291</v>
      </c>
      <c r="N212" s="14">
        <v>887.30704379615406</v>
      </c>
      <c r="O212" s="14">
        <v>897.30202017476074</v>
      </c>
    </row>
    <row r="213" spans="1:15" x14ac:dyDescent="0.3">
      <c r="A213" s="3" t="str">
        <f>INDEX('R1. Scenario specifications'!$C$11:$C$49,MATCH($B213,'R1. Scenario specifications'!$A$11:$A$49,0))</f>
        <v>Current 1.75DS, 2020 start, 'Expect the Unexpected' but with cheap EVs</v>
      </c>
      <c r="B213" s="3" t="s">
        <v>39</v>
      </c>
      <c r="C213" s="3" t="s">
        <v>300</v>
      </c>
      <c r="D213" s="3" t="s">
        <v>327</v>
      </c>
      <c r="E213" s="14">
        <v>12817.718070131599</v>
      </c>
      <c r="F213" s="14">
        <v>17010.52444269968</v>
      </c>
      <c r="G213" s="14">
        <v>24316.999999428546</v>
      </c>
      <c r="H213" s="14">
        <v>14443.29732077374</v>
      </c>
      <c r="I213" s="14">
        <v>9616.114533447917</v>
      </c>
      <c r="J213" s="14">
        <v>10002.430965306075</v>
      </c>
      <c r="K213" s="14">
        <v>9385.9225243656547</v>
      </c>
      <c r="L213" s="14">
        <v>7451.409331188117</v>
      </c>
      <c r="M213" s="14">
        <v>6984.7316597800573</v>
      </c>
      <c r="N213" s="14">
        <v>6360.3974185529569</v>
      </c>
      <c r="O213" s="14">
        <v>5384.7692660194725</v>
      </c>
    </row>
    <row r="214" spans="1:15" x14ac:dyDescent="0.3">
      <c r="A214" s="3" t="str">
        <f>INDEX('R1. Scenario specifications'!$C$11:$C$49,MATCH($B214,'R1. Scenario specifications'!$A$11:$A$49,0))</f>
        <v>Current 1.75DS, 2020 start, 'Expect the Unexpected' but with cheap EVs</v>
      </c>
      <c r="B214" s="3" t="s">
        <v>39</v>
      </c>
      <c r="C214" s="3" t="s">
        <v>301</v>
      </c>
      <c r="D214" s="3" t="s">
        <v>328</v>
      </c>
      <c r="E214" s="14">
        <v>0</v>
      </c>
      <c r="F214" s="14">
        <v>0</v>
      </c>
      <c r="G214" s="14">
        <v>94.260834870759595</v>
      </c>
      <c r="H214" s="14">
        <v>3809.4005556851716</v>
      </c>
      <c r="I214" s="14">
        <v>3144.6709341042833</v>
      </c>
      <c r="J214" s="14">
        <v>599.9799477495294</v>
      </c>
      <c r="K214" s="14">
        <v>7.2559422256374599</v>
      </c>
      <c r="L214" s="14">
        <v>204.14028015048251</v>
      </c>
      <c r="M214" s="14">
        <v>184.58580995671289</v>
      </c>
      <c r="N214" s="14">
        <v>190.5439048774883</v>
      </c>
      <c r="O214" s="14">
        <v>47.016381781947004</v>
      </c>
    </row>
    <row r="215" spans="1:15" x14ac:dyDescent="0.3">
      <c r="A215" s="3" t="str">
        <f>INDEX('R1. Scenario specifications'!$C$11:$C$49,MATCH($B215,'R1. Scenario specifications'!$A$11:$A$49,0))</f>
        <v>Current 1.75DS, 2020 start, 'Expect the Unexpected' but with cheap EVs</v>
      </c>
      <c r="B215" s="3" t="s">
        <v>39</v>
      </c>
      <c r="C215" s="3" t="s">
        <v>303</v>
      </c>
      <c r="D215" s="3" t="s">
        <v>329</v>
      </c>
      <c r="E215" s="14">
        <v>0</v>
      </c>
      <c r="F215" s="14">
        <v>0</v>
      </c>
      <c r="G215" s="14">
        <v>0</v>
      </c>
      <c r="H215" s="14">
        <v>8485.2519698306842</v>
      </c>
      <c r="I215" s="14">
        <v>8811.710065831754</v>
      </c>
      <c r="J215" s="14">
        <v>4909.8917140821823</v>
      </c>
      <c r="K215" s="14">
        <v>904.06935490911303</v>
      </c>
      <c r="L215" s="14">
        <v>0</v>
      </c>
      <c r="M215" s="14">
        <v>0</v>
      </c>
      <c r="N215" s="14">
        <v>0</v>
      </c>
      <c r="O215" s="14">
        <v>0</v>
      </c>
    </row>
    <row r="216" spans="1:15" x14ac:dyDescent="0.3">
      <c r="A216" s="3" t="str">
        <f>INDEX('R1. Scenario specifications'!$C$11:$C$49,MATCH($B216,'R1. Scenario specifications'!$A$11:$A$49,0))</f>
        <v>Current 1.75DS, 2030 start, 'Expect the Unexpected' but with cheap EVs</v>
      </c>
      <c r="B216" s="3" t="s">
        <v>40</v>
      </c>
      <c r="C216" s="3" t="s">
        <v>298</v>
      </c>
      <c r="D216" s="3" t="s">
        <v>325</v>
      </c>
      <c r="E216" s="14">
        <v>217.28224258600872</v>
      </c>
      <c r="F216" s="14">
        <v>156.6315521560405</v>
      </c>
      <c r="G216" s="14">
        <v>1062.76238560823</v>
      </c>
      <c r="H216" s="14">
        <v>1939.5191416210841</v>
      </c>
      <c r="I216" s="14">
        <v>1369.5462544670308</v>
      </c>
      <c r="J216" s="14">
        <v>1302.3398072280677</v>
      </c>
      <c r="K216" s="14">
        <v>1979.3491413768868</v>
      </c>
      <c r="L216" s="14">
        <v>1229.980786167413</v>
      </c>
      <c r="M216" s="14">
        <v>930.63883266133439</v>
      </c>
      <c r="N216" s="14">
        <v>1851.2613199259299</v>
      </c>
      <c r="O216" s="14">
        <v>2859.6643871006759</v>
      </c>
    </row>
    <row r="217" spans="1:15" x14ac:dyDescent="0.3">
      <c r="A217" s="3" t="str">
        <f>INDEX('R1. Scenario specifications'!$C$11:$C$49,MATCH($B217,'R1. Scenario specifications'!$A$11:$A$49,0))</f>
        <v>Current 1.75DS, 2030 start, 'Expect the Unexpected' but with cheap EVs</v>
      </c>
      <c r="B217" s="3" t="s">
        <v>40</v>
      </c>
      <c r="C217" s="3" t="s">
        <v>299</v>
      </c>
      <c r="D217" s="3" t="s">
        <v>324</v>
      </c>
      <c r="E217" s="14">
        <v>0.14080836420000001</v>
      </c>
      <c r="F217" s="14">
        <v>6.1144027199999992E-2</v>
      </c>
      <c r="G217" s="14">
        <v>55.300000000000061</v>
      </c>
      <c r="H217" s="14">
        <v>527.86598912037414</v>
      </c>
      <c r="I217" s="14">
        <v>5669.9799686021506</v>
      </c>
      <c r="J217" s="14">
        <v>15593.123070027083</v>
      </c>
      <c r="K217" s="14">
        <v>22898.419877366847</v>
      </c>
      <c r="L217" s="14">
        <v>28781.064377030678</v>
      </c>
      <c r="M217" s="14">
        <v>33884.453942740583</v>
      </c>
      <c r="N217" s="14">
        <v>36671.839374632968</v>
      </c>
      <c r="O217" s="14">
        <v>39502.072357083307</v>
      </c>
    </row>
    <row r="218" spans="1:15" x14ac:dyDescent="0.3">
      <c r="A218" s="3" t="str">
        <f>INDEX('R1. Scenario specifications'!$C$11:$C$49,MATCH($B218,'R1. Scenario specifications'!$A$11:$A$49,0))</f>
        <v>Current 1.75DS, 2030 start, 'Expect the Unexpected' but with cheap EVs</v>
      </c>
      <c r="B218" s="3" t="s">
        <v>40</v>
      </c>
      <c r="C218" s="3" t="s">
        <v>302</v>
      </c>
      <c r="D218" s="3" t="s">
        <v>326</v>
      </c>
      <c r="E218" s="14">
        <v>0</v>
      </c>
      <c r="F218" s="14">
        <v>0</v>
      </c>
      <c r="G218" s="14">
        <v>137.17533571710985</v>
      </c>
      <c r="H218" s="14">
        <v>482.8334985499514</v>
      </c>
      <c r="I218" s="14">
        <v>635.34921539163645</v>
      </c>
      <c r="J218" s="14">
        <v>807.83509196283455</v>
      </c>
      <c r="K218" s="14">
        <v>633.11817224804304</v>
      </c>
      <c r="L218" s="14">
        <v>1049.7206272796845</v>
      </c>
      <c r="M218" s="14">
        <v>1078.7832575099355</v>
      </c>
      <c r="N218" s="14">
        <v>1068.7159845586611</v>
      </c>
      <c r="O218" s="14">
        <v>973.25873701173782</v>
      </c>
    </row>
    <row r="219" spans="1:15" x14ac:dyDescent="0.3">
      <c r="A219" s="3" t="str">
        <f>INDEX('R1. Scenario specifications'!$C$11:$C$49,MATCH($B219,'R1. Scenario specifications'!$A$11:$A$49,0))</f>
        <v>Current 1.75DS, 2030 start, 'Expect the Unexpected' but with cheap EVs</v>
      </c>
      <c r="B219" s="3" t="s">
        <v>40</v>
      </c>
      <c r="C219" s="3" t="s">
        <v>300</v>
      </c>
      <c r="D219" s="3" t="s">
        <v>327</v>
      </c>
      <c r="E219" s="14">
        <v>12817.718070131599</v>
      </c>
      <c r="F219" s="14">
        <v>17010.52444269968</v>
      </c>
      <c r="G219" s="14">
        <v>24316.999999428546</v>
      </c>
      <c r="H219" s="14">
        <v>20725.30794297465</v>
      </c>
      <c r="I219" s="14">
        <v>11687.92490268015</v>
      </c>
      <c r="J219" s="14">
        <v>7501.1469781021369</v>
      </c>
      <c r="K219" s="14">
        <v>5671.2061774621525</v>
      </c>
      <c r="L219" s="14">
        <v>6543.3778994606737</v>
      </c>
      <c r="M219" s="14">
        <v>7155.2254778815968</v>
      </c>
      <c r="N219" s="14">
        <v>6629.3345744764856</v>
      </c>
      <c r="O219" s="14">
        <v>5824.312270077161</v>
      </c>
    </row>
    <row r="220" spans="1:15" x14ac:dyDescent="0.3">
      <c r="A220" s="3" t="str">
        <f>INDEX('R1. Scenario specifications'!$C$11:$C$49,MATCH($B220,'R1. Scenario specifications'!$A$11:$A$49,0))</f>
        <v>Current 1.75DS, 2030 start, 'Expect the Unexpected' but with cheap EVs</v>
      </c>
      <c r="B220" s="3" t="s">
        <v>40</v>
      </c>
      <c r="C220" s="3" t="s">
        <v>301</v>
      </c>
      <c r="D220" s="3" t="s">
        <v>328</v>
      </c>
      <c r="E220" s="14">
        <v>0</v>
      </c>
      <c r="F220" s="14">
        <v>0</v>
      </c>
      <c r="G220" s="14">
        <v>94.260834870759595</v>
      </c>
      <c r="H220" s="14">
        <v>1628.0096568892475</v>
      </c>
      <c r="I220" s="14">
        <v>2605.6843796271219</v>
      </c>
      <c r="J220" s="14">
        <v>633.45081133834458</v>
      </c>
      <c r="K220" s="14">
        <v>134.82398787004786</v>
      </c>
      <c r="L220" s="14">
        <v>80.381679201181598</v>
      </c>
      <c r="M220" s="14">
        <v>168.9879076899158</v>
      </c>
      <c r="N220" s="14">
        <v>185.69301990576031</v>
      </c>
      <c r="O220" s="14">
        <v>42.688938149159632</v>
      </c>
    </row>
    <row r="221" spans="1:15" x14ac:dyDescent="0.3">
      <c r="A221" s="3" t="str">
        <f>INDEX('R1. Scenario specifications'!$C$11:$C$49,MATCH($B221,'R1. Scenario specifications'!$A$11:$A$49,0))</f>
        <v>Current 1.75DS, 2030 start, 'Expect the Unexpected' but with cheap EVs</v>
      </c>
      <c r="B221" s="3" t="s">
        <v>40</v>
      </c>
      <c r="C221" s="3" t="s">
        <v>303</v>
      </c>
      <c r="D221" s="3" t="s">
        <v>329</v>
      </c>
      <c r="E221" s="14">
        <v>0</v>
      </c>
      <c r="F221" s="14">
        <v>0</v>
      </c>
      <c r="G221" s="14">
        <v>0</v>
      </c>
      <c r="H221" s="14">
        <v>3040.2453409136619</v>
      </c>
      <c r="I221" s="14">
        <v>7563.2995478094408</v>
      </c>
      <c r="J221" s="14">
        <v>8732.2010375129994</v>
      </c>
      <c r="K221" s="14">
        <v>5474.1410537540341</v>
      </c>
      <c r="L221" s="14">
        <v>3120.4040933890888</v>
      </c>
      <c r="M221" s="14">
        <v>621.46717007838299</v>
      </c>
      <c r="N221" s="14">
        <v>0</v>
      </c>
      <c r="O221" s="14">
        <v>0</v>
      </c>
    </row>
    <row r="222" spans="1:15" x14ac:dyDescent="0.3">
      <c r="A222" s="3" t="str">
        <f>INDEX('R1. Scenario specifications'!$C$11:$C$49,MATCH($B222,'R1. Scenario specifications'!$A$11:$A$49,0))</f>
        <v>Current 1.75DS, 2020 start, 'Expect the Unexpected' but with cheap energy efficiency</v>
      </c>
      <c r="B222" s="3" t="s">
        <v>41</v>
      </c>
      <c r="C222" s="3" t="s">
        <v>298</v>
      </c>
      <c r="D222" s="3" t="s">
        <v>325</v>
      </c>
      <c r="E222" s="14">
        <v>217.28224258600872</v>
      </c>
      <c r="F222" s="14">
        <v>156.6315521560405</v>
      </c>
      <c r="G222" s="14">
        <v>1062.76238560823</v>
      </c>
      <c r="H222" s="14">
        <v>1158.8325494475548</v>
      </c>
      <c r="I222" s="14">
        <v>1742.8045703187263</v>
      </c>
      <c r="J222" s="14">
        <v>2427.1561393599832</v>
      </c>
      <c r="K222" s="14">
        <v>1340.8979918733501</v>
      </c>
      <c r="L222" s="14">
        <v>629.58811936370648</v>
      </c>
      <c r="M222" s="14">
        <v>1039.3663361414106</v>
      </c>
      <c r="N222" s="14">
        <v>1788.7712939433038</v>
      </c>
      <c r="O222" s="14">
        <v>3024.5975624996654</v>
      </c>
    </row>
    <row r="223" spans="1:15" x14ac:dyDescent="0.3">
      <c r="A223" s="3" t="str">
        <f>INDEX('R1. Scenario specifications'!$C$11:$C$49,MATCH($B223,'R1. Scenario specifications'!$A$11:$A$49,0))</f>
        <v>Current 1.75DS, 2020 start, 'Expect the Unexpected' but with cheap energy efficiency</v>
      </c>
      <c r="B223" s="3" t="s">
        <v>41</v>
      </c>
      <c r="C223" s="3" t="s">
        <v>299</v>
      </c>
      <c r="D223" s="3" t="s">
        <v>324</v>
      </c>
      <c r="E223" s="14">
        <v>0.14080836420000001</v>
      </c>
      <c r="F223" s="14">
        <v>6.1144027199999992E-2</v>
      </c>
      <c r="G223" s="14">
        <v>55.300000000000061</v>
      </c>
      <c r="H223" s="14">
        <v>616.80174697305961</v>
      </c>
      <c r="I223" s="14">
        <v>4977.825764023697</v>
      </c>
      <c r="J223" s="14">
        <v>12952.214409582255</v>
      </c>
      <c r="K223" s="14">
        <v>17975.828291493941</v>
      </c>
      <c r="L223" s="14">
        <v>21433.915253520638</v>
      </c>
      <c r="M223" s="14">
        <v>24823.544407831483</v>
      </c>
      <c r="N223" s="14">
        <v>26841.8674183556</v>
      </c>
      <c r="O223" s="14">
        <v>28943.275074507466</v>
      </c>
    </row>
    <row r="224" spans="1:15" x14ac:dyDescent="0.3">
      <c r="A224" s="3" t="str">
        <f>INDEX('R1. Scenario specifications'!$C$11:$C$49,MATCH($B224,'R1. Scenario specifications'!$A$11:$A$49,0))</f>
        <v>Current 1.75DS, 2020 start, 'Expect the Unexpected' but with cheap energy efficiency</v>
      </c>
      <c r="B224" s="3" t="s">
        <v>41</v>
      </c>
      <c r="C224" s="3" t="s">
        <v>302</v>
      </c>
      <c r="D224" s="3" t="s">
        <v>326</v>
      </c>
      <c r="E224" s="14">
        <v>0</v>
      </c>
      <c r="F224" s="14">
        <v>0</v>
      </c>
      <c r="G224" s="14">
        <v>137.17533571710985</v>
      </c>
      <c r="H224" s="14">
        <v>334.4849871451903</v>
      </c>
      <c r="I224" s="14">
        <v>502.85114827436541</v>
      </c>
      <c r="J224" s="14">
        <v>700.04647372380737</v>
      </c>
      <c r="K224" s="14">
        <v>748.45057023530717</v>
      </c>
      <c r="L224" s="14">
        <v>809.96493112813982</v>
      </c>
      <c r="M224" s="14">
        <v>862.60235857179885</v>
      </c>
      <c r="N224" s="14">
        <v>910.6271932421771</v>
      </c>
      <c r="O224" s="14">
        <v>907.75949070416834</v>
      </c>
    </row>
    <row r="225" spans="1:15" x14ac:dyDescent="0.3">
      <c r="A225" s="3" t="str">
        <f>INDEX('R1. Scenario specifications'!$C$11:$C$49,MATCH($B225,'R1. Scenario specifications'!$A$11:$A$49,0))</f>
        <v>Current 1.75DS, 2020 start, 'Expect the Unexpected' but with cheap energy efficiency</v>
      </c>
      <c r="B225" s="3" t="s">
        <v>41</v>
      </c>
      <c r="C225" s="3" t="s">
        <v>300</v>
      </c>
      <c r="D225" s="3" t="s">
        <v>327</v>
      </c>
      <c r="E225" s="14">
        <v>12817.718070131599</v>
      </c>
      <c r="F225" s="14">
        <v>17010.52444269968</v>
      </c>
      <c r="G225" s="14">
        <v>24316.999999428546</v>
      </c>
      <c r="H225" s="14">
        <v>15538.164219023391</v>
      </c>
      <c r="I225" s="14">
        <v>15670.208821108768</v>
      </c>
      <c r="J225" s="14">
        <v>11815.118040191892</v>
      </c>
      <c r="K225" s="14">
        <v>10317.214381658572</v>
      </c>
      <c r="L225" s="14">
        <v>9634.2724820747771</v>
      </c>
      <c r="M225" s="14">
        <v>7836.0531585960289</v>
      </c>
      <c r="N225" s="14">
        <v>6896.679767898172</v>
      </c>
      <c r="O225" s="14">
        <v>5715.9826666850631</v>
      </c>
    </row>
    <row r="226" spans="1:15" x14ac:dyDescent="0.3">
      <c r="A226" s="3" t="str">
        <f>INDEX('R1. Scenario specifications'!$C$11:$C$49,MATCH($B226,'R1. Scenario specifications'!$A$11:$A$49,0))</f>
        <v>Current 1.75DS, 2020 start, 'Expect the Unexpected' but with cheap energy efficiency</v>
      </c>
      <c r="B226" s="3" t="s">
        <v>41</v>
      </c>
      <c r="C226" s="3" t="s">
        <v>301</v>
      </c>
      <c r="D226" s="3" t="s">
        <v>328</v>
      </c>
      <c r="E226" s="14">
        <v>0</v>
      </c>
      <c r="F226" s="14">
        <v>0</v>
      </c>
      <c r="G226" s="14">
        <v>94.260834870759595</v>
      </c>
      <c r="H226" s="14">
        <v>1476.5059671664985</v>
      </c>
      <c r="I226" s="14">
        <v>479.92461362767472</v>
      </c>
      <c r="J226" s="14">
        <v>14.60944052883627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</row>
    <row r="227" spans="1:15" x14ac:dyDescent="0.3">
      <c r="A227" s="3" t="str">
        <f>INDEX('R1. Scenario specifications'!$C$11:$C$49,MATCH($B227,'R1. Scenario specifications'!$A$11:$A$49,0))</f>
        <v>Current 1.75DS, 2020 start, 'Expect the Unexpected' but with cheap energy efficiency</v>
      </c>
      <c r="B227" s="3" t="s">
        <v>41</v>
      </c>
      <c r="C227" s="3" t="s">
        <v>303</v>
      </c>
      <c r="D227" s="3" t="s">
        <v>329</v>
      </c>
      <c r="E227" s="14">
        <v>0</v>
      </c>
      <c r="F227" s="14">
        <v>0</v>
      </c>
      <c r="G227" s="14">
        <v>0</v>
      </c>
      <c r="H227" s="14">
        <v>1858.8939958235489</v>
      </c>
      <c r="I227" s="14">
        <v>1484.727631488146</v>
      </c>
      <c r="J227" s="14">
        <v>277.15237365798635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</row>
    <row r="228" spans="1:15" x14ac:dyDescent="0.3">
      <c r="A228" s="3" t="str">
        <f>INDEX('R1. Scenario specifications'!$C$11:$C$49,MATCH($B228,'R1. Scenario specifications'!$A$11:$A$49,0))</f>
        <v>Current 1.75DS, 2030 start, 'Expect the Unexpected' but with cheap energy efficiency</v>
      </c>
      <c r="B228" s="3" t="s">
        <v>42</v>
      </c>
      <c r="C228" s="3" t="s">
        <v>298</v>
      </c>
      <c r="D228" s="3" t="s">
        <v>325</v>
      </c>
      <c r="E228" s="14">
        <v>217.28224258600872</v>
      </c>
      <c r="F228" s="14">
        <v>156.6315521560405</v>
      </c>
      <c r="G228" s="14">
        <v>1062.76238560823</v>
      </c>
      <c r="H228" s="14">
        <v>1939.5191416210841</v>
      </c>
      <c r="I228" s="14">
        <v>2077.8487736890379</v>
      </c>
      <c r="J228" s="14">
        <v>1513.1578937906972</v>
      </c>
      <c r="K228" s="14">
        <v>1921.8735648485681</v>
      </c>
      <c r="L228" s="14">
        <v>1244.0805906433432</v>
      </c>
      <c r="M228" s="14">
        <v>933.62096761955786</v>
      </c>
      <c r="N228" s="14">
        <v>1296.5115071762436</v>
      </c>
      <c r="O228" s="14">
        <v>2435.2268096406742</v>
      </c>
    </row>
    <row r="229" spans="1:15" x14ac:dyDescent="0.3">
      <c r="A229" s="3" t="str">
        <f>INDEX('R1. Scenario specifications'!$C$11:$C$49,MATCH($B229,'R1. Scenario specifications'!$A$11:$A$49,0))</f>
        <v>Current 1.75DS, 2030 start, 'Expect the Unexpected' but with cheap energy efficiency</v>
      </c>
      <c r="B229" s="3" t="s">
        <v>42</v>
      </c>
      <c r="C229" s="3" t="s">
        <v>299</v>
      </c>
      <c r="D229" s="3" t="s">
        <v>324</v>
      </c>
      <c r="E229" s="14">
        <v>0.14080836420000001</v>
      </c>
      <c r="F229" s="14">
        <v>6.1144027199999992E-2</v>
      </c>
      <c r="G229" s="14">
        <v>55.300000000000061</v>
      </c>
      <c r="H229" s="14">
        <v>527.86598912037414</v>
      </c>
      <c r="I229" s="14">
        <v>4543.4133457484722</v>
      </c>
      <c r="J229" s="14">
        <v>12337.278931634961</v>
      </c>
      <c r="K229" s="14">
        <v>15711.9888961492</v>
      </c>
      <c r="L229" s="14">
        <v>20778.932280782588</v>
      </c>
      <c r="M229" s="14">
        <v>24637.22487385264</v>
      </c>
      <c r="N229" s="14">
        <v>26818.721801376618</v>
      </c>
      <c r="O229" s="14">
        <v>28940.790085484867</v>
      </c>
    </row>
    <row r="230" spans="1:15" x14ac:dyDescent="0.3">
      <c r="A230" s="3" t="str">
        <f>INDEX('R1. Scenario specifications'!$C$11:$C$49,MATCH($B230,'R1. Scenario specifications'!$A$11:$A$49,0))</f>
        <v>Current 1.75DS, 2030 start, 'Expect the Unexpected' but with cheap energy efficiency</v>
      </c>
      <c r="B230" s="3" t="s">
        <v>42</v>
      </c>
      <c r="C230" s="3" t="s">
        <v>302</v>
      </c>
      <c r="D230" s="3" t="s">
        <v>326</v>
      </c>
      <c r="E230" s="14">
        <v>0</v>
      </c>
      <c r="F230" s="14">
        <v>0</v>
      </c>
      <c r="G230" s="14">
        <v>137.17533571710985</v>
      </c>
      <c r="H230" s="14">
        <v>482.8334985499514</v>
      </c>
      <c r="I230" s="14">
        <v>502.84601848301736</v>
      </c>
      <c r="J230" s="14">
        <v>655.61513315844229</v>
      </c>
      <c r="K230" s="14">
        <v>515.51913696091628</v>
      </c>
      <c r="L230" s="14">
        <v>796.30314236536833</v>
      </c>
      <c r="M230" s="14">
        <v>849.83984991109605</v>
      </c>
      <c r="N230" s="14">
        <v>909.93653802215556</v>
      </c>
      <c r="O230" s="14">
        <v>919.53430626739998</v>
      </c>
    </row>
    <row r="231" spans="1:15" x14ac:dyDescent="0.3">
      <c r="A231" s="3" t="str">
        <f>INDEX('R1. Scenario specifications'!$C$11:$C$49,MATCH($B231,'R1. Scenario specifications'!$A$11:$A$49,0))</f>
        <v>Current 1.75DS, 2030 start, 'Expect the Unexpected' but with cheap energy efficiency</v>
      </c>
      <c r="B231" s="3" t="s">
        <v>42</v>
      </c>
      <c r="C231" s="3" t="s">
        <v>300</v>
      </c>
      <c r="D231" s="3" t="s">
        <v>327</v>
      </c>
      <c r="E231" s="14">
        <v>12817.718070131599</v>
      </c>
      <c r="F231" s="14">
        <v>17010.52444269968</v>
      </c>
      <c r="G231" s="14">
        <v>24316.999999428546</v>
      </c>
      <c r="H231" s="14">
        <v>20725.30794297465</v>
      </c>
      <c r="I231" s="14">
        <v>15447.633472884147</v>
      </c>
      <c r="J231" s="14">
        <v>13090.659739077366</v>
      </c>
      <c r="K231" s="14">
        <v>10999.913001238323</v>
      </c>
      <c r="L231" s="14">
        <v>9720.8937888243054</v>
      </c>
      <c r="M231" s="14">
        <v>8207.8278536375601</v>
      </c>
      <c r="N231" s="14">
        <v>7436.1058710988509</v>
      </c>
      <c r="O231" s="14">
        <v>6382.0888127332182</v>
      </c>
    </row>
    <row r="232" spans="1:15" x14ac:dyDescent="0.3">
      <c r="A232" s="3" t="str">
        <f>INDEX('R1. Scenario specifications'!$C$11:$C$49,MATCH($B232,'R1. Scenario specifications'!$A$11:$A$49,0))</f>
        <v>Current 1.75DS, 2030 start, 'Expect the Unexpected' but with cheap energy efficiency</v>
      </c>
      <c r="B232" s="3" t="s">
        <v>42</v>
      </c>
      <c r="C232" s="3" t="s">
        <v>301</v>
      </c>
      <c r="D232" s="3" t="s">
        <v>328</v>
      </c>
      <c r="E232" s="14">
        <v>0</v>
      </c>
      <c r="F232" s="14">
        <v>0</v>
      </c>
      <c r="G232" s="14">
        <v>94.260834870759595</v>
      </c>
      <c r="H232" s="14">
        <v>1628.0096568892475</v>
      </c>
      <c r="I232" s="14">
        <v>531.69268410954498</v>
      </c>
      <c r="J232" s="14">
        <v>16.604492606681521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</row>
    <row r="233" spans="1:15" x14ac:dyDescent="0.3">
      <c r="A233" s="3" t="str">
        <f>INDEX('R1. Scenario specifications'!$C$11:$C$49,MATCH($B233,'R1. Scenario specifications'!$A$11:$A$49,0))</f>
        <v>Current 1.75DS, 2030 start, 'Expect the Unexpected' but with cheap energy efficiency</v>
      </c>
      <c r="B233" s="3" t="s">
        <v>42</v>
      </c>
      <c r="C233" s="3" t="s">
        <v>303</v>
      </c>
      <c r="D233" s="3" t="s">
        <v>329</v>
      </c>
      <c r="E233" s="14">
        <v>0</v>
      </c>
      <c r="F233" s="14">
        <v>0</v>
      </c>
      <c r="G233" s="14">
        <v>0</v>
      </c>
      <c r="H233" s="14">
        <v>3040.2453409136619</v>
      </c>
      <c r="I233" s="14">
        <v>1773.3684185722846</v>
      </c>
      <c r="J233" s="14">
        <v>258.49922199763978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</row>
    <row r="234" spans="1:15" x14ac:dyDescent="0.3">
      <c r="A234" s="3" t="str">
        <f>INDEX('R1. Scenario specifications'!$C$11:$C$49,MATCH($B234,'R1. Scenario specifications'!$A$11:$A$49,0))</f>
        <v>Current 1.75DS, 2020 start, 'Expect the Unexpected' but with most conservative biomass CCS / NET technology cost assumptions</v>
      </c>
      <c r="B234" s="3" t="s">
        <v>43</v>
      </c>
      <c r="C234" s="3" t="s">
        <v>298</v>
      </c>
      <c r="D234" s="3" t="s">
        <v>325</v>
      </c>
      <c r="E234" s="14">
        <v>217.28224258600872</v>
      </c>
      <c r="F234" s="14">
        <v>156.6315521560405</v>
      </c>
      <c r="G234" s="14">
        <v>1062.76238560823</v>
      </c>
      <c r="H234" s="14">
        <v>1568.377193440725</v>
      </c>
      <c r="I234" s="14">
        <v>1948.1570562889808</v>
      </c>
      <c r="J234" s="14">
        <v>1986.6855721336299</v>
      </c>
      <c r="K234" s="14">
        <v>1273.6161093535466</v>
      </c>
      <c r="L234" s="14">
        <v>931.14104180232721</v>
      </c>
      <c r="M234" s="14">
        <v>1160.4504308087653</v>
      </c>
      <c r="N234" s="14">
        <v>2049.598110607039</v>
      </c>
      <c r="O234" s="14">
        <v>3206.5259620326392</v>
      </c>
    </row>
    <row r="235" spans="1:15" x14ac:dyDescent="0.3">
      <c r="A235" s="3" t="str">
        <f>INDEX('R1. Scenario specifications'!$C$11:$C$49,MATCH($B235,'R1. Scenario specifications'!$A$11:$A$49,0))</f>
        <v>Current 1.75DS, 2020 start, 'Expect the Unexpected' but with most conservative biomass CCS / NET technology cost assumptions</v>
      </c>
      <c r="B235" s="3" t="s">
        <v>43</v>
      </c>
      <c r="C235" s="3" t="s">
        <v>299</v>
      </c>
      <c r="D235" s="3" t="s">
        <v>324</v>
      </c>
      <c r="E235" s="14">
        <v>0.14080836420000001</v>
      </c>
      <c r="F235" s="14">
        <v>6.1144027199999992E-2</v>
      </c>
      <c r="G235" s="14">
        <v>55.300000000000061</v>
      </c>
      <c r="H235" s="14">
        <v>616.9359513247648</v>
      </c>
      <c r="I235" s="14">
        <v>5983.6414767577562</v>
      </c>
      <c r="J235" s="14">
        <v>15681.334812738893</v>
      </c>
      <c r="K235" s="14">
        <v>22787.156288952581</v>
      </c>
      <c r="L235" s="14">
        <v>28625.846125448283</v>
      </c>
      <c r="M235" s="14">
        <v>32300.006592184945</v>
      </c>
      <c r="N235" s="14">
        <v>34278.000840607478</v>
      </c>
      <c r="O235" s="14">
        <v>37377.142739340925</v>
      </c>
    </row>
    <row r="236" spans="1:15" x14ac:dyDescent="0.3">
      <c r="A236" s="3" t="str">
        <f>INDEX('R1. Scenario specifications'!$C$11:$C$49,MATCH($B236,'R1. Scenario specifications'!$A$11:$A$49,0))</f>
        <v>Current 1.75DS, 2020 start, 'Expect the Unexpected' but with most conservative biomass CCS / NET technology cost assumptions</v>
      </c>
      <c r="B236" s="3" t="s">
        <v>43</v>
      </c>
      <c r="C236" s="3" t="s">
        <v>302</v>
      </c>
      <c r="D236" s="3" t="s">
        <v>326</v>
      </c>
      <c r="E236" s="14">
        <v>0</v>
      </c>
      <c r="F236" s="14">
        <v>0</v>
      </c>
      <c r="G236" s="14">
        <v>137.17533571710985</v>
      </c>
      <c r="H236" s="14">
        <v>475.30065385072123</v>
      </c>
      <c r="I236" s="14">
        <v>608.53476830423392</v>
      </c>
      <c r="J236" s="14">
        <v>878.92105526194405</v>
      </c>
      <c r="K236" s="14">
        <v>948.8756879286351</v>
      </c>
      <c r="L236" s="14">
        <v>1024.5325469594827</v>
      </c>
      <c r="M236" s="14">
        <v>1086.8682737778352</v>
      </c>
      <c r="N236" s="14">
        <v>1059.2786473593119</v>
      </c>
      <c r="O236" s="14">
        <v>1097.1311248677166</v>
      </c>
    </row>
    <row r="237" spans="1:15" x14ac:dyDescent="0.3">
      <c r="A237" s="3" t="str">
        <f>INDEX('R1. Scenario specifications'!$C$11:$C$49,MATCH($B237,'R1. Scenario specifications'!$A$11:$A$49,0))</f>
        <v>Current 1.75DS, 2020 start, 'Expect the Unexpected' but with most conservative biomass CCS / NET technology cost assumptions</v>
      </c>
      <c r="B237" s="3" t="s">
        <v>43</v>
      </c>
      <c r="C237" s="3" t="s">
        <v>300</v>
      </c>
      <c r="D237" s="3" t="s">
        <v>327</v>
      </c>
      <c r="E237" s="14">
        <v>12817.718070131599</v>
      </c>
      <c r="F237" s="14">
        <v>17010.52444269968</v>
      </c>
      <c r="G237" s="14">
        <v>24316.999999428546</v>
      </c>
      <c r="H237" s="14">
        <v>20748.400344600646</v>
      </c>
      <c r="I237" s="14">
        <v>17943.250172629116</v>
      </c>
      <c r="J237" s="14">
        <v>15171.116902767601</v>
      </c>
      <c r="K237" s="14">
        <v>11989.538126081996</v>
      </c>
      <c r="L237" s="14">
        <v>9041.1266414959628</v>
      </c>
      <c r="M237" s="14">
        <v>7458.2019826725445</v>
      </c>
      <c r="N237" s="14">
        <v>6596.727310388811</v>
      </c>
      <c r="O237" s="14">
        <v>5448.241072335516</v>
      </c>
    </row>
    <row r="238" spans="1:15" x14ac:dyDescent="0.3">
      <c r="A238" s="3" t="str">
        <f>INDEX('R1. Scenario specifications'!$C$11:$C$49,MATCH($B238,'R1. Scenario specifications'!$A$11:$A$49,0))</f>
        <v>Current 1.75DS, 2020 start, 'Expect the Unexpected' but with most conservative biomass CCS / NET technology cost assumptions</v>
      </c>
      <c r="B238" s="3" t="s">
        <v>43</v>
      </c>
      <c r="C238" s="3" t="s">
        <v>301</v>
      </c>
      <c r="D238" s="3" t="s">
        <v>328</v>
      </c>
      <c r="E238" s="14">
        <v>0</v>
      </c>
      <c r="F238" s="14">
        <v>0</v>
      </c>
      <c r="G238" s="14">
        <v>94.260834870759595</v>
      </c>
      <c r="H238" s="14">
        <v>1521.2453199451252</v>
      </c>
      <c r="I238" s="14">
        <v>538.6383733501267</v>
      </c>
      <c r="J238" s="14">
        <v>28.114499401015507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</row>
    <row r="239" spans="1:15" x14ac:dyDescent="0.3">
      <c r="A239" s="3" t="str">
        <f>INDEX('R1. Scenario specifications'!$C$11:$C$49,MATCH($B239,'R1. Scenario specifications'!$A$11:$A$49,0))</f>
        <v>Current 1.75DS, 2020 start, 'Expect the Unexpected' but with most conservative biomass CCS / NET technology cost assumptions</v>
      </c>
      <c r="B239" s="3" t="s">
        <v>43</v>
      </c>
      <c r="C239" s="3" t="s">
        <v>303</v>
      </c>
      <c r="D239" s="3" t="s">
        <v>329</v>
      </c>
      <c r="E239" s="14">
        <v>0</v>
      </c>
      <c r="F239" s="14">
        <v>0</v>
      </c>
      <c r="G239" s="14">
        <v>0</v>
      </c>
      <c r="H239" s="14">
        <v>3023.1510647418336</v>
      </c>
      <c r="I239" s="14">
        <v>2043.5899883283594</v>
      </c>
      <c r="J239" s="14">
        <v>340.3806185883044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</row>
    <row r="240" spans="1:15" x14ac:dyDescent="0.3">
      <c r="A240" s="3" t="str">
        <f>INDEX('R1. Scenario specifications'!$C$11:$C$49,MATCH($B240,'R1. Scenario specifications'!$A$11:$A$49,0))</f>
        <v>Current 2DS, 2020 start, 'Expect the unexpceted' but with expensive renewables (cheap CCS)</v>
      </c>
      <c r="B240" s="3" t="s">
        <v>1026</v>
      </c>
      <c r="C240" s="3" t="s">
        <v>298</v>
      </c>
      <c r="D240" s="3" t="s">
        <v>325</v>
      </c>
      <c r="E240" s="14">
        <v>217.28224258600872</v>
      </c>
      <c r="F240" s="14">
        <v>156.6315521560405</v>
      </c>
      <c r="G240" s="14">
        <v>1062.76238560823</v>
      </c>
      <c r="H240" s="14">
        <v>1655.2828658079973</v>
      </c>
      <c r="I240" s="14">
        <v>2529.3697055185289</v>
      </c>
      <c r="J240" s="14">
        <v>3299.0532574433732</v>
      </c>
      <c r="K240" s="14">
        <v>2344.9817170285241</v>
      </c>
      <c r="L240" s="14">
        <v>1759.5968280888176</v>
      </c>
      <c r="M240" s="14">
        <v>1199.903787829699</v>
      </c>
      <c r="N240" s="14">
        <v>1216.4397809181487</v>
      </c>
      <c r="O240" s="14">
        <v>2412.9332459389361</v>
      </c>
    </row>
    <row r="241" spans="1:15" x14ac:dyDescent="0.3">
      <c r="A241" s="3" t="str">
        <f>INDEX('R1. Scenario specifications'!$C$11:$C$49,MATCH($B241,'R1. Scenario specifications'!$A$11:$A$49,0))</f>
        <v>Current 2DS, 2020 start, 'Expect the unexpceted' but with expensive renewables (cheap CCS)</v>
      </c>
      <c r="B241" s="3" t="s">
        <v>1026</v>
      </c>
      <c r="C241" s="3" t="s">
        <v>299</v>
      </c>
      <c r="D241" s="3" t="s">
        <v>324</v>
      </c>
      <c r="E241" s="14">
        <v>0.14080836420000001</v>
      </c>
      <c r="F241" s="14">
        <v>6.1144027199999992E-2</v>
      </c>
      <c r="G241" s="14">
        <v>55.300000000000061</v>
      </c>
      <c r="H241" s="14">
        <v>571.05571299706833</v>
      </c>
      <c r="I241" s="14">
        <v>5572.4896922900389</v>
      </c>
      <c r="J241" s="14">
        <v>14847.162260790479</v>
      </c>
      <c r="K241" s="14">
        <v>22353.562351764504</v>
      </c>
      <c r="L241" s="14">
        <v>25778.294320399145</v>
      </c>
      <c r="M241" s="14">
        <v>31683.660439450065</v>
      </c>
      <c r="N241" s="14">
        <v>34742.610448166801</v>
      </c>
      <c r="O241" s="14">
        <v>37380.848832049182</v>
      </c>
    </row>
    <row r="242" spans="1:15" x14ac:dyDescent="0.3">
      <c r="A242" s="3" t="str">
        <f>INDEX('R1. Scenario specifications'!$C$11:$C$49,MATCH($B242,'R1. Scenario specifications'!$A$11:$A$49,0))</f>
        <v>Current 2DS, 2020 start, 'Expect the unexpceted' but with expensive renewables (cheap CCS)</v>
      </c>
      <c r="B242" s="3" t="s">
        <v>1026</v>
      </c>
      <c r="C242" s="3" t="s">
        <v>302</v>
      </c>
      <c r="D242" s="3" t="s">
        <v>326</v>
      </c>
      <c r="E242" s="14">
        <v>0</v>
      </c>
      <c r="F242" s="14">
        <v>0</v>
      </c>
      <c r="G242" s="14">
        <v>137.17533571710985</v>
      </c>
      <c r="H242" s="14">
        <v>481.68557757966084</v>
      </c>
      <c r="I242" s="14">
        <v>609.38817452037097</v>
      </c>
      <c r="J242" s="14">
        <v>885.71715120151714</v>
      </c>
      <c r="K242" s="14">
        <v>948.80304903439185</v>
      </c>
      <c r="L242" s="14">
        <v>1026.569310657017</v>
      </c>
      <c r="M242" s="14">
        <v>1094.320442114662</v>
      </c>
      <c r="N242" s="14">
        <v>1153.5751171987176</v>
      </c>
      <c r="O242" s="14">
        <v>1132.8974528683234</v>
      </c>
    </row>
    <row r="243" spans="1:15" x14ac:dyDescent="0.3">
      <c r="A243" s="3" t="str">
        <f>INDEX('R1. Scenario specifications'!$C$11:$C$49,MATCH($B243,'R1. Scenario specifications'!$A$11:$A$49,0))</f>
        <v>Current 2DS, 2020 start, 'Expect the unexpceted' but with expensive renewables (cheap CCS)</v>
      </c>
      <c r="B243" s="3" t="s">
        <v>1026</v>
      </c>
      <c r="C243" s="3" t="s">
        <v>300</v>
      </c>
      <c r="D243" s="3" t="s">
        <v>327</v>
      </c>
      <c r="E243" s="14">
        <v>12817.718070131599</v>
      </c>
      <c r="F243" s="14">
        <v>17010.52444269968</v>
      </c>
      <c r="G243" s="14">
        <v>24316.999999428546</v>
      </c>
      <c r="H243" s="14">
        <v>20964.548299938528</v>
      </c>
      <c r="I243" s="14">
        <v>17666.26632522095</v>
      </c>
      <c r="J243" s="14">
        <v>14947.795187848571</v>
      </c>
      <c r="K243" s="14">
        <v>11406.860796587262</v>
      </c>
      <c r="L243" s="14">
        <v>11166.066756144537</v>
      </c>
      <c r="M243" s="14">
        <v>8297.3810625919887</v>
      </c>
      <c r="N243" s="14">
        <v>7569.6003867239215</v>
      </c>
      <c r="O243" s="14">
        <v>6438.1339638015997</v>
      </c>
    </row>
    <row r="244" spans="1:15" x14ac:dyDescent="0.3">
      <c r="A244" s="3" t="str">
        <f>INDEX('R1. Scenario specifications'!$C$11:$C$49,MATCH($B244,'R1. Scenario specifications'!$A$11:$A$49,0))</f>
        <v>Current 2DS, 2020 start, 'Expect the unexpceted' but with expensive renewables (cheap CCS)</v>
      </c>
      <c r="B244" s="3" t="s">
        <v>1026</v>
      </c>
      <c r="C244" s="3" t="s">
        <v>301</v>
      </c>
      <c r="D244" s="3" t="s">
        <v>328</v>
      </c>
      <c r="E244" s="14">
        <v>0</v>
      </c>
      <c r="F244" s="14">
        <v>0</v>
      </c>
      <c r="G244" s="14">
        <v>94.260834870759595</v>
      </c>
      <c r="H244" s="14">
        <v>1519.3874364380051</v>
      </c>
      <c r="I244" s="14">
        <v>573.02750891080075</v>
      </c>
      <c r="J244" s="14">
        <v>38.506856992110897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</row>
    <row r="245" spans="1:15" x14ac:dyDescent="0.3">
      <c r="A245" s="3" t="str">
        <f>INDEX('R1. Scenario specifications'!$C$11:$C$49,MATCH($B245,'R1. Scenario specifications'!$A$11:$A$49,0))</f>
        <v>Current 2DS, 2020 start, 'Expect the unexpceted' but with expensive renewables (cheap CCS)</v>
      </c>
      <c r="B245" s="3" t="s">
        <v>1026</v>
      </c>
      <c r="C245" s="3" t="s">
        <v>303</v>
      </c>
      <c r="D245" s="3" t="s">
        <v>329</v>
      </c>
      <c r="E245" s="14">
        <v>0</v>
      </c>
      <c r="F245" s="14">
        <v>0</v>
      </c>
      <c r="G245" s="14">
        <v>0</v>
      </c>
      <c r="H245" s="14">
        <v>3086.9516982581117</v>
      </c>
      <c r="I245" s="14">
        <v>2168.1156938047889</v>
      </c>
      <c r="J245" s="14">
        <v>371.77332343100926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</row>
    <row r="246" spans="1:15" x14ac:dyDescent="0.3">
      <c r="A246" s="3" t="str">
        <f>INDEX('R1. Scenario specifications'!$C$11:$C$49,MATCH($B246,'R1. Scenario specifications'!$A$11:$A$49,0))</f>
        <v>Current 2DS, 2030 start, 'Expect the Unexpected' but with cheap renewables</v>
      </c>
      <c r="B246" s="3" t="s">
        <v>44</v>
      </c>
      <c r="C246" s="3" t="s">
        <v>298</v>
      </c>
      <c r="D246" s="3" t="s">
        <v>325</v>
      </c>
      <c r="E246" s="14">
        <v>217.28224258600872</v>
      </c>
      <c r="F246" s="14">
        <v>156.6315521560405</v>
      </c>
      <c r="G246" s="14">
        <v>1062.76238560823</v>
      </c>
      <c r="H246" s="14">
        <v>1939.5191416210841</v>
      </c>
      <c r="I246" s="14">
        <v>2510.922547083544</v>
      </c>
      <c r="J246" s="14">
        <v>2852.7641965872467</v>
      </c>
      <c r="K246" s="14">
        <v>1958.500377249469</v>
      </c>
      <c r="L246" s="14">
        <v>1124.4109576716742</v>
      </c>
      <c r="M246" s="14">
        <v>687.62470220162731</v>
      </c>
      <c r="N246" s="14">
        <v>990.0914549235813</v>
      </c>
      <c r="O246" s="14">
        <v>2062.1973677630799</v>
      </c>
    </row>
    <row r="247" spans="1:15" x14ac:dyDescent="0.3">
      <c r="A247" s="3" t="str">
        <f>INDEX('R1. Scenario specifications'!$C$11:$C$49,MATCH($B247,'R1. Scenario specifications'!$A$11:$A$49,0))</f>
        <v>Current 2DS, 2030 start, 'Expect the Unexpected' but with cheap renewables</v>
      </c>
      <c r="B247" s="3" t="s">
        <v>44</v>
      </c>
      <c r="C247" s="3" t="s">
        <v>299</v>
      </c>
      <c r="D247" s="3" t="s">
        <v>324</v>
      </c>
      <c r="E247" s="14">
        <v>0.14080836420000001</v>
      </c>
      <c r="F247" s="14">
        <v>6.1144027199999992E-2</v>
      </c>
      <c r="G247" s="14">
        <v>55.300000000000061</v>
      </c>
      <c r="H247" s="14">
        <v>527.86598912037414</v>
      </c>
      <c r="I247" s="14">
        <v>5287.0366376343291</v>
      </c>
      <c r="J247" s="14">
        <v>14534.901679441016</v>
      </c>
      <c r="K247" s="14">
        <v>21983.120986471138</v>
      </c>
      <c r="L247" s="14">
        <v>25684.384082672303</v>
      </c>
      <c r="M247" s="14">
        <v>30424.804564154219</v>
      </c>
      <c r="N247" s="14">
        <v>34003.829720615904</v>
      </c>
      <c r="O247" s="14">
        <v>37279.758412624971</v>
      </c>
    </row>
    <row r="248" spans="1:15" x14ac:dyDescent="0.3">
      <c r="A248" s="3" t="str">
        <f>INDEX('R1. Scenario specifications'!$C$11:$C$49,MATCH($B248,'R1. Scenario specifications'!$A$11:$A$49,0))</f>
        <v>Current 2DS, 2030 start, 'Expect the Unexpected' but with cheap renewables</v>
      </c>
      <c r="B248" s="3" t="s">
        <v>44</v>
      </c>
      <c r="C248" s="3" t="s">
        <v>302</v>
      </c>
      <c r="D248" s="3" t="s">
        <v>326</v>
      </c>
      <c r="E248" s="14">
        <v>0</v>
      </c>
      <c r="F248" s="14">
        <v>0</v>
      </c>
      <c r="G248" s="14">
        <v>137.17533571710985</v>
      </c>
      <c r="H248" s="14">
        <v>482.8334985499514</v>
      </c>
      <c r="I248" s="14">
        <v>609.28228694855068</v>
      </c>
      <c r="J248" s="14">
        <v>885.65778141267231</v>
      </c>
      <c r="K248" s="14">
        <v>944.53806337015226</v>
      </c>
      <c r="L248" s="14">
        <v>1012.9729468088357</v>
      </c>
      <c r="M248" s="14">
        <v>1081.6615038622697</v>
      </c>
      <c r="N248" s="14">
        <v>1155.5819620018306</v>
      </c>
      <c r="O248" s="14">
        <v>1236.6381674942002</v>
      </c>
    </row>
    <row r="249" spans="1:15" x14ac:dyDescent="0.3">
      <c r="A249" s="3" t="str">
        <f>INDEX('R1. Scenario specifications'!$C$11:$C$49,MATCH($B249,'R1. Scenario specifications'!$A$11:$A$49,0))</f>
        <v>Current 2DS, 2030 start, 'Expect the Unexpected' but with cheap renewables</v>
      </c>
      <c r="B249" s="3" t="s">
        <v>44</v>
      </c>
      <c r="C249" s="3" t="s">
        <v>300</v>
      </c>
      <c r="D249" s="3" t="s">
        <v>327</v>
      </c>
      <c r="E249" s="14">
        <v>12817.718070131599</v>
      </c>
      <c r="F249" s="14">
        <v>17010.52444269968</v>
      </c>
      <c r="G249" s="14">
        <v>24316.999999428546</v>
      </c>
      <c r="H249" s="14">
        <v>20725.30794297465</v>
      </c>
      <c r="I249" s="14">
        <v>17731.824547147145</v>
      </c>
      <c r="J249" s="14">
        <v>15624.842224914097</v>
      </c>
      <c r="K249" s="14">
        <v>12148.371565918553</v>
      </c>
      <c r="L249" s="14">
        <v>11942.586997975231</v>
      </c>
      <c r="M249" s="14">
        <v>10152.86921156003</v>
      </c>
      <c r="N249" s="14">
        <v>8499.6949369955546</v>
      </c>
      <c r="O249" s="14">
        <v>6931.2233574705288</v>
      </c>
    </row>
    <row r="250" spans="1:15" x14ac:dyDescent="0.3">
      <c r="A250" s="3" t="str">
        <f>INDEX('R1. Scenario specifications'!$C$11:$C$49,MATCH($B250,'R1. Scenario specifications'!$A$11:$A$49,0))</f>
        <v>Current 2DS, 2030 start, 'Expect the Unexpected' but with cheap renewables</v>
      </c>
      <c r="B250" s="3" t="s">
        <v>44</v>
      </c>
      <c r="C250" s="3" t="s">
        <v>301</v>
      </c>
      <c r="D250" s="3" t="s">
        <v>328</v>
      </c>
      <c r="E250" s="14">
        <v>0</v>
      </c>
      <c r="F250" s="14">
        <v>0</v>
      </c>
      <c r="G250" s="14">
        <v>94.260834870759595</v>
      </c>
      <c r="H250" s="14">
        <v>1628.0096568892475</v>
      </c>
      <c r="I250" s="14">
        <v>619.75779280598078</v>
      </c>
      <c r="J250" s="14">
        <v>42.796804864008898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</row>
    <row r="251" spans="1:15" x14ac:dyDescent="0.3">
      <c r="A251" s="3" t="str">
        <f>INDEX('R1. Scenario specifications'!$C$11:$C$49,MATCH($B251,'R1. Scenario specifications'!$A$11:$A$49,0))</f>
        <v>Current 2DS, 2030 start, 'Expect the Unexpected' but with cheap renewables</v>
      </c>
      <c r="B251" s="3" t="s">
        <v>44</v>
      </c>
      <c r="C251" s="3" t="s">
        <v>303</v>
      </c>
      <c r="D251" s="3" t="s">
        <v>329</v>
      </c>
      <c r="E251" s="14">
        <v>0</v>
      </c>
      <c r="F251" s="14">
        <v>0</v>
      </c>
      <c r="G251" s="14">
        <v>0</v>
      </c>
      <c r="H251" s="14">
        <v>3040.2453409136619</v>
      </c>
      <c r="I251" s="14">
        <v>2364.1353284385154</v>
      </c>
      <c r="J251" s="14">
        <v>434.20503334059327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</row>
    <row r="252" spans="1:15" x14ac:dyDescent="0.3">
      <c r="A252" s="3" t="str">
        <f>INDEX('R1. Scenario specifications'!$C$11:$C$49,MATCH($B252,'R1. Scenario specifications'!$A$11:$A$49,0))</f>
        <v>Current 2DS, 2020 start, 'Expect the Unexpected' but with cheap CCS</v>
      </c>
      <c r="B252" s="3" t="s">
        <v>45</v>
      </c>
      <c r="C252" s="3" t="s">
        <v>298</v>
      </c>
      <c r="D252" s="3" t="s">
        <v>325</v>
      </c>
      <c r="E252" s="14">
        <v>217.28224258600872</v>
      </c>
      <c r="F252" s="14">
        <v>156.6315521560405</v>
      </c>
      <c r="G252" s="14">
        <v>1062.76238560823</v>
      </c>
      <c r="H252" s="14">
        <v>1665.5252252614507</v>
      </c>
      <c r="I252" s="14">
        <v>2482.817811717216</v>
      </c>
      <c r="J252" s="14">
        <v>3277.898832663876</v>
      </c>
      <c r="K252" s="14">
        <v>2375.2632008900709</v>
      </c>
      <c r="L252" s="14">
        <v>990.92244013735763</v>
      </c>
      <c r="M252" s="14">
        <v>516.98348635227524</v>
      </c>
      <c r="N252" s="14">
        <v>905.03292838926609</v>
      </c>
      <c r="O252" s="14">
        <v>1884.7678435738071</v>
      </c>
    </row>
    <row r="253" spans="1:15" x14ac:dyDescent="0.3">
      <c r="A253" s="3" t="str">
        <f>INDEX('R1. Scenario specifications'!$C$11:$C$49,MATCH($B253,'R1. Scenario specifications'!$A$11:$A$49,0))</f>
        <v>Current 2DS, 2020 start, 'Expect the Unexpected' but with cheap CCS</v>
      </c>
      <c r="B253" s="3" t="s">
        <v>45</v>
      </c>
      <c r="C253" s="3" t="s">
        <v>299</v>
      </c>
      <c r="D253" s="3" t="s">
        <v>324</v>
      </c>
      <c r="E253" s="14">
        <v>0.14080836420000001</v>
      </c>
      <c r="F253" s="14">
        <v>6.1144027199999992E-2</v>
      </c>
      <c r="G253" s="14">
        <v>55.300000000000061</v>
      </c>
      <c r="H253" s="14">
        <v>571.0772213208769</v>
      </c>
      <c r="I253" s="14">
        <v>5572.6998754701035</v>
      </c>
      <c r="J253" s="14">
        <v>14849.282102386791</v>
      </c>
      <c r="K253" s="14">
        <v>22297.941754666845</v>
      </c>
      <c r="L253" s="14">
        <v>25739.706295082175</v>
      </c>
      <c r="M253" s="14">
        <v>29886.35164932557</v>
      </c>
      <c r="N253" s="14">
        <v>33871.321795027827</v>
      </c>
      <c r="O253" s="14">
        <v>37261.63582950714</v>
      </c>
    </row>
    <row r="254" spans="1:15" x14ac:dyDescent="0.3">
      <c r="A254" s="3" t="str">
        <f>INDEX('R1. Scenario specifications'!$C$11:$C$49,MATCH($B254,'R1. Scenario specifications'!$A$11:$A$49,0))</f>
        <v>Current 2DS, 2020 start, 'Expect the Unexpected' but with cheap CCS</v>
      </c>
      <c r="B254" s="3" t="s">
        <v>45</v>
      </c>
      <c r="C254" s="3" t="s">
        <v>302</v>
      </c>
      <c r="D254" s="3" t="s">
        <v>326</v>
      </c>
      <c r="E254" s="14">
        <v>0</v>
      </c>
      <c r="F254" s="14">
        <v>0</v>
      </c>
      <c r="G254" s="14">
        <v>137.17533571710985</v>
      </c>
      <c r="H254" s="14">
        <v>481.68557757966153</v>
      </c>
      <c r="I254" s="14">
        <v>609.38817452037051</v>
      </c>
      <c r="J254" s="14">
        <v>886.59185964381084</v>
      </c>
      <c r="K254" s="14">
        <v>956.54078074868505</v>
      </c>
      <c r="L254" s="14">
        <v>1012.795205138196</v>
      </c>
      <c r="M254" s="14">
        <v>1081.7606432120626</v>
      </c>
      <c r="N254" s="14">
        <v>1158.5325923237733</v>
      </c>
      <c r="O254" s="14">
        <v>1237.3199778812252</v>
      </c>
    </row>
    <row r="255" spans="1:15" x14ac:dyDescent="0.3">
      <c r="A255" s="3" t="str">
        <f>INDEX('R1. Scenario specifications'!$C$11:$C$49,MATCH($B255,'R1. Scenario specifications'!$A$11:$A$49,0))</f>
        <v>Current 2DS, 2020 start, 'Expect the Unexpected' but with cheap CCS</v>
      </c>
      <c r="B255" s="3" t="s">
        <v>45</v>
      </c>
      <c r="C255" s="3" t="s">
        <v>300</v>
      </c>
      <c r="D255" s="3" t="s">
        <v>327</v>
      </c>
      <c r="E255" s="14">
        <v>12817.718070131599</v>
      </c>
      <c r="F255" s="14">
        <v>17010.52444269968</v>
      </c>
      <c r="G255" s="14">
        <v>24316.999999428546</v>
      </c>
      <c r="H255" s="14">
        <v>20961.758362696361</v>
      </c>
      <c r="I255" s="14">
        <v>17716.910075634776</v>
      </c>
      <c r="J255" s="14">
        <v>14976.020785235125</v>
      </c>
      <c r="K255" s="14">
        <v>11703.111377734822</v>
      </c>
      <c r="L255" s="14">
        <v>12043.547139847675</v>
      </c>
      <c r="M255" s="14">
        <v>10862.60785340385</v>
      </c>
      <c r="N255" s="14">
        <v>8819.0433779021168</v>
      </c>
      <c r="O255" s="14">
        <v>7188.8335400255355</v>
      </c>
    </row>
    <row r="256" spans="1:15" x14ac:dyDescent="0.3">
      <c r="A256" s="3" t="str">
        <f>INDEX('R1. Scenario specifications'!$C$11:$C$49,MATCH($B256,'R1. Scenario specifications'!$A$11:$A$49,0))</f>
        <v>Current 2DS, 2020 start, 'Expect the Unexpected' but with cheap CCS</v>
      </c>
      <c r="B256" s="3" t="s">
        <v>45</v>
      </c>
      <c r="C256" s="3" t="s">
        <v>301</v>
      </c>
      <c r="D256" s="3" t="s">
        <v>328</v>
      </c>
      <c r="E256" s="14">
        <v>0</v>
      </c>
      <c r="F256" s="14">
        <v>0</v>
      </c>
      <c r="G256" s="14">
        <v>94.260834870759595</v>
      </c>
      <c r="H256" s="14">
        <v>1624.4498779170683</v>
      </c>
      <c r="I256" s="14">
        <v>604.27516549659424</v>
      </c>
      <c r="J256" s="14">
        <v>38.506856992110897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</row>
    <row r="257" spans="1:15" x14ac:dyDescent="0.3">
      <c r="A257" s="3" t="str">
        <f>INDEX('R1. Scenario specifications'!$C$11:$C$49,MATCH($B257,'R1. Scenario specifications'!$A$11:$A$49,0))</f>
        <v>Current 2DS, 2020 start, 'Expect the Unexpected' but with cheap CCS</v>
      </c>
      <c r="B257" s="3" t="s">
        <v>45</v>
      </c>
      <c r="C257" s="3" t="s">
        <v>303</v>
      </c>
      <c r="D257" s="3" t="s">
        <v>329</v>
      </c>
      <c r="E257" s="14">
        <v>0</v>
      </c>
      <c r="F257" s="14">
        <v>0</v>
      </c>
      <c r="G257" s="14">
        <v>0</v>
      </c>
      <c r="H257" s="14">
        <v>2981.889256779049</v>
      </c>
      <c r="I257" s="14">
        <v>2136.8680372189947</v>
      </c>
      <c r="J257" s="14">
        <v>371.77332343100937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</row>
    <row r="258" spans="1:15" x14ac:dyDescent="0.3">
      <c r="A258" s="3" t="str">
        <f>INDEX('R1. Scenario specifications'!$C$11:$C$49,MATCH($B258,'R1. Scenario specifications'!$A$11:$A$49,0))</f>
        <v>Current 2DS, 2030 start, 'Expect the Unexpected' but with cheap CCS</v>
      </c>
      <c r="B258" s="3" t="s">
        <v>46</v>
      </c>
      <c r="C258" s="3" t="s">
        <v>298</v>
      </c>
      <c r="D258" s="3" t="s">
        <v>325</v>
      </c>
      <c r="E258" s="14">
        <v>217.28224258600872</v>
      </c>
      <c r="F258" s="14">
        <v>156.6315521560405</v>
      </c>
      <c r="G258" s="14">
        <v>1062.76238560823</v>
      </c>
      <c r="H258" s="14">
        <v>1939.5191416210841</v>
      </c>
      <c r="I258" s="14">
        <v>2511.6240430223975</v>
      </c>
      <c r="J258" s="14">
        <v>2861.0198775308345</v>
      </c>
      <c r="K258" s="14">
        <v>2045.0932738653162</v>
      </c>
      <c r="L258" s="14">
        <v>1122.2210420141159</v>
      </c>
      <c r="M258" s="14">
        <v>752.353404524084</v>
      </c>
      <c r="N258" s="14">
        <v>1017.6218530231803</v>
      </c>
      <c r="O258" s="14">
        <v>2063.0242520950987</v>
      </c>
    </row>
    <row r="259" spans="1:15" x14ac:dyDescent="0.3">
      <c r="A259" s="3" t="str">
        <f>INDEX('R1. Scenario specifications'!$C$11:$C$49,MATCH($B259,'R1. Scenario specifications'!$A$11:$A$49,0))</f>
        <v>Current 2DS, 2030 start, 'Expect the Unexpected' but with cheap CCS</v>
      </c>
      <c r="B259" s="3" t="s">
        <v>46</v>
      </c>
      <c r="C259" s="3" t="s">
        <v>299</v>
      </c>
      <c r="D259" s="3" t="s">
        <v>324</v>
      </c>
      <c r="E259" s="14">
        <v>0.14080836420000001</v>
      </c>
      <c r="F259" s="14">
        <v>6.1144027199999992E-2</v>
      </c>
      <c r="G259" s="14">
        <v>55.300000000000061</v>
      </c>
      <c r="H259" s="14">
        <v>527.86598912037414</v>
      </c>
      <c r="I259" s="14">
        <v>5287.0366376343291</v>
      </c>
      <c r="J259" s="14">
        <v>14534.873802718907</v>
      </c>
      <c r="K259" s="14">
        <v>22000.017594029046</v>
      </c>
      <c r="L259" s="14">
        <v>25836.100156791861</v>
      </c>
      <c r="M259" s="14">
        <v>30722.455872292863</v>
      </c>
      <c r="N259" s="14">
        <v>34040.583651679714</v>
      </c>
      <c r="O259" s="14">
        <v>37304.935146643889</v>
      </c>
    </row>
    <row r="260" spans="1:15" x14ac:dyDescent="0.3">
      <c r="A260" s="3" t="str">
        <f>INDEX('R1. Scenario specifications'!$C$11:$C$49,MATCH($B260,'R1. Scenario specifications'!$A$11:$A$49,0))</f>
        <v>Current 2DS, 2030 start, 'Expect the Unexpected' but with cheap CCS</v>
      </c>
      <c r="B260" s="3" t="s">
        <v>46</v>
      </c>
      <c r="C260" s="3" t="s">
        <v>302</v>
      </c>
      <c r="D260" s="3" t="s">
        <v>326</v>
      </c>
      <c r="E260" s="14">
        <v>0</v>
      </c>
      <c r="F260" s="14">
        <v>0</v>
      </c>
      <c r="G260" s="14">
        <v>137.17533571710985</v>
      </c>
      <c r="H260" s="14">
        <v>482.8334985499514</v>
      </c>
      <c r="I260" s="14">
        <v>609.38817452037085</v>
      </c>
      <c r="J260" s="14">
        <v>885.71715120151725</v>
      </c>
      <c r="K260" s="14">
        <v>945.12832791662436</v>
      </c>
      <c r="L260" s="14">
        <v>1012.3451681689545</v>
      </c>
      <c r="M260" s="14">
        <v>1081.7606432120629</v>
      </c>
      <c r="N260" s="14">
        <v>1153.8470405596736</v>
      </c>
      <c r="O260" s="14">
        <v>1218.4695362834154</v>
      </c>
    </row>
    <row r="261" spans="1:15" x14ac:dyDescent="0.3">
      <c r="A261" s="3" t="str">
        <f>INDEX('R1. Scenario specifications'!$C$11:$C$49,MATCH($B261,'R1. Scenario specifications'!$A$11:$A$49,0))</f>
        <v>Current 2DS, 2030 start, 'Expect the Unexpected' but with cheap CCS</v>
      </c>
      <c r="B261" s="3" t="s">
        <v>46</v>
      </c>
      <c r="C261" s="3" t="s">
        <v>300</v>
      </c>
      <c r="D261" s="3" t="s">
        <v>327</v>
      </c>
      <c r="E261" s="14">
        <v>12817.718070131599</v>
      </c>
      <c r="F261" s="14">
        <v>17010.52444269968</v>
      </c>
      <c r="G261" s="14">
        <v>24316.999999428546</v>
      </c>
      <c r="H261" s="14">
        <v>20725.30794297465</v>
      </c>
      <c r="I261" s="14">
        <v>17731.123051208295</v>
      </c>
      <c r="J261" s="14">
        <v>15617.004856227344</v>
      </c>
      <c r="K261" s="14">
        <v>12059.026641826915</v>
      </c>
      <c r="L261" s="14">
        <v>11772.762663490412</v>
      </c>
      <c r="M261" s="14">
        <v>9791.1337122647456</v>
      </c>
      <c r="N261" s="14">
        <v>8368.9189429518101</v>
      </c>
      <c r="O261" s="14">
        <v>6908.9427603061886</v>
      </c>
    </row>
    <row r="262" spans="1:15" x14ac:dyDescent="0.3">
      <c r="A262" s="3" t="str">
        <f>INDEX('R1. Scenario specifications'!$C$11:$C$49,MATCH($B262,'R1. Scenario specifications'!$A$11:$A$49,0))</f>
        <v>Current 2DS, 2030 start, 'Expect the Unexpected' but with cheap CCS</v>
      </c>
      <c r="B262" s="3" t="s">
        <v>46</v>
      </c>
      <c r="C262" s="3" t="s">
        <v>301</v>
      </c>
      <c r="D262" s="3" t="s">
        <v>328</v>
      </c>
      <c r="E262" s="14">
        <v>0</v>
      </c>
      <c r="F262" s="14">
        <v>0</v>
      </c>
      <c r="G262" s="14">
        <v>94.260834870759595</v>
      </c>
      <c r="H262" s="14">
        <v>1628.0096568892475</v>
      </c>
      <c r="I262" s="14">
        <v>619.65190523416072</v>
      </c>
      <c r="J262" s="14">
        <v>42.765311797273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</row>
    <row r="263" spans="1:15" x14ac:dyDescent="0.3">
      <c r="A263" s="3" t="str">
        <f>INDEX('R1. Scenario specifications'!$C$11:$C$49,MATCH($B263,'R1. Scenario specifications'!$A$11:$A$49,0))</f>
        <v>Current 2DS, 2030 start, 'Expect the Unexpected' but with cheap CCS</v>
      </c>
      <c r="B263" s="3" t="s">
        <v>46</v>
      </c>
      <c r="C263" s="3" t="s">
        <v>303</v>
      </c>
      <c r="D263" s="3" t="s">
        <v>329</v>
      </c>
      <c r="E263" s="14">
        <v>0</v>
      </c>
      <c r="F263" s="14">
        <v>0</v>
      </c>
      <c r="G263" s="14">
        <v>0</v>
      </c>
      <c r="H263" s="14">
        <v>3040.2453409136619</v>
      </c>
      <c r="I263" s="14">
        <v>2364.1353284385154</v>
      </c>
      <c r="J263" s="14">
        <v>434.20503334059327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</row>
    <row r="264" spans="1:15" x14ac:dyDescent="0.3">
      <c r="A264" s="3" t="str">
        <f>INDEX('R1. Scenario specifications'!$C$11:$C$49,MATCH($B264,'R1. Scenario specifications'!$A$11:$A$49,0))</f>
        <v>Current 2DS, 2020 start, 'Expect the Unexpected' but with cheap EVs</v>
      </c>
      <c r="B264" s="3" t="s">
        <v>47</v>
      </c>
      <c r="C264" s="3" t="s">
        <v>298</v>
      </c>
      <c r="D264" s="3" t="s">
        <v>325</v>
      </c>
      <c r="E264" s="14">
        <v>217.28224258600872</v>
      </c>
      <c r="F264" s="14">
        <v>156.6315521560405</v>
      </c>
      <c r="G264" s="14">
        <v>1062.76238560823</v>
      </c>
      <c r="H264" s="14">
        <v>818.04366217455447</v>
      </c>
      <c r="I264" s="14">
        <v>1476.8743878704852</v>
      </c>
      <c r="J264" s="14">
        <v>2833.2236312143314</v>
      </c>
      <c r="K264" s="14">
        <v>1921.2463749421436</v>
      </c>
      <c r="L264" s="14">
        <v>729.42145067503441</v>
      </c>
      <c r="M264" s="14">
        <v>441.99760348427083</v>
      </c>
      <c r="N264" s="14">
        <v>855.30569282207375</v>
      </c>
      <c r="O264" s="14">
        <v>1822.2611299939058</v>
      </c>
    </row>
    <row r="265" spans="1:15" x14ac:dyDescent="0.3">
      <c r="A265" s="3" t="str">
        <f>INDEX('R1. Scenario specifications'!$C$11:$C$49,MATCH($B265,'R1. Scenario specifications'!$A$11:$A$49,0))</f>
        <v>Current 2DS, 2020 start, 'Expect the Unexpected' but with cheap EVs</v>
      </c>
      <c r="B265" s="3" t="s">
        <v>47</v>
      </c>
      <c r="C265" s="3" t="s">
        <v>299</v>
      </c>
      <c r="D265" s="3" t="s">
        <v>324</v>
      </c>
      <c r="E265" s="14">
        <v>0.14080836420000001</v>
      </c>
      <c r="F265" s="14">
        <v>6.1144027199999992E-2</v>
      </c>
      <c r="G265" s="14">
        <v>55.300000000000061</v>
      </c>
      <c r="H265" s="14">
        <v>572.74932725899396</v>
      </c>
      <c r="I265" s="14">
        <v>5643.5025690127623</v>
      </c>
      <c r="J265" s="14">
        <v>15839.14367495292</v>
      </c>
      <c r="K265" s="14">
        <v>25575.983542130554</v>
      </c>
      <c r="L265" s="14">
        <v>32201.525097541282</v>
      </c>
      <c r="M265" s="14">
        <v>35211.330175099123</v>
      </c>
      <c r="N265" s="14">
        <v>37518.036007608542</v>
      </c>
      <c r="O265" s="14">
        <v>40476.930723770434</v>
      </c>
    </row>
    <row r="266" spans="1:15" x14ac:dyDescent="0.3">
      <c r="A266" s="3" t="str">
        <f>INDEX('R1. Scenario specifications'!$C$11:$C$49,MATCH($B266,'R1. Scenario specifications'!$A$11:$A$49,0))</f>
        <v>Current 2DS, 2020 start, 'Expect the Unexpected' but with cheap EVs</v>
      </c>
      <c r="B266" s="3" t="s">
        <v>47</v>
      </c>
      <c r="C266" s="3" t="s">
        <v>302</v>
      </c>
      <c r="D266" s="3" t="s">
        <v>326</v>
      </c>
      <c r="E266" s="14">
        <v>0</v>
      </c>
      <c r="F266" s="14">
        <v>0</v>
      </c>
      <c r="G266" s="14">
        <v>137.17533571710985</v>
      </c>
      <c r="H266" s="14">
        <v>500.16208307851946</v>
      </c>
      <c r="I266" s="14">
        <v>644.13114548565295</v>
      </c>
      <c r="J266" s="14">
        <v>920.14684949204627</v>
      </c>
      <c r="K266" s="14">
        <v>1005.0456949190498</v>
      </c>
      <c r="L266" s="14">
        <v>1076.5461208795896</v>
      </c>
      <c r="M266" s="14">
        <v>1141.6453976678717</v>
      </c>
      <c r="N266" s="14">
        <v>1138.1905433044797</v>
      </c>
      <c r="O266" s="14">
        <v>1015.9285534288387</v>
      </c>
    </row>
    <row r="267" spans="1:15" x14ac:dyDescent="0.3">
      <c r="A267" s="3" t="str">
        <f>INDEX('R1. Scenario specifications'!$C$11:$C$49,MATCH($B267,'R1. Scenario specifications'!$A$11:$A$49,0))</f>
        <v>Current 2DS, 2020 start, 'Expect the Unexpected' but with cheap EVs</v>
      </c>
      <c r="B267" s="3" t="s">
        <v>47</v>
      </c>
      <c r="C267" s="3" t="s">
        <v>300</v>
      </c>
      <c r="D267" s="3" t="s">
        <v>327</v>
      </c>
      <c r="E267" s="14">
        <v>12817.718070131599</v>
      </c>
      <c r="F267" s="14">
        <v>17010.52444269968</v>
      </c>
      <c r="G267" s="14">
        <v>24316.999999428546</v>
      </c>
      <c r="H267" s="14">
        <v>8372.5497524554867</v>
      </c>
      <c r="I267" s="14">
        <v>4236.5588467406833</v>
      </c>
      <c r="J267" s="14">
        <v>3889.8038643247824</v>
      </c>
      <c r="K267" s="14">
        <v>5360.0060332513776</v>
      </c>
      <c r="L267" s="14">
        <v>7037.386620000153</v>
      </c>
      <c r="M267" s="14">
        <v>7741.209942781793</v>
      </c>
      <c r="N267" s="14">
        <v>7714.5192243140864</v>
      </c>
      <c r="O267" s="14">
        <v>7105.8239075474221</v>
      </c>
    </row>
    <row r="268" spans="1:15" x14ac:dyDescent="0.3">
      <c r="A268" s="3" t="str">
        <f>INDEX('R1. Scenario specifications'!$C$11:$C$49,MATCH($B268,'R1. Scenario specifications'!$A$11:$A$49,0))</f>
        <v>Current 2DS, 2020 start, 'Expect the Unexpected' but with cheap EVs</v>
      </c>
      <c r="B268" s="3" t="s">
        <v>47</v>
      </c>
      <c r="C268" s="3" t="s">
        <v>301</v>
      </c>
      <c r="D268" s="3" t="s">
        <v>328</v>
      </c>
      <c r="E268" s="14">
        <v>0</v>
      </c>
      <c r="F268" s="14">
        <v>0</v>
      </c>
      <c r="G268" s="14">
        <v>94.260834870759595</v>
      </c>
      <c r="H268" s="14">
        <v>4988.2443779719842</v>
      </c>
      <c r="I268" s="14">
        <v>4105.648974943856</v>
      </c>
      <c r="J268" s="14">
        <v>1239.8621671143851</v>
      </c>
      <c r="K268" s="14">
        <v>142.12297959255187</v>
      </c>
      <c r="L268" s="14">
        <v>214.4467289138326</v>
      </c>
      <c r="M268" s="14">
        <v>182.39150050526061</v>
      </c>
      <c r="N268" s="14">
        <v>165.54710744810092</v>
      </c>
      <c r="O268" s="14">
        <v>40.049438052205389</v>
      </c>
    </row>
    <row r="269" spans="1:15" x14ac:dyDescent="0.3">
      <c r="A269" s="3" t="str">
        <f>INDEX('R1. Scenario specifications'!$C$11:$C$49,MATCH($B269,'R1. Scenario specifications'!$A$11:$A$49,0))</f>
        <v>Current 2DS, 2020 start, 'Expect the Unexpected' but with cheap EVs</v>
      </c>
      <c r="B269" s="3" t="s">
        <v>47</v>
      </c>
      <c r="C269" s="3" t="s">
        <v>303</v>
      </c>
      <c r="D269" s="3" t="s">
        <v>329</v>
      </c>
      <c r="E269" s="14">
        <v>0</v>
      </c>
      <c r="F269" s="14">
        <v>0</v>
      </c>
      <c r="G269" s="14">
        <v>0</v>
      </c>
      <c r="H269" s="14">
        <v>13810.919368588373</v>
      </c>
      <c r="I269" s="14">
        <v>13771.063902451016</v>
      </c>
      <c r="J269" s="14">
        <v>10837.811283542564</v>
      </c>
      <c r="K269" s="14">
        <v>4732.1365549824877</v>
      </c>
      <c r="L269" s="14">
        <v>702.972295232497</v>
      </c>
      <c r="M269" s="14">
        <v>0</v>
      </c>
      <c r="N269" s="14">
        <v>0</v>
      </c>
      <c r="O269" s="14">
        <v>0</v>
      </c>
    </row>
    <row r="270" spans="1:15" x14ac:dyDescent="0.3">
      <c r="A270" s="3" t="str">
        <f>INDEX('R1. Scenario specifications'!$C$11:$C$49,MATCH($B270,'R1. Scenario specifications'!$A$11:$A$49,0))</f>
        <v>Current 2DS, 2030 start, 'Expect the Unexpected' but with cheap EVs</v>
      </c>
      <c r="B270" s="3" t="s">
        <v>48</v>
      </c>
      <c r="C270" s="3" t="s">
        <v>298</v>
      </c>
      <c r="D270" s="3" t="s">
        <v>325</v>
      </c>
      <c r="E270" s="14">
        <v>217.28224258600872</v>
      </c>
      <c r="F270" s="14">
        <v>156.6315521560405</v>
      </c>
      <c r="G270" s="14">
        <v>1062.76238560823</v>
      </c>
      <c r="H270" s="14">
        <v>1939.5191416210841</v>
      </c>
      <c r="I270" s="14">
        <v>1924.5356880936126</v>
      </c>
      <c r="J270" s="14">
        <v>2522.5550352013843</v>
      </c>
      <c r="K270" s="14">
        <v>1924.8036678026524</v>
      </c>
      <c r="L270" s="14">
        <v>864.15534372216155</v>
      </c>
      <c r="M270" s="14">
        <v>538.91397049071747</v>
      </c>
      <c r="N270" s="14">
        <v>955.31080848257852</v>
      </c>
      <c r="O270" s="14">
        <v>2005.7369435819849</v>
      </c>
    </row>
    <row r="271" spans="1:15" x14ac:dyDescent="0.3">
      <c r="A271" s="3" t="str">
        <f>INDEX('R1. Scenario specifications'!$C$11:$C$49,MATCH($B271,'R1. Scenario specifications'!$A$11:$A$49,0))</f>
        <v>Current 2DS, 2030 start, 'Expect the Unexpected' but with cheap EVs</v>
      </c>
      <c r="B271" s="3" t="s">
        <v>48</v>
      </c>
      <c r="C271" s="3" t="s">
        <v>299</v>
      </c>
      <c r="D271" s="3" t="s">
        <v>324</v>
      </c>
      <c r="E271" s="14">
        <v>0.14080836420000001</v>
      </c>
      <c r="F271" s="14">
        <v>6.1144027199999992E-2</v>
      </c>
      <c r="G271" s="14">
        <v>55.300000000000061</v>
      </c>
      <c r="H271" s="14">
        <v>527.86598912037414</v>
      </c>
      <c r="I271" s="14">
        <v>5338.9020000610299</v>
      </c>
      <c r="J271" s="14">
        <v>15122.076582651205</v>
      </c>
      <c r="K271" s="14">
        <v>23152.47850300245</v>
      </c>
      <c r="L271" s="14">
        <v>28324.252062593452</v>
      </c>
      <c r="M271" s="14">
        <v>33849.029798592361</v>
      </c>
      <c r="N271" s="14">
        <v>36785.681533737072</v>
      </c>
      <c r="O271" s="14">
        <v>39502.635282886549</v>
      </c>
    </row>
    <row r="272" spans="1:15" x14ac:dyDescent="0.3">
      <c r="A272" s="3" t="str">
        <f>INDEX('R1. Scenario specifications'!$C$11:$C$49,MATCH($B272,'R1. Scenario specifications'!$A$11:$A$49,0))</f>
        <v>Current 2DS, 2030 start, 'Expect the Unexpected' but with cheap EVs</v>
      </c>
      <c r="B272" s="3" t="s">
        <v>48</v>
      </c>
      <c r="C272" s="3" t="s">
        <v>302</v>
      </c>
      <c r="D272" s="3" t="s">
        <v>326</v>
      </c>
      <c r="E272" s="14">
        <v>0</v>
      </c>
      <c r="F272" s="14">
        <v>0</v>
      </c>
      <c r="G272" s="14">
        <v>137.17533571710985</v>
      </c>
      <c r="H272" s="14">
        <v>482.8334985499514</v>
      </c>
      <c r="I272" s="14">
        <v>636.20502423945038</v>
      </c>
      <c r="J272" s="14">
        <v>907.99271834294314</v>
      </c>
      <c r="K272" s="14">
        <v>985.69002329362672</v>
      </c>
      <c r="L272" s="14">
        <v>1048.4885428090397</v>
      </c>
      <c r="M272" s="14">
        <v>1125.1367892387302</v>
      </c>
      <c r="N272" s="14">
        <v>1115.4055584550722</v>
      </c>
      <c r="O272" s="14">
        <v>1160.6084448884526</v>
      </c>
    </row>
    <row r="273" spans="1:15" x14ac:dyDescent="0.3">
      <c r="A273" s="3" t="str">
        <f>INDEX('R1. Scenario specifications'!$C$11:$C$49,MATCH($B273,'R1. Scenario specifications'!$A$11:$A$49,0))</f>
        <v>Current 2DS, 2030 start, 'Expect the Unexpected' but with cheap EVs</v>
      </c>
      <c r="B273" s="3" t="s">
        <v>48</v>
      </c>
      <c r="C273" s="3" t="s">
        <v>300</v>
      </c>
      <c r="D273" s="3" t="s">
        <v>327</v>
      </c>
      <c r="E273" s="14">
        <v>12817.718070131599</v>
      </c>
      <c r="F273" s="14">
        <v>17010.52444269968</v>
      </c>
      <c r="G273" s="14">
        <v>24316.999999428546</v>
      </c>
      <c r="H273" s="14">
        <v>20725.30794297465</v>
      </c>
      <c r="I273" s="14">
        <v>11175.780981653506</v>
      </c>
      <c r="J273" s="14">
        <v>9837.5490065801187</v>
      </c>
      <c r="K273" s="14">
        <v>10907.935614277594</v>
      </c>
      <c r="L273" s="14">
        <v>10398.723457773507</v>
      </c>
      <c r="M273" s="14">
        <v>8301.7331618006847</v>
      </c>
      <c r="N273" s="14">
        <v>7607.1089091465537</v>
      </c>
      <c r="O273" s="14">
        <v>6831.1662064403235</v>
      </c>
    </row>
    <row r="274" spans="1:15" x14ac:dyDescent="0.3">
      <c r="A274" s="3" t="str">
        <f>INDEX('R1. Scenario specifications'!$C$11:$C$49,MATCH($B274,'R1. Scenario specifications'!$A$11:$A$49,0))</f>
        <v>Current 2DS, 2030 start, 'Expect the Unexpected' but with cheap EVs</v>
      </c>
      <c r="B274" s="3" t="s">
        <v>48</v>
      </c>
      <c r="C274" s="3" t="s">
        <v>301</v>
      </c>
      <c r="D274" s="3" t="s">
        <v>328</v>
      </c>
      <c r="E274" s="14">
        <v>0</v>
      </c>
      <c r="F274" s="14">
        <v>0</v>
      </c>
      <c r="G274" s="14">
        <v>94.260834870759595</v>
      </c>
      <c r="H274" s="14">
        <v>1628.0096568892475</v>
      </c>
      <c r="I274" s="14">
        <v>2671.0742102893023</v>
      </c>
      <c r="J274" s="14">
        <v>652.89904558809064</v>
      </c>
      <c r="K274" s="14">
        <v>7.2559422256374599</v>
      </c>
      <c r="L274" s="14">
        <v>161.7076632611315</v>
      </c>
      <c r="M274" s="14">
        <v>166.27204815118279</v>
      </c>
      <c r="N274" s="14">
        <v>148.24210409877631</v>
      </c>
      <c r="O274" s="14">
        <v>34.913847170176162</v>
      </c>
    </row>
    <row r="275" spans="1:15" x14ac:dyDescent="0.3">
      <c r="A275" s="3" t="str">
        <f>INDEX('R1. Scenario specifications'!$C$11:$C$49,MATCH($B275,'R1. Scenario specifications'!$A$11:$A$49,0))</f>
        <v>Current 2DS, 2030 start, 'Expect the Unexpected' but with cheap EVs</v>
      </c>
      <c r="B275" s="3" t="s">
        <v>48</v>
      </c>
      <c r="C275" s="3" t="s">
        <v>303</v>
      </c>
      <c r="D275" s="3" t="s">
        <v>329</v>
      </c>
      <c r="E275" s="14">
        <v>0</v>
      </c>
      <c r="F275" s="14">
        <v>0</v>
      </c>
      <c r="G275" s="14">
        <v>0</v>
      </c>
      <c r="H275" s="14">
        <v>3040.2453409136619</v>
      </c>
      <c r="I275" s="14">
        <v>7813.9581553186026</v>
      </c>
      <c r="J275" s="14">
        <v>6047.3313851355315</v>
      </c>
      <c r="K275" s="14">
        <v>1187.371701545027</v>
      </c>
      <c r="L275" s="14">
        <v>0</v>
      </c>
      <c r="M275" s="14">
        <v>0</v>
      </c>
      <c r="N275" s="14">
        <v>0</v>
      </c>
      <c r="O275" s="14">
        <v>0</v>
      </c>
    </row>
    <row r="276" spans="1:15" x14ac:dyDescent="0.3">
      <c r="A276" s="3" t="str">
        <f>INDEX('R1. Scenario specifications'!$C$11:$C$49,MATCH($B276,'R1. Scenario specifications'!$A$11:$A$49,0))</f>
        <v>Current 2DS, 2020 start, 'Expect the Unexpected' but with cheap energy efficiency</v>
      </c>
      <c r="B276" s="3" t="s">
        <v>49</v>
      </c>
      <c r="C276" s="3" t="s">
        <v>298</v>
      </c>
      <c r="D276" s="3" t="s">
        <v>325</v>
      </c>
      <c r="E276" s="14">
        <v>217.28224258600872</v>
      </c>
      <c r="F276" s="14">
        <v>156.6315521560405</v>
      </c>
      <c r="G276" s="14">
        <v>1062.76238560823</v>
      </c>
      <c r="H276" s="14">
        <v>1194.6238699337123</v>
      </c>
      <c r="I276" s="14">
        <v>2153.7396215278313</v>
      </c>
      <c r="J276" s="14">
        <v>3244.6145843838153</v>
      </c>
      <c r="K276" s="14">
        <v>2529.5271020528535</v>
      </c>
      <c r="L276" s="14">
        <v>1034.0724077882765</v>
      </c>
      <c r="M276" s="14">
        <v>570.65698260633565</v>
      </c>
      <c r="N276" s="14">
        <v>808.66811776964403</v>
      </c>
      <c r="O276" s="14">
        <v>1747.8337895787336</v>
      </c>
    </row>
    <row r="277" spans="1:15" x14ac:dyDescent="0.3">
      <c r="A277" s="3" t="str">
        <f>INDEX('R1. Scenario specifications'!$C$11:$C$49,MATCH($B277,'R1. Scenario specifications'!$A$11:$A$49,0))</f>
        <v>Current 2DS, 2020 start, 'Expect the Unexpected' but with cheap energy efficiency</v>
      </c>
      <c r="B277" s="3" t="s">
        <v>49</v>
      </c>
      <c r="C277" s="3" t="s">
        <v>299</v>
      </c>
      <c r="D277" s="3" t="s">
        <v>324</v>
      </c>
      <c r="E277" s="14">
        <v>0.14080836420000001</v>
      </c>
      <c r="F277" s="14">
        <v>6.1144027199999992E-2</v>
      </c>
      <c r="G277" s="14">
        <v>55.300000000000061</v>
      </c>
      <c r="H277" s="14">
        <v>570.53912688438425</v>
      </c>
      <c r="I277" s="14">
        <v>4836.3281666884504</v>
      </c>
      <c r="J277" s="14">
        <v>12120.557237248911</v>
      </c>
      <c r="K277" s="14">
        <v>17666.523282787999</v>
      </c>
      <c r="L277" s="14">
        <v>20001.59806870178</v>
      </c>
      <c r="M277" s="14">
        <v>22064.968435356826</v>
      </c>
      <c r="N277" s="14">
        <v>25131.717419487166</v>
      </c>
      <c r="O277" s="14">
        <v>28589.332836589765</v>
      </c>
    </row>
    <row r="278" spans="1:15" x14ac:dyDescent="0.3">
      <c r="A278" s="3" t="str">
        <f>INDEX('R1. Scenario specifications'!$C$11:$C$49,MATCH($B278,'R1. Scenario specifications'!$A$11:$A$49,0))</f>
        <v>Current 2DS, 2020 start, 'Expect the Unexpected' but with cheap energy efficiency</v>
      </c>
      <c r="B278" s="3" t="s">
        <v>49</v>
      </c>
      <c r="C278" s="3" t="s">
        <v>302</v>
      </c>
      <c r="D278" s="3" t="s">
        <v>326</v>
      </c>
      <c r="E278" s="14">
        <v>0</v>
      </c>
      <c r="F278" s="14">
        <v>0</v>
      </c>
      <c r="G278" s="14">
        <v>137.17533571710985</v>
      </c>
      <c r="H278" s="14">
        <v>332.68370772900681</v>
      </c>
      <c r="I278" s="14">
        <v>503.20630977270491</v>
      </c>
      <c r="J278" s="14">
        <v>700.86100341035694</v>
      </c>
      <c r="K278" s="14">
        <v>753.9276873354263</v>
      </c>
      <c r="L278" s="14">
        <v>797.67074088437471</v>
      </c>
      <c r="M278" s="14">
        <v>850.35084683829245</v>
      </c>
      <c r="N278" s="14">
        <v>904.79898383201885</v>
      </c>
      <c r="O278" s="14">
        <v>976.39813261016843</v>
      </c>
    </row>
    <row r="279" spans="1:15" x14ac:dyDescent="0.3">
      <c r="A279" s="3" t="str">
        <f>INDEX('R1. Scenario specifications'!$C$11:$C$49,MATCH($B279,'R1. Scenario specifications'!$A$11:$A$49,0))</f>
        <v>Current 2DS, 2020 start, 'Expect the Unexpected' but with cheap energy efficiency</v>
      </c>
      <c r="B279" s="3" t="s">
        <v>49</v>
      </c>
      <c r="C279" s="3" t="s">
        <v>300</v>
      </c>
      <c r="D279" s="3" t="s">
        <v>327</v>
      </c>
      <c r="E279" s="14">
        <v>12817.718070131599</v>
      </c>
      <c r="F279" s="14">
        <v>17010.52444269968</v>
      </c>
      <c r="G279" s="14">
        <v>24316.999999428546</v>
      </c>
      <c r="H279" s="14">
        <v>15786.881312685828</v>
      </c>
      <c r="I279" s="14">
        <v>15471.838433216564</v>
      </c>
      <c r="J279" s="14">
        <v>11860.139161918916</v>
      </c>
      <c r="K279" s="14">
        <v>9645.2358003649879</v>
      </c>
      <c r="L279" s="14">
        <v>10820.881022914922</v>
      </c>
      <c r="M279" s="14">
        <v>11230.032877023892</v>
      </c>
      <c r="N279" s="14">
        <v>9955.8833942872388</v>
      </c>
      <c r="O279" s="14">
        <v>7648.1246473733236</v>
      </c>
    </row>
    <row r="280" spans="1:15" x14ac:dyDescent="0.3">
      <c r="A280" s="3" t="str">
        <f>INDEX('R1. Scenario specifications'!$C$11:$C$49,MATCH($B280,'R1. Scenario specifications'!$A$11:$A$49,0))</f>
        <v>Current 2DS, 2020 start, 'Expect the Unexpected' but with cheap energy efficiency</v>
      </c>
      <c r="B280" s="3" t="s">
        <v>49</v>
      </c>
      <c r="C280" s="3" t="s">
        <v>301</v>
      </c>
      <c r="D280" s="3" t="s">
        <v>328</v>
      </c>
      <c r="E280" s="14">
        <v>0</v>
      </c>
      <c r="F280" s="14">
        <v>0</v>
      </c>
      <c r="G280" s="14">
        <v>94.260834870759595</v>
      </c>
      <c r="H280" s="14">
        <v>1137.8413634285034</v>
      </c>
      <c r="I280" s="14">
        <v>506.21417530960048</v>
      </c>
      <c r="J280" s="14">
        <v>52.386265788721957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</row>
    <row r="281" spans="1:15" x14ac:dyDescent="0.3">
      <c r="A281" s="3" t="str">
        <f>INDEX('R1. Scenario specifications'!$C$11:$C$49,MATCH($B281,'R1. Scenario specifications'!$A$11:$A$49,0))</f>
        <v>Current 2DS, 2020 start, 'Expect the Unexpected' but with cheap energy efficiency</v>
      </c>
      <c r="B281" s="3" t="s">
        <v>49</v>
      </c>
      <c r="C281" s="3" t="s">
        <v>303</v>
      </c>
      <c r="D281" s="3" t="s">
        <v>329</v>
      </c>
      <c r="E281" s="14">
        <v>0</v>
      </c>
      <c r="F281" s="14">
        <v>0</v>
      </c>
      <c r="G281" s="14">
        <v>0</v>
      </c>
      <c r="H281" s="14">
        <v>1962.1425540759597</v>
      </c>
      <c r="I281" s="14">
        <v>1423.595322298931</v>
      </c>
      <c r="J281" s="14">
        <v>249.83719073601529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</row>
  </sheetData>
  <mergeCells count="2">
    <mergeCell ref="C37:N37"/>
    <mergeCell ref="O37:Z37"/>
  </mergeCells>
  <conditionalFormatting sqref="A1:XFD12 N19:XFD19 A3268:XFD1048576 A314:A3267 E322:XFD3267 A282:B313 D282:E313 C89:C331 E314:E321 H282:XFD321 B89:B281 B87:C88 A87:A281 A37:C37 A36:N36 AA36:XFD37 E47:XFD281 A47:C86 A38:XFD46 A20:XFD30 A32:XFD35 A31:N31 P31:XFD31 A14:XFD18 A13:E13 J13:XFD13">
    <cfRule type="expression" dxfId="88" priority="5">
      <formula>_xlfn.ISFORMULA(A1)</formula>
    </cfRule>
  </conditionalFormatting>
  <conditionalFormatting sqref="A19:M19">
    <cfRule type="expression" dxfId="87" priority="4">
      <formula>_xlfn.ISFORMULA(A19)</formula>
    </cfRule>
  </conditionalFormatting>
  <conditionalFormatting sqref="G282:G313 F282:F321">
    <cfRule type="expression" dxfId="86" priority="3">
      <formula>_xlfn.ISFORMULA(F282)</formula>
    </cfRule>
  </conditionalFormatting>
  <conditionalFormatting sqref="O37 O36:Z36">
    <cfRule type="expression" dxfId="85" priority="2">
      <formula>_xlfn.ISFORMULA(O36)</formula>
    </cfRule>
  </conditionalFormatting>
  <conditionalFormatting sqref="F13:I13">
    <cfRule type="expression" dxfId="84" priority="1">
      <formula>_xlfn.ISFORMULA(F13)</formula>
    </cfRule>
  </conditionalFormatting>
  <dataValidations disablePrompts="1" count="1">
    <dataValidation type="list" allowBlank="1" showInputMessage="1" showErrorMessage="1" sqref="B22" xr:uid="{E3394B8F-9369-41FA-B92F-8FEFF485F68E}">
      <formula1>$D$48:$D$53</formula1>
    </dataValidation>
  </dataValidations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63EA9FAF-0A91-4469-BE13-0FE61EE4ECCB}">
          <x14:formula1>
            <xm:f>'R1. Scenario specifications'!$A$11:$A$49</xm:f>
          </x14:formula1>
          <xm:sqref>B20:M20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38EA4-578C-4AD7-92B1-CE0ABC4ADD97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D7E26-1027-4F00-9495-5FF6421CEFCA}">
  <sheetPr>
    <tabColor theme="5" tint="0.39997558519241921"/>
  </sheetPr>
  <dimension ref="A1:AB90"/>
  <sheetViews>
    <sheetView workbookViewId="0"/>
  </sheetViews>
  <sheetFormatPr defaultColWidth="15.77734375" defaultRowHeight="14.4" x14ac:dyDescent="0.3"/>
  <cols>
    <col min="1" max="2" width="15.77734375" style="3" customWidth="1"/>
    <col min="3" max="15" width="12.77734375" style="3" customWidth="1"/>
    <col min="16" max="16" width="15.77734375" style="3" customWidth="1"/>
    <col min="17" max="16384" width="15.77734375" style="3"/>
  </cols>
  <sheetData>
    <row r="1" spans="1:18" s="13" customFormat="1" ht="36.6" x14ac:dyDescent="0.7">
      <c r="A1" s="13" t="s">
        <v>473</v>
      </c>
    </row>
    <row r="2" spans="1:18" s="5" customFormat="1" x14ac:dyDescent="0.3">
      <c r="A2" s="5" t="s">
        <v>5</v>
      </c>
      <c r="B2" s="5" t="s">
        <v>474</v>
      </c>
    </row>
    <row r="3" spans="1:18" s="5" customFormat="1" x14ac:dyDescent="0.3">
      <c r="A3" s="5" t="s">
        <v>6</v>
      </c>
      <c r="B3" s="5" t="s">
        <v>475</v>
      </c>
    </row>
    <row r="4" spans="1:18" s="5" customFormat="1" x14ac:dyDescent="0.3">
      <c r="A4" s="5" t="s">
        <v>4</v>
      </c>
      <c r="B4" s="5" t="s">
        <v>476</v>
      </c>
    </row>
    <row r="5" spans="1:18" s="5" customFormat="1" x14ac:dyDescent="0.3">
      <c r="A5" s="5" t="s">
        <v>2</v>
      </c>
      <c r="B5" s="5" t="s">
        <v>477</v>
      </c>
    </row>
    <row r="6" spans="1:18" s="5" customFormat="1" x14ac:dyDescent="0.3">
      <c r="A6" s="5" t="s">
        <v>478</v>
      </c>
      <c r="B6" s="5" t="s">
        <v>479</v>
      </c>
      <c r="C6" s="5" t="s">
        <v>480</v>
      </c>
      <c r="D6" s="5" t="s">
        <v>481</v>
      </c>
    </row>
    <row r="7" spans="1:18" s="5" customFormat="1" x14ac:dyDescent="0.3">
      <c r="B7" s="51">
        <f>'R2. Unit conversion factors'!$E$9*'R2. Unit conversion factors'!$E$13</f>
        <v>3.582688455E-2</v>
      </c>
      <c r="C7" s="5" t="s">
        <v>482</v>
      </c>
      <c r="D7" s="5" t="s">
        <v>483</v>
      </c>
    </row>
    <row r="8" spans="1:18" s="5" customFormat="1" x14ac:dyDescent="0.3">
      <c r="B8" s="51">
        <f>'R2. Unit conversion factors'!$E$9*'R2. Unit conversion factors'!$E$10/365.25</f>
        <v>4.7932660506776182E-4</v>
      </c>
      <c r="C8" s="5" t="s">
        <v>482</v>
      </c>
      <c r="D8" s="5" t="s">
        <v>484</v>
      </c>
    </row>
    <row r="9" spans="1:18" s="5" customFormat="1" x14ac:dyDescent="0.3">
      <c r="B9" s="51">
        <f>'R2. Unit conversion factors'!$E$11*'R2. Unit conversion factors'!$E$12</f>
        <v>2.653887936E-2</v>
      </c>
      <c r="C9" s="5" t="s">
        <v>482</v>
      </c>
      <c r="D9" s="5" t="s">
        <v>485</v>
      </c>
    </row>
    <row r="10" spans="1:18" s="5" customFormat="1" x14ac:dyDescent="0.3">
      <c r="B10" s="51">
        <f>B7*10^3</f>
        <v>35.826884550000003</v>
      </c>
      <c r="C10" s="5" t="s">
        <v>486</v>
      </c>
      <c r="D10" s="5" t="s">
        <v>483</v>
      </c>
    </row>
    <row r="11" spans="1:18" s="5" customFormat="1" x14ac:dyDescent="0.3">
      <c r="B11" s="51">
        <f t="shared" ref="B11:B12" si="0">B8*10^3</f>
        <v>0.47932660506776181</v>
      </c>
      <c r="C11" s="5" t="s">
        <v>486</v>
      </c>
      <c r="D11" s="5" t="s">
        <v>484</v>
      </c>
    </row>
    <row r="12" spans="1:18" s="5" customFormat="1" x14ac:dyDescent="0.3">
      <c r="B12" s="51">
        <f t="shared" si="0"/>
        <v>26.538879359999999</v>
      </c>
      <c r="C12" s="5" t="s">
        <v>486</v>
      </c>
      <c r="D12" s="5" t="s">
        <v>485</v>
      </c>
    </row>
    <row r="13" spans="1:18" ht="15" thickBot="1" x14ac:dyDescent="0.35"/>
    <row r="14" spans="1:18" s="15" customFormat="1" ht="15" thickBot="1" x14ac:dyDescent="0.35">
      <c r="A14" s="15" t="s">
        <v>487</v>
      </c>
    </row>
    <row r="15" spans="1:18" x14ac:dyDescent="0.3">
      <c r="A15" s="3" t="s">
        <v>8</v>
      </c>
      <c r="B15" s="3" t="s">
        <v>86</v>
      </c>
      <c r="C15" s="3" t="s">
        <v>252</v>
      </c>
      <c r="D15" s="3" t="s">
        <v>480</v>
      </c>
      <c r="E15" s="3" t="s">
        <v>481</v>
      </c>
      <c r="F15" s="3">
        <v>2014</v>
      </c>
      <c r="G15" s="3">
        <v>2015</v>
      </c>
      <c r="H15" s="3">
        <v>2016</v>
      </c>
      <c r="I15" s="3">
        <v>2017</v>
      </c>
      <c r="J15" s="3">
        <v>2020</v>
      </c>
      <c r="K15" s="3">
        <v>2025</v>
      </c>
      <c r="L15" s="3">
        <v>2030</v>
      </c>
      <c r="M15" s="3">
        <v>2035</v>
      </c>
      <c r="N15" s="3">
        <v>2040</v>
      </c>
      <c r="O15" s="3">
        <v>2045</v>
      </c>
      <c r="P15" s="3">
        <v>2050</v>
      </c>
      <c r="Q15" s="3">
        <v>2055</v>
      </c>
      <c r="R15" s="3">
        <v>2060</v>
      </c>
    </row>
    <row r="16" spans="1:18" x14ac:dyDescent="0.3">
      <c r="A16" s="3" t="s">
        <v>368</v>
      </c>
      <c r="B16" s="3" t="str">
        <f>INDEX('R1. Scenario specifications'!$C$11:$C$59,MATCH($A16,'R1. Scenario specifications'!$A$11:$A$59,0))</f>
        <v>Current Policies Scenario, World Energy Outlook 2018</v>
      </c>
      <c r="C16" s="3" t="s">
        <v>254</v>
      </c>
      <c r="D16" s="3" t="str">
        <f t="array" ref="D16">INDEX($F$49:$F$90,MATCH($A16&amp;$C16,$B$49:$B$90&amp;$D$49:$D$90,0))</f>
        <v>Mtce</v>
      </c>
      <c r="E16" s="3" t="str">
        <f>_xlfn.IFS($C16="Coal","Mtce",$C16="Oil","Mb/day",$C16="Gas","bcm")</f>
        <v>Mtce</v>
      </c>
      <c r="F16" s="34" t="str">
        <f t="array" ref="F16">IF(SUM(IF(($B$49:$B$90=$A16)*($D$49:$D$90=$C16)*($G$48:$S$48=F$15),$G$49:$S$90))=0,"",SUM(IF(($B$49:$B$90=$A16)*($D$49:$D$90=$C16)*($G$48:$S$48=F$15),$G$49:$S$90))*IF($E16=$D16,1,INDEX($B$7:$B$12,MATCH($D16&amp;$E16,$C$7:$C$12&amp;$D$7:$D$12,0))))</f>
        <v/>
      </c>
      <c r="G16" s="34" t="str">
        <f t="array" ref="G16">IF(SUM(IF(($B$49:$B$90=$A16)*($D$49:$D$90=$C16)*($G$48:$S$48=G$15),$G$49:$S$90))=0,"",SUM(IF(($B$49:$B$90=$A16)*($D$49:$D$90=$C16)*($G$48:$S$48=G$15),$G$49:$S$90))*IF($E16=$D16,1,INDEX($B$7:$B$12,MATCH($D16&amp;$E16,$C$7:$C$12&amp;$D$7:$D$12,0))))</f>
        <v/>
      </c>
      <c r="H16" s="34">
        <f t="array" ref="H16">IF(SUM(IF(($B$49:$B$90=$A16)*($D$49:$D$90=$C16)*($G$48:$S$48=H$15),$G$49:$S$90))=0,"",SUM(IF(($B$49:$B$90=$A16)*($D$49:$D$90=$C16)*($G$48:$S$48=H$15),$G$49:$S$90))*IF($E16=$D16,1,INDEX($B$7:$B$12,MATCH($D16&amp;$E16,$C$7:$C$12&amp;$D$7:$D$12,0))))</f>
        <v>5224.5519999999997</v>
      </c>
      <c r="I16" s="34">
        <f t="array" ref="I16">IF(SUM(IF(($B$49:$B$90=$A16)*($D$49:$D$90=$C16)*($G$48:$S$48=I$15),$G$49:$S$90))=0,"",SUM(IF(($B$49:$B$90=$A16)*($D$49:$D$90=$C16)*($G$48:$S$48=I$15),$G$49:$S$90))*IF($E16=$D16,1,INDEX($B$7:$B$12,MATCH($D16&amp;$E16,$C$7:$C$12&amp;$D$7:$D$12,0))))</f>
        <v>5359.8919999999998</v>
      </c>
      <c r="J16" s="34">
        <f t="array" ref="J16">IF(SUM(IF(($B$49:$B$90=$A16)*($D$49:$D$90=$C16)*($G$48:$S$48=J$15),$G$49:$S$90))=0,"",SUM(IF(($B$49:$B$90=$A16)*($D$49:$D$90=$C16)*($G$48:$S$48=J$15),$G$49:$S$90))*IF($E16=$D16,1,INDEX($B$7:$B$12,MATCH($D16&amp;$E16,$C$7:$C$12&amp;$D$7:$D$12,0))))</f>
        <v>5491.5170000000007</v>
      </c>
      <c r="K16" s="34">
        <f t="array" ref="K16">IF(SUM(IF(($B$49:$B$90=$A16)*($D$49:$D$90=$C16)*($G$48:$S$48=K$15),$G$49:$S$90))=0,"",SUM(IF(($B$49:$B$90=$A16)*($D$49:$D$90=$C16)*($G$48:$S$48=K$15),$G$49:$S$90))*IF($E16=$D16,1,INDEX($B$7:$B$12,MATCH($D16&amp;$E16,$C$7:$C$12&amp;$D$7:$D$12,0))))</f>
        <v>5710.8919999999998</v>
      </c>
      <c r="L16" s="34">
        <f t="array" ref="L16">IF(SUM(IF(($B$49:$B$90=$A16)*($D$49:$D$90=$C16)*($G$48:$S$48=L$15),$G$49:$S$90))=0,"",SUM(IF(($B$49:$B$90=$A16)*($D$49:$D$90=$C16)*($G$48:$S$48=L$15),$G$49:$S$90))*IF($E16=$D16,1,INDEX($B$7:$B$12,MATCH($D16&amp;$E16,$C$7:$C$12&amp;$D$7:$D$12,0))))</f>
        <v>6074.0859999999993</v>
      </c>
      <c r="M16" s="34">
        <f t="array" ref="M16">IF(SUM(IF(($B$49:$B$90=$A16)*($D$49:$D$90=$C16)*($G$48:$S$48=M$15),$G$49:$S$90))=0,"",SUM(IF(($B$49:$B$90=$A16)*($D$49:$D$90=$C16)*($G$48:$S$48=M$15),$G$49:$S$90))*IF($E16=$D16,1,INDEX($B$7:$B$12,MATCH($D16&amp;$E16,$C$7:$C$12&amp;$D$7:$D$12,0))))</f>
        <v>6457.482</v>
      </c>
      <c r="N16" s="34">
        <f t="array" ref="N16">IF(SUM(IF(($B$49:$B$90=$A16)*($D$49:$D$90=$C16)*($G$48:$S$48=N$15),$G$49:$S$90))=0,"",SUM(IF(($B$49:$B$90=$A16)*($D$49:$D$90=$C16)*($G$48:$S$48=N$15),$G$49:$S$90))*IF($E16=$D16,1,INDEX($B$7:$B$12,MATCH($D16&amp;$E16,$C$7:$C$12&amp;$D$7:$D$12,0))))</f>
        <v>6813.43</v>
      </c>
      <c r="O16" s="34">
        <f t="array" ref="O16">IF(SUM(IF(($B$49:$B$90=$A16)*($D$49:$D$90=$C16)*($G$48:$S$48=O$15),$G$49:$S$90))=0,"",SUM(IF(($B$49:$B$90=$A16)*($D$49:$D$90=$C16)*($G$48:$S$48=O$15),$G$49:$S$90))*IF($E16=$D16,1,INDEX($B$7:$B$12,MATCH($D16&amp;$E16,$C$7:$C$12&amp;$D$7:$D$12,0))))</f>
        <v>7169.3779999999942</v>
      </c>
      <c r="P16" s="34">
        <f t="array" ref="P16">IF(SUM(IF(($B$49:$B$90=$A16)*($D$49:$D$90=$C16)*($G$48:$S$48=P$15),$G$49:$S$90))=0,"",SUM(IF(($B$49:$B$90=$A16)*($D$49:$D$90=$C16)*($G$48:$S$48=P$15),$G$49:$S$90))*IF($E16=$D16,1,INDEX($B$7:$B$12,MATCH($D16&amp;$E16,$C$7:$C$12&amp;$D$7:$D$12,0))))</f>
        <v>7525.3259999999846</v>
      </c>
      <c r="Q16" s="34">
        <f t="array" ref="Q16">IF(SUM(IF(($B$49:$B$90=$A16)*($D$49:$D$90=$C16)*($G$48:$S$48=Q$15),$G$49:$S$90))=0,"",SUM(IF(($B$49:$B$90=$A16)*($D$49:$D$90=$C16)*($G$48:$S$48=Q$15),$G$49:$S$90))*IF($E16=$D16,1,INDEX($B$7:$B$12,MATCH($D16&amp;$E16,$C$7:$C$12&amp;$D$7:$D$12,0))))</f>
        <v>7881.2740000000031</v>
      </c>
      <c r="R16" s="34">
        <f t="array" ref="R16">IF(SUM(IF(($B$49:$B$90=$A16)*($D$49:$D$90=$C16)*($G$48:$S$48=R$15),$G$49:$S$90))=0,"",SUM(IF(($B$49:$B$90=$A16)*($D$49:$D$90=$C16)*($G$48:$S$48=R$15),$G$49:$S$90))*IF($E16=$D16,1,INDEX($B$7:$B$12,MATCH($D16&amp;$E16,$C$7:$C$12&amp;$D$7:$D$12,0))))</f>
        <v>8237.2219999999925</v>
      </c>
    </row>
    <row r="17" spans="1:18" x14ac:dyDescent="0.3">
      <c r="A17" s="3" t="s">
        <v>368</v>
      </c>
      <c r="B17" s="3" t="str">
        <f>INDEX('R1. Scenario specifications'!$C$11:$C$59,MATCH($A17,'R1. Scenario specifications'!$A$11:$A$59,0))</f>
        <v>Current Policies Scenario, World Energy Outlook 2018</v>
      </c>
      <c r="C17" s="3" t="s">
        <v>266</v>
      </c>
      <c r="D17" s="3" t="str">
        <f t="array" ref="D17">INDEX($F$49:$F$90,MATCH($A17&amp;$C17,$B$49:$B$90&amp;$D$49:$D$90,0))</f>
        <v>Mb/day</v>
      </c>
      <c r="E17" s="3" t="str">
        <f t="shared" ref="E17:E45" si="1">_xlfn.IFS($C17="Coal","Mtce",$C17="Oil","Mb/day",$C17="Gas","bcm")</f>
        <v>Mb/day</v>
      </c>
      <c r="F17" s="34" t="str">
        <f t="array" ref="F17">IF(SUM(IF(($B$49:$B$90=$A17)*($D$49:$D$90=$C17)*($G$48:$S$48=F$15),$G$49:$S$90))=0,"",SUM(IF(($B$49:$B$90=$A17)*($D$49:$D$90=$C17)*($G$48:$S$48=F$15),$G$49:$S$90))*IF($E17=$D17,1,INDEX($B$7:$B$12,MATCH($D17&amp;$E17,$C$7:$C$12&amp;$D$7:$D$12,0))))</f>
        <v/>
      </c>
      <c r="G17" s="34" t="str">
        <f t="array" ref="G17">IF(SUM(IF(($B$49:$B$90=$A17)*($D$49:$D$90=$C17)*($G$48:$S$48=G$15),$G$49:$S$90))=0,"",SUM(IF(($B$49:$B$90=$A17)*($D$49:$D$90=$C17)*($G$48:$S$48=G$15),$G$49:$S$90))*IF($E17=$D17,1,INDEX($B$7:$B$12,MATCH($D17&amp;$E17,$C$7:$C$12&amp;$D$7:$D$12,0))))</f>
        <v/>
      </c>
      <c r="H17" s="34">
        <f t="array" ref="H17">IF(SUM(IF(($B$49:$B$90=$A17)*($D$49:$D$90=$C17)*($G$48:$S$48=H$15),$G$49:$S$90))=0,"",SUM(IF(($B$49:$B$90=$A17)*($D$49:$D$90=$C17)*($G$48:$S$48=H$15),$G$49:$S$90))*IF($E17=$D17,1,INDEX($B$7:$B$12,MATCH($D17&amp;$E17,$C$7:$C$12&amp;$D$7:$D$12,0))))</f>
        <v>92.411000000000001</v>
      </c>
      <c r="I17" s="34">
        <f t="array" ref="I17">IF(SUM(IF(($B$49:$B$90=$A17)*($D$49:$D$90=$C17)*($G$48:$S$48=I$15),$G$49:$S$90))=0,"",SUM(IF(($B$49:$B$90=$A17)*($D$49:$D$90=$C17)*($G$48:$S$48=I$15),$G$49:$S$90))*IF($E17=$D17,1,INDEX($B$7:$B$12,MATCH($D17&amp;$E17,$C$7:$C$12&amp;$D$7:$D$12,0))))</f>
        <v>92.781000000000006</v>
      </c>
      <c r="J17" s="34">
        <f t="array" ref="J17">IF(SUM(IF(($B$49:$B$90=$A17)*($D$49:$D$90=$C17)*($G$48:$S$48=J$15),$G$49:$S$90))=0,"",SUM(IF(($B$49:$B$90=$A17)*($D$49:$D$90=$C17)*($G$48:$S$48=J$15),$G$49:$S$90))*IF($E17=$D17,1,INDEX($B$7:$B$12,MATCH($D17&amp;$E17,$C$7:$C$12&amp;$D$7:$D$12,0))))</f>
        <v>96.576750000000004</v>
      </c>
      <c r="K17" s="34">
        <f t="array" ref="K17">IF(SUM(IF(($B$49:$B$90=$A17)*($D$49:$D$90=$C17)*($G$48:$S$48=K$15),$G$49:$S$90))=0,"",SUM(IF(($B$49:$B$90=$A17)*($D$49:$D$90=$C17)*($G$48:$S$48=K$15),$G$49:$S$90))*IF($E17=$D17,1,INDEX($B$7:$B$12,MATCH($D17&amp;$E17,$C$7:$C$12&amp;$D$7:$D$12,0))))</f>
        <v>102.90300000000001</v>
      </c>
      <c r="L17" s="34">
        <f t="array" ref="L17">IF(SUM(IF(($B$49:$B$90=$A17)*($D$49:$D$90=$C17)*($G$48:$S$48=L$15),$G$49:$S$90))=0,"",SUM(IF(($B$49:$B$90=$A17)*($D$49:$D$90=$C17)*($G$48:$S$48=L$15),$G$49:$S$90))*IF($E17=$D17,1,INDEX($B$7:$B$12,MATCH($D17&amp;$E17,$C$7:$C$12&amp;$D$7:$D$12,0))))</f>
        <v>107.675</v>
      </c>
      <c r="M17" s="34">
        <f t="array" ref="M17">IF(SUM(IF(($B$49:$B$90=$A17)*($D$49:$D$90=$C17)*($G$48:$S$48=M$15),$G$49:$S$90))=0,"",SUM(IF(($B$49:$B$90=$A17)*($D$49:$D$90=$C17)*($G$48:$S$48=M$15),$G$49:$S$90))*IF($E17=$D17,1,INDEX($B$7:$B$12,MATCH($D17&amp;$E17,$C$7:$C$12&amp;$D$7:$D$12,0))))</f>
        <v>112.04300000000001</v>
      </c>
      <c r="N17" s="34">
        <f t="array" ref="N17">IF(SUM(IF(($B$49:$B$90=$A17)*($D$49:$D$90=$C17)*($G$48:$S$48=N$15),$G$49:$S$90))=0,"",SUM(IF(($B$49:$B$90=$A17)*($D$49:$D$90=$C17)*($G$48:$S$48=N$15),$G$49:$S$90))*IF($E17=$D17,1,INDEX($B$7:$B$12,MATCH($D17&amp;$E17,$C$7:$C$12&amp;$D$7:$D$12,0))))</f>
        <v>117.205</v>
      </c>
      <c r="O17" s="34">
        <f t="array" ref="O17">IF(SUM(IF(($B$49:$B$90=$A17)*($D$49:$D$90=$C17)*($G$48:$S$48=O$15),$G$49:$S$90))=0,"",SUM(IF(($B$49:$B$90=$A17)*($D$49:$D$90=$C17)*($G$48:$S$48=O$15),$G$49:$S$90))*IF($E17=$D17,1,INDEX($B$7:$B$12,MATCH($D17&amp;$E17,$C$7:$C$12&amp;$D$7:$D$12,0))))</f>
        <v>122.36699999999996</v>
      </c>
      <c r="P17" s="34">
        <f t="array" ref="P17">IF(SUM(IF(($B$49:$B$90=$A17)*($D$49:$D$90=$C17)*($G$48:$S$48=P$15),$G$49:$S$90))=0,"",SUM(IF(($B$49:$B$90=$A17)*($D$49:$D$90=$C17)*($G$48:$S$48=P$15),$G$49:$S$90))*IF($E17=$D17,1,INDEX($B$7:$B$12,MATCH($D17&amp;$E17,$C$7:$C$12&amp;$D$7:$D$12,0))))</f>
        <v>127.52900000000022</v>
      </c>
      <c r="Q17" s="34">
        <f t="array" ref="Q17">IF(SUM(IF(($B$49:$B$90=$A17)*($D$49:$D$90=$C17)*($G$48:$S$48=Q$15),$G$49:$S$90))=0,"",SUM(IF(($B$49:$B$90=$A17)*($D$49:$D$90=$C17)*($G$48:$S$48=Q$15),$G$49:$S$90))*IF($E17=$D17,1,INDEX($B$7:$B$12,MATCH($D17&amp;$E17,$C$7:$C$12&amp;$D$7:$D$12,0))))</f>
        <v>132.69100000000003</v>
      </c>
      <c r="R17" s="34">
        <f t="array" ref="R17">IF(SUM(IF(($B$49:$B$90=$A17)*($D$49:$D$90=$C17)*($G$48:$S$48=R$15),$G$49:$S$90))=0,"",SUM(IF(($B$49:$B$90=$A17)*($D$49:$D$90=$C17)*($G$48:$S$48=R$15),$G$49:$S$90))*IF($E17=$D17,1,INDEX($B$7:$B$12,MATCH($D17&amp;$E17,$C$7:$C$12&amp;$D$7:$D$12,0))))</f>
        <v>137.85300000000029</v>
      </c>
    </row>
    <row r="18" spans="1:18" x14ac:dyDescent="0.3">
      <c r="A18" s="3" t="s">
        <v>368</v>
      </c>
      <c r="B18" s="3" t="str">
        <f>INDEX('R1. Scenario specifications'!$C$11:$C$59,MATCH($A18,'R1. Scenario specifications'!$A$11:$A$59,0))</f>
        <v>Current Policies Scenario, World Energy Outlook 2018</v>
      </c>
      <c r="C18" s="3" t="s">
        <v>255</v>
      </c>
      <c r="D18" s="3" t="str">
        <f t="array" ref="D18">INDEX($F$49:$F$90,MATCH($A18&amp;$C18,$B$49:$B$90&amp;$D$49:$D$90,0))</f>
        <v>bcm</v>
      </c>
      <c r="E18" s="3" t="str">
        <f t="shared" si="1"/>
        <v>bcm</v>
      </c>
      <c r="F18" s="34" t="str">
        <f t="array" ref="F18">IF(SUM(IF(($B$49:$B$90=$A18)*($D$49:$D$90=$C18)*($G$48:$S$48=F$15),$G$49:$S$90))=0,"",SUM(IF(($B$49:$B$90=$A18)*($D$49:$D$90=$C18)*($G$48:$S$48=F$15),$G$49:$S$90))*IF($E18=$D18,1,INDEX($B$7:$B$12,MATCH($D18&amp;$E18,$C$7:$C$12&amp;$D$7:$D$12,0))))</f>
        <v/>
      </c>
      <c r="G18" s="34" t="str">
        <f t="array" ref="G18">IF(SUM(IF(($B$49:$B$90=$A18)*($D$49:$D$90=$C18)*($G$48:$S$48=G$15),$G$49:$S$90))=0,"",SUM(IF(($B$49:$B$90=$A18)*($D$49:$D$90=$C18)*($G$48:$S$48=G$15),$G$49:$S$90))*IF($E18=$D18,1,INDEX($B$7:$B$12,MATCH($D18&amp;$E18,$C$7:$C$12&amp;$D$7:$D$12,0))))</f>
        <v/>
      </c>
      <c r="H18" s="34">
        <f t="array" ref="H18">IF(SUM(IF(($B$49:$B$90=$A18)*($D$49:$D$90=$C18)*($G$48:$S$48=H$15),$G$49:$S$90))=0,"",SUM(IF(($B$49:$B$90=$A18)*($D$49:$D$90=$C18)*($G$48:$S$48=H$15),$G$49:$S$90))*IF($E18=$D18,1,INDEX($B$7:$B$12,MATCH($D18&amp;$E18,$C$7:$C$12&amp;$D$7:$D$12,0))))</f>
        <v>3636.84</v>
      </c>
      <c r="I18" s="34">
        <f t="array" ref="I18">IF(SUM(IF(($B$49:$B$90=$A18)*($D$49:$D$90=$C18)*($G$48:$S$48=I$15),$G$49:$S$90))=0,"",SUM(IF(($B$49:$B$90=$A18)*($D$49:$D$90=$C18)*($G$48:$S$48=I$15),$G$49:$S$90))*IF($E18=$D18,1,INDEX($B$7:$B$12,MATCH($D18&amp;$E18,$C$7:$C$12&amp;$D$7:$D$12,0))))</f>
        <v>3768.86</v>
      </c>
      <c r="J18" s="34">
        <f t="array" ref="J18">IF(SUM(IF(($B$49:$B$90=$A18)*($D$49:$D$90=$C18)*($G$48:$S$48=J$15),$G$49:$S$90))=0,"",SUM(IF(($B$49:$B$90=$A18)*($D$49:$D$90=$C18)*($G$48:$S$48=J$15),$G$49:$S$90))*IF($E18=$D18,1,INDEX($B$7:$B$12,MATCH($D18&amp;$E18,$C$7:$C$12&amp;$D$7:$D$12,0))))</f>
        <v>4000.3962500000002</v>
      </c>
      <c r="K18" s="34">
        <f t="array" ref="K18">IF(SUM(IF(($B$49:$B$90=$A18)*($D$49:$D$90=$C18)*($G$48:$S$48=K$15),$G$49:$S$90))=0,"",SUM(IF(($B$49:$B$90=$A18)*($D$49:$D$90=$C18)*($G$48:$S$48=K$15),$G$49:$S$90))*IF($E18=$D18,1,INDEX($B$7:$B$12,MATCH($D18&amp;$E18,$C$7:$C$12&amp;$D$7:$D$12,0))))</f>
        <v>4386.29</v>
      </c>
      <c r="L18" s="34">
        <f t="array" ref="L18">IF(SUM(IF(($B$49:$B$90=$A18)*($D$49:$D$90=$C18)*($G$48:$S$48=L$15),$G$49:$S$90))=0,"",SUM(IF(($B$49:$B$90=$A18)*($D$49:$D$90=$C18)*($G$48:$S$48=L$15),$G$49:$S$90))*IF($E18=$D18,1,INDEX($B$7:$B$12,MATCH($D18&amp;$E18,$C$7:$C$12&amp;$D$7:$D$12,0))))</f>
        <v>4859.5</v>
      </c>
      <c r="M18" s="34">
        <f t="array" ref="M18">IF(SUM(IF(($B$49:$B$90=$A18)*($D$49:$D$90=$C18)*($G$48:$S$48=M$15),$G$49:$S$90))=0,"",SUM(IF(($B$49:$B$90=$A18)*($D$49:$D$90=$C18)*($G$48:$S$48=M$15),$G$49:$S$90))*IF($E18=$D18,1,INDEX($B$7:$B$12,MATCH($D18&amp;$E18,$C$7:$C$12&amp;$D$7:$D$12,0))))</f>
        <v>5365.77</v>
      </c>
      <c r="N18" s="34">
        <f t="array" ref="N18">IF(SUM(IF(($B$49:$B$90=$A18)*($D$49:$D$90=$C18)*($G$48:$S$48=N$15),$G$49:$S$90))=0,"",SUM(IF(($B$49:$B$90=$A18)*($D$49:$D$90=$C18)*($G$48:$S$48=N$15),$G$49:$S$90))*IF($E18=$D18,1,INDEX($B$7:$B$12,MATCH($D18&amp;$E18,$C$7:$C$12&amp;$D$7:$D$12,0))))</f>
        <v>5846.69</v>
      </c>
      <c r="O18" s="34">
        <f t="array" ref="O18">IF(SUM(IF(($B$49:$B$90=$A18)*($D$49:$D$90=$C18)*($G$48:$S$48=O$15),$G$49:$S$90))=0,"",SUM(IF(($B$49:$B$90=$A18)*($D$49:$D$90=$C18)*($G$48:$S$48=O$15),$G$49:$S$90))*IF($E18=$D18,1,INDEX($B$7:$B$12,MATCH($D18&amp;$E18,$C$7:$C$12&amp;$D$7:$D$12,0))))</f>
        <v>6327.6100000000151</v>
      </c>
      <c r="P18" s="34">
        <f t="array" ref="P18">IF(SUM(IF(($B$49:$B$90=$A18)*($D$49:$D$90=$C18)*($G$48:$S$48=P$15),$G$49:$S$90))=0,"",SUM(IF(($B$49:$B$90=$A18)*($D$49:$D$90=$C18)*($G$48:$S$48=P$15),$G$49:$S$90))*IF($E18=$D18,1,INDEX($B$7:$B$12,MATCH($D18&amp;$E18,$C$7:$C$12&amp;$D$7:$D$12,0))))</f>
        <v>6808.5299999999988</v>
      </c>
      <c r="Q18" s="34">
        <f t="array" ref="Q18">IF(SUM(IF(($B$49:$B$90=$A18)*($D$49:$D$90=$C18)*($G$48:$S$48=Q$15),$G$49:$S$90))=0,"",SUM(IF(($B$49:$B$90=$A18)*($D$49:$D$90=$C18)*($G$48:$S$48=Q$15),$G$49:$S$90))*IF($E18=$D18,1,INDEX($B$7:$B$12,MATCH($D18&amp;$E18,$C$7:$C$12&amp;$D$7:$D$12,0))))</f>
        <v>7289.4500000000116</v>
      </c>
      <c r="R18" s="34">
        <f t="array" ref="R18">IF(SUM(IF(($B$49:$B$90=$A18)*($D$49:$D$90=$C18)*($G$48:$S$48=R$15),$G$49:$S$90))=0,"",SUM(IF(($B$49:$B$90=$A18)*($D$49:$D$90=$C18)*($G$48:$S$48=R$15),$G$49:$S$90))*IF($E18=$D18,1,INDEX($B$7:$B$12,MATCH($D18&amp;$E18,$C$7:$C$12&amp;$D$7:$D$12,0))))</f>
        <v>7770.3699999999953</v>
      </c>
    </row>
    <row r="19" spans="1:18" x14ac:dyDescent="0.3">
      <c r="A19" s="3" t="s">
        <v>370</v>
      </c>
      <c r="B19" s="3" t="str">
        <f>INDEX('R1. Scenario specifications'!$C$11:$C$59,MATCH($A19,'R1. Scenario specifications'!$A$11:$A$59,0))</f>
        <v>New Policies Scenario, World Energy Outlook 2018</v>
      </c>
      <c r="C19" s="3" t="s">
        <v>254</v>
      </c>
      <c r="D19" s="3" t="str">
        <f t="array" ref="D19">INDEX($F$49:$F$90,MATCH($A19&amp;$C19,$B$49:$B$90&amp;$D$49:$D$90,0))</f>
        <v>Mtce</v>
      </c>
      <c r="E19" s="3" t="str">
        <f t="shared" si="1"/>
        <v>Mtce</v>
      </c>
      <c r="F19" s="34" t="str">
        <f t="array" ref="F19">IF(SUM(IF(($B$49:$B$90=$A19)*($D$49:$D$90=$C19)*($G$48:$S$48=F$15),$G$49:$S$90))=0,"",SUM(IF(($B$49:$B$90=$A19)*($D$49:$D$90=$C19)*($G$48:$S$48=F$15),$G$49:$S$90))*IF($E19=$D19,1,INDEX($B$7:$B$12,MATCH($D19&amp;$E19,$C$7:$C$12&amp;$D$7:$D$12,0))))</f>
        <v/>
      </c>
      <c r="G19" s="34" t="str">
        <f t="array" ref="G19">IF(SUM(IF(($B$49:$B$90=$A19)*($D$49:$D$90=$C19)*($G$48:$S$48=G$15),$G$49:$S$90))=0,"",SUM(IF(($B$49:$B$90=$A19)*($D$49:$D$90=$C19)*($G$48:$S$48=G$15),$G$49:$S$90))*IF($E19=$D19,1,INDEX($B$7:$B$12,MATCH($D19&amp;$E19,$C$7:$C$12&amp;$D$7:$D$12,0))))</f>
        <v/>
      </c>
      <c r="H19" s="34">
        <f t="array" ref="H19">IF(SUM(IF(($B$49:$B$90=$A19)*($D$49:$D$90=$C19)*($G$48:$S$48=H$15),$G$49:$S$90))=0,"",SUM(IF(($B$49:$B$90=$A19)*($D$49:$D$90=$C19)*($G$48:$S$48=H$15),$G$49:$S$90))*IF($E19=$D19,1,INDEX($B$7:$B$12,MATCH($D19&amp;$E19,$C$7:$C$12&amp;$D$7:$D$12,0))))</f>
        <v>5224.5519999999997</v>
      </c>
      <c r="I19" s="34">
        <f t="array" ref="I19">IF(SUM(IF(($B$49:$B$90=$A19)*($D$49:$D$90=$C19)*($G$48:$S$48=I$15),$G$49:$S$90))=0,"",SUM(IF(($B$49:$B$90=$A19)*($D$49:$D$90=$C19)*($G$48:$S$48=I$15),$G$49:$S$90))*IF($E19=$D19,1,INDEX($B$7:$B$12,MATCH($D19&amp;$E19,$C$7:$C$12&amp;$D$7:$D$12,0))))</f>
        <v>5359.8919999999998</v>
      </c>
      <c r="J19" s="34">
        <f t="array" ref="J19">IF(SUM(IF(($B$49:$B$90=$A19)*($D$49:$D$90=$C19)*($G$48:$S$48=J$15),$G$49:$S$90))=0,"",SUM(IF(($B$49:$B$90=$A19)*($D$49:$D$90=$C19)*($G$48:$S$48=J$15),$G$49:$S$90))*IF($E19=$D19,1,INDEX($B$7:$B$12,MATCH($D19&amp;$E19,$C$7:$C$12&amp;$D$7:$D$12,0))))</f>
        <v>5368.7423750000007</v>
      </c>
      <c r="K19" s="34">
        <f t="array" ref="K19">IF(SUM(IF(($B$49:$B$90=$A19)*($D$49:$D$90=$C19)*($G$48:$S$48=K$15),$G$49:$S$90))=0,"",SUM(IF(($B$49:$B$90=$A19)*($D$49:$D$90=$C19)*($G$48:$S$48=K$15),$G$49:$S$90))*IF($E19=$D19,1,INDEX($B$7:$B$12,MATCH($D19&amp;$E19,$C$7:$C$12&amp;$D$7:$D$12,0))))</f>
        <v>5383.4930000000004</v>
      </c>
      <c r="L19" s="34">
        <f t="array" ref="L19">IF(SUM(IF(($B$49:$B$90=$A19)*($D$49:$D$90=$C19)*($G$48:$S$48=L$15),$G$49:$S$90))=0,"",SUM(IF(($B$49:$B$90=$A19)*($D$49:$D$90=$C19)*($G$48:$S$48=L$15),$G$49:$S$90))*IF($E19=$D19,1,INDEX($B$7:$B$12,MATCH($D19&amp;$E19,$C$7:$C$12&amp;$D$7:$D$12,0))))</f>
        <v>5405.11</v>
      </c>
      <c r="M19" s="34">
        <f t="array" ref="M19">IF(SUM(IF(($B$49:$B$90=$A19)*($D$49:$D$90=$C19)*($G$48:$S$48=M$15),$G$49:$S$90))=0,"",SUM(IF(($B$49:$B$90=$A19)*($D$49:$D$90=$C19)*($G$48:$S$48=M$15),$G$49:$S$90))*IF($E19=$D19,1,INDEX($B$7:$B$12,MATCH($D19&amp;$E19,$C$7:$C$12&amp;$D$7:$D$12,0))))</f>
        <v>5419.32</v>
      </c>
      <c r="N19" s="34">
        <f t="array" ref="N19">IF(SUM(IF(($B$49:$B$90=$A19)*($D$49:$D$90=$C19)*($G$48:$S$48=N$15),$G$49:$S$90))=0,"",SUM(IF(($B$49:$B$90=$A19)*($D$49:$D$90=$C19)*($G$48:$S$48=N$15),$G$49:$S$90))*IF($E19=$D19,1,INDEX($B$7:$B$12,MATCH($D19&amp;$E19,$C$7:$C$12&amp;$D$7:$D$12,0))))</f>
        <v>5441.4790000000003</v>
      </c>
      <c r="O19" s="34">
        <f t="array" ref="O19">IF(SUM(IF(($B$49:$B$90=$A19)*($D$49:$D$90=$C19)*($G$48:$S$48=O$15),$G$49:$S$90))=0,"",SUM(IF(($B$49:$B$90=$A19)*($D$49:$D$90=$C19)*($G$48:$S$48=O$15),$G$49:$S$90))*IF($E19=$D19,1,INDEX($B$7:$B$12,MATCH($D19&amp;$E19,$C$7:$C$12&amp;$D$7:$D$12,0))))</f>
        <v>5463.6379999999999</v>
      </c>
      <c r="P19" s="34">
        <f t="array" ref="P19">IF(SUM(IF(($B$49:$B$90=$A19)*($D$49:$D$90=$C19)*($G$48:$S$48=P$15),$G$49:$S$90))=0,"",SUM(IF(($B$49:$B$90=$A19)*($D$49:$D$90=$C19)*($G$48:$S$48=P$15),$G$49:$S$90))*IF($E19=$D19,1,INDEX($B$7:$B$12,MATCH($D19&amp;$E19,$C$7:$C$12&amp;$D$7:$D$12,0))))</f>
        <v>5485.7969999999978</v>
      </c>
      <c r="Q19" s="34">
        <f t="array" ref="Q19">IF(SUM(IF(($B$49:$B$90=$A19)*($D$49:$D$90=$C19)*($G$48:$S$48=Q$15),$G$49:$S$90))=0,"",SUM(IF(($B$49:$B$90=$A19)*($D$49:$D$90=$C19)*($G$48:$S$48=Q$15),$G$49:$S$90))*IF($E19=$D19,1,INDEX($B$7:$B$12,MATCH($D19&amp;$E19,$C$7:$C$12&amp;$D$7:$D$12,0))))</f>
        <v>5507.9559999999992</v>
      </c>
      <c r="R19" s="34">
        <f t="array" ref="R19">IF(SUM(IF(($B$49:$B$90=$A19)*($D$49:$D$90=$C19)*($G$48:$S$48=R$15),$G$49:$S$90))=0,"",SUM(IF(($B$49:$B$90=$A19)*($D$49:$D$90=$C19)*($G$48:$S$48=R$15),$G$49:$S$90))*IF($E19=$D19,1,INDEX($B$7:$B$12,MATCH($D19&amp;$E19,$C$7:$C$12&amp;$D$7:$D$12,0))))</f>
        <v>5530.1149999999971</v>
      </c>
    </row>
    <row r="20" spans="1:18" x14ac:dyDescent="0.3">
      <c r="A20" s="3" t="s">
        <v>370</v>
      </c>
      <c r="B20" s="3" t="str">
        <f>INDEX('R1. Scenario specifications'!$C$11:$C$59,MATCH($A20,'R1. Scenario specifications'!$A$11:$A$59,0))</f>
        <v>New Policies Scenario, World Energy Outlook 2018</v>
      </c>
      <c r="C20" s="3" t="s">
        <v>266</v>
      </c>
      <c r="D20" s="3" t="str">
        <f t="array" ref="D20">INDEX($F$49:$F$90,MATCH($A20&amp;$C20,$B$49:$B$90&amp;$D$49:$D$90,0))</f>
        <v>Mb/day</v>
      </c>
      <c r="E20" s="3" t="str">
        <f t="shared" si="1"/>
        <v>Mb/day</v>
      </c>
      <c r="F20" s="34" t="str">
        <f t="array" ref="F20">IF(SUM(IF(($B$49:$B$90=$A20)*($D$49:$D$90=$C20)*($G$48:$S$48=F$15),$G$49:$S$90))=0,"",SUM(IF(($B$49:$B$90=$A20)*($D$49:$D$90=$C20)*($G$48:$S$48=F$15),$G$49:$S$90))*IF($E20=$D20,1,INDEX($B$7:$B$12,MATCH($D20&amp;$E20,$C$7:$C$12&amp;$D$7:$D$12,0))))</f>
        <v/>
      </c>
      <c r="G20" s="34" t="str">
        <f t="array" ref="G20">IF(SUM(IF(($B$49:$B$90=$A20)*($D$49:$D$90=$C20)*($G$48:$S$48=G$15),$G$49:$S$90))=0,"",SUM(IF(($B$49:$B$90=$A20)*($D$49:$D$90=$C20)*($G$48:$S$48=G$15),$G$49:$S$90))*IF($E20=$D20,1,INDEX($B$7:$B$12,MATCH($D20&amp;$E20,$C$7:$C$12&amp;$D$7:$D$12,0))))</f>
        <v/>
      </c>
      <c r="H20" s="34">
        <f t="array" ref="H20">IF(SUM(IF(($B$49:$B$90=$A20)*($D$49:$D$90=$C20)*($G$48:$S$48=H$15),$G$49:$S$90))=0,"",SUM(IF(($B$49:$B$90=$A20)*($D$49:$D$90=$C20)*($G$48:$S$48=H$15),$G$49:$S$90))*IF($E20=$D20,1,INDEX($B$7:$B$12,MATCH($D20&amp;$E20,$C$7:$C$12&amp;$D$7:$D$12,0))))</f>
        <v>92.411000000000001</v>
      </c>
      <c r="I20" s="34">
        <f t="array" ref="I20">IF(SUM(IF(($B$49:$B$90=$A20)*($D$49:$D$90=$C20)*($G$48:$S$48=I$15),$G$49:$S$90))=0,"",SUM(IF(($B$49:$B$90=$A20)*($D$49:$D$90=$C20)*($G$48:$S$48=I$15),$G$49:$S$90))*IF($E20=$D20,1,INDEX($B$7:$B$12,MATCH($D20&amp;$E20,$C$7:$C$12&amp;$D$7:$D$12,0))))</f>
        <v>92.781000000000006</v>
      </c>
      <c r="J20" s="34">
        <f t="array" ref="J20">IF(SUM(IF(($B$49:$B$90=$A20)*($D$49:$D$90=$C20)*($G$48:$S$48=J$15),$G$49:$S$90))=0,"",SUM(IF(($B$49:$B$90=$A20)*($D$49:$D$90=$C20)*($G$48:$S$48=J$15),$G$49:$S$90))*IF($E20=$D20,1,INDEX($B$7:$B$12,MATCH($D20&amp;$E20,$C$7:$C$12&amp;$D$7:$D$12,0))))</f>
        <v>95.458875000000006</v>
      </c>
      <c r="K20" s="34">
        <f t="array" ref="K20">IF(SUM(IF(($B$49:$B$90=$A20)*($D$49:$D$90=$C20)*($G$48:$S$48=K$15),$G$49:$S$90))=0,"",SUM(IF(($B$49:$B$90=$A20)*($D$49:$D$90=$C20)*($G$48:$S$48=K$15),$G$49:$S$90))*IF($E20=$D20,1,INDEX($B$7:$B$12,MATCH($D20&amp;$E20,$C$7:$C$12&amp;$D$7:$D$12,0))))</f>
        <v>99.921999999999997</v>
      </c>
      <c r="L20" s="34">
        <f t="array" ref="L20">IF(SUM(IF(($B$49:$B$90=$A20)*($D$49:$D$90=$C20)*($G$48:$S$48=L$15),$G$49:$S$90))=0,"",SUM(IF(($B$49:$B$90=$A20)*($D$49:$D$90=$C20)*($G$48:$S$48=L$15),$G$49:$S$90))*IF($E20=$D20,1,INDEX($B$7:$B$12,MATCH($D20&amp;$E20,$C$7:$C$12&amp;$D$7:$D$12,0))))</f>
        <v>101.631</v>
      </c>
      <c r="M20" s="34">
        <f t="array" ref="M20">IF(SUM(IF(($B$49:$B$90=$A20)*($D$49:$D$90=$C20)*($G$48:$S$48=M$15),$G$49:$S$90))=0,"",SUM(IF(($B$49:$B$90=$A20)*($D$49:$D$90=$C20)*($G$48:$S$48=M$15),$G$49:$S$90))*IF($E20=$D20,1,INDEX($B$7:$B$12,MATCH($D20&amp;$E20,$C$7:$C$12&amp;$D$7:$D$12,0))))</f>
        <v>102.087</v>
      </c>
      <c r="N20" s="34">
        <f t="array" ref="N20">IF(SUM(IF(($B$49:$B$90=$A20)*($D$49:$D$90=$C20)*($G$48:$S$48=N$15),$G$49:$S$90))=0,"",SUM(IF(($B$49:$B$90=$A20)*($D$49:$D$90=$C20)*($G$48:$S$48=N$15),$G$49:$S$90))*IF($E20=$D20,1,INDEX($B$7:$B$12,MATCH($D20&amp;$E20,$C$7:$C$12&amp;$D$7:$D$12,0))))</f>
        <v>103.36499999999999</v>
      </c>
      <c r="O20" s="34">
        <f t="array" ref="O20">IF(SUM(IF(($B$49:$B$90=$A20)*($D$49:$D$90=$C20)*($G$48:$S$48=O$15),$G$49:$S$90))=0,"",SUM(IF(($B$49:$B$90=$A20)*($D$49:$D$90=$C20)*($G$48:$S$48=O$15),$G$49:$S$90))*IF($E20=$D20,1,INDEX($B$7:$B$12,MATCH($D20&amp;$E20,$C$7:$C$12&amp;$D$7:$D$12,0))))</f>
        <v>104.64300000000003</v>
      </c>
      <c r="P20" s="34">
        <f t="array" ref="P20">IF(SUM(IF(($B$49:$B$90=$A20)*($D$49:$D$90=$C20)*($G$48:$S$48=P$15),$G$49:$S$90))=0,"",SUM(IF(($B$49:$B$90=$A20)*($D$49:$D$90=$C20)*($G$48:$S$48=P$15),$G$49:$S$90))*IF($E20=$D20,1,INDEX($B$7:$B$12,MATCH($D20&amp;$E20,$C$7:$C$12&amp;$D$7:$D$12,0))))</f>
        <v>105.92100000000005</v>
      </c>
      <c r="Q20" s="34">
        <f t="array" ref="Q20">IF(SUM(IF(($B$49:$B$90=$A20)*($D$49:$D$90=$C20)*($G$48:$S$48=Q$15),$G$49:$S$90))=0,"",SUM(IF(($B$49:$B$90=$A20)*($D$49:$D$90=$C20)*($G$48:$S$48=Q$15),$G$49:$S$90))*IF($E20=$D20,1,INDEX($B$7:$B$12,MATCH($D20&amp;$E20,$C$7:$C$12&amp;$D$7:$D$12,0))))</f>
        <v>107.19899999999996</v>
      </c>
      <c r="R20" s="34">
        <f t="array" ref="R20">IF(SUM(IF(($B$49:$B$90=$A20)*($D$49:$D$90=$C20)*($G$48:$S$48=R$15),$G$49:$S$90))=0,"",SUM(IF(($B$49:$B$90=$A20)*($D$49:$D$90=$C20)*($G$48:$S$48=R$15),$G$49:$S$90))*IF($E20=$D20,1,INDEX($B$7:$B$12,MATCH($D20&amp;$E20,$C$7:$C$12&amp;$D$7:$D$12,0))))</f>
        <v>108.47699999999998</v>
      </c>
    </row>
    <row r="21" spans="1:18" x14ac:dyDescent="0.3">
      <c r="A21" s="3" t="s">
        <v>370</v>
      </c>
      <c r="B21" s="3" t="str">
        <f>INDEX('R1. Scenario specifications'!$C$11:$C$59,MATCH($A21,'R1. Scenario specifications'!$A$11:$A$59,0))</f>
        <v>New Policies Scenario, World Energy Outlook 2018</v>
      </c>
      <c r="C21" s="3" t="s">
        <v>255</v>
      </c>
      <c r="D21" s="3" t="str">
        <f t="array" ref="D21">INDEX($F$49:$F$90,MATCH($A21&amp;$C21,$B$49:$B$90&amp;$D$49:$D$90,0))</f>
        <v>bcm</v>
      </c>
      <c r="E21" s="3" t="str">
        <f t="shared" si="1"/>
        <v>bcm</v>
      </c>
      <c r="F21" s="34" t="str">
        <f t="array" ref="F21">IF(SUM(IF(($B$49:$B$90=$A21)*($D$49:$D$90=$C21)*($G$48:$S$48=F$15),$G$49:$S$90))=0,"",SUM(IF(($B$49:$B$90=$A21)*($D$49:$D$90=$C21)*($G$48:$S$48=F$15),$G$49:$S$90))*IF($E21=$D21,1,INDEX($B$7:$B$12,MATCH($D21&amp;$E21,$C$7:$C$12&amp;$D$7:$D$12,0))))</f>
        <v/>
      </c>
      <c r="G21" s="34" t="str">
        <f t="array" ref="G21">IF(SUM(IF(($B$49:$B$90=$A21)*($D$49:$D$90=$C21)*($G$48:$S$48=G$15),$G$49:$S$90))=0,"",SUM(IF(($B$49:$B$90=$A21)*($D$49:$D$90=$C21)*($G$48:$S$48=G$15),$G$49:$S$90))*IF($E21=$D21,1,INDEX($B$7:$B$12,MATCH($D21&amp;$E21,$C$7:$C$12&amp;$D$7:$D$12,0))))</f>
        <v/>
      </c>
      <c r="H21" s="34">
        <f t="array" ref="H21">IF(SUM(IF(($B$49:$B$90=$A21)*($D$49:$D$90=$C21)*($G$48:$S$48=H$15),$G$49:$S$90))=0,"",SUM(IF(($B$49:$B$90=$A21)*($D$49:$D$90=$C21)*($G$48:$S$48=H$15),$G$49:$S$90))*IF($E21=$D21,1,INDEX($B$7:$B$12,MATCH($D21&amp;$E21,$C$7:$C$12&amp;$D$7:$D$12,0))))</f>
        <v>3636.84</v>
      </c>
      <c r="I21" s="34">
        <f t="array" ref="I21">IF(SUM(IF(($B$49:$B$90=$A21)*($D$49:$D$90=$C21)*($G$48:$S$48=I$15),$G$49:$S$90))=0,"",SUM(IF(($B$49:$B$90=$A21)*($D$49:$D$90=$C21)*($G$48:$S$48=I$15),$G$49:$S$90))*IF($E21=$D21,1,INDEX($B$7:$B$12,MATCH($D21&amp;$E21,$C$7:$C$12&amp;$D$7:$D$12,0))))</f>
        <v>3768.86</v>
      </c>
      <c r="J21" s="34">
        <f t="array" ref="J21">IF(SUM(IF(($B$49:$B$90=$A21)*($D$49:$D$90=$C21)*($G$48:$S$48=J$15),$G$49:$S$90))=0,"",SUM(IF(($B$49:$B$90=$A21)*($D$49:$D$90=$C21)*($G$48:$S$48=J$15),$G$49:$S$90))*IF($E21=$D21,1,INDEX($B$7:$B$12,MATCH($D21&amp;$E21,$C$7:$C$12&amp;$D$7:$D$12,0))))</f>
        <v>3965.5250000000001</v>
      </c>
      <c r="K21" s="34">
        <f t="array" ref="K21">IF(SUM(IF(($B$49:$B$90=$A21)*($D$49:$D$90=$C21)*($G$48:$S$48=K$15),$G$49:$S$90))=0,"",SUM(IF(($B$49:$B$90=$A21)*($D$49:$D$90=$C21)*($G$48:$S$48=K$15),$G$49:$S$90))*IF($E21=$D21,1,INDEX($B$7:$B$12,MATCH($D21&amp;$E21,$C$7:$C$12&amp;$D$7:$D$12,0))))</f>
        <v>4293.3</v>
      </c>
      <c r="L21" s="34">
        <f t="array" ref="L21">IF(SUM(IF(($B$49:$B$90=$A21)*($D$49:$D$90=$C21)*($G$48:$S$48=L$15),$G$49:$S$90))=0,"",SUM(IF(($B$49:$B$90=$A21)*($D$49:$D$90=$C21)*($G$48:$S$48=L$15),$G$49:$S$90))*IF($E21=$D21,1,INDEX($B$7:$B$12,MATCH($D21&amp;$E21,$C$7:$C$12&amp;$D$7:$D$12,0))))</f>
        <v>4641.3999999999996</v>
      </c>
      <c r="M21" s="34">
        <f t="array" ref="M21">IF(SUM(IF(($B$49:$B$90=$A21)*($D$49:$D$90=$C21)*($G$48:$S$48=M$15),$G$49:$S$90))=0,"",SUM(IF(($B$49:$B$90=$A21)*($D$49:$D$90=$C21)*($G$48:$S$48=M$15),$G$49:$S$90))*IF($E21=$D21,1,INDEX($B$7:$B$12,MATCH($D21&amp;$E21,$C$7:$C$12&amp;$D$7:$D$12,0))))</f>
        <v>5024.7700000000004</v>
      </c>
      <c r="N21" s="34">
        <f t="array" ref="N21">IF(SUM(IF(($B$49:$B$90=$A21)*($D$49:$D$90=$C21)*($G$48:$S$48=N$15),$G$49:$S$90))=0,"",SUM(IF(($B$49:$B$90=$A21)*($D$49:$D$90=$C21)*($G$48:$S$48=N$15),$G$49:$S$90))*IF($E21=$D21,1,INDEX($B$7:$B$12,MATCH($D21&amp;$E21,$C$7:$C$12&amp;$D$7:$D$12,0))))</f>
        <v>5398.5</v>
      </c>
      <c r="O21" s="34">
        <f t="array" ref="O21">IF(SUM(IF(($B$49:$B$90=$A21)*($D$49:$D$90=$C21)*($G$48:$S$48=O$15),$G$49:$S$90))=0,"",SUM(IF(($B$49:$B$90=$A21)*($D$49:$D$90=$C21)*($G$48:$S$48=O$15),$G$49:$S$90))*IF($E21=$D21,1,INDEX($B$7:$B$12,MATCH($D21&amp;$E21,$C$7:$C$12&amp;$D$7:$D$12,0))))</f>
        <v>5772.2300000000105</v>
      </c>
      <c r="P21" s="34">
        <f t="array" ref="P21">IF(SUM(IF(($B$49:$B$90=$A21)*($D$49:$D$90=$C21)*($G$48:$S$48=P$15),$G$49:$S$90))=0,"",SUM(IF(($B$49:$B$90=$A21)*($D$49:$D$90=$C21)*($G$48:$S$48=P$15),$G$49:$S$90))*IF($E21=$D21,1,INDEX($B$7:$B$12,MATCH($D21&amp;$E21,$C$7:$C$12&amp;$D$7:$D$12,0))))</f>
        <v>6145.960000000021</v>
      </c>
      <c r="Q21" s="34">
        <f t="array" ref="Q21">IF(SUM(IF(($B$49:$B$90=$A21)*($D$49:$D$90=$C21)*($G$48:$S$48=Q$15),$G$49:$S$90))=0,"",SUM(IF(($B$49:$B$90=$A21)*($D$49:$D$90=$C21)*($G$48:$S$48=Q$15),$G$49:$S$90))*IF($E21=$D21,1,INDEX($B$7:$B$12,MATCH($D21&amp;$E21,$C$7:$C$12&amp;$D$7:$D$12,0))))</f>
        <v>6519.6900000000314</v>
      </c>
      <c r="R21" s="34">
        <f t="array" ref="R21">IF(SUM(IF(($B$49:$B$90=$A21)*($D$49:$D$90=$C21)*($G$48:$S$48=R$15),$G$49:$S$90))=0,"",SUM(IF(($B$49:$B$90=$A21)*($D$49:$D$90=$C21)*($G$48:$S$48=R$15),$G$49:$S$90))*IF($E21=$D21,1,INDEX($B$7:$B$12,MATCH($D21&amp;$E21,$C$7:$C$12&amp;$D$7:$D$12,0))))</f>
        <v>6893.4200000000128</v>
      </c>
    </row>
    <row r="22" spans="1:18" x14ac:dyDescent="0.3">
      <c r="A22" s="3" t="s">
        <v>372</v>
      </c>
      <c r="B22" s="3" t="str">
        <f>INDEX('R1. Scenario specifications'!$C$11:$C$59,MATCH($A22,'R1. Scenario specifications'!$A$11:$A$59,0))</f>
        <v>Sustainable Development Scenario, World Energy Outlook 2018</v>
      </c>
      <c r="C22" s="3" t="s">
        <v>254</v>
      </c>
      <c r="D22" s="3" t="str">
        <f t="array" ref="D22">INDEX($F$49:$F$90,MATCH($A22&amp;$C22,$B$49:$B$90&amp;$D$49:$D$90,0))</f>
        <v>Mtce</v>
      </c>
      <c r="E22" s="3" t="str">
        <f t="shared" si="1"/>
        <v>Mtce</v>
      </c>
      <c r="F22" s="34" t="str">
        <f t="array" ref="F22">IF(SUM(IF(($B$49:$B$90=$A22)*($D$49:$D$90=$C22)*($G$48:$S$48=F$15),$G$49:$S$90))=0,"",SUM(IF(($B$49:$B$90=$A22)*($D$49:$D$90=$C22)*($G$48:$S$48=F$15),$G$49:$S$90))*IF($E22=$D22,1,INDEX($B$7:$B$12,MATCH($D22&amp;$E22,$C$7:$C$12&amp;$D$7:$D$12,0))))</f>
        <v/>
      </c>
      <c r="G22" s="34" t="str">
        <f t="array" ref="G22">IF(SUM(IF(($B$49:$B$90=$A22)*($D$49:$D$90=$C22)*($G$48:$S$48=G$15),$G$49:$S$90))=0,"",SUM(IF(($B$49:$B$90=$A22)*($D$49:$D$90=$C22)*($G$48:$S$48=G$15),$G$49:$S$90))*IF($E22=$D22,1,INDEX($B$7:$B$12,MATCH($D22&amp;$E22,$C$7:$C$12&amp;$D$7:$D$12,0))))</f>
        <v/>
      </c>
      <c r="H22" s="34">
        <f t="array" ref="H22">IF(SUM(IF(($B$49:$B$90=$A22)*($D$49:$D$90=$C22)*($G$48:$S$48=H$15),$G$49:$S$90))=0,"",SUM(IF(($B$49:$B$90=$A22)*($D$49:$D$90=$C22)*($G$48:$S$48=H$15),$G$49:$S$90))*IF($E22=$D22,1,INDEX($B$7:$B$12,MATCH($D22&amp;$E22,$C$7:$C$12&amp;$D$7:$D$12,0))))</f>
        <v>5224.5519999999997</v>
      </c>
      <c r="I22" s="34">
        <f t="array" ref="I22">IF(SUM(IF(($B$49:$B$90=$A22)*($D$49:$D$90=$C22)*($G$48:$S$48=I$15),$G$49:$S$90))=0,"",SUM(IF(($B$49:$B$90=$A22)*($D$49:$D$90=$C22)*($G$48:$S$48=I$15),$G$49:$S$90))*IF($E22=$D22,1,INDEX($B$7:$B$12,MATCH($D22&amp;$E22,$C$7:$C$12&amp;$D$7:$D$12,0))))</f>
        <v>5359.8919999999998</v>
      </c>
      <c r="J22" s="34">
        <f t="array" ref="J22">IF(SUM(IF(($B$49:$B$90=$A22)*($D$49:$D$90=$C22)*($G$48:$S$48=J$15),$G$49:$S$90))=0,"",SUM(IF(($B$49:$B$90=$A22)*($D$49:$D$90=$C22)*($G$48:$S$48=J$15),$G$49:$S$90))*IF($E22=$D22,1,INDEX($B$7:$B$12,MATCH($D22&amp;$E22,$C$7:$C$12&amp;$D$7:$D$12,0))))</f>
        <v>4981.2950000000001</v>
      </c>
      <c r="K22" s="34">
        <f t="array" ref="K22">IF(SUM(IF(($B$49:$B$90=$A22)*($D$49:$D$90=$C22)*($G$48:$S$48=K$15),$G$49:$S$90))=0,"",SUM(IF(($B$49:$B$90=$A22)*($D$49:$D$90=$C22)*($G$48:$S$48=K$15),$G$49:$S$90))*IF($E22=$D22,1,INDEX($B$7:$B$12,MATCH($D22&amp;$E22,$C$7:$C$12&amp;$D$7:$D$12,0))))</f>
        <v>4350.3</v>
      </c>
      <c r="L22" s="34">
        <f t="array" ref="L22">IF(SUM(IF(($B$49:$B$90=$A22)*($D$49:$D$90=$C22)*($G$48:$S$48=L$15),$G$49:$S$90))=0,"",SUM(IF(($B$49:$B$90=$A22)*($D$49:$D$90=$C22)*($G$48:$S$48=L$15),$G$49:$S$90))*IF($E22=$D22,1,INDEX($B$7:$B$12,MATCH($D22&amp;$E22,$C$7:$C$12&amp;$D$7:$D$12,0))))</f>
        <v>3451.9689999999996</v>
      </c>
      <c r="M22" s="34">
        <f t="array" ref="M22">IF(SUM(IF(($B$49:$B$90=$A22)*($D$49:$D$90=$C22)*($G$48:$S$48=M$15),$G$49:$S$90))=0,"",SUM(IF(($B$49:$B$90=$A22)*($D$49:$D$90=$C22)*($G$48:$S$48=M$15),$G$49:$S$90))*IF($E22=$D22,1,INDEX($B$7:$B$12,MATCH($D22&amp;$E22,$C$7:$C$12&amp;$D$7:$D$12,0))))</f>
        <v>2738.2220000000002</v>
      </c>
      <c r="N22" s="34">
        <f t="array" ref="N22">IF(SUM(IF(($B$49:$B$90=$A22)*($D$49:$D$90=$C22)*($G$48:$S$48=N$15),$G$49:$S$90))=0,"",SUM(IF(($B$49:$B$90=$A22)*($D$49:$D$90=$C22)*($G$48:$S$48=N$15),$G$49:$S$90))*IF($E22=$D22,1,INDEX($B$7:$B$12,MATCH($D22&amp;$E22,$C$7:$C$12&amp;$D$7:$D$12,0))))</f>
        <v>2281.741</v>
      </c>
      <c r="O22" s="34">
        <f t="array" ref="O22">IF(SUM(IF(($B$49:$B$90=$A22)*($D$49:$D$90=$C22)*($G$48:$S$48=O$15),$G$49:$S$90))=0,"",SUM(IF(($B$49:$B$90=$A22)*($D$49:$D$90=$C22)*($G$48:$S$48=O$15),$G$49:$S$90))*IF($E22=$D22,1,INDEX($B$7:$B$12,MATCH($D22&amp;$E22,$C$7:$C$12&amp;$D$7:$D$12,0))))</f>
        <v>1825.2600000000109</v>
      </c>
      <c r="P22" s="34">
        <f t="array" ref="P22">IF(SUM(IF(($B$49:$B$90=$A22)*($D$49:$D$90=$C22)*($G$48:$S$48=P$15),$G$49:$S$90))=0,"",SUM(IF(($B$49:$B$90=$A22)*($D$49:$D$90=$C22)*($G$48:$S$48=P$15),$G$49:$S$90))*IF($E22=$D22,1,INDEX($B$7:$B$12,MATCH($D22&amp;$E22,$C$7:$C$12&amp;$D$7:$D$12,0))))</f>
        <v>1368.7790000000182</v>
      </c>
      <c r="Q22" s="34">
        <f t="array" ref="Q22">IF(SUM(IF(($B$49:$B$90=$A22)*($D$49:$D$90=$C22)*($G$48:$S$48=Q$15),$G$49:$S$90))=0,"",SUM(IF(($B$49:$B$90=$A22)*($D$49:$D$90=$C22)*($G$48:$S$48=Q$15),$G$49:$S$90))*IF($E22=$D22,1,INDEX($B$7:$B$12,MATCH($D22&amp;$E22,$C$7:$C$12&amp;$D$7:$D$12,0))))</f>
        <v>912.29800000002183</v>
      </c>
      <c r="R22" s="34">
        <f t="array" ref="R22">IF(SUM(IF(($B$49:$B$90=$A22)*($D$49:$D$90=$C22)*($G$48:$S$48=R$15),$G$49:$S$90))=0,"",SUM(IF(($B$49:$B$90=$A22)*($D$49:$D$90=$C22)*($G$48:$S$48=R$15),$G$49:$S$90))*IF($E22=$D22,1,INDEX($B$7:$B$12,MATCH($D22&amp;$E22,$C$7:$C$12&amp;$D$7:$D$12,0))))</f>
        <v>455.81700000002559</v>
      </c>
    </row>
    <row r="23" spans="1:18" x14ac:dyDescent="0.3">
      <c r="A23" s="3" t="s">
        <v>372</v>
      </c>
      <c r="B23" s="3" t="str">
        <f>INDEX('R1. Scenario specifications'!$C$11:$C$59,MATCH($A23,'R1. Scenario specifications'!$A$11:$A$59,0))</f>
        <v>Sustainable Development Scenario, World Energy Outlook 2018</v>
      </c>
      <c r="C23" s="3" t="s">
        <v>266</v>
      </c>
      <c r="D23" s="3" t="str">
        <f t="array" ref="D23">INDEX($F$49:$F$90,MATCH($A23&amp;$C23,$B$49:$B$90&amp;$D$49:$D$90,0))</f>
        <v>Mb/day</v>
      </c>
      <c r="E23" s="3" t="str">
        <f t="shared" si="1"/>
        <v>Mb/day</v>
      </c>
      <c r="F23" s="34" t="str">
        <f t="array" ref="F23">IF(SUM(IF(($B$49:$B$90=$A23)*($D$49:$D$90=$C23)*($G$48:$S$48=F$15),$G$49:$S$90))=0,"",SUM(IF(($B$49:$B$90=$A23)*($D$49:$D$90=$C23)*($G$48:$S$48=F$15),$G$49:$S$90))*IF($E23=$D23,1,INDEX($B$7:$B$12,MATCH($D23&amp;$E23,$C$7:$C$12&amp;$D$7:$D$12,0))))</f>
        <v/>
      </c>
      <c r="G23" s="34" t="str">
        <f t="array" ref="G23">IF(SUM(IF(($B$49:$B$90=$A23)*($D$49:$D$90=$C23)*($G$48:$S$48=G$15),$G$49:$S$90))=0,"",SUM(IF(($B$49:$B$90=$A23)*($D$49:$D$90=$C23)*($G$48:$S$48=G$15),$G$49:$S$90))*IF($E23=$D23,1,INDEX($B$7:$B$12,MATCH($D23&amp;$E23,$C$7:$C$12&amp;$D$7:$D$12,0))))</f>
        <v/>
      </c>
      <c r="H23" s="34">
        <f t="array" ref="H23">IF(SUM(IF(($B$49:$B$90=$A23)*($D$49:$D$90=$C23)*($G$48:$S$48=H$15),$G$49:$S$90))=0,"",SUM(IF(($B$49:$B$90=$A23)*($D$49:$D$90=$C23)*($G$48:$S$48=H$15),$G$49:$S$90))*IF($E23=$D23,1,INDEX($B$7:$B$12,MATCH($D23&amp;$E23,$C$7:$C$12&amp;$D$7:$D$12,0))))</f>
        <v>92.411000000000001</v>
      </c>
      <c r="I23" s="34">
        <f t="array" ref="I23">IF(SUM(IF(($B$49:$B$90=$A23)*($D$49:$D$90=$C23)*($G$48:$S$48=I$15),$G$49:$S$90))=0,"",SUM(IF(($B$49:$B$90=$A23)*($D$49:$D$90=$C23)*($G$48:$S$48=I$15),$G$49:$S$90))*IF($E23=$D23,1,INDEX($B$7:$B$12,MATCH($D23&amp;$E23,$C$7:$C$12&amp;$D$7:$D$12,0))))</f>
        <v>92.781000000000006</v>
      </c>
      <c r="J23" s="34">
        <f t="array" ref="J23">IF(SUM(IF(($B$49:$B$90=$A23)*($D$49:$D$90=$C23)*($G$48:$S$48=J$15),$G$49:$S$90))=0,"",SUM(IF(($B$49:$B$90=$A23)*($D$49:$D$90=$C23)*($G$48:$S$48=J$15),$G$49:$S$90))*IF($E23=$D23,1,INDEX($B$7:$B$12,MATCH($D23&amp;$E23,$C$7:$C$12&amp;$D$7:$D$12,0))))</f>
        <v>92.325000000000003</v>
      </c>
      <c r="K23" s="34">
        <f t="array" ref="K23">IF(SUM(IF(($B$49:$B$90=$A23)*($D$49:$D$90=$C23)*($G$48:$S$48=K$15),$G$49:$S$90))=0,"",SUM(IF(($B$49:$B$90=$A23)*($D$49:$D$90=$C23)*($G$48:$S$48=K$15),$G$49:$S$90))*IF($E23=$D23,1,INDEX($B$7:$B$12,MATCH($D23&amp;$E23,$C$7:$C$12&amp;$D$7:$D$12,0))))</f>
        <v>91.564999999999998</v>
      </c>
      <c r="L23" s="34">
        <f t="array" ref="L23">IF(SUM(IF(($B$49:$B$90=$A23)*($D$49:$D$90=$C23)*($G$48:$S$48=L$15),$G$49:$S$90))=0,"",SUM(IF(($B$49:$B$90=$A23)*($D$49:$D$90=$C23)*($G$48:$S$48=L$15),$G$49:$S$90))*IF($E23=$D23,1,INDEX($B$7:$B$12,MATCH($D23&amp;$E23,$C$7:$C$12&amp;$D$7:$D$12,0))))</f>
        <v>84.728999999999999</v>
      </c>
      <c r="M23" s="34">
        <f t="array" ref="M23">IF(SUM(IF(($B$49:$B$90=$A23)*($D$49:$D$90=$C23)*($G$48:$S$48=M$15),$G$49:$S$90))=0,"",SUM(IF(($B$49:$B$90=$A23)*($D$49:$D$90=$C23)*($G$48:$S$48=M$15),$G$49:$S$90))*IF($E23=$D23,1,INDEX($B$7:$B$12,MATCH($D23&amp;$E23,$C$7:$C$12&amp;$D$7:$D$12,0))))</f>
        <v>75.206999999999994</v>
      </c>
      <c r="N23" s="34">
        <f t="array" ref="N23">IF(SUM(IF(($B$49:$B$90=$A23)*($D$49:$D$90=$C23)*($G$48:$S$48=N$15),$G$49:$S$90))=0,"",SUM(IF(($B$49:$B$90=$A23)*($D$49:$D$90=$C23)*($G$48:$S$48=N$15),$G$49:$S$90))*IF($E23=$D23,1,INDEX($B$7:$B$12,MATCH($D23&amp;$E23,$C$7:$C$12&amp;$D$7:$D$12,0))))</f>
        <v>67.968999999999994</v>
      </c>
      <c r="O23" s="34">
        <f t="array" ref="O23">IF(SUM(IF(($B$49:$B$90=$A23)*($D$49:$D$90=$C23)*($G$48:$S$48=O$15),$G$49:$S$90))=0,"",SUM(IF(($B$49:$B$90=$A23)*($D$49:$D$90=$C23)*($G$48:$S$48=O$15),$G$49:$S$90))*IF($E23=$D23,1,INDEX($B$7:$B$12,MATCH($D23&amp;$E23,$C$7:$C$12&amp;$D$7:$D$12,0))))</f>
        <v>60.731000000000222</v>
      </c>
      <c r="P23" s="34">
        <f t="array" ref="P23">IF(SUM(IF(($B$49:$B$90=$A23)*($D$49:$D$90=$C23)*($G$48:$S$48=P$15),$G$49:$S$90))=0,"",SUM(IF(($B$49:$B$90=$A23)*($D$49:$D$90=$C23)*($G$48:$S$48=P$15),$G$49:$S$90))*IF($E23=$D23,1,INDEX($B$7:$B$12,MATCH($D23&amp;$E23,$C$7:$C$12&amp;$D$7:$D$12,0))))</f>
        <v>53.493000000000393</v>
      </c>
      <c r="Q23" s="34">
        <f t="array" ref="Q23">IF(SUM(IF(($B$49:$B$90=$A23)*($D$49:$D$90=$C23)*($G$48:$S$48=Q$15),$G$49:$S$90))=0,"",SUM(IF(($B$49:$B$90=$A23)*($D$49:$D$90=$C23)*($G$48:$S$48=Q$15),$G$49:$S$90))*IF($E23=$D23,1,INDEX($B$7:$B$12,MATCH($D23&amp;$E23,$C$7:$C$12&amp;$D$7:$D$12,0))))</f>
        <v>46.255000000000109</v>
      </c>
      <c r="R23" s="34">
        <f t="array" ref="R23">IF(SUM(IF(($B$49:$B$90=$A23)*($D$49:$D$90=$C23)*($G$48:$S$48=R$15),$G$49:$S$90))=0,"",SUM(IF(($B$49:$B$90=$A23)*($D$49:$D$90=$C23)*($G$48:$S$48=R$15),$G$49:$S$90))*IF($E23=$D23,1,INDEX($B$7:$B$12,MATCH($D23&amp;$E23,$C$7:$C$12&amp;$D$7:$D$12,0))))</f>
        <v>39.01700000000028</v>
      </c>
    </row>
    <row r="24" spans="1:18" x14ac:dyDescent="0.3">
      <c r="A24" s="3" t="s">
        <v>372</v>
      </c>
      <c r="B24" s="3" t="str">
        <f>INDEX('R1. Scenario specifications'!$C$11:$C$59,MATCH($A24,'R1. Scenario specifications'!$A$11:$A$59,0))</f>
        <v>Sustainable Development Scenario, World Energy Outlook 2018</v>
      </c>
      <c r="C24" s="3" t="s">
        <v>255</v>
      </c>
      <c r="D24" s="3" t="str">
        <f t="array" ref="D24">INDEX($F$49:$F$90,MATCH($A24&amp;$C24,$B$49:$B$90&amp;$D$49:$D$90,0))</f>
        <v>bcm</v>
      </c>
      <c r="E24" s="3" t="str">
        <f t="shared" si="1"/>
        <v>bcm</v>
      </c>
      <c r="F24" s="34" t="str">
        <f t="array" ref="F24">IF(SUM(IF(($B$49:$B$90=$A24)*($D$49:$D$90=$C24)*($G$48:$S$48=F$15),$G$49:$S$90))=0,"",SUM(IF(($B$49:$B$90=$A24)*($D$49:$D$90=$C24)*($G$48:$S$48=F$15),$G$49:$S$90))*IF($E24=$D24,1,INDEX($B$7:$B$12,MATCH($D24&amp;$E24,$C$7:$C$12&amp;$D$7:$D$12,0))))</f>
        <v/>
      </c>
      <c r="G24" s="34" t="str">
        <f t="array" ref="G24">IF(SUM(IF(($B$49:$B$90=$A24)*($D$49:$D$90=$C24)*($G$48:$S$48=G$15),$G$49:$S$90))=0,"",SUM(IF(($B$49:$B$90=$A24)*($D$49:$D$90=$C24)*($G$48:$S$48=G$15),$G$49:$S$90))*IF($E24=$D24,1,INDEX($B$7:$B$12,MATCH($D24&amp;$E24,$C$7:$C$12&amp;$D$7:$D$12,0))))</f>
        <v/>
      </c>
      <c r="H24" s="34">
        <f t="array" ref="H24">IF(SUM(IF(($B$49:$B$90=$A24)*($D$49:$D$90=$C24)*($G$48:$S$48=H$15),$G$49:$S$90))=0,"",SUM(IF(($B$49:$B$90=$A24)*($D$49:$D$90=$C24)*($G$48:$S$48=H$15),$G$49:$S$90))*IF($E24=$D24,1,INDEX($B$7:$B$12,MATCH($D24&amp;$E24,$C$7:$C$12&amp;$D$7:$D$12,0))))</f>
        <v>3636.84</v>
      </c>
      <c r="I24" s="34">
        <f t="array" ref="I24">IF(SUM(IF(($B$49:$B$90=$A24)*($D$49:$D$90=$C24)*($G$48:$S$48=I$15),$G$49:$S$90))=0,"",SUM(IF(($B$49:$B$90=$A24)*($D$49:$D$90=$C24)*($G$48:$S$48=I$15),$G$49:$S$90))*IF($E24=$D24,1,INDEX($B$7:$B$12,MATCH($D24&amp;$E24,$C$7:$C$12&amp;$D$7:$D$12,0))))</f>
        <v>3768.86</v>
      </c>
      <c r="J24" s="34">
        <f t="array" ref="J24">IF(SUM(IF(($B$49:$B$90=$A24)*($D$49:$D$90=$C24)*($G$48:$S$48=J$15),$G$49:$S$90))=0,"",SUM(IF(($B$49:$B$90=$A24)*($D$49:$D$90=$C24)*($G$48:$S$48=J$15),$G$49:$S$90))*IF($E24=$D24,1,INDEX($B$7:$B$12,MATCH($D24&amp;$E24,$C$7:$C$12&amp;$D$7:$D$12,0))))</f>
        <v>3926.5250000000001</v>
      </c>
      <c r="K24" s="34">
        <f t="array" ref="K24">IF(SUM(IF(($B$49:$B$90=$A24)*($D$49:$D$90=$C24)*($G$48:$S$48=K$15),$G$49:$S$90))=0,"",SUM(IF(($B$49:$B$90=$A24)*($D$49:$D$90=$C24)*($G$48:$S$48=K$15),$G$49:$S$90))*IF($E24=$D24,1,INDEX($B$7:$B$12,MATCH($D24&amp;$E24,$C$7:$C$12&amp;$D$7:$D$12,0))))</f>
        <v>4189.3</v>
      </c>
      <c r="L24" s="34">
        <f t="array" ref="L24">IF(SUM(IF(($B$49:$B$90=$A24)*($D$49:$D$90=$C24)*($G$48:$S$48=L$15),$G$49:$S$90))=0,"",SUM(IF(($B$49:$B$90=$A24)*($D$49:$D$90=$C24)*($G$48:$S$48=L$15),$G$49:$S$90))*IF($E24=$D24,1,INDEX($B$7:$B$12,MATCH($D24&amp;$E24,$C$7:$C$12&amp;$D$7:$D$12,0))))</f>
        <v>4317.6000000000004</v>
      </c>
      <c r="M24" s="34">
        <f t="array" ref="M24">IF(SUM(IF(($B$49:$B$90=$A24)*($D$49:$D$90=$C24)*($G$48:$S$48=M$15),$G$49:$S$90))=0,"",SUM(IF(($B$49:$B$90=$A24)*($D$49:$D$90=$C24)*($G$48:$S$48=M$15),$G$49:$S$90))*IF($E24=$D24,1,INDEX($B$7:$B$12,MATCH($D24&amp;$E24,$C$7:$C$12&amp;$D$7:$D$12,0))))</f>
        <v>4297.6899999999996</v>
      </c>
      <c r="N24" s="34">
        <f t="array" ref="N24">IF(SUM(IF(($B$49:$B$90=$A24)*($D$49:$D$90=$C24)*($G$48:$S$48=N$15),$G$49:$S$90))=0,"",SUM(IF(($B$49:$B$90=$A24)*($D$49:$D$90=$C24)*($G$48:$S$48=N$15),$G$49:$S$90))*IF($E24=$D24,1,INDEX($B$7:$B$12,MATCH($D24&amp;$E24,$C$7:$C$12&amp;$D$7:$D$12,0))))</f>
        <v>4184.12</v>
      </c>
      <c r="O24" s="34">
        <f t="array" ref="O24">IF(SUM(IF(($B$49:$B$90=$A24)*($D$49:$D$90=$C24)*($G$48:$S$48=O$15),$G$49:$S$90))=0,"",SUM(IF(($B$49:$B$90=$A24)*($D$49:$D$90=$C24)*($G$48:$S$48=O$15),$G$49:$S$90))*IF($E24=$D24,1,INDEX($B$7:$B$12,MATCH($D24&amp;$E24,$C$7:$C$12&amp;$D$7:$D$12,0))))</f>
        <v>4070.5500000000029</v>
      </c>
      <c r="P24" s="34">
        <f t="array" ref="P24">IF(SUM(IF(($B$49:$B$90=$A24)*($D$49:$D$90=$C24)*($G$48:$S$48=P$15),$G$49:$S$90))=0,"",SUM(IF(($B$49:$B$90=$A24)*($D$49:$D$90=$C24)*($G$48:$S$48=P$15),$G$49:$S$90))*IF($E24=$D24,1,INDEX($B$7:$B$12,MATCH($D24&amp;$E24,$C$7:$C$12&amp;$D$7:$D$12,0))))</f>
        <v>3956.9800000000032</v>
      </c>
      <c r="Q24" s="34">
        <f t="array" ref="Q24">IF(SUM(IF(($B$49:$B$90=$A24)*($D$49:$D$90=$C24)*($G$48:$S$48=Q$15),$G$49:$S$90))=0,"",SUM(IF(($B$49:$B$90=$A24)*($D$49:$D$90=$C24)*($G$48:$S$48=Q$15),$G$49:$S$90))*IF($E24=$D24,1,INDEX($B$7:$B$12,MATCH($D24&amp;$E24,$C$7:$C$12&amp;$D$7:$D$12,0))))</f>
        <v>3843.4100000000035</v>
      </c>
      <c r="R24" s="34">
        <f t="array" ref="R24">IF(SUM(IF(($B$49:$B$90=$A24)*($D$49:$D$90=$C24)*($G$48:$S$48=R$15),$G$49:$S$90))=0,"",SUM(IF(($B$49:$B$90=$A24)*($D$49:$D$90=$C24)*($G$48:$S$48=R$15),$G$49:$S$90))*IF($E24=$D24,1,INDEX($B$7:$B$12,MATCH($D24&amp;$E24,$C$7:$C$12&amp;$D$7:$D$12,0))))</f>
        <v>3729.8400000000038</v>
      </c>
    </row>
    <row r="25" spans="1:18" x14ac:dyDescent="0.3">
      <c r="A25" s="3" t="s">
        <v>378</v>
      </c>
      <c r="B25" s="3" t="str">
        <f>INDEX('R1. Scenario specifications'!$C$11:$C$59,MATCH($A25,'R1. Scenario specifications'!$A$11:$A$59,0))</f>
        <v>Current Policies Scenario, World Energy Outlook 2016</v>
      </c>
      <c r="C25" s="3" t="s">
        <v>254</v>
      </c>
      <c r="D25" s="3" t="str">
        <f t="array" ref="D25">INDEX($F$49:$F$90,MATCH($A25&amp;$C25,$B$49:$B$90&amp;$D$49:$D$90,0))</f>
        <v>Mtce</v>
      </c>
      <c r="E25" s="3" t="str">
        <f t="shared" si="1"/>
        <v>Mtce</v>
      </c>
      <c r="F25" s="34">
        <f t="array" ref="F25">IF(SUM(IF(($B$49:$B$90=$A25)*($D$49:$D$90=$C25)*($G$48:$S$48=F$15),$G$49:$S$90))=0,"",SUM(IF(($B$49:$B$90=$A25)*($D$49:$D$90=$C25)*($G$48:$S$48=F$15),$G$49:$S$90))*IF($E25=$D25,1,INDEX($B$7:$B$12,MATCH($D25&amp;$E25,$C$7:$C$12&amp;$D$7:$D$12,0))))</f>
        <v>5680.2</v>
      </c>
      <c r="G25" s="34" t="str">
        <f t="array" ref="G25">IF(SUM(IF(($B$49:$B$90=$A25)*($D$49:$D$90=$C25)*($G$48:$S$48=G$15),$G$49:$S$90))=0,"",SUM(IF(($B$49:$B$90=$A25)*($D$49:$D$90=$C25)*($G$48:$S$48=G$15),$G$49:$S$90))*IF($E25=$D25,1,INDEX($B$7:$B$12,MATCH($D25&amp;$E25,$C$7:$C$12&amp;$D$7:$D$12,0))))</f>
        <v/>
      </c>
      <c r="H25" s="34" t="str">
        <f t="array" ref="H25">IF(SUM(IF(($B$49:$B$90=$A25)*($D$49:$D$90=$C25)*($G$48:$S$48=H$15),$G$49:$S$90))=0,"",SUM(IF(($B$49:$B$90=$A25)*($D$49:$D$90=$C25)*($G$48:$S$48=H$15),$G$49:$S$90))*IF($E25=$D25,1,INDEX($B$7:$B$12,MATCH($D25&amp;$E25,$C$7:$C$12&amp;$D$7:$D$12,0))))</f>
        <v/>
      </c>
      <c r="I25" s="34" t="str">
        <f t="array" ref="I25">IF(SUM(IF(($B$49:$B$90=$A25)*($D$49:$D$90=$C25)*($G$48:$S$48=I$15),$G$49:$S$90))=0,"",SUM(IF(($B$49:$B$90=$A25)*($D$49:$D$90=$C25)*($G$48:$S$48=I$15),$G$49:$S$90))*IF($E25=$D25,1,INDEX($B$7:$B$12,MATCH($D25&amp;$E25,$C$7:$C$12&amp;$D$7:$D$12,0))))</f>
        <v/>
      </c>
      <c r="J25" s="34">
        <f t="array" ref="J25">IF(SUM(IF(($B$49:$B$90=$A25)*($D$49:$D$90=$C25)*($G$48:$S$48=J$15),$G$49:$S$90))=0,"",SUM(IF(($B$49:$B$90=$A25)*($D$49:$D$90=$C25)*($G$48:$S$48=J$15),$G$49:$S$90))*IF($E25=$D25,1,INDEX($B$7:$B$12,MATCH($D25&amp;$E25,$C$7:$C$12&amp;$D$7:$D$12,0))))</f>
        <v>5787.71</v>
      </c>
      <c r="K25" s="34" t="str">
        <f t="array" ref="K25">IF(SUM(IF(($B$49:$B$90=$A25)*($D$49:$D$90=$C25)*($G$48:$S$48=K$15),$G$49:$S$90))=0,"",SUM(IF(($B$49:$B$90=$A25)*($D$49:$D$90=$C25)*($G$48:$S$48=K$15),$G$49:$S$90))*IF($E25=$D25,1,INDEX($B$7:$B$12,MATCH($D25&amp;$E25,$C$7:$C$12&amp;$D$7:$D$12,0))))</f>
        <v/>
      </c>
      <c r="L25" s="34">
        <f t="array" ref="L25">IF(SUM(IF(($B$49:$B$90=$A25)*($D$49:$D$90=$C25)*($G$48:$S$48=L$15),$G$49:$S$90))=0,"",SUM(IF(($B$49:$B$90=$A25)*($D$49:$D$90=$C25)*($G$48:$S$48=L$15),$G$49:$S$90))*IF($E25=$D25,1,INDEX($B$7:$B$12,MATCH($D25&amp;$E25,$C$7:$C$12&amp;$D$7:$D$12,0))))</f>
        <v>6728.5300000000007</v>
      </c>
      <c r="M25" s="34" t="str">
        <f t="array" ref="M25">IF(SUM(IF(($B$49:$B$90=$A25)*($D$49:$D$90=$C25)*($G$48:$S$48=M$15),$G$49:$S$90))=0,"",SUM(IF(($B$49:$B$90=$A25)*($D$49:$D$90=$C25)*($G$48:$S$48=M$15),$G$49:$S$90))*IF($E25=$D25,1,INDEX($B$7:$B$12,MATCH($D25&amp;$E25,$C$7:$C$12&amp;$D$7:$D$12,0))))</f>
        <v/>
      </c>
      <c r="N25" s="34">
        <f t="array" ref="N25">IF(SUM(IF(($B$49:$B$90=$A25)*($D$49:$D$90=$C25)*($G$48:$S$48=N$15),$G$49:$S$90))=0,"",SUM(IF(($B$49:$B$90=$A25)*($D$49:$D$90=$C25)*($G$48:$S$48=N$15),$G$49:$S$90))*IF($E25=$D25,1,INDEX($B$7:$B$12,MATCH($D25&amp;$E25,$C$7:$C$12&amp;$D$7:$D$12,0))))</f>
        <v>7609.82</v>
      </c>
      <c r="O25" s="34">
        <f t="array" ref="O25">IF(SUM(IF(($B$49:$B$90=$A25)*($D$49:$D$90=$C25)*($G$48:$S$48=O$15),$G$49:$S$90))=0,"",SUM(IF(($B$49:$B$90=$A25)*($D$49:$D$90=$C25)*($G$48:$S$48=O$15),$G$49:$S$90))*IF($E25=$D25,1,INDEX($B$7:$B$12,MATCH($D25&amp;$E25,$C$7:$C$12&amp;$D$7:$D$12,0))))</f>
        <v>8050.4650000000001</v>
      </c>
      <c r="P25" s="34">
        <f t="array" ref="P25">IF(SUM(IF(($B$49:$B$90=$A25)*($D$49:$D$90=$C25)*($G$48:$S$48=P$15),$G$49:$S$90))=0,"",SUM(IF(($B$49:$B$90=$A25)*($D$49:$D$90=$C25)*($G$48:$S$48=P$15),$G$49:$S$90))*IF($E25=$D25,1,INDEX($B$7:$B$12,MATCH($D25&amp;$E25,$C$7:$C$12&amp;$D$7:$D$12,0))))</f>
        <v>8491.11</v>
      </c>
      <c r="Q25" s="34">
        <f t="array" ref="Q25">IF(SUM(IF(($B$49:$B$90=$A25)*($D$49:$D$90=$C25)*($G$48:$S$48=Q$15),$G$49:$S$90))=0,"",SUM(IF(($B$49:$B$90=$A25)*($D$49:$D$90=$C25)*($G$48:$S$48=Q$15),$G$49:$S$90))*IF($E25=$D25,1,INDEX($B$7:$B$12,MATCH($D25&amp;$E25,$C$7:$C$12&amp;$D$7:$D$12,0))))</f>
        <v>8931.7549999999992</v>
      </c>
      <c r="R25" s="34">
        <f t="array" ref="R25">IF(SUM(IF(($B$49:$B$90=$A25)*($D$49:$D$90=$C25)*($G$48:$S$48=R$15),$G$49:$S$90))=0,"",SUM(IF(($B$49:$B$90=$A25)*($D$49:$D$90=$C25)*($G$48:$S$48=R$15),$G$49:$S$90))*IF($E25=$D25,1,INDEX($B$7:$B$12,MATCH($D25&amp;$E25,$C$7:$C$12&amp;$D$7:$D$12,0))))</f>
        <v>9372.4</v>
      </c>
    </row>
    <row r="26" spans="1:18" x14ac:dyDescent="0.3">
      <c r="A26" s="3" t="s">
        <v>378</v>
      </c>
      <c r="B26" s="3" t="str">
        <f>INDEX('R1. Scenario specifications'!$C$11:$C$59,MATCH($A26,'R1. Scenario specifications'!$A$11:$A$59,0))</f>
        <v>Current Policies Scenario, World Energy Outlook 2016</v>
      </c>
      <c r="C26" s="3" t="s">
        <v>266</v>
      </c>
      <c r="D26" s="3" t="str">
        <f t="array" ref="D26">INDEX($F$49:$F$90,MATCH($A26&amp;$C26,$B$49:$B$90&amp;$D$49:$D$90,0))</f>
        <v>Mb/day</v>
      </c>
      <c r="E26" s="3" t="str">
        <f t="shared" si="1"/>
        <v>Mb/day</v>
      </c>
      <c r="F26" s="34">
        <f t="array" ref="F26">IF(SUM(IF(($B$49:$B$90=$A26)*($D$49:$D$90=$C26)*($G$48:$S$48=F$15),$G$49:$S$90))=0,"",SUM(IF(($B$49:$B$90=$A26)*($D$49:$D$90=$C26)*($G$48:$S$48=F$15),$G$49:$S$90))*IF($E26=$D26,1,INDEX($B$7:$B$12,MATCH($D26&amp;$E26,$C$7:$C$12&amp;$D$7:$D$12,0))))</f>
        <v>89.607299999999995</v>
      </c>
      <c r="G26" s="34" t="str">
        <f t="array" ref="G26">IF(SUM(IF(($B$49:$B$90=$A26)*($D$49:$D$90=$C26)*($G$48:$S$48=G$15),$G$49:$S$90))=0,"",SUM(IF(($B$49:$B$90=$A26)*($D$49:$D$90=$C26)*($G$48:$S$48=G$15),$G$49:$S$90))*IF($E26=$D26,1,INDEX($B$7:$B$12,MATCH($D26&amp;$E26,$C$7:$C$12&amp;$D$7:$D$12,0))))</f>
        <v/>
      </c>
      <c r="H26" s="34" t="str">
        <f t="array" ref="H26">IF(SUM(IF(($B$49:$B$90=$A26)*($D$49:$D$90=$C26)*($G$48:$S$48=H$15),$G$49:$S$90))=0,"",SUM(IF(($B$49:$B$90=$A26)*($D$49:$D$90=$C26)*($G$48:$S$48=H$15),$G$49:$S$90))*IF($E26=$D26,1,INDEX($B$7:$B$12,MATCH($D26&amp;$E26,$C$7:$C$12&amp;$D$7:$D$12,0))))</f>
        <v/>
      </c>
      <c r="I26" s="34" t="str">
        <f t="array" ref="I26">IF(SUM(IF(($B$49:$B$90=$A26)*($D$49:$D$90=$C26)*($G$48:$S$48=I$15),$G$49:$S$90))=0,"",SUM(IF(($B$49:$B$90=$A26)*($D$49:$D$90=$C26)*($G$48:$S$48=I$15),$G$49:$S$90))*IF($E26=$D26,1,INDEX($B$7:$B$12,MATCH($D26&amp;$E26,$C$7:$C$12&amp;$D$7:$D$12,0))))</f>
        <v/>
      </c>
      <c r="J26" s="34">
        <f t="array" ref="J26">IF(SUM(IF(($B$49:$B$90=$A26)*($D$49:$D$90=$C26)*($G$48:$S$48=J$15),$G$49:$S$90))=0,"",SUM(IF(($B$49:$B$90=$A26)*($D$49:$D$90=$C26)*($G$48:$S$48=J$15),$G$49:$S$90))*IF($E26=$D26,1,INDEX($B$7:$B$12,MATCH($D26&amp;$E26,$C$7:$C$12&amp;$D$7:$D$12,0))))</f>
        <v>95.005899999999997</v>
      </c>
      <c r="K26" s="34" t="str">
        <f t="array" ref="K26">IF(SUM(IF(($B$49:$B$90=$A26)*($D$49:$D$90=$C26)*($G$48:$S$48=K$15),$G$49:$S$90))=0,"",SUM(IF(($B$49:$B$90=$A26)*($D$49:$D$90=$C26)*($G$48:$S$48=K$15),$G$49:$S$90))*IF($E26=$D26,1,INDEX($B$7:$B$12,MATCH($D26&amp;$E26,$C$7:$C$12&amp;$D$7:$D$12,0))))</f>
        <v/>
      </c>
      <c r="L26" s="34">
        <f t="array" ref="L26">IF(SUM(IF(($B$49:$B$90=$A26)*($D$49:$D$90=$C26)*($G$48:$S$48=L$15),$G$49:$S$90))=0,"",SUM(IF(($B$49:$B$90=$A26)*($D$49:$D$90=$C26)*($G$48:$S$48=L$15),$G$49:$S$90))*IF($E26=$D26,1,INDEX($B$7:$B$12,MATCH($D26&amp;$E26,$C$7:$C$12&amp;$D$7:$D$12,0))))</f>
        <v>103.86</v>
      </c>
      <c r="M26" s="34" t="str">
        <f t="array" ref="M26">IF(SUM(IF(($B$49:$B$90=$A26)*($D$49:$D$90=$C26)*($G$48:$S$48=M$15),$G$49:$S$90))=0,"",SUM(IF(($B$49:$B$90=$A26)*($D$49:$D$90=$C26)*($G$48:$S$48=M$15),$G$49:$S$90))*IF($E26=$D26,1,INDEX($B$7:$B$12,MATCH($D26&amp;$E26,$C$7:$C$12&amp;$D$7:$D$12,0))))</f>
        <v/>
      </c>
      <c r="N26" s="34">
        <f t="array" ref="N26">IF(SUM(IF(($B$49:$B$90=$A26)*($D$49:$D$90=$C26)*($G$48:$S$48=N$15),$G$49:$S$90))=0,"",SUM(IF(($B$49:$B$90=$A26)*($D$49:$D$90=$C26)*($G$48:$S$48=N$15),$G$49:$S$90))*IF($E26=$D26,1,INDEX($B$7:$B$12,MATCH($D26&amp;$E26,$C$7:$C$12&amp;$D$7:$D$12,0))))</f>
        <v>113.57299999999999</v>
      </c>
      <c r="O26" s="34">
        <f t="array" ref="O26">IF(SUM(IF(($B$49:$B$90=$A26)*($D$49:$D$90=$C26)*($G$48:$S$48=O$15),$G$49:$S$90))=0,"",SUM(IF(($B$49:$B$90=$A26)*($D$49:$D$90=$C26)*($G$48:$S$48=O$15),$G$49:$S$90))*IF($E26=$D26,1,INDEX($B$7:$B$12,MATCH($D26&amp;$E26,$C$7:$C$12&amp;$D$7:$D$12,0))))</f>
        <v>118.42949999999999</v>
      </c>
      <c r="P26" s="34">
        <f t="array" ref="P26">IF(SUM(IF(($B$49:$B$90=$A26)*($D$49:$D$90=$C26)*($G$48:$S$48=P$15),$G$49:$S$90))=0,"",SUM(IF(($B$49:$B$90=$A26)*($D$49:$D$90=$C26)*($G$48:$S$48=P$15),$G$49:$S$90))*IF($E26=$D26,1,INDEX($B$7:$B$12,MATCH($D26&amp;$E26,$C$7:$C$12&amp;$D$7:$D$12,0))))</f>
        <v>123.28599999999999</v>
      </c>
      <c r="Q26" s="34">
        <f t="array" ref="Q26">IF(SUM(IF(($B$49:$B$90=$A26)*($D$49:$D$90=$C26)*($G$48:$S$48=Q$15),$G$49:$S$90))=0,"",SUM(IF(($B$49:$B$90=$A26)*($D$49:$D$90=$C26)*($G$48:$S$48=Q$15),$G$49:$S$90))*IF($E26=$D26,1,INDEX($B$7:$B$12,MATCH($D26&amp;$E26,$C$7:$C$12&amp;$D$7:$D$12,0))))</f>
        <v>128.14249999999998</v>
      </c>
      <c r="R26" s="34">
        <f t="array" ref="R26">IF(SUM(IF(($B$49:$B$90=$A26)*($D$49:$D$90=$C26)*($G$48:$S$48=R$15),$G$49:$S$90))=0,"",SUM(IF(($B$49:$B$90=$A26)*($D$49:$D$90=$C26)*($G$48:$S$48=R$15),$G$49:$S$90))*IF($E26=$D26,1,INDEX($B$7:$B$12,MATCH($D26&amp;$E26,$C$7:$C$12&amp;$D$7:$D$12,0))))</f>
        <v>132.99899999999997</v>
      </c>
    </row>
    <row r="27" spans="1:18" x14ac:dyDescent="0.3">
      <c r="A27" s="3" t="s">
        <v>378</v>
      </c>
      <c r="B27" s="3" t="str">
        <f>INDEX('R1. Scenario specifications'!$C$11:$C$59,MATCH($A27,'R1. Scenario specifications'!$A$11:$A$59,0))</f>
        <v>Current Policies Scenario, World Energy Outlook 2016</v>
      </c>
      <c r="C27" s="3" t="s">
        <v>255</v>
      </c>
      <c r="D27" s="3" t="str">
        <f t="array" ref="D27">INDEX($F$49:$F$90,MATCH($A27&amp;$C27,$B$49:$B$90&amp;$D$49:$D$90,0))</f>
        <v>bcm</v>
      </c>
      <c r="E27" s="3" t="str">
        <f t="shared" si="1"/>
        <v>bcm</v>
      </c>
      <c r="F27" s="34">
        <f t="array" ref="F27">IF(SUM(IF(($B$49:$B$90=$A27)*($D$49:$D$90=$C27)*($G$48:$S$48=F$15),$G$49:$S$90))=0,"",SUM(IF(($B$49:$B$90=$A27)*($D$49:$D$90=$C27)*($G$48:$S$48=F$15),$G$49:$S$90))*IF($E27=$D27,1,INDEX($B$7:$B$12,MATCH($D27&amp;$E27,$C$7:$C$12&amp;$D$7:$D$12,0))))</f>
        <v>3536.37</v>
      </c>
      <c r="G27" s="34" t="str">
        <f t="array" ref="G27">IF(SUM(IF(($B$49:$B$90=$A27)*($D$49:$D$90=$C27)*($G$48:$S$48=G$15),$G$49:$S$90))=0,"",SUM(IF(($B$49:$B$90=$A27)*($D$49:$D$90=$C27)*($G$48:$S$48=G$15),$G$49:$S$90))*IF($E27=$D27,1,INDEX($B$7:$B$12,MATCH($D27&amp;$E27,$C$7:$C$12&amp;$D$7:$D$12,0))))</f>
        <v/>
      </c>
      <c r="H27" s="34" t="str">
        <f t="array" ref="H27">IF(SUM(IF(($B$49:$B$90=$A27)*($D$49:$D$90=$C27)*($G$48:$S$48=H$15),$G$49:$S$90))=0,"",SUM(IF(($B$49:$B$90=$A27)*($D$49:$D$90=$C27)*($G$48:$S$48=H$15),$G$49:$S$90))*IF($E27=$D27,1,INDEX($B$7:$B$12,MATCH($D27&amp;$E27,$C$7:$C$12&amp;$D$7:$D$12,0))))</f>
        <v/>
      </c>
      <c r="I27" s="34" t="str">
        <f t="array" ref="I27">IF(SUM(IF(($B$49:$B$90=$A27)*($D$49:$D$90=$C27)*($G$48:$S$48=I$15),$G$49:$S$90))=0,"",SUM(IF(($B$49:$B$90=$A27)*($D$49:$D$90=$C27)*($G$48:$S$48=I$15),$G$49:$S$90))*IF($E27=$D27,1,INDEX($B$7:$B$12,MATCH($D27&amp;$E27,$C$7:$C$12&amp;$D$7:$D$12,0))))</f>
        <v/>
      </c>
      <c r="J27" s="34">
        <f t="array" ref="J27">IF(SUM(IF(($B$49:$B$90=$A27)*($D$49:$D$90=$C27)*($G$48:$S$48=J$15),$G$49:$S$90))=0,"",SUM(IF(($B$49:$B$90=$A27)*($D$49:$D$90=$C27)*($G$48:$S$48=J$15),$G$49:$S$90))*IF($E27=$D27,1,INDEX($B$7:$B$12,MATCH($D27&amp;$E27,$C$7:$C$12&amp;$D$7:$D$12,0))))</f>
        <v>3864.93</v>
      </c>
      <c r="K27" s="34" t="str">
        <f t="array" ref="K27">IF(SUM(IF(($B$49:$B$90=$A27)*($D$49:$D$90=$C27)*($G$48:$S$48=K$15),$G$49:$S$90))=0,"",SUM(IF(($B$49:$B$90=$A27)*($D$49:$D$90=$C27)*($G$48:$S$48=K$15),$G$49:$S$90))*IF($E27=$D27,1,INDEX($B$7:$B$12,MATCH($D27&amp;$E27,$C$7:$C$12&amp;$D$7:$D$12,0))))</f>
        <v/>
      </c>
      <c r="L27" s="34">
        <f t="array" ref="L27">IF(SUM(IF(($B$49:$B$90=$A27)*($D$49:$D$90=$C27)*($G$48:$S$48=L$15),$G$49:$S$90))=0,"",SUM(IF(($B$49:$B$90=$A27)*($D$49:$D$90=$C27)*($G$48:$S$48=L$15),$G$49:$S$90))*IF($E27=$D27,1,INDEX($B$7:$B$12,MATCH($D27&amp;$E27,$C$7:$C$12&amp;$D$7:$D$12,0))))</f>
        <v>4726.22</v>
      </c>
      <c r="M27" s="34" t="str">
        <f t="array" ref="M27">IF(SUM(IF(($B$49:$B$90=$A27)*($D$49:$D$90=$C27)*($G$48:$S$48=M$15),$G$49:$S$90))=0,"",SUM(IF(($B$49:$B$90=$A27)*($D$49:$D$90=$C27)*($G$48:$S$48=M$15),$G$49:$S$90))*IF($E27=$D27,1,INDEX($B$7:$B$12,MATCH($D27&amp;$E27,$C$7:$C$12&amp;$D$7:$D$12,0))))</f>
        <v/>
      </c>
      <c r="N27" s="34">
        <f t="array" ref="N27">IF(SUM(IF(($B$49:$B$90=$A27)*($D$49:$D$90=$C27)*($G$48:$S$48=N$15),$G$49:$S$90))=0,"",SUM(IF(($B$49:$B$90=$A27)*($D$49:$D$90=$C27)*($G$48:$S$48=N$15),$G$49:$S$90))*IF($E27=$D27,1,INDEX($B$7:$B$12,MATCH($D27&amp;$E27,$C$7:$C$12&amp;$D$7:$D$12,0))))</f>
        <v>5712.73</v>
      </c>
      <c r="O27" s="34">
        <f t="array" ref="O27">IF(SUM(IF(($B$49:$B$90=$A27)*($D$49:$D$90=$C27)*($G$48:$S$48=O$15),$G$49:$S$90))=0,"",SUM(IF(($B$49:$B$90=$A27)*($D$49:$D$90=$C27)*($G$48:$S$48=O$15),$G$49:$S$90))*IF($E27=$D27,1,INDEX($B$7:$B$12,MATCH($D27&amp;$E27,$C$7:$C$12&amp;$D$7:$D$12,0))))</f>
        <v>6205.9849999999988</v>
      </c>
      <c r="P27" s="34">
        <f t="array" ref="P27">IF(SUM(IF(($B$49:$B$90=$A27)*($D$49:$D$90=$C27)*($G$48:$S$48=P$15),$G$49:$S$90))=0,"",SUM(IF(($B$49:$B$90=$A27)*($D$49:$D$90=$C27)*($G$48:$S$48=P$15),$G$49:$S$90))*IF($E27=$D27,1,INDEX($B$7:$B$12,MATCH($D27&amp;$E27,$C$7:$C$12&amp;$D$7:$D$12,0))))</f>
        <v>6699.2399999999989</v>
      </c>
      <c r="Q27" s="34">
        <f t="array" ref="Q27">IF(SUM(IF(($B$49:$B$90=$A27)*($D$49:$D$90=$C27)*($G$48:$S$48=Q$15),$G$49:$S$90))=0,"",SUM(IF(($B$49:$B$90=$A27)*($D$49:$D$90=$C27)*($G$48:$S$48=Q$15),$G$49:$S$90))*IF($E27=$D27,1,INDEX($B$7:$B$12,MATCH($D27&amp;$E27,$C$7:$C$12&amp;$D$7:$D$12,0))))</f>
        <v>7192.494999999999</v>
      </c>
      <c r="R27" s="34">
        <f t="array" ref="R27">IF(SUM(IF(($B$49:$B$90=$A27)*($D$49:$D$90=$C27)*($G$48:$S$48=R$15),$G$49:$S$90))=0,"",SUM(IF(($B$49:$B$90=$A27)*($D$49:$D$90=$C27)*($G$48:$S$48=R$15),$G$49:$S$90))*IF($E27=$D27,1,INDEX($B$7:$B$12,MATCH($D27&amp;$E27,$C$7:$C$12&amp;$D$7:$D$12,0))))</f>
        <v>7685.7499999999982</v>
      </c>
    </row>
    <row r="28" spans="1:18" x14ac:dyDescent="0.3">
      <c r="A28" s="3" t="s">
        <v>379</v>
      </c>
      <c r="B28" s="3" t="str">
        <f>INDEX('R1. Scenario specifications'!$C$11:$C$59,MATCH($A28,'R1. Scenario specifications'!$A$11:$A$59,0))</f>
        <v>New Policies Scenario, World Energy Outlook 2016</v>
      </c>
      <c r="C28" s="3" t="s">
        <v>254</v>
      </c>
      <c r="D28" s="3" t="str">
        <f t="array" ref="D28">INDEX($F$49:$F$90,MATCH($A28&amp;$C28,$B$49:$B$90&amp;$D$49:$D$90,0))</f>
        <v>Mtce</v>
      </c>
      <c r="E28" s="3" t="str">
        <f t="shared" si="1"/>
        <v>Mtce</v>
      </c>
      <c r="F28" s="34">
        <f t="array" ref="F28">IF(SUM(IF(($B$49:$B$90=$A28)*($D$49:$D$90=$C28)*($G$48:$S$48=F$15),$G$49:$S$90))=0,"",SUM(IF(($B$49:$B$90=$A28)*($D$49:$D$90=$C28)*($G$48:$S$48=F$15),$G$49:$S$90))*IF($E28=$D28,1,INDEX($B$7:$B$12,MATCH($D28&amp;$E28,$C$7:$C$12&amp;$D$7:$D$12,0))))</f>
        <v>5680.2</v>
      </c>
      <c r="G28" s="34" t="str">
        <f t="array" ref="G28">IF(SUM(IF(($B$49:$B$90=$A28)*($D$49:$D$90=$C28)*($G$48:$S$48=G$15),$G$49:$S$90))=0,"",SUM(IF(($B$49:$B$90=$A28)*($D$49:$D$90=$C28)*($G$48:$S$48=G$15),$G$49:$S$90))*IF($E28=$D28,1,INDEX($B$7:$B$12,MATCH($D28&amp;$E28,$C$7:$C$12&amp;$D$7:$D$12,0))))</f>
        <v/>
      </c>
      <c r="H28" s="34" t="str">
        <f t="array" ref="H28">IF(SUM(IF(($B$49:$B$90=$A28)*($D$49:$D$90=$C28)*($G$48:$S$48=H$15),$G$49:$S$90))=0,"",SUM(IF(($B$49:$B$90=$A28)*($D$49:$D$90=$C28)*($G$48:$S$48=H$15),$G$49:$S$90))*IF($E28=$D28,1,INDEX($B$7:$B$12,MATCH($D28&amp;$E28,$C$7:$C$12&amp;$D$7:$D$12,0))))</f>
        <v/>
      </c>
      <c r="I28" s="34" t="str">
        <f t="array" ref="I28">IF(SUM(IF(($B$49:$B$90=$A28)*($D$49:$D$90=$C28)*($G$48:$S$48=I$15),$G$49:$S$90))=0,"",SUM(IF(($B$49:$B$90=$A28)*($D$49:$D$90=$C28)*($G$48:$S$48=I$15),$G$49:$S$90))*IF($E28=$D28,1,INDEX($B$7:$B$12,MATCH($D28&amp;$E28,$C$7:$C$12&amp;$D$7:$D$12,0))))</f>
        <v/>
      </c>
      <c r="J28" s="34">
        <f t="array" ref="J28">IF(SUM(IF(($B$49:$B$90=$A28)*($D$49:$D$90=$C28)*($G$48:$S$48=J$15),$G$49:$S$90))=0,"",SUM(IF(($B$49:$B$90=$A28)*($D$49:$D$90=$C28)*($G$48:$S$48=J$15),$G$49:$S$90))*IF($E28=$D28,1,INDEX($B$7:$B$12,MATCH($D28&amp;$E28,$C$7:$C$12&amp;$D$7:$D$12,0))))</f>
        <v>5579.53</v>
      </c>
      <c r="K28" s="34">
        <f t="array" ref="K28">IF(SUM(IF(($B$49:$B$90=$A28)*($D$49:$D$90=$C28)*($G$48:$S$48=K$15),$G$49:$S$90))=0,"",SUM(IF(($B$49:$B$90=$A28)*($D$49:$D$90=$C28)*($G$48:$S$48=K$15),$G$49:$S$90))*IF($E28=$D28,1,INDEX($B$7:$B$12,MATCH($D28&amp;$E28,$C$7:$C$12&amp;$D$7:$D$12,0))))</f>
        <v>5650.28</v>
      </c>
      <c r="L28" s="34">
        <f t="array" ref="L28">IF(SUM(IF(($B$49:$B$90=$A28)*($D$49:$D$90=$C28)*($G$48:$S$48=L$15),$G$49:$S$90))=0,"",SUM(IF(($B$49:$B$90=$A28)*($D$49:$D$90=$C28)*($G$48:$S$48=L$15),$G$49:$S$90))*IF($E28=$D28,1,INDEX($B$7:$B$12,MATCH($D28&amp;$E28,$C$7:$C$12&amp;$D$7:$D$12,0))))</f>
        <v>5770.57</v>
      </c>
      <c r="M28" s="34">
        <f t="array" ref="M28">IF(SUM(IF(($B$49:$B$90=$A28)*($D$49:$D$90=$C28)*($G$48:$S$48=M$15),$G$49:$S$90))=0,"",SUM(IF(($B$49:$B$90=$A28)*($D$49:$D$90=$C28)*($G$48:$S$48=M$15),$G$49:$S$90))*IF($E28=$D28,1,INDEX($B$7:$B$12,MATCH($D28&amp;$E28,$C$7:$C$12&amp;$D$7:$D$12,0))))</f>
        <v>5857.94</v>
      </c>
      <c r="N28" s="34">
        <f t="array" ref="N28">IF(SUM(IF(($B$49:$B$90=$A28)*($D$49:$D$90=$C28)*($G$48:$S$48=N$15),$G$49:$S$90))=0,"",SUM(IF(($B$49:$B$90=$A28)*($D$49:$D$90=$C28)*($G$48:$S$48=N$15),$G$49:$S$90))*IF($E28=$D28,1,INDEX($B$7:$B$12,MATCH($D28&amp;$E28,$C$7:$C$12&amp;$D$7:$D$12,0))))</f>
        <v>5914.57</v>
      </c>
      <c r="O28" s="34">
        <f t="array" ref="O28">IF(SUM(IF(($B$49:$B$90=$A28)*($D$49:$D$90=$C28)*($G$48:$S$48=O$15),$G$49:$S$90))=0,"",SUM(IF(($B$49:$B$90=$A28)*($D$49:$D$90=$C28)*($G$48:$S$48=O$15),$G$49:$S$90))*IF($E28=$D28,1,INDEX($B$7:$B$12,MATCH($D28&amp;$E28,$C$7:$C$12&amp;$D$7:$D$12,0))))</f>
        <v>5971.2000000000089</v>
      </c>
      <c r="P28" s="34">
        <f t="array" ref="P28">IF(SUM(IF(($B$49:$B$90=$A28)*($D$49:$D$90=$C28)*($G$48:$S$48=P$15),$G$49:$S$90))=0,"",SUM(IF(($B$49:$B$90=$A28)*($D$49:$D$90=$C28)*($G$48:$S$48=P$15),$G$49:$S$90))*IF($E28=$D28,1,INDEX($B$7:$B$12,MATCH($D28&amp;$E28,$C$7:$C$12&amp;$D$7:$D$12,0))))</f>
        <v>6027.8300000000045</v>
      </c>
      <c r="Q28" s="34">
        <f t="array" ref="Q28">IF(SUM(IF(($B$49:$B$90=$A28)*($D$49:$D$90=$C28)*($G$48:$S$48=Q$15),$G$49:$S$90))=0,"",SUM(IF(($B$49:$B$90=$A28)*($D$49:$D$90=$C28)*($G$48:$S$48=Q$15),$G$49:$S$90))*IF($E28=$D28,1,INDEX($B$7:$B$12,MATCH($D28&amp;$E28,$C$7:$C$12&amp;$D$7:$D$12,0))))</f>
        <v>6084.4600000000037</v>
      </c>
      <c r="R28" s="34">
        <f t="array" ref="R28">IF(SUM(IF(($B$49:$B$90=$A28)*($D$49:$D$90=$C28)*($G$48:$S$48=R$15),$G$49:$S$90))=0,"",SUM(IF(($B$49:$B$90=$A28)*($D$49:$D$90=$C28)*($G$48:$S$48=R$15),$G$49:$S$90))*IF($E28=$D28,1,INDEX($B$7:$B$12,MATCH($D28&amp;$E28,$C$7:$C$12&amp;$D$7:$D$12,0))))</f>
        <v>6141.0900000000029</v>
      </c>
    </row>
    <row r="29" spans="1:18" x14ac:dyDescent="0.3">
      <c r="A29" s="3" t="s">
        <v>379</v>
      </c>
      <c r="B29" s="3" t="str">
        <f>INDEX('R1. Scenario specifications'!$C$11:$C$59,MATCH($A29,'R1. Scenario specifications'!$A$11:$A$59,0))</f>
        <v>New Policies Scenario, World Energy Outlook 2016</v>
      </c>
      <c r="C29" s="3" t="s">
        <v>266</v>
      </c>
      <c r="D29" s="3" t="str">
        <f t="array" ref="D29">INDEX($F$49:$F$90,MATCH($A29&amp;$C29,$B$49:$B$90&amp;$D$49:$D$90,0))</f>
        <v>Mb/day</v>
      </c>
      <c r="E29" s="3" t="str">
        <f t="shared" si="1"/>
        <v>Mb/day</v>
      </c>
      <c r="F29" s="34">
        <f t="array" ref="F29">IF(SUM(IF(($B$49:$B$90=$A29)*($D$49:$D$90=$C29)*($G$48:$S$48=F$15),$G$49:$S$90))=0,"",SUM(IF(($B$49:$B$90=$A29)*($D$49:$D$90=$C29)*($G$48:$S$48=F$15),$G$49:$S$90))*IF($E29=$D29,1,INDEX($B$7:$B$12,MATCH($D29&amp;$E29,$C$7:$C$12&amp;$D$7:$D$12,0))))</f>
        <v>89.607299999999995</v>
      </c>
      <c r="G29" s="34" t="str">
        <f t="array" ref="G29">IF(SUM(IF(($B$49:$B$90=$A29)*($D$49:$D$90=$C29)*($G$48:$S$48=G$15),$G$49:$S$90))=0,"",SUM(IF(($B$49:$B$90=$A29)*($D$49:$D$90=$C29)*($G$48:$S$48=G$15),$G$49:$S$90))*IF($E29=$D29,1,INDEX($B$7:$B$12,MATCH($D29&amp;$E29,$C$7:$C$12&amp;$D$7:$D$12,0))))</f>
        <v/>
      </c>
      <c r="H29" s="34" t="str">
        <f t="array" ref="H29">IF(SUM(IF(($B$49:$B$90=$A29)*($D$49:$D$90=$C29)*($G$48:$S$48=H$15),$G$49:$S$90))=0,"",SUM(IF(($B$49:$B$90=$A29)*($D$49:$D$90=$C29)*($G$48:$S$48=H$15),$G$49:$S$90))*IF($E29=$D29,1,INDEX($B$7:$B$12,MATCH($D29&amp;$E29,$C$7:$C$12&amp;$D$7:$D$12,0))))</f>
        <v/>
      </c>
      <c r="I29" s="34" t="str">
        <f t="array" ref="I29">IF(SUM(IF(($B$49:$B$90=$A29)*($D$49:$D$90=$C29)*($G$48:$S$48=I$15),$G$49:$S$90))=0,"",SUM(IF(($B$49:$B$90=$A29)*($D$49:$D$90=$C29)*($G$48:$S$48=I$15),$G$49:$S$90))*IF($E29=$D29,1,INDEX($B$7:$B$12,MATCH($D29&amp;$E29,$C$7:$C$12&amp;$D$7:$D$12,0))))</f>
        <v/>
      </c>
      <c r="J29" s="34">
        <f t="array" ref="J29">IF(SUM(IF(($B$49:$B$90=$A29)*($D$49:$D$90=$C29)*($G$48:$S$48=J$15),$G$49:$S$90))=0,"",SUM(IF(($B$49:$B$90=$A29)*($D$49:$D$90=$C29)*($G$48:$S$48=J$15),$G$49:$S$90))*IF($E29=$D29,1,INDEX($B$7:$B$12,MATCH($D29&amp;$E29,$C$7:$C$12&amp;$D$7:$D$12,0))))</f>
        <v>93.525700000000001</v>
      </c>
      <c r="K29" s="34">
        <f t="array" ref="K29">IF(SUM(IF(($B$49:$B$90=$A29)*($D$49:$D$90=$C29)*($G$48:$S$48=K$15),$G$49:$S$90))=0,"",SUM(IF(($B$49:$B$90=$A29)*($D$49:$D$90=$C29)*($G$48:$S$48=K$15),$G$49:$S$90))*IF($E29=$D29,1,INDEX($B$7:$B$12,MATCH($D29&amp;$E29,$C$7:$C$12&amp;$D$7:$D$12,0))))</f>
        <v>95.717399999999998</v>
      </c>
      <c r="L29" s="34">
        <f t="array" ref="L29">IF(SUM(IF(($B$49:$B$90=$A29)*($D$49:$D$90=$C29)*($G$48:$S$48=L$15),$G$49:$S$90))=0,"",SUM(IF(($B$49:$B$90=$A29)*($D$49:$D$90=$C29)*($G$48:$S$48=L$15),$G$49:$S$90))*IF($E29=$D29,1,INDEX($B$7:$B$12,MATCH($D29&amp;$E29,$C$7:$C$12&amp;$D$7:$D$12,0))))</f>
        <v>97.053399999999996</v>
      </c>
      <c r="M29" s="34">
        <f t="array" ref="M29">IF(SUM(IF(($B$49:$B$90=$A29)*($D$49:$D$90=$C29)*($G$48:$S$48=M$15),$G$49:$S$90))=0,"",SUM(IF(($B$49:$B$90=$A29)*($D$49:$D$90=$C29)*($G$48:$S$48=M$15),$G$49:$S$90))*IF($E29=$D29,1,INDEX($B$7:$B$12,MATCH($D29&amp;$E29,$C$7:$C$12&amp;$D$7:$D$12,0))))</f>
        <v>98.871700000000004</v>
      </c>
      <c r="N29" s="34">
        <f t="array" ref="N29">IF(SUM(IF(($B$49:$B$90=$A29)*($D$49:$D$90=$C29)*($G$48:$S$48=N$15),$G$49:$S$90))=0,"",SUM(IF(($B$49:$B$90=$A29)*($D$49:$D$90=$C29)*($G$48:$S$48=N$15),$G$49:$S$90))*IF($E29=$D29,1,INDEX($B$7:$B$12,MATCH($D29&amp;$E29,$C$7:$C$12&amp;$D$7:$D$12,0))))</f>
        <v>100.45699999999999</v>
      </c>
      <c r="O29" s="34">
        <f t="array" ref="O29">IF(SUM(IF(($B$49:$B$90=$A29)*($D$49:$D$90=$C29)*($G$48:$S$48=O$15),$G$49:$S$90))=0,"",SUM(IF(($B$49:$B$90=$A29)*($D$49:$D$90=$C29)*($G$48:$S$48=O$15),$G$49:$S$90))*IF($E29=$D29,1,INDEX($B$7:$B$12,MATCH($D29&amp;$E29,$C$7:$C$12&amp;$D$7:$D$12,0))))</f>
        <v>102.04229999999995</v>
      </c>
      <c r="P29" s="34">
        <f t="array" ref="P29">IF(SUM(IF(($B$49:$B$90=$A29)*($D$49:$D$90=$C29)*($G$48:$S$48=P$15),$G$49:$S$90))=0,"",SUM(IF(($B$49:$B$90=$A29)*($D$49:$D$90=$C29)*($G$48:$S$48=P$15),$G$49:$S$90))*IF($E29=$D29,1,INDEX($B$7:$B$12,MATCH($D29&amp;$E29,$C$7:$C$12&amp;$D$7:$D$12,0))))</f>
        <v>103.62759999999992</v>
      </c>
      <c r="Q29" s="34">
        <f t="array" ref="Q29">IF(SUM(IF(($B$49:$B$90=$A29)*($D$49:$D$90=$C29)*($G$48:$S$48=Q$15),$G$49:$S$90))=0,"",SUM(IF(($B$49:$B$90=$A29)*($D$49:$D$90=$C29)*($G$48:$S$48=Q$15),$G$49:$S$90))*IF($E29=$D29,1,INDEX($B$7:$B$12,MATCH($D29&amp;$E29,$C$7:$C$12&amp;$D$7:$D$12,0))))</f>
        <v>105.21289999999999</v>
      </c>
      <c r="R29" s="34">
        <f t="array" ref="R29">IF(SUM(IF(($B$49:$B$90=$A29)*($D$49:$D$90=$C29)*($G$48:$S$48=R$15),$G$49:$S$90))=0,"",SUM(IF(($B$49:$B$90=$A29)*($D$49:$D$90=$C29)*($G$48:$S$48=R$15),$G$49:$S$90))*IF($E29=$D29,1,INDEX($B$7:$B$12,MATCH($D29&amp;$E29,$C$7:$C$12&amp;$D$7:$D$12,0))))</f>
        <v>106.79819999999995</v>
      </c>
    </row>
    <row r="30" spans="1:18" x14ac:dyDescent="0.3">
      <c r="A30" s="3" t="s">
        <v>379</v>
      </c>
      <c r="B30" s="3" t="str">
        <f>INDEX('R1. Scenario specifications'!$C$11:$C$59,MATCH($A30,'R1. Scenario specifications'!$A$11:$A$59,0))</f>
        <v>New Policies Scenario, World Energy Outlook 2016</v>
      </c>
      <c r="C30" s="3" t="s">
        <v>255</v>
      </c>
      <c r="D30" s="3" t="str">
        <f t="array" ref="D30">INDEX($F$49:$F$90,MATCH($A30&amp;$C30,$B$49:$B$90&amp;$D$49:$D$90,0))</f>
        <v>bcm</v>
      </c>
      <c r="E30" s="3" t="str">
        <f t="shared" si="1"/>
        <v>bcm</v>
      </c>
      <c r="F30" s="34">
        <f t="array" ref="F30">IF(SUM(IF(($B$49:$B$90=$A30)*($D$49:$D$90=$C30)*($G$48:$S$48=F$15),$G$49:$S$90))=0,"",SUM(IF(($B$49:$B$90=$A30)*($D$49:$D$90=$C30)*($G$48:$S$48=F$15),$G$49:$S$90))*IF($E30=$D30,1,INDEX($B$7:$B$12,MATCH($D30&amp;$E30,$C$7:$C$12&amp;$D$7:$D$12,0))))</f>
        <v>3536.37</v>
      </c>
      <c r="G30" s="34" t="str">
        <f t="array" ref="G30">IF(SUM(IF(($B$49:$B$90=$A30)*($D$49:$D$90=$C30)*($G$48:$S$48=G$15),$G$49:$S$90))=0,"",SUM(IF(($B$49:$B$90=$A30)*($D$49:$D$90=$C30)*($G$48:$S$48=G$15),$G$49:$S$90))*IF($E30=$D30,1,INDEX($B$7:$B$12,MATCH($D30&amp;$E30,$C$7:$C$12&amp;$D$7:$D$12,0))))</f>
        <v/>
      </c>
      <c r="H30" s="34" t="str">
        <f t="array" ref="H30">IF(SUM(IF(($B$49:$B$90=$A30)*($D$49:$D$90=$C30)*($G$48:$S$48=H$15),$G$49:$S$90))=0,"",SUM(IF(($B$49:$B$90=$A30)*($D$49:$D$90=$C30)*($G$48:$S$48=H$15),$G$49:$S$90))*IF($E30=$D30,1,INDEX($B$7:$B$12,MATCH($D30&amp;$E30,$C$7:$C$12&amp;$D$7:$D$12,0))))</f>
        <v/>
      </c>
      <c r="I30" s="34" t="str">
        <f t="array" ref="I30">IF(SUM(IF(($B$49:$B$90=$A30)*($D$49:$D$90=$C30)*($G$48:$S$48=I$15),$G$49:$S$90))=0,"",SUM(IF(($B$49:$B$90=$A30)*($D$49:$D$90=$C30)*($G$48:$S$48=I$15),$G$49:$S$90))*IF($E30=$D30,1,INDEX($B$7:$B$12,MATCH($D30&amp;$E30,$C$7:$C$12&amp;$D$7:$D$12,0))))</f>
        <v/>
      </c>
      <c r="J30" s="34">
        <f t="array" ref="J30">IF(SUM(IF(($B$49:$B$90=$A30)*($D$49:$D$90=$C30)*($G$48:$S$48=J$15),$G$49:$S$90))=0,"",SUM(IF(($B$49:$B$90=$A30)*($D$49:$D$90=$C30)*($G$48:$S$48=J$15),$G$49:$S$90))*IF($E30=$D30,1,INDEX($B$7:$B$12,MATCH($D30&amp;$E30,$C$7:$C$12&amp;$D$7:$D$12,0))))</f>
        <v>3801.95</v>
      </c>
      <c r="K30" s="34">
        <f t="array" ref="K30">IF(SUM(IF(($B$49:$B$90=$A30)*($D$49:$D$90=$C30)*($G$48:$S$48=K$15),$G$49:$S$90))=0,"",SUM(IF(($B$49:$B$90=$A30)*($D$49:$D$90=$C30)*($G$48:$S$48=K$15),$G$49:$S$90))*IF($E30=$D30,1,INDEX($B$7:$B$12,MATCH($D30&amp;$E30,$C$7:$C$12&amp;$D$7:$D$12,0))))</f>
        <v>4105.72</v>
      </c>
      <c r="L30" s="34">
        <f t="array" ref="L30">IF(SUM(IF(($B$49:$B$90=$A30)*($D$49:$D$90=$C30)*($G$48:$S$48=L$15),$G$49:$S$90))=0,"",SUM(IF(($B$49:$B$90=$A30)*($D$49:$D$90=$C30)*($G$48:$S$48=L$15),$G$49:$S$90))*IF($E30=$D30,1,INDEX($B$7:$B$12,MATCH($D30&amp;$E30,$C$7:$C$12&amp;$D$7:$D$12,0))))</f>
        <v>4465.8999999999996</v>
      </c>
      <c r="M30" s="34">
        <f t="array" ref="M30">IF(SUM(IF(($B$49:$B$90=$A30)*($D$49:$D$90=$C30)*($G$48:$S$48=M$15),$G$49:$S$90))=0,"",SUM(IF(($B$49:$B$90=$A30)*($D$49:$D$90=$C30)*($G$48:$S$48=M$15),$G$49:$S$90))*IF($E30=$D30,1,INDEX($B$7:$B$12,MATCH($D30&amp;$E30,$C$7:$C$12&amp;$D$7:$D$12,0))))</f>
        <v>4857.83</v>
      </c>
      <c r="N30" s="34">
        <f t="array" ref="N30">IF(SUM(IF(($B$49:$B$90=$A30)*($D$49:$D$90=$C30)*($G$48:$S$48=N$15),$G$49:$S$90))=0,"",SUM(IF(($B$49:$B$90=$A30)*($D$49:$D$90=$C30)*($G$48:$S$48=N$15),$G$49:$S$90))*IF($E30=$D30,1,INDEX($B$7:$B$12,MATCH($D30&amp;$E30,$C$7:$C$12&amp;$D$7:$D$12,0))))</f>
        <v>5218.6899999999996</v>
      </c>
      <c r="O30" s="34">
        <f t="array" ref="O30">IF(SUM(IF(($B$49:$B$90=$A30)*($D$49:$D$90=$C30)*($G$48:$S$48=O$15),$G$49:$S$90))=0,"",SUM(IF(($B$49:$B$90=$A30)*($D$49:$D$90=$C30)*($G$48:$S$48=O$15),$G$49:$S$90))*IF($E30=$D30,1,INDEX($B$7:$B$12,MATCH($D30&amp;$E30,$C$7:$C$12&amp;$D$7:$D$12,0))))</f>
        <v>5579.5500000000175</v>
      </c>
      <c r="P30" s="34">
        <f t="array" ref="P30">IF(SUM(IF(($B$49:$B$90=$A30)*($D$49:$D$90=$C30)*($G$48:$S$48=P$15),$G$49:$S$90))=0,"",SUM(IF(($B$49:$B$90=$A30)*($D$49:$D$90=$C30)*($G$48:$S$48=P$15),$G$49:$S$90))*IF($E30=$D30,1,INDEX($B$7:$B$12,MATCH($D30&amp;$E30,$C$7:$C$12&amp;$D$7:$D$12,0))))</f>
        <v>5940.4100000000326</v>
      </c>
      <c r="Q30" s="34">
        <f t="array" ref="Q30">IF(SUM(IF(($B$49:$B$90=$A30)*($D$49:$D$90=$C30)*($G$48:$S$48=Q$15),$G$49:$S$90))=0,"",SUM(IF(($B$49:$B$90=$A30)*($D$49:$D$90=$C30)*($G$48:$S$48=Q$15),$G$49:$S$90))*IF($E30=$D30,1,INDEX($B$7:$B$12,MATCH($D30&amp;$E30,$C$7:$C$12&amp;$D$7:$D$12,0))))</f>
        <v>6301.2700000000186</v>
      </c>
      <c r="R30" s="34">
        <f t="array" ref="R30">IF(SUM(IF(($B$49:$B$90=$A30)*($D$49:$D$90=$C30)*($G$48:$S$48=R$15),$G$49:$S$90))=0,"",SUM(IF(($B$49:$B$90=$A30)*($D$49:$D$90=$C30)*($G$48:$S$48=R$15),$G$49:$S$90))*IF($E30=$D30,1,INDEX($B$7:$B$12,MATCH($D30&amp;$E30,$C$7:$C$12&amp;$D$7:$D$12,0))))</f>
        <v>6662.1300000000338</v>
      </c>
    </row>
    <row r="31" spans="1:18" x14ac:dyDescent="0.3">
      <c r="A31" s="3" t="s">
        <v>380</v>
      </c>
      <c r="B31" s="3" t="str">
        <f>INDEX('R1. Scenario specifications'!$C$11:$C$59,MATCH($A31,'R1. Scenario specifications'!$A$11:$A$59,0))</f>
        <v>450 Scenario, World Energy Outlook 2016</v>
      </c>
      <c r="C31" s="3" t="s">
        <v>254</v>
      </c>
      <c r="D31" s="3" t="str">
        <f t="array" ref="D31">INDEX($F$49:$F$90,MATCH($A31&amp;$C31,$B$49:$B$90&amp;$D$49:$D$90,0))</f>
        <v>Mtce</v>
      </c>
      <c r="E31" s="3" t="str">
        <f t="shared" si="1"/>
        <v>Mtce</v>
      </c>
      <c r="F31" s="34">
        <f t="array" ref="F31">IF(SUM(IF(($B$49:$B$90=$A31)*($D$49:$D$90=$C31)*($G$48:$S$48=F$15),$G$49:$S$90))=0,"",SUM(IF(($B$49:$B$90=$A31)*($D$49:$D$90=$C31)*($G$48:$S$48=F$15),$G$49:$S$90))*IF($E31=$D31,1,INDEX($B$7:$B$12,MATCH($D31&amp;$E31,$C$7:$C$12&amp;$D$7:$D$12,0))))</f>
        <v>5680.2</v>
      </c>
      <c r="G31" s="34" t="str">
        <f t="array" ref="G31">IF(SUM(IF(($B$49:$B$90=$A31)*($D$49:$D$90=$C31)*($G$48:$S$48=G$15),$G$49:$S$90))=0,"",SUM(IF(($B$49:$B$90=$A31)*($D$49:$D$90=$C31)*($G$48:$S$48=G$15),$G$49:$S$90))*IF($E31=$D31,1,INDEX($B$7:$B$12,MATCH($D31&amp;$E31,$C$7:$C$12&amp;$D$7:$D$12,0))))</f>
        <v/>
      </c>
      <c r="H31" s="34" t="str">
        <f t="array" ref="H31">IF(SUM(IF(($B$49:$B$90=$A31)*($D$49:$D$90=$C31)*($G$48:$S$48=H$15),$G$49:$S$90))=0,"",SUM(IF(($B$49:$B$90=$A31)*($D$49:$D$90=$C31)*($G$48:$S$48=H$15),$G$49:$S$90))*IF($E31=$D31,1,INDEX($B$7:$B$12,MATCH($D31&amp;$E31,$C$7:$C$12&amp;$D$7:$D$12,0))))</f>
        <v/>
      </c>
      <c r="I31" s="34" t="str">
        <f t="array" ref="I31">IF(SUM(IF(($B$49:$B$90=$A31)*($D$49:$D$90=$C31)*($G$48:$S$48=I$15),$G$49:$S$90))=0,"",SUM(IF(($B$49:$B$90=$A31)*($D$49:$D$90=$C31)*($G$48:$S$48=I$15),$G$49:$S$90))*IF($E31=$D31,1,INDEX($B$7:$B$12,MATCH($D31&amp;$E31,$C$7:$C$12&amp;$D$7:$D$12,0))))</f>
        <v/>
      </c>
      <c r="J31" s="34">
        <f t="array" ref="J31">IF(SUM(IF(($B$49:$B$90=$A31)*($D$49:$D$90=$C31)*($G$48:$S$48=J$15),$G$49:$S$90))=0,"",SUM(IF(($B$49:$B$90=$A31)*($D$49:$D$90=$C31)*($G$48:$S$48=J$15),$G$49:$S$90))*IF($E31=$D31,1,INDEX($B$7:$B$12,MATCH($D31&amp;$E31,$C$7:$C$12&amp;$D$7:$D$12,0))))</f>
        <v>5174.49</v>
      </c>
      <c r="K31" s="34" t="str">
        <f t="array" ref="K31">IF(SUM(IF(($B$49:$B$90=$A31)*($D$49:$D$90=$C31)*($G$48:$S$48=K$15),$G$49:$S$90))=0,"",SUM(IF(($B$49:$B$90=$A31)*($D$49:$D$90=$C31)*($G$48:$S$48=K$15),$G$49:$S$90))*IF($E31=$D31,1,INDEX($B$7:$B$12,MATCH($D31&amp;$E31,$C$7:$C$12&amp;$D$7:$D$12,0))))</f>
        <v/>
      </c>
      <c r="L31" s="34">
        <f t="array" ref="L31">IF(SUM(IF(($B$49:$B$90=$A31)*($D$49:$D$90=$C31)*($G$48:$S$48=L$15),$G$49:$S$90))=0,"",SUM(IF(($B$49:$B$90=$A31)*($D$49:$D$90=$C31)*($G$48:$S$48=L$15),$G$49:$S$90))*IF($E31=$D31,1,INDEX($B$7:$B$12,MATCH($D31&amp;$E31,$C$7:$C$12&amp;$D$7:$D$12,0))))</f>
        <v>3785.88</v>
      </c>
      <c r="M31" s="34" t="str">
        <f t="array" ref="M31">IF(SUM(IF(($B$49:$B$90=$A31)*($D$49:$D$90=$C31)*($G$48:$S$48=M$15),$G$49:$S$90))=0,"",SUM(IF(($B$49:$B$90=$A31)*($D$49:$D$90=$C31)*($G$48:$S$48=M$15),$G$49:$S$90))*IF($E31=$D31,1,INDEX($B$7:$B$12,MATCH($D31&amp;$E31,$C$7:$C$12&amp;$D$7:$D$12,0))))</f>
        <v/>
      </c>
      <c r="N31" s="34">
        <f t="array" ref="N31">IF(SUM(IF(($B$49:$B$90=$A31)*($D$49:$D$90=$C31)*($G$48:$S$48=N$15),$G$49:$S$90))=0,"",SUM(IF(($B$49:$B$90=$A31)*($D$49:$D$90=$C31)*($G$48:$S$48=N$15),$G$49:$S$90))*IF($E31=$D31,1,INDEX($B$7:$B$12,MATCH($D31&amp;$E31,$C$7:$C$12&amp;$D$7:$D$12,0))))</f>
        <v>2857.8</v>
      </c>
      <c r="O31" s="34">
        <f t="array" ref="O31">IF(SUM(IF(($B$49:$B$90=$A31)*($D$49:$D$90=$C31)*($G$48:$S$48=O$15),$G$49:$S$90))=0,"",SUM(IF(($B$49:$B$90=$A31)*($D$49:$D$90=$C31)*($G$48:$S$48=O$15),$G$49:$S$90))*IF($E31=$D31,1,INDEX($B$7:$B$12,MATCH($D31&amp;$E31,$C$7:$C$12&amp;$D$7:$D$12,0))))</f>
        <v>2393.7600000000002</v>
      </c>
      <c r="P31" s="34">
        <f t="array" ref="P31">IF(SUM(IF(($B$49:$B$90=$A31)*($D$49:$D$90=$C31)*($G$48:$S$48=P$15),$G$49:$S$90))=0,"",SUM(IF(($B$49:$B$90=$A31)*($D$49:$D$90=$C31)*($G$48:$S$48=P$15),$G$49:$S$90))*IF($E31=$D31,1,INDEX($B$7:$B$12,MATCH($D31&amp;$E31,$C$7:$C$12&amp;$D$7:$D$12,0))))</f>
        <v>1929.7200000000003</v>
      </c>
      <c r="Q31" s="34">
        <f t="array" ref="Q31">IF(SUM(IF(($B$49:$B$90=$A31)*($D$49:$D$90=$C31)*($G$48:$S$48=Q$15),$G$49:$S$90))=0,"",SUM(IF(($B$49:$B$90=$A31)*($D$49:$D$90=$C31)*($G$48:$S$48=Q$15),$G$49:$S$90))*IF($E31=$D31,1,INDEX($B$7:$B$12,MATCH($D31&amp;$E31,$C$7:$C$12&amp;$D$7:$D$12,0))))</f>
        <v>1465.6800000000003</v>
      </c>
      <c r="R31" s="34">
        <f t="array" ref="R31">IF(SUM(IF(($B$49:$B$90=$A31)*($D$49:$D$90=$C31)*($G$48:$S$48=R$15),$G$49:$S$90))=0,"",SUM(IF(($B$49:$B$90=$A31)*($D$49:$D$90=$C31)*($G$48:$S$48=R$15),$G$49:$S$90))*IF($E31=$D31,1,INDEX($B$7:$B$12,MATCH($D31&amp;$E31,$C$7:$C$12&amp;$D$7:$D$12,0))))</f>
        <v>1001.6400000000003</v>
      </c>
    </row>
    <row r="32" spans="1:18" x14ac:dyDescent="0.3">
      <c r="A32" s="3" t="s">
        <v>380</v>
      </c>
      <c r="B32" s="3" t="str">
        <f>INDEX('R1. Scenario specifications'!$C$11:$C$59,MATCH($A32,'R1. Scenario specifications'!$A$11:$A$59,0))</f>
        <v>450 Scenario, World Energy Outlook 2016</v>
      </c>
      <c r="C32" s="3" t="s">
        <v>266</v>
      </c>
      <c r="D32" s="3" t="str">
        <f t="array" ref="D32">INDEX($F$49:$F$90,MATCH($A32&amp;$C32,$B$49:$B$90&amp;$D$49:$D$90,0))</f>
        <v>Mb/day</v>
      </c>
      <c r="E32" s="3" t="str">
        <f t="shared" si="1"/>
        <v>Mb/day</v>
      </c>
      <c r="F32" s="34">
        <f t="array" ref="F32">IF(SUM(IF(($B$49:$B$90=$A32)*($D$49:$D$90=$C32)*($G$48:$S$48=F$15),$G$49:$S$90))=0,"",SUM(IF(($B$49:$B$90=$A32)*($D$49:$D$90=$C32)*($G$48:$S$48=F$15),$G$49:$S$90))*IF($E32=$D32,1,INDEX($B$7:$B$12,MATCH($D32&amp;$E32,$C$7:$C$12&amp;$D$7:$D$12,0))))</f>
        <v>89.607299999999995</v>
      </c>
      <c r="G32" s="34" t="str">
        <f t="array" ref="G32">IF(SUM(IF(($B$49:$B$90=$A32)*($D$49:$D$90=$C32)*($G$48:$S$48=G$15),$G$49:$S$90))=0,"",SUM(IF(($B$49:$B$90=$A32)*($D$49:$D$90=$C32)*($G$48:$S$48=G$15),$G$49:$S$90))*IF($E32=$D32,1,INDEX($B$7:$B$12,MATCH($D32&amp;$E32,$C$7:$C$12&amp;$D$7:$D$12,0))))</f>
        <v/>
      </c>
      <c r="H32" s="34" t="str">
        <f t="array" ref="H32">IF(SUM(IF(($B$49:$B$90=$A32)*($D$49:$D$90=$C32)*($G$48:$S$48=H$15),$G$49:$S$90))=0,"",SUM(IF(($B$49:$B$90=$A32)*($D$49:$D$90=$C32)*($G$48:$S$48=H$15),$G$49:$S$90))*IF($E32=$D32,1,INDEX($B$7:$B$12,MATCH($D32&amp;$E32,$C$7:$C$12&amp;$D$7:$D$12,0))))</f>
        <v/>
      </c>
      <c r="I32" s="34" t="str">
        <f t="array" ref="I32">IF(SUM(IF(($B$49:$B$90=$A32)*($D$49:$D$90=$C32)*($G$48:$S$48=I$15),$G$49:$S$90))=0,"",SUM(IF(($B$49:$B$90=$A32)*($D$49:$D$90=$C32)*($G$48:$S$48=I$15),$G$49:$S$90))*IF($E32=$D32,1,INDEX($B$7:$B$12,MATCH($D32&amp;$E32,$C$7:$C$12&amp;$D$7:$D$12,0))))</f>
        <v/>
      </c>
      <c r="J32" s="34">
        <f t="array" ref="J32">IF(SUM(IF(($B$49:$B$90=$A32)*($D$49:$D$90=$C32)*($G$48:$S$48=J$15),$G$49:$S$90))=0,"",SUM(IF(($B$49:$B$90=$A32)*($D$49:$D$90=$C32)*($G$48:$S$48=J$15),$G$49:$S$90))*IF($E32=$D32,1,INDEX($B$7:$B$12,MATCH($D32&amp;$E32,$C$7:$C$12&amp;$D$7:$D$12,0))))</f>
        <v>90.962299999999999</v>
      </c>
      <c r="K32" s="34" t="str">
        <f t="array" ref="K32">IF(SUM(IF(($B$49:$B$90=$A32)*($D$49:$D$90=$C32)*($G$48:$S$48=K$15),$G$49:$S$90))=0,"",SUM(IF(($B$49:$B$90=$A32)*($D$49:$D$90=$C32)*($G$48:$S$48=K$15),$G$49:$S$90))*IF($E32=$D32,1,INDEX($B$7:$B$12,MATCH($D32&amp;$E32,$C$7:$C$12&amp;$D$7:$D$12,0))))</f>
        <v/>
      </c>
      <c r="L32" s="34">
        <f t="array" ref="L32">IF(SUM(IF(($B$49:$B$90=$A32)*($D$49:$D$90=$C32)*($G$48:$S$48=L$15),$G$49:$S$90))=0,"",SUM(IF(($B$49:$B$90=$A32)*($D$49:$D$90=$C32)*($G$48:$S$48=L$15),$G$49:$S$90))*IF($E32=$D32,1,INDEX($B$7:$B$12,MATCH($D32&amp;$E32,$C$7:$C$12&amp;$D$7:$D$12,0))))</f>
        <v>82.017200000000003</v>
      </c>
      <c r="M32" s="34" t="str">
        <f t="array" ref="M32">IF(SUM(IF(($B$49:$B$90=$A32)*($D$49:$D$90=$C32)*($G$48:$S$48=M$15),$G$49:$S$90))=0,"",SUM(IF(($B$49:$B$90=$A32)*($D$49:$D$90=$C32)*($G$48:$S$48=M$15),$G$49:$S$90))*IF($E32=$D32,1,INDEX($B$7:$B$12,MATCH($D32&amp;$E32,$C$7:$C$12&amp;$D$7:$D$12,0))))</f>
        <v/>
      </c>
      <c r="N32" s="34">
        <f t="array" ref="N32">IF(SUM(IF(($B$49:$B$90=$A32)*($D$49:$D$90=$C32)*($G$48:$S$48=N$15),$G$49:$S$90))=0,"",SUM(IF(($B$49:$B$90=$A32)*($D$49:$D$90=$C32)*($G$48:$S$48=N$15),$G$49:$S$90))*IF($E32=$D32,1,INDEX($B$7:$B$12,MATCH($D32&amp;$E32,$C$7:$C$12&amp;$D$7:$D$12,0))))</f>
        <v>71.063299999999998</v>
      </c>
      <c r="O32" s="34">
        <f t="array" ref="O32">IF(SUM(IF(($B$49:$B$90=$A32)*($D$49:$D$90=$C32)*($G$48:$S$48=O$15),$G$49:$S$90))=0,"",SUM(IF(($B$49:$B$90=$A32)*($D$49:$D$90=$C32)*($G$48:$S$48=O$15),$G$49:$S$90))*IF($E32=$D32,1,INDEX($B$7:$B$12,MATCH($D32&amp;$E32,$C$7:$C$12&amp;$D$7:$D$12,0))))</f>
        <v>65.586349999999996</v>
      </c>
      <c r="P32" s="34">
        <f t="array" ref="P32">IF(SUM(IF(($B$49:$B$90=$A32)*($D$49:$D$90=$C32)*($G$48:$S$48=P$15),$G$49:$S$90))=0,"",SUM(IF(($B$49:$B$90=$A32)*($D$49:$D$90=$C32)*($G$48:$S$48=P$15),$G$49:$S$90))*IF($E32=$D32,1,INDEX($B$7:$B$12,MATCH($D32&amp;$E32,$C$7:$C$12&amp;$D$7:$D$12,0))))</f>
        <v>60.109399999999994</v>
      </c>
      <c r="Q32" s="34">
        <f t="array" ref="Q32">IF(SUM(IF(($B$49:$B$90=$A32)*($D$49:$D$90=$C32)*($G$48:$S$48=Q$15),$G$49:$S$90))=0,"",SUM(IF(($B$49:$B$90=$A32)*($D$49:$D$90=$C32)*($G$48:$S$48=Q$15),$G$49:$S$90))*IF($E32=$D32,1,INDEX($B$7:$B$12,MATCH($D32&amp;$E32,$C$7:$C$12&amp;$D$7:$D$12,0))))</f>
        <v>54.632449999999992</v>
      </c>
      <c r="R32" s="34">
        <f t="array" ref="R32">IF(SUM(IF(($B$49:$B$90=$A32)*($D$49:$D$90=$C32)*($G$48:$S$48=R$15),$G$49:$S$90))=0,"",SUM(IF(($B$49:$B$90=$A32)*($D$49:$D$90=$C32)*($G$48:$S$48=R$15),$G$49:$S$90))*IF($E32=$D32,1,INDEX($B$7:$B$12,MATCH($D32&amp;$E32,$C$7:$C$12&amp;$D$7:$D$12,0))))</f>
        <v>49.155499999999989</v>
      </c>
    </row>
    <row r="33" spans="1:28" x14ac:dyDescent="0.3">
      <c r="A33" s="3" t="s">
        <v>380</v>
      </c>
      <c r="B33" s="3" t="str">
        <f>INDEX('R1. Scenario specifications'!$C$11:$C$59,MATCH($A33,'R1. Scenario specifications'!$A$11:$A$59,0))</f>
        <v>450 Scenario, World Energy Outlook 2016</v>
      </c>
      <c r="C33" s="3" t="s">
        <v>255</v>
      </c>
      <c r="D33" s="3" t="str">
        <f t="array" ref="D33">INDEX($F$49:$F$90,MATCH($A33&amp;$C33,$B$49:$B$90&amp;$D$49:$D$90,0))</f>
        <v>bcm</v>
      </c>
      <c r="E33" s="3" t="str">
        <f t="shared" si="1"/>
        <v>bcm</v>
      </c>
      <c r="F33" s="34">
        <f t="array" ref="F33">IF(SUM(IF(($B$49:$B$90=$A33)*($D$49:$D$90=$C33)*($G$48:$S$48=F$15),$G$49:$S$90))=0,"",SUM(IF(($B$49:$B$90=$A33)*($D$49:$D$90=$C33)*($G$48:$S$48=F$15),$G$49:$S$90))*IF($E33=$D33,1,INDEX($B$7:$B$12,MATCH($D33&amp;$E33,$C$7:$C$12&amp;$D$7:$D$12,0))))</f>
        <v>3536.37</v>
      </c>
      <c r="G33" s="34" t="str">
        <f t="array" ref="G33">IF(SUM(IF(($B$49:$B$90=$A33)*($D$49:$D$90=$C33)*($G$48:$S$48=G$15),$G$49:$S$90))=0,"",SUM(IF(($B$49:$B$90=$A33)*($D$49:$D$90=$C33)*($G$48:$S$48=G$15),$G$49:$S$90))*IF($E33=$D33,1,INDEX($B$7:$B$12,MATCH($D33&amp;$E33,$C$7:$C$12&amp;$D$7:$D$12,0))))</f>
        <v/>
      </c>
      <c r="H33" s="34" t="str">
        <f t="array" ref="H33">IF(SUM(IF(($B$49:$B$90=$A33)*($D$49:$D$90=$C33)*($G$48:$S$48=H$15),$G$49:$S$90))=0,"",SUM(IF(($B$49:$B$90=$A33)*($D$49:$D$90=$C33)*($G$48:$S$48=H$15),$G$49:$S$90))*IF($E33=$D33,1,INDEX($B$7:$B$12,MATCH($D33&amp;$E33,$C$7:$C$12&amp;$D$7:$D$12,0))))</f>
        <v/>
      </c>
      <c r="I33" s="34" t="str">
        <f t="array" ref="I33">IF(SUM(IF(($B$49:$B$90=$A33)*($D$49:$D$90=$C33)*($G$48:$S$48=I$15),$G$49:$S$90))=0,"",SUM(IF(($B$49:$B$90=$A33)*($D$49:$D$90=$C33)*($G$48:$S$48=I$15),$G$49:$S$90))*IF($E33=$D33,1,INDEX($B$7:$B$12,MATCH($D33&amp;$E33,$C$7:$C$12&amp;$D$7:$D$12,0))))</f>
        <v/>
      </c>
      <c r="J33" s="34">
        <f t="array" ref="J33">IF(SUM(IF(($B$49:$B$90=$A33)*($D$49:$D$90=$C33)*($G$48:$S$48=J$15),$G$49:$S$90))=0,"",SUM(IF(($B$49:$B$90=$A33)*($D$49:$D$90=$C33)*($G$48:$S$48=J$15),$G$49:$S$90))*IF($E33=$D33,1,INDEX($B$7:$B$12,MATCH($D33&amp;$E33,$C$7:$C$12&amp;$D$7:$D$12,0))))</f>
        <v>3794.71</v>
      </c>
      <c r="K33" s="34" t="str">
        <f t="array" ref="K33">IF(SUM(IF(($B$49:$B$90=$A33)*($D$49:$D$90=$C33)*($G$48:$S$48=K$15),$G$49:$S$90))=0,"",SUM(IF(($B$49:$B$90=$A33)*($D$49:$D$90=$C33)*($G$48:$S$48=K$15),$G$49:$S$90))*IF($E33=$D33,1,INDEX($B$7:$B$12,MATCH($D33&amp;$E33,$C$7:$C$12&amp;$D$7:$D$12,0))))</f>
        <v/>
      </c>
      <c r="L33" s="34">
        <f t="array" ref="L33">IF(SUM(IF(($B$49:$B$90=$A33)*($D$49:$D$90=$C33)*($G$48:$S$48=L$15),$G$49:$S$90))=0,"",SUM(IF(($B$49:$B$90=$A33)*($D$49:$D$90=$C33)*($G$48:$S$48=L$15),$G$49:$S$90))*IF($E33=$D33,1,INDEX($B$7:$B$12,MATCH($D33&amp;$E33,$C$7:$C$12&amp;$D$7:$D$12,0))))</f>
        <v>4062.05</v>
      </c>
      <c r="M33" s="34" t="str">
        <f t="array" ref="M33">IF(SUM(IF(($B$49:$B$90=$A33)*($D$49:$D$90=$C33)*($G$48:$S$48=M$15),$G$49:$S$90))=0,"",SUM(IF(($B$49:$B$90=$A33)*($D$49:$D$90=$C33)*($G$48:$S$48=M$15),$G$49:$S$90))*IF($E33=$D33,1,INDEX($B$7:$B$12,MATCH($D33&amp;$E33,$C$7:$C$12&amp;$D$7:$D$12,0))))</f>
        <v/>
      </c>
      <c r="N33" s="34">
        <f t="array" ref="N33">IF(SUM(IF(($B$49:$B$90=$A33)*($D$49:$D$90=$C33)*($G$48:$S$48=N$15),$G$49:$S$90))=0,"",SUM(IF(($B$49:$B$90=$A33)*($D$49:$D$90=$C33)*($G$48:$S$48=N$15),$G$49:$S$90))*IF($E33=$D33,1,INDEX($B$7:$B$12,MATCH($D33&amp;$E33,$C$7:$C$12&amp;$D$7:$D$12,0))))</f>
        <v>4007.97</v>
      </c>
      <c r="O33" s="34">
        <f t="array" ref="O33">IF(SUM(IF(($B$49:$B$90=$A33)*($D$49:$D$90=$C33)*($G$48:$S$48=O$15),$G$49:$S$90))=0,"",SUM(IF(($B$49:$B$90=$A33)*($D$49:$D$90=$C33)*($G$48:$S$48=O$15),$G$49:$S$90))*IF($E33=$D33,1,INDEX($B$7:$B$12,MATCH($D33&amp;$E33,$C$7:$C$12&amp;$D$7:$D$12,0))))</f>
        <v>3980.9299999999994</v>
      </c>
      <c r="P33" s="34">
        <f t="array" ref="P33">IF(SUM(IF(($B$49:$B$90=$A33)*($D$49:$D$90=$C33)*($G$48:$S$48=P$15),$G$49:$S$90))=0,"",SUM(IF(($B$49:$B$90=$A33)*($D$49:$D$90=$C33)*($G$48:$S$48=P$15),$G$49:$S$90))*IF($E33=$D33,1,INDEX($B$7:$B$12,MATCH($D33&amp;$E33,$C$7:$C$12&amp;$D$7:$D$12,0))))</f>
        <v>3953.8899999999994</v>
      </c>
      <c r="Q33" s="34">
        <f t="array" ref="Q33">IF(SUM(IF(($B$49:$B$90=$A33)*($D$49:$D$90=$C33)*($G$48:$S$48=Q$15),$G$49:$S$90))=0,"",SUM(IF(($B$49:$B$90=$A33)*($D$49:$D$90=$C33)*($G$48:$S$48=Q$15),$G$49:$S$90))*IF($E33=$D33,1,INDEX($B$7:$B$12,MATCH($D33&amp;$E33,$C$7:$C$12&amp;$D$7:$D$12,0))))</f>
        <v>3926.8499999999995</v>
      </c>
      <c r="R33" s="34">
        <f t="array" ref="R33">IF(SUM(IF(($B$49:$B$90=$A33)*($D$49:$D$90=$C33)*($G$48:$S$48=R$15),$G$49:$S$90))=0,"",SUM(IF(($B$49:$B$90=$A33)*($D$49:$D$90=$C33)*($G$48:$S$48=R$15),$G$49:$S$90))*IF($E33=$D33,1,INDEX($B$7:$B$12,MATCH($D33&amp;$E33,$C$7:$C$12&amp;$D$7:$D$12,0))))</f>
        <v>3899.809999999999</v>
      </c>
    </row>
    <row r="34" spans="1:28" x14ac:dyDescent="0.3">
      <c r="A34" s="3" t="s">
        <v>381</v>
      </c>
      <c r="B34" s="3" t="str">
        <f>INDEX('R1. Scenario specifications'!$C$11:$C$59,MATCH($A34,'R1. Scenario specifications'!$A$11:$A$59,0))</f>
        <v>Reference Technologies Scenario, Energy Technology Perspectives 2017</v>
      </c>
      <c r="C34" s="3" t="s">
        <v>254</v>
      </c>
      <c r="D34" s="3" t="str">
        <f t="array" ref="D34">INDEX($F$49:$F$90,MATCH($A34&amp;$C34,$B$49:$B$90&amp;$D$49:$D$90,0))</f>
        <v>PJ</v>
      </c>
      <c r="E34" s="3" t="str">
        <f t="shared" si="1"/>
        <v>Mtce</v>
      </c>
      <c r="F34" s="34">
        <f t="array" ref="F34">IF(SUM(IF(($B$49:$B$90=$A34)*($D$49:$D$90=$C34)*($G$48:$S$48=F$15),$G$49:$S$90))=0,"",SUM(IF(($B$49:$B$90=$A34)*($D$49:$D$90=$C34)*($G$48:$S$48=F$15),$G$49:$S$90))*IF($E34=$D34,1,INDEX($B$7:$B$12,MATCH($D34&amp;$E34,$C$7:$C$12&amp;$D$7:$D$12,0))))</f>
        <v>5870.3650831554214</v>
      </c>
      <c r="G34" s="34" t="str">
        <f t="array" ref="G34">IF(SUM(IF(($B$49:$B$90=$A34)*($D$49:$D$90=$C34)*($G$48:$S$48=G$15),$G$49:$S$90))=0,"",SUM(IF(($B$49:$B$90=$A34)*($D$49:$D$90=$C34)*($G$48:$S$48=G$15),$G$49:$S$90))*IF($E34=$D34,1,INDEX($B$7:$B$12,MATCH($D34&amp;$E34,$C$7:$C$12&amp;$D$7:$D$12,0))))</f>
        <v/>
      </c>
      <c r="H34" s="34" t="str">
        <f t="array" ref="H34">IF(SUM(IF(($B$49:$B$90=$A34)*($D$49:$D$90=$C34)*($G$48:$S$48=H$15),$G$49:$S$90))=0,"",SUM(IF(($B$49:$B$90=$A34)*($D$49:$D$90=$C34)*($G$48:$S$48=H$15),$G$49:$S$90))*IF($E34=$D34,1,INDEX($B$7:$B$12,MATCH($D34&amp;$E34,$C$7:$C$12&amp;$D$7:$D$12,0))))</f>
        <v/>
      </c>
      <c r="I34" s="34" t="str">
        <f t="array" ref="I34">IF(SUM(IF(($B$49:$B$90=$A34)*($D$49:$D$90=$C34)*($G$48:$S$48=I$15),$G$49:$S$90))=0,"",SUM(IF(($B$49:$B$90=$A34)*($D$49:$D$90=$C34)*($G$48:$S$48=I$15),$G$49:$S$90))*IF($E34=$D34,1,INDEX($B$7:$B$12,MATCH($D34&amp;$E34,$C$7:$C$12&amp;$D$7:$D$12,0))))</f>
        <v/>
      </c>
      <c r="J34" s="34">
        <f t="array" ref="J34">IF(SUM(IF(($B$49:$B$90=$A34)*($D$49:$D$90=$C34)*($G$48:$S$48=J$15),$G$49:$S$90))=0,"",SUM(IF(($B$49:$B$90=$A34)*($D$49:$D$90=$C34)*($G$48:$S$48=J$15),$G$49:$S$90))*IF($E34=$D34,1,INDEX($B$7:$B$12,MATCH($D34&amp;$E34,$C$7:$C$12&amp;$D$7:$D$12,0))))</f>
        <v>5841.8780637722848</v>
      </c>
      <c r="K34" s="34">
        <f t="array" ref="K34">IF(SUM(IF(($B$49:$B$90=$A34)*($D$49:$D$90=$C34)*($G$48:$S$48=K$15),$G$49:$S$90))=0,"",SUM(IF(($B$49:$B$90=$A34)*($D$49:$D$90=$C34)*($G$48:$S$48=K$15),$G$49:$S$90))*IF($E34=$D34,1,INDEX($B$7:$B$12,MATCH($D34&amp;$E34,$C$7:$C$12&amp;$D$7:$D$12,0))))</f>
        <v>5818.1388809530044</v>
      </c>
      <c r="L34" s="34">
        <f t="array" ref="L34">IF(SUM(IF(($B$49:$B$90=$A34)*($D$49:$D$90=$C34)*($G$48:$S$48=L$15),$G$49:$S$90))=0,"",SUM(IF(($B$49:$B$90=$A34)*($D$49:$D$90=$C34)*($G$48:$S$48=L$15),$G$49:$S$90))*IF($E34=$D34,1,INDEX($B$7:$B$12,MATCH($D34&amp;$E34,$C$7:$C$12&amp;$D$7:$D$12,0))))</f>
        <v>5836.9780513172973</v>
      </c>
      <c r="M34" s="34">
        <f t="array" ref="M34">IF(SUM(IF(($B$49:$B$90=$A34)*($D$49:$D$90=$C34)*($G$48:$S$48=M$15),$G$49:$S$90))=0,"",SUM(IF(($B$49:$B$90=$A34)*($D$49:$D$90=$C34)*($G$48:$S$48=M$15),$G$49:$S$90))*IF($E34=$D34,1,INDEX($B$7:$B$12,MATCH($D34&amp;$E34,$C$7:$C$12&amp;$D$7:$D$12,0))))</f>
        <v>5909.1077484996349</v>
      </c>
      <c r="N34" s="34">
        <f t="array" ref="N34">IF(SUM(IF(($B$49:$B$90=$A34)*($D$49:$D$90=$C34)*($G$48:$S$48=N$15),$G$49:$S$90))=0,"",SUM(IF(($B$49:$B$90=$A34)*($D$49:$D$90=$C34)*($G$48:$S$48=N$15),$G$49:$S$90))*IF($E34=$D34,1,INDEX($B$7:$B$12,MATCH($D34&amp;$E34,$C$7:$C$12&amp;$D$7:$D$12,0))))</f>
        <v>6035.2732344652768</v>
      </c>
      <c r="O34" s="34">
        <f t="array" ref="O34">IF(SUM(IF(($B$49:$B$90=$A34)*($D$49:$D$90=$C34)*($G$48:$S$48=O$15),$G$49:$S$90))=0,"",SUM(IF(($B$49:$B$90=$A34)*($D$49:$D$90=$C34)*($G$48:$S$48=O$15),$G$49:$S$90))*IF($E34=$D34,1,INDEX($B$7:$B$12,MATCH($D34&amp;$E34,$C$7:$C$12&amp;$D$7:$D$12,0))))</f>
        <v>5985.0897628727444</v>
      </c>
      <c r="P34" s="34">
        <f t="array" ref="P34">IF(SUM(IF(($B$49:$B$90=$A34)*($D$49:$D$90=$C34)*($G$48:$S$48=P$15),$G$49:$S$90))=0,"",SUM(IF(($B$49:$B$90=$A34)*($D$49:$D$90=$C34)*($G$48:$S$48=P$15),$G$49:$S$90))*IF($E34=$D34,1,INDEX($B$7:$B$12,MATCH($D34&amp;$E34,$C$7:$C$12&amp;$D$7:$D$12,0))))</f>
        <v>5855.7849011136495</v>
      </c>
      <c r="Q34" s="34">
        <f t="array" ref="Q34">IF(SUM(IF(($B$49:$B$90=$A34)*($D$49:$D$90=$C34)*($G$48:$S$48=Q$15),$G$49:$S$90))=0,"",SUM(IF(($B$49:$B$90=$A34)*($D$49:$D$90=$C34)*($G$48:$S$48=Q$15),$G$49:$S$90))*IF($E34=$D34,1,INDEX($B$7:$B$12,MATCH($D34&amp;$E34,$C$7:$C$12&amp;$D$7:$D$12,0))))</f>
        <v>5909.1646534242209</v>
      </c>
      <c r="R34" s="34">
        <f t="array" ref="R34">IF(SUM(IF(($B$49:$B$90=$A34)*($D$49:$D$90=$C34)*($G$48:$S$48=R$15),$G$49:$S$90))=0,"",SUM(IF(($B$49:$B$90=$A34)*($D$49:$D$90=$C34)*($G$48:$S$48=R$15),$G$49:$S$90))*IF($E34=$D34,1,INDEX($B$7:$B$12,MATCH($D34&amp;$E34,$C$7:$C$12&amp;$D$7:$D$12,0))))</f>
        <v>5869.6301763989431</v>
      </c>
    </row>
    <row r="35" spans="1:28" x14ac:dyDescent="0.3">
      <c r="A35" s="3" t="s">
        <v>381</v>
      </c>
      <c r="B35" s="3" t="str">
        <f>INDEX('R1. Scenario specifications'!$C$11:$C$59,MATCH($A35,'R1. Scenario specifications'!$A$11:$A$59,0))</f>
        <v>Reference Technologies Scenario, Energy Technology Perspectives 2017</v>
      </c>
      <c r="C35" s="3" t="s">
        <v>266</v>
      </c>
      <c r="D35" s="3" t="str">
        <f t="array" ref="D35">INDEX($F$49:$F$90,MATCH($A35&amp;$C35,$B$49:$B$90&amp;$D$49:$D$90,0))</f>
        <v>PJ</v>
      </c>
      <c r="E35" s="3" t="str">
        <f t="shared" si="1"/>
        <v>Mb/day</v>
      </c>
      <c r="F35" s="34">
        <f t="array" ref="F35">IF(SUM(IF(($B$49:$B$90=$A35)*($D$49:$D$90=$C35)*($G$48:$S$48=F$15),$G$49:$S$90))=0,"",SUM(IF(($B$49:$B$90=$A35)*($D$49:$D$90=$C35)*($G$48:$S$48=F$15),$G$49:$S$90))*IF($E35=$D35,1,INDEX($B$7:$B$12,MATCH($D35&amp;$E35,$C$7:$C$12&amp;$D$7:$D$12,0))))</f>
        <v>86.088867251362146</v>
      </c>
      <c r="G35" s="34" t="str">
        <f t="array" ref="G35">IF(SUM(IF(($B$49:$B$90=$A35)*($D$49:$D$90=$C35)*($G$48:$S$48=G$15),$G$49:$S$90))=0,"",SUM(IF(($B$49:$B$90=$A35)*($D$49:$D$90=$C35)*($G$48:$S$48=G$15),$G$49:$S$90))*IF($E35=$D35,1,INDEX($B$7:$B$12,MATCH($D35&amp;$E35,$C$7:$C$12&amp;$D$7:$D$12,0))))</f>
        <v/>
      </c>
      <c r="H35" s="34" t="str">
        <f t="array" ref="H35">IF(SUM(IF(($B$49:$B$90=$A35)*($D$49:$D$90=$C35)*($G$48:$S$48=H$15),$G$49:$S$90))=0,"",SUM(IF(($B$49:$B$90=$A35)*($D$49:$D$90=$C35)*($G$48:$S$48=H$15),$G$49:$S$90))*IF($E35=$D35,1,INDEX($B$7:$B$12,MATCH($D35&amp;$E35,$C$7:$C$12&amp;$D$7:$D$12,0))))</f>
        <v/>
      </c>
      <c r="I35" s="34" t="str">
        <f t="array" ref="I35">IF(SUM(IF(($B$49:$B$90=$A35)*($D$49:$D$90=$C35)*($G$48:$S$48=I$15),$G$49:$S$90))=0,"",SUM(IF(($B$49:$B$90=$A35)*($D$49:$D$90=$C35)*($G$48:$S$48=I$15),$G$49:$S$90))*IF($E35=$D35,1,INDEX($B$7:$B$12,MATCH($D35&amp;$E35,$C$7:$C$12&amp;$D$7:$D$12,0))))</f>
        <v/>
      </c>
      <c r="J35" s="34">
        <f t="array" ref="J35">IF(SUM(IF(($B$49:$B$90=$A35)*($D$49:$D$90=$C35)*($G$48:$S$48=J$15),$G$49:$S$90))=0,"",SUM(IF(($B$49:$B$90=$A35)*($D$49:$D$90=$C35)*($G$48:$S$48=J$15),$G$49:$S$90))*IF($E35=$D35,1,INDEX($B$7:$B$12,MATCH($D35&amp;$E35,$C$7:$C$12&amp;$D$7:$D$12,0))))</f>
        <v>89.069841704610411</v>
      </c>
      <c r="K35" s="34">
        <f t="array" ref="K35">IF(SUM(IF(($B$49:$B$90=$A35)*($D$49:$D$90=$C35)*($G$48:$S$48=K$15),$G$49:$S$90))=0,"",SUM(IF(($B$49:$B$90=$A35)*($D$49:$D$90=$C35)*($G$48:$S$48=K$15),$G$49:$S$90))*IF($E35=$D35,1,INDEX($B$7:$B$12,MATCH($D35&amp;$E35,$C$7:$C$12&amp;$D$7:$D$12,0))))</f>
        <v>91.553987082317306</v>
      </c>
      <c r="L35" s="34">
        <f t="array" ref="L35">IF(SUM(IF(($B$49:$B$90=$A35)*($D$49:$D$90=$C35)*($G$48:$S$48=L$15),$G$49:$S$90))=0,"",SUM(IF(($B$49:$B$90=$A35)*($D$49:$D$90=$C35)*($G$48:$S$48=L$15),$G$49:$S$90))*IF($E35=$D35,1,INDEX($B$7:$B$12,MATCH($D35&amp;$E35,$C$7:$C$12&amp;$D$7:$D$12,0))))</f>
        <v>94.622279644299411</v>
      </c>
      <c r="M35" s="34">
        <f t="array" ref="M35">IF(SUM(IF(($B$49:$B$90=$A35)*($D$49:$D$90=$C35)*($G$48:$S$48=M$15),$G$49:$S$90))=0,"",SUM(IF(($B$49:$B$90=$A35)*($D$49:$D$90=$C35)*($G$48:$S$48=M$15),$G$49:$S$90))*IF($E35=$D35,1,INDEX($B$7:$B$12,MATCH($D35&amp;$E35,$C$7:$C$12&amp;$D$7:$D$12,0))))</f>
        <v>96.319594273408981</v>
      </c>
      <c r="N35" s="34">
        <f t="array" ref="N35">IF(SUM(IF(($B$49:$B$90=$A35)*($D$49:$D$90=$C35)*($G$48:$S$48=N$15),$G$49:$S$90))=0,"",SUM(IF(($B$49:$B$90=$A35)*($D$49:$D$90=$C35)*($G$48:$S$48=N$15),$G$49:$S$90))*IF($E35=$D35,1,INDEX($B$7:$B$12,MATCH($D35&amp;$E35,$C$7:$C$12&amp;$D$7:$D$12,0))))</f>
        <v>98.13861514769593</v>
      </c>
      <c r="O35" s="34">
        <f t="array" ref="O35">IF(SUM(IF(($B$49:$B$90=$A35)*($D$49:$D$90=$C35)*($G$48:$S$48=O$15),$G$49:$S$90))=0,"",SUM(IF(($B$49:$B$90=$A35)*($D$49:$D$90=$C35)*($G$48:$S$48=O$15),$G$49:$S$90))*IF($E35=$D35,1,INDEX($B$7:$B$12,MATCH($D35&amp;$E35,$C$7:$C$12&amp;$D$7:$D$12,0))))</f>
        <v>99.038221399835976</v>
      </c>
      <c r="P35" s="34">
        <f t="array" ref="P35">IF(SUM(IF(($B$49:$B$90=$A35)*($D$49:$D$90=$C35)*($G$48:$S$48=P$15),$G$49:$S$90))=0,"",SUM(IF(($B$49:$B$90=$A35)*($D$49:$D$90=$C35)*($G$48:$S$48=P$15),$G$49:$S$90))*IF($E35=$D35,1,INDEX($B$7:$B$12,MATCH($D35&amp;$E35,$C$7:$C$12&amp;$D$7:$D$12,0))))</f>
        <v>99.680972609249153</v>
      </c>
      <c r="Q35" s="34">
        <f t="array" ref="Q35">IF(SUM(IF(($B$49:$B$90=$A35)*($D$49:$D$90=$C35)*($G$48:$S$48=Q$15),$G$49:$S$90))=0,"",SUM(IF(($B$49:$B$90=$A35)*($D$49:$D$90=$C35)*($G$48:$S$48=Q$15),$G$49:$S$90))*IF($E35=$D35,1,INDEX($B$7:$B$12,MATCH($D35&amp;$E35,$C$7:$C$12&amp;$D$7:$D$12,0))))</f>
        <v>99.970318344583106</v>
      </c>
      <c r="R35" s="34">
        <f t="array" ref="R35">IF(SUM(IF(($B$49:$B$90=$A35)*($D$49:$D$90=$C35)*($G$48:$S$48=R$15),$G$49:$S$90))=0,"",SUM(IF(($B$49:$B$90=$A35)*($D$49:$D$90=$C35)*($G$48:$S$48=R$15),$G$49:$S$90))*IF($E35=$D35,1,INDEX($B$7:$B$12,MATCH($D35&amp;$E35,$C$7:$C$12&amp;$D$7:$D$12,0))))</f>
        <v>100.27340128631327</v>
      </c>
    </row>
    <row r="36" spans="1:28" x14ac:dyDescent="0.3">
      <c r="A36" s="3" t="s">
        <v>381</v>
      </c>
      <c r="B36" s="3" t="str">
        <f>INDEX('R1. Scenario specifications'!$C$11:$C$59,MATCH($A36,'R1. Scenario specifications'!$A$11:$A$59,0))</f>
        <v>Reference Technologies Scenario, Energy Technology Perspectives 2017</v>
      </c>
      <c r="C36" s="3" t="s">
        <v>255</v>
      </c>
      <c r="D36" s="3" t="str">
        <f t="array" ref="D36">INDEX($F$49:$F$90,MATCH($A36&amp;$C36,$B$49:$B$90&amp;$D$49:$D$90,0))</f>
        <v>PJ</v>
      </c>
      <c r="E36" s="3" t="str">
        <f t="shared" si="1"/>
        <v>bcm</v>
      </c>
      <c r="F36" s="34">
        <f t="array" ref="F36">IF(SUM(IF(($B$49:$B$90=$A36)*($D$49:$D$90=$C36)*($G$48:$S$48=F$15),$G$49:$S$90))=0,"",SUM(IF(($B$49:$B$90=$A36)*($D$49:$D$90=$C36)*($G$48:$S$48=F$15),$G$49:$S$90))*IF($E36=$D36,1,INDEX($B$7:$B$12,MATCH($D36&amp;$E36,$C$7:$C$12&amp;$D$7:$D$12,0))))</f>
        <v>3222.9196882935812</v>
      </c>
      <c r="G36" s="34" t="str">
        <f t="array" ref="G36">IF(SUM(IF(($B$49:$B$90=$A36)*($D$49:$D$90=$C36)*($G$48:$S$48=G$15),$G$49:$S$90))=0,"",SUM(IF(($B$49:$B$90=$A36)*($D$49:$D$90=$C36)*($G$48:$S$48=G$15),$G$49:$S$90))*IF($E36=$D36,1,INDEX($B$7:$B$12,MATCH($D36&amp;$E36,$C$7:$C$12&amp;$D$7:$D$12,0))))</f>
        <v/>
      </c>
      <c r="H36" s="34" t="str">
        <f t="array" ref="H36">IF(SUM(IF(($B$49:$B$90=$A36)*($D$49:$D$90=$C36)*($G$48:$S$48=H$15),$G$49:$S$90))=0,"",SUM(IF(($B$49:$B$90=$A36)*($D$49:$D$90=$C36)*($G$48:$S$48=H$15),$G$49:$S$90))*IF($E36=$D36,1,INDEX($B$7:$B$12,MATCH($D36&amp;$E36,$C$7:$C$12&amp;$D$7:$D$12,0))))</f>
        <v/>
      </c>
      <c r="I36" s="34" t="str">
        <f t="array" ref="I36">IF(SUM(IF(($B$49:$B$90=$A36)*($D$49:$D$90=$C36)*($G$48:$S$48=I$15),$G$49:$S$90))=0,"",SUM(IF(($B$49:$B$90=$A36)*($D$49:$D$90=$C36)*($G$48:$S$48=I$15),$G$49:$S$90))*IF($E36=$D36,1,INDEX($B$7:$B$12,MATCH($D36&amp;$E36,$C$7:$C$12&amp;$D$7:$D$12,0))))</f>
        <v/>
      </c>
      <c r="J36" s="34">
        <f t="array" ref="J36">IF(SUM(IF(($B$49:$B$90=$A36)*($D$49:$D$90=$C36)*($G$48:$S$48=J$15),$G$49:$S$90))=0,"",SUM(IF(($B$49:$B$90=$A36)*($D$49:$D$90=$C36)*($G$48:$S$48=J$15),$G$49:$S$90))*IF($E36=$D36,1,INDEX($B$7:$B$12,MATCH($D36&amp;$E36,$C$7:$C$12&amp;$D$7:$D$12,0))))</f>
        <v>3557.8352596884461</v>
      </c>
      <c r="K36" s="34">
        <f t="array" ref="K36">IF(SUM(IF(($B$49:$B$90=$A36)*($D$49:$D$90=$C36)*($G$48:$S$48=K$15),$G$49:$S$90))=0,"",SUM(IF(($B$49:$B$90=$A36)*($D$49:$D$90=$C36)*($G$48:$S$48=K$15),$G$49:$S$90))*IF($E36=$D36,1,INDEX($B$7:$B$12,MATCH($D36&amp;$E36,$C$7:$C$12&amp;$D$7:$D$12,0))))</f>
        <v>3836.9315691841666</v>
      </c>
      <c r="L36" s="34">
        <f t="array" ref="L36">IF(SUM(IF(($B$49:$B$90=$A36)*($D$49:$D$90=$C36)*($G$48:$S$48=L$15),$G$49:$S$90))=0,"",SUM(IF(($B$49:$B$90=$A36)*($D$49:$D$90=$C36)*($G$48:$S$48=L$15),$G$49:$S$90))*IF($E36=$D36,1,INDEX($B$7:$B$12,MATCH($D36&amp;$E36,$C$7:$C$12&amp;$D$7:$D$12,0))))</f>
        <v>4177.737880920914</v>
      </c>
      <c r="M36" s="34">
        <f t="array" ref="M36">IF(SUM(IF(($B$49:$B$90=$A36)*($D$49:$D$90=$C36)*($G$48:$S$48=M$15),$G$49:$S$90))=0,"",SUM(IF(($B$49:$B$90=$A36)*($D$49:$D$90=$C36)*($G$48:$S$48=M$15),$G$49:$S$90))*IF($E36=$D36,1,INDEX($B$7:$B$12,MATCH($D36&amp;$E36,$C$7:$C$12&amp;$D$7:$D$12,0))))</f>
        <v>4412.943620422805</v>
      </c>
      <c r="N36" s="34">
        <f t="array" ref="N36">IF(SUM(IF(($B$49:$B$90=$A36)*($D$49:$D$90=$C36)*($G$48:$S$48=N$15),$G$49:$S$90))=0,"",SUM(IF(($B$49:$B$90=$A36)*($D$49:$D$90=$C36)*($G$48:$S$48=N$15),$G$49:$S$90))*IF($E36=$D36,1,INDEX($B$7:$B$12,MATCH($D36&amp;$E36,$C$7:$C$12&amp;$D$7:$D$12,0))))</f>
        <v>4616.408566259408</v>
      </c>
      <c r="O36" s="34">
        <f t="array" ref="O36">IF(SUM(IF(($B$49:$B$90=$A36)*($D$49:$D$90=$C36)*($G$48:$S$48=O$15),$G$49:$S$90))=0,"",SUM(IF(($B$49:$B$90=$A36)*($D$49:$D$90=$C36)*($G$48:$S$48=O$15),$G$49:$S$90))*IF($E36=$D36,1,INDEX($B$7:$B$12,MATCH($D36&amp;$E36,$C$7:$C$12&amp;$D$7:$D$12,0))))</f>
        <v>4778.2887598325806</v>
      </c>
      <c r="P36" s="34">
        <f t="array" ref="P36">IF(SUM(IF(($B$49:$B$90=$A36)*($D$49:$D$90=$C36)*($G$48:$S$48=P$15),$G$49:$S$90))=0,"",SUM(IF(($B$49:$B$90=$A36)*($D$49:$D$90=$C36)*($G$48:$S$48=P$15),$G$49:$S$90))*IF($E36=$D36,1,INDEX($B$7:$B$12,MATCH($D36&amp;$E36,$C$7:$C$12&amp;$D$7:$D$12,0))))</f>
        <v>4880.799467932964</v>
      </c>
      <c r="Q36" s="34">
        <f t="array" ref="Q36">IF(SUM(IF(($B$49:$B$90=$A36)*($D$49:$D$90=$C36)*($G$48:$S$48=Q$15),$G$49:$S$90))=0,"",SUM(IF(($B$49:$B$90=$A36)*($D$49:$D$90=$C36)*($G$48:$S$48=Q$15),$G$49:$S$90))*IF($E36=$D36,1,INDEX($B$7:$B$12,MATCH($D36&amp;$E36,$C$7:$C$12&amp;$D$7:$D$12,0))))</f>
        <v>4963.4195018002174</v>
      </c>
      <c r="R36" s="34">
        <f t="array" ref="R36">IF(SUM(IF(($B$49:$B$90=$A36)*($D$49:$D$90=$C36)*($G$48:$S$48=R$15),$G$49:$S$90))=0,"",SUM(IF(($B$49:$B$90=$A36)*($D$49:$D$90=$C36)*($G$48:$S$48=R$15),$G$49:$S$90))*IF($E36=$D36,1,INDEX($B$7:$B$12,MATCH($D36&amp;$E36,$C$7:$C$12&amp;$D$7:$D$12,0))))</f>
        <v>5111.9338640039286</v>
      </c>
    </row>
    <row r="37" spans="1:28" x14ac:dyDescent="0.3">
      <c r="A37" s="3" t="s">
        <v>382</v>
      </c>
      <c r="B37" s="3" t="str">
        <f>INDEX('R1. Scenario specifications'!$C$11:$C$59,MATCH($A37,'R1. Scenario specifications'!$A$11:$A$59,0))</f>
        <v>2 Degrees Scenario, Energy Technology Perspectives 2017</v>
      </c>
      <c r="C37" s="3" t="s">
        <v>254</v>
      </c>
      <c r="D37" s="3" t="str">
        <f t="array" ref="D37">INDEX($F$49:$F$90,MATCH($A37&amp;$C37,$B$49:$B$90&amp;$D$49:$D$90,0))</f>
        <v>PJ</v>
      </c>
      <c r="E37" s="3" t="str">
        <f t="shared" si="1"/>
        <v>Mtce</v>
      </c>
      <c r="F37" s="34">
        <f t="array" ref="F37">IF(SUM(IF(($B$49:$B$90=$A37)*($D$49:$D$90=$C37)*($G$48:$S$48=F$15),$G$49:$S$90))=0,"",SUM(IF(($B$49:$B$90=$A37)*($D$49:$D$90=$C37)*($G$48:$S$48=F$15),$G$49:$S$90))*IF($E37=$D37,1,INDEX($B$7:$B$12,MATCH($D37&amp;$E37,$C$7:$C$12&amp;$D$7:$D$12,0))))</f>
        <v>5870.3650831554214</v>
      </c>
      <c r="G37" s="34" t="str">
        <f t="array" ref="G37">IF(SUM(IF(($B$49:$B$90=$A37)*($D$49:$D$90=$C37)*($G$48:$S$48=G$15),$G$49:$S$90))=0,"",SUM(IF(($B$49:$B$90=$A37)*($D$49:$D$90=$C37)*($G$48:$S$48=G$15),$G$49:$S$90))*IF($E37=$D37,1,INDEX($B$7:$B$12,MATCH($D37&amp;$E37,$C$7:$C$12&amp;$D$7:$D$12,0))))</f>
        <v/>
      </c>
      <c r="H37" s="34" t="str">
        <f t="array" ref="H37">IF(SUM(IF(($B$49:$B$90=$A37)*($D$49:$D$90=$C37)*($G$48:$S$48=H$15),$G$49:$S$90))=0,"",SUM(IF(($B$49:$B$90=$A37)*($D$49:$D$90=$C37)*($G$48:$S$48=H$15),$G$49:$S$90))*IF($E37=$D37,1,INDEX($B$7:$B$12,MATCH($D37&amp;$E37,$C$7:$C$12&amp;$D$7:$D$12,0))))</f>
        <v/>
      </c>
      <c r="I37" s="34" t="str">
        <f t="array" ref="I37">IF(SUM(IF(($B$49:$B$90=$A37)*($D$49:$D$90=$C37)*($G$48:$S$48=I$15),$G$49:$S$90))=0,"",SUM(IF(($B$49:$B$90=$A37)*($D$49:$D$90=$C37)*($G$48:$S$48=I$15),$G$49:$S$90))*IF($E37=$D37,1,INDEX($B$7:$B$12,MATCH($D37&amp;$E37,$C$7:$C$12&amp;$D$7:$D$12,0))))</f>
        <v/>
      </c>
      <c r="J37" s="34">
        <f t="array" ref="J37">IF(SUM(IF(($B$49:$B$90=$A37)*($D$49:$D$90=$C37)*($G$48:$S$48=J$15),$G$49:$S$90))=0,"",SUM(IF(($B$49:$B$90=$A37)*($D$49:$D$90=$C37)*($G$48:$S$48=J$15),$G$49:$S$90))*IF($E37=$D37,1,INDEX($B$7:$B$12,MATCH($D37&amp;$E37,$C$7:$C$12&amp;$D$7:$D$12,0))))</f>
        <v>5068.9734953946672</v>
      </c>
      <c r="K37" s="34">
        <f t="array" ref="K37">IF(SUM(IF(($B$49:$B$90=$A37)*($D$49:$D$90=$C37)*($G$48:$S$48=K$15),$G$49:$S$90))=0,"",SUM(IF(($B$49:$B$90=$A37)*($D$49:$D$90=$C37)*($G$48:$S$48=K$15),$G$49:$S$90))*IF($E37=$D37,1,INDEX($B$7:$B$12,MATCH($D37&amp;$E37,$C$7:$C$12&amp;$D$7:$D$12,0))))</f>
        <v>4401.1471722607048</v>
      </c>
      <c r="L37" s="34">
        <f t="array" ref="L37">IF(SUM(IF(($B$49:$B$90=$A37)*($D$49:$D$90=$C37)*($G$48:$S$48=L$15),$G$49:$S$90))=0,"",SUM(IF(($B$49:$B$90=$A37)*($D$49:$D$90=$C37)*($G$48:$S$48=L$15),$G$49:$S$90))*IF($E37=$D37,1,INDEX($B$7:$B$12,MATCH($D37&amp;$E37,$C$7:$C$12&amp;$D$7:$D$12,0))))</f>
        <v>3426.8452228877932</v>
      </c>
      <c r="M37" s="34">
        <f t="array" ref="M37">IF(SUM(IF(($B$49:$B$90=$A37)*($D$49:$D$90=$C37)*($G$48:$S$48=M$15),$G$49:$S$90))=0,"",SUM(IF(($B$49:$B$90=$A37)*($D$49:$D$90=$C37)*($G$48:$S$48=M$15),$G$49:$S$90))*IF($E37=$D37,1,INDEX($B$7:$B$12,MATCH($D37&amp;$E37,$C$7:$C$12&amp;$D$7:$D$12,0))))</f>
        <v>2677.520021418688</v>
      </c>
      <c r="N37" s="34">
        <f t="array" ref="N37">IF(SUM(IF(($B$49:$B$90=$A37)*($D$49:$D$90=$C37)*($G$48:$S$48=N$15),$G$49:$S$90))=0,"",SUM(IF(($B$49:$B$90=$A37)*($D$49:$D$90=$C37)*($G$48:$S$48=N$15),$G$49:$S$90))*IF($E37=$D37,1,INDEX($B$7:$B$12,MATCH($D37&amp;$E37,$C$7:$C$12&amp;$D$7:$D$12,0))))</f>
        <v>2343.6328327094539</v>
      </c>
      <c r="O37" s="34">
        <f t="array" ref="O37">IF(SUM(IF(($B$49:$B$90=$A37)*($D$49:$D$90=$C37)*($G$48:$S$48=O$15),$G$49:$S$90))=0,"",SUM(IF(($B$49:$B$90=$A37)*($D$49:$D$90=$C37)*($G$48:$S$48=O$15),$G$49:$S$90))*IF($E37=$D37,1,INDEX($B$7:$B$12,MATCH($D37&amp;$E37,$C$7:$C$12&amp;$D$7:$D$12,0))))</f>
        <v>2119.7141746545358</v>
      </c>
      <c r="P37" s="34">
        <f t="array" ref="P37">IF(SUM(IF(($B$49:$B$90=$A37)*($D$49:$D$90=$C37)*($G$48:$S$48=P$15),$G$49:$S$90))=0,"",SUM(IF(($B$49:$B$90=$A37)*($D$49:$D$90=$C37)*($G$48:$S$48=P$15),$G$49:$S$90))*IF($E37=$D37,1,INDEX($B$7:$B$12,MATCH($D37&amp;$E37,$C$7:$C$12&amp;$D$7:$D$12,0))))</f>
        <v>1907.6207990925313</v>
      </c>
      <c r="Q37" s="34">
        <f t="array" ref="Q37">IF(SUM(IF(($B$49:$B$90=$A37)*($D$49:$D$90=$C37)*($G$48:$S$48=Q$15),$G$49:$S$90))=0,"",SUM(IF(($B$49:$B$90=$A37)*($D$49:$D$90=$C37)*($G$48:$S$48=Q$15),$G$49:$S$90))*IF($E37=$D37,1,INDEX($B$7:$B$12,MATCH($D37&amp;$E37,$C$7:$C$12&amp;$D$7:$D$12,0))))</f>
        <v>1709.5465105217902</v>
      </c>
      <c r="R37" s="34">
        <f t="array" ref="R37">IF(SUM(IF(($B$49:$B$90=$A37)*($D$49:$D$90=$C37)*($G$48:$S$48=R$15),$G$49:$S$90))=0,"",SUM(IF(($B$49:$B$90=$A37)*($D$49:$D$90=$C37)*($G$48:$S$48=R$15),$G$49:$S$90))*IF($E37=$D37,1,INDEX($B$7:$B$12,MATCH($D37&amp;$E37,$C$7:$C$12&amp;$D$7:$D$12,0))))</f>
        <v>1641.6078073107171</v>
      </c>
    </row>
    <row r="38" spans="1:28" x14ac:dyDescent="0.3">
      <c r="A38" s="3" t="s">
        <v>382</v>
      </c>
      <c r="B38" s="3" t="str">
        <f>INDEX('R1. Scenario specifications'!$C$11:$C$59,MATCH($A38,'R1. Scenario specifications'!$A$11:$A$59,0))</f>
        <v>2 Degrees Scenario, Energy Technology Perspectives 2017</v>
      </c>
      <c r="C38" s="3" t="s">
        <v>266</v>
      </c>
      <c r="D38" s="3" t="str">
        <f t="array" ref="D38">INDEX($F$49:$F$90,MATCH($A38&amp;$C38,$B$49:$B$90&amp;$D$49:$D$90,0))</f>
        <v>PJ</v>
      </c>
      <c r="E38" s="3" t="str">
        <f t="shared" si="1"/>
        <v>Mb/day</v>
      </c>
      <c r="F38" s="34">
        <f t="array" ref="F38">IF(SUM(IF(($B$49:$B$90=$A38)*($D$49:$D$90=$C38)*($G$48:$S$48=F$15),$G$49:$S$90))=0,"",SUM(IF(($B$49:$B$90=$A38)*($D$49:$D$90=$C38)*($G$48:$S$48=F$15),$G$49:$S$90))*IF($E38=$D38,1,INDEX($B$7:$B$12,MATCH($D38&amp;$E38,$C$7:$C$12&amp;$D$7:$D$12,0))))</f>
        <v>86.088867251362146</v>
      </c>
      <c r="G38" s="34" t="str">
        <f t="array" ref="G38">IF(SUM(IF(($B$49:$B$90=$A38)*($D$49:$D$90=$C38)*($G$48:$S$48=G$15),$G$49:$S$90))=0,"",SUM(IF(($B$49:$B$90=$A38)*($D$49:$D$90=$C38)*($G$48:$S$48=G$15),$G$49:$S$90))*IF($E38=$D38,1,INDEX($B$7:$B$12,MATCH($D38&amp;$E38,$C$7:$C$12&amp;$D$7:$D$12,0))))</f>
        <v/>
      </c>
      <c r="H38" s="34" t="str">
        <f t="array" ref="H38">IF(SUM(IF(($B$49:$B$90=$A38)*($D$49:$D$90=$C38)*($G$48:$S$48=H$15),$G$49:$S$90))=0,"",SUM(IF(($B$49:$B$90=$A38)*($D$49:$D$90=$C38)*($G$48:$S$48=H$15),$G$49:$S$90))*IF($E38=$D38,1,INDEX($B$7:$B$12,MATCH($D38&amp;$E38,$C$7:$C$12&amp;$D$7:$D$12,0))))</f>
        <v/>
      </c>
      <c r="I38" s="34" t="str">
        <f t="array" ref="I38">IF(SUM(IF(($B$49:$B$90=$A38)*($D$49:$D$90=$C38)*($G$48:$S$48=I$15),$G$49:$S$90))=0,"",SUM(IF(($B$49:$B$90=$A38)*($D$49:$D$90=$C38)*($G$48:$S$48=I$15),$G$49:$S$90))*IF($E38=$D38,1,INDEX($B$7:$B$12,MATCH($D38&amp;$E38,$C$7:$C$12&amp;$D$7:$D$12,0))))</f>
        <v/>
      </c>
      <c r="J38" s="34">
        <f t="array" ref="J38">IF(SUM(IF(($B$49:$B$90=$A38)*($D$49:$D$90=$C38)*($G$48:$S$48=J$15),$G$49:$S$90))=0,"",SUM(IF(($B$49:$B$90=$A38)*($D$49:$D$90=$C38)*($G$48:$S$48=J$15),$G$49:$S$90))*IF($E38=$D38,1,INDEX($B$7:$B$12,MATCH($D38&amp;$E38,$C$7:$C$12&amp;$D$7:$D$12,0))))</f>
        <v>83.019502727104737</v>
      </c>
      <c r="K38" s="34">
        <f t="array" ref="K38">IF(SUM(IF(($B$49:$B$90=$A38)*($D$49:$D$90=$C38)*($G$48:$S$48=K$15),$G$49:$S$90))=0,"",SUM(IF(($B$49:$B$90=$A38)*($D$49:$D$90=$C38)*($G$48:$S$48=K$15),$G$49:$S$90))*IF($E38=$D38,1,INDEX($B$7:$B$12,MATCH($D38&amp;$E38,$C$7:$C$12&amp;$D$7:$D$12,0))))</f>
        <v>80.461698956890231</v>
      </c>
      <c r="L38" s="34">
        <f t="array" ref="L38">IF(SUM(IF(($B$49:$B$90=$A38)*($D$49:$D$90=$C38)*($G$48:$S$48=L$15),$G$49:$S$90))=0,"",SUM(IF(($B$49:$B$90=$A38)*($D$49:$D$90=$C38)*($G$48:$S$48=L$15),$G$49:$S$90))*IF($E38=$D38,1,INDEX($B$7:$B$12,MATCH($D38&amp;$E38,$C$7:$C$12&amp;$D$7:$D$12,0))))</f>
        <v>76.365275483934852</v>
      </c>
      <c r="M38" s="34">
        <f t="array" ref="M38">IF(SUM(IF(($B$49:$B$90=$A38)*($D$49:$D$90=$C38)*($G$48:$S$48=M$15),$G$49:$S$90))=0,"",SUM(IF(($B$49:$B$90=$A38)*($D$49:$D$90=$C38)*($G$48:$S$48=M$15),$G$49:$S$90))*IF($E38=$D38,1,INDEX($B$7:$B$12,MATCH($D38&amp;$E38,$C$7:$C$12&amp;$D$7:$D$12,0))))</f>
        <v>71.688995750686246</v>
      </c>
      <c r="N38" s="34">
        <f t="array" ref="N38">IF(SUM(IF(($B$49:$B$90=$A38)*($D$49:$D$90=$C38)*($G$48:$S$48=N$15),$G$49:$S$90))=0,"",SUM(IF(($B$49:$B$90=$A38)*($D$49:$D$90=$C38)*($G$48:$S$48=N$15),$G$49:$S$90))*IF($E38=$D38,1,INDEX($B$7:$B$12,MATCH($D38&amp;$E38,$C$7:$C$12&amp;$D$7:$D$12,0))))</f>
        <v>66.87521984797759</v>
      </c>
      <c r="O38" s="34">
        <f t="array" ref="O38">IF(SUM(IF(($B$49:$B$90=$A38)*($D$49:$D$90=$C38)*($G$48:$S$48=O$15),$G$49:$S$90))=0,"",SUM(IF(($B$49:$B$90=$A38)*($D$49:$D$90=$C38)*($G$48:$S$48=O$15),$G$49:$S$90))*IF($E38=$D38,1,INDEX($B$7:$B$12,MATCH($D38&amp;$E38,$C$7:$C$12&amp;$D$7:$D$12,0))))</f>
        <v>61.074928405218301</v>
      </c>
      <c r="P38" s="34">
        <f t="array" ref="P38">IF(SUM(IF(($B$49:$B$90=$A38)*($D$49:$D$90=$C38)*($G$48:$S$48=P$15),$G$49:$S$90))=0,"",SUM(IF(($B$49:$B$90=$A38)*($D$49:$D$90=$C38)*($G$48:$S$48=P$15),$G$49:$S$90))*IF($E38=$D38,1,INDEX($B$7:$B$12,MATCH($D38&amp;$E38,$C$7:$C$12&amp;$D$7:$D$12,0))))</f>
        <v>55.450521579435467</v>
      </c>
      <c r="Q38" s="34">
        <f t="array" ref="Q38">IF(SUM(IF(($B$49:$B$90=$A38)*($D$49:$D$90=$C38)*($G$48:$S$48=Q$15),$G$49:$S$90))=0,"",SUM(IF(($B$49:$B$90=$A38)*($D$49:$D$90=$C38)*($G$48:$S$48=Q$15),$G$49:$S$90))*IF($E38=$D38,1,INDEX($B$7:$B$12,MATCH($D38&amp;$E38,$C$7:$C$12&amp;$D$7:$D$12,0))))</f>
        <v>50.582577476693352</v>
      </c>
      <c r="R38" s="34">
        <f t="array" ref="R38">IF(SUM(IF(($B$49:$B$90=$A38)*($D$49:$D$90=$C38)*($G$48:$S$48=R$15),$G$49:$S$90))=0,"",SUM(IF(($B$49:$B$90=$A38)*($D$49:$D$90=$C38)*($G$48:$S$48=R$15),$G$49:$S$90))*IF($E38=$D38,1,INDEX($B$7:$B$12,MATCH($D38&amp;$E38,$C$7:$C$12&amp;$D$7:$D$12,0))))</f>
        <v>47.415211109693011</v>
      </c>
    </row>
    <row r="39" spans="1:28" x14ac:dyDescent="0.3">
      <c r="A39" s="3" t="s">
        <v>382</v>
      </c>
      <c r="B39" s="3" t="str">
        <f>INDEX('R1. Scenario specifications'!$C$11:$C$59,MATCH($A39,'R1. Scenario specifications'!$A$11:$A$59,0))</f>
        <v>2 Degrees Scenario, Energy Technology Perspectives 2017</v>
      </c>
      <c r="C39" s="3" t="s">
        <v>255</v>
      </c>
      <c r="D39" s="3" t="str">
        <f t="array" ref="D39">INDEX($F$49:$F$90,MATCH($A39&amp;$C39,$B$49:$B$90&amp;$D$49:$D$90,0))</f>
        <v>PJ</v>
      </c>
      <c r="E39" s="3" t="str">
        <f t="shared" si="1"/>
        <v>bcm</v>
      </c>
      <c r="F39" s="34">
        <f t="array" ref="F39">IF(SUM(IF(($B$49:$B$90=$A39)*($D$49:$D$90=$C39)*($G$48:$S$48=F$15),$G$49:$S$90))=0,"",SUM(IF(($B$49:$B$90=$A39)*($D$49:$D$90=$C39)*($G$48:$S$48=F$15),$G$49:$S$90))*IF($E39=$D39,1,INDEX($B$7:$B$12,MATCH($D39&amp;$E39,$C$7:$C$12&amp;$D$7:$D$12,0))))</f>
        <v>3222.9196882935812</v>
      </c>
      <c r="G39" s="34" t="str">
        <f t="array" ref="G39">IF(SUM(IF(($B$49:$B$90=$A39)*($D$49:$D$90=$C39)*($G$48:$S$48=G$15),$G$49:$S$90))=0,"",SUM(IF(($B$49:$B$90=$A39)*($D$49:$D$90=$C39)*($G$48:$S$48=G$15),$G$49:$S$90))*IF($E39=$D39,1,INDEX($B$7:$B$12,MATCH($D39&amp;$E39,$C$7:$C$12&amp;$D$7:$D$12,0))))</f>
        <v/>
      </c>
      <c r="H39" s="34" t="str">
        <f t="array" ref="H39">IF(SUM(IF(($B$49:$B$90=$A39)*($D$49:$D$90=$C39)*($G$48:$S$48=H$15),$G$49:$S$90))=0,"",SUM(IF(($B$49:$B$90=$A39)*($D$49:$D$90=$C39)*($G$48:$S$48=H$15),$G$49:$S$90))*IF($E39=$D39,1,INDEX($B$7:$B$12,MATCH($D39&amp;$E39,$C$7:$C$12&amp;$D$7:$D$12,0))))</f>
        <v/>
      </c>
      <c r="I39" s="34" t="str">
        <f t="array" ref="I39">IF(SUM(IF(($B$49:$B$90=$A39)*($D$49:$D$90=$C39)*($G$48:$S$48=I$15),$G$49:$S$90))=0,"",SUM(IF(($B$49:$B$90=$A39)*($D$49:$D$90=$C39)*($G$48:$S$48=I$15),$G$49:$S$90))*IF($E39=$D39,1,INDEX($B$7:$B$12,MATCH($D39&amp;$E39,$C$7:$C$12&amp;$D$7:$D$12,0))))</f>
        <v/>
      </c>
      <c r="J39" s="34">
        <f t="array" ref="J39">IF(SUM(IF(($B$49:$B$90=$A39)*($D$49:$D$90=$C39)*($G$48:$S$48=J$15),$G$49:$S$90))=0,"",SUM(IF(($B$49:$B$90=$A39)*($D$49:$D$90=$C39)*($G$48:$S$48=J$15),$G$49:$S$90))*IF($E39=$D39,1,INDEX($B$7:$B$12,MATCH($D39&amp;$E39,$C$7:$C$12&amp;$D$7:$D$12,0))))</f>
        <v>3461.4199045258315</v>
      </c>
      <c r="K39" s="34">
        <f t="array" ref="K39">IF(SUM(IF(($B$49:$B$90=$A39)*($D$49:$D$90=$C39)*($G$48:$S$48=K$15),$G$49:$S$90))=0,"",SUM(IF(($B$49:$B$90=$A39)*($D$49:$D$90=$C39)*($G$48:$S$48=K$15),$G$49:$S$90))*IF($E39=$D39,1,INDEX($B$7:$B$12,MATCH($D39&amp;$E39,$C$7:$C$12&amp;$D$7:$D$12,0))))</f>
        <v>3660.1700847193733</v>
      </c>
      <c r="L39" s="34">
        <f t="array" ref="L39">IF(SUM(IF(($B$49:$B$90=$A39)*($D$49:$D$90=$C39)*($G$48:$S$48=L$15),$G$49:$S$90))=0,"",SUM(IF(($B$49:$B$90=$A39)*($D$49:$D$90=$C39)*($G$48:$S$48=L$15),$G$49:$S$90))*IF($E39=$D39,1,INDEX($B$7:$B$12,MATCH($D39&amp;$E39,$C$7:$C$12&amp;$D$7:$D$12,0))))</f>
        <v>3514.3182497912621</v>
      </c>
      <c r="M39" s="34">
        <f t="array" ref="M39">IF(SUM(IF(($B$49:$B$90=$A39)*($D$49:$D$90=$C39)*($G$48:$S$48=M$15),$G$49:$S$90))=0,"",SUM(IF(($B$49:$B$90=$A39)*($D$49:$D$90=$C39)*($G$48:$S$48=M$15),$G$49:$S$90))*IF($E39=$D39,1,INDEX($B$7:$B$12,MATCH($D39&amp;$E39,$C$7:$C$12&amp;$D$7:$D$12,0))))</f>
        <v>3403.9599958403319</v>
      </c>
      <c r="N39" s="34">
        <f t="array" ref="N39">IF(SUM(IF(($B$49:$B$90=$A39)*($D$49:$D$90=$C39)*($G$48:$S$48=N$15),$G$49:$S$90))=0,"",SUM(IF(($B$49:$B$90=$A39)*($D$49:$D$90=$C39)*($G$48:$S$48=N$15),$G$49:$S$90))*IF($E39=$D39,1,INDEX($B$7:$B$12,MATCH($D39&amp;$E39,$C$7:$C$12&amp;$D$7:$D$12,0))))</f>
        <v>3158.7952146540092</v>
      </c>
      <c r="O39" s="34">
        <f t="array" ref="O39">IF(SUM(IF(($B$49:$B$90=$A39)*($D$49:$D$90=$C39)*($G$48:$S$48=O$15),$G$49:$S$90))=0,"",SUM(IF(($B$49:$B$90=$A39)*($D$49:$D$90=$C39)*($G$48:$S$48=O$15),$G$49:$S$90))*IF($E39=$D39,1,INDEX($B$7:$B$12,MATCH($D39&amp;$E39,$C$7:$C$12&amp;$D$7:$D$12,0))))</f>
        <v>2900.6643139811322</v>
      </c>
      <c r="P39" s="34">
        <f t="array" ref="P39">IF(SUM(IF(($B$49:$B$90=$A39)*($D$49:$D$90=$C39)*($G$48:$S$48=P$15),$G$49:$S$90))=0,"",SUM(IF(($B$49:$B$90=$A39)*($D$49:$D$90=$C39)*($G$48:$S$48=P$15),$G$49:$S$90))*IF($E39=$D39,1,INDEX($B$7:$B$12,MATCH($D39&amp;$E39,$C$7:$C$12&amp;$D$7:$D$12,0))))</f>
        <v>2661.9552952670033</v>
      </c>
      <c r="Q39" s="34">
        <f t="array" ref="Q39">IF(SUM(IF(($B$49:$B$90=$A39)*($D$49:$D$90=$C39)*($G$48:$S$48=Q$15),$G$49:$S$90))=0,"",SUM(IF(($B$49:$B$90=$A39)*($D$49:$D$90=$C39)*($G$48:$S$48=Q$15),$G$49:$S$90))*IF($E39=$D39,1,INDEX($B$7:$B$12,MATCH($D39&amp;$E39,$C$7:$C$12&amp;$D$7:$D$12,0))))</f>
        <v>2584.9160661923465</v>
      </c>
      <c r="R39" s="34">
        <f t="array" ref="R39">IF(SUM(IF(($B$49:$B$90=$A39)*($D$49:$D$90=$C39)*($G$48:$S$48=R$15),$G$49:$S$90))=0,"",SUM(IF(($B$49:$B$90=$A39)*($D$49:$D$90=$C39)*($G$48:$S$48=R$15),$G$49:$S$90))*IF($E39=$D39,1,INDEX($B$7:$B$12,MATCH($D39&amp;$E39,$C$7:$C$12&amp;$D$7:$D$12,0))))</f>
        <v>2376.8642214220167</v>
      </c>
    </row>
    <row r="40" spans="1:28" x14ac:dyDescent="0.3">
      <c r="A40" s="3" t="s">
        <v>383</v>
      </c>
      <c r="B40" s="3" t="str">
        <f>INDEX('R1. Scenario specifications'!$C$11:$C$59,MATCH($A40,'R1. Scenario specifications'!$A$11:$A$59,0))</f>
        <v>Below 2 Degrees Scenario (1.75DS), Energy Technology Perspectives 2017</v>
      </c>
      <c r="C40" s="3" t="s">
        <v>254</v>
      </c>
      <c r="D40" s="3" t="str">
        <f t="array" ref="D40">INDEX($F$49:$F$90,MATCH($A40&amp;$C40,$B$49:$B$90&amp;$D$49:$D$90,0))</f>
        <v>PJ</v>
      </c>
      <c r="E40" s="3" t="str">
        <f t="shared" si="1"/>
        <v>Mtce</v>
      </c>
      <c r="F40" s="34">
        <f t="array" ref="F40">IF(SUM(IF(($B$49:$B$90=$A40)*($D$49:$D$90=$C40)*($G$48:$S$48=F$15),$G$49:$S$90))=0,"",SUM(IF(($B$49:$B$90=$A40)*($D$49:$D$90=$C40)*($G$48:$S$48=F$15),$G$49:$S$90))*IF($E40=$D40,1,INDEX($B$7:$B$12,MATCH($D40&amp;$E40,$C$7:$C$12&amp;$D$7:$D$12,0))))</f>
        <v>5870.3650831554214</v>
      </c>
      <c r="G40" s="34" t="str">
        <f t="array" ref="G40">IF(SUM(IF(($B$49:$B$90=$A40)*($D$49:$D$90=$C40)*($G$48:$S$48=G$15),$G$49:$S$90))=0,"",SUM(IF(($B$49:$B$90=$A40)*($D$49:$D$90=$C40)*($G$48:$S$48=G$15),$G$49:$S$90))*IF($E40=$D40,1,INDEX($B$7:$B$12,MATCH($D40&amp;$E40,$C$7:$C$12&amp;$D$7:$D$12,0))))</f>
        <v/>
      </c>
      <c r="H40" s="34" t="str">
        <f t="array" ref="H40">IF(SUM(IF(($B$49:$B$90=$A40)*($D$49:$D$90=$C40)*($G$48:$S$48=H$15),$G$49:$S$90))=0,"",SUM(IF(($B$49:$B$90=$A40)*($D$49:$D$90=$C40)*($G$48:$S$48=H$15),$G$49:$S$90))*IF($E40=$D40,1,INDEX($B$7:$B$12,MATCH($D40&amp;$E40,$C$7:$C$12&amp;$D$7:$D$12,0))))</f>
        <v/>
      </c>
      <c r="I40" s="34" t="str">
        <f t="array" ref="I40">IF(SUM(IF(($B$49:$B$90=$A40)*($D$49:$D$90=$C40)*($G$48:$S$48=I$15),$G$49:$S$90))=0,"",SUM(IF(($B$49:$B$90=$A40)*($D$49:$D$90=$C40)*($G$48:$S$48=I$15),$G$49:$S$90))*IF($E40=$D40,1,INDEX($B$7:$B$12,MATCH($D40&amp;$E40,$C$7:$C$12&amp;$D$7:$D$12,0))))</f>
        <v/>
      </c>
      <c r="J40" s="34">
        <f t="array" ref="J40">IF(SUM(IF(($B$49:$B$90=$A40)*($D$49:$D$90=$C40)*($G$48:$S$48=J$15),$G$49:$S$90))=0,"",SUM(IF(($B$49:$B$90=$A40)*($D$49:$D$90=$C40)*($G$48:$S$48=J$15),$G$49:$S$90))*IF($E40=$D40,1,INDEX($B$7:$B$12,MATCH($D40&amp;$E40,$C$7:$C$12&amp;$D$7:$D$12,0))))</f>
        <v>4634.1281198234183</v>
      </c>
      <c r="K40" s="34">
        <f t="array" ref="K40">IF(SUM(IF(($B$49:$B$90=$A40)*($D$49:$D$90=$C40)*($G$48:$S$48=K$15),$G$49:$S$90))=0,"",SUM(IF(($B$49:$B$90=$A40)*($D$49:$D$90=$C40)*($G$48:$S$48=K$15),$G$49:$S$90))*IF($E40=$D40,1,INDEX($B$7:$B$12,MATCH($D40&amp;$E40,$C$7:$C$12&amp;$D$7:$D$12,0))))</f>
        <v>3603.9306503800822</v>
      </c>
      <c r="L40" s="34">
        <f t="array" ref="L40">IF(SUM(IF(($B$49:$B$90=$A40)*($D$49:$D$90=$C40)*($G$48:$S$48=L$15),$G$49:$S$90))=0,"",SUM(IF(($B$49:$B$90=$A40)*($D$49:$D$90=$C40)*($G$48:$S$48=L$15),$G$49:$S$90))*IF($E40=$D40,1,INDEX($B$7:$B$12,MATCH($D40&amp;$E40,$C$7:$C$12&amp;$D$7:$D$12,0))))</f>
        <v>2652.9045491236238</v>
      </c>
      <c r="M40" s="34">
        <f t="array" ref="M40">IF(SUM(IF(($B$49:$B$90=$A40)*($D$49:$D$90=$C40)*($G$48:$S$48=M$15),$G$49:$S$90))=0,"",SUM(IF(($B$49:$B$90=$A40)*($D$49:$D$90=$C40)*($G$48:$S$48=M$15),$G$49:$S$90))*IF($E40=$D40,1,INDEX($B$7:$B$12,MATCH($D40&amp;$E40,$C$7:$C$12&amp;$D$7:$D$12,0))))</f>
        <v>2017.7379723932106</v>
      </c>
      <c r="N40" s="34">
        <f t="array" ref="N40">IF(SUM(IF(($B$49:$B$90=$A40)*($D$49:$D$90=$C40)*($G$48:$S$48=N$15),$G$49:$S$90))=0,"",SUM(IF(($B$49:$B$90=$A40)*($D$49:$D$90=$C40)*($G$48:$S$48=N$15),$G$49:$S$90))*IF($E40=$D40,1,INDEX($B$7:$B$12,MATCH($D40&amp;$E40,$C$7:$C$12&amp;$D$7:$D$12,0))))</f>
        <v>1851.3022958195145</v>
      </c>
      <c r="O40" s="34">
        <f t="array" ref="O40">IF(SUM(IF(($B$49:$B$90=$A40)*($D$49:$D$90=$C40)*($G$48:$S$48=O$15),$G$49:$S$90))=0,"",SUM(IF(($B$49:$B$90=$A40)*($D$49:$D$90=$C40)*($G$48:$S$48=O$15),$G$49:$S$90))*IF($E40=$D40,1,INDEX($B$7:$B$12,MATCH($D40&amp;$E40,$C$7:$C$12&amp;$D$7:$D$12,0))))</f>
        <v>1830.2573027261467</v>
      </c>
      <c r="P40" s="34">
        <f t="array" ref="P40">IF(SUM(IF(($B$49:$B$90=$A40)*($D$49:$D$90=$C40)*($G$48:$S$48=P$15),$G$49:$S$90))=0,"",SUM(IF(($B$49:$B$90=$A40)*($D$49:$D$90=$C40)*($G$48:$S$48=P$15),$G$49:$S$90))*IF($E40=$D40,1,INDEX($B$7:$B$12,MATCH($D40&amp;$E40,$C$7:$C$12&amp;$D$7:$D$12,0))))</f>
        <v>1536.2792993322848</v>
      </c>
      <c r="Q40" s="34">
        <f t="array" ref="Q40">IF(SUM(IF(($B$49:$B$90=$A40)*($D$49:$D$90=$C40)*($G$48:$S$48=Q$15),$G$49:$S$90))=0,"",SUM(IF(($B$49:$B$90=$A40)*($D$49:$D$90=$C40)*($G$48:$S$48=Q$15),$G$49:$S$90))*IF($E40=$D40,1,INDEX($B$7:$B$12,MATCH($D40&amp;$E40,$C$7:$C$12&amp;$D$7:$D$12,0))))</f>
        <v>1395.0454831498473</v>
      </c>
      <c r="R40" s="34">
        <f t="array" ref="R40">IF(SUM(IF(($B$49:$B$90=$A40)*($D$49:$D$90=$C40)*($G$48:$S$48=R$15),$G$49:$S$90))=0,"",SUM(IF(($B$49:$B$90=$A40)*($D$49:$D$90=$C40)*($G$48:$S$48=R$15),$G$49:$S$90))*IF($E40=$D40,1,INDEX($B$7:$B$12,MATCH($D40&amp;$E40,$C$7:$C$12&amp;$D$7:$D$12,0))))</f>
        <v>1269.2801394180672</v>
      </c>
    </row>
    <row r="41" spans="1:28" x14ac:dyDescent="0.3">
      <c r="A41" s="3" t="s">
        <v>383</v>
      </c>
      <c r="B41" s="3" t="str">
        <f>INDEX('R1. Scenario specifications'!$C$11:$C$59,MATCH($A41,'R1. Scenario specifications'!$A$11:$A$59,0))</f>
        <v>Below 2 Degrees Scenario (1.75DS), Energy Technology Perspectives 2017</v>
      </c>
      <c r="C41" s="3" t="s">
        <v>266</v>
      </c>
      <c r="D41" s="3" t="str">
        <f t="array" ref="D41">INDEX($F$49:$F$90,MATCH($A41&amp;$C41,$B$49:$B$90&amp;$D$49:$D$90,0))</f>
        <v>PJ</v>
      </c>
      <c r="E41" s="3" t="str">
        <f t="shared" si="1"/>
        <v>Mb/day</v>
      </c>
      <c r="F41" s="34">
        <f t="array" ref="F41">IF(SUM(IF(($B$49:$B$90=$A41)*($D$49:$D$90=$C41)*($G$48:$S$48=F$15),$G$49:$S$90))=0,"",SUM(IF(($B$49:$B$90=$A41)*($D$49:$D$90=$C41)*($G$48:$S$48=F$15),$G$49:$S$90))*IF($E41=$D41,1,INDEX($B$7:$B$12,MATCH($D41&amp;$E41,$C$7:$C$12&amp;$D$7:$D$12,0))))</f>
        <v>86.088867251362146</v>
      </c>
      <c r="G41" s="34" t="str">
        <f t="array" ref="G41">IF(SUM(IF(($B$49:$B$90=$A41)*($D$49:$D$90=$C41)*($G$48:$S$48=G$15),$G$49:$S$90))=0,"",SUM(IF(($B$49:$B$90=$A41)*($D$49:$D$90=$C41)*($G$48:$S$48=G$15),$G$49:$S$90))*IF($E41=$D41,1,INDEX($B$7:$B$12,MATCH($D41&amp;$E41,$C$7:$C$12&amp;$D$7:$D$12,0))))</f>
        <v/>
      </c>
      <c r="H41" s="34" t="str">
        <f t="array" ref="H41">IF(SUM(IF(($B$49:$B$90=$A41)*($D$49:$D$90=$C41)*($G$48:$S$48=H$15),$G$49:$S$90))=0,"",SUM(IF(($B$49:$B$90=$A41)*($D$49:$D$90=$C41)*($G$48:$S$48=H$15),$G$49:$S$90))*IF($E41=$D41,1,INDEX($B$7:$B$12,MATCH($D41&amp;$E41,$C$7:$C$12&amp;$D$7:$D$12,0))))</f>
        <v/>
      </c>
      <c r="I41" s="34" t="str">
        <f t="array" ref="I41">IF(SUM(IF(($B$49:$B$90=$A41)*($D$49:$D$90=$C41)*($G$48:$S$48=I$15),$G$49:$S$90))=0,"",SUM(IF(($B$49:$B$90=$A41)*($D$49:$D$90=$C41)*($G$48:$S$48=I$15),$G$49:$S$90))*IF($E41=$D41,1,INDEX($B$7:$B$12,MATCH($D41&amp;$E41,$C$7:$C$12&amp;$D$7:$D$12,0))))</f>
        <v/>
      </c>
      <c r="J41" s="34">
        <f t="array" ref="J41">IF(SUM(IF(($B$49:$B$90=$A41)*($D$49:$D$90=$C41)*($G$48:$S$48=J$15),$G$49:$S$90))=0,"",SUM(IF(($B$49:$B$90=$A41)*($D$49:$D$90=$C41)*($G$48:$S$48=J$15),$G$49:$S$90))*IF($E41=$D41,1,INDEX($B$7:$B$12,MATCH($D41&amp;$E41,$C$7:$C$12&amp;$D$7:$D$12,0))))</f>
        <v>80.467999800068327</v>
      </c>
      <c r="K41" s="34">
        <f t="array" ref="K41">IF(SUM(IF(($B$49:$B$90=$A41)*($D$49:$D$90=$C41)*($G$48:$S$48=K$15),$G$49:$S$90))=0,"",SUM(IF(($B$49:$B$90=$A41)*($D$49:$D$90=$C41)*($G$48:$S$48=K$15),$G$49:$S$90))*IF($E41=$D41,1,INDEX($B$7:$B$12,MATCH($D41&amp;$E41,$C$7:$C$12&amp;$D$7:$D$12,0))))</f>
        <v>75.783943590656804</v>
      </c>
      <c r="L41" s="34">
        <f t="array" ref="L41">IF(SUM(IF(($B$49:$B$90=$A41)*($D$49:$D$90=$C41)*($G$48:$S$48=L$15),$G$49:$S$90))=0,"",SUM(IF(($B$49:$B$90=$A41)*($D$49:$D$90=$C41)*($G$48:$S$48=L$15),$G$49:$S$90))*IF($E41=$D41,1,INDEX($B$7:$B$12,MATCH($D41&amp;$E41,$C$7:$C$12&amp;$D$7:$D$12,0))))</f>
        <v>68.027729196966007</v>
      </c>
      <c r="M41" s="34">
        <f t="array" ref="M41">IF(SUM(IF(($B$49:$B$90=$A41)*($D$49:$D$90=$C41)*($G$48:$S$48=M$15),$G$49:$S$90))=0,"",SUM(IF(($B$49:$B$90=$A41)*($D$49:$D$90=$C41)*($G$48:$S$48=M$15),$G$49:$S$90))*IF($E41=$D41,1,INDEX($B$7:$B$12,MATCH($D41&amp;$E41,$C$7:$C$12&amp;$D$7:$D$12,0))))</f>
        <v>60.078160792945631</v>
      </c>
      <c r="N41" s="34">
        <f t="array" ref="N41">IF(SUM(IF(($B$49:$B$90=$A41)*($D$49:$D$90=$C41)*($G$48:$S$48=N$15),$G$49:$S$90))=0,"",SUM(IF(($B$49:$B$90=$A41)*($D$49:$D$90=$C41)*($G$48:$S$48=N$15),$G$49:$S$90))*IF($E41=$D41,1,INDEX($B$7:$B$12,MATCH($D41&amp;$E41,$C$7:$C$12&amp;$D$7:$D$12,0))))</f>
        <v>52.399587154364767</v>
      </c>
      <c r="O41" s="34">
        <f t="array" ref="O41">IF(SUM(IF(($B$49:$B$90=$A41)*($D$49:$D$90=$C41)*($G$48:$S$48=O$15),$G$49:$S$90))=0,"",SUM(IF(($B$49:$B$90=$A41)*($D$49:$D$90=$C41)*($G$48:$S$48=O$15),$G$49:$S$90))*IF($E41=$D41,1,INDEX($B$7:$B$12,MATCH($D41&amp;$E41,$C$7:$C$12&amp;$D$7:$D$12,0))))</f>
        <v>45.050744996458434</v>
      </c>
      <c r="P41" s="34">
        <f t="array" ref="P41">IF(SUM(IF(($B$49:$B$90=$A41)*($D$49:$D$90=$C41)*($G$48:$S$48=P$15),$G$49:$S$90))=0,"",SUM(IF(($B$49:$B$90=$A41)*($D$49:$D$90=$C41)*($G$48:$S$48=P$15),$G$49:$S$90))*IF($E41=$D41,1,INDEX($B$7:$B$12,MATCH($D41&amp;$E41,$C$7:$C$12&amp;$D$7:$D$12,0))))</f>
        <v>39.094928404084072</v>
      </c>
      <c r="Q41" s="34">
        <f t="array" ref="Q41">IF(SUM(IF(($B$49:$B$90=$A41)*($D$49:$D$90=$C41)*($G$48:$S$48=Q$15),$G$49:$S$90))=0,"",SUM(IF(($B$49:$B$90=$A41)*($D$49:$D$90=$C41)*($G$48:$S$48=Q$15),$G$49:$S$90))*IF($E41=$D41,1,INDEX($B$7:$B$12,MATCH($D41&amp;$E41,$C$7:$C$12&amp;$D$7:$D$12,0))))</f>
        <v>34.027317955984174</v>
      </c>
      <c r="R41" s="34">
        <f t="array" ref="R41">IF(SUM(IF(($B$49:$B$90=$A41)*($D$49:$D$90=$C41)*($G$48:$S$48=R$15),$G$49:$S$90))=0,"",SUM(IF(($B$49:$B$90=$A41)*($D$49:$D$90=$C41)*($G$48:$S$48=R$15),$G$49:$S$90))*IF($E41=$D41,1,INDEX($B$7:$B$12,MATCH($D41&amp;$E41,$C$7:$C$12&amp;$D$7:$D$12,0))))</f>
        <v>30.864473525732109</v>
      </c>
    </row>
    <row r="42" spans="1:28" x14ac:dyDescent="0.3">
      <c r="A42" s="3" t="s">
        <v>383</v>
      </c>
      <c r="B42" s="3" t="str">
        <f>INDEX('R1. Scenario specifications'!$C$11:$C$59,MATCH($A42,'R1. Scenario specifications'!$A$11:$A$59,0))</f>
        <v>Below 2 Degrees Scenario (1.75DS), Energy Technology Perspectives 2017</v>
      </c>
      <c r="C42" s="3" t="s">
        <v>255</v>
      </c>
      <c r="D42" s="3" t="str">
        <f t="array" ref="D42">INDEX($F$49:$F$90,MATCH($A42&amp;$C42,$B$49:$B$90&amp;$D$49:$D$90,0))</f>
        <v>PJ</v>
      </c>
      <c r="E42" s="3" t="str">
        <f t="shared" si="1"/>
        <v>bcm</v>
      </c>
      <c r="F42" s="34">
        <f t="array" ref="F42">IF(SUM(IF(($B$49:$B$90=$A42)*($D$49:$D$90=$C42)*($G$48:$S$48=F$15),$G$49:$S$90))=0,"",SUM(IF(($B$49:$B$90=$A42)*($D$49:$D$90=$C42)*($G$48:$S$48=F$15),$G$49:$S$90))*IF($E42=$D42,1,INDEX($B$7:$B$12,MATCH($D42&amp;$E42,$C$7:$C$12&amp;$D$7:$D$12,0))))</f>
        <v>3222.9196882935812</v>
      </c>
      <c r="G42" s="34" t="str">
        <f t="array" ref="G42">IF(SUM(IF(($B$49:$B$90=$A42)*($D$49:$D$90=$C42)*($G$48:$S$48=G$15),$G$49:$S$90))=0,"",SUM(IF(($B$49:$B$90=$A42)*($D$49:$D$90=$C42)*($G$48:$S$48=G$15),$G$49:$S$90))*IF($E42=$D42,1,INDEX($B$7:$B$12,MATCH($D42&amp;$E42,$C$7:$C$12&amp;$D$7:$D$12,0))))</f>
        <v/>
      </c>
      <c r="H42" s="34" t="str">
        <f t="array" ref="H42">IF(SUM(IF(($B$49:$B$90=$A42)*($D$49:$D$90=$C42)*($G$48:$S$48=H$15),$G$49:$S$90))=0,"",SUM(IF(($B$49:$B$90=$A42)*($D$49:$D$90=$C42)*($G$48:$S$48=H$15),$G$49:$S$90))*IF($E42=$D42,1,INDEX($B$7:$B$12,MATCH($D42&amp;$E42,$C$7:$C$12&amp;$D$7:$D$12,0))))</f>
        <v/>
      </c>
      <c r="I42" s="34" t="str">
        <f t="array" ref="I42">IF(SUM(IF(($B$49:$B$90=$A42)*($D$49:$D$90=$C42)*($G$48:$S$48=I$15),$G$49:$S$90))=0,"",SUM(IF(($B$49:$B$90=$A42)*($D$49:$D$90=$C42)*($G$48:$S$48=I$15),$G$49:$S$90))*IF($E42=$D42,1,INDEX($B$7:$B$12,MATCH($D42&amp;$E42,$C$7:$C$12&amp;$D$7:$D$12,0))))</f>
        <v/>
      </c>
      <c r="J42" s="34">
        <f t="array" ref="J42">IF(SUM(IF(($B$49:$B$90=$A42)*($D$49:$D$90=$C42)*($G$48:$S$48=J$15),$G$49:$S$90))=0,"",SUM(IF(($B$49:$B$90=$A42)*($D$49:$D$90=$C42)*($G$48:$S$48=J$15),$G$49:$S$90))*IF($E42=$D42,1,INDEX($B$7:$B$12,MATCH($D42&amp;$E42,$C$7:$C$12&amp;$D$7:$D$12,0))))</f>
        <v>3409.3240438295925</v>
      </c>
      <c r="K42" s="34">
        <f t="array" ref="K42">IF(SUM(IF(($B$49:$B$90=$A42)*($D$49:$D$90=$C42)*($G$48:$S$48=K$15),$G$49:$S$90))=0,"",SUM(IF(($B$49:$B$90=$A42)*($D$49:$D$90=$C42)*($G$48:$S$48=K$15),$G$49:$S$90))*IF($E42=$D42,1,INDEX($B$7:$B$12,MATCH($D42&amp;$E42,$C$7:$C$12&amp;$D$7:$D$12,0))))</f>
        <v>3564.6610067762686</v>
      </c>
      <c r="L42" s="34">
        <f t="array" ref="L42">IF(SUM(IF(($B$49:$B$90=$A42)*($D$49:$D$90=$C42)*($G$48:$S$48=L$15),$G$49:$S$90))=0,"",SUM(IF(($B$49:$B$90=$A42)*($D$49:$D$90=$C42)*($G$48:$S$48=L$15),$G$49:$S$90))*IF($E42=$D42,1,INDEX($B$7:$B$12,MATCH($D42&amp;$E42,$C$7:$C$12&amp;$D$7:$D$12,0))))</f>
        <v>3413.6397550688434</v>
      </c>
      <c r="M42" s="34">
        <f t="array" ref="M42">IF(SUM(IF(($B$49:$B$90=$A42)*($D$49:$D$90=$C42)*($G$48:$S$48=M$15),$G$49:$S$90))=0,"",SUM(IF(($B$49:$B$90=$A42)*($D$49:$D$90=$C42)*($G$48:$S$48=M$15),$G$49:$S$90))*IF($E42=$D42,1,INDEX($B$7:$B$12,MATCH($D42&amp;$E42,$C$7:$C$12&amp;$D$7:$D$12,0))))</f>
        <v>3198.1238428126321</v>
      </c>
      <c r="N42" s="34">
        <f t="array" ref="N42">IF(SUM(IF(($B$49:$B$90=$A42)*($D$49:$D$90=$C42)*($G$48:$S$48=N$15),$G$49:$S$90))=0,"",SUM(IF(($B$49:$B$90=$A42)*($D$49:$D$90=$C42)*($G$48:$S$48=N$15),$G$49:$S$90))*IF($E42=$D42,1,INDEX($B$7:$B$12,MATCH($D42&amp;$E42,$C$7:$C$12&amp;$D$7:$D$12,0))))</f>
        <v>2663.2326157630973</v>
      </c>
      <c r="O42" s="34">
        <f t="array" ref="O42">IF(SUM(IF(($B$49:$B$90=$A42)*($D$49:$D$90=$C42)*($G$48:$S$48=O$15),$G$49:$S$90))=0,"",SUM(IF(($B$49:$B$90=$A42)*($D$49:$D$90=$C42)*($G$48:$S$48=O$15),$G$49:$S$90))*IF($E42=$D42,1,INDEX($B$7:$B$12,MATCH($D42&amp;$E42,$C$7:$C$12&amp;$D$7:$D$12,0))))</f>
        <v>2089.878337528557</v>
      </c>
      <c r="P42" s="34">
        <f t="array" ref="P42">IF(SUM(IF(($B$49:$B$90=$A42)*($D$49:$D$90=$C42)*($G$48:$S$48=P$15),$G$49:$S$90))=0,"",SUM(IF(($B$49:$B$90=$A42)*($D$49:$D$90=$C42)*($G$48:$S$48=P$15),$G$49:$S$90))*IF($E42=$D42,1,INDEX($B$7:$B$12,MATCH($D42&amp;$E42,$C$7:$C$12&amp;$D$7:$D$12,0))))</f>
        <v>1786.0569764012723</v>
      </c>
      <c r="Q42" s="34">
        <f t="array" ref="Q42">IF(SUM(IF(($B$49:$B$90=$A42)*($D$49:$D$90=$C42)*($G$48:$S$48=Q$15),$G$49:$S$90))=0,"",SUM(IF(($B$49:$B$90=$A42)*($D$49:$D$90=$C42)*($G$48:$S$48=Q$15),$G$49:$S$90))*IF($E42=$D42,1,INDEX($B$7:$B$12,MATCH($D42&amp;$E42,$C$7:$C$12&amp;$D$7:$D$12,0))))</f>
        <v>1647.2083206244897</v>
      </c>
      <c r="R42" s="34">
        <f t="array" ref="R42">IF(SUM(IF(($B$49:$B$90=$A42)*($D$49:$D$90=$C42)*($G$48:$S$48=R$15),$G$49:$S$90))=0,"",SUM(IF(($B$49:$B$90=$A42)*($D$49:$D$90=$C42)*($G$48:$S$48=R$15),$G$49:$S$90))*IF($E42=$D42,1,INDEX($B$7:$B$12,MATCH($D42&amp;$E42,$C$7:$C$12&amp;$D$7:$D$12,0))))</f>
        <v>1693.9452967270558</v>
      </c>
    </row>
    <row r="43" spans="1:28" x14ac:dyDescent="0.3">
      <c r="A43" s="3" t="s">
        <v>384</v>
      </c>
      <c r="B43" s="3" t="str">
        <f>INDEX('R1. Scenario specifications'!$C$11:$C$59,MATCH($A43,'R1. Scenario specifications'!$A$11:$A$59,0))</f>
        <v>Sky Scenario, Royal Dutch Shell</v>
      </c>
      <c r="C43" s="3" t="s">
        <v>254</v>
      </c>
      <c r="D43" s="3" t="str">
        <f t="array" ref="D43">INDEX($F$49:$F$90,MATCH($A43&amp;$C43,$B$49:$B$90&amp;$D$49:$D$90,0))</f>
        <v>EJ</v>
      </c>
      <c r="E43" s="3" t="str">
        <f t="shared" si="1"/>
        <v>Mtce</v>
      </c>
      <c r="F43" s="34" t="str">
        <f t="array" ref="F43">IF(SUM(IF(($B$49:$B$90=$A43)*($D$49:$D$90=$C43)*($G$48:$S$48=F$15),$G$49:$S$90))=0,"",SUM(IF(($B$49:$B$90=$A43)*($D$49:$D$90=$C43)*($G$48:$S$48=F$15),$G$49:$S$90))*IF($E43=$D43,1,INDEX($B$7:$B$12,MATCH($D43&amp;$E43,$C$7:$C$12&amp;$D$7:$D$12,0))))</f>
        <v/>
      </c>
      <c r="G43" s="34">
        <f t="array" ref="G43">IF(SUM(IF(($B$49:$B$90=$A43)*($D$49:$D$90=$C43)*($G$48:$S$48=G$15),$G$49:$S$90))=0,"",SUM(IF(($B$49:$B$90=$A43)*($D$49:$D$90=$C43)*($G$48:$S$48=G$15),$G$49:$S$90))*IF($E43=$D43,1,INDEX($B$7:$B$12,MATCH($D43&amp;$E43,$C$7:$C$12&amp;$D$7:$D$12,0))))</f>
        <v>5764.0635800085411</v>
      </c>
      <c r="H43" s="34" t="str">
        <f t="array" ref="H43">IF(SUM(IF(($B$49:$B$90=$A43)*($D$49:$D$90=$C43)*($G$48:$S$48=H$15),$G$49:$S$90))=0,"",SUM(IF(($B$49:$B$90=$A43)*($D$49:$D$90=$C43)*($G$48:$S$48=H$15),$G$49:$S$90))*IF($E43=$D43,1,INDEX($B$7:$B$12,MATCH($D43&amp;$E43,$C$7:$C$12&amp;$D$7:$D$12,0))))</f>
        <v/>
      </c>
      <c r="I43" s="34" t="str">
        <f t="array" ref="I43">IF(SUM(IF(($B$49:$B$90=$A43)*($D$49:$D$90=$C43)*($G$48:$S$48=I$15),$G$49:$S$90))=0,"",SUM(IF(($B$49:$B$90=$A43)*($D$49:$D$90=$C43)*($G$48:$S$48=I$15),$G$49:$S$90))*IF($E43=$D43,1,INDEX($B$7:$B$12,MATCH($D43&amp;$E43,$C$7:$C$12&amp;$D$7:$D$12,0))))</f>
        <v/>
      </c>
      <c r="J43" s="34">
        <f t="array" ref="J43">IF(SUM(IF(($B$49:$B$90=$A43)*($D$49:$D$90=$C43)*($G$48:$S$48=J$15),$G$49:$S$90))=0,"",SUM(IF(($B$49:$B$90=$A43)*($D$49:$D$90=$C43)*($G$48:$S$48=J$15),$G$49:$S$90))*IF($E43=$D43,1,INDEX($B$7:$B$12,MATCH($D43&amp;$E43,$C$7:$C$12&amp;$D$7:$D$12,0))))</f>
        <v>5638.6980343801515</v>
      </c>
      <c r="K43" s="34">
        <f t="array" ref="K43">IF(SUM(IF(($B$49:$B$90=$A43)*($D$49:$D$90=$C43)*($G$48:$S$48=K$15),$G$49:$S$90))=0,"",SUM(IF(($B$49:$B$90=$A43)*($D$49:$D$90=$C43)*($G$48:$S$48=K$15),$G$49:$S$90))*IF($E43=$D43,1,INDEX($B$7:$B$12,MATCH($D43&amp;$E43,$C$7:$C$12&amp;$D$7:$D$12,0))))</f>
        <v>5713.0615947249898</v>
      </c>
      <c r="L43" s="34">
        <f t="array" ref="L43">IF(SUM(IF(($B$49:$B$90=$A43)*($D$49:$D$90=$C43)*($G$48:$S$48=L$15),$G$49:$S$90))=0,"",SUM(IF(($B$49:$B$90=$A43)*($D$49:$D$90=$C43)*($G$48:$S$48=L$15),$G$49:$S$90))*IF($E43=$D43,1,INDEX($B$7:$B$12,MATCH($D43&amp;$E43,$C$7:$C$12&amp;$D$7:$D$12,0))))</f>
        <v>5531.6834660054028</v>
      </c>
      <c r="M43" s="34">
        <f t="array" ref="M43">IF(SUM(IF(($B$49:$B$90=$A43)*($D$49:$D$90=$C43)*($G$48:$S$48=M$15),$G$49:$S$90))=0,"",SUM(IF(($B$49:$B$90=$A43)*($D$49:$D$90=$C43)*($G$48:$S$48=M$15),$G$49:$S$90))*IF($E43=$D43,1,INDEX($B$7:$B$12,MATCH($D43&amp;$E43,$C$7:$C$12&amp;$D$7:$D$12,0))))</f>
        <v>5194.268254734834</v>
      </c>
      <c r="N43" s="34">
        <f t="array" ref="N43">IF(SUM(IF(($B$49:$B$90=$A43)*($D$49:$D$90=$C43)*($G$48:$S$48=N$15),$G$49:$S$90))=0,"",SUM(IF(($B$49:$B$90=$A43)*($D$49:$D$90=$C43)*($G$48:$S$48=N$15),$G$49:$S$90))*IF($E43=$D43,1,INDEX($B$7:$B$12,MATCH($D43&amp;$E43,$C$7:$C$12&amp;$D$7:$D$12,0))))</f>
        <v>4652.2028902735383</v>
      </c>
      <c r="O43" s="34">
        <f t="array" ref="O43">IF(SUM(IF(($B$49:$B$90=$A43)*($D$49:$D$90=$C43)*($G$48:$S$48=O$15),$G$49:$S$90))=0,"",SUM(IF(($B$49:$B$90=$A43)*($D$49:$D$90=$C43)*($G$48:$S$48=O$15),$G$49:$S$90))*IF($E43=$D43,1,INDEX($B$7:$B$12,MATCH($D43&amp;$E43,$C$7:$C$12&amp;$D$7:$D$12,0))))</f>
        <v>4061.9187999733404</v>
      </c>
      <c r="P43" s="34">
        <f t="array" ref="P43">IF(SUM(IF(($B$49:$B$90=$A43)*($D$49:$D$90=$C43)*($G$48:$S$48=P$15),$G$49:$S$90))=0,"",SUM(IF(($B$49:$B$90=$A43)*($D$49:$D$90=$C43)*($G$48:$S$48=P$15),$G$49:$S$90))*IF($E43=$D43,1,INDEX($B$7:$B$12,MATCH($D43&amp;$E43,$C$7:$C$12&amp;$D$7:$D$12,0))))</f>
        <v>3573.5649426514537</v>
      </c>
      <c r="Q43" s="34">
        <f t="array" ref="Q43">IF(SUM(IF(($B$49:$B$90=$A43)*($D$49:$D$90=$C43)*($G$48:$S$48=Q$15),$G$49:$S$90))=0,"",SUM(IF(($B$49:$B$90=$A43)*($D$49:$D$90=$C43)*($G$48:$S$48=Q$15),$G$49:$S$90))*IF($E43=$D43,1,INDEX($B$7:$B$12,MATCH($D43&amp;$E43,$C$7:$C$12&amp;$D$7:$D$12,0))))</f>
        <v>3027.5641099225991</v>
      </c>
      <c r="R43" s="34">
        <f t="array" ref="R43">IF(SUM(IF(($B$49:$B$90=$A43)*($D$49:$D$90=$C43)*($G$48:$S$48=R$15),$G$49:$S$90))=0,"",SUM(IF(($B$49:$B$90=$A43)*($D$49:$D$90=$C43)*($G$48:$S$48=R$15),$G$49:$S$90))*IF($E43=$D43,1,INDEX($B$7:$B$12,MATCH($D43&amp;$E43,$C$7:$C$12&amp;$D$7:$D$12,0))))</f>
        <v>2616.7040230550592</v>
      </c>
    </row>
    <row r="44" spans="1:28" x14ac:dyDescent="0.3">
      <c r="A44" s="3" t="s">
        <v>384</v>
      </c>
      <c r="B44" s="3" t="str">
        <f>INDEX('R1. Scenario specifications'!$C$11:$C$59,MATCH($A44,'R1. Scenario specifications'!$A$11:$A$59,0))</f>
        <v>Sky Scenario, Royal Dutch Shell</v>
      </c>
      <c r="C44" s="3" t="s">
        <v>266</v>
      </c>
      <c r="D44" s="3" t="str">
        <f t="array" ref="D44">INDEX($F$49:$F$90,MATCH($A44&amp;$C44,$B$49:$B$90&amp;$D$49:$D$90,0))</f>
        <v>EJ</v>
      </c>
      <c r="E44" s="3" t="str">
        <f t="shared" si="1"/>
        <v>Mb/day</v>
      </c>
      <c r="F44" s="34" t="str">
        <f t="array" ref="F44">IF(SUM(IF(($B$49:$B$90=$A44)*($D$49:$D$90=$C44)*($G$48:$S$48=F$15),$G$49:$S$90))=0,"",SUM(IF(($B$49:$B$90=$A44)*($D$49:$D$90=$C44)*($G$48:$S$48=F$15),$G$49:$S$90))*IF($E44=$D44,1,INDEX($B$7:$B$12,MATCH($D44&amp;$E44,$C$7:$C$12&amp;$D$7:$D$12,0))))</f>
        <v/>
      </c>
      <c r="G44" s="34">
        <f t="array" ref="G44">IF(SUM(IF(($B$49:$B$90=$A44)*($D$49:$D$90=$C44)*($G$48:$S$48=G$15),$G$49:$S$90))=0,"",SUM(IF(($B$49:$B$90=$A44)*($D$49:$D$90=$C44)*($G$48:$S$48=G$15),$G$49:$S$90))*IF($E44=$D44,1,INDEX($B$7:$B$12,MATCH($D44&amp;$E44,$C$7:$C$12&amp;$D$7:$D$12,0))))</f>
        <v>87.378133874222783</v>
      </c>
      <c r="H44" s="34" t="str">
        <f t="array" ref="H44">IF(SUM(IF(($B$49:$B$90=$A44)*($D$49:$D$90=$C44)*($G$48:$S$48=H$15),$G$49:$S$90))=0,"",SUM(IF(($B$49:$B$90=$A44)*($D$49:$D$90=$C44)*($G$48:$S$48=H$15),$G$49:$S$90))*IF($E44=$D44,1,INDEX($B$7:$B$12,MATCH($D44&amp;$E44,$C$7:$C$12&amp;$D$7:$D$12,0))))</f>
        <v/>
      </c>
      <c r="I44" s="34" t="str">
        <f t="array" ref="I44">IF(SUM(IF(($B$49:$B$90=$A44)*($D$49:$D$90=$C44)*($G$48:$S$48=I$15),$G$49:$S$90))=0,"",SUM(IF(($B$49:$B$90=$A44)*($D$49:$D$90=$C44)*($G$48:$S$48=I$15),$G$49:$S$90))*IF($E44=$D44,1,INDEX($B$7:$B$12,MATCH($D44&amp;$E44,$C$7:$C$12&amp;$D$7:$D$12,0))))</f>
        <v/>
      </c>
      <c r="J44" s="34">
        <f t="array" ref="J44">IF(SUM(IF(($B$49:$B$90=$A44)*($D$49:$D$90=$C44)*($G$48:$S$48=J$15),$G$49:$S$90))=0,"",SUM(IF(($B$49:$B$90=$A44)*($D$49:$D$90=$C44)*($G$48:$S$48=J$15),$G$49:$S$90))*IF($E44=$D44,1,INDEX($B$7:$B$12,MATCH($D44&amp;$E44,$C$7:$C$12&amp;$D$7:$D$12,0))))</f>
        <v>93.802198486513731</v>
      </c>
      <c r="K44" s="34">
        <f t="array" ref="K44">IF(SUM(IF(($B$49:$B$90=$A44)*($D$49:$D$90=$C44)*($G$48:$S$48=K$15),$G$49:$S$90))=0,"",SUM(IF(($B$49:$B$90=$A44)*($D$49:$D$90=$C44)*($G$48:$S$48=K$15),$G$49:$S$90))*IF($E44=$D44,1,INDEX($B$7:$B$12,MATCH($D44&amp;$E44,$C$7:$C$12&amp;$D$7:$D$12,0))))</f>
        <v>98.208112723516109</v>
      </c>
      <c r="L44" s="34">
        <f t="array" ref="L44">IF(SUM(IF(($B$49:$B$90=$A44)*($D$49:$D$90=$C44)*($G$48:$S$48=L$15),$G$49:$S$90))=0,"",SUM(IF(($B$49:$B$90=$A44)*($D$49:$D$90=$C44)*($G$48:$S$48=L$15),$G$49:$S$90))*IF($E44=$D44,1,INDEX($B$7:$B$12,MATCH($D44&amp;$E44,$C$7:$C$12&amp;$D$7:$D$12,0))))</f>
        <v>94.029054355346531</v>
      </c>
      <c r="M44" s="34">
        <f t="array" ref="M44">IF(SUM(IF(($B$49:$B$90=$A44)*($D$49:$D$90=$C44)*($G$48:$S$48=M$15),$G$49:$S$90))=0,"",SUM(IF(($B$49:$B$90=$A44)*($D$49:$D$90=$C44)*($G$48:$S$48=M$15),$G$49:$S$90))*IF($E44=$D44,1,INDEX($B$7:$B$12,MATCH($D44&amp;$E44,$C$7:$C$12&amp;$D$7:$D$12,0))))</f>
        <v>89.937793596137112</v>
      </c>
      <c r="N44" s="34">
        <f t="array" ref="N44">IF(SUM(IF(($B$49:$B$90=$A44)*($D$49:$D$90=$C44)*($G$48:$S$48=N$15),$G$49:$S$90))=0,"",SUM(IF(($B$49:$B$90=$A44)*($D$49:$D$90=$C44)*($G$48:$S$48=N$15),$G$49:$S$90))*IF($E44=$D44,1,INDEX($B$7:$B$12,MATCH($D44&amp;$E44,$C$7:$C$12&amp;$D$7:$D$12,0))))</f>
        <v>86.106770016782633</v>
      </c>
      <c r="O44" s="34">
        <f t="array" ref="O44">IF(SUM(IF(($B$49:$B$90=$A44)*($D$49:$D$90=$C44)*($G$48:$S$48=O$15),$G$49:$S$90))=0,"",SUM(IF(($B$49:$B$90=$A44)*($D$49:$D$90=$C44)*($G$48:$S$48=O$15),$G$49:$S$90))*IF($E44=$D44,1,INDEX($B$7:$B$12,MATCH($D44&amp;$E44,$C$7:$C$12&amp;$D$7:$D$12,0))))</f>
        <v>81.634686398846583</v>
      </c>
      <c r="P44" s="34">
        <f t="array" ref="P44">IF(SUM(IF(($B$49:$B$90=$A44)*($D$49:$D$90=$C44)*($G$48:$S$48=P$15),$G$49:$S$90))=0,"",SUM(IF(($B$49:$B$90=$A44)*($D$49:$D$90=$C44)*($G$48:$S$48=P$15),$G$49:$S$90))*IF($E44=$D44,1,INDEX($B$7:$B$12,MATCH($D44&amp;$E44,$C$7:$C$12&amp;$D$7:$D$12,0))))</f>
        <v>76.651040858122855</v>
      </c>
      <c r="Q44" s="34">
        <f t="array" ref="Q44">IF(SUM(IF(($B$49:$B$90=$A44)*($D$49:$D$90=$C44)*($G$48:$S$48=Q$15),$G$49:$S$90))=0,"",SUM(IF(($B$49:$B$90=$A44)*($D$49:$D$90=$C44)*($G$48:$S$48=Q$15),$G$49:$S$90))*IF($E44=$D44,1,INDEX($B$7:$B$12,MATCH($D44&amp;$E44,$C$7:$C$12&amp;$D$7:$D$12,0))))</f>
        <v>70.223304839245486</v>
      </c>
      <c r="R44" s="34">
        <f t="array" ref="R44">IF(SUM(IF(($B$49:$B$90=$A44)*($D$49:$D$90=$C44)*($G$48:$S$48=R$15),$G$49:$S$90))=0,"",SUM(IF(($B$49:$B$90=$A44)*($D$49:$D$90=$C44)*($G$48:$S$48=R$15),$G$49:$S$90))*IF($E44=$D44,1,INDEX($B$7:$B$12,MATCH($D44&amp;$E44,$C$7:$C$12&amp;$D$7:$D$12,0))))</f>
        <v>61.936244663484949</v>
      </c>
    </row>
    <row r="45" spans="1:28" x14ac:dyDescent="0.3">
      <c r="A45" s="3" t="s">
        <v>384</v>
      </c>
      <c r="B45" s="3" t="str">
        <f>INDEX('R1. Scenario specifications'!$C$11:$C$59,MATCH($A45,'R1. Scenario specifications'!$A$11:$A$59,0))</f>
        <v>Sky Scenario, Royal Dutch Shell</v>
      </c>
      <c r="C45" s="3" t="s">
        <v>255</v>
      </c>
      <c r="D45" s="3" t="str">
        <f t="array" ref="D45">INDEX($F$49:$F$90,MATCH($A45&amp;$C45,$B$49:$B$90&amp;$D$49:$D$90,0))</f>
        <v>EJ</v>
      </c>
      <c r="E45" s="3" t="str">
        <f t="shared" si="1"/>
        <v>bcm</v>
      </c>
      <c r="F45" s="34" t="str">
        <f t="array" ref="F45">IF(SUM(IF(($B$49:$B$90=$A45)*($D$49:$D$90=$C45)*($G$48:$S$48=F$15),$G$49:$S$90))=0,"",SUM(IF(($B$49:$B$90=$A45)*($D$49:$D$90=$C45)*($G$48:$S$48=F$15),$G$49:$S$90))*IF($E45=$D45,1,INDEX($B$7:$B$12,MATCH($D45&amp;$E45,$C$7:$C$12&amp;$D$7:$D$12,0))))</f>
        <v/>
      </c>
      <c r="G45" s="34">
        <f t="array" ref="G45">IF(SUM(IF(($B$49:$B$90=$A45)*($D$49:$D$90=$C45)*($G$48:$S$48=G$15),$G$49:$S$90))=0,"",SUM(IF(($B$49:$B$90=$A45)*($D$49:$D$90=$C45)*($G$48:$S$48=G$15),$G$49:$S$90))*IF($E45=$D45,1,INDEX($B$7:$B$12,MATCH($D45&amp;$E45,$C$7:$C$12&amp;$D$7:$D$12,0))))</f>
        <v>3284.1939655650681</v>
      </c>
      <c r="H45" s="34" t="str">
        <f t="array" ref="H45">IF(SUM(IF(($B$49:$B$90=$A45)*($D$49:$D$90=$C45)*($G$48:$S$48=H$15),$G$49:$S$90))=0,"",SUM(IF(($B$49:$B$90=$A45)*($D$49:$D$90=$C45)*($G$48:$S$48=H$15),$G$49:$S$90))*IF($E45=$D45,1,INDEX($B$7:$B$12,MATCH($D45&amp;$E45,$C$7:$C$12&amp;$D$7:$D$12,0))))</f>
        <v/>
      </c>
      <c r="I45" s="34" t="str">
        <f t="array" ref="I45">IF(SUM(IF(($B$49:$B$90=$A45)*($D$49:$D$90=$C45)*($G$48:$S$48=I$15),$G$49:$S$90))=0,"",SUM(IF(($B$49:$B$90=$A45)*($D$49:$D$90=$C45)*($G$48:$S$48=I$15),$G$49:$S$90))*IF($E45=$D45,1,INDEX($B$7:$B$12,MATCH($D45&amp;$E45,$C$7:$C$12&amp;$D$7:$D$12,0))))</f>
        <v/>
      </c>
      <c r="J45" s="34">
        <f t="array" ref="J45">IF(SUM(IF(($B$49:$B$90=$A45)*($D$49:$D$90=$C45)*($G$48:$S$48=J$15),$G$49:$S$90))=0,"",SUM(IF(($B$49:$B$90=$A45)*($D$49:$D$90=$C45)*($G$48:$S$48=J$15),$G$49:$S$90))*IF($E45=$D45,1,INDEX($B$7:$B$12,MATCH($D45&amp;$E45,$C$7:$C$12&amp;$D$7:$D$12,0))))</f>
        <v>3630.3508334014023</v>
      </c>
      <c r="K45" s="34">
        <f t="array" ref="K45">IF(SUM(IF(($B$49:$B$90=$A45)*($D$49:$D$90=$C45)*($G$48:$S$48=K$15),$G$49:$S$90))=0,"",SUM(IF(($B$49:$B$90=$A45)*($D$49:$D$90=$C45)*($G$48:$S$48=K$15),$G$49:$S$90))*IF($E45=$D45,1,INDEX($B$7:$B$12,MATCH($D45&amp;$E45,$C$7:$C$12&amp;$D$7:$D$12,0))))</f>
        <v>4023.4371728045735</v>
      </c>
      <c r="L45" s="34">
        <f t="array" ref="L45">IF(SUM(IF(($B$49:$B$90=$A45)*($D$49:$D$90=$C45)*($G$48:$S$48=L$15),$G$49:$S$90))=0,"",SUM(IF(($B$49:$B$90=$A45)*($D$49:$D$90=$C45)*($G$48:$S$48=L$15),$G$49:$S$90))*IF($E45=$D45,1,INDEX($B$7:$B$12,MATCH($D45&amp;$E45,$C$7:$C$12&amp;$D$7:$D$12,0))))</f>
        <v>4200.0444477806732</v>
      </c>
      <c r="M45" s="34">
        <f t="array" ref="M45">IF(SUM(IF(($B$49:$B$90=$A45)*($D$49:$D$90=$C45)*($G$48:$S$48=M$15),$G$49:$S$90))=0,"",SUM(IF(($B$49:$B$90=$A45)*($D$49:$D$90=$C45)*($G$48:$S$48=M$15),$G$49:$S$90))*IF($E45=$D45,1,INDEX($B$7:$B$12,MATCH($D45&amp;$E45,$C$7:$C$12&amp;$D$7:$D$12,0))))</f>
        <v>4207.5419514848754</v>
      </c>
      <c r="N45" s="34">
        <f t="array" ref="N45">IF(SUM(IF(($B$49:$B$90=$A45)*($D$49:$D$90=$C45)*($G$48:$S$48=N$15),$G$49:$S$90))=0,"",SUM(IF(($B$49:$B$90=$A45)*($D$49:$D$90=$C45)*($G$48:$S$48=N$15),$G$49:$S$90))*IF($E45=$D45,1,INDEX($B$7:$B$12,MATCH($D45&amp;$E45,$C$7:$C$12&amp;$D$7:$D$12,0))))</f>
        <v>4000.7871456733706</v>
      </c>
      <c r="O45" s="34">
        <f t="array" ref="O45">IF(SUM(IF(($B$49:$B$90=$A45)*($D$49:$D$90=$C45)*($G$48:$S$48=O$15),$G$49:$S$90))=0,"",SUM(IF(($B$49:$B$90=$A45)*($D$49:$D$90=$C45)*($G$48:$S$48=O$15),$G$49:$S$90))*IF($E45=$D45,1,INDEX($B$7:$B$12,MATCH($D45&amp;$E45,$C$7:$C$12&amp;$D$7:$D$12,0))))</f>
        <v>3592.8753441281988</v>
      </c>
      <c r="P45" s="34">
        <f t="array" ref="P45">IF(SUM(IF(($B$49:$B$90=$A45)*($D$49:$D$90=$C45)*($G$48:$S$48=P$15),$G$49:$S$90))=0,"",SUM(IF(($B$49:$B$90=$A45)*($D$49:$D$90=$C45)*($G$48:$S$48=P$15),$G$49:$S$90))*IF($E45=$D45,1,INDEX($B$7:$B$12,MATCH($D45&amp;$E45,$C$7:$C$12&amp;$D$7:$D$12,0))))</f>
        <v>3053.0051618174361</v>
      </c>
      <c r="Q45" s="34">
        <f t="array" ref="Q45">IF(SUM(IF(($B$49:$B$90=$A45)*($D$49:$D$90=$C45)*($G$48:$S$48=Q$15),$G$49:$S$90))=0,"",SUM(IF(($B$49:$B$90=$A45)*($D$49:$D$90=$C45)*($G$48:$S$48=Q$15),$G$49:$S$90))*IF($E45=$D45,1,INDEX($B$7:$B$12,MATCH($D45&amp;$E45,$C$7:$C$12&amp;$D$7:$D$12,0))))</f>
        <v>2522.2202662911004</v>
      </c>
      <c r="R45" s="34">
        <f t="array" ref="R45">IF(SUM(IF(($B$49:$B$90=$A45)*($D$49:$D$90=$C45)*($G$48:$S$48=R$15),$G$49:$S$90))=0,"",SUM(IF(($B$49:$B$90=$A45)*($D$49:$D$90=$C45)*($G$48:$S$48=R$15),$G$49:$S$90))*IF($E45=$D45,1,INDEX($B$7:$B$12,MATCH($D45&amp;$E45,$C$7:$C$12&amp;$D$7:$D$12,0))))</f>
        <v>2035.4175213085634</v>
      </c>
    </row>
    <row r="46" spans="1:28" ht="15" thickBot="1" x14ac:dyDescent="0.35"/>
    <row r="47" spans="1:28" s="15" customFormat="1" ht="15" thickBot="1" x14ac:dyDescent="0.35">
      <c r="A47" s="15" t="s">
        <v>488</v>
      </c>
    </row>
    <row r="48" spans="1:28" x14ac:dyDescent="0.3">
      <c r="A48" s="3" t="s">
        <v>489</v>
      </c>
      <c r="B48" s="3" t="s">
        <v>8</v>
      </c>
      <c r="C48" s="3" t="s">
        <v>86</v>
      </c>
      <c r="D48" s="3" t="s">
        <v>252</v>
      </c>
      <c r="E48" s="3" t="s">
        <v>490</v>
      </c>
      <c r="F48" s="3" t="s">
        <v>430</v>
      </c>
      <c r="G48" s="3">
        <v>2014</v>
      </c>
      <c r="H48" s="3">
        <v>2015</v>
      </c>
      <c r="I48" s="3">
        <v>2016</v>
      </c>
      <c r="J48" s="3">
        <v>2017</v>
      </c>
      <c r="K48" s="3">
        <v>2020</v>
      </c>
      <c r="L48" s="3">
        <v>2025</v>
      </c>
      <c r="M48" s="3">
        <v>2030</v>
      </c>
      <c r="N48" s="3">
        <v>2035</v>
      </c>
      <c r="O48" s="3">
        <v>2040</v>
      </c>
      <c r="P48" s="3">
        <v>2045</v>
      </c>
      <c r="Q48" s="3">
        <v>2050</v>
      </c>
      <c r="R48" s="3">
        <v>2055</v>
      </c>
      <c r="S48" s="3">
        <v>2060</v>
      </c>
      <c r="AB48" s="27"/>
    </row>
    <row r="49" spans="1:19" x14ac:dyDescent="0.3">
      <c r="A49" s="3" t="s">
        <v>491</v>
      </c>
      <c r="B49" s="3" t="s">
        <v>368</v>
      </c>
      <c r="C49" s="3" t="e">
        <f>INDEX(#REF!,MATCH($B49,#REF!,0))</f>
        <v>#REF!</v>
      </c>
      <c r="D49" s="3" t="s">
        <v>254</v>
      </c>
      <c r="E49" s="3" t="s">
        <v>492</v>
      </c>
      <c r="F49" s="3" t="s">
        <v>483</v>
      </c>
      <c r="G49" s="34"/>
      <c r="H49" s="34"/>
      <c r="I49" s="34">
        <f>'R3. WEO18 Fossil fuel prod'!$C$131</f>
        <v>3979.19</v>
      </c>
      <c r="J49" s="34">
        <f>'R3. WEO18 Fossil fuel prod'!$D$131</f>
        <v>4134.21</v>
      </c>
      <c r="K49" s="31">
        <f>$J49+(K$48-$J$48)*($L49-$J49)/($L$48-$J$48)</f>
        <v>4266.1125000000002</v>
      </c>
      <c r="L49" s="34">
        <f>'R3. WEO18 Fossil fuel prod'!P131</f>
        <v>4485.95</v>
      </c>
      <c r="M49" s="34">
        <f>'R3. WEO18 Fossil fuel prod'!Q131</f>
        <v>4871.7</v>
      </c>
      <c r="N49" s="34">
        <f>'R3. WEO18 Fossil fuel prod'!R131</f>
        <v>5287.33</v>
      </c>
      <c r="O49" s="34">
        <f>'R3. WEO18 Fossil fuel prod'!S131</f>
        <v>5654.6</v>
      </c>
      <c r="P49" s="31">
        <f t="shared" ref="P49:S63" si="2">TREND($N49:$O49,$N$48:$O$48,P$48)</f>
        <v>6021.8699999999953</v>
      </c>
      <c r="Q49" s="31">
        <f t="shared" si="2"/>
        <v>6389.1399999999849</v>
      </c>
      <c r="R49" s="31">
        <f t="shared" si="2"/>
        <v>6756.4100000000035</v>
      </c>
      <c r="S49" s="31">
        <f t="shared" si="2"/>
        <v>7123.679999999993</v>
      </c>
    </row>
    <row r="50" spans="1:19" x14ac:dyDescent="0.3">
      <c r="A50" s="3" t="s">
        <v>491</v>
      </c>
      <c r="B50" s="3" t="s">
        <v>368</v>
      </c>
      <c r="C50" s="3" t="e">
        <f>INDEX(#REF!,MATCH($B50,#REF!,0))</f>
        <v>#REF!</v>
      </c>
      <c r="D50" s="3" t="s">
        <v>254</v>
      </c>
      <c r="E50" s="3" t="s">
        <v>493</v>
      </c>
      <c r="F50" s="3" t="s">
        <v>483</v>
      </c>
      <c r="G50" s="34"/>
      <c r="H50" s="34"/>
      <c r="I50" s="34">
        <f>'R3. WEO18 Fossil fuel prod'!$C$132</f>
        <v>955.84400000000005</v>
      </c>
      <c r="J50" s="34">
        <f>'R3. WEO18 Fossil fuel prod'!$D$132</f>
        <v>960.41</v>
      </c>
      <c r="K50" s="31">
        <f t="shared" ref="K50:K63" si="3">$J50+(K$48-$J$48)*($L50-$J50)/($L$48-$J$48)</f>
        <v>951.69087500000001</v>
      </c>
      <c r="L50" s="34">
        <f>'R3. WEO18 Fossil fuel prod'!P132</f>
        <v>937.15899999999999</v>
      </c>
      <c r="M50" s="34">
        <f>'R3. WEO18 Fossil fuel prod'!Q132</f>
        <v>919.18700000000001</v>
      </c>
      <c r="N50" s="34">
        <f>'R3. WEO18 Fossil fuel prod'!R132</f>
        <v>892.71</v>
      </c>
      <c r="O50" s="34">
        <f>'R3. WEO18 Fossil fuel prod'!S132</f>
        <v>869.36199999999997</v>
      </c>
      <c r="P50" s="31">
        <f t="shared" si="2"/>
        <v>846.01399999999921</v>
      </c>
      <c r="Q50" s="31">
        <f t="shared" si="2"/>
        <v>822.66599999999926</v>
      </c>
      <c r="R50" s="31">
        <f t="shared" si="2"/>
        <v>799.3179999999993</v>
      </c>
      <c r="S50" s="31">
        <f t="shared" si="2"/>
        <v>775.96999999999935</v>
      </c>
    </row>
    <row r="51" spans="1:19" x14ac:dyDescent="0.3">
      <c r="A51" s="3" t="s">
        <v>491</v>
      </c>
      <c r="B51" s="3" t="s">
        <v>368</v>
      </c>
      <c r="C51" s="3" t="e">
        <f>INDEX(#REF!,MATCH($B51,#REF!,0))</f>
        <v>#REF!</v>
      </c>
      <c r="D51" s="3" t="s">
        <v>254</v>
      </c>
      <c r="E51" s="3" t="s">
        <v>494</v>
      </c>
      <c r="F51" s="3" t="s">
        <v>483</v>
      </c>
      <c r="G51" s="34"/>
      <c r="H51" s="34"/>
      <c r="I51" s="34">
        <f>'R3. WEO18 Fossil fuel prod'!$C$133</f>
        <v>289.51799999999997</v>
      </c>
      <c r="J51" s="34">
        <f>'R3. WEO18 Fossil fuel prod'!$D$133</f>
        <v>265.27199999999999</v>
      </c>
      <c r="K51" s="31">
        <f t="shared" si="3"/>
        <v>273.71362499999998</v>
      </c>
      <c r="L51" s="34">
        <f>'R3. WEO18 Fossil fuel prod'!P133</f>
        <v>287.78300000000002</v>
      </c>
      <c r="M51" s="34">
        <f>'R3. WEO18 Fossil fuel prod'!Q133</f>
        <v>283.19900000000001</v>
      </c>
      <c r="N51" s="34">
        <f>'R3. WEO18 Fossil fuel prod'!R133</f>
        <v>277.44200000000001</v>
      </c>
      <c r="O51" s="34">
        <f>'R3. WEO18 Fossil fuel prod'!S133</f>
        <v>289.46800000000002</v>
      </c>
      <c r="P51" s="31">
        <f t="shared" si="2"/>
        <v>301.49399999999969</v>
      </c>
      <c r="Q51" s="31">
        <f t="shared" si="2"/>
        <v>313.52000000000044</v>
      </c>
      <c r="R51" s="31">
        <f t="shared" si="2"/>
        <v>325.54600000000028</v>
      </c>
      <c r="S51" s="31">
        <f t="shared" si="2"/>
        <v>337.57200000000012</v>
      </c>
    </row>
    <row r="52" spans="1:19" x14ac:dyDescent="0.3">
      <c r="A52" s="3" t="s">
        <v>491</v>
      </c>
      <c r="B52" s="3" t="s">
        <v>368</v>
      </c>
      <c r="C52" s="3" t="e">
        <f>INDEX(#REF!,MATCH($B52,#REF!,0))</f>
        <v>#REF!</v>
      </c>
      <c r="D52" s="3" t="s">
        <v>266</v>
      </c>
      <c r="E52" s="3" t="s">
        <v>95</v>
      </c>
      <c r="F52" s="3" t="s">
        <v>484</v>
      </c>
      <c r="G52" s="34"/>
      <c r="H52" s="34"/>
      <c r="I52" s="34">
        <f>'R3. WEO18 Fossil fuel prod'!C$62</f>
        <v>92.411000000000001</v>
      </c>
      <c r="J52" s="34">
        <f>'R3. WEO18 Fossil fuel prod'!D$62</f>
        <v>92.781000000000006</v>
      </c>
      <c r="K52" s="31">
        <f t="shared" si="3"/>
        <v>96.576750000000004</v>
      </c>
      <c r="L52" s="34">
        <f>'R3. WEO18 Fossil fuel prod'!P$62</f>
        <v>102.90300000000001</v>
      </c>
      <c r="M52" s="34">
        <f>'R3. WEO18 Fossil fuel prod'!Q$62</f>
        <v>107.675</v>
      </c>
      <c r="N52" s="34">
        <f>'R3. WEO18 Fossil fuel prod'!R$62</f>
        <v>112.04300000000001</v>
      </c>
      <c r="O52" s="34">
        <f>'R3. WEO18 Fossil fuel prod'!S$62</f>
        <v>117.205</v>
      </c>
      <c r="P52" s="31">
        <f t="shared" si="2"/>
        <v>122.36699999999996</v>
      </c>
      <c r="Q52" s="31">
        <f t="shared" si="2"/>
        <v>127.52900000000022</v>
      </c>
      <c r="R52" s="31">
        <f t="shared" si="2"/>
        <v>132.69100000000003</v>
      </c>
      <c r="S52" s="31">
        <f t="shared" si="2"/>
        <v>137.85300000000029</v>
      </c>
    </row>
    <row r="53" spans="1:19" x14ac:dyDescent="0.3">
      <c r="A53" s="3" t="s">
        <v>491</v>
      </c>
      <c r="B53" s="3" t="s">
        <v>368</v>
      </c>
      <c r="C53" s="3" t="e">
        <f>INDEX(#REF!,MATCH($B53,#REF!,0))</f>
        <v>#REF!</v>
      </c>
      <c r="D53" s="3" t="s">
        <v>255</v>
      </c>
      <c r="E53" s="3" t="s">
        <v>95</v>
      </c>
      <c r="F53" s="3" t="s">
        <v>485</v>
      </c>
      <c r="G53" s="34"/>
      <c r="H53" s="34"/>
      <c r="I53" s="34">
        <f>'R3. WEO18 Fossil fuel prod'!C$103</f>
        <v>3636.84</v>
      </c>
      <c r="J53" s="34">
        <f>'R3. WEO18 Fossil fuel prod'!D$103</f>
        <v>3768.86</v>
      </c>
      <c r="K53" s="31">
        <f t="shared" si="3"/>
        <v>4000.3962500000002</v>
      </c>
      <c r="L53" s="34">
        <f>'R3. WEO18 Fossil fuel prod'!P$103</f>
        <v>4386.29</v>
      </c>
      <c r="M53" s="34">
        <f>'R3. WEO18 Fossil fuel prod'!Q$103</f>
        <v>4859.5</v>
      </c>
      <c r="N53" s="34">
        <f>'R3. WEO18 Fossil fuel prod'!R$103</f>
        <v>5365.77</v>
      </c>
      <c r="O53" s="34">
        <f>'R3. WEO18 Fossil fuel prod'!S$103</f>
        <v>5846.69</v>
      </c>
      <c r="P53" s="31">
        <f t="shared" si="2"/>
        <v>6327.6100000000151</v>
      </c>
      <c r="Q53" s="31">
        <f t="shared" si="2"/>
        <v>6808.5299999999988</v>
      </c>
      <c r="R53" s="31">
        <f t="shared" si="2"/>
        <v>7289.4500000000116</v>
      </c>
      <c r="S53" s="31">
        <f t="shared" si="2"/>
        <v>7770.3699999999953</v>
      </c>
    </row>
    <row r="54" spans="1:19" x14ac:dyDescent="0.3">
      <c r="A54" s="3" t="s">
        <v>491</v>
      </c>
      <c r="B54" s="3" t="s">
        <v>370</v>
      </c>
      <c r="C54" s="3" t="e">
        <f>INDEX(#REF!,MATCH($B54,#REF!,0))</f>
        <v>#REF!</v>
      </c>
      <c r="D54" s="3" t="s">
        <v>254</v>
      </c>
      <c r="E54" s="3" t="s">
        <v>492</v>
      </c>
      <c r="F54" s="3" t="s">
        <v>483</v>
      </c>
      <c r="G54" s="34"/>
      <c r="H54" s="34"/>
      <c r="I54" s="34">
        <f>'R3. WEO18 Fossil fuel prod'!$C$131</f>
        <v>3979.19</v>
      </c>
      <c r="J54" s="34">
        <f>'R3. WEO18 Fossil fuel prod'!$D$131</f>
        <v>4134.21</v>
      </c>
      <c r="K54" s="31">
        <f t="shared" si="3"/>
        <v>4159.4250000000002</v>
      </c>
      <c r="L54" s="34">
        <f>'R3. WEO18 Fossil fuel prod'!E131</f>
        <v>4201.45</v>
      </c>
      <c r="M54" s="34">
        <f>'R3. WEO18 Fossil fuel prod'!F131</f>
        <v>4280.05</v>
      </c>
      <c r="N54" s="34">
        <f>'R3. WEO18 Fossil fuel prod'!G131</f>
        <v>4349.74</v>
      </c>
      <c r="O54" s="34">
        <f>'R3. WEO18 Fossil fuel prod'!H131</f>
        <v>4412.18</v>
      </c>
      <c r="P54" s="31">
        <f t="shared" si="2"/>
        <v>4474.619999999999</v>
      </c>
      <c r="Q54" s="31">
        <f t="shared" si="2"/>
        <v>4537.0599999999977</v>
      </c>
      <c r="R54" s="31">
        <f t="shared" si="2"/>
        <v>4599.5</v>
      </c>
      <c r="S54" s="31">
        <f t="shared" si="2"/>
        <v>4661.9399999999987</v>
      </c>
    </row>
    <row r="55" spans="1:19" x14ac:dyDescent="0.3">
      <c r="A55" s="3" t="s">
        <v>491</v>
      </c>
      <c r="B55" s="3" t="s">
        <v>370</v>
      </c>
      <c r="C55" s="3" t="e">
        <f>INDEX(#REF!,MATCH($B55,#REF!,0))</f>
        <v>#REF!</v>
      </c>
      <c r="D55" s="3" t="s">
        <v>254</v>
      </c>
      <c r="E55" s="3" t="s">
        <v>493</v>
      </c>
      <c r="F55" s="3" t="s">
        <v>483</v>
      </c>
      <c r="G55" s="34"/>
      <c r="H55" s="34"/>
      <c r="I55" s="34">
        <f>'R3. WEO18 Fossil fuel prod'!$C$132</f>
        <v>955.84400000000005</v>
      </c>
      <c r="J55" s="34">
        <f>'R3. WEO18 Fossil fuel prod'!$D$132</f>
        <v>960.41</v>
      </c>
      <c r="K55" s="31">
        <f t="shared" si="3"/>
        <v>944.59212500000001</v>
      </c>
      <c r="L55" s="34">
        <f>'R3. WEO18 Fossil fuel prod'!E132</f>
        <v>918.22900000000004</v>
      </c>
      <c r="M55" s="34">
        <f>'R3. WEO18 Fossil fuel prod'!F132</f>
        <v>886.95500000000004</v>
      </c>
      <c r="N55" s="34">
        <f>'R3. WEO18 Fossil fuel prod'!G132</f>
        <v>846.38699999999994</v>
      </c>
      <c r="O55" s="34">
        <f>'R3. WEO18 Fossil fuel prod'!H132</f>
        <v>805.77599999999995</v>
      </c>
      <c r="P55" s="31">
        <f t="shared" si="2"/>
        <v>765.16500000000087</v>
      </c>
      <c r="Q55" s="31">
        <f t="shared" si="2"/>
        <v>724.55400000000009</v>
      </c>
      <c r="R55" s="31">
        <f t="shared" si="2"/>
        <v>683.9429999999993</v>
      </c>
      <c r="S55" s="31">
        <f t="shared" si="2"/>
        <v>643.33199999999852</v>
      </c>
    </row>
    <row r="56" spans="1:19" x14ac:dyDescent="0.3">
      <c r="A56" s="3" t="s">
        <v>491</v>
      </c>
      <c r="B56" s="3" t="s">
        <v>370</v>
      </c>
      <c r="C56" s="3" t="e">
        <f>INDEX(#REF!,MATCH($B56,#REF!,0))</f>
        <v>#REF!</v>
      </c>
      <c r="D56" s="3" t="s">
        <v>254</v>
      </c>
      <c r="E56" s="3" t="s">
        <v>494</v>
      </c>
      <c r="F56" s="3" t="s">
        <v>483</v>
      </c>
      <c r="G56" s="34"/>
      <c r="H56" s="34"/>
      <c r="I56" s="34">
        <f>'R3. WEO18 Fossil fuel prod'!$C$133</f>
        <v>289.51799999999997</v>
      </c>
      <c r="J56" s="34">
        <f>'R3. WEO18 Fossil fuel prod'!$D$133</f>
        <v>265.27199999999999</v>
      </c>
      <c r="K56" s="31">
        <f t="shared" si="3"/>
        <v>264.72525000000002</v>
      </c>
      <c r="L56" s="34">
        <f>'R3. WEO18 Fossil fuel prod'!E133</f>
        <v>263.81400000000002</v>
      </c>
      <c r="M56" s="34">
        <f>'R3. WEO18 Fossil fuel prod'!F133</f>
        <v>238.10499999999999</v>
      </c>
      <c r="N56" s="34">
        <f>'R3. WEO18 Fossil fuel prod'!G133</f>
        <v>223.19300000000001</v>
      </c>
      <c r="O56" s="34">
        <f>'R3. WEO18 Fossil fuel prod'!H133</f>
        <v>223.523</v>
      </c>
      <c r="P56" s="31">
        <f t="shared" si="2"/>
        <v>223.85299999999998</v>
      </c>
      <c r="Q56" s="31">
        <f t="shared" si="2"/>
        <v>224.18299999999996</v>
      </c>
      <c r="R56" s="31">
        <f t="shared" si="2"/>
        <v>224.51299999999995</v>
      </c>
      <c r="S56" s="31">
        <f t="shared" si="2"/>
        <v>224.84299999999993</v>
      </c>
    </row>
    <row r="57" spans="1:19" x14ac:dyDescent="0.3">
      <c r="A57" s="3" t="s">
        <v>491</v>
      </c>
      <c r="B57" s="3" t="s">
        <v>370</v>
      </c>
      <c r="C57" s="3" t="e">
        <f>INDEX(#REF!,MATCH($B57,#REF!,0))</f>
        <v>#REF!</v>
      </c>
      <c r="D57" s="3" t="s">
        <v>266</v>
      </c>
      <c r="E57" s="3" t="s">
        <v>95</v>
      </c>
      <c r="F57" s="3" t="s">
        <v>484</v>
      </c>
      <c r="G57" s="34"/>
      <c r="H57" s="34"/>
      <c r="I57" s="34">
        <f>'R3. WEO18 Fossil fuel prod'!C$62</f>
        <v>92.411000000000001</v>
      </c>
      <c r="J57" s="34">
        <f>'R3. WEO18 Fossil fuel prod'!D$62</f>
        <v>92.781000000000006</v>
      </c>
      <c r="K57" s="31">
        <f t="shared" si="3"/>
        <v>95.458875000000006</v>
      </c>
      <c r="L57" s="34">
        <f>'R3. WEO18 Fossil fuel prod'!E$62</f>
        <v>99.921999999999997</v>
      </c>
      <c r="M57" s="34">
        <f>'R3. WEO18 Fossil fuel prod'!F$62</f>
        <v>101.631</v>
      </c>
      <c r="N57" s="34">
        <f>'R3. WEO18 Fossil fuel prod'!G$62</f>
        <v>102.087</v>
      </c>
      <c r="O57" s="34">
        <f>'R3. WEO18 Fossil fuel prod'!H$62</f>
        <v>103.36499999999999</v>
      </c>
      <c r="P57" s="31">
        <f t="shared" si="2"/>
        <v>104.64300000000003</v>
      </c>
      <c r="Q57" s="31">
        <f t="shared" si="2"/>
        <v>105.92100000000005</v>
      </c>
      <c r="R57" s="31">
        <f t="shared" si="2"/>
        <v>107.19899999999996</v>
      </c>
      <c r="S57" s="31">
        <f t="shared" si="2"/>
        <v>108.47699999999998</v>
      </c>
    </row>
    <row r="58" spans="1:19" x14ac:dyDescent="0.3">
      <c r="A58" s="3" t="s">
        <v>491</v>
      </c>
      <c r="B58" s="3" t="s">
        <v>370</v>
      </c>
      <c r="C58" s="3" t="e">
        <f>INDEX(#REF!,MATCH($B58,#REF!,0))</f>
        <v>#REF!</v>
      </c>
      <c r="D58" s="3" t="s">
        <v>255</v>
      </c>
      <c r="E58" s="3" t="s">
        <v>95</v>
      </c>
      <c r="F58" s="3" t="s">
        <v>485</v>
      </c>
      <c r="G58" s="34"/>
      <c r="H58" s="34"/>
      <c r="I58" s="34">
        <f>'R3. WEO18 Fossil fuel prod'!C$103</f>
        <v>3636.84</v>
      </c>
      <c r="J58" s="34">
        <f>'R3. WEO18 Fossil fuel prod'!D$103</f>
        <v>3768.86</v>
      </c>
      <c r="K58" s="31">
        <f t="shared" si="3"/>
        <v>3965.5250000000001</v>
      </c>
      <c r="L58" s="34">
        <f>'R3. WEO18 Fossil fuel prod'!E$103</f>
        <v>4293.3</v>
      </c>
      <c r="M58" s="34">
        <f>'R3. WEO18 Fossil fuel prod'!F$103</f>
        <v>4641.3999999999996</v>
      </c>
      <c r="N58" s="34">
        <f>'R3. WEO18 Fossil fuel prod'!G$103</f>
        <v>5024.7700000000004</v>
      </c>
      <c r="O58" s="34">
        <f>'R3. WEO18 Fossil fuel prod'!H$103</f>
        <v>5398.5</v>
      </c>
      <c r="P58" s="31">
        <f t="shared" si="2"/>
        <v>5772.2300000000105</v>
      </c>
      <c r="Q58" s="31">
        <f t="shared" si="2"/>
        <v>6145.960000000021</v>
      </c>
      <c r="R58" s="31">
        <f t="shared" si="2"/>
        <v>6519.6900000000314</v>
      </c>
      <c r="S58" s="31">
        <f t="shared" si="2"/>
        <v>6893.4200000000128</v>
      </c>
    </row>
    <row r="59" spans="1:19" x14ac:dyDescent="0.3">
      <c r="A59" s="3" t="s">
        <v>491</v>
      </c>
      <c r="B59" s="3" t="s">
        <v>372</v>
      </c>
      <c r="C59" s="3" t="e">
        <f>INDEX(#REF!,MATCH($B59,#REF!,0))</f>
        <v>#REF!</v>
      </c>
      <c r="D59" s="3" t="s">
        <v>254</v>
      </c>
      <c r="E59" s="3" t="s">
        <v>492</v>
      </c>
      <c r="F59" s="3" t="s">
        <v>483</v>
      </c>
      <c r="G59" s="34"/>
      <c r="H59" s="34"/>
      <c r="I59" s="34">
        <f>'R3. WEO18 Fossil fuel prod'!$C$131</f>
        <v>3979.19</v>
      </c>
      <c r="J59" s="34">
        <f>'R3. WEO18 Fossil fuel prod'!$D$131</f>
        <v>4134.21</v>
      </c>
      <c r="K59" s="31">
        <f t="shared" si="3"/>
        <v>3826.0762500000001</v>
      </c>
      <c r="L59" s="34">
        <f>'R3. WEO18 Fossil fuel prod'!T131</f>
        <v>3312.52</v>
      </c>
      <c r="M59" s="34">
        <f>'R3. WEO18 Fossil fuel prod'!U131</f>
        <v>2587.23</v>
      </c>
      <c r="N59" s="34">
        <f>'R3. WEO18 Fossil fuel prod'!V131</f>
        <v>1988.88</v>
      </c>
      <c r="O59" s="34">
        <f>'R3. WEO18 Fossil fuel prod'!W131</f>
        <v>1609.26</v>
      </c>
      <c r="P59" s="31">
        <f t="shared" si="2"/>
        <v>1229.640000000014</v>
      </c>
      <c r="Q59" s="31">
        <f t="shared" si="2"/>
        <v>850.02000000001863</v>
      </c>
      <c r="R59" s="31">
        <f t="shared" si="2"/>
        <v>470.40000000002328</v>
      </c>
      <c r="S59" s="31">
        <f t="shared" si="2"/>
        <v>90.78000000002794</v>
      </c>
    </row>
    <row r="60" spans="1:19" x14ac:dyDescent="0.3">
      <c r="A60" s="3" t="s">
        <v>491</v>
      </c>
      <c r="B60" s="3" t="s">
        <v>372</v>
      </c>
      <c r="C60" s="3" t="e">
        <f>INDEX(#REF!,MATCH($B60,#REF!,0))</f>
        <v>#REF!</v>
      </c>
      <c r="D60" s="3" t="s">
        <v>254</v>
      </c>
      <c r="E60" s="3" t="s">
        <v>493</v>
      </c>
      <c r="F60" s="3" t="s">
        <v>483</v>
      </c>
      <c r="G60" s="34"/>
      <c r="H60" s="34"/>
      <c r="I60" s="34">
        <f>'R3. WEO18 Fossil fuel prod'!$C$132</f>
        <v>955.84400000000005</v>
      </c>
      <c r="J60" s="34">
        <f>'R3. WEO18 Fossil fuel prod'!$D$132</f>
        <v>960.41</v>
      </c>
      <c r="K60" s="31">
        <f t="shared" si="3"/>
        <v>914.23474999999996</v>
      </c>
      <c r="L60" s="34">
        <f>'R3. WEO18 Fossil fuel prod'!T132</f>
        <v>837.27599999999995</v>
      </c>
      <c r="M60" s="34">
        <f>'R3. WEO18 Fossil fuel prod'!U132</f>
        <v>746.64400000000001</v>
      </c>
      <c r="N60" s="34">
        <f>'R3. WEO18 Fossil fuel prod'!V132</f>
        <v>656.726</v>
      </c>
      <c r="O60" s="34">
        <f>'R3. WEO18 Fossil fuel prod'!W132</f>
        <v>579.00699999999995</v>
      </c>
      <c r="P60" s="31">
        <f t="shared" si="2"/>
        <v>501.28799999999683</v>
      </c>
      <c r="Q60" s="31">
        <f t="shared" si="2"/>
        <v>423.56899999999951</v>
      </c>
      <c r="R60" s="31">
        <f t="shared" si="2"/>
        <v>345.84999999999854</v>
      </c>
      <c r="S60" s="31">
        <f t="shared" si="2"/>
        <v>268.13099999999758</v>
      </c>
    </row>
    <row r="61" spans="1:19" x14ac:dyDescent="0.3">
      <c r="A61" s="3" t="s">
        <v>491</v>
      </c>
      <c r="B61" s="3" t="s">
        <v>372</v>
      </c>
      <c r="C61" s="3" t="e">
        <f>INDEX(#REF!,MATCH($B61,#REF!,0))</f>
        <v>#REF!</v>
      </c>
      <c r="D61" s="3" t="s">
        <v>254</v>
      </c>
      <c r="E61" s="3" t="s">
        <v>494</v>
      </c>
      <c r="F61" s="3" t="s">
        <v>483</v>
      </c>
      <c r="G61" s="34"/>
      <c r="H61" s="34"/>
      <c r="I61" s="34">
        <f>'R3. WEO18 Fossil fuel prod'!$C$133</f>
        <v>289.51799999999997</v>
      </c>
      <c r="J61" s="34">
        <f>'R3. WEO18 Fossil fuel prod'!$D$133</f>
        <v>265.27199999999999</v>
      </c>
      <c r="K61" s="31">
        <f t="shared" si="3"/>
        <v>240.98399999999998</v>
      </c>
      <c r="L61" s="34">
        <f>'R3. WEO18 Fossil fuel prod'!T133</f>
        <v>200.50399999999999</v>
      </c>
      <c r="M61" s="34">
        <f>'R3. WEO18 Fossil fuel prod'!U133</f>
        <v>118.095</v>
      </c>
      <c r="N61" s="34">
        <f>'R3. WEO18 Fossil fuel prod'!V133</f>
        <v>92.616</v>
      </c>
      <c r="O61" s="34">
        <f>'R3. WEO18 Fossil fuel prod'!W133</f>
        <v>93.474000000000004</v>
      </c>
      <c r="P61" s="31">
        <f t="shared" si="2"/>
        <v>94.33200000000005</v>
      </c>
      <c r="Q61" s="31">
        <f t="shared" si="2"/>
        <v>95.190000000000055</v>
      </c>
      <c r="R61" s="31">
        <f t="shared" si="2"/>
        <v>96.048000000000059</v>
      </c>
      <c r="S61" s="31">
        <f t="shared" si="2"/>
        <v>96.906000000000063</v>
      </c>
    </row>
    <row r="62" spans="1:19" x14ac:dyDescent="0.3">
      <c r="A62" s="3" t="s">
        <v>491</v>
      </c>
      <c r="B62" s="3" t="s">
        <v>372</v>
      </c>
      <c r="C62" s="3" t="e">
        <f>INDEX(#REF!,MATCH($B62,#REF!,0))</f>
        <v>#REF!</v>
      </c>
      <c r="D62" s="3" t="s">
        <v>266</v>
      </c>
      <c r="E62" s="3" t="s">
        <v>95</v>
      </c>
      <c r="F62" s="3" t="s">
        <v>484</v>
      </c>
      <c r="G62" s="34"/>
      <c r="H62" s="34"/>
      <c r="I62" s="34">
        <f>'R3. WEO18 Fossil fuel prod'!C$62</f>
        <v>92.411000000000001</v>
      </c>
      <c r="J62" s="34">
        <f>'R3. WEO18 Fossil fuel prod'!D$62</f>
        <v>92.781000000000006</v>
      </c>
      <c r="K62" s="31">
        <f t="shared" si="3"/>
        <v>92.325000000000003</v>
      </c>
      <c r="L62" s="34">
        <f>'R3. WEO18 Fossil fuel prod'!T$62</f>
        <v>91.564999999999998</v>
      </c>
      <c r="M62" s="34">
        <f>'R3. WEO18 Fossil fuel prod'!U$62</f>
        <v>84.728999999999999</v>
      </c>
      <c r="N62" s="34">
        <f>'R3. WEO18 Fossil fuel prod'!V$62</f>
        <v>75.206999999999994</v>
      </c>
      <c r="O62" s="34">
        <f>'R3. WEO18 Fossil fuel prod'!W$62</f>
        <v>67.968999999999994</v>
      </c>
      <c r="P62" s="31">
        <f t="shared" si="2"/>
        <v>60.731000000000222</v>
      </c>
      <c r="Q62" s="31">
        <f t="shared" si="2"/>
        <v>53.493000000000393</v>
      </c>
      <c r="R62" s="31">
        <f t="shared" si="2"/>
        <v>46.255000000000109</v>
      </c>
      <c r="S62" s="31">
        <f t="shared" si="2"/>
        <v>39.01700000000028</v>
      </c>
    </row>
    <row r="63" spans="1:19" x14ac:dyDescent="0.3">
      <c r="A63" s="39" t="s">
        <v>491</v>
      </c>
      <c r="B63" s="39" t="s">
        <v>372</v>
      </c>
      <c r="C63" s="39" t="e">
        <f>INDEX(#REF!,MATCH($B63,#REF!,0))</f>
        <v>#REF!</v>
      </c>
      <c r="D63" s="39" t="s">
        <v>255</v>
      </c>
      <c r="E63" s="39" t="s">
        <v>95</v>
      </c>
      <c r="F63" s="39" t="s">
        <v>485</v>
      </c>
      <c r="G63" s="52"/>
      <c r="H63" s="52"/>
      <c r="I63" s="52">
        <f>'R3. WEO18 Fossil fuel prod'!C$103</f>
        <v>3636.84</v>
      </c>
      <c r="J63" s="52">
        <f>'R3. WEO18 Fossil fuel prod'!D$103</f>
        <v>3768.86</v>
      </c>
      <c r="K63" s="40">
        <f t="shared" si="3"/>
        <v>3926.5250000000001</v>
      </c>
      <c r="L63" s="52">
        <f>'R3. WEO18 Fossil fuel prod'!T$103</f>
        <v>4189.3</v>
      </c>
      <c r="M63" s="52">
        <f>'R3. WEO18 Fossil fuel prod'!U$103</f>
        <v>4317.6000000000004</v>
      </c>
      <c r="N63" s="52">
        <f>'R3. WEO18 Fossil fuel prod'!V$103</f>
        <v>4297.6899999999996</v>
      </c>
      <c r="O63" s="52">
        <f>'R3. WEO18 Fossil fuel prod'!W$103</f>
        <v>4184.12</v>
      </c>
      <c r="P63" s="40">
        <f t="shared" si="2"/>
        <v>4070.5500000000029</v>
      </c>
      <c r="Q63" s="40">
        <f t="shared" si="2"/>
        <v>3956.9800000000032</v>
      </c>
      <c r="R63" s="40">
        <f t="shared" si="2"/>
        <v>3843.4100000000035</v>
      </c>
      <c r="S63" s="40">
        <f t="shared" si="2"/>
        <v>3729.8400000000038</v>
      </c>
    </row>
    <row r="64" spans="1:19" x14ac:dyDescent="0.3">
      <c r="A64" s="3" t="s">
        <v>495</v>
      </c>
      <c r="B64" s="3" t="s">
        <v>378</v>
      </c>
      <c r="C64" s="3" t="e">
        <f>INDEX(#REF!,MATCH($B64,#REF!,0))</f>
        <v>#REF!</v>
      </c>
      <c r="D64" s="3" t="s">
        <v>254</v>
      </c>
      <c r="E64" s="3" t="s">
        <v>492</v>
      </c>
      <c r="F64" s="3" t="s">
        <v>483</v>
      </c>
      <c r="G64" s="34">
        <f>'R4. WEO16 Fossil fuel prod'!$C$57</f>
        <v>4374.13</v>
      </c>
      <c r="H64" s="34"/>
      <c r="I64" s="34"/>
      <c r="J64" s="34"/>
      <c r="K64" s="34">
        <f>'R4. WEO16 Fossil fuel prod'!N57</f>
        <v>4473.53</v>
      </c>
      <c r="M64" s="34">
        <f>'R4. WEO16 Fossil fuel prod'!O57</f>
        <v>5418.11</v>
      </c>
      <c r="N64" s="34"/>
      <c r="O64" s="34">
        <f>'R4. WEO16 Fossil fuel prod'!P57</f>
        <v>6355.6</v>
      </c>
      <c r="P64" s="31">
        <f t="shared" ref="P64:S68" si="4">$O64+(P$48-$O$48)*($O64-$M64)/($O$48-$M$48)</f>
        <v>6824.3450000000012</v>
      </c>
      <c r="Q64" s="31">
        <f t="shared" si="4"/>
        <v>7293.0900000000011</v>
      </c>
      <c r="R64" s="31">
        <f t="shared" si="4"/>
        <v>7761.8350000000009</v>
      </c>
      <c r="S64" s="31">
        <f t="shared" si="4"/>
        <v>8230.5800000000017</v>
      </c>
    </row>
    <row r="65" spans="1:19" x14ac:dyDescent="0.3">
      <c r="A65" s="3" t="s">
        <v>495</v>
      </c>
      <c r="B65" s="3" t="s">
        <v>378</v>
      </c>
      <c r="C65" s="3" t="e">
        <f>INDEX(#REF!,MATCH($B65,#REF!,0))</f>
        <v>#REF!</v>
      </c>
      <c r="D65" s="3" t="s">
        <v>254</v>
      </c>
      <c r="E65" s="3" t="s">
        <v>493</v>
      </c>
      <c r="F65" s="3" t="s">
        <v>483</v>
      </c>
      <c r="G65" s="34">
        <f>'R4. WEO16 Fossil fuel prod'!$C$58</f>
        <v>1015.96</v>
      </c>
      <c r="H65" s="34"/>
      <c r="I65" s="34"/>
      <c r="J65" s="34"/>
      <c r="K65" s="34">
        <f>'R4. WEO16 Fossil fuel prod'!N58</f>
        <v>1007.71</v>
      </c>
      <c r="M65" s="34">
        <f>'R4. WEO16 Fossil fuel prod'!O58</f>
        <v>990.73</v>
      </c>
      <c r="N65" s="34"/>
      <c r="O65" s="34">
        <f>'R4. WEO16 Fossil fuel prod'!P58</f>
        <v>928.92100000000005</v>
      </c>
      <c r="P65" s="31">
        <f t="shared" si="4"/>
        <v>898.01650000000006</v>
      </c>
      <c r="Q65" s="31">
        <f t="shared" si="4"/>
        <v>867.11200000000008</v>
      </c>
      <c r="R65" s="31">
        <f t="shared" si="4"/>
        <v>836.2075000000001</v>
      </c>
      <c r="S65" s="31">
        <f t="shared" si="4"/>
        <v>805.30300000000011</v>
      </c>
    </row>
    <row r="66" spans="1:19" x14ac:dyDescent="0.3">
      <c r="A66" s="3" t="s">
        <v>495</v>
      </c>
      <c r="B66" s="3" t="s">
        <v>378</v>
      </c>
      <c r="C66" s="3" t="e">
        <f>INDEX(#REF!,MATCH($B66,#REF!,0))</f>
        <v>#REF!</v>
      </c>
      <c r="D66" s="3" t="s">
        <v>254</v>
      </c>
      <c r="E66" s="3" t="s">
        <v>494</v>
      </c>
      <c r="F66" s="3" t="s">
        <v>483</v>
      </c>
      <c r="G66" s="34">
        <f>'R4. WEO16 Fossil fuel prod'!$C$56-'R4. WEO16 Fossil fuel prod'!$C$57-'R4. WEO16 Fossil fuel prod'!$C$58</f>
        <v>290.10999999999967</v>
      </c>
      <c r="H66" s="34"/>
      <c r="I66" s="34"/>
      <c r="J66" s="34"/>
      <c r="K66" s="34">
        <f>'R4. WEO16 Fossil fuel prod'!N56-'R4. WEO16 Fossil fuel prod'!N57-'R4. WEO16 Fossil fuel prod'!N58</f>
        <v>306.47000000000025</v>
      </c>
      <c r="M66" s="34">
        <f>'R4. WEO16 Fossil fuel prod'!O56-'R4. WEO16 Fossil fuel prod'!O57-'R4. WEO16 Fossil fuel prod'!O58</f>
        <v>319.69000000000005</v>
      </c>
      <c r="N66" s="34"/>
      <c r="O66" s="34">
        <f>'R4. WEO16 Fossil fuel prod'!P56-'R4. WEO16 Fossil fuel prod'!P57-'R4. WEO16 Fossil fuel prod'!P58</f>
        <v>325.2989999999993</v>
      </c>
      <c r="P66" s="31">
        <f t="shared" si="4"/>
        <v>328.10349999999892</v>
      </c>
      <c r="Q66" s="31">
        <f t="shared" si="4"/>
        <v>330.90799999999854</v>
      </c>
      <c r="R66" s="31">
        <f t="shared" si="4"/>
        <v>333.71249999999816</v>
      </c>
      <c r="S66" s="31">
        <f t="shared" si="4"/>
        <v>336.51699999999778</v>
      </c>
    </row>
    <row r="67" spans="1:19" x14ac:dyDescent="0.3">
      <c r="A67" s="3" t="s">
        <v>495</v>
      </c>
      <c r="B67" s="3" t="s">
        <v>378</v>
      </c>
      <c r="C67" s="3" t="e">
        <f>INDEX(#REF!,MATCH($B67,#REF!,0))</f>
        <v>#REF!</v>
      </c>
      <c r="D67" s="3" t="s">
        <v>266</v>
      </c>
      <c r="E67" s="3" t="s">
        <v>95</v>
      </c>
      <c r="F67" s="3" t="s">
        <v>484</v>
      </c>
      <c r="G67" s="34">
        <f>'R4. WEO16 Fossil fuel prod'!$C$24</f>
        <v>89.607299999999995</v>
      </c>
      <c r="H67" s="34"/>
      <c r="I67" s="34"/>
      <c r="J67" s="34"/>
      <c r="K67" s="34">
        <f>'R4. WEO16 Fossil fuel prod'!$N$24</f>
        <v>95.005899999999997</v>
      </c>
      <c r="L67" s="34"/>
      <c r="M67" s="34">
        <f>'R4. WEO16 Fossil fuel prod'!$O$24</f>
        <v>103.86</v>
      </c>
      <c r="N67" s="34"/>
      <c r="O67" s="34">
        <f>'R4. WEO16 Fossil fuel prod'!$P$24</f>
        <v>113.57299999999999</v>
      </c>
      <c r="P67" s="31">
        <f t="shared" si="4"/>
        <v>118.42949999999999</v>
      </c>
      <c r="Q67" s="31">
        <f t="shared" si="4"/>
        <v>123.28599999999999</v>
      </c>
      <c r="R67" s="31">
        <f t="shared" si="4"/>
        <v>128.14249999999998</v>
      </c>
      <c r="S67" s="31">
        <f t="shared" si="4"/>
        <v>132.99899999999997</v>
      </c>
    </row>
    <row r="68" spans="1:19" x14ac:dyDescent="0.3">
      <c r="A68" s="3" t="s">
        <v>495</v>
      </c>
      <c r="B68" s="3" t="s">
        <v>378</v>
      </c>
      <c r="C68" s="3" t="e">
        <f>INDEX(#REF!,MATCH($B68,#REF!,0))</f>
        <v>#REF!</v>
      </c>
      <c r="D68" s="3" t="s">
        <v>255</v>
      </c>
      <c r="E68" s="3" t="s">
        <v>95</v>
      </c>
      <c r="F68" s="3" t="s">
        <v>485</v>
      </c>
      <c r="G68" s="34">
        <f>'R4. WEO16 Fossil fuel prod'!$C$43</f>
        <v>3536.37</v>
      </c>
      <c r="H68" s="34"/>
      <c r="I68" s="34"/>
      <c r="J68" s="34"/>
      <c r="K68" s="34">
        <f>'R4. WEO16 Fossil fuel prod'!$N$43</f>
        <v>3864.93</v>
      </c>
      <c r="L68" s="34"/>
      <c r="M68" s="34">
        <f>'R4. WEO16 Fossil fuel prod'!$O$43</f>
        <v>4726.22</v>
      </c>
      <c r="N68" s="34"/>
      <c r="O68" s="34">
        <f>'R4. WEO16 Fossil fuel prod'!$P$43</f>
        <v>5712.73</v>
      </c>
      <c r="P68" s="31">
        <f t="shared" si="4"/>
        <v>6205.9849999999988</v>
      </c>
      <c r="Q68" s="31">
        <f t="shared" si="4"/>
        <v>6699.2399999999989</v>
      </c>
      <c r="R68" s="31">
        <f t="shared" si="4"/>
        <v>7192.494999999999</v>
      </c>
      <c r="S68" s="31">
        <f t="shared" si="4"/>
        <v>7685.7499999999982</v>
      </c>
    </row>
    <row r="69" spans="1:19" x14ac:dyDescent="0.3">
      <c r="A69" s="3" t="s">
        <v>495</v>
      </c>
      <c r="B69" s="3" t="s">
        <v>379</v>
      </c>
      <c r="C69" s="3" t="e">
        <f>INDEX(#REF!,MATCH($B69,#REF!,0))</f>
        <v>#REF!</v>
      </c>
      <c r="D69" s="3" t="s">
        <v>254</v>
      </c>
      <c r="E69" s="3" t="s">
        <v>492</v>
      </c>
      <c r="F69" s="3" t="s">
        <v>483</v>
      </c>
      <c r="G69" s="34">
        <f>'R4. WEO16 Fossil fuel prod'!$C$57</f>
        <v>4374.13</v>
      </c>
      <c r="H69" s="34"/>
      <c r="I69" s="34"/>
      <c r="J69" s="34"/>
      <c r="K69" s="34">
        <f>'R4. WEO16 Fossil fuel prod'!D57</f>
        <v>4285.1899999999996</v>
      </c>
      <c r="L69" s="34">
        <f>'R4. WEO16 Fossil fuel prod'!E57</f>
        <v>4391.58</v>
      </c>
      <c r="M69" s="34">
        <f>'R4. WEO16 Fossil fuel prod'!F57</f>
        <v>4559.91</v>
      </c>
      <c r="N69" s="34">
        <f>'R4. WEO16 Fossil fuel prod'!G57</f>
        <v>4704.1899999999996</v>
      </c>
      <c r="O69" s="34">
        <f>'R4. WEO16 Fossil fuel prod'!H57</f>
        <v>4811.6099999999997</v>
      </c>
      <c r="P69" s="31">
        <f t="shared" ref="P69:S73" si="5">TREND($N69:$O69,$N$48:$O$48,P$48)</f>
        <v>4919.0300000000061</v>
      </c>
      <c r="Q69" s="31">
        <f t="shared" si="5"/>
        <v>5026.4500000000044</v>
      </c>
      <c r="R69" s="31">
        <f t="shared" si="5"/>
        <v>5133.8700000000026</v>
      </c>
      <c r="S69" s="31">
        <f t="shared" si="5"/>
        <v>5241.2900000000009</v>
      </c>
    </row>
    <row r="70" spans="1:19" x14ac:dyDescent="0.3">
      <c r="A70" s="3" t="s">
        <v>495</v>
      </c>
      <c r="B70" s="3" t="s">
        <v>379</v>
      </c>
      <c r="C70" s="3" t="e">
        <f>INDEX(#REF!,MATCH($B70,#REF!,0))</f>
        <v>#REF!</v>
      </c>
      <c r="D70" s="3" t="s">
        <v>254</v>
      </c>
      <c r="E70" s="3" t="s">
        <v>493</v>
      </c>
      <c r="F70" s="3" t="s">
        <v>483</v>
      </c>
      <c r="G70" s="34">
        <f>'R4. WEO16 Fossil fuel prod'!$C$58</f>
        <v>1015.96</v>
      </c>
      <c r="H70" s="34"/>
      <c r="I70" s="34"/>
      <c r="J70" s="34"/>
      <c r="K70" s="34">
        <f>'R4. WEO16 Fossil fuel prod'!D58</f>
        <v>996.62400000000002</v>
      </c>
      <c r="L70" s="34">
        <f>'R4. WEO16 Fossil fuel prod'!E58</f>
        <v>979.46699999999998</v>
      </c>
      <c r="M70" s="34">
        <f>'R4. WEO16 Fossil fuel prod'!F58</f>
        <v>949.98</v>
      </c>
      <c r="N70" s="34">
        <f>'R4. WEO16 Fossil fuel prod'!G58</f>
        <v>905.43200000000002</v>
      </c>
      <c r="O70" s="34">
        <f>'R4. WEO16 Fossil fuel prod'!H58</f>
        <v>861.20399999999995</v>
      </c>
      <c r="P70" s="31">
        <f t="shared" si="5"/>
        <v>816.97600000000239</v>
      </c>
      <c r="Q70" s="31">
        <f t="shared" si="5"/>
        <v>772.74799999999959</v>
      </c>
      <c r="R70" s="31">
        <f t="shared" si="5"/>
        <v>728.52000000000044</v>
      </c>
      <c r="S70" s="31">
        <f t="shared" si="5"/>
        <v>684.29200000000128</v>
      </c>
    </row>
    <row r="71" spans="1:19" x14ac:dyDescent="0.3">
      <c r="A71" s="3" t="s">
        <v>495</v>
      </c>
      <c r="B71" s="3" t="s">
        <v>379</v>
      </c>
      <c r="C71" s="3" t="e">
        <f>INDEX(#REF!,MATCH($B71,#REF!,0))</f>
        <v>#REF!</v>
      </c>
      <c r="D71" s="3" t="s">
        <v>254</v>
      </c>
      <c r="E71" s="3" t="s">
        <v>494</v>
      </c>
      <c r="F71" s="3" t="s">
        <v>483</v>
      </c>
      <c r="G71" s="34">
        <f>'R4. WEO16 Fossil fuel prod'!$C$56-'R4. WEO16 Fossil fuel prod'!$C$57-'R4. WEO16 Fossil fuel prod'!$C$58</f>
        <v>290.10999999999967</v>
      </c>
      <c r="H71" s="34"/>
      <c r="I71" s="34"/>
      <c r="J71" s="34"/>
      <c r="K71" s="34">
        <f>'R4. WEO16 Fossil fuel prod'!D56-'R4. WEO16 Fossil fuel prod'!D57-'R4. WEO16 Fossil fuel prod'!D58</f>
        <v>297.71600000000012</v>
      </c>
      <c r="L71" s="34">
        <f>'R4. WEO16 Fossil fuel prod'!E56-'R4. WEO16 Fossil fuel prod'!E57-'R4. WEO16 Fossil fuel prod'!E58</f>
        <v>279.23299999999983</v>
      </c>
      <c r="M71" s="34">
        <f>'R4. WEO16 Fossil fuel prod'!F56-'R4. WEO16 Fossil fuel prod'!F57-'R4. WEO16 Fossil fuel prod'!F58</f>
        <v>260.67999999999984</v>
      </c>
      <c r="N71" s="34">
        <f>'R4. WEO16 Fossil fuel prod'!G56-'R4. WEO16 Fossil fuel prod'!G57-'R4. WEO16 Fossil fuel prod'!G58</f>
        <v>248.31799999999998</v>
      </c>
      <c r="O71" s="34">
        <f>'R4. WEO16 Fossil fuel prod'!H56-'R4. WEO16 Fossil fuel prod'!H57-'R4. WEO16 Fossil fuel prod'!H58</f>
        <v>241.75600000000009</v>
      </c>
      <c r="P71" s="31">
        <f t="shared" si="5"/>
        <v>235.19400000000041</v>
      </c>
      <c r="Q71" s="31">
        <f t="shared" si="5"/>
        <v>228.63200000000052</v>
      </c>
      <c r="R71" s="31">
        <f t="shared" si="5"/>
        <v>222.07000000000062</v>
      </c>
      <c r="S71" s="31">
        <f t="shared" si="5"/>
        <v>215.50800000000072</v>
      </c>
    </row>
    <row r="72" spans="1:19" x14ac:dyDescent="0.3">
      <c r="A72" s="3" t="s">
        <v>495</v>
      </c>
      <c r="B72" s="3" t="s">
        <v>379</v>
      </c>
      <c r="C72" s="3" t="e">
        <f>INDEX(#REF!,MATCH($B72,#REF!,0))</f>
        <v>#REF!</v>
      </c>
      <c r="D72" s="3" t="s">
        <v>266</v>
      </c>
      <c r="E72" s="3" t="s">
        <v>95</v>
      </c>
      <c r="F72" s="3" t="s">
        <v>484</v>
      </c>
      <c r="G72" s="34">
        <f>'R4. WEO16 Fossil fuel prod'!$C$24</f>
        <v>89.607299999999995</v>
      </c>
      <c r="H72" s="34"/>
      <c r="I72" s="34"/>
      <c r="J72" s="34"/>
      <c r="K72" s="34">
        <f>'R4. WEO16 Fossil fuel prod'!D$24</f>
        <v>93.525700000000001</v>
      </c>
      <c r="L72" s="34">
        <f>'R4. WEO16 Fossil fuel prod'!E$24</f>
        <v>95.717399999999998</v>
      </c>
      <c r="M72" s="34">
        <f>'R4. WEO16 Fossil fuel prod'!F$24</f>
        <v>97.053399999999996</v>
      </c>
      <c r="N72" s="34">
        <f>'R4. WEO16 Fossil fuel prod'!G$24</f>
        <v>98.871700000000004</v>
      </c>
      <c r="O72" s="34">
        <f>'R4. WEO16 Fossil fuel prod'!H$24</f>
        <v>100.45699999999999</v>
      </c>
      <c r="P72" s="31">
        <f t="shared" si="5"/>
        <v>102.04229999999995</v>
      </c>
      <c r="Q72" s="31">
        <f t="shared" si="5"/>
        <v>103.62759999999992</v>
      </c>
      <c r="R72" s="31">
        <f t="shared" si="5"/>
        <v>105.21289999999999</v>
      </c>
      <c r="S72" s="31">
        <f t="shared" si="5"/>
        <v>106.79819999999995</v>
      </c>
    </row>
    <row r="73" spans="1:19" x14ac:dyDescent="0.3">
      <c r="A73" s="3" t="s">
        <v>495</v>
      </c>
      <c r="B73" s="3" t="s">
        <v>379</v>
      </c>
      <c r="C73" s="3" t="e">
        <f>INDEX(#REF!,MATCH($B73,#REF!,0))</f>
        <v>#REF!</v>
      </c>
      <c r="D73" s="3" t="s">
        <v>255</v>
      </c>
      <c r="E73" s="3" t="s">
        <v>95</v>
      </c>
      <c r="F73" s="3" t="s">
        <v>485</v>
      </c>
      <c r="G73" s="34">
        <f>'R4. WEO16 Fossil fuel prod'!$C$43</f>
        <v>3536.37</v>
      </c>
      <c r="H73" s="34"/>
      <c r="I73" s="34"/>
      <c r="J73" s="34"/>
      <c r="K73" s="34">
        <f>'R4. WEO16 Fossil fuel prod'!D$43</f>
        <v>3801.95</v>
      </c>
      <c r="L73" s="34">
        <f>'R4. WEO16 Fossil fuel prod'!E$43</f>
        <v>4105.72</v>
      </c>
      <c r="M73" s="34">
        <f>'R4. WEO16 Fossil fuel prod'!F$43</f>
        <v>4465.8999999999996</v>
      </c>
      <c r="N73" s="34">
        <f>'R4. WEO16 Fossil fuel prod'!G$43</f>
        <v>4857.83</v>
      </c>
      <c r="O73" s="34">
        <f>'R4. WEO16 Fossil fuel prod'!H$43</f>
        <v>5218.6899999999996</v>
      </c>
      <c r="P73" s="31">
        <f t="shared" si="5"/>
        <v>5579.5500000000175</v>
      </c>
      <c r="Q73" s="31">
        <f t="shared" si="5"/>
        <v>5940.4100000000326</v>
      </c>
      <c r="R73" s="31">
        <f t="shared" si="5"/>
        <v>6301.2700000000186</v>
      </c>
      <c r="S73" s="31">
        <f t="shared" si="5"/>
        <v>6662.1300000000338</v>
      </c>
    </row>
    <row r="74" spans="1:19" x14ac:dyDescent="0.3">
      <c r="A74" s="3" t="s">
        <v>495</v>
      </c>
      <c r="B74" s="3" t="s">
        <v>380</v>
      </c>
      <c r="C74" s="3" t="e">
        <f>INDEX(#REF!,MATCH($B74,#REF!,0))</f>
        <v>#REF!</v>
      </c>
      <c r="D74" s="3" t="s">
        <v>254</v>
      </c>
      <c r="E74" s="3" t="s">
        <v>492</v>
      </c>
      <c r="F74" s="3" t="s">
        <v>483</v>
      </c>
      <c r="G74" s="34">
        <f>'R4. WEO16 Fossil fuel prod'!$C$57</f>
        <v>4374.13</v>
      </c>
      <c r="H74" s="34"/>
      <c r="I74" s="34"/>
      <c r="J74" s="34"/>
      <c r="K74" s="34">
        <f>'R4. WEO16 Fossil fuel prod'!Q57</f>
        <v>3940.4</v>
      </c>
      <c r="M74" s="34">
        <f>'R4. WEO16 Fossil fuel prod'!R57</f>
        <v>2822.2</v>
      </c>
      <c r="N74" s="34"/>
      <c r="O74" s="34">
        <f>'R4. WEO16 Fossil fuel prod'!S57</f>
        <v>2099.5</v>
      </c>
      <c r="P74" s="31">
        <f t="shared" ref="P74:S78" si="6">$O74+(P$48-$O$48)*($O74-$M74)/($O$48-$M$48)</f>
        <v>1738.15</v>
      </c>
      <c r="Q74" s="31">
        <f t="shared" si="6"/>
        <v>1376.8000000000002</v>
      </c>
      <c r="R74" s="31">
        <f t="shared" si="6"/>
        <v>1015.4500000000003</v>
      </c>
      <c r="S74" s="31">
        <f t="shared" si="6"/>
        <v>654.10000000000036</v>
      </c>
    </row>
    <row r="75" spans="1:19" x14ac:dyDescent="0.3">
      <c r="A75" s="3" t="s">
        <v>495</v>
      </c>
      <c r="B75" s="3" t="s">
        <v>380</v>
      </c>
      <c r="C75" s="3" t="e">
        <f>INDEX(#REF!,MATCH($B75,#REF!,0))</f>
        <v>#REF!</v>
      </c>
      <c r="D75" s="3" t="s">
        <v>254</v>
      </c>
      <c r="E75" s="3" t="s">
        <v>493</v>
      </c>
      <c r="F75" s="3" t="s">
        <v>483</v>
      </c>
      <c r="G75" s="34">
        <f>'R4. WEO16 Fossil fuel prod'!$C$58</f>
        <v>1015.96</v>
      </c>
      <c r="H75" s="34"/>
      <c r="I75" s="34"/>
      <c r="J75" s="34"/>
      <c r="K75" s="34">
        <f>'R4. WEO16 Fossil fuel prod'!Q58</f>
        <v>969.875</v>
      </c>
      <c r="M75" s="34">
        <f>'R4. WEO16 Fossil fuel prod'!R58</f>
        <v>815.48199999999997</v>
      </c>
      <c r="N75" s="34"/>
      <c r="O75" s="34">
        <f>'R4. WEO16 Fossil fuel prod'!S58</f>
        <v>639.49699999999996</v>
      </c>
      <c r="P75" s="31">
        <f t="shared" si="6"/>
        <v>551.50450000000001</v>
      </c>
      <c r="Q75" s="31">
        <f t="shared" si="6"/>
        <v>463.51199999999994</v>
      </c>
      <c r="R75" s="31">
        <f t="shared" si="6"/>
        <v>375.51949999999994</v>
      </c>
      <c r="S75" s="31">
        <f t="shared" si="6"/>
        <v>287.52699999999993</v>
      </c>
    </row>
    <row r="76" spans="1:19" x14ac:dyDescent="0.3">
      <c r="A76" s="3" t="s">
        <v>495</v>
      </c>
      <c r="B76" s="3" t="s">
        <v>380</v>
      </c>
      <c r="C76" s="3" t="e">
        <f>INDEX(#REF!,MATCH($B76,#REF!,0))</f>
        <v>#REF!</v>
      </c>
      <c r="D76" s="3" t="s">
        <v>254</v>
      </c>
      <c r="E76" s="3" t="s">
        <v>494</v>
      </c>
      <c r="F76" s="3" t="s">
        <v>483</v>
      </c>
      <c r="G76" s="34">
        <f>'R4. WEO16 Fossil fuel prod'!$C$56-'R4. WEO16 Fossil fuel prod'!$C$57-'R4. WEO16 Fossil fuel prod'!$C$58</f>
        <v>290.10999999999967</v>
      </c>
      <c r="H76" s="34"/>
      <c r="I76" s="34"/>
      <c r="J76" s="34"/>
      <c r="K76" s="34">
        <f>'R4. WEO16 Fossil fuel prod'!Q56-'R4. WEO16 Fossil fuel prod'!Q57-'R4. WEO16 Fossil fuel prod'!Q58</f>
        <v>264.21499999999969</v>
      </c>
      <c r="M76" s="34">
        <f>'R4. WEO16 Fossil fuel prod'!R56-'R4. WEO16 Fossil fuel prod'!R57-'R4. WEO16 Fossil fuel prod'!R58</f>
        <v>148.19800000000032</v>
      </c>
      <c r="N76" s="34"/>
      <c r="O76" s="34">
        <f>'R4. WEO16 Fossil fuel prod'!S56-'R4. WEO16 Fossil fuel prod'!S57-'R4. WEO16 Fossil fuel prod'!S58</f>
        <v>118.80300000000022</v>
      </c>
      <c r="P76" s="31">
        <f t="shared" si="6"/>
        <v>104.10550000000018</v>
      </c>
      <c r="Q76" s="31">
        <f t="shared" si="6"/>
        <v>89.408000000000129</v>
      </c>
      <c r="R76" s="31">
        <f t="shared" si="6"/>
        <v>74.710500000000081</v>
      </c>
      <c r="S76" s="31">
        <f t="shared" si="6"/>
        <v>60.013000000000034</v>
      </c>
    </row>
    <row r="77" spans="1:19" x14ac:dyDescent="0.3">
      <c r="A77" s="3" t="s">
        <v>495</v>
      </c>
      <c r="B77" s="3" t="s">
        <v>380</v>
      </c>
      <c r="C77" s="3" t="e">
        <f>INDEX(#REF!,MATCH($B77,#REF!,0))</f>
        <v>#REF!</v>
      </c>
      <c r="D77" s="3" t="s">
        <v>266</v>
      </c>
      <c r="E77" s="3" t="s">
        <v>95</v>
      </c>
      <c r="F77" s="3" t="s">
        <v>484</v>
      </c>
      <c r="G77" s="34">
        <f>'R4. WEO16 Fossil fuel prod'!$C$24</f>
        <v>89.607299999999995</v>
      </c>
      <c r="H77" s="34"/>
      <c r="I77" s="34"/>
      <c r="J77" s="34"/>
      <c r="K77" s="34">
        <f>'R4. WEO16 Fossil fuel prod'!$Q$24</f>
        <v>90.962299999999999</v>
      </c>
      <c r="L77" s="34"/>
      <c r="M77" s="34">
        <f>'R4. WEO16 Fossil fuel prod'!$R$24</f>
        <v>82.017200000000003</v>
      </c>
      <c r="N77" s="34"/>
      <c r="O77" s="34">
        <f>'R4. WEO16 Fossil fuel prod'!$S$24</f>
        <v>71.063299999999998</v>
      </c>
      <c r="P77" s="31">
        <f t="shared" si="6"/>
        <v>65.586349999999996</v>
      </c>
      <c r="Q77" s="31">
        <f t="shared" si="6"/>
        <v>60.109399999999994</v>
      </c>
      <c r="R77" s="31">
        <f t="shared" si="6"/>
        <v>54.632449999999992</v>
      </c>
      <c r="S77" s="31">
        <f t="shared" si="6"/>
        <v>49.155499999999989</v>
      </c>
    </row>
    <row r="78" spans="1:19" x14ac:dyDescent="0.3">
      <c r="A78" s="39" t="s">
        <v>495</v>
      </c>
      <c r="B78" s="39" t="s">
        <v>380</v>
      </c>
      <c r="C78" s="39" t="e">
        <f>INDEX(#REF!,MATCH($B78,#REF!,0))</f>
        <v>#REF!</v>
      </c>
      <c r="D78" s="39" t="s">
        <v>255</v>
      </c>
      <c r="E78" s="39" t="s">
        <v>95</v>
      </c>
      <c r="F78" s="39" t="s">
        <v>485</v>
      </c>
      <c r="G78" s="52">
        <f>'R4. WEO16 Fossil fuel prod'!$C$43</f>
        <v>3536.37</v>
      </c>
      <c r="H78" s="52"/>
      <c r="I78" s="52"/>
      <c r="J78" s="52"/>
      <c r="K78" s="52">
        <f>'R4. WEO16 Fossil fuel prod'!$Q$43</f>
        <v>3794.71</v>
      </c>
      <c r="L78" s="52"/>
      <c r="M78" s="52">
        <f>'R4. WEO16 Fossil fuel prod'!$R$43</f>
        <v>4062.05</v>
      </c>
      <c r="N78" s="52"/>
      <c r="O78" s="52">
        <f>'R4. WEO16 Fossil fuel prod'!$S$43</f>
        <v>4007.97</v>
      </c>
      <c r="P78" s="40">
        <f t="shared" si="6"/>
        <v>3980.9299999999994</v>
      </c>
      <c r="Q78" s="40">
        <f t="shared" si="6"/>
        <v>3953.8899999999994</v>
      </c>
      <c r="R78" s="40">
        <f t="shared" si="6"/>
        <v>3926.8499999999995</v>
      </c>
      <c r="S78" s="40">
        <f t="shared" si="6"/>
        <v>3899.809999999999</v>
      </c>
    </row>
    <row r="79" spans="1:19" x14ac:dyDescent="0.3">
      <c r="A79" s="3" t="s">
        <v>496</v>
      </c>
      <c r="B79" s="3" t="s">
        <v>381</v>
      </c>
      <c r="C79" s="3" t="e">
        <f>INDEX(#REF!,MATCH($B79,#REF!,0))</f>
        <v>#REF!</v>
      </c>
      <c r="D79" s="3" t="s">
        <v>254</v>
      </c>
      <c r="E79" s="3" t="s">
        <v>95</v>
      </c>
      <c r="F79" s="3" t="s">
        <v>482</v>
      </c>
      <c r="G79" s="34">
        <f>IFERROR(INDEX('R5. ETP17 Summary'!$C$12:$K$20,MATCH(IF($D79="Gas", "Natural gas", $D79),'R5. ETP17 Summary'!$B$12:$B$20,0),MATCH(G$48,'R5. ETP17 Summary'!$C$9:$K$9,0)),"")</f>
        <v>163853.62994548801</v>
      </c>
      <c r="H79" s="34" t="str">
        <f>IFERROR(INDEX('R5. ETP17 Summary'!$C$12:$K$20,MATCH(IF($D79="Gas", "Natural gas", $D79),'R5. ETP17 Summary'!$B$12:$B$20,0),MATCH(H$48,'R5. ETP17 Summary'!$C$9:$K$9,0)),"")</f>
        <v/>
      </c>
      <c r="I79" s="34" t="str">
        <f>IFERROR(INDEX('R5. ETP17 Summary'!$C$12:$K$20,MATCH(IF($D79="Gas", "Natural gas", $D79),'R5. ETP17 Summary'!$B$12:$B$20,0),MATCH(I$48,'R5. ETP17 Summary'!$C$9:$K$9,0)),"")</f>
        <v/>
      </c>
      <c r="J79" s="34" t="str">
        <f>IFERROR(INDEX('R5. ETP17 Summary'!$C$12:$K$20,MATCH(IF($D79="Gas", "Natural gas", $D79),'R5. ETP17 Summary'!$B$12:$B$20,0),MATCH(J$48,'R5. ETP17 Summary'!$C$9:$K$9,0)),"")</f>
        <v/>
      </c>
      <c r="K79" s="31">
        <f>$G79+(K$48-$G$48)*($L79-$G79)/($L$48-$G$48)</f>
        <v>163058.50026170598</v>
      </c>
      <c r="L79" s="34">
        <f>IFERROR(INDEX('R5. ETP17 Summary'!$C$12:$K$20,MATCH(IF($D79="Gas", "Natural gas", $D79),'R5. ETP17 Summary'!$B$12:$B$20,0),MATCH(L$48,'R5. ETP17 Summary'!$C$9:$K$9,0)),"")</f>
        <v>162395.89219188763</v>
      </c>
      <c r="M79" s="34">
        <f>IFERROR(INDEX('R5. ETP17 Summary'!$C$12:$K$20,MATCH(IF($D79="Gas", "Natural gas", $D79),'R5. ETP17 Summary'!$B$12:$B$20,0),MATCH(M$48,'R5. ETP17 Summary'!$C$9:$K$9,0)),"")</f>
        <v>162921.73111427567</v>
      </c>
      <c r="N79" s="34">
        <f>IFERROR(INDEX('R5. ETP17 Summary'!$C$12:$K$20,MATCH(IF($D79="Gas", "Natural gas", $D79),'R5. ETP17 Summary'!$B$12:$B$20,0),MATCH(N$48,'R5. ETP17 Summary'!$C$9:$K$9,0)),"")</f>
        <v>164935.01521888917</v>
      </c>
      <c r="O79" s="34">
        <f>IFERROR(INDEX('R5. ETP17 Summary'!$C$12:$K$20,MATCH(IF($D79="Gas", "Natural gas", $D79),'R5. ETP17 Summary'!$B$12:$B$20,0),MATCH(O$48,'R5. ETP17 Summary'!$C$9:$K$9,0)),"")</f>
        <v>168456.54625766998</v>
      </c>
      <c r="P79" s="34">
        <f>IFERROR(INDEX('R5. ETP17 Summary'!$C$12:$K$20,MATCH(IF($D79="Gas", "Natural gas", $D79),'R5. ETP17 Summary'!$B$12:$B$20,0),MATCH(P$48,'R5. ETP17 Summary'!$C$9:$K$9,0)),"")</f>
        <v>167055.82520076376</v>
      </c>
      <c r="Q79" s="34">
        <f>IFERROR(INDEX('R5. ETP17 Summary'!$C$12:$K$20,MATCH(IF($D79="Gas", "Natural gas", $D79),'R5. ETP17 Summary'!$B$12:$B$20,0),MATCH(Q$48,'R5. ETP17 Summary'!$C$9:$K$9,0)),"")</f>
        <v>163446.66790497277</v>
      </c>
      <c r="R79" s="34">
        <f>IFERROR(INDEX('R5. ETP17 Summary'!$C$12:$K$20,MATCH(IF($D79="Gas", "Natural gas", $D79),'R5. ETP17 Summary'!$B$12:$B$20,0),MATCH(R$48,'R5. ETP17 Summary'!$C$9:$K$9,0)),"")</f>
        <v>164936.60354914173</v>
      </c>
      <c r="S79" s="34">
        <f>IFERROR(INDEX('R5. ETP17 Summary'!$C$12:$K$20,MATCH(IF($D79="Gas", "Natural gas", $D79),'R5. ETP17 Summary'!$B$12:$B$20,0),MATCH(S$48,'R5. ETP17 Summary'!$C$9:$K$9,0)),"")</f>
        <v>163833.11722813317</v>
      </c>
    </row>
    <row r="80" spans="1:19" x14ac:dyDescent="0.3">
      <c r="A80" s="3" t="s">
        <v>496</v>
      </c>
      <c r="B80" s="3" t="s">
        <v>381</v>
      </c>
      <c r="C80" s="3" t="e">
        <f>INDEX(#REF!,MATCH($B80,#REF!,0))</f>
        <v>#REF!</v>
      </c>
      <c r="D80" s="3" t="s">
        <v>266</v>
      </c>
      <c r="E80" s="3" t="s">
        <v>95</v>
      </c>
      <c r="F80" s="3" t="s">
        <v>482</v>
      </c>
      <c r="G80" s="34">
        <f>IFERROR(INDEX('R5. ETP17 Summary'!$C$12:$K$20,MATCH(IF($D80="Gas", "Natural gas", $D80),'R5. ETP17 Summary'!$B$12:$B$20,0),MATCH(G$48,'R5. ETP17 Summary'!$C$9:$K$9,0)),"")</f>
        <v>179603.77400539213</v>
      </c>
      <c r="H80" s="34" t="str">
        <f>IFERROR(INDEX('R5. ETP17 Summary'!$C$12:$K$20,MATCH(IF($D80="Gas", "Natural gas", $D80),'R5. ETP17 Summary'!$B$12:$B$20,0),MATCH(H$48,'R5. ETP17 Summary'!$C$9:$K$9,0)),"")</f>
        <v/>
      </c>
      <c r="I80" s="34" t="str">
        <f>IFERROR(INDEX('R5. ETP17 Summary'!$C$12:$K$20,MATCH(IF($D80="Gas", "Natural gas", $D80),'R5. ETP17 Summary'!$B$12:$B$20,0),MATCH(I$48,'R5. ETP17 Summary'!$C$9:$K$9,0)),"")</f>
        <v/>
      </c>
      <c r="J80" s="34" t="str">
        <f>IFERROR(INDEX('R5. ETP17 Summary'!$C$12:$K$20,MATCH(IF($D80="Gas", "Natural gas", $D80),'R5. ETP17 Summary'!$B$12:$B$20,0),MATCH(J$48,'R5. ETP17 Summary'!$C$9:$K$9,0)),"")</f>
        <v/>
      </c>
      <c r="K80" s="31">
        <f t="shared" ref="K80:K87" si="7">$G80+(K$48-$G$48)*($L80-$G80)/($L$48-$G$48)</f>
        <v>185822.86224654422</v>
      </c>
      <c r="L80" s="34">
        <f>IFERROR(INDEX('R5. ETP17 Summary'!$C$12:$K$20,MATCH(IF($D80="Gas", "Natural gas", $D80),'R5. ETP17 Summary'!$B$12:$B$20,0),MATCH(L$48,'R5. ETP17 Summary'!$C$9:$K$9,0)),"")</f>
        <v>191005.43578083764</v>
      </c>
      <c r="M80" s="34">
        <f>IFERROR(INDEX('R5. ETP17 Summary'!$C$12:$K$20,MATCH(IF($D80="Gas", "Natural gas", $D80),'R5. ETP17 Summary'!$B$12:$B$20,0),MATCH(M$48,'R5. ETP17 Summary'!$C$9:$K$9,0)),"")</f>
        <v>197406.6923135276</v>
      </c>
      <c r="N80" s="34">
        <f>IFERROR(INDEX('R5. ETP17 Summary'!$C$12:$K$20,MATCH(IF($D80="Gas", "Natural gas", $D80),'R5. ETP17 Summary'!$B$12:$B$20,0),MATCH(N$48,'R5. ETP17 Summary'!$C$9:$K$9,0)),"")</f>
        <v>200947.73220399983</v>
      </c>
      <c r="O80" s="34">
        <f>IFERROR(INDEX('R5. ETP17 Summary'!$C$12:$K$20,MATCH(IF($D80="Gas", "Natural gas", $D80),'R5. ETP17 Summary'!$B$12:$B$20,0),MATCH(O$48,'R5. ETP17 Summary'!$C$9:$K$9,0)),"")</f>
        <v>204742.68298506443</v>
      </c>
      <c r="P80" s="34">
        <f>IFERROR(INDEX('R5. ETP17 Summary'!$C$12:$K$20,MATCH(IF($D80="Gas", "Natural gas", $D80),'R5. ETP17 Summary'!$B$12:$B$20,0),MATCH(P$48,'R5. ETP17 Summary'!$C$9:$K$9,0)),"")</f>
        <v>206619.49566900227</v>
      </c>
      <c r="Q80" s="34">
        <f>IFERROR(INDEX('R5. ETP17 Summary'!$C$12:$K$20,MATCH(IF($D80="Gas", "Natural gas", $D80),'R5. ETP17 Summary'!$B$12:$B$20,0),MATCH(Q$48,'R5. ETP17 Summary'!$C$9:$K$9,0)),"")</f>
        <v>207960.44191028658</v>
      </c>
      <c r="R80" s="34">
        <f>IFERROR(INDEX('R5. ETP17 Summary'!$C$12:$K$20,MATCH(IF($D80="Gas", "Natural gas", $D80),'R5. ETP17 Summary'!$B$12:$B$20,0),MATCH(R$48,'R5. ETP17 Summary'!$C$9:$K$9,0)),"")</f>
        <v>208564.09239051194</v>
      </c>
      <c r="S80" s="34">
        <f>IFERROR(INDEX('R5. ETP17 Summary'!$C$12:$K$20,MATCH(IF($D80="Gas", "Natural gas", $D80),'R5. ETP17 Summary'!$B$12:$B$20,0),MATCH(S$48,'R5. ETP17 Summary'!$C$9:$K$9,0)),"")</f>
        <v>209196.40225715772</v>
      </c>
    </row>
    <row r="81" spans="1:19" x14ac:dyDescent="0.3">
      <c r="A81" s="3" t="s">
        <v>496</v>
      </c>
      <c r="B81" s="3" t="s">
        <v>381</v>
      </c>
      <c r="C81" s="3" t="e">
        <f>INDEX(#REF!,MATCH($B81,#REF!,0))</f>
        <v>#REF!</v>
      </c>
      <c r="D81" s="3" t="s">
        <v>255</v>
      </c>
      <c r="E81" s="3" t="s">
        <v>95</v>
      </c>
      <c r="F81" s="3" t="s">
        <v>482</v>
      </c>
      <c r="G81" s="34">
        <f>IFERROR(INDEX('R5. ETP17 Summary'!$C$12:$K$20,MATCH(IF($D81="Gas", "Natural gas", $D81),'R5. ETP17 Summary'!$B$12:$B$20,0),MATCH(G$48,'R5. ETP17 Summary'!$C$9:$K$9,0)),"")</f>
        <v>121441.43859937201</v>
      </c>
      <c r="H81" s="34" t="str">
        <f>IFERROR(INDEX('R5. ETP17 Summary'!$C$12:$K$20,MATCH(IF($D81="Gas", "Natural gas", $D81),'R5. ETP17 Summary'!$B$12:$B$20,0),MATCH(H$48,'R5. ETP17 Summary'!$C$9:$K$9,0)),"")</f>
        <v/>
      </c>
      <c r="I81" s="34" t="str">
        <f>IFERROR(INDEX('R5. ETP17 Summary'!$C$12:$K$20,MATCH(IF($D81="Gas", "Natural gas", $D81),'R5. ETP17 Summary'!$B$12:$B$20,0),MATCH(I$48,'R5. ETP17 Summary'!$C$9:$K$9,0)),"")</f>
        <v/>
      </c>
      <c r="J81" s="34" t="str">
        <f>IFERROR(INDEX('R5. ETP17 Summary'!$C$12:$K$20,MATCH(IF($D81="Gas", "Natural gas", $D81),'R5. ETP17 Summary'!$B$12:$B$20,0),MATCH(J$48,'R5. ETP17 Summary'!$C$9:$K$9,0)),"")</f>
        <v/>
      </c>
      <c r="K81" s="31">
        <f t="shared" si="7"/>
        <v>134061.2469511767</v>
      </c>
      <c r="L81" s="34">
        <f>IFERROR(INDEX('R5. ETP17 Summary'!$C$12:$K$20,MATCH(IF($D81="Gas", "Natural gas", $D81),'R5. ETP17 Summary'!$B$12:$B$20,0),MATCH(L$48,'R5. ETP17 Summary'!$C$9:$K$9,0)),"")</f>
        <v>144577.75391101392</v>
      </c>
      <c r="M81" s="34">
        <f>IFERROR(INDEX('R5. ETP17 Summary'!$C$12:$K$20,MATCH(IF($D81="Gas", "Natural gas", $D81),'R5. ETP17 Summary'!$B$12:$B$20,0),MATCH(M$48,'R5. ETP17 Summary'!$C$9:$K$9,0)),"")</f>
        <v>157419.5286941051</v>
      </c>
      <c r="N81" s="34">
        <f>IFERROR(INDEX('R5. ETP17 Summary'!$C$12:$K$20,MATCH(IF($D81="Gas", "Natural gas", $D81),'R5. ETP17 Summary'!$B$12:$B$20,0),MATCH(N$48,'R5. ETP17 Summary'!$C$9:$K$9,0)),"")</f>
        <v>166282.21412672359</v>
      </c>
      <c r="O81" s="34">
        <f>IFERROR(INDEX('R5. ETP17 Summary'!$C$12:$K$20,MATCH(IF($D81="Gas", "Natural gas", $D81),'R5. ETP17 Summary'!$B$12:$B$20,0),MATCH(O$48,'R5. ETP17 Summary'!$C$9:$K$9,0)),"")</f>
        <v>173948.88848311218</v>
      </c>
      <c r="P81" s="34">
        <f>IFERROR(INDEX('R5. ETP17 Summary'!$C$12:$K$20,MATCH(IF($D81="Gas", "Natural gas", $D81),'R5. ETP17 Summary'!$B$12:$B$20,0),MATCH(P$48,'R5. ETP17 Summary'!$C$9:$K$9,0)),"")</f>
        <v>180048.62582986552</v>
      </c>
      <c r="Q81" s="34">
        <f>IFERROR(INDEX('R5. ETP17 Summary'!$C$12:$K$20,MATCH(IF($D81="Gas", "Natural gas", $D81),'R5. ETP17 Summary'!$B$12:$B$20,0),MATCH(Q$48,'R5. ETP17 Summary'!$C$9:$K$9,0)),"")</f>
        <v>183911.28735033987</v>
      </c>
      <c r="R81" s="34">
        <f>IFERROR(INDEX('R5. ETP17 Summary'!$C$12:$K$20,MATCH(IF($D81="Gas", "Natural gas", $D81),'R5. ETP17 Summary'!$B$12:$B$20,0),MATCH(R$48,'R5. ETP17 Summary'!$C$9:$K$9,0)),"")</f>
        <v>187024.45700405858</v>
      </c>
      <c r="S81" s="34">
        <f>IFERROR(INDEX('R5. ETP17 Summary'!$C$12:$K$20,MATCH(IF($D81="Gas", "Natural gas", $D81),'R5. ETP17 Summary'!$B$12:$B$20,0),MATCH(S$48,'R5. ETP17 Summary'!$C$9:$K$9,0)),"")</f>
        <v>192620.56225737816</v>
      </c>
    </row>
    <row r="82" spans="1:19" x14ac:dyDescent="0.3">
      <c r="A82" s="3" t="s">
        <v>496</v>
      </c>
      <c r="B82" s="3" t="s">
        <v>382</v>
      </c>
      <c r="C82" s="3" t="e">
        <f>INDEX(#REF!,MATCH($B82,#REF!,0))</f>
        <v>#REF!</v>
      </c>
      <c r="D82" s="3" t="s">
        <v>254</v>
      </c>
      <c r="E82" s="3" t="s">
        <v>95</v>
      </c>
      <c r="F82" s="3" t="s">
        <v>482</v>
      </c>
      <c r="G82" s="34">
        <f>IFERROR(INDEX('R5. ETP17 Summary'!$P$12:$X$20,MATCH(IF($D82="Gas","Natural gas",$D82),'R5. ETP17 Summary'!$O$12:$O$20,0),MATCH(G$48,'R5. ETP17 Summary'!$P$9:$X$9,0)),"")</f>
        <v>163853.62994548801</v>
      </c>
      <c r="H82" s="34" t="str">
        <f>IFERROR(INDEX('R5. ETP17 Summary'!$P$12:$X$20,MATCH(IF($D82="Gas","Natural gas",$D82),'R5. ETP17 Summary'!$O$12:$O$20,0),MATCH(H$48,'R5. ETP17 Summary'!$P$9:$X$9,0)),"")</f>
        <v/>
      </c>
      <c r="I82" s="34" t="str">
        <f>IFERROR(INDEX('R5. ETP17 Summary'!$P$12:$X$20,MATCH(IF($D82="Gas","Natural gas",$D82),'R5. ETP17 Summary'!$O$12:$O$20,0),MATCH(I$48,'R5. ETP17 Summary'!$P$9:$X$9,0)),"")</f>
        <v/>
      </c>
      <c r="J82" s="34" t="str">
        <f>IFERROR(INDEX('R5. ETP17 Summary'!$P$12:$X$20,MATCH(IF($D82="Gas","Natural gas",$D82),'R5. ETP17 Summary'!$O$12:$O$20,0),MATCH(J$48,'R5. ETP17 Summary'!$P$9:$X$9,0)),"")</f>
        <v/>
      </c>
      <c r="K82" s="31">
        <f t="shared" si="7"/>
        <v>141485.18798279564</v>
      </c>
      <c r="L82" s="34">
        <f>IFERROR(INDEX('R5. ETP17 Summary'!$P$12:$X$20,MATCH(IF($D82="Gas","Natural gas",$D82),'R5. ETP17 Summary'!$O$12:$O$20,0),MATCH(L$48,'R5. ETP17 Summary'!$P$9:$X$9,0)),"")</f>
        <v>122844.819680552</v>
      </c>
      <c r="M82" s="34">
        <f>IFERROR(INDEX('R5. ETP17 Summary'!$P$12:$X$20,MATCH(IF($D82="Gas","Natural gas",$D82),'R5. ETP17 Summary'!$O$12:$O$20,0),MATCH(M$48,'R5. ETP17 Summary'!$P$9:$X$9,0)),"")</f>
        <v>95650.103712068187</v>
      </c>
      <c r="N82" s="34">
        <f>IFERROR(INDEX('R5. ETP17 Summary'!$P$12:$X$20,MATCH(IF($D82="Gas","Natural gas",$D82),'R5. ETP17 Summary'!$O$12:$O$20,0),MATCH(N$48,'R5. ETP17 Summary'!$P$9:$X$9,0)),"")</f>
        <v>74734.938721281811</v>
      </c>
      <c r="O82" s="34">
        <f>IFERROR(INDEX('R5. ETP17 Summary'!$P$12:$X$20,MATCH(IF($D82="Gas","Natural gas",$D82),'R5. ETP17 Summary'!$O$12:$O$20,0),MATCH(O$48,'R5. ETP17 Summary'!$P$9:$X$9,0)),"")</f>
        <v>65415.479524564296</v>
      </c>
      <c r="P82" s="34">
        <f>IFERROR(INDEX('R5. ETP17 Summary'!$P$12:$X$20,MATCH(IF($D82="Gas","Natural gas",$D82),'R5. ETP17 Summary'!$O$12:$O$20,0),MATCH(P$48,'R5. ETP17 Summary'!$P$9:$X$9,0)),"")</f>
        <v>59165.461950682948</v>
      </c>
      <c r="Q82" s="34">
        <f>IFERROR(INDEX('R5. ETP17 Summary'!$P$12:$X$20,MATCH(IF($D82="Gas","Natural gas",$D82),'R5. ETP17 Summary'!$O$12:$O$20,0),MATCH(Q$48,'R5. ETP17 Summary'!$P$9:$X$9,0)),"")</f>
        <v>53245.511661229037</v>
      </c>
      <c r="R82" s="34">
        <f>IFERROR(INDEX('R5. ETP17 Summary'!$P$12:$X$20,MATCH(IF($D82="Gas","Natural gas",$D82),'R5. ETP17 Summary'!$O$12:$O$20,0),MATCH(R$48,'R5. ETP17 Summary'!$P$9:$X$9,0)),"")</f>
        <v>47716.862127264991</v>
      </c>
      <c r="S82" s="34">
        <f>IFERROR(INDEX('R5. ETP17 Summary'!$P$12:$X$20,MATCH(IF($D82="Gas","Natural gas",$D82),'R5. ETP17 Summary'!$O$12:$O$20,0),MATCH(S$48,'R5. ETP17 Summary'!$P$9:$X$9,0)),"")</f>
        <v>45820.557046194997</v>
      </c>
    </row>
    <row r="83" spans="1:19" x14ac:dyDescent="0.3">
      <c r="A83" s="3" t="s">
        <v>496</v>
      </c>
      <c r="B83" s="3" t="s">
        <v>382</v>
      </c>
      <c r="C83" s="3" t="e">
        <f>INDEX(#REF!,MATCH($B83,#REF!,0))</f>
        <v>#REF!</v>
      </c>
      <c r="D83" s="3" t="s">
        <v>266</v>
      </c>
      <c r="E83" s="3" t="s">
        <v>95</v>
      </c>
      <c r="F83" s="3" t="s">
        <v>482</v>
      </c>
      <c r="G83" s="34">
        <f>IFERROR(INDEX('R5. ETP17 Summary'!$P$12:$X$20,MATCH(IF($D83="Gas","Natural gas",$D83),'R5. ETP17 Summary'!$O$12:$O$20,0),MATCH(G$48,'R5. ETP17 Summary'!$P$9:$X$9,0)),"")</f>
        <v>179603.77400539213</v>
      </c>
      <c r="H83" s="34" t="str">
        <f>IFERROR(INDEX('R5. ETP17 Summary'!$P$12:$X$20,MATCH(IF($D83="Gas","Natural gas",$D83),'R5. ETP17 Summary'!$O$12:$O$20,0),MATCH(H$48,'R5. ETP17 Summary'!$P$9:$X$9,0)),"")</f>
        <v/>
      </c>
      <c r="I83" s="34" t="str">
        <f>IFERROR(INDEX('R5. ETP17 Summary'!$P$12:$X$20,MATCH(IF($D83="Gas","Natural gas",$D83),'R5. ETP17 Summary'!$O$12:$O$20,0),MATCH(I$48,'R5. ETP17 Summary'!$P$9:$X$9,0)),"")</f>
        <v/>
      </c>
      <c r="J83" s="34" t="str">
        <f>IFERROR(INDEX('R5. ETP17 Summary'!$P$12:$X$20,MATCH(IF($D83="Gas","Natural gas",$D83),'R5. ETP17 Summary'!$O$12:$O$20,0),MATCH(J$48,'R5. ETP17 Summary'!$P$9:$X$9,0)),"")</f>
        <v/>
      </c>
      <c r="K83" s="31">
        <f t="shared" si="7"/>
        <v>173200.28108051373</v>
      </c>
      <c r="L83" s="34">
        <f>IFERROR(INDEX('R5. ETP17 Summary'!$P$12:$X$20,MATCH(IF($D83="Gas","Natural gas",$D83),'R5. ETP17 Summary'!$O$12:$O$20,0),MATCH(L$48,'R5. ETP17 Summary'!$P$9:$X$9,0)),"")</f>
        <v>167864.03697644838</v>
      </c>
      <c r="M83" s="34">
        <f>IFERROR(INDEX('R5. ETP17 Summary'!$P$12:$X$20,MATCH(IF($D83="Gas","Natural gas",$D83),'R5. ETP17 Summary'!$O$12:$O$20,0),MATCH(M$48,'R5. ETP17 Summary'!$P$9:$X$9,0)),"")</f>
        <v>159317.83188446047</v>
      </c>
      <c r="N83" s="34">
        <f>IFERROR(INDEX('R5. ETP17 Summary'!$P$12:$X$20,MATCH(IF($D83="Gas","Natural gas",$D83),'R5. ETP17 Summary'!$O$12:$O$20,0),MATCH(N$48,'R5. ETP17 Summary'!$P$9:$X$9,0)),"")</f>
        <v>149561.8957778312</v>
      </c>
      <c r="O83" s="34">
        <f>IFERROR(INDEX('R5. ETP17 Summary'!$P$12:$X$20,MATCH(IF($D83="Gas","Natural gas",$D83),'R5. ETP17 Summary'!$O$12:$O$20,0),MATCH(O$48,'R5. ETP17 Summary'!$P$9:$X$9,0)),"")</f>
        <v>139519.10689064197</v>
      </c>
      <c r="P83" s="34">
        <f>IFERROR(INDEX('R5. ETP17 Summary'!$P$12:$X$20,MATCH(IF($D83="Gas","Natural gas",$D83),'R5. ETP17 Summary'!$O$12:$O$20,0),MATCH(P$48,'R5. ETP17 Summary'!$P$9:$X$9,0)),"")</f>
        <v>127418.18993457334</v>
      </c>
      <c r="Q83" s="34">
        <f>IFERROR(INDEX('R5. ETP17 Summary'!$P$12:$X$20,MATCH(IF($D83="Gas","Natural gas",$D83),'R5. ETP17 Summary'!$O$12:$O$20,0),MATCH(Q$48,'R5. ETP17 Summary'!$P$9:$X$9,0)),"")</f>
        <v>115684.21404773994</v>
      </c>
      <c r="R83" s="34">
        <f>IFERROR(INDEX('R5. ETP17 Summary'!$P$12:$X$20,MATCH(IF($D83="Gas","Natural gas",$D83),'R5. ETP17 Summary'!$O$12:$O$20,0),MATCH(R$48,'R5. ETP17 Summary'!$P$9:$X$9,0)),"")</f>
        <v>105528.41620285725</v>
      </c>
      <c r="S83" s="34">
        <f>IFERROR(INDEX('R5. ETP17 Summary'!$P$12:$X$20,MATCH(IF($D83="Gas","Natural gas",$D83),'R5. ETP17 Summary'!$O$12:$O$20,0),MATCH(S$48,'R5. ETP17 Summary'!$P$9:$X$9,0)),"")</f>
        <v>98920.465937812871</v>
      </c>
    </row>
    <row r="84" spans="1:19" x14ac:dyDescent="0.3">
      <c r="A84" s="3" t="s">
        <v>496</v>
      </c>
      <c r="B84" s="3" t="s">
        <v>382</v>
      </c>
      <c r="C84" s="3" t="e">
        <f>INDEX(#REF!,MATCH($B84,#REF!,0))</f>
        <v>#REF!</v>
      </c>
      <c r="D84" s="3" t="s">
        <v>255</v>
      </c>
      <c r="E84" s="3" t="s">
        <v>95</v>
      </c>
      <c r="F84" s="3" t="s">
        <v>482</v>
      </c>
      <c r="G84" s="34">
        <f>IFERROR(INDEX('R5. ETP17 Summary'!$P$12:$X$20,MATCH(IF($D84="Gas","Natural gas",$D84),'R5. ETP17 Summary'!$O$12:$O$20,0),MATCH(G$48,'R5. ETP17 Summary'!$P$9:$X$9,0)),"")</f>
        <v>121441.43859937201</v>
      </c>
      <c r="H84" s="34" t="str">
        <f>IFERROR(INDEX('R5. ETP17 Summary'!$P$12:$X$20,MATCH(IF($D84="Gas","Natural gas",$D84),'R5. ETP17 Summary'!$O$12:$O$20,0),MATCH(H$48,'R5. ETP17 Summary'!$P$9:$X$9,0)),"")</f>
        <v/>
      </c>
      <c r="I84" s="34" t="str">
        <f>IFERROR(INDEX('R5. ETP17 Summary'!$P$12:$X$20,MATCH(IF($D84="Gas","Natural gas",$D84),'R5. ETP17 Summary'!$O$12:$O$20,0),MATCH(I$48,'R5. ETP17 Summary'!$P$9:$X$9,0)),"")</f>
        <v/>
      </c>
      <c r="J84" s="34" t="str">
        <f>IFERROR(INDEX('R5. ETP17 Summary'!$P$12:$X$20,MATCH(IF($D84="Gas","Natural gas",$D84),'R5. ETP17 Summary'!$O$12:$O$20,0),MATCH(J$48,'R5. ETP17 Summary'!$P$9:$X$9,0)),"")</f>
        <v/>
      </c>
      <c r="K84" s="31">
        <f t="shared" si="7"/>
        <v>130428.26178044887</v>
      </c>
      <c r="L84" s="34">
        <f>IFERROR(INDEX('R5. ETP17 Summary'!$P$12:$X$20,MATCH(IF($D84="Gas","Natural gas",$D84),'R5. ETP17 Summary'!$O$12:$O$20,0),MATCH(L$48,'R5. ETP17 Summary'!$P$9:$X$9,0)),"")</f>
        <v>137917.28109801293</v>
      </c>
      <c r="M84" s="34">
        <f>IFERROR(INDEX('R5. ETP17 Summary'!$P$12:$X$20,MATCH(IF($D84="Gas","Natural gas",$D84),'R5. ETP17 Summary'!$O$12:$O$20,0),MATCH(M$48,'R5. ETP17 Summary'!$P$9:$X$9,0)),"")</f>
        <v>132421.50137990084</v>
      </c>
      <c r="N84" s="34">
        <f>IFERROR(INDEX('R5. ETP17 Summary'!$P$12:$X$20,MATCH(IF($D84="Gas","Natural gas",$D84),'R5. ETP17 Summary'!$O$12:$O$20,0),MATCH(N$48,'R5. ETP17 Summary'!$P$9:$X$9,0)),"")</f>
        <v>128263.13988867433</v>
      </c>
      <c r="O84" s="34">
        <f>IFERROR(INDEX('R5. ETP17 Summary'!$P$12:$X$20,MATCH(IF($D84="Gas","Natural gas",$D84),'R5. ETP17 Summary'!$O$12:$O$20,0),MATCH(O$48,'R5. ETP17 Summary'!$P$9:$X$9,0)),"")</f>
        <v>119025.19212680159</v>
      </c>
      <c r="P84" s="34">
        <f>IFERROR(INDEX('R5. ETP17 Summary'!$P$12:$X$20,MATCH(IF($D84="Gas","Natural gas",$D84),'R5. ETP17 Summary'!$O$12:$O$20,0),MATCH(P$48,'R5. ETP17 Summary'!$P$9:$X$9,0)),"")</f>
        <v>109298.67364155094</v>
      </c>
      <c r="Q84" s="34">
        <f>IFERROR(INDEX('R5. ETP17 Summary'!$P$12:$X$20,MATCH(IF($D84="Gas","Natural gas",$D84),'R5. ETP17 Summary'!$O$12:$O$20,0),MATCH(Q$48,'R5. ETP17 Summary'!$P$9:$X$9,0)),"")</f>
        <v>100303.98266473763</v>
      </c>
      <c r="R84" s="34">
        <f>IFERROR(INDEX('R5. ETP17 Summary'!$P$12:$X$20,MATCH(IF($D84="Gas","Natural gas",$D84),'R5. ETP17 Summary'!$O$12:$O$20,0),MATCH(R$48,'R5. ETP17 Summary'!$P$9:$X$9,0)),"")</f>
        <v>97401.100895329844</v>
      </c>
      <c r="S84" s="34">
        <f>IFERROR(INDEX('R5. ETP17 Summary'!$P$12:$X$20,MATCH(IF($D84="Gas","Natural gas",$D84),'R5. ETP17 Summary'!$O$12:$O$20,0),MATCH(S$48,'R5. ETP17 Summary'!$P$9:$X$9,0)),"")</f>
        <v>89561.589590119635</v>
      </c>
    </row>
    <row r="85" spans="1:19" x14ac:dyDescent="0.3">
      <c r="A85" s="3" t="s">
        <v>496</v>
      </c>
      <c r="B85" s="3" t="s">
        <v>383</v>
      </c>
      <c r="C85" s="3" t="e">
        <f>INDEX(#REF!,MATCH($B85,#REF!,0))</f>
        <v>#REF!</v>
      </c>
      <c r="D85" s="3" t="s">
        <v>254</v>
      </c>
      <c r="E85" s="3" t="s">
        <v>95</v>
      </c>
      <c r="F85" s="3" t="s">
        <v>482</v>
      </c>
      <c r="G85" s="34">
        <f>IFERROR(INDEX('R5. ETP17 Summary'!$AC$12:$AK$20,MATCH(IF($D85="Gas","Natural gas", $D85),'R5. ETP17 Summary'!$AB$12:$AB$20,0),MATCH(G$48,'R5. ETP17 Summary'!$AC$9:$AK$9,0)),"")</f>
        <v>163853.62994548801</v>
      </c>
      <c r="H85" s="34" t="str">
        <f>IFERROR(INDEX('R5. ETP17 Summary'!$AC$12:$AK$20,MATCH(IF($D85="Gas","Natural gas", $D85),'R5. ETP17 Summary'!$AB$12:$AB$20,0),MATCH(H$48,'R5. ETP17 Summary'!$AC$9:$AK$9,0)),"")</f>
        <v/>
      </c>
      <c r="I85" s="34" t="str">
        <f>IFERROR(INDEX('R5. ETP17 Summary'!$AC$12:$AK$20,MATCH(IF($D85="Gas","Natural gas", $D85),'R5. ETP17 Summary'!$AB$12:$AB$20,0),MATCH(I$48,'R5. ETP17 Summary'!$AC$9:$AK$9,0)),"")</f>
        <v/>
      </c>
      <c r="J85" s="34" t="str">
        <f>IFERROR(INDEX('R5. ETP17 Summary'!$AC$12:$AK$20,MATCH(IF($D85="Gas","Natural gas", $D85),'R5. ETP17 Summary'!$AB$12:$AB$20,0),MATCH(J$48,'R5. ETP17 Summary'!$AC$9:$AK$9,0)),"")</f>
        <v/>
      </c>
      <c r="K85" s="31">
        <f t="shared" si="7"/>
        <v>129347.78387878045</v>
      </c>
      <c r="L85" s="34">
        <f>IFERROR(INDEX('R5. ETP17 Summary'!$AC$12:$AK$20,MATCH(IF($D85="Gas","Natural gas", $D85),'R5. ETP17 Summary'!$AB$12:$AB$20,0),MATCH(L$48,'R5. ETP17 Summary'!$AC$9:$AK$9,0)),"")</f>
        <v>100592.91215652415</v>
      </c>
      <c r="M85" s="34">
        <f>IFERROR(INDEX('R5. ETP17 Summary'!$AC$12:$AK$20,MATCH(IF($D85="Gas","Natural gas", $D85),'R5. ETP17 Summary'!$AB$12:$AB$20,0),MATCH(M$48,'R5. ETP17 Summary'!$AC$9:$AK$9,0)),"")</f>
        <v>74047.871659653523</v>
      </c>
      <c r="N85" s="34">
        <f>IFERROR(INDEX('R5. ETP17 Summary'!$AC$12:$AK$20,MATCH(IF($D85="Gas","Natural gas", $D85),'R5. ETP17 Summary'!$AB$12:$AB$20,0),MATCH(N$48,'R5. ETP17 Summary'!$AC$9:$AK$9,0)),"")</f>
        <v>56319.102197604021</v>
      </c>
      <c r="O85" s="34">
        <f>IFERROR(INDEX('R5. ETP17 Summary'!$AC$12:$AK$20,MATCH(IF($D85="Gas","Natural gas", $D85),'R5. ETP17 Summary'!$AB$12:$AB$20,0),MATCH(O$48,'R5. ETP17 Summary'!$AC$9:$AK$9,0)),"")</f>
        <v>51673.549600324222</v>
      </c>
      <c r="P85" s="34">
        <f>IFERROR(INDEX('R5. ETP17 Summary'!$AC$12:$AK$20,MATCH(IF($D85="Gas","Natural gas", $D85),'R5. ETP17 Summary'!$AB$12:$AB$20,0),MATCH(P$48,'R5. ETP17 Summary'!$AC$9:$AK$9,0)),"")</f>
        <v>51086.141754018259</v>
      </c>
      <c r="Q85" s="34">
        <f>IFERROR(INDEX('R5. ETP17 Summary'!$AC$12:$AK$20,MATCH(IF($D85="Gas","Natural gas", $D85),'R5. ETP17 Summary'!$AB$12:$AB$20,0),MATCH(Q$48,'R5. ETP17 Summary'!$AC$9:$AK$9,0)),"")</f>
        <v>42880.627736086106</v>
      </c>
      <c r="R85" s="34">
        <f>IFERROR(INDEX('R5. ETP17 Summary'!$AC$12:$AK$20,MATCH(IF($D85="Gas","Natural gas", $D85),'R5. ETP17 Summary'!$AB$12:$AB$20,0),MATCH(R$48,'R5. ETP17 Summary'!$AC$9:$AK$9,0)),"")</f>
        <v>38938.509464950039</v>
      </c>
      <c r="S85" s="34">
        <f>IFERROR(INDEX('R5. ETP17 Summary'!$AC$12:$AK$20,MATCH(IF($D85="Gas","Natural gas", $D85),'R5. ETP17 Summary'!$AB$12:$AB$20,0),MATCH(S$48,'R5. ETP17 Summary'!$AC$9:$AK$9,0)),"")</f>
        <v>35428.147196183352</v>
      </c>
    </row>
    <row r="86" spans="1:19" x14ac:dyDescent="0.3">
      <c r="A86" s="3" t="s">
        <v>496</v>
      </c>
      <c r="B86" s="3" t="s">
        <v>383</v>
      </c>
      <c r="C86" s="3" t="e">
        <f>INDEX(#REF!,MATCH($B86,#REF!,0))</f>
        <v>#REF!</v>
      </c>
      <c r="D86" s="3" t="s">
        <v>266</v>
      </c>
      <c r="E86" s="3" t="s">
        <v>95</v>
      </c>
      <c r="F86" s="3" t="s">
        <v>482</v>
      </c>
      <c r="G86" s="34">
        <f>IFERROR(INDEX('R5. ETP17 Summary'!$AC$12:$AK$20,MATCH(IF($D86="Gas","Natural gas", $D86),'R5. ETP17 Summary'!$AB$12:$AB$20,0),MATCH(G$48,'R5. ETP17 Summary'!$AC$9:$AK$9,0)),"")</f>
        <v>179603.77400539213</v>
      </c>
      <c r="H86" s="34" t="str">
        <f>IFERROR(INDEX('R5. ETP17 Summary'!$AC$12:$AK$20,MATCH(IF($D86="Gas","Natural gas", $D86),'R5. ETP17 Summary'!$AB$12:$AB$20,0),MATCH(H$48,'R5. ETP17 Summary'!$AC$9:$AK$9,0)),"")</f>
        <v/>
      </c>
      <c r="I86" s="34" t="str">
        <f>IFERROR(INDEX('R5. ETP17 Summary'!$AC$12:$AK$20,MATCH(IF($D86="Gas","Natural gas", $D86),'R5. ETP17 Summary'!$AB$12:$AB$20,0),MATCH(I$48,'R5. ETP17 Summary'!$AC$9:$AK$9,0)),"")</f>
        <v/>
      </c>
      <c r="J86" s="34" t="str">
        <f>IFERROR(INDEX('R5. ETP17 Summary'!$AC$12:$AK$20,MATCH(IF($D86="Gas","Natural gas", $D86),'R5. ETP17 Summary'!$AB$12:$AB$20,0),MATCH(J$48,'R5. ETP17 Summary'!$AC$9:$AK$9,0)),"")</f>
        <v/>
      </c>
      <c r="K86" s="31">
        <f t="shared" si="7"/>
        <v>167877.1821745481</v>
      </c>
      <c r="L86" s="34">
        <f>IFERROR(INDEX('R5. ETP17 Summary'!$AC$12:$AK$20,MATCH(IF($D86="Gas","Natural gas", $D86),'R5. ETP17 Summary'!$AB$12:$AB$20,0),MATCH(L$48,'R5. ETP17 Summary'!$AC$9:$AK$9,0)),"")</f>
        <v>158105.02231551139</v>
      </c>
      <c r="M86" s="34">
        <f>IFERROR(INDEX('R5. ETP17 Summary'!$AC$12:$AK$20,MATCH(IF($D86="Gas","Natural gas", $D86),'R5. ETP17 Summary'!$AB$12:$AB$20,0),MATCH(M$48,'R5. ETP17 Summary'!$AC$9:$AK$9,0)),"")</f>
        <v>141923.54122999078</v>
      </c>
      <c r="N86" s="34">
        <f>IFERROR(INDEX('R5. ETP17 Summary'!$AC$12:$AK$20,MATCH(IF($D86="Gas","Natural gas", $D86),'R5. ETP17 Summary'!$AB$12:$AB$20,0),MATCH(N$48,'R5. ETP17 Summary'!$AC$9:$AK$9,0)),"")</f>
        <v>125338.67337585498</v>
      </c>
      <c r="O86" s="34">
        <f>IFERROR(INDEX('R5. ETP17 Summary'!$AC$12:$AK$20,MATCH(IF($D86="Gas","Natural gas", $D86),'R5. ETP17 Summary'!$AB$12:$AB$20,0),MATCH(O$48,'R5. ETP17 Summary'!$AC$9:$AK$9,0)),"")</f>
        <v>109319.17110454802</v>
      </c>
      <c r="P86" s="34">
        <f>IFERROR(INDEX('R5. ETP17 Summary'!$AC$12:$AK$20,MATCH(IF($D86="Gas","Natural gas", $D86),'R5. ETP17 Summary'!$AB$12:$AB$20,0),MATCH(P$48,'R5. ETP17 Summary'!$AC$9:$AK$9,0)),"")</f>
        <v>93987.574485020843</v>
      </c>
      <c r="Q86" s="34">
        <f>IFERROR(INDEX('R5. ETP17 Summary'!$AC$12:$AK$20,MATCH(IF($D86="Gas","Natural gas", $D86),'R5. ETP17 Summary'!$AB$12:$AB$20,0),MATCH(Q$48,'R5. ETP17 Summary'!$AC$9:$AK$9,0)),"")</f>
        <v>81562.191605361179</v>
      </c>
      <c r="R86" s="34">
        <f>IFERROR(INDEX('R5. ETP17 Summary'!$AC$12:$AK$20,MATCH(IF($D86="Gas","Natural gas", $D86),'R5. ETP17 Summary'!$AB$12:$AB$20,0),MATCH(R$48,'R5. ETP17 Summary'!$AC$9:$AK$9,0)),"")</f>
        <v>70989.837818774467</v>
      </c>
      <c r="S86" s="34">
        <f>IFERROR(INDEX('R5. ETP17 Summary'!$AC$12:$AK$20,MATCH(IF($D86="Gas","Natural gas", $D86),'R5. ETP17 Summary'!$AB$12:$AB$20,0),MATCH(S$48,'R5. ETP17 Summary'!$AC$9:$AK$9,0)),"")</f>
        <v>64391.321490216127</v>
      </c>
    </row>
    <row r="87" spans="1:19" x14ac:dyDescent="0.3">
      <c r="A87" s="39" t="s">
        <v>496</v>
      </c>
      <c r="B87" s="39" t="s">
        <v>383</v>
      </c>
      <c r="C87" s="39" t="e">
        <f>INDEX(#REF!,MATCH($B87,#REF!,0))</f>
        <v>#REF!</v>
      </c>
      <c r="D87" s="39" t="s">
        <v>255</v>
      </c>
      <c r="E87" s="39" t="s">
        <v>95</v>
      </c>
      <c r="F87" s="39" t="s">
        <v>482</v>
      </c>
      <c r="G87" s="52">
        <f>IFERROR(INDEX('R5. ETP17 Summary'!$AC$12:$AK$20,MATCH(IF($D87="Gas","Natural gas", $D87),'R5. ETP17 Summary'!$AB$12:$AB$20,0),MATCH(G$48,'R5. ETP17 Summary'!$AC$9:$AK$9,0)),"")</f>
        <v>121441.43859937201</v>
      </c>
      <c r="H87" s="52" t="str">
        <f>IFERROR(INDEX('R5. ETP17 Summary'!$AC$12:$AK$20,MATCH(IF($D87="Gas","Natural gas", $D87),'R5. ETP17 Summary'!$AB$12:$AB$20,0),MATCH(H$48,'R5. ETP17 Summary'!$AC$9:$AK$9,0)),"")</f>
        <v/>
      </c>
      <c r="I87" s="52" t="str">
        <f>IFERROR(INDEX('R5. ETP17 Summary'!$AC$12:$AK$20,MATCH(IF($D87="Gas","Natural gas", $D87),'R5. ETP17 Summary'!$AB$12:$AB$20,0),MATCH(I$48,'R5. ETP17 Summary'!$AC$9:$AK$9,0)),"")</f>
        <v/>
      </c>
      <c r="J87" s="52" t="str">
        <f>IFERROR(INDEX('R5. ETP17 Summary'!$AC$12:$AK$20,MATCH(IF($D87="Gas","Natural gas", $D87),'R5. ETP17 Summary'!$AB$12:$AB$20,0),MATCH(J$48,'R5. ETP17 Summary'!$AC$9:$AK$9,0)),"")</f>
        <v/>
      </c>
      <c r="K87" s="40">
        <f t="shared" si="7"/>
        <v>128465.26025391271</v>
      </c>
      <c r="L87" s="52">
        <f>IFERROR(INDEX('R5. ETP17 Summary'!$AC$12:$AK$20,MATCH(IF($D87="Gas","Natural gas", $D87),'R5. ETP17 Summary'!$AB$12:$AB$20,0),MATCH(L$48,'R5. ETP17 Summary'!$AC$9:$AK$9,0)),"")</f>
        <v>134318.44496602996</v>
      </c>
      <c r="M87" s="52">
        <f>IFERROR(INDEX('R5. ETP17 Summary'!$AC$12:$AK$20,MATCH(IF($D87="Gas","Natural gas", $D87),'R5. ETP17 Summary'!$AB$12:$AB$20,0),MATCH(M$48,'R5. ETP17 Summary'!$AC$9:$AK$9,0)),"")</f>
        <v>128627.8786968661</v>
      </c>
      <c r="N87" s="52">
        <f>IFERROR(INDEX('R5. ETP17 Summary'!$AC$12:$AK$20,MATCH(IF($D87="Gas","Natural gas", $D87),'R5. ETP17 Summary'!$AB$12:$AB$20,0),MATCH(N$48,'R5. ETP17 Summary'!$AC$9:$AK$9,0)),"")</f>
        <v>120507.11710280113</v>
      </c>
      <c r="O87" s="52">
        <f>IFERROR(INDEX('R5. ETP17 Summary'!$AC$12:$AK$20,MATCH(IF($D87="Gas","Natural gas", $D87),'R5. ETP17 Summary'!$AB$12:$AB$20,0),MATCH(O$48,'R5. ETP17 Summary'!$AC$9:$AK$9,0)),"")</f>
        <v>100352.11282422053</v>
      </c>
      <c r="P87" s="52">
        <f>IFERROR(INDEX('R5. ETP17 Summary'!$AC$12:$AK$20,MATCH(IF($D87="Gas","Natural gas", $D87),'R5. ETP17 Summary'!$AB$12:$AB$20,0),MATCH(P$48,'R5. ETP17 Summary'!$AC$9:$AK$9,0)),"")</f>
        <v>78747.799000076426</v>
      </c>
      <c r="Q87" s="52">
        <f>IFERROR(INDEX('R5. ETP17 Summary'!$AC$12:$AK$20,MATCH(IF($D87="Gas","Natural gas", $D87),'R5. ETP17 Summary'!$AB$12:$AB$20,0),MATCH(Q$48,'R5. ETP17 Summary'!$AC$9:$AK$9,0)),"")</f>
        <v>67299.638095995033</v>
      </c>
      <c r="R87" s="52">
        <f>IFERROR(INDEX('R5. ETP17 Summary'!$AC$12:$AK$20,MATCH(IF($D87="Gas","Natural gas", $D87),'R5. ETP17 Summary'!$AB$12:$AB$20,0),MATCH(R$48,'R5. ETP17 Summary'!$AC$9:$AK$9,0)),"")</f>
        <v>62067.742133347179</v>
      </c>
      <c r="S87" s="52">
        <f>IFERROR(INDEX('R5. ETP17 Summary'!$AC$12:$AK$20,MATCH(IF($D87="Gas","Natural gas", $D87),'R5. ETP17 Summary'!$AB$12:$AB$20,0),MATCH(S$48,'R5. ETP17 Summary'!$AC$9:$AK$9,0)),"")</f>
        <v>63828.817854314097</v>
      </c>
    </row>
    <row r="88" spans="1:19" x14ac:dyDescent="0.3">
      <c r="A88" s="3" t="s">
        <v>497</v>
      </c>
      <c r="B88" s="3" t="s">
        <v>384</v>
      </c>
      <c r="C88" s="3" t="e">
        <f>INDEX(#REF!,MATCH($B88,#REF!,0))</f>
        <v>#REF!</v>
      </c>
      <c r="D88" s="3" t="s">
        <v>254</v>
      </c>
      <c r="E88" s="3" t="s">
        <v>95</v>
      </c>
      <c r="F88" s="3" t="s">
        <v>486</v>
      </c>
      <c r="G88" s="34" t="str">
        <f>IFERROR(INDEX('R6. Sky Summary'!$C$67:$AA$80,MATCH(IF($D88="Gas","Natural gas",$D88),'R6. Sky Summary'!$B$67:$B$80,0),MATCH(G$48,'R6. Sky Summary'!$C$9:$AA$9,0)),"")</f>
        <v/>
      </c>
      <c r="H88" s="34">
        <f>IFERROR(INDEX('R6. Sky Summary'!$C$67:$AA$80,MATCH(IF($D88="Gas","Natural gas",$D88),'R6. Sky Summary'!$B$67:$B$80,0),MATCH(H$48,'R6. Sky Summary'!$C$9:$AA$9,0)),"")</f>
        <v>160.88654239427973</v>
      </c>
      <c r="I88" s="34" t="str">
        <f>IFERROR(INDEX('R6. Sky Summary'!$C$67:$AA$80,MATCH(IF($D88="Gas","Natural gas",$D88),'R6. Sky Summary'!$B$67:$B$80,0),MATCH(I$48,'R6. Sky Summary'!$C$9:$AA$9,0)),"")</f>
        <v/>
      </c>
      <c r="J88" s="34" t="str">
        <f>IFERROR(INDEX('R6. Sky Summary'!$C$67:$AA$80,MATCH(IF($D88="Gas","Natural gas",$D88),'R6. Sky Summary'!$B$67:$B$80,0),MATCH(J$48,'R6. Sky Summary'!$C$9:$AA$9,0)),"")</f>
        <v/>
      </c>
      <c r="K88" s="34">
        <f>IFERROR(INDEX('R6. Sky Summary'!$C$67:$AA$80,MATCH(IF($D88="Gas","Natural gas",$D88),'R6. Sky Summary'!$B$67:$B$80,0),MATCH(K$48,'R6. Sky Summary'!$C$9:$AA$9,0)),"")</f>
        <v>157.38733929015748</v>
      </c>
      <c r="L88" s="34">
        <f>IFERROR(INDEX('R6. Sky Summary'!$C$67:$AA$80,MATCH(IF($D88="Gas","Natural gas",$D88),'R6. Sky Summary'!$B$67:$B$80,0),MATCH(L$48,'R6. Sky Summary'!$C$9:$AA$9,0)),"")</f>
        <v>159.46297498326544</v>
      </c>
      <c r="M88" s="34">
        <f>IFERROR(INDEX('R6. Sky Summary'!$C$67:$AA$80,MATCH(IF($D88="Gas","Natural gas",$D88),'R6. Sky Summary'!$B$67:$B$80,0),MATCH(M$48,'R6. Sky Summary'!$C$9:$AA$9,0)),"")</f>
        <v>154.40034866234001</v>
      </c>
      <c r="N88" s="34">
        <f>IFERROR(INDEX('R6. Sky Summary'!$C$67:$AA$80,MATCH(IF($D88="Gas","Natural gas",$D88),'R6. Sky Summary'!$B$67:$B$80,0),MATCH(N$48,'R6. Sky Summary'!$C$9:$AA$9,0)),"")</f>
        <v>144.9824153000441</v>
      </c>
      <c r="O88" s="34">
        <f>IFERROR(INDEX('R6. Sky Summary'!$C$67:$AA$80,MATCH(IF($D88="Gas","Natural gas",$D88),'R6. Sky Summary'!$B$67:$B$80,0),MATCH(O$48,'R6. Sky Summary'!$C$9:$AA$9,0)),"")</f>
        <v>129.85228687079737</v>
      </c>
      <c r="P88" s="34">
        <f>IFERROR(INDEX('R6. Sky Summary'!$C$67:$AA$80,MATCH(IF($D88="Gas","Natural gas",$D88),'R6. Sky Summary'!$B$67:$B$80,0),MATCH(P$48,'R6. Sky Summary'!$C$9:$AA$9,0)),"")</f>
        <v>113.37627736803422</v>
      </c>
      <c r="Q88" s="34">
        <f>IFERROR(INDEX('R6. Sky Summary'!$C$67:$AA$80,MATCH(IF($D88="Gas","Natural gas",$D88),'R6. Sky Summary'!$B$67:$B$80,0),MATCH(Q$48,'R6. Sky Summary'!$C$9:$AA$9,0)),"")</f>
        <v>99.745344523724526</v>
      </c>
      <c r="R88" s="34">
        <f>IFERROR(INDEX('R6. Sky Summary'!$C$67:$AA$80,MATCH(IF($D88="Gas","Natural gas",$D88),'R6. Sky Summary'!$B$67:$B$80,0),MATCH(R$48,'R6. Sky Summary'!$C$9:$AA$9,0)),"")</f>
        <v>84.505369304365004</v>
      </c>
      <c r="S88" s="34">
        <f>IFERROR(INDEX('R6. Sky Summary'!$C$67:$AA$80,MATCH(IF($D88="Gas","Natural gas",$D88),'R6. Sky Summary'!$B$67:$B$80,0),MATCH(S$48,'R6. Sky Summary'!$C$9:$AA$9,0)),"")</f>
        <v>73.037442577603613</v>
      </c>
    </row>
    <row r="89" spans="1:19" x14ac:dyDescent="0.3">
      <c r="A89" s="3" t="s">
        <v>497</v>
      </c>
      <c r="B89" s="3" t="s">
        <v>384</v>
      </c>
      <c r="C89" s="3" t="e">
        <f>INDEX(#REF!,MATCH($B89,#REF!,0))</f>
        <v>#REF!</v>
      </c>
      <c r="D89" s="3" t="s">
        <v>266</v>
      </c>
      <c r="E89" s="3" t="s">
        <v>95</v>
      </c>
      <c r="F89" s="3" t="s">
        <v>486</v>
      </c>
      <c r="G89" s="34" t="str">
        <f>IFERROR(INDEX('R6. Sky Summary'!$C$67:$AA$80,MATCH(IF($D89="Gas","Natural gas",$D89),'R6. Sky Summary'!$B$67:$B$80,0),MATCH(G$48,'R6. Sky Summary'!$C$9:$AA$9,0)),"")</f>
        <v/>
      </c>
      <c r="H89" s="34">
        <f>IFERROR(INDEX('R6. Sky Summary'!$C$67:$AA$80,MATCH(IF($D89="Gas","Natural gas",$D89),'R6. Sky Summary'!$B$67:$B$80,0),MATCH(H$48,'R6. Sky Summary'!$C$9:$AA$9,0)),"")</f>
        <v>182.2935195968733</v>
      </c>
      <c r="I89" s="34" t="str">
        <f>IFERROR(INDEX('R6. Sky Summary'!$C$67:$AA$80,MATCH(IF($D89="Gas","Natural gas",$D89),'R6. Sky Summary'!$B$67:$B$80,0),MATCH(I$48,'R6. Sky Summary'!$C$9:$AA$9,0)),"")</f>
        <v/>
      </c>
      <c r="J89" s="34" t="str">
        <f>IFERROR(INDEX('R6. Sky Summary'!$C$67:$AA$80,MATCH(IF($D89="Gas","Natural gas",$D89),'R6. Sky Summary'!$B$67:$B$80,0),MATCH(J$48,'R6. Sky Summary'!$C$9:$AA$9,0)),"")</f>
        <v/>
      </c>
      <c r="K89" s="34">
        <f>IFERROR(INDEX('R6. Sky Summary'!$C$67:$AA$80,MATCH(IF($D89="Gas","Natural gas",$D89),'R6. Sky Summary'!$B$67:$B$80,0),MATCH(K$48,'R6. Sky Summary'!$C$9:$AA$9,0)),"")</f>
        <v>195.69578966569784</v>
      </c>
      <c r="L89" s="34">
        <f>IFERROR(INDEX('R6. Sky Summary'!$C$67:$AA$80,MATCH(IF($D89="Gas","Natural gas",$D89),'R6. Sky Summary'!$B$67:$B$80,0),MATCH(L$48,'R6. Sky Summary'!$C$9:$AA$9,0)),"")</f>
        <v>204.88767300874642</v>
      </c>
      <c r="M89" s="34">
        <f>IFERROR(INDEX('R6. Sky Summary'!$C$67:$AA$80,MATCH(IF($D89="Gas","Natural gas",$D89),'R6. Sky Summary'!$B$67:$B$80,0),MATCH(M$48,'R6. Sky Summary'!$C$9:$AA$9,0)),"")</f>
        <v>196.16907002700958</v>
      </c>
      <c r="N89" s="34">
        <f>IFERROR(INDEX('R6. Sky Summary'!$C$67:$AA$80,MATCH(IF($D89="Gas","Natural gas",$D89),'R6. Sky Summary'!$B$67:$B$80,0),MATCH(N$48,'R6. Sky Summary'!$C$9:$AA$9,0)),"")</f>
        <v>187.63363569902972</v>
      </c>
      <c r="O89" s="34">
        <f>IFERROR(INDEX('R6. Sky Summary'!$C$67:$AA$80,MATCH(IF($D89="Gas","Natural gas",$D89),'R6. Sky Summary'!$B$67:$B$80,0),MATCH(O$48,'R6. Sky Summary'!$C$9:$AA$9,0)),"")</f>
        <v>179.64112383165093</v>
      </c>
      <c r="P89" s="34">
        <f>IFERROR(INDEX('R6. Sky Summary'!$C$67:$AA$80,MATCH(IF($D89="Gas","Natural gas",$D89),'R6. Sky Summary'!$B$67:$B$80,0),MATCH(P$48,'R6. Sky Summary'!$C$9:$AA$9,0)),"")</f>
        <v>170.31119394531831</v>
      </c>
      <c r="Q89" s="34">
        <f>IFERROR(INDEX('R6. Sky Summary'!$C$67:$AA$80,MATCH(IF($D89="Gas","Natural gas",$D89),'R6. Sky Summary'!$B$67:$B$80,0),MATCH(Q$48,'R6. Sky Summary'!$C$9:$AA$9,0)),"")</f>
        <v>159.91401279986701</v>
      </c>
      <c r="R89" s="34">
        <f>IFERROR(INDEX('R6. Sky Summary'!$C$67:$AA$80,MATCH(IF($D89="Gas","Natural gas",$D89),'R6. Sky Summary'!$B$67:$B$80,0),MATCH(R$48,'R6. Sky Summary'!$C$9:$AA$9,0)),"")</f>
        <v>146.50408322174837</v>
      </c>
      <c r="S89" s="34">
        <f>IFERROR(INDEX('R6. Sky Summary'!$C$67:$AA$80,MATCH(IF($D89="Gas","Natural gas",$D89),'R6. Sky Summary'!$B$67:$B$80,0),MATCH(S$48,'R6. Sky Summary'!$C$9:$AA$9,0)),"")</f>
        <v>129.21511972974898</v>
      </c>
    </row>
    <row r="90" spans="1:19" x14ac:dyDescent="0.3">
      <c r="A90" s="3" t="s">
        <v>497</v>
      </c>
      <c r="B90" s="3" t="s">
        <v>384</v>
      </c>
      <c r="C90" s="3" t="e">
        <f>INDEX(#REF!,MATCH($B90,#REF!,0))</f>
        <v>#REF!</v>
      </c>
      <c r="D90" s="3" t="s">
        <v>255</v>
      </c>
      <c r="E90" s="3" t="s">
        <v>95</v>
      </c>
      <c r="F90" s="3" t="s">
        <v>486</v>
      </c>
      <c r="G90" s="34" t="str">
        <f>IFERROR(INDEX('R6. Sky Summary'!$C$67:$AA$80,MATCH(IF($D90="Gas","Natural gas",$D90),'R6. Sky Summary'!$B$67:$B$80,0),MATCH(G$48,'R6. Sky Summary'!$C$9:$AA$9,0)),"")</f>
        <v/>
      </c>
      <c r="H90" s="34">
        <f>IFERROR(INDEX('R6. Sky Summary'!$C$67:$AA$80,MATCH(IF($D90="Gas","Natural gas",$D90),'R6. Sky Summary'!$B$67:$B$80,0),MATCH(H$48,'R6. Sky Summary'!$C$9:$AA$9,0)),"")</f>
        <v>123.75028805907607</v>
      </c>
      <c r="I90" s="34" t="str">
        <f>IFERROR(INDEX('R6. Sky Summary'!$C$67:$AA$80,MATCH(IF($D90="Gas","Natural gas",$D90),'R6. Sky Summary'!$B$67:$B$80,0),MATCH(I$48,'R6. Sky Summary'!$C$9:$AA$9,0)),"")</f>
        <v/>
      </c>
      <c r="J90" s="34" t="str">
        <f>IFERROR(INDEX('R6. Sky Summary'!$C$67:$AA$80,MATCH(IF($D90="Gas","Natural gas",$D90),'R6. Sky Summary'!$B$67:$B$80,0),MATCH(J$48,'R6. Sky Summary'!$C$9:$AA$9,0)),"")</f>
        <v/>
      </c>
      <c r="K90" s="34">
        <f>IFERROR(INDEX('R6. Sky Summary'!$C$67:$AA$80,MATCH(IF($D90="Gas","Natural gas",$D90),'R6. Sky Summary'!$B$67:$B$80,0),MATCH(K$48,'R6. Sky Summary'!$C$9:$AA$9,0)),"")</f>
        <v>136.79367482536392</v>
      </c>
      <c r="L90" s="34">
        <f>IFERROR(INDEX('R6. Sky Summary'!$C$67:$AA$80,MATCH(IF($D90="Gas","Natural gas",$D90),'R6. Sky Summary'!$B$67:$B$80,0),MATCH(L$48,'R6. Sky Summary'!$C$9:$AA$9,0)),"")</f>
        <v>151.60539065069904</v>
      </c>
      <c r="M90" s="34">
        <f>IFERROR(INDEX('R6. Sky Summary'!$C$67:$AA$80,MATCH(IF($D90="Gas","Natural gas",$D90),'R6. Sky Summary'!$B$67:$B$80,0),MATCH(M$48,'R6. Sky Summary'!$C$9:$AA$9,0)),"")</f>
        <v>158.26005276285613</v>
      </c>
      <c r="N90" s="34">
        <f>IFERROR(INDEX('R6. Sky Summary'!$C$67:$AA$80,MATCH(IF($D90="Gas","Natural gas",$D90),'R6. Sky Summary'!$B$67:$B$80,0),MATCH(N$48,'R6. Sky Summary'!$C$9:$AA$9,0)),"")</f>
        <v>158.54256294734805</v>
      </c>
      <c r="O90" s="34">
        <f>IFERROR(INDEX('R6. Sky Summary'!$C$67:$AA$80,MATCH(IF($D90="Gas","Natural gas",$D90),'R6. Sky Summary'!$B$67:$B$80,0),MATCH(O$48,'R6. Sky Summary'!$C$9:$AA$9,0)),"")</f>
        <v>150.75192480446057</v>
      </c>
      <c r="P90" s="34">
        <f>IFERROR(INDEX('R6. Sky Summary'!$C$67:$AA$80,MATCH(IF($D90="Gas","Natural gas",$D90),'R6. Sky Summary'!$B$67:$B$80,0),MATCH(P$48,'R6. Sky Summary'!$C$9:$AA$9,0)),"")</f>
        <v>135.38157717177245</v>
      </c>
      <c r="Q90" s="34">
        <f>IFERROR(INDEX('R6. Sky Summary'!$C$67:$AA$80,MATCH(IF($D90="Gas","Natural gas",$D90),'R6. Sky Summary'!$B$67:$B$80,0),MATCH(Q$48,'R6. Sky Summary'!$C$9:$AA$9,0)),"")</f>
        <v>115.03896303997654</v>
      </c>
      <c r="R90" s="34">
        <f>IFERROR(INDEX('R6. Sky Summary'!$C$67:$AA$80,MATCH(IF($D90="Gas","Natural gas",$D90),'R6. Sky Summary'!$B$67:$B$80,0),MATCH(R$48,'R6. Sky Summary'!$C$9:$AA$9,0)),"")</f>
        <v>95.038687658102404</v>
      </c>
      <c r="S90" s="34">
        <f>IFERROR(INDEX('R6. Sky Summary'!$C$67:$AA$80,MATCH(IF($D90="Gas","Natural gas",$D90),'R6. Sky Summary'!$B$67:$B$80,0),MATCH(S$48,'R6. Sky Summary'!$C$9:$AA$9,0)),"")</f>
        <v>76.695684610420699</v>
      </c>
    </row>
  </sheetData>
  <conditionalFormatting sqref="M75:O76 D64:K66 D74:K76 D77:O78 A91:XFD1048576 A48:A90 C50:C90 M64:S66 D67:S73 M74:S74 P75:S78 V48:XFD90 C48:S49 D50:S63 D79:S90 A1:XFD47">
    <cfRule type="expression" dxfId="83" priority="1">
      <formula>_xlfn.ISFORMULA(A1)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4C9BB-A753-42CB-9A9A-6F4E0E23CD73}">
  <sheetPr>
    <tabColor theme="5" tint="0.39997558519241921"/>
    <pageSetUpPr autoPageBreaks="0"/>
  </sheetPr>
  <dimension ref="A1:AB207"/>
  <sheetViews>
    <sheetView workbookViewId="0"/>
  </sheetViews>
  <sheetFormatPr defaultColWidth="15.77734375" defaultRowHeight="14.4" x14ac:dyDescent="0.3"/>
  <cols>
    <col min="1" max="2" width="15.77734375" style="3" customWidth="1"/>
    <col min="3" max="15" width="12.77734375" style="3" customWidth="1"/>
    <col min="16" max="16" width="15.77734375" style="3" customWidth="1"/>
    <col min="17" max="16384" width="15.77734375" style="3"/>
  </cols>
  <sheetData>
    <row r="1" spans="1:17" s="13" customFormat="1" ht="36.6" x14ac:dyDescent="0.7">
      <c r="A1" s="13" t="s">
        <v>498</v>
      </c>
    </row>
    <row r="2" spans="1:17" s="5" customFormat="1" x14ac:dyDescent="0.3">
      <c r="A2" s="5" t="s">
        <v>5</v>
      </c>
      <c r="B2" s="5" t="s">
        <v>499</v>
      </c>
    </row>
    <row r="3" spans="1:17" s="5" customFormat="1" x14ac:dyDescent="0.3">
      <c r="A3" s="5" t="s">
        <v>6</v>
      </c>
      <c r="B3" s="5" t="s">
        <v>500</v>
      </c>
    </row>
    <row r="4" spans="1:17" s="5" customFormat="1" x14ac:dyDescent="0.3">
      <c r="A4" s="5" t="s">
        <v>4</v>
      </c>
      <c r="B4" s="5" t="s">
        <v>476</v>
      </c>
    </row>
    <row r="5" spans="1:17" s="5" customFormat="1" x14ac:dyDescent="0.3">
      <c r="A5" s="5" t="s">
        <v>2</v>
      </c>
      <c r="B5" s="5" t="s">
        <v>501</v>
      </c>
    </row>
    <row r="6" spans="1:17" s="5" customFormat="1" x14ac:dyDescent="0.3">
      <c r="A6" s="5" t="s">
        <v>478</v>
      </c>
      <c r="B6" s="5" t="s">
        <v>81</v>
      </c>
    </row>
    <row r="7" spans="1:17" ht="15" thickBot="1" x14ac:dyDescent="0.35"/>
    <row r="8" spans="1:17" s="15" customFormat="1" ht="15" thickBot="1" x14ac:dyDescent="0.35">
      <c r="A8" s="15" t="s">
        <v>487</v>
      </c>
    </row>
    <row r="9" spans="1:17" x14ac:dyDescent="0.3">
      <c r="A9" s="3" t="s">
        <v>8</v>
      </c>
      <c r="B9" s="3" t="s">
        <v>86</v>
      </c>
      <c r="C9" s="3" t="s">
        <v>252</v>
      </c>
      <c r="D9" s="3" t="s">
        <v>430</v>
      </c>
      <c r="E9" s="3">
        <v>2014</v>
      </c>
      <c r="F9" s="3">
        <v>2015</v>
      </c>
      <c r="G9" s="3">
        <v>2016</v>
      </c>
      <c r="H9" s="3">
        <v>2017</v>
      </c>
      <c r="I9" s="3">
        <v>2020</v>
      </c>
      <c r="J9" s="3">
        <v>2025</v>
      </c>
      <c r="K9" s="3">
        <v>2030</v>
      </c>
      <c r="L9" s="3">
        <v>2035</v>
      </c>
      <c r="M9" s="3">
        <v>2040</v>
      </c>
      <c r="N9" s="3">
        <v>2045</v>
      </c>
      <c r="O9" s="3">
        <v>2050</v>
      </c>
      <c r="P9" s="3">
        <v>2055</v>
      </c>
      <c r="Q9" s="3">
        <v>2060</v>
      </c>
    </row>
    <row r="10" spans="1:17" x14ac:dyDescent="0.3">
      <c r="A10" s="3" t="s">
        <v>368</v>
      </c>
      <c r="B10" s="3" t="str">
        <f>INDEX('R1. Scenario specifications'!$C$11:$C$59,MATCH($A10,'R1. Scenario specifications'!$A$11:$A$59,0))</f>
        <v>Current Policies Scenario, World Energy Outlook 2018</v>
      </c>
      <c r="C10" s="3" t="s">
        <v>254</v>
      </c>
      <c r="D10" s="3" t="s">
        <v>431</v>
      </c>
      <c r="E10" s="34" t="str">
        <f>IF(SUMIFS(G$94:G$207,$B$94:$B$207,$A10)=0,"",SUMIFS(G$94:G$207,$B$94:$B$207,$A10,$D$94:$D$207,$C10)/10^3)</f>
        <v/>
      </c>
      <c r="F10" s="34" t="str">
        <f t="shared" ref="F10:Q25" si="0">IF(SUMIFS(H$94:H$207,$B$94:$B$207,$A10)=0,"",SUMIFS(H$94:H$207,$B$94:$B$207,$A10,$D$94:$D$207,$C10)/10^3)</f>
        <v/>
      </c>
      <c r="G10" s="34">
        <f t="shared" si="0"/>
        <v>2.0249999999999999</v>
      </c>
      <c r="H10" s="34">
        <f t="shared" si="0"/>
        <v>2.0670000000000002</v>
      </c>
      <c r="I10" s="34">
        <f t="shared" si="0"/>
        <v>2.1240000000000001</v>
      </c>
      <c r="J10" s="34">
        <f t="shared" si="0"/>
        <v>2.2189999999999999</v>
      </c>
      <c r="K10" s="34">
        <f t="shared" si="0"/>
        <v>2.3479999999999999</v>
      </c>
      <c r="L10" s="34">
        <f t="shared" si="0"/>
        <v>2.5179999999999998</v>
      </c>
      <c r="M10" s="34">
        <f t="shared" si="0"/>
        <v>2.6930000000000001</v>
      </c>
      <c r="N10" s="34">
        <f t="shared" si="0"/>
        <v>2.8679999999999999</v>
      </c>
      <c r="O10" s="34">
        <f t="shared" si="0"/>
        <v>3.0430000000000001</v>
      </c>
      <c r="P10" s="34">
        <f t="shared" si="0"/>
        <v>3.218</v>
      </c>
      <c r="Q10" s="34">
        <f t="shared" si="0"/>
        <v>3.3929999999999998</v>
      </c>
    </row>
    <row r="11" spans="1:17" x14ac:dyDescent="0.3">
      <c r="A11" s="3" t="s">
        <v>368</v>
      </c>
      <c r="B11" s="3" t="str">
        <f>INDEX('R1. Scenario specifications'!$C$11:$C$59,MATCH($A11,'R1. Scenario specifications'!$A$11:$A$59,0))</f>
        <v>Current Policies Scenario, World Energy Outlook 2018</v>
      </c>
      <c r="C11" s="3" t="s">
        <v>266</v>
      </c>
      <c r="D11" s="3" t="s">
        <v>431</v>
      </c>
      <c r="E11" s="34" t="str">
        <f t="shared" ref="E11:Q44" si="1">IF(SUMIFS(G$94:G$207,$B$94:$B$207,$A11)=0,"",SUMIFS(G$94:G$207,$B$94:$B$207,$A11,$D$94:$D$207,$C11)/10^3)</f>
        <v/>
      </c>
      <c r="F11" s="34" t="str">
        <f t="shared" si="0"/>
        <v/>
      </c>
      <c r="G11" s="34">
        <f t="shared" si="0"/>
        <v>0.44600000000000001</v>
      </c>
      <c r="H11" s="34">
        <f t="shared" si="0"/>
        <v>0.44700000000000001</v>
      </c>
      <c r="I11" s="34">
        <f t="shared" si="0"/>
        <v>0.41175</v>
      </c>
      <c r="J11" s="34">
        <f t="shared" si="0"/>
        <v>0.35299999999999998</v>
      </c>
      <c r="K11" s="34">
        <f t="shared" si="0"/>
        <v>0.314</v>
      </c>
      <c r="L11" s="34">
        <f t="shared" si="0"/>
        <v>0.28799999999999998</v>
      </c>
      <c r="M11" s="34">
        <f t="shared" si="0"/>
        <v>0.26400000000000001</v>
      </c>
      <c r="N11" s="34">
        <f t="shared" si="0"/>
        <v>0.24</v>
      </c>
      <c r="O11" s="34">
        <f t="shared" si="0"/>
        <v>0.216</v>
      </c>
      <c r="P11" s="34">
        <f t="shared" si="0"/>
        <v>0.192</v>
      </c>
      <c r="Q11" s="34">
        <f t="shared" si="0"/>
        <v>0.16800000000000001</v>
      </c>
    </row>
    <row r="12" spans="1:17" x14ac:dyDescent="0.3">
      <c r="A12" s="3" t="s">
        <v>368</v>
      </c>
      <c r="B12" s="3" t="str">
        <f>INDEX('R1. Scenario specifications'!$C$11:$C$59,MATCH($A12,'R1. Scenario specifications'!$A$11:$A$59,0))</f>
        <v>Current Policies Scenario, World Energy Outlook 2018</v>
      </c>
      <c r="C12" s="3" t="s">
        <v>255</v>
      </c>
      <c r="D12" s="3" t="s">
        <v>431</v>
      </c>
      <c r="E12" s="34" t="str">
        <f t="shared" si="1"/>
        <v/>
      </c>
      <c r="F12" s="34" t="str">
        <f t="shared" si="0"/>
        <v/>
      </c>
      <c r="G12" s="34">
        <f t="shared" si="0"/>
        <v>1.6439999999999999</v>
      </c>
      <c r="H12" s="34">
        <f t="shared" si="0"/>
        <v>1.6950000000000001</v>
      </c>
      <c r="I12" s="34">
        <f t="shared" si="0"/>
        <v>1.8671249999999999</v>
      </c>
      <c r="J12" s="34">
        <f t="shared" si="0"/>
        <v>2.1539999999999999</v>
      </c>
      <c r="K12" s="34">
        <f t="shared" si="0"/>
        <v>2.415</v>
      </c>
      <c r="L12" s="34">
        <f t="shared" si="0"/>
        <v>2.6840000000000002</v>
      </c>
      <c r="M12" s="34">
        <f t="shared" si="0"/>
        <v>2.93</v>
      </c>
      <c r="N12" s="34">
        <f t="shared" si="0"/>
        <v>3.1760000000000002</v>
      </c>
      <c r="O12" s="34">
        <f t="shared" si="0"/>
        <v>3.4220000000000002</v>
      </c>
      <c r="P12" s="34">
        <f t="shared" si="0"/>
        <v>3.6680000000000001</v>
      </c>
      <c r="Q12" s="34">
        <f t="shared" si="0"/>
        <v>3.9140000000000001</v>
      </c>
    </row>
    <row r="13" spans="1:17" x14ac:dyDescent="0.3">
      <c r="A13" s="3" t="s">
        <v>368</v>
      </c>
      <c r="B13" s="3" t="str">
        <f>INDEX('R1. Scenario specifications'!$C$11:$C$59,MATCH($A13,'R1. Scenario specifications'!$A$11:$A$59,0))</f>
        <v>Current Policies Scenario, World Energy Outlook 2018</v>
      </c>
      <c r="C13" s="3" t="s">
        <v>257</v>
      </c>
      <c r="D13" s="3" t="s">
        <v>431</v>
      </c>
      <c r="E13" s="34" t="str">
        <f t="shared" si="1"/>
        <v/>
      </c>
      <c r="F13" s="34" t="str">
        <f t="shared" si="0"/>
        <v/>
      </c>
      <c r="G13" s="34">
        <f t="shared" si="0"/>
        <v>0.41399999999999998</v>
      </c>
      <c r="H13" s="34">
        <f t="shared" si="0"/>
        <v>0.41199999999999998</v>
      </c>
      <c r="I13" s="34">
        <f t="shared" si="0"/>
        <v>0.42475000000000002</v>
      </c>
      <c r="J13" s="34">
        <f t="shared" si="0"/>
        <v>0.44600000000000001</v>
      </c>
      <c r="K13" s="34">
        <f t="shared" si="0"/>
        <v>0.45900000000000002</v>
      </c>
      <c r="L13" s="34">
        <f t="shared" si="0"/>
        <v>0.47299999999999998</v>
      </c>
      <c r="M13" s="34">
        <f t="shared" si="0"/>
        <v>0.498</v>
      </c>
      <c r="N13" s="34">
        <f t="shared" si="0"/>
        <v>0.52300000000000002</v>
      </c>
      <c r="O13" s="34">
        <f t="shared" si="0"/>
        <v>0.54800000000000004</v>
      </c>
      <c r="P13" s="34">
        <f t="shared" si="0"/>
        <v>0.57299999999999995</v>
      </c>
      <c r="Q13" s="34">
        <f t="shared" si="0"/>
        <v>0.59799999999999998</v>
      </c>
    </row>
    <row r="14" spans="1:17" x14ac:dyDescent="0.3">
      <c r="A14" s="3" t="s">
        <v>368</v>
      </c>
      <c r="B14" s="3" t="str">
        <f>INDEX('R1. Scenario specifications'!$C$11:$C$59,MATCH($A14,'R1. Scenario specifications'!$A$11:$A$59,0))</f>
        <v>Current Policies Scenario, World Energy Outlook 2018</v>
      </c>
      <c r="C14" s="3" t="s">
        <v>256</v>
      </c>
      <c r="D14" s="3" t="s">
        <v>431</v>
      </c>
      <c r="E14" s="34" t="str">
        <f t="shared" si="1"/>
        <v/>
      </c>
      <c r="F14" s="34" t="str">
        <f t="shared" si="0"/>
        <v/>
      </c>
      <c r="G14" s="34">
        <f t="shared" si="0"/>
        <v>1.244</v>
      </c>
      <c r="H14" s="34">
        <f t="shared" si="0"/>
        <v>1.27</v>
      </c>
      <c r="I14" s="34">
        <f t="shared" si="0"/>
        <v>1.3382499999999999</v>
      </c>
      <c r="J14" s="34">
        <f t="shared" si="0"/>
        <v>1.452</v>
      </c>
      <c r="K14" s="34">
        <f t="shared" si="0"/>
        <v>1.5649999999999999</v>
      </c>
      <c r="L14" s="34">
        <f t="shared" si="0"/>
        <v>1.669</v>
      </c>
      <c r="M14" s="34">
        <f t="shared" si="0"/>
        <v>1.7689999999999999</v>
      </c>
      <c r="N14" s="34">
        <f t="shared" si="0"/>
        <v>1.869</v>
      </c>
      <c r="O14" s="34">
        <f t="shared" si="0"/>
        <v>1.9690000000000001</v>
      </c>
      <c r="P14" s="34">
        <f t="shared" si="0"/>
        <v>2.069</v>
      </c>
      <c r="Q14" s="34">
        <f t="shared" si="0"/>
        <v>2.169</v>
      </c>
    </row>
    <row r="15" spans="1:17" x14ac:dyDescent="0.3">
      <c r="A15" s="3" t="s">
        <v>368</v>
      </c>
      <c r="B15" s="3" t="str">
        <f>INDEX('R1. Scenario specifications'!$C$11:$C$59,MATCH($A15,'R1. Scenario specifications'!$A$11:$A$59,0))</f>
        <v>Current Policies Scenario, World Energy Outlook 2018</v>
      </c>
      <c r="C15" s="3" t="s">
        <v>253</v>
      </c>
      <c r="D15" s="3" t="s">
        <v>431</v>
      </c>
      <c r="E15" s="34" t="str">
        <f t="shared" si="1"/>
        <v/>
      </c>
      <c r="F15" s="34" t="str">
        <f t="shared" si="0"/>
        <v/>
      </c>
      <c r="G15" s="34">
        <f t="shared" si="0"/>
        <v>0.129</v>
      </c>
      <c r="H15" s="34">
        <f t="shared" si="0"/>
        <v>0.13600000000000001</v>
      </c>
      <c r="I15" s="34">
        <f t="shared" si="0"/>
        <v>0.15325</v>
      </c>
      <c r="J15" s="34">
        <f t="shared" si="0"/>
        <v>0.182</v>
      </c>
      <c r="K15" s="34">
        <f t="shared" si="0"/>
        <v>0.20300000000000001</v>
      </c>
      <c r="L15" s="34">
        <f t="shared" si="0"/>
        <v>0.222</v>
      </c>
      <c r="M15" s="34">
        <f t="shared" si="0"/>
        <v>0.24099999999999999</v>
      </c>
      <c r="N15" s="34">
        <f t="shared" si="0"/>
        <v>0.26</v>
      </c>
      <c r="O15" s="34">
        <f t="shared" si="0"/>
        <v>0.27900000000000003</v>
      </c>
      <c r="P15" s="34">
        <f t="shared" si="0"/>
        <v>0.29799999999999999</v>
      </c>
      <c r="Q15" s="34">
        <f t="shared" si="0"/>
        <v>0.317</v>
      </c>
    </row>
    <row r="16" spans="1:17" x14ac:dyDescent="0.3">
      <c r="A16" s="3" t="s">
        <v>368</v>
      </c>
      <c r="B16" s="3" t="str">
        <f>INDEX('R1. Scenario specifications'!$C$11:$C$59,MATCH($A16,'R1. Scenario specifications'!$A$11:$A$59,0))</f>
        <v>Current Policies Scenario, World Energy Outlook 2018</v>
      </c>
      <c r="C16" s="3" t="s">
        <v>259</v>
      </c>
      <c r="D16" s="3" t="s">
        <v>431</v>
      </c>
      <c r="E16" s="34" t="str">
        <f t="shared" si="1"/>
        <v/>
      </c>
      <c r="F16" s="34" t="str">
        <f t="shared" si="0"/>
        <v/>
      </c>
      <c r="G16" s="34">
        <f t="shared" si="0"/>
        <v>0.30499999999999999</v>
      </c>
      <c r="H16" s="34">
        <f t="shared" si="0"/>
        <v>0.40300000000000002</v>
      </c>
      <c r="I16" s="34">
        <f t="shared" si="0"/>
        <v>0.63400000000000001</v>
      </c>
      <c r="J16" s="34">
        <f t="shared" si="0"/>
        <v>1.0189999999999999</v>
      </c>
      <c r="K16" s="34">
        <f t="shared" si="0"/>
        <v>1.3080000000000001</v>
      </c>
      <c r="L16" s="34">
        <f t="shared" si="0"/>
        <v>1.6220000000000001</v>
      </c>
      <c r="M16" s="34">
        <f t="shared" si="0"/>
        <v>1.9870000000000001</v>
      </c>
      <c r="N16" s="34">
        <f t="shared" si="0"/>
        <v>2.3519999999999999</v>
      </c>
      <c r="O16" s="34">
        <f t="shared" si="0"/>
        <v>2.7170000000000001</v>
      </c>
      <c r="P16" s="34">
        <f t="shared" si="0"/>
        <v>3.0819999999999999</v>
      </c>
      <c r="Q16" s="34">
        <f t="shared" si="0"/>
        <v>3.4470000000000001</v>
      </c>
    </row>
    <row r="17" spans="1:17" x14ac:dyDescent="0.3">
      <c r="A17" s="3" t="s">
        <v>368</v>
      </c>
      <c r="B17" s="3" t="str">
        <f>INDEX('R1. Scenario specifications'!$C$11:$C$59,MATCH($A17,'R1. Scenario specifications'!$A$11:$A$59,0))</f>
        <v>Current Policies Scenario, World Energy Outlook 2018</v>
      </c>
      <c r="C17" s="3" t="s">
        <v>260</v>
      </c>
      <c r="D17" s="3" t="s">
        <v>431</v>
      </c>
      <c r="E17" s="34" t="str">
        <f t="shared" si="1"/>
        <v/>
      </c>
      <c r="F17" s="34" t="str">
        <f t="shared" si="0"/>
        <v/>
      </c>
      <c r="G17" s="34">
        <f t="shared" si="0"/>
        <v>0.46700000000000003</v>
      </c>
      <c r="H17" s="34">
        <f t="shared" si="0"/>
        <v>0.51500000000000001</v>
      </c>
      <c r="I17" s="34">
        <f t="shared" si="0"/>
        <v>0.65600000000000003</v>
      </c>
      <c r="J17" s="34">
        <f t="shared" si="0"/>
        <v>0.89100000000000001</v>
      </c>
      <c r="K17" s="34">
        <f t="shared" si="0"/>
        <v>1.0660000000000001</v>
      </c>
      <c r="L17" s="34">
        <f t="shared" si="0"/>
        <v>1.2170000000000001</v>
      </c>
      <c r="M17" s="34">
        <f t="shared" si="0"/>
        <v>1.345</v>
      </c>
      <c r="N17" s="34">
        <f t="shared" si="0"/>
        <v>1.4730000000000001</v>
      </c>
      <c r="O17" s="34">
        <f t="shared" si="0"/>
        <v>1.601</v>
      </c>
      <c r="P17" s="34">
        <f t="shared" si="0"/>
        <v>1.7290000000000001</v>
      </c>
      <c r="Q17" s="34">
        <f t="shared" si="0"/>
        <v>1.857</v>
      </c>
    </row>
    <row r="18" spans="1:17" x14ac:dyDescent="0.3">
      <c r="A18" s="3" t="s">
        <v>368</v>
      </c>
      <c r="B18" s="3" t="str">
        <f>INDEX('R1. Scenario specifications'!$C$11:$C$59,MATCH($A18,'R1. Scenario specifications'!$A$11:$A$59,0))</f>
        <v>Current Policies Scenario, World Energy Outlook 2018</v>
      </c>
      <c r="C18" s="3" t="s">
        <v>258</v>
      </c>
      <c r="D18" s="3" t="s">
        <v>431</v>
      </c>
      <c r="E18" s="34" t="str">
        <f t="shared" si="1"/>
        <v/>
      </c>
      <c r="F18" s="34" t="str">
        <f t="shared" si="0"/>
        <v/>
      </c>
      <c r="G18" s="34">
        <f t="shared" si="0"/>
        <v>1.4E-2</v>
      </c>
      <c r="H18" s="34">
        <f t="shared" si="0"/>
        <v>1.4999999999999999E-2</v>
      </c>
      <c r="I18" s="34">
        <f t="shared" si="0"/>
        <v>1.6875000000000001E-2</v>
      </c>
      <c r="J18" s="34">
        <f t="shared" si="0"/>
        <v>0.02</v>
      </c>
      <c r="K18" s="34">
        <f t="shared" si="0"/>
        <v>2.9000000000000001E-2</v>
      </c>
      <c r="L18" s="34">
        <f t="shared" si="0"/>
        <v>3.9E-2</v>
      </c>
      <c r="M18" s="34">
        <f t="shared" si="0"/>
        <v>5.1999999999999998E-2</v>
      </c>
      <c r="N18" s="34">
        <f t="shared" si="0"/>
        <v>6.5000000000000002E-2</v>
      </c>
      <c r="O18" s="34">
        <f t="shared" si="0"/>
        <v>7.8E-2</v>
      </c>
      <c r="P18" s="34">
        <f t="shared" si="0"/>
        <v>9.0999999999999998E-2</v>
      </c>
      <c r="Q18" s="34">
        <f t="shared" si="0"/>
        <v>0.104</v>
      </c>
    </row>
    <row r="19" spans="1:17" x14ac:dyDescent="0.3">
      <c r="A19" s="3" t="s">
        <v>370</v>
      </c>
      <c r="B19" s="3" t="str">
        <f>INDEX('R1. Scenario specifications'!$C$11:$C$59,MATCH($A19,'R1. Scenario specifications'!$A$11:$A$59,0))</f>
        <v>New Policies Scenario, World Energy Outlook 2018</v>
      </c>
      <c r="C19" s="3" t="s">
        <v>254</v>
      </c>
      <c r="D19" s="3" t="s">
        <v>431</v>
      </c>
      <c r="E19" s="34" t="str">
        <f t="shared" si="1"/>
        <v/>
      </c>
      <c r="F19" s="34" t="str">
        <f t="shared" si="0"/>
        <v/>
      </c>
      <c r="G19" s="34">
        <f t="shared" si="0"/>
        <v>2.0249999999999999</v>
      </c>
      <c r="H19" s="34">
        <f t="shared" si="0"/>
        <v>2.0670000000000002</v>
      </c>
      <c r="I19" s="34">
        <f t="shared" si="0"/>
        <v>2.0906250000000002</v>
      </c>
      <c r="J19" s="34">
        <f t="shared" si="0"/>
        <v>2.13</v>
      </c>
      <c r="K19" s="34">
        <f t="shared" si="0"/>
        <v>2.1429999999999998</v>
      </c>
      <c r="L19" s="34">
        <f t="shared" si="0"/>
        <v>2.1840000000000002</v>
      </c>
      <c r="M19" s="34">
        <f t="shared" si="0"/>
        <v>2.238</v>
      </c>
      <c r="N19" s="34">
        <f t="shared" si="0"/>
        <v>2.2919999999999998</v>
      </c>
      <c r="O19" s="34">
        <f t="shared" si="0"/>
        <v>2.3460000000000001</v>
      </c>
      <c r="P19" s="34">
        <f t="shared" si="0"/>
        <v>2.4</v>
      </c>
      <c r="Q19" s="34">
        <f t="shared" si="0"/>
        <v>2.4540000000000002</v>
      </c>
    </row>
    <row r="20" spans="1:17" x14ac:dyDescent="0.3">
      <c r="A20" s="3" t="s">
        <v>370</v>
      </c>
      <c r="B20" s="3" t="str">
        <f>INDEX('R1. Scenario specifications'!$C$11:$C$59,MATCH($A20,'R1. Scenario specifications'!$A$11:$A$59,0))</f>
        <v>New Policies Scenario, World Energy Outlook 2018</v>
      </c>
      <c r="C20" s="3" t="s">
        <v>266</v>
      </c>
      <c r="D20" s="3" t="s">
        <v>431</v>
      </c>
      <c r="E20" s="34" t="str">
        <f t="shared" si="1"/>
        <v/>
      </c>
      <c r="F20" s="34" t="str">
        <f t="shared" si="0"/>
        <v/>
      </c>
      <c r="G20" s="34">
        <f t="shared" si="0"/>
        <v>0.44600000000000001</v>
      </c>
      <c r="H20" s="34">
        <f t="shared" si="0"/>
        <v>0.44700000000000001</v>
      </c>
      <c r="I20" s="34">
        <f t="shared" si="0"/>
        <v>0.41062500000000002</v>
      </c>
      <c r="J20" s="34">
        <f t="shared" si="0"/>
        <v>0.35</v>
      </c>
      <c r="K20" s="34">
        <f t="shared" si="0"/>
        <v>0.307</v>
      </c>
      <c r="L20" s="34">
        <f t="shared" si="0"/>
        <v>0.27800000000000002</v>
      </c>
      <c r="M20" s="34">
        <f t="shared" si="0"/>
        <v>0.246</v>
      </c>
      <c r="N20" s="34">
        <f t="shared" si="0"/>
        <v>0.214</v>
      </c>
      <c r="O20" s="34">
        <f t="shared" si="0"/>
        <v>0.182</v>
      </c>
      <c r="P20" s="34">
        <f t="shared" si="0"/>
        <v>0.15</v>
      </c>
      <c r="Q20" s="34">
        <f t="shared" si="0"/>
        <v>0.11799999999999999</v>
      </c>
    </row>
    <row r="21" spans="1:17" x14ac:dyDescent="0.3">
      <c r="A21" s="3" t="s">
        <v>370</v>
      </c>
      <c r="B21" s="3" t="str">
        <f>INDEX('R1. Scenario specifications'!$C$11:$C$59,MATCH($A21,'R1. Scenario specifications'!$A$11:$A$59,0))</f>
        <v>New Policies Scenario, World Energy Outlook 2018</v>
      </c>
      <c r="C21" s="3" t="s">
        <v>255</v>
      </c>
      <c r="D21" s="3" t="s">
        <v>431</v>
      </c>
      <c r="E21" s="34" t="str">
        <f t="shared" si="1"/>
        <v/>
      </c>
      <c r="F21" s="34" t="str">
        <f t="shared" si="0"/>
        <v/>
      </c>
      <c r="G21" s="34">
        <f t="shared" si="0"/>
        <v>1.6439999999999999</v>
      </c>
      <c r="H21" s="34">
        <f t="shared" si="0"/>
        <v>1.6950000000000001</v>
      </c>
      <c r="I21" s="34">
        <f t="shared" si="0"/>
        <v>1.85175</v>
      </c>
      <c r="J21" s="34">
        <f t="shared" si="0"/>
        <v>2.113</v>
      </c>
      <c r="K21" s="34">
        <f t="shared" si="0"/>
        <v>2.3340000000000001</v>
      </c>
      <c r="L21" s="34">
        <f t="shared" si="0"/>
        <v>2.5259999999999998</v>
      </c>
      <c r="M21" s="34">
        <f t="shared" si="0"/>
        <v>2.74</v>
      </c>
      <c r="N21" s="34">
        <f t="shared" si="0"/>
        <v>2.9540000000000002</v>
      </c>
      <c r="O21" s="34">
        <f t="shared" si="0"/>
        <v>3.1680000000000001</v>
      </c>
      <c r="P21" s="34">
        <f t="shared" si="0"/>
        <v>3.3820000000000001</v>
      </c>
      <c r="Q21" s="34">
        <f t="shared" si="0"/>
        <v>3.5960000000000001</v>
      </c>
    </row>
    <row r="22" spans="1:17" x14ac:dyDescent="0.3">
      <c r="A22" s="3" t="s">
        <v>370</v>
      </c>
      <c r="B22" s="3" t="str">
        <f>INDEX('R1. Scenario specifications'!$C$11:$C$59,MATCH($A22,'R1. Scenario specifications'!$A$11:$A$59,0))</f>
        <v>New Policies Scenario, World Energy Outlook 2018</v>
      </c>
      <c r="C22" s="3" t="s">
        <v>257</v>
      </c>
      <c r="D22" s="3" t="s">
        <v>431</v>
      </c>
      <c r="E22" s="34" t="str">
        <f t="shared" si="1"/>
        <v/>
      </c>
      <c r="F22" s="34" t="str">
        <f t="shared" si="0"/>
        <v/>
      </c>
      <c r="G22" s="34">
        <f t="shared" si="0"/>
        <v>0.41399999999999998</v>
      </c>
      <c r="H22" s="34">
        <f t="shared" si="0"/>
        <v>0.41199999999999998</v>
      </c>
      <c r="I22" s="34">
        <f t="shared" si="0"/>
        <v>0.42549999999999999</v>
      </c>
      <c r="J22" s="34">
        <f t="shared" si="0"/>
        <v>0.44800000000000001</v>
      </c>
      <c r="K22" s="34">
        <f t="shared" si="0"/>
        <v>0.46400000000000002</v>
      </c>
      <c r="L22" s="34">
        <f t="shared" si="0"/>
        <v>0.495</v>
      </c>
      <c r="M22" s="34">
        <f t="shared" si="0"/>
        <v>0.51800000000000002</v>
      </c>
      <c r="N22" s="34">
        <f t="shared" si="0"/>
        <v>0.54100000000000004</v>
      </c>
      <c r="O22" s="34">
        <f t="shared" si="0"/>
        <v>0.56399999999999995</v>
      </c>
      <c r="P22" s="34">
        <f t="shared" si="0"/>
        <v>0.58699999999999997</v>
      </c>
      <c r="Q22" s="34">
        <f t="shared" si="0"/>
        <v>0.61</v>
      </c>
    </row>
    <row r="23" spans="1:17" x14ac:dyDescent="0.3">
      <c r="A23" s="3" t="s">
        <v>370</v>
      </c>
      <c r="B23" s="3" t="str">
        <f>INDEX('R1. Scenario specifications'!$C$11:$C$59,MATCH($A23,'R1. Scenario specifications'!$A$11:$A$59,0))</f>
        <v>New Policies Scenario, World Energy Outlook 2018</v>
      </c>
      <c r="C23" s="3" t="s">
        <v>256</v>
      </c>
      <c r="D23" s="3" t="s">
        <v>431</v>
      </c>
      <c r="E23" s="34" t="str">
        <f t="shared" si="1"/>
        <v/>
      </c>
      <c r="F23" s="34" t="str">
        <f t="shared" si="0"/>
        <v/>
      </c>
      <c r="G23" s="34">
        <f t="shared" si="0"/>
        <v>1.244</v>
      </c>
      <c r="H23" s="34">
        <f t="shared" si="0"/>
        <v>1.27</v>
      </c>
      <c r="I23" s="34">
        <f t="shared" si="0"/>
        <v>1.3420000000000001</v>
      </c>
      <c r="J23" s="34">
        <f t="shared" si="0"/>
        <v>1.462</v>
      </c>
      <c r="K23" s="34">
        <f t="shared" si="0"/>
        <v>1.6040000000000001</v>
      </c>
      <c r="L23" s="34">
        <f t="shared" si="0"/>
        <v>1.728</v>
      </c>
      <c r="M23" s="34">
        <f t="shared" si="0"/>
        <v>1.839</v>
      </c>
      <c r="N23" s="34">
        <f t="shared" si="0"/>
        <v>1.95</v>
      </c>
      <c r="O23" s="34">
        <f t="shared" si="0"/>
        <v>2.0609999999999999</v>
      </c>
      <c r="P23" s="34">
        <f t="shared" si="0"/>
        <v>2.1720000000000002</v>
      </c>
      <c r="Q23" s="34">
        <f t="shared" si="0"/>
        <v>2.2829999999999999</v>
      </c>
    </row>
    <row r="24" spans="1:17" x14ac:dyDescent="0.3">
      <c r="A24" s="3" t="s">
        <v>370</v>
      </c>
      <c r="B24" s="3" t="str">
        <f>INDEX('R1. Scenario specifications'!$C$11:$C$59,MATCH($A24,'R1. Scenario specifications'!$A$11:$A$59,0))</f>
        <v>New Policies Scenario, World Energy Outlook 2018</v>
      </c>
      <c r="C24" s="3" t="s">
        <v>253</v>
      </c>
      <c r="D24" s="3" t="s">
        <v>431</v>
      </c>
      <c r="E24" s="34" t="str">
        <f t="shared" si="1"/>
        <v/>
      </c>
      <c r="F24" s="34" t="str">
        <f t="shared" si="0"/>
        <v/>
      </c>
      <c r="G24" s="34">
        <f t="shared" si="0"/>
        <v>0.129</v>
      </c>
      <c r="H24" s="34">
        <f t="shared" si="0"/>
        <v>0.13600000000000001</v>
      </c>
      <c r="I24" s="34">
        <f t="shared" si="0"/>
        <v>0.15475</v>
      </c>
      <c r="J24" s="34">
        <f t="shared" si="0"/>
        <v>0.186</v>
      </c>
      <c r="K24" s="34">
        <f t="shared" si="0"/>
        <v>0.216</v>
      </c>
      <c r="L24" s="34">
        <f t="shared" si="0"/>
        <v>0.247</v>
      </c>
      <c r="M24" s="34">
        <f t="shared" si="0"/>
        <v>0.27800000000000002</v>
      </c>
      <c r="N24" s="34">
        <f t="shared" si="0"/>
        <v>0.309</v>
      </c>
      <c r="O24" s="34">
        <f t="shared" si="0"/>
        <v>0.34</v>
      </c>
      <c r="P24" s="34">
        <f t="shared" si="0"/>
        <v>0.371</v>
      </c>
      <c r="Q24" s="34">
        <f t="shared" si="0"/>
        <v>0.40200000000000002</v>
      </c>
    </row>
    <row r="25" spans="1:17" x14ac:dyDescent="0.3">
      <c r="A25" s="3" t="s">
        <v>370</v>
      </c>
      <c r="B25" s="3" t="str">
        <f>INDEX('R1. Scenario specifications'!$C$11:$C$59,MATCH($A25,'R1. Scenario specifications'!$A$11:$A$59,0))</f>
        <v>New Policies Scenario, World Energy Outlook 2018</v>
      </c>
      <c r="C25" s="3" t="s">
        <v>259</v>
      </c>
      <c r="D25" s="3" t="s">
        <v>431</v>
      </c>
      <c r="E25" s="34" t="str">
        <f t="shared" si="1"/>
        <v/>
      </c>
      <c r="F25" s="34" t="str">
        <f t="shared" si="0"/>
        <v/>
      </c>
      <c r="G25" s="34">
        <f t="shared" si="0"/>
        <v>0.30499999999999999</v>
      </c>
      <c r="H25" s="34">
        <f t="shared" si="0"/>
        <v>0.40300000000000002</v>
      </c>
      <c r="I25" s="34">
        <f t="shared" si="0"/>
        <v>0.67262500000000003</v>
      </c>
      <c r="J25" s="34">
        <f t="shared" si="0"/>
        <v>1.1220000000000001</v>
      </c>
      <c r="K25" s="34">
        <f t="shared" si="0"/>
        <v>1.6140000000000001</v>
      </c>
      <c r="L25" s="34">
        <f t="shared" si="0"/>
        <v>2.077</v>
      </c>
      <c r="M25" s="34">
        <f t="shared" si="0"/>
        <v>2.6080000000000001</v>
      </c>
      <c r="N25" s="34">
        <f t="shared" si="0"/>
        <v>3.1389999999999998</v>
      </c>
      <c r="O25" s="34">
        <f t="shared" si="0"/>
        <v>3.67</v>
      </c>
      <c r="P25" s="34">
        <f t="shared" si="0"/>
        <v>4.2009999999999996</v>
      </c>
      <c r="Q25" s="34">
        <f t="shared" si="0"/>
        <v>4.7320000000000002</v>
      </c>
    </row>
    <row r="26" spans="1:17" x14ac:dyDescent="0.3">
      <c r="A26" s="3" t="s">
        <v>370</v>
      </c>
      <c r="B26" s="3" t="str">
        <f>INDEX('R1. Scenario specifications'!$C$11:$C$59,MATCH($A26,'R1. Scenario specifications'!$A$11:$A$59,0))</f>
        <v>New Policies Scenario, World Energy Outlook 2018</v>
      </c>
      <c r="C26" s="3" t="s">
        <v>260</v>
      </c>
      <c r="D26" s="3" t="s">
        <v>431</v>
      </c>
      <c r="E26" s="34" t="str">
        <f t="shared" si="1"/>
        <v/>
      </c>
      <c r="F26" s="34" t="str">
        <f t="shared" si="1"/>
        <v/>
      </c>
      <c r="G26" s="34">
        <f t="shared" si="1"/>
        <v>0.46700000000000003</v>
      </c>
      <c r="H26" s="34">
        <f t="shared" si="1"/>
        <v>0.51500000000000001</v>
      </c>
      <c r="I26" s="34">
        <f t="shared" si="1"/>
        <v>0.67925000000000002</v>
      </c>
      <c r="J26" s="34">
        <f t="shared" si="1"/>
        <v>0.95299999999999996</v>
      </c>
      <c r="K26" s="34">
        <f t="shared" si="1"/>
        <v>1.25</v>
      </c>
      <c r="L26" s="34">
        <f t="shared" si="1"/>
        <v>1.498</v>
      </c>
      <c r="M26" s="34">
        <f t="shared" si="1"/>
        <v>1.7070000000000001</v>
      </c>
      <c r="N26" s="34">
        <f t="shared" si="1"/>
        <v>1.9159999999999999</v>
      </c>
      <c r="O26" s="34">
        <f t="shared" si="1"/>
        <v>2.125</v>
      </c>
      <c r="P26" s="34">
        <f t="shared" si="1"/>
        <v>2.3340000000000001</v>
      </c>
      <c r="Q26" s="34">
        <f t="shared" si="1"/>
        <v>2.5430000000000001</v>
      </c>
    </row>
    <row r="27" spans="1:17" x14ac:dyDescent="0.3">
      <c r="A27" s="3" t="s">
        <v>370</v>
      </c>
      <c r="B27" s="3" t="str">
        <f>INDEX('R1. Scenario specifications'!$C$11:$C$59,MATCH($A27,'R1. Scenario specifications'!$A$11:$A$59,0))</f>
        <v>New Policies Scenario, World Energy Outlook 2018</v>
      </c>
      <c r="C27" s="3" t="s">
        <v>258</v>
      </c>
      <c r="D27" s="3" t="s">
        <v>431</v>
      </c>
      <c r="E27" s="34" t="str">
        <f t="shared" si="1"/>
        <v/>
      </c>
      <c r="F27" s="34" t="str">
        <f t="shared" si="1"/>
        <v/>
      </c>
      <c r="G27" s="34">
        <f t="shared" si="1"/>
        <v>1.4E-2</v>
      </c>
      <c r="H27" s="34">
        <f t="shared" si="1"/>
        <v>1.4999999999999999E-2</v>
      </c>
      <c r="I27" s="34">
        <f t="shared" si="1"/>
        <v>1.7250000000000001E-2</v>
      </c>
      <c r="J27" s="34">
        <f t="shared" si="1"/>
        <v>2.1000000000000001E-2</v>
      </c>
      <c r="K27" s="34">
        <f t="shared" si="1"/>
        <v>3.4000000000000002E-2</v>
      </c>
      <c r="L27" s="34">
        <f t="shared" si="1"/>
        <v>0.05</v>
      </c>
      <c r="M27" s="34">
        <f t="shared" si="1"/>
        <v>7.1999999999999995E-2</v>
      </c>
      <c r="N27" s="34">
        <f t="shared" si="1"/>
        <v>9.4E-2</v>
      </c>
      <c r="O27" s="34">
        <f t="shared" si="1"/>
        <v>0.11600000000000001</v>
      </c>
      <c r="P27" s="34">
        <f t="shared" si="1"/>
        <v>0.13800000000000001</v>
      </c>
      <c r="Q27" s="34">
        <f t="shared" si="1"/>
        <v>0.16</v>
      </c>
    </row>
    <row r="28" spans="1:17" x14ac:dyDescent="0.3">
      <c r="A28" s="3" t="s">
        <v>372</v>
      </c>
      <c r="B28" s="3" t="str">
        <f>INDEX('R1. Scenario specifications'!$C$11:$C$59,MATCH($A28,'R1. Scenario specifications'!$A$11:$A$59,0))</f>
        <v>Sustainable Development Scenario, World Energy Outlook 2018</v>
      </c>
      <c r="C28" s="3" t="s">
        <v>254</v>
      </c>
      <c r="D28" s="3" t="s">
        <v>431</v>
      </c>
      <c r="E28" s="34" t="str">
        <f t="shared" si="1"/>
        <v/>
      </c>
      <c r="F28" s="34" t="str">
        <f t="shared" si="1"/>
        <v/>
      </c>
      <c r="G28" s="34">
        <f t="shared" si="1"/>
        <v>2.0249999999999999</v>
      </c>
      <c r="H28" s="34">
        <f t="shared" si="1"/>
        <v>2.0670000000000002</v>
      </c>
      <c r="I28" s="34">
        <f t="shared" si="1"/>
        <v>2.0212500000000002</v>
      </c>
      <c r="J28" s="34">
        <f t="shared" si="1"/>
        <v>1.9450000000000001</v>
      </c>
      <c r="K28" s="34">
        <f t="shared" si="1"/>
        <v>1.633</v>
      </c>
      <c r="L28" s="34">
        <f t="shared" si="1"/>
        <v>1.339</v>
      </c>
      <c r="M28" s="34">
        <f t="shared" si="1"/>
        <v>1.119</v>
      </c>
      <c r="N28" s="34">
        <f t="shared" si="1"/>
        <v>0.89900000000000002</v>
      </c>
      <c r="O28" s="34">
        <f t="shared" si="1"/>
        <v>0.67900000000000005</v>
      </c>
      <c r="P28" s="34">
        <f t="shared" si="1"/>
        <v>0.45900000000000002</v>
      </c>
      <c r="Q28" s="34">
        <f t="shared" si="1"/>
        <v>0.23899999999999999</v>
      </c>
    </row>
    <row r="29" spans="1:17" x14ac:dyDescent="0.3">
      <c r="A29" s="3" t="s">
        <v>372</v>
      </c>
      <c r="B29" s="3" t="str">
        <f>INDEX('R1. Scenario specifications'!$C$11:$C$59,MATCH($A29,'R1. Scenario specifications'!$A$11:$A$59,0))</f>
        <v>Sustainable Development Scenario, World Energy Outlook 2018</v>
      </c>
      <c r="C29" s="3" t="s">
        <v>266</v>
      </c>
      <c r="D29" s="3" t="s">
        <v>431</v>
      </c>
      <c r="E29" s="34" t="str">
        <f t="shared" si="1"/>
        <v/>
      </c>
      <c r="F29" s="34" t="str">
        <f t="shared" si="1"/>
        <v/>
      </c>
      <c r="G29" s="34">
        <f t="shared" si="1"/>
        <v>0.44600000000000001</v>
      </c>
      <c r="H29" s="34">
        <f t="shared" si="1"/>
        <v>0.44700000000000001</v>
      </c>
      <c r="I29" s="34">
        <f t="shared" si="1"/>
        <v>0.40649999999999997</v>
      </c>
      <c r="J29" s="34">
        <f t="shared" si="1"/>
        <v>0.33900000000000002</v>
      </c>
      <c r="K29" s="34">
        <f t="shared" si="1"/>
        <v>0.28899999999999998</v>
      </c>
      <c r="L29" s="34">
        <f t="shared" si="1"/>
        <v>0.25900000000000001</v>
      </c>
      <c r="M29" s="34">
        <f t="shared" si="1"/>
        <v>0.22800000000000001</v>
      </c>
      <c r="N29" s="34">
        <f t="shared" si="1"/>
        <v>0.19700000000000001</v>
      </c>
      <c r="O29" s="34">
        <f t="shared" si="1"/>
        <v>0.16600000000000001</v>
      </c>
      <c r="P29" s="34">
        <f t="shared" si="1"/>
        <v>0.13500000000000001</v>
      </c>
      <c r="Q29" s="34">
        <f t="shared" si="1"/>
        <v>0.104</v>
      </c>
    </row>
    <row r="30" spans="1:17" x14ac:dyDescent="0.3">
      <c r="A30" s="3" t="s">
        <v>372</v>
      </c>
      <c r="B30" s="3" t="str">
        <f>INDEX('R1. Scenario specifications'!$C$11:$C$59,MATCH($A30,'R1. Scenario specifications'!$A$11:$A$59,0))</f>
        <v>Sustainable Development Scenario, World Energy Outlook 2018</v>
      </c>
      <c r="C30" s="3" t="s">
        <v>255</v>
      </c>
      <c r="D30" s="3" t="s">
        <v>431</v>
      </c>
      <c r="E30" s="34" t="str">
        <f t="shared" si="1"/>
        <v/>
      </c>
      <c r="F30" s="34" t="str">
        <f t="shared" si="1"/>
        <v/>
      </c>
      <c r="G30" s="34">
        <f t="shared" si="1"/>
        <v>1.6439999999999999</v>
      </c>
      <c r="H30" s="34">
        <f t="shared" si="1"/>
        <v>1.6950000000000001</v>
      </c>
      <c r="I30" s="34">
        <f t="shared" si="1"/>
        <v>1.8078749999999999</v>
      </c>
      <c r="J30" s="34">
        <f t="shared" si="1"/>
        <v>1.996</v>
      </c>
      <c r="K30" s="34">
        <f t="shared" si="1"/>
        <v>2.1030000000000002</v>
      </c>
      <c r="L30" s="34">
        <f t="shared" si="1"/>
        <v>2.2610000000000001</v>
      </c>
      <c r="M30" s="34">
        <f t="shared" si="1"/>
        <v>2.4060000000000001</v>
      </c>
      <c r="N30" s="34">
        <f t="shared" si="1"/>
        <v>2.5510000000000002</v>
      </c>
      <c r="O30" s="34">
        <f t="shared" si="1"/>
        <v>2.6960000000000002</v>
      </c>
      <c r="P30" s="34">
        <f t="shared" si="1"/>
        <v>2.8410000000000002</v>
      </c>
      <c r="Q30" s="34">
        <f t="shared" si="1"/>
        <v>2.9860000000000002</v>
      </c>
    </row>
    <row r="31" spans="1:17" x14ac:dyDescent="0.3">
      <c r="A31" s="3" t="s">
        <v>372</v>
      </c>
      <c r="B31" s="3" t="str">
        <f>INDEX('R1. Scenario specifications'!$C$11:$C$59,MATCH($A31,'R1. Scenario specifications'!$A$11:$A$59,0))</f>
        <v>Sustainable Development Scenario, World Energy Outlook 2018</v>
      </c>
      <c r="C31" s="3" t="s">
        <v>257</v>
      </c>
      <c r="D31" s="3" t="s">
        <v>431</v>
      </c>
      <c r="E31" s="34" t="str">
        <f t="shared" si="1"/>
        <v/>
      </c>
      <c r="F31" s="34" t="str">
        <f t="shared" si="1"/>
        <v/>
      </c>
      <c r="G31" s="34">
        <f t="shared" si="1"/>
        <v>0.41399999999999998</v>
      </c>
      <c r="H31" s="34">
        <f t="shared" si="1"/>
        <v>0.41199999999999998</v>
      </c>
      <c r="I31" s="34">
        <f t="shared" si="1"/>
        <v>0.43262499999999998</v>
      </c>
      <c r="J31" s="34">
        <f t="shared" si="1"/>
        <v>0.46700000000000003</v>
      </c>
      <c r="K31" s="34">
        <f t="shared" si="1"/>
        <v>0.54200000000000004</v>
      </c>
      <c r="L31" s="34">
        <f t="shared" si="1"/>
        <v>0.621</v>
      </c>
      <c r="M31" s="34">
        <f t="shared" si="1"/>
        <v>0.67800000000000005</v>
      </c>
      <c r="N31" s="34">
        <f t="shared" si="1"/>
        <v>0.73499999999999999</v>
      </c>
      <c r="O31" s="34">
        <f t="shared" si="1"/>
        <v>0.79200000000000004</v>
      </c>
      <c r="P31" s="34">
        <f t="shared" si="1"/>
        <v>0.84899999999999998</v>
      </c>
      <c r="Q31" s="34">
        <f t="shared" si="1"/>
        <v>0.90600000000000003</v>
      </c>
    </row>
    <row r="32" spans="1:17" x14ac:dyDescent="0.3">
      <c r="A32" s="3" t="s">
        <v>372</v>
      </c>
      <c r="B32" s="3" t="str">
        <f>INDEX('R1. Scenario specifications'!$C$11:$C$59,MATCH($A32,'R1. Scenario specifications'!$A$11:$A$59,0))</f>
        <v>Sustainable Development Scenario, World Energy Outlook 2018</v>
      </c>
      <c r="C32" s="3" t="s">
        <v>256</v>
      </c>
      <c r="D32" s="3" t="s">
        <v>431</v>
      </c>
      <c r="E32" s="34" t="str">
        <f t="shared" si="1"/>
        <v/>
      </c>
      <c r="F32" s="34" t="str">
        <f t="shared" si="1"/>
        <v/>
      </c>
      <c r="G32" s="34">
        <f t="shared" si="1"/>
        <v>1.244</v>
      </c>
      <c r="H32" s="34">
        <f t="shared" si="1"/>
        <v>1.27</v>
      </c>
      <c r="I32" s="34">
        <f t="shared" si="1"/>
        <v>1.367875</v>
      </c>
      <c r="J32" s="34">
        <f t="shared" si="1"/>
        <v>1.5309999999999999</v>
      </c>
      <c r="K32" s="34">
        <f t="shared" si="1"/>
        <v>1.738</v>
      </c>
      <c r="L32" s="34">
        <f t="shared" si="1"/>
        <v>1.9239999999999999</v>
      </c>
      <c r="M32" s="34">
        <f t="shared" si="1"/>
        <v>2.0960000000000001</v>
      </c>
      <c r="N32" s="34">
        <f t="shared" si="1"/>
        <v>2.2679999999999998</v>
      </c>
      <c r="O32" s="34">
        <f t="shared" si="1"/>
        <v>2.44</v>
      </c>
      <c r="P32" s="34">
        <f t="shared" si="1"/>
        <v>2.6120000000000001</v>
      </c>
      <c r="Q32" s="34">
        <f t="shared" si="1"/>
        <v>2.7839999999999998</v>
      </c>
    </row>
    <row r="33" spans="1:17" x14ac:dyDescent="0.3">
      <c r="A33" s="3" t="s">
        <v>372</v>
      </c>
      <c r="B33" s="3" t="str">
        <f>INDEX('R1. Scenario specifications'!$C$11:$C$59,MATCH($A33,'R1. Scenario specifications'!$A$11:$A$59,0))</f>
        <v>Sustainable Development Scenario, World Energy Outlook 2018</v>
      </c>
      <c r="C33" s="3" t="s">
        <v>253</v>
      </c>
      <c r="D33" s="3" t="s">
        <v>431</v>
      </c>
      <c r="E33" s="34" t="str">
        <f t="shared" si="1"/>
        <v/>
      </c>
      <c r="F33" s="34" t="str">
        <f t="shared" si="1"/>
        <v/>
      </c>
      <c r="G33" s="34">
        <f t="shared" si="1"/>
        <v>0.129</v>
      </c>
      <c r="H33" s="34">
        <f t="shared" si="1"/>
        <v>0.13600000000000001</v>
      </c>
      <c r="I33" s="34">
        <f t="shared" si="1"/>
        <v>0.16487499999999999</v>
      </c>
      <c r="J33" s="34">
        <f t="shared" si="1"/>
        <v>0.21299999999999999</v>
      </c>
      <c r="K33" s="34">
        <f t="shared" si="1"/>
        <v>0.26600000000000001</v>
      </c>
      <c r="L33" s="34">
        <f t="shared" si="1"/>
        <v>0.32300000000000001</v>
      </c>
      <c r="M33" s="34">
        <f t="shared" si="1"/>
        <v>0.379</v>
      </c>
      <c r="N33" s="34">
        <f t="shared" si="1"/>
        <v>0.435</v>
      </c>
      <c r="O33" s="34">
        <f t="shared" si="1"/>
        <v>0.49099999999999999</v>
      </c>
      <c r="P33" s="34">
        <f t="shared" si="1"/>
        <v>0.54700000000000004</v>
      </c>
      <c r="Q33" s="34">
        <f t="shared" si="1"/>
        <v>0.60299999999999998</v>
      </c>
    </row>
    <row r="34" spans="1:17" x14ac:dyDescent="0.3">
      <c r="A34" s="3" t="s">
        <v>372</v>
      </c>
      <c r="B34" s="3" t="str">
        <f>INDEX('R1. Scenario specifications'!$C$11:$C$59,MATCH($A34,'R1. Scenario specifications'!$A$11:$A$59,0))</f>
        <v>Sustainable Development Scenario, World Energy Outlook 2018</v>
      </c>
      <c r="C34" s="3" t="s">
        <v>259</v>
      </c>
      <c r="D34" s="3" t="s">
        <v>431</v>
      </c>
      <c r="E34" s="34" t="str">
        <f t="shared" si="1"/>
        <v/>
      </c>
      <c r="F34" s="34" t="str">
        <f t="shared" si="1"/>
        <v/>
      </c>
      <c r="G34" s="34">
        <f t="shared" si="1"/>
        <v>0.30499999999999999</v>
      </c>
      <c r="H34" s="34">
        <f t="shared" si="1"/>
        <v>0.40300000000000002</v>
      </c>
      <c r="I34" s="34">
        <f t="shared" si="1"/>
        <v>0.81137499999999996</v>
      </c>
      <c r="J34" s="34">
        <f t="shared" si="1"/>
        <v>1.492</v>
      </c>
      <c r="K34" s="34">
        <f t="shared" si="1"/>
        <v>2.4079999999999999</v>
      </c>
      <c r="L34" s="34">
        <f t="shared" si="1"/>
        <v>3.448</v>
      </c>
      <c r="M34" s="34">
        <f t="shared" si="1"/>
        <v>4.5069999999999997</v>
      </c>
      <c r="N34" s="34">
        <f t="shared" si="1"/>
        <v>5.5659999999999998</v>
      </c>
      <c r="O34" s="34">
        <f t="shared" si="1"/>
        <v>6.625</v>
      </c>
      <c r="P34" s="34">
        <f t="shared" si="1"/>
        <v>7.6840000000000002</v>
      </c>
      <c r="Q34" s="34">
        <f t="shared" si="1"/>
        <v>8.7430000000000003</v>
      </c>
    </row>
    <row r="35" spans="1:17" x14ac:dyDescent="0.3">
      <c r="A35" s="3" t="s">
        <v>372</v>
      </c>
      <c r="B35" s="3" t="str">
        <f>INDEX('R1. Scenario specifications'!$C$11:$C$59,MATCH($A35,'R1. Scenario specifications'!$A$11:$A$59,0))</f>
        <v>Sustainable Development Scenario, World Energy Outlook 2018</v>
      </c>
      <c r="C35" s="3" t="s">
        <v>260</v>
      </c>
      <c r="D35" s="3" t="s">
        <v>431</v>
      </c>
      <c r="E35" s="34" t="str">
        <f t="shared" si="1"/>
        <v/>
      </c>
      <c r="F35" s="34" t="str">
        <f t="shared" si="1"/>
        <v/>
      </c>
      <c r="G35" s="34">
        <f t="shared" si="1"/>
        <v>0.46700000000000003</v>
      </c>
      <c r="H35" s="34">
        <f t="shared" si="1"/>
        <v>0.51500000000000001</v>
      </c>
      <c r="I35" s="34">
        <f t="shared" si="1"/>
        <v>0.74262499999999998</v>
      </c>
      <c r="J35" s="34">
        <f t="shared" si="1"/>
        <v>1.1220000000000001</v>
      </c>
      <c r="K35" s="34">
        <f t="shared" si="1"/>
        <v>1.712</v>
      </c>
      <c r="L35" s="34">
        <f t="shared" si="1"/>
        <v>2.3039999999999998</v>
      </c>
      <c r="M35" s="34">
        <f t="shared" si="1"/>
        <v>2.819</v>
      </c>
      <c r="N35" s="34">
        <f t="shared" si="1"/>
        <v>3.3340000000000001</v>
      </c>
      <c r="O35" s="34">
        <f t="shared" si="1"/>
        <v>3.8490000000000002</v>
      </c>
      <c r="P35" s="34">
        <f t="shared" si="1"/>
        <v>4.3639999999999999</v>
      </c>
      <c r="Q35" s="34">
        <f t="shared" si="1"/>
        <v>4.8789999999999996</v>
      </c>
    </row>
    <row r="36" spans="1:17" x14ac:dyDescent="0.3">
      <c r="A36" s="3" t="s">
        <v>372</v>
      </c>
      <c r="B36" s="3" t="str">
        <f>INDEX('R1. Scenario specifications'!$C$11:$C$59,MATCH($A36,'R1. Scenario specifications'!$A$11:$A$59,0))</f>
        <v>Sustainable Development Scenario, World Energy Outlook 2018</v>
      </c>
      <c r="C36" s="3" t="s">
        <v>258</v>
      </c>
      <c r="D36" s="3" t="s">
        <v>431</v>
      </c>
      <c r="E36" s="34" t="str">
        <f t="shared" si="1"/>
        <v/>
      </c>
      <c r="F36" s="34" t="str">
        <f t="shared" si="1"/>
        <v/>
      </c>
      <c r="G36" s="34">
        <f t="shared" si="1"/>
        <v>1.4E-2</v>
      </c>
      <c r="H36" s="34">
        <f t="shared" si="1"/>
        <v>1.4999999999999999E-2</v>
      </c>
      <c r="I36" s="34">
        <f t="shared" si="1"/>
        <v>1.9875E-2</v>
      </c>
      <c r="J36" s="34">
        <f t="shared" si="1"/>
        <v>2.8000000000000001E-2</v>
      </c>
      <c r="K36" s="34">
        <f t="shared" si="1"/>
        <v>4.9000000000000002E-2</v>
      </c>
      <c r="L36" s="34">
        <f t="shared" si="1"/>
        <v>7.9000000000000001E-2</v>
      </c>
      <c r="M36" s="34">
        <f t="shared" si="1"/>
        <v>0.113</v>
      </c>
      <c r="N36" s="34">
        <f t="shared" si="1"/>
        <v>0.14699999999999999</v>
      </c>
      <c r="O36" s="34">
        <f t="shared" si="1"/>
        <v>0.18099999999999999</v>
      </c>
      <c r="P36" s="34">
        <f t="shared" si="1"/>
        <v>0.215</v>
      </c>
      <c r="Q36" s="34">
        <f t="shared" si="1"/>
        <v>0.249</v>
      </c>
    </row>
    <row r="37" spans="1:17" x14ac:dyDescent="0.3">
      <c r="A37" s="3" t="s">
        <v>378</v>
      </c>
      <c r="B37" s="3" t="str">
        <f>INDEX('R1. Scenario specifications'!$C$11:$C$59,MATCH($A37,'R1. Scenario specifications'!$A$11:$A$59,0))</f>
        <v>Current Policies Scenario, World Energy Outlook 2016</v>
      </c>
      <c r="C37" s="3" t="s">
        <v>254</v>
      </c>
      <c r="D37" s="3" t="s">
        <v>431</v>
      </c>
      <c r="E37" s="34">
        <f t="shared" si="1"/>
        <v>1.8819429999999999</v>
      </c>
      <c r="F37" s="34" t="str">
        <f t="shared" si="1"/>
        <v/>
      </c>
      <c r="G37" s="34" t="str">
        <f t="shared" si="1"/>
        <v/>
      </c>
      <c r="H37" s="34" t="str">
        <f t="shared" si="1"/>
        <v/>
      </c>
      <c r="I37" s="34">
        <f t="shared" si="1"/>
        <v>2.2009470000000002</v>
      </c>
      <c r="J37" s="34" t="str">
        <f t="shared" si="1"/>
        <v/>
      </c>
      <c r="K37" s="34">
        <f t="shared" si="1"/>
        <v>2.6172707999999996</v>
      </c>
      <c r="L37" s="34" t="str">
        <f t="shared" si="1"/>
        <v/>
      </c>
      <c r="M37" s="34">
        <f t="shared" si="1"/>
        <v>3.0298759</v>
      </c>
      <c r="N37" s="34">
        <f t="shared" si="1"/>
        <v>3.2361784500000002</v>
      </c>
      <c r="O37" s="34">
        <f t="shared" si="1"/>
        <v>3.4424810000000003</v>
      </c>
      <c r="P37" s="34">
        <f t="shared" si="1"/>
        <v>3.6487835500000001</v>
      </c>
      <c r="Q37" s="34">
        <f t="shared" si="1"/>
        <v>3.8550861000000003</v>
      </c>
    </row>
    <row r="38" spans="1:17" x14ac:dyDescent="0.3">
      <c r="A38" s="3" t="s">
        <v>378</v>
      </c>
      <c r="B38" s="3" t="str">
        <f>INDEX('R1. Scenario specifications'!$C$11:$C$59,MATCH($A38,'R1. Scenario specifications'!$A$11:$A$59,0))</f>
        <v>Current Policies Scenario, World Energy Outlook 2016</v>
      </c>
      <c r="C38" s="3" t="s">
        <v>266</v>
      </c>
      <c r="D38" s="3" t="s">
        <v>431</v>
      </c>
      <c r="E38" s="34">
        <f t="shared" si="1"/>
        <v>0.44149310000000003</v>
      </c>
      <c r="F38" s="34" t="str">
        <f t="shared" si="1"/>
        <v/>
      </c>
      <c r="G38" s="34" t="str">
        <f t="shared" si="1"/>
        <v/>
      </c>
      <c r="H38" s="34" t="str">
        <f t="shared" si="1"/>
        <v/>
      </c>
      <c r="I38" s="34">
        <f t="shared" si="1"/>
        <v>0.37546589999999996</v>
      </c>
      <c r="J38" s="34" t="str">
        <f t="shared" si="1"/>
        <v/>
      </c>
      <c r="K38" s="34">
        <f t="shared" si="1"/>
        <v>0.30027210000000004</v>
      </c>
      <c r="L38" s="34" t="str">
        <f t="shared" si="1"/>
        <v/>
      </c>
      <c r="M38" s="34">
        <f t="shared" si="1"/>
        <v>0.26401160000000001</v>
      </c>
      <c r="N38" s="34">
        <f t="shared" si="1"/>
        <v>0.24588134999999997</v>
      </c>
      <c r="O38" s="34">
        <f t="shared" si="1"/>
        <v>0.22775109999999996</v>
      </c>
      <c r="P38" s="34">
        <f t="shared" si="1"/>
        <v>0.20962084999999994</v>
      </c>
      <c r="Q38" s="34">
        <f t="shared" si="1"/>
        <v>0.19149059999999993</v>
      </c>
    </row>
    <row r="39" spans="1:17" x14ac:dyDescent="0.3">
      <c r="A39" s="3" t="s">
        <v>378</v>
      </c>
      <c r="B39" s="3" t="str">
        <f>INDEX('R1. Scenario specifications'!$C$11:$C$59,MATCH($A39,'R1. Scenario specifications'!$A$11:$A$59,0))</f>
        <v>Current Policies Scenario, World Energy Outlook 2016</v>
      </c>
      <c r="C39" s="3" t="s">
        <v>255</v>
      </c>
      <c r="D39" s="3" t="s">
        <v>431</v>
      </c>
      <c r="E39" s="34">
        <f t="shared" si="1"/>
        <v>1.5625580999999999</v>
      </c>
      <c r="F39" s="34" t="str">
        <f t="shared" si="1"/>
        <v/>
      </c>
      <c r="G39" s="34" t="str">
        <f t="shared" si="1"/>
        <v/>
      </c>
      <c r="H39" s="34" t="str">
        <f t="shared" si="1"/>
        <v/>
      </c>
      <c r="I39" s="34">
        <f t="shared" si="1"/>
        <v>1.8735452000000001</v>
      </c>
      <c r="J39" s="34" t="str">
        <f t="shared" si="1"/>
        <v/>
      </c>
      <c r="K39" s="34">
        <f t="shared" si="1"/>
        <v>2.4431271999999997</v>
      </c>
      <c r="L39" s="34" t="str">
        <f t="shared" si="1"/>
        <v/>
      </c>
      <c r="M39" s="34">
        <f t="shared" si="1"/>
        <v>3.0350359</v>
      </c>
      <c r="N39" s="34">
        <f t="shared" si="1"/>
        <v>3.3309902499999997</v>
      </c>
      <c r="O39" s="34">
        <f t="shared" si="1"/>
        <v>3.6269445999999999</v>
      </c>
      <c r="P39" s="34">
        <f t="shared" si="1"/>
        <v>3.92289895</v>
      </c>
      <c r="Q39" s="34">
        <f t="shared" si="1"/>
        <v>4.2188533000000001</v>
      </c>
    </row>
    <row r="40" spans="1:17" x14ac:dyDescent="0.3">
      <c r="A40" s="3" t="s">
        <v>378</v>
      </c>
      <c r="B40" s="3" t="str">
        <f>INDEX('R1. Scenario specifications'!$C$11:$C$59,MATCH($A40,'R1. Scenario specifications'!$A$11:$A$59,0))</f>
        <v>Current Policies Scenario, World Energy Outlook 2016</v>
      </c>
      <c r="C40" s="3" t="s">
        <v>257</v>
      </c>
      <c r="D40" s="3" t="s">
        <v>431</v>
      </c>
      <c r="E40" s="34">
        <f t="shared" si="1"/>
        <v>0.39768400000000004</v>
      </c>
      <c r="F40" s="34" t="str">
        <f t="shared" si="1"/>
        <v/>
      </c>
      <c r="G40" s="34" t="str">
        <f t="shared" si="1"/>
        <v/>
      </c>
      <c r="H40" s="34" t="str">
        <f t="shared" si="1"/>
        <v/>
      </c>
      <c r="I40" s="34">
        <f t="shared" si="1"/>
        <v>0.43713299999999999</v>
      </c>
      <c r="J40" s="34" t="str">
        <f t="shared" si="1"/>
        <v/>
      </c>
      <c r="K40" s="34">
        <f t="shared" si="1"/>
        <v>0.48778699999999997</v>
      </c>
      <c r="L40" s="34" t="str">
        <f t="shared" si="1"/>
        <v/>
      </c>
      <c r="M40" s="34">
        <f t="shared" si="1"/>
        <v>0.52855799999999997</v>
      </c>
      <c r="N40" s="34">
        <f t="shared" si="1"/>
        <v>0.54894349999999992</v>
      </c>
      <c r="O40" s="34">
        <f t="shared" si="1"/>
        <v>0.56932899999999997</v>
      </c>
      <c r="P40" s="34">
        <f t="shared" si="1"/>
        <v>0.58971450000000003</v>
      </c>
      <c r="Q40" s="34">
        <f t="shared" si="1"/>
        <v>0.61009999999999998</v>
      </c>
    </row>
    <row r="41" spans="1:17" x14ac:dyDescent="0.3">
      <c r="A41" s="3" t="s">
        <v>378</v>
      </c>
      <c r="B41" s="3" t="str">
        <f>INDEX('R1. Scenario specifications'!$C$11:$C$59,MATCH($A41,'R1. Scenario specifications'!$A$11:$A$59,0))</f>
        <v>Current Policies Scenario, World Energy Outlook 2016</v>
      </c>
      <c r="C41" s="3" t="s">
        <v>256</v>
      </c>
      <c r="D41" s="3" t="s">
        <v>431</v>
      </c>
      <c r="E41" s="34">
        <f t="shared" si="1"/>
        <v>1.1769855</v>
      </c>
      <c r="F41" s="34" t="str">
        <f t="shared" si="1"/>
        <v/>
      </c>
      <c r="G41" s="34" t="str">
        <f t="shared" si="1"/>
        <v/>
      </c>
      <c r="H41" s="34" t="str">
        <f t="shared" si="1"/>
        <v/>
      </c>
      <c r="I41" s="34">
        <f t="shared" si="1"/>
        <v>1.3379193</v>
      </c>
      <c r="J41" s="34" t="str">
        <f t="shared" si="1"/>
        <v/>
      </c>
      <c r="K41" s="34">
        <f t="shared" si="1"/>
        <v>1.5705091</v>
      </c>
      <c r="L41" s="34" t="str">
        <f t="shared" si="1"/>
        <v/>
      </c>
      <c r="M41" s="34">
        <f t="shared" si="1"/>
        <v>1.7703696</v>
      </c>
      <c r="N41" s="34">
        <f t="shared" si="1"/>
        <v>1.8702998499999999</v>
      </c>
      <c r="O41" s="34">
        <f t="shared" si="1"/>
        <v>1.9702301</v>
      </c>
      <c r="P41" s="34">
        <f t="shared" si="1"/>
        <v>2.0701603500000001</v>
      </c>
      <c r="Q41" s="34">
        <f t="shared" si="1"/>
        <v>2.1700906</v>
      </c>
    </row>
    <row r="42" spans="1:17" x14ac:dyDescent="0.3">
      <c r="A42" s="3" t="s">
        <v>378</v>
      </c>
      <c r="B42" s="3" t="str">
        <f>INDEX('R1. Scenario specifications'!$C$11:$C$59,MATCH($A42,'R1. Scenario specifications'!$A$11:$A$59,0))</f>
        <v>Current Policies Scenario, World Energy Outlook 2016</v>
      </c>
      <c r="C42" s="3" t="s">
        <v>253</v>
      </c>
      <c r="D42" s="3" t="s">
        <v>431</v>
      </c>
      <c r="E42" s="34">
        <f t="shared" si="1"/>
        <v>0.1125169</v>
      </c>
      <c r="F42" s="34" t="str">
        <f t="shared" si="1"/>
        <v/>
      </c>
      <c r="G42" s="34" t="str">
        <f t="shared" si="1"/>
        <v/>
      </c>
      <c r="H42" s="34" t="str">
        <f t="shared" si="1"/>
        <v/>
      </c>
      <c r="I42" s="34">
        <f t="shared" si="1"/>
        <v>0.1389214</v>
      </c>
      <c r="J42" s="34" t="str">
        <f t="shared" si="1"/>
        <v/>
      </c>
      <c r="K42" s="34">
        <f t="shared" si="1"/>
        <v>0.1801818</v>
      </c>
      <c r="L42" s="34" t="str">
        <f t="shared" si="1"/>
        <v/>
      </c>
      <c r="M42" s="34">
        <f t="shared" si="1"/>
        <v>0.22253389999999998</v>
      </c>
      <c r="N42" s="34">
        <f t="shared" si="1"/>
        <v>0.24370994999999998</v>
      </c>
      <c r="O42" s="34">
        <f t="shared" si="1"/>
        <v>0.26488599999999995</v>
      </c>
      <c r="P42" s="34">
        <f t="shared" si="1"/>
        <v>0.28606204999999996</v>
      </c>
      <c r="Q42" s="34">
        <f t="shared" si="1"/>
        <v>0.3072380999999999</v>
      </c>
    </row>
    <row r="43" spans="1:17" x14ac:dyDescent="0.3">
      <c r="A43" s="3" t="s">
        <v>378</v>
      </c>
      <c r="B43" s="3" t="str">
        <f>INDEX('R1. Scenario specifications'!$C$11:$C$59,MATCH($A43,'R1. Scenario specifications'!$A$11:$A$59,0))</f>
        <v>Current Policies Scenario, World Energy Outlook 2016</v>
      </c>
      <c r="C43" s="3" t="s">
        <v>259</v>
      </c>
      <c r="D43" s="3" t="s">
        <v>431</v>
      </c>
      <c r="E43" s="34">
        <f t="shared" si="1"/>
        <v>0.18023169999999999</v>
      </c>
      <c r="F43" s="34" t="str">
        <f t="shared" si="1"/>
        <v/>
      </c>
      <c r="G43" s="34" t="str">
        <f t="shared" si="1"/>
        <v/>
      </c>
      <c r="H43" s="34" t="str">
        <f t="shared" si="1"/>
        <v/>
      </c>
      <c r="I43" s="34">
        <f t="shared" si="1"/>
        <v>0.43353809999999998</v>
      </c>
      <c r="J43" s="34" t="str">
        <f t="shared" si="1"/>
        <v/>
      </c>
      <c r="K43" s="34">
        <f t="shared" si="1"/>
        <v>0.73204990000000003</v>
      </c>
      <c r="L43" s="34" t="str">
        <f t="shared" si="1"/>
        <v/>
      </c>
      <c r="M43" s="34">
        <f t="shared" si="1"/>
        <v>1.0408807</v>
      </c>
      <c r="N43" s="34">
        <f t="shared" si="1"/>
        <v>1.1952961</v>
      </c>
      <c r="O43" s="34">
        <f t="shared" si="1"/>
        <v>1.3497115000000002</v>
      </c>
      <c r="P43" s="34">
        <f t="shared" si="1"/>
        <v>1.5041268999999999</v>
      </c>
      <c r="Q43" s="34">
        <f t="shared" si="1"/>
        <v>1.6585423000000001</v>
      </c>
    </row>
    <row r="44" spans="1:17" x14ac:dyDescent="0.3">
      <c r="A44" s="3" t="s">
        <v>378</v>
      </c>
      <c r="B44" s="3" t="str">
        <f>INDEX('R1. Scenario specifications'!$C$11:$C$59,MATCH($A44,'R1. Scenario specifications'!$A$11:$A$59,0))</f>
        <v>Current Policies Scenario, World Energy Outlook 2016</v>
      </c>
      <c r="C44" s="3" t="s">
        <v>260</v>
      </c>
      <c r="D44" s="3" t="s">
        <v>431</v>
      </c>
      <c r="E44" s="34">
        <f t="shared" si="1"/>
        <v>0.35104289999999999</v>
      </c>
      <c r="F44" s="34" t="str">
        <f t="shared" si="1"/>
        <v/>
      </c>
      <c r="G44" s="34" t="str">
        <f t="shared" si="1"/>
        <v/>
      </c>
      <c r="H44" s="34" t="str">
        <f t="shared" si="1"/>
        <v/>
      </c>
      <c r="I44" s="34">
        <f t="shared" si="1"/>
        <v>0.62110119999999991</v>
      </c>
      <c r="J44" s="34" t="str">
        <f t="shared" si="1"/>
        <v/>
      </c>
      <c r="K44" s="34">
        <f t="shared" ref="K44:Q80" si="2">IF(SUMIFS(M$94:M$207,$B$94:$B$207,$A44)=0,"",SUMIFS(M$94:M$207,$B$94:$B$207,$A44,$D$94:$D$207,$C44)/10^3)</f>
        <v>0.94028800000000001</v>
      </c>
      <c r="L44" s="34" t="str">
        <f t="shared" si="2"/>
        <v/>
      </c>
      <c r="M44" s="34">
        <f t="shared" si="2"/>
        <v>1.2142514000000002</v>
      </c>
      <c r="N44" s="34">
        <f t="shared" si="2"/>
        <v>1.3512331000000002</v>
      </c>
      <c r="O44" s="34">
        <f t="shared" si="2"/>
        <v>1.4882148000000002</v>
      </c>
      <c r="P44" s="34">
        <f t="shared" si="2"/>
        <v>1.6251965000000002</v>
      </c>
      <c r="Q44" s="34">
        <f t="shared" si="2"/>
        <v>1.7621782000000004</v>
      </c>
    </row>
    <row r="45" spans="1:17" x14ac:dyDescent="0.3">
      <c r="A45" s="3" t="s">
        <v>378</v>
      </c>
      <c r="B45" s="3" t="str">
        <f>INDEX('R1. Scenario specifications'!$C$11:$C$59,MATCH($A45,'R1. Scenario specifications'!$A$11:$A$59,0))</f>
        <v>Current Policies Scenario, World Energy Outlook 2016</v>
      </c>
      <c r="C45" s="3" t="s">
        <v>258</v>
      </c>
      <c r="D45" s="3" t="s">
        <v>431</v>
      </c>
      <c r="E45" s="34">
        <f t="shared" ref="E45:M85" si="3">IF(SUMIFS(G$94:G$207,$B$94:$B$207,$A45)=0,"",SUMIFS(G$94:G$207,$B$94:$B$207,$A45,$D$94:$D$207,$C45)/10^3)</f>
        <v>1.2940799999999999E-2</v>
      </c>
      <c r="F45" s="34" t="str">
        <f t="shared" si="3"/>
        <v/>
      </c>
      <c r="G45" s="34" t="str">
        <f t="shared" si="3"/>
        <v/>
      </c>
      <c r="H45" s="34" t="str">
        <f t="shared" si="3"/>
        <v/>
      </c>
      <c r="I45" s="34">
        <f t="shared" si="3"/>
        <v>1.74278E-2</v>
      </c>
      <c r="J45" s="34" t="str">
        <f t="shared" si="3"/>
        <v/>
      </c>
      <c r="K45" s="34">
        <f t="shared" si="2"/>
        <v>3.1086900000000001E-2</v>
      </c>
      <c r="L45" s="34" t="str">
        <f t="shared" si="2"/>
        <v/>
      </c>
      <c r="M45" s="34">
        <f t="shared" si="2"/>
        <v>5.5441799999999999E-2</v>
      </c>
      <c r="N45" s="34">
        <f t="shared" si="2"/>
        <v>6.7619249999999992E-2</v>
      </c>
      <c r="O45" s="34">
        <f t="shared" si="2"/>
        <v>7.9796699999999998E-2</v>
      </c>
      <c r="P45" s="34">
        <f t="shared" si="2"/>
        <v>9.1974149999999991E-2</v>
      </c>
      <c r="Q45" s="34">
        <f t="shared" si="2"/>
        <v>0.10415159999999998</v>
      </c>
    </row>
    <row r="46" spans="1:17" x14ac:dyDescent="0.3">
      <c r="A46" s="3" t="s">
        <v>379</v>
      </c>
      <c r="B46" s="3" t="str">
        <f>INDEX('R1. Scenario specifications'!$C$11:$C$59,MATCH($A46,'R1. Scenario specifications'!$A$11:$A$59,0))</f>
        <v>New Policies Scenario, World Energy Outlook 2016</v>
      </c>
      <c r="C46" s="3" t="s">
        <v>254</v>
      </c>
      <c r="D46" s="3" t="s">
        <v>431</v>
      </c>
      <c r="E46" s="34">
        <f t="shared" si="3"/>
        <v>1.8819429999999999</v>
      </c>
      <c r="F46" s="34" t="str">
        <f t="shared" si="3"/>
        <v/>
      </c>
      <c r="G46" s="34" t="str">
        <f t="shared" si="3"/>
        <v/>
      </c>
      <c r="H46" s="34" t="str">
        <f t="shared" si="3"/>
        <v/>
      </c>
      <c r="I46" s="34">
        <f t="shared" si="3"/>
        <v>2.1587581</v>
      </c>
      <c r="J46" s="34">
        <f t="shared" si="3"/>
        <v>2.2275162000000002</v>
      </c>
      <c r="K46" s="34">
        <f t="shared" si="2"/>
        <v>2.3183872000000001</v>
      </c>
      <c r="L46" s="34">
        <f t="shared" si="2"/>
        <v>2.3907881000000004</v>
      </c>
      <c r="M46" s="34">
        <f t="shared" si="2"/>
        <v>2.4374617999999999</v>
      </c>
      <c r="N46" s="34">
        <f t="shared" si="2"/>
        <v>2.4841355000000003</v>
      </c>
      <c r="O46" s="34">
        <f t="shared" si="2"/>
        <v>2.5308091999999998</v>
      </c>
      <c r="P46" s="34">
        <f t="shared" si="2"/>
        <v>2.5774828999999992</v>
      </c>
      <c r="Q46" s="34">
        <f t="shared" si="2"/>
        <v>2.6241565999999983</v>
      </c>
    </row>
    <row r="47" spans="1:17" x14ac:dyDescent="0.3">
      <c r="A47" s="3" t="s">
        <v>379</v>
      </c>
      <c r="B47" s="3" t="str">
        <f>INDEX('R1. Scenario specifications'!$C$11:$C$59,MATCH($A47,'R1. Scenario specifications'!$A$11:$A$59,0))</f>
        <v>New Policies Scenario, World Energy Outlook 2016</v>
      </c>
      <c r="C47" s="3" t="s">
        <v>266</v>
      </c>
      <c r="D47" s="3" t="s">
        <v>431</v>
      </c>
      <c r="E47" s="34">
        <f t="shared" si="3"/>
        <v>0.44149310000000003</v>
      </c>
      <c r="F47" s="34" t="str">
        <f t="shared" si="3"/>
        <v/>
      </c>
      <c r="G47" s="34" t="str">
        <f t="shared" si="3"/>
        <v/>
      </c>
      <c r="H47" s="34" t="str">
        <f t="shared" si="3"/>
        <v/>
      </c>
      <c r="I47" s="34">
        <f t="shared" si="3"/>
        <v>0.3728166</v>
      </c>
      <c r="J47" s="34">
        <f t="shared" si="3"/>
        <v>0.33374619999999999</v>
      </c>
      <c r="K47" s="34">
        <f t="shared" si="2"/>
        <v>0.29212329999999997</v>
      </c>
      <c r="L47" s="34">
        <f t="shared" si="2"/>
        <v>0.27324419999999999</v>
      </c>
      <c r="M47" s="34">
        <f t="shared" si="2"/>
        <v>0.25414740000000002</v>
      </c>
      <c r="N47" s="34">
        <f t="shared" si="2"/>
        <v>0.2350506000000005</v>
      </c>
      <c r="O47" s="34">
        <f t="shared" si="2"/>
        <v>0.21595380000000022</v>
      </c>
      <c r="P47" s="34">
        <f t="shared" si="2"/>
        <v>0.19685699999999998</v>
      </c>
      <c r="Q47" s="34">
        <f t="shared" si="2"/>
        <v>0.17776020000000062</v>
      </c>
    </row>
    <row r="48" spans="1:17" x14ac:dyDescent="0.3">
      <c r="A48" s="3" t="s">
        <v>379</v>
      </c>
      <c r="B48" s="3" t="str">
        <f>INDEX('R1. Scenario specifications'!$C$11:$C$59,MATCH($A48,'R1. Scenario specifications'!$A$11:$A$59,0))</f>
        <v>New Policies Scenario, World Energy Outlook 2016</v>
      </c>
      <c r="C48" s="3" t="s">
        <v>255</v>
      </c>
      <c r="D48" s="3" t="s">
        <v>431</v>
      </c>
      <c r="E48" s="34">
        <f t="shared" si="3"/>
        <v>1.5625580999999999</v>
      </c>
      <c r="F48" s="34" t="str">
        <f t="shared" si="3"/>
        <v/>
      </c>
      <c r="G48" s="34" t="str">
        <f t="shared" si="3"/>
        <v/>
      </c>
      <c r="H48" s="34" t="str">
        <f t="shared" si="3"/>
        <v/>
      </c>
      <c r="I48" s="34">
        <f t="shared" si="3"/>
        <v>1.8438462999999998</v>
      </c>
      <c r="J48" s="34">
        <f t="shared" si="3"/>
        <v>2.0293722000000001</v>
      </c>
      <c r="K48" s="34">
        <f t="shared" si="2"/>
        <v>2.2623764999999998</v>
      </c>
      <c r="L48" s="34">
        <f t="shared" si="2"/>
        <v>2.4872828</v>
      </c>
      <c r="M48" s="34">
        <f t="shared" si="2"/>
        <v>2.7027813000000003</v>
      </c>
      <c r="N48" s="34">
        <f t="shared" si="2"/>
        <v>2.9182797999999894</v>
      </c>
      <c r="O48" s="34">
        <f t="shared" si="2"/>
        <v>3.133778299999991</v>
      </c>
      <c r="P48" s="34">
        <f t="shared" si="2"/>
        <v>3.3492767999999922</v>
      </c>
      <c r="Q48" s="34">
        <f t="shared" si="2"/>
        <v>3.5647752999999938</v>
      </c>
    </row>
    <row r="49" spans="1:17" x14ac:dyDescent="0.3">
      <c r="A49" s="3" t="s">
        <v>379</v>
      </c>
      <c r="B49" s="3" t="str">
        <f>INDEX('R1. Scenario specifications'!$C$11:$C$59,MATCH($A49,'R1. Scenario specifications'!$A$11:$A$59,0))</f>
        <v>New Policies Scenario, World Energy Outlook 2016</v>
      </c>
      <c r="C49" s="3" t="s">
        <v>257</v>
      </c>
      <c r="D49" s="3" t="s">
        <v>431</v>
      </c>
      <c r="E49" s="34">
        <f t="shared" si="3"/>
        <v>0.39768400000000004</v>
      </c>
      <c r="F49" s="34" t="str">
        <f t="shared" si="3"/>
        <v/>
      </c>
      <c r="G49" s="34" t="str">
        <f t="shared" si="3"/>
        <v/>
      </c>
      <c r="H49" s="34" t="str">
        <f t="shared" si="3"/>
        <v/>
      </c>
      <c r="I49" s="34">
        <f t="shared" si="3"/>
        <v>0.438365</v>
      </c>
      <c r="J49" s="34">
        <f t="shared" si="3"/>
        <v>0.46804800000000002</v>
      </c>
      <c r="K49" s="34">
        <f t="shared" si="2"/>
        <v>0.51998100000000003</v>
      </c>
      <c r="L49" s="34">
        <f t="shared" si="2"/>
        <v>0.56546099999999999</v>
      </c>
      <c r="M49" s="34">
        <f t="shared" si="2"/>
        <v>0.60623400000000005</v>
      </c>
      <c r="N49" s="34">
        <f t="shared" si="2"/>
        <v>0.64700699999999778</v>
      </c>
      <c r="O49" s="34">
        <f t="shared" si="2"/>
        <v>0.68777999999999884</v>
      </c>
      <c r="P49" s="34">
        <f t="shared" si="2"/>
        <v>0.7285529999999999</v>
      </c>
      <c r="Q49" s="34">
        <f t="shared" si="2"/>
        <v>0.76932600000000095</v>
      </c>
    </row>
    <row r="50" spans="1:17" x14ac:dyDescent="0.3">
      <c r="A50" s="3" t="s">
        <v>379</v>
      </c>
      <c r="B50" s="3" t="str">
        <f>INDEX('R1. Scenario specifications'!$C$11:$C$59,MATCH($A50,'R1. Scenario specifications'!$A$11:$A$59,0))</f>
        <v>New Policies Scenario, World Energy Outlook 2016</v>
      </c>
      <c r="C50" s="3" t="s">
        <v>256</v>
      </c>
      <c r="D50" s="3" t="s">
        <v>431</v>
      </c>
      <c r="E50" s="34">
        <f t="shared" si="3"/>
        <v>1.1769855</v>
      </c>
      <c r="F50" s="34" t="str">
        <f t="shared" si="3"/>
        <v/>
      </c>
      <c r="G50" s="34" t="str">
        <f t="shared" si="3"/>
        <v/>
      </c>
      <c r="H50" s="34" t="str">
        <f t="shared" si="3"/>
        <v/>
      </c>
      <c r="I50" s="34">
        <f t="shared" si="3"/>
        <v>1.3452045000000001</v>
      </c>
      <c r="J50" s="34">
        <f t="shared" si="3"/>
        <v>1.483897</v>
      </c>
      <c r="K50" s="34">
        <f t="shared" si="2"/>
        <v>1.6220486000000001</v>
      </c>
      <c r="L50" s="34">
        <f t="shared" si="2"/>
        <v>1.7453448</v>
      </c>
      <c r="M50" s="34">
        <f t="shared" si="2"/>
        <v>1.8476301000000002</v>
      </c>
      <c r="N50" s="34">
        <f t="shared" si="2"/>
        <v>1.9499153999999981</v>
      </c>
      <c r="O50" s="34">
        <f t="shared" si="2"/>
        <v>2.0522007000000011</v>
      </c>
      <c r="P50" s="34">
        <f t="shared" si="2"/>
        <v>2.1544859999999972</v>
      </c>
      <c r="Q50" s="34">
        <f t="shared" si="2"/>
        <v>2.2567713000000005</v>
      </c>
    </row>
    <row r="51" spans="1:17" x14ac:dyDescent="0.3">
      <c r="A51" s="3" t="s">
        <v>379</v>
      </c>
      <c r="B51" s="3" t="str">
        <f>INDEX('R1. Scenario specifications'!$C$11:$C$59,MATCH($A51,'R1. Scenario specifications'!$A$11:$A$59,0))</f>
        <v>New Policies Scenario, World Energy Outlook 2016</v>
      </c>
      <c r="C51" s="3" t="s">
        <v>253</v>
      </c>
      <c r="D51" s="3" t="s">
        <v>431</v>
      </c>
      <c r="E51" s="34">
        <f t="shared" si="3"/>
        <v>0.1125169</v>
      </c>
      <c r="F51" s="34" t="str">
        <f t="shared" si="3"/>
        <v/>
      </c>
      <c r="G51" s="34" t="str">
        <f t="shared" si="3"/>
        <v/>
      </c>
      <c r="H51" s="34" t="str">
        <f t="shared" si="3"/>
        <v/>
      </c>
      <c r="I51" s="34">
        <f t="shared" si="3"/>
        <v>0.14031299999999999</v>
      </c>
      <c r="J51" s="34">
        <f t="shared" si="3"/>
        <v>0.1657178</v>
      </c>
      <c r="K51" s="34">
        <f t="shared" si="2"/>
        <v>0.19471479999999999</v>
      </c>
      <c r="L51" s="34">
        <f t="shared" si="2"/>
        <v>0.226441</v>
      </c>
      <c r="M51" s="34">
        <f t="shared" si="2"/>
        <v>0.25948209999999999</v>
      </c>
      <c r="N51" s="34">
        <f t="shared" si="2"/>
        <v>0.29252319999999965</v>
      </c>
      <c r="O51" s="34">
        <f t="shared" si="2"/>
        <v>0.32556430000000003</v>
      </c>
      <c r="P51" s="34">
        <f t="shared" si="2"/>
        <v>0.35860540000000035</v>
      </c>
      <c r="Q51" s="34">
        <f t="shared" si="2"/>
        <v>0.39164650000000073</v>
      </c>
    </row>
    <row r="52" spans="1:17" x14ac:dyDescent="0.3">
      <c r="A52" s="3" t="s">
        <v>379</v>
      </c>
      <c r="B52" s="3" t="str">
        <f>INDEX('R1. Scenario specifications'!$C$11:$C$59,MATCH($A52,'R1. Scenario specifications'!$A$11:$A$59,0))</f>
        <v>New Policies Scenario, World Energy Outlook 2016</v>
      </c>
      <c r="C52" s="3" t="s">
        <v>259</v>
      </c>
      <c r="D52" s="3" t="s">
        <v>431</v>
      </c>
      <c r="E52" s="34">
        <f t="shared" si="3"/>
        <v>0.18023169999999999</v>
      </c>
      <c r="F52" s="34" t="str">
        <f t="shared" si="3"/>
        <v/>
      </c>
      <c r="G52" s="34" t="str">
        <f t="shared" si="3"/>
        <v/>
      </c>
      <c r="H52" s="34" t="str">
        <f t="shared" si="3"/>
        <v/>
      </c>
      <c r="I52" s="34">
        <f t="shared" si="3"/>
        <v>0.49161830000000001</v>
      </c>
      <c r="J52" s="34">
        <f t="shared" si="3"/>
        <v>0.73442589999999996</v>
      </c>
      <c r="K52" s="34">
        <f t="shared" si="2"/>
        <v>0.9834653000000001</v>
      </c>
      <c r="L52" s="34">
        <f t="shared" si="2"/>
        <v>1.2363535000000001</v>
      </c>
      <c r="M52" s="34">
        <f t="shared" si="2"/>
        <v>1.4805432000000001</v>
      </c>
      <c r="N52" s="34">
        <f t="shared" si="2"/>
        <v>1.7247328999999991</v>
      </c>
      <c r="O52" s="34">
        <f t="shared" si="2"/>
        <v>1.9689225999999926</v>
      </c>
      <c r="P52" s="34">
        <f t="shared" si="2"/>
        <v>2.2131122999999842</v>
      </c>
      <c r="Q52" s="34">
        <f t="shared" si="2"/>
        <v>2.4573019999999923</v>
      </c>
    </row>
    <row r="53" spans="1:17" x14ac:dyDescent="0.3">
      <c r="A53" s="3" t="s">
        <v>379</v>
      </c>
      <c r="B53" s="3" t="str">
        <f>INDEX('R1. Scenario specifications'!$C$11:$C$59,MATCH($A53,'R1. Scenario specifications'!$A$11:$A$59,0))</f>
        <v>New Policies Scenario, World Energy Outlook 2016</v>
      </c>
      <c r="C53" s="3" t="s">
        <v>260</v>
      </c>
      <c r="D53" s="3" t="s">
        <v>431</v>
      </c>
      <c r="E53" s="34">
        <f t="shared" si="3"/>
        <v>0.35104289999999999</v>
      </c>
      <c r="F53" s="34" t="str">
        <f t="shared" si="3"/>
        <v/>
      </c>
      <c r="G53" s="34" t="str">
        <f t="shared" si="3"/>
        <v/>
      </c>
      <c r="H53" s="34" t="str">
        <f t="shared" si="3"/>
        <v/>
      </c>
      <c r="I53" s="34">
        <f t="shared" si="3"/>
        <v>0.67027499999999995</v>
      </c>
      <c r="J53" s="34">
        <f t="shared" si="3"/>
        <v>0.90343479999999998</v>
      </c>
      <c r="K53" s="34">
        <f t="shared" si="2"/>
        <v>1.1191264000000001</v>
      </c>
      <c r="L53" s="34">
        <f t="shared" si="2"/>
        <v>1.3193071999999999</v>
      </c>
      <c r="M53" s="34">
        <f t="shared" si="2"/>
        <v>1.5041343</v>
      </c>
      <c r="N53" s="34">
        <f t="shared" si="2"/>
        <v>1.6889614000000002</v>
      </c>
      <c r="O53" s="34">
        <f t="shared" si="2"/>
        <v>1.8737884999999952</v>
      </c>
      <c r="P53" s="34">
        <f t="shared" si="2"/>
        <v>2.0586155999999902</v>
      </c>
      <c r="Q53" s="34">
        <f t="shared" si="2"/>
        <v>2.2434426999999997</v>
      </c>
    </row>
    <row r="54" spans="1:17" x14ac:dyDescent="0.3">
      <c r="A54" s="3" t="s">
        <v>379</v>
      </c>
      <c r="B54" s="3" t="str">
        <f>INDEX('R1. Scenario specifications'!$C$11:$C$59,MATCH($A54,'R1. Scenario specifications'!$A$11:$A$59,0))</f>
        <v>New Policies Scenario, World Energy Outlook 2016</v>
      </c>
      <c r="C54" s="3" t="s">
        <v>258</v>
      </c>
      <c r="D54" s="3" t="s">
        <v>431</v>
      </c>
      <c r="E54" s="34">
        <f t="shared" si="3"/>
        <v>1.2940799999999999E-2</v>
      </c>
      <c r="F54" s="34" t="str">
        <f t="shared" si="3"/>
        <v/>
      </c>
      <c r="G54" s="34" t="str">
        <f t="shared" si="3"/>
        <v/>
      </c>
      <c r="H54" s="34" t="str">
        <f t="shared" si="3"/>
        <v/>
      </c>
      <c r="I54" s="34">
        <f t="shared" si="3"/>
        <v>1.8191600000000002E-2</v>
      </c>
      <c r="J54" s="34">
        <f t="shared" si="3"/>
        <v>2.5273E-2</v>
      </c>
      <c r="K54" s="34">
        <f t="shared" si="2"/>
        <v>3.7114500000000002E-2</v>
      </c>
      <c r="L54" s="34">
        <f t="shared" si="2"/>
        <v>5.4376999999999995E-2</v>
      </c>
      <c r="M54" s="34">
        <f t="shared" si="2"/>
        <v>7.5953100000000009E-2</v>
      </c>
      <c r="N54" s="34">
        <f t="shared" si="2"/>
        <v>9.7529200000000399E-2</v>
      </c>
      <c r="O54" s="34">
        <f t="shared" si="2"/>
        <v>0.11910530000000108</v>
      </c>
      <c r="P54" s="34">
        <f t="shared" si="2"/>
        <v>0.1406814000000004</v>
      </c>
      <c r="Q54" s="34">
        <f t="shared" si="2"/>
        <v>0.16225750000000017</v>
      </c>
    </row>
    <row r="55" spans="1:17" x14ac:dyDescent="0.3">
      <c r="A55" s="3" t="s">
        <v>380</v>
      </c>
      <c r="B55" s="3" t="str">
        <f>INDEX('R1. Scenario specifications'!$C$11:$C$59,MATCH($A55,'R1. Scenario specifications'!$A$11:$A$59,0))</f>
        <v>450 Scenario, World Energy Outlook 2016</v>
      </c>
      <c r="C55" s="3" t="s">
        <v>254</v>
      </c>
      <c r="D55" s="3" t="s">
        <v>431</v>
      </c>
      <c r="E55" s="34">
        <f t="shared" si="3"/>
        <v>1.8819429999999999</v>
      </c>
      <c r="F55" s="34" t="str">
        <f t="shared" si="3"/>
        <v/>
      </c>
      <c r="G55" s="34" t="str">
        <f t="shared" si="3"/>
        <v/>
      </c>
      <c r="H55" s="34" t="str">
        <f t="shared" si="3"/>
        <v/>
      </c>
      <c r="I55" s="34">
        <f t="shared" si="3"/>
        <v>2.0939652999999998</v>
      </c>
      <c r="J55" s="34" t="str">
        <f t="shared" si="3"/>
        <v/>
      </c>
      <c r="K55" s="34">
        <f t="shared" si="2"/>
        <v>1.6867897000000001</v>
      </c>
      <c r="L55" s="34" t="str">
        <f t="shared" si="2"/>
        <v/>
      </c>
      <c r="M55" s="34">
        <f t="shared" si="2"/>
        <v>1.1936900000000001</v>
      </c>
      <c r="N55" s="34">
        <f t="shared" si="2"/>
        <v>0.94714015000000007</v>
      </c>
      <c r="O55" s="34">
        <f t="shared" si="2"/>
        <v>0.70059030000000011</v>
      </c>
      <c r="P55" s="34">
        <f t="shared" si="2"/>
        <v>0.4540404500000001</v>
      </c>
      <c r="Q55" s="34">
        <f t="shared" si="2"/>
        <v>0.20749060000000019</v>
      </c>
    </row>
    <row r="56" spans="1:17" x14ac:dyDescent="0.3">
      <c r="A56" s="3" t="s">
        <v>380</v>
      </c>
      <c r="B56" s="3" t="str">
        <f>INDEX('R1. Scenario specifications'!$C$11:$C$59,MATCH($A56,'R1. Scenario specifications'!$A$11:$A$59,0))</f>
        <v>450 Scenario, World Energy Outlook 2016</v>
      </c>
      <c r="C56" s="3" t="s">
        <v>266</v>
      </c>
      <c r="D56" s="3" t="s">
        <v>431</v>
      </c>
      <c r="E56" s="34">
        <f t="shared" si="3"/>
        <v>0.44149310000000003</v>
      </c>
      <c r="F56" s="34" t="str">
        <f t="shared" si="3"/>
        <v/>
      </c>
      <c r="G56" s="34" t="str">
        <f t="shared" si="3"/>
        <v/>
      </c>
      <c r="H56" s="34" t="str">
        <f t="shared" si="3"/>
        <v/>
      </c>
      <c r="I56" s="34">
        <f t="shared" si="3"/>
        <v>0.36679869999999998</v>
      </c>
      <c r="J56" s="34" t="str">
        <f t="shared" si="3"/>
        <v/>
      </c>
      <c r="K56" s="34">
        <f t="shared" si="2"/>
        <v>0.26125609999999999</v>
      </c>
      <c r="L56" s="34" t="str">
        <f t="shared" si="2"/>
        <v/>
      </c>
      <c r="M56" s="34">
        <f t="shared" si="2"/>
        <v>0.2105995</v>
      </c>
      <c r="N56" s="34">
        <f t="shared" si="2"/>
        <v>0.18527120000000002</v>
      </c>
      <c r="O56" s="34">
        <f t="shared" si="2"/>
        <v>0.1599429</v>
      </c>
      <c r="P56" s="34">
        <f t="shared" si="2"/>
        <v>0.1346146</v>
      </c>
      <c r="Q56" s="34">
        <f t="shared" si="2"/>
        <v>0.10928630000000002</v>
      </c>
    </row>
    <row r="57" spans="1:17" x14ac:dyDescent="0.3">
      <c r="A57" s="3" t="s">
        <v>380</v>
      </c>
      <c r="B57" s="3" t="str">
        <f>INDEX('R1. Scenario specifications'!$C$11:$C$59,MATCH($A57,'R1. Scenario specifications'!$A$11:$A$59,0))</f>
        <v>450 Scenario, World Energy Outlook 2016</v>
      </c>
      <c r="C57" s="3" t="s">
        <v>255</v>
      </c>
      <c r="D57" s="3" t="s">
        <v>431</v>
      </c>
      <c r="E57" s="34">
        <f t="shared" si="3"/>
        <v>1.5625580999999999</v>
      </c>
      <c r="F57" s="34" t="str">
        <f t="shared" si="3"/>
        <v/>
      </c>
      <c r="G57" s="34" t="str">
        <f t="shared" si="3"/>
        <v/>
      </c>
      <c r="H57" s="34" t="str">
        <f t="shared" si="3"/>
        <v/>
      </c>
      <c r="I57" s="34">
        <f t="shared" si="3"/>
        <v>1.7885685</v>
      </c>
      <c r="J57" s="34" t="str">
        <f t="shared" si="3"/>
        <v/>
      </c>
      <c r="K57" s="34">
        <f t="shared" si="2"/>
        <v>2.0096341</v>
      </c>
      <c r="L57" s="34" t="str">
        <f t="shared" si="2"/>
        <v/>
      </c>
      <c r="M57" s="34">
        <f t="shared" si="2"/>
        <v>2.2508498000000001</v>
      </c>
      <c r="N57" s="34">
        <f t="shared" si="2"/>
        <v>2.37145765</v>
      </c>
      <c r="O57" s="34">
        <f t="shared" si="2"/>
        <v>2.4920654999999998</v>
      </c>
      <c r="P57" s="34">
        <f t="shared" si="2"/>
        <v>2.6126733500000001</v>
      </c>
      <c r="Q57" s="34">
        <f t="shared" si="2"/>
        <v>2.7332812</v>
      </c>
    </row>
    <row r="58" spans="1:17" x14ac:dyDescent="0.3">
      <c r="A58" s="3" t="s">
        <v>380</v>
      </c>
      <c r="B58" s="3" t="str">
        <f>INDEX('R1. Scenario specifications'!$C$11:$C$59,MATCH($A58,'R1. Scenario specifications'!$A$11:$A$59,0))</f>
        <v>450 Scenario, World Energy Outlook 2016</v>
      </c>
      <c r="C58" s="3" t="s">
        <v>257</v>
      </c>
      <c r="D58" s="3" t="s">
        <v>431</v>
      </c>
      <c r="E58" s="34">
        <f t="shared" si="3"/>
        <v>0.39768400000000004</v>
      </c>
      <c r="F58" s="34" t="str">
        <f t="shared" si="3"/>
        <v/>
      </c>
      <c r="G58" s="34" t="str">
        <f t="shared" si="3"/>
        <v/>
      </c>
      <c r="H58" s="34" t="str">
        <f t="shared" si="3"/>
        <v/>
      </c>
      <c r="I58" s="34">
        <f t="shared" si="3"/>
        <v>0.44884199999999996</v>
      </c>
      <c r="J58" s="34" t="str">
        <f t="shared" si="3"/>
        <v/>
      </c>
      <c r="K58" s="34">
        <f t="shared" si="2"/>
        <v>0.64179439999999999</v>
      </c>
      <c r="L58" s="34" t="str">
        <f t="shared" si="2"/>
        <v/>
      </c>
      <c r="M58" s="34">
        <f t="shared" si="2"/>
        <v>0.81965650000000001</v>
      </c>
      <c r="N58" s="34">
        <f t="shared" si="2"/>
        <v>0.90858755000000013</v>
      </c>
      <c r="O58" s="34">
        <f t="shared" si="2"/>
        <v>0.99751860000000014</v>
      </c>
      <c r="P58" s="34">
        <f t="shared" si="2"/>
        <v>1.08644965</v>
      </c>
      <c r="Q58" s="34">
        <f t="shared" si="2"/>
        <v>1.1753807000000001</v>
      </c>
    </row>
    <row r="59" spans="1:17" x14ac:dyDescent="0.3">
      <c r="A59" s="3" t="s">
        <v>380</v>
      </c>
      <c r="B59" s="3" t="str">
        <f>INDEX('R1. Scenario specifications'!$C$11:$C$59,MATCH($A59,'R1. Scenario specifications'!$A$11:$A$59,0))</f>
        <v>450 Scenario, World Energy Outlook 2016</v>
      </c>
      <c r="C59" s="3" t="s">
        <v>256</v>
      </c>
      <c r="D59" s="3" t="s">
        <v>431</v>
      </c>
      <c r="E59" s="34">
        <f t="shared" si="3"/>
        <v>1.1769855</v>
      </c>
      <c r="F59" s="34" t="str">
        <f t="shared" si="3"/>
        <v/>
      </c>
      <c r="G59" s="34" t="str">
        <f t="shared" si="3"/>
        <v/>
      </c>
      <c r="H59" s="34" t="str">
        <f t="shared" si="3"/>
        <v/>
      </c>
      <c r="I59" s="34">
        <f t="shared" si="3"/>
        <v>1.3477327000000001</v>
      </c>
      <c r="J59" s="34" t="str">
        <f t="shared" si="3"/>
        <v/>
      </c>
      <c r="K59" s="34">
        <f t="shared" si="2"/>
        <v>1.7180426</v>
      </c>
      <c r="L59" s="34" t="str">
        <f t="shared" si="2"/>
        <v/>
      </c>
      <c r="M59" s="34">
        <f t="shared" si="2"/>
        <v>2.0569617999999998</v>
      </c>
      <c r="N59" s="34">
        <f t="shared" si="2"/>
        <v>2.2264214</v>
      </c>
      <c r="O59" s="34">
        <f t="shared" si="2"/>
        <v>2.3958810000000001</v>
      </c>
      <c r="P59" s="34">
        <f t="shared" si="2"/>
        <v>2.5653405999999999</v>
      </c>
      <c r="Q59" s="34">
        <f t="shared" si="2"/>
        <v>2.7348002</v>
      </c>
    </row>
    <row r="60" spans="1:17" x14ac:dyDescent="0.3">
      <c r="A60" s="3" t="s">
        <v>380</v>
      </c>
      <c r="B60" s="3" t="str">
        <f>INDEX('R1. Scenario specifications'!$C$11:$C$59,MATCH($A60,'R1. Scenario specifications'!$A$11:$A$59,0))</f>
        <v>450 Scenario, World Energy Outlook 2016</v>
      </c>
      <c r="C60" s="3" t="s">
        <v>253</v>
      </c>
      <c r="D60" s="3" t="s">
        <v>431</v>
      </c>
      <c r="E60" s="34">
        <f t="shared" si="3"/>
        <v>0.1125169</v>
      </c>
      <c r="F60" s="34" t="str">
        <f t="shared" si="3"/>
        <v/>
      </c>
      <c r="G60" s="34" t="str">
        <f t="shared" si="3"/>
        <v/>
      </c>
      <c r="H60" s="34" t="str">
        <f t="shared" si="3"/>
        <v/>
      </c>
      <c r="I60" s="34">
        <f t="shared" si="3"/>
        <v>0.14129359999999999</v>
      </c>
      <c r="J60" s="34" t="str">
        <f t="shared" si="3"/>
        <v/>
      </c>
      <c r="K60" s="34">
        <f t="shared" si="2"/>
        <v>0.23348840000000001</v>
      </c>
      <c r="L60" s="34" t="str">
        <f t="shared" si="2"/>
        <v/>
      </c>
      <c r="M60" s="34">
        <f t="shared" si="2"/>
        <v>0.3622688</v>
      </c>
      <c r="N60" s="34">
        <f t="shared" si="2"/>
        <v>0.42665900000000001</v>
      </c>
      <c r="O60" s="34">
        <f t="shared" si="2"/>
        <v>0.49104919999999996</v>
      </c>
      <c r="P60" s="34">
        <f t="shared" si="2"/>
        <v>0.55543940000000003</v>
      </c>
      <c r="Q60" s="34">
        <f t="shared" si="2"/>
        <v>0.61982959999999998</v>
      </c>
    </row>
    <row r="61" spans="1:17" x14ac:dyDescent="0.3">
      <c r="A61" s="3" t="s">
        <v>380</v>
      </c>
      <c r="B61" s="3" t="str">
        <f>INDEX('R1. Scenario specifications'!$C$11:$C$59,MATCH($A61,'R1. Scenario specifications'!$A$11:$A$59,0))</f>
        <v>450 Scenario, World Energy Outlook 2016</v>
      </c>
      <c r="C61" s="3" t="s">
        <v>259</v>
      </c>
      <c r="D61" s="3" t="s">
        <v>431</v>
      </c>
      <c r="E61" s="34">
        <f t="shared" si="3"/>
        <v>0.18023169999999999</v>
      </c>
      <c r="F61" s="34" t="str">
        <f t="shared" si="3"/>
        <v/>
      </c>
      <c r="G61" s="34" t="str">
        <f t="shared" si="3"/>
        <v/>
      </c>
      <c r="H61" s="34" t="str">
        <f t="shared" si="3"/>
        <v/>
      </c>
      <c r="I61" s="34">
        <f t="shared" si="3"/>
        <v>0.53052759999999999</v>
      </c>
      <c r="J61" s="34" t="str">
        <f t="shared" si="3"/>
        <v/>
      </c>
      <c r="K61" s="34">
        <f t="shared" si="2"/>
        <v>1.3788385000000001</v>
      </c>
      <c r="L61" s="34" t="str">
        <f t="shared" si="2"/>
        <v/>
      </c>
      <c r="M61" s="34">
        <f t="shared" si="2"/>
        <v>2.4445135000000002</v>
      </c>
      <c r="N61" s="34">
        <f t="shared" si="2"/>
        <v>2.9773510000000005</v>
      </c>
      <c r="O61" s="34">
        <f t="shared" si="2"/>
        <v>3.5101885000000004</v>
      </c>
      <c r="P61" s="34">
        <f t="shared" si="2"/>
        <v>4.0430260000000002</v>
      </c>
      <c r="Q61" s="34">
        <f t="shared" si="2"/>
        <v>4.5758635000000005</v>
      </c>
    </row>
    <row r="62" spans="1:17" x14ac:dyDescent="0.3">
      <c r="A62" s="3" t="s">
        <v>380</v>
      </c>
      <c r="B62" s="3" t="str">
        <f>INDEX('R1. Scenario specifications'!$C$11:$C$59,MATCH($A62,'R1. Scenario specifications'!$A$11:$A$59,0))</f>
        <v>450 Scenario, World Energy Outlook 2016</v>
      </c>
      <c r="C62" s="3" t="s">
        <v>260</v>
      </c>
      <c r="D62" s="3" t="s">
        <v>431</v>
      </c>
      <c r="E62" s="34">
        <f t="shared" si="3"/>
        <v>0.35104289999999999</v>
      </c>
      <c r="F62" s="34" t="str">
        <f t="shared" si="3"/>
        <v/>
      </c>
      <c r="G62" s="34" t="str">
        <f t="shared" si="3"/>
        <v/>
      </c>
      <c r="H62" s="34" t="str">
        <f t="shared" si="3"/>
        <v/>
      </c>
      <c r="I62" s="34">
        <f t="shared" si="3"/>
        <v>0.71048739999999999</v>
      </c>
      <c r="J62" s="34" t="str">
        <f t="shared" si="3"/>
        <v/>
      </c>
      <c r="K62" s="34">
        <f t="shared" si="2"/>
        <v>1.5722202999999999</v>
      </c>
      <c r="L62" s="34" t="str">
        <f t="shared" si="2"/>
        <v/>
      </c>
      <c r="M62" s="34">
        <f t="shared" si="2"/>
        <v>2.3115194000000003</v>
      </c>
      <c r="N62" s="34">
        <f t="shared" si="2"/>
        <v>2.6811689500000004</v>
      </c>
      <c r="O62" s="34">
        <f t="shared" si="2"/>
        <v>3.0508185000000001</v>
      </c>
      <c r="P62" s="34">
        <f t="shared" si="2"/>
        <v>3.4204680500000002</v>
      </c>
      <c r="Q62" s="34">
        <f t="shared" si="2"/>
        <v>3.7901176000000003</v>
      </c>
    </row>
    <row r="63" spans="1:17" x14ac:dyDescent="0.3">
      <c r="A63" s="3" t="s">
        <v>380</v>
      </c>
      <c r="B63" s="3" t="str">
        <f>INDEX('R1. Scenario specifications'!$C$11:$C$59,MATCH($A63,'R1. Scenario specifications'!$A$11:$A$59,0))</f>
        <v>450 Scenario, World Energy Outlook 2016</v>
      </c>
      <c r="C63" s="3" t="s">
        <v>258</v>
      </c>
      <c r="D63" s="3" t="s">
        <v>431</v>
      </c>
      <c r="E63" s="34">
        <f t="shared" si="3"/>
        <v>1.2940799999999999E-2</v>
      </c>
      <c r="F63" s="34" t="str">
        <f t="shared" si="3"/>
        <v/>
      </c>
      <c r="G63" s="34" t="str">
        <f t="shared" si="3"/>
        <v/>
      </c>
      <c r="H63" s="34" t="str">
        <f t="shared" si="3"/>
        <v/>
      </c>
      <c r="I63" s="34">
        <f t="shared" si="3"/>
        <v>1.8714700000000001E-2</v>
      </c>
      <c r="J63" s="34" t="str">
        <f t="shared" si="3"/>
        <v/>
      </c>
      <c r="K63" s="34">
        <f t="shared" si="2"/>
        <v>5.2268000000000002E-2</v>
      </c>
      <c r="L63" s="34" t="str">
        <f t="shared" si="2"/>
        <v/>
      </c>
      <c r="M63" s="34">
        <f t="shared" si="2"/>
        <v>0.1161531</v>
      </c>
      <c r="N63" s="34">
        <f t="shared" si="2"/>
        <v>0.14809565</v>
      </c>
      <c r="O63" s="34">
        <f t="shared" si="2"/>
        <v>0.18003820000000001</v>
      </c>
      <c r="P63" s="34">
        <f t="shared" si="2"/>
        <v>0.21198075</v>
      </c>
      <c r="Q63" s="34">
        <f t="shared" si="2"/>
        <v>0.24392329999999998</v>
      </c>
    </row>
    <row r="64" spans="1:17" x14ac:dyDescent="0.3">
      <c r="A64" s="3" t="s">
        <v>381</v>
      </c>
      <c r="B64" s="3" t="str">
        <f>INDEX('R1. Scenario specifications'!$C$11:$C$59,MATCH($A64,'R1. Scenario specifications'!$A$11:$A$59,0))</f>
        <v>Reference Technologies Scenario, Energy Technology Perspectives 2017</v>
      </c>
      <c r="C64" s="3" t="s">
        <v>254</v>
      </c>
      <c r="D64" s="3" t="s">
        <v>431</v>
      </c>
      <c r="E64" s="34">
        <f t="shared" si="3"/>
        <v>1.7603680667874486</v>
      </c>
      <c r="F64" s="34" t="str">
        <f t="shared" si="3"/>
        <v/>
      </c>
      <c r="G64" s="34" t="str">
        <f t="shared" si="3"/>
        <v/>
      </c>
      <c r="H64" s="34" t="str">
        <f t="shared" si="3"/>
        <v/>
      </c>
      <c r="I64" s="34">
        <f t="shared" si="3"/>
        <v>1.8953462550197988</v>
      </c>
      <c r="J64" s="34">
        <f t="shared" si="3"/>
        <v>2.007828078546757</v>
      </c>
      <c r="K64" s="34">
        <f t="shared" si="2"/>
        <v>2.1103833311817501</v>
      </c>
      <c r="L64" s="34">
        <f t="shared" si="2"/>
        <v>2.2029363936034492</v>
      </c>
      <c r="M64" s="34">
        <f t="shared" si="2"/>
        <v>2.3288544371896802</v>
      </c>
      <c r="N64" s="34">
        <f t="shared" si="2"/>
        <v>2.3531556802234488</v>
      </c>
      <c r="O64" s="34">
        <f t="shared" si="2"/>
        <v>2.2224459844650202</v>
      </c>
      <c r="P64" s="34">
        <f t="shared" si="2"/>
        <v>2.1697639453699109</v>
      </c>
      <c r="Q64" s="34">
        <f t="shared" si="2"/>
        <v>1.9253354515206493</v>
      </c>
    </row>
    <row r="65" spans="1:17" x14ac:dyDescent="0.3">
      <c r="A65" s="3" t="s">
        <v>381</v>
      </c>
      <c r="B65" s="3" t="str">
        <f>INDEX('R1. Scenario specifications'!$C$11:$C$59,MATCH($A65,'R1. Scenario specifications'!$A$11:$A$59,0))</f>
        <v>Reference Technologies Scenario, Energy Technology Perspectives 2017</v>
      </c>
      <c r="C65" s="3" t="s">
        <v>266</v>
      </c>
      <c r="D65" s="3" t="s">
        <v>431</v>
      </c>
      <c r="E65" s="34">
        <f t="shared" si="3"/>
        <v>0.44234508278658269</v>
      </c>
      <c r="F65" s="34" t="str">
        <f t="shared" si="3"/>
        <v/>
      </c>
      <c r="G65" s="34" t="str">
        <f t="shared" si="3"/>
        <v/>
      </c>
      <c r="H65" s="34" t="str">
        <f t="shared" si="3"/>
        <v/>
      </c>
      <c r="I65" s="34">
        <f t="shared" si="3"/>
        <v>0.42593354525623117</v>
      </c>
      <c r="J65" s="34">
        <f t="shared" si="3"/>
        <v>0.41225726398093832</v>
      </c>
      <c r="K65" s="34">
        <f t="shared" si="2"/>
        <v>0.33480739288811034</v>
      </c>
      <c r="L65" s="34">
        <f t="shared" si="2"/>
        <v>0.28431426209862914</v>
      </c>
      <c r="M65" s="34">
        <f t="shared" si="2"/>
        <v>0.25506501813470422</v>
      </c>
      <c r="N65" s="34">
        <f t="shared" si="2"/>
        <v>0.23647033425401193</v>
      </c>
      <c r="O65" s="34">
        <f t="shared" si="2"/>
        <v>0.20431890877543393</v>
      </c>
      <c r="P65" s="34">
        <f t="shared" si="2"/>
        <v>0.15488134483156943</v>
      </c>
      <c r="Q65" s="34">
        <f t="shared" si="2"/>
        <v>0.13464069795332381</v>
      </c>
    </row>
    <row r="66" spans="1:17" x14ac:dyDescent="0.3">
      <c r="A66" s="3" t="s">
        <v>381</v>
      </c>
      <c r="B66" s="3" t="str">
        <f>INDEX('R1. Scenario specifications'!$C$11:$C$59,MATCH($A66,'R1. Scenario specifications'!$A$11:$A$59,0))</f>
        <v>Reference Technologies Scenario, Energy Technology Perspectives 2017</v>
      </c>
      <c r="C66" s="3" t="s">
        <v>255</v>
      </c>
      <c r="D66" s="3" t="s">
        <v>431</v>
      </c>
      <c r="E66" s="34">
        <f t="shared" si="3"/>
        <v>1.6386833129472773</v>
      </c>
      <c r="F66" s="34" t="str">
        <f t="shared" si="3"/>
        <v/>
      </c>
      <c r="G66" s="34" t="str">
        <f t="shared" si="3"/>
        <v/>
      </c>
      <c r="H66" s="34" t="str">
        <f t="shared" si="3"/>
        <v/>
      </c>
      <c r="I66" s="34">
        <f t="shared" si="3"/>
        <v>1.810848575174524</v>
      </c>
      <c r="J66" s="34">
        <f t="shared" si="3"/>
        <v>1.9543196270305629</v>
      </c>
      <c r="K66" s="34">
        <f t="shared" si="2"/>
        <v>2.0881335464421129</v>
      </c>
      <c r="L66" s="34">
        <f t="shared" si="2"/>
        <v>2.3275251846210923</v>
      </c>
      <c r="M66" s="34">
        <f t="shared" si="2"/>
        <v>2.5343895713791817</v>
      </c>
      <c r="N66" s="34">
        <f t="shared" si="2"/>
        <v>2.9669193713036703</v>
      </c>
      <c r="O66" s="34">
        <f t="shared" si="2"/>
        <v>3.3010766609601543</v>
      </c>
      <c r="P66" s="34">
        <f t="shared" si="2"/>
        <v>3.6860212675709469</v>
      </c>
      <c r="Q66" s="34">
        <f t="shared" si="2"/>
        <v>4.1457975912240119</v>
      </c>
    </row>
    <row r="67" spans="1:17" x14ac:dyDescent="0.3">
      <c r="A67" s="3" t="s">
        <v>381</v>
      </c>
      <c r="B67" s="3" t="str">
        <f>INDEX('R1. Scenario specifications'!$C$11:$C$59,MATCH($A67,'R1. Scenario specifications'!$A$11:$A$59,0))</f>
        <v>Reference Technologies Scenario, Energy Technology Perspectives 2017</v>
      </c>
      <c r="C67" s="3" t="s">
        <v>257</v>
      </c>
      <c r="D67" s="3" t="s">
        <v>431</v>
      </c>
      <c r="E67" s="34">
        <f t="shared" si="3"/>
        <v>0.39827599999996116</v>
      </c>
      <c r="F67" s="34" t="str">
        <f t="shared" si="3"/>
        <v/>
      </c>
      <c r="G67" s="34" t="str">
        <f t="shared" si="3"/>
        <v/>
      </c>
      <c r="H67" s="34" t="str">
        <f t="shared" si="3"/>
        <v/>
      </c>
      <c r="I67" s="34">
        <f t="shared" si="3"/>
        <v>0.45004639640646948</v>
      </c>
      <c r="J67" s="34">
        <f t="shared" si="3"/>
        <v>0.49318839341189313</v>
      </c>
      <c r="K67" s="34">
        <f t="shared" si="2"/>
        <v>0.53713989999735556</v>
      </c>
      <c r="L67" s="34">
        <f t="shared" si="2"/>
        <v>0.57126713050902767</v>
      </c>
      <c r="M67" s="34">
        <f t="shared" si="2"/>
        <v>0.61521302401816602</v>
      </c>
      <c r="N67" s="34">
        <f t="shared" si="2"/>
        <v>0.64761599980504636</v>
      </c>
      <c r="O67" s="34">
        <f t="shared" si="2"/>
        <v>0.67689057996139301</v>
      </c>
      <c r="P67" s="34">
        <f t="shared" si="2"/>
        <v>0.700376208104737</v>
      </c>
      <c r="Q67" s="34">
        <f t="shared" si="2"/>
        <v>0.7153509995508559</v>
      </c>
    </row>
    <row r="68" spans="1:17" x14ac:dyDescent="0.3">
      <c r="A68" s="3" t="s">
        <v>381</v>
      </c>
      <c r="B68" s="3" t="str">
        <f>INDEX('R1. Scenario specifications'!$C$11:$C$59,MATCH($A68,'R1. Scenario specifications'!$A$11:$A$59,0))</f>
        <v>Reference Technologies Scenario, Energy Technology Perspectives 2017</v>
      </c>
      <c r="C68" s="3" t="s">
        <v>256</v>
      </c>
      <c r="D68" s="3" t="s">
        <v>431</v>
      </c>
      <c r="E68" s="34">
        <f t="shared" si="3"/>
        <v>1.0440240328563759</v>
      </c>
      <c r="F68" s="34" t="str">
        <f t="shared" si="3"/>
        <v/>
      </c>
      <c r="G68" s="34" t="str">
        <f t="shared" si="3"/>
        <v/>
      </c>
      <c r="H68" s="34" t="str">
        <f t="shared" si="3"/>
        <v/>
      </c>
      <c r="I68" s="34">
        <f t="shared" si="3"/>
        <v>1.211666059875421</v>
      </c>
      <c r="J68" s="34">
        <f t="shared" si="3"/>
        <v>1.3513677490579585</v>
      </c>
      <c r="K68" s="34">
        <f t="shared" si="2"/>
        <v>1.4857671461018709</v>
      </c>
      <c r="L68" s="34">
        <f t="shared" si="2"/>
        <v>1.609902128088891</v>
      </c>
      <c r="M68" s="34">
        <f t="shared" si="2"/>
        <v>1.7175064283675074</v>
      </c>
      <c r="N68" s="34">
        <f t="shared" si="2"/>
        <v>1.8245475013518226</v>
      </c>
      <c r="O68" s="34">
        <f t="shared" si="2"/>
        <v>1.9330265377225926</v>
      </c>
      <c r="P68" s="34">
        <f t="shared" si="2"/>
        <v>2.0430041582487055</v>
      </c>
      <c r="Q68" s="34">
        <f t="shared" si="2"/>
        <v>2.1560268394983719</v>
      </c>
    </row>
    <row r="69" spans="1:17" x14ac:dyDescent="0.3">
      <c r="A69" s="3" t="s">
        <v>381</v>
      </c>
      <c r="B69" s="3" t="str">
        <f>INDEX('R1. Scenario specifications'!$C$11:$C$59,MATCH($A69,'R1. Scenario specifications'!$A$11:$A$59,0))</f>
        <v>Reference Technologies Scenario, Energy Technology Perspectives 2017</v>
      </c>
      <c r="C69" s="3" t="s">
        <v>253</v>
      </c>
      <c r="D69" s="3" t="s">
        <v>431</v>
      </c>
      <c r="E69" s="34">
        <f t="shared" si="3"/>
        <v>0.13090315065412222</v>
      </c>
      <c r="F69" s="34" t="str">
        <f t="shared" si="3"/>
        <v/>
      </c>
      <c r="G69" s="34" t="str">
        <f t="shared" si="3"/>
        <v/>
      </c>
      <c r="H69" s="34" t="str">
        <f t="shared" si="3"/>
        <v/>
      </c>
      <c r="I69" s="34">
        <f t="shared" si="3"/>
        <v>0.19621471336075055</v>
      </c>
      <c r="J69" s="34">
        <f t="shared" si="3"/>
        <v>0.25064101561627417</v>
      </c>
      <c r="K69" s="34">
        <f t="shared" si="2"/>
        <v>0.29147523830238886</v>
      </c>
      <c r="L69" s="34">
        <f t="shared" si="2"/>
        <v>0.32014315817770905</v>
      </c>
      <c r="M69" s="34">
        <f t="shared" si="2"/>
        <v>0.35919277332632427</v>
      </c>
      <c r="N69" s="34">
        <f t="shared" si="2"/>
        <v>0.39833281275309762</v>
      </c>
      <c r="O69" s="34">
        <f t="shared" si="2"/>
        <v>0.45655691028518236</v>
      </c>
      <c r="P69" s="34">
        <f t="shared" si="2"/>
        <v>0.48020232758473941</v>
      </c>
      <c r="Q69" s="34">
        <f t="shared" si="2"/>
        <v>0.49517216778429213</v>
      </c>
    </row>
    <row r="70" spans="1:17" x14ac:dyDescent="0.3">
      <c r="A70" s="3" t="s">
        <v>381</v>
      </c>
      <c r="B70" s="3" t="str">
        <f>INDEX('R1. Scenario specifications'!$C$11:$C$59,MATCH($A70,'R1. Scenario specifications'!$A$11:$A$59,0))</f>
        <v>Reference Technologies Scenario, Energy Technology Perspectives 2017</v>
      </c>
      <c r="C70" s="3" t="s">
        <v>259</v>
      </c>
      <c r="D70" s="3" t="s">
        <v>431</v>
      </c>
      <c r="E70" s="34">
        <f t="shared" si="3"/>
        <v>0.18542903206056638</v>
      </c>
      <c r="F70" s="34" t="str">
        <f t="shared" si="3"/>
        <v/>
      </c>
      <c r="G70" s="34" t="str">
        <f t="shared" si="3"/>
        <v/>
      </c>
      <c r="H70" s="34" t="str">
        <f t="shared" si="3"/>
        <v/>
      </c>
      <c r="I70" s="34">
        <f t="shared" si="3"/>
        <v>0.51231177626913971</v>
      </c>
      <c r="J70" s="34">
        <f t="shared" si="3"/>
        <v>0.78471406310961744</v>
      </c>
      <c r="K70" s="34">
        <f t="shared" si="2"/>
        <v>1.1120845157467287</v>
      </c>
      <c r="L70" s="34">
        <f t="shared" si="2"/>
        <v>1.4292276706851437</v>
      </c>
      <c r="M70" s="34">
        <f t="shared" si="2"/>
        <v>1.7975532683537536</v>
      </c>
      <c r="N70" s="34">
        <f t="shared" si="2"/>
        <v>2.1865926612429383</v>
      </c>
      <c r="O70" s="34">
        <f t="shared" si="2"/>
        <v>2.6134164275445335</v>
      </c>
      <c r="P70" s="34">
        <f t="shared" si="2"/>
        <v>2.9803465951992409</v>
      </c>
      <c r="Q70" s="34">
        <f t="shared" si="2"/>
        <v>3.3502566272007988</v>
      </c>
    </row>
    <row r="71" spans="1:17" x14ac:dyDescent="0.3">
      <c r="A71" s="3" t="s">
        <v>381</v>
      </c>
      <c r="B71" s="3" t="str">
        <f>INDEX('R1. Scenario specifications'!$C$11:$C$59,MATCH($A71,'R1. Scenario specifications'!$A$11:$A$59,0))</f>
        <v>Reference Technologies Scenario, Energy Technology Perspectives 2017</v>
      </c>
      <c r="C71" s="3" t="s">
        <v>260</v>
      </c>
      <c r="D71" s="3" t="s">
        <v>431</v>
      </c>
      <c r="E71" s="34">
        <f t="shared" si="3"/>
        <v>0.34956813537458747</v>
      </c>
      <c r="F71" s="34" t="str">
        <f t="shared" si="3"/>
        <v/>
      </c>
      <c r="G71" s="34" t="str">
        <f t="shared" si="3"/>
        <v/>
      </c>
      <c r="H71" s="34" t="str">
        <f t="shared" si="3"/>
        <v/>
      </c>
      <c r="I71" s="34">
        <f t="shared" si="3"/>
        <v>0.69203544943880391</v>
      </c>
      <c r="J71" s="34">
        <f t="shared" si="3"/>
        <v>0.97742487782565102</v>
      </c>
      <c r="K71" s="34">
        <f t="shared" si="2"/>
        <v>1.2558067998881244</v>
      </c>
      <c r="L71" s="34">
        <f t="shared" si="2"/>
        <v>1.511782815773534</v>
      </c>
      <c r="M71" s="34">
        <f t="shared" si="2"/>
        <v>1.7161629242639094</v>
      </c>
      <c r="N71" s="34">
        <f t="shared" si="2"/>
        <v>1.9120610493862746</v>
      </c>
      <c r="O71" s="34">
        <f t="shared" si="2"/>
        <v>2.2084170531006344</v>
      </c>
      <c r="P71" s="34">
        <f t="shared" si="2"/>
        <v>2.4466255717683358</v>
      </c>
      <c r="Q71" s="34">
        <f t="shared" si="2"/>
        <v>2.6615908007076237</v>
      </c>
    </row>
    <row r="72" spans="1:17" x14ac:dyDescent="0.3">
      <c r="A72" s="3" t="s">
        <v>381</v>
      </c>
      <c r="B72" s="3" t="str">
        <f>INDEX('R1. Scenario specifications'!$C$11:$C$59,MATCH($A72,'R1. Scenario specifications'!$A$11:$A$59,0))</f>
        <v>Reference Technologies Scenario, Energy Technology Perspectives 2017</v>
      </c>
      <c r="C72" s="3" t="s">
        <v>258</v>
      </c>
      <c r="D72" s="3" t="s">
        <v>431</v>
      </c>
      <c r="E72" s="34">
        <f t="shared" si="3"/>
        <v>1.2844834743538201E-2</v>
      </c>
      <c r="F72" s="34" t="str">
        <f t="shared" si="3"/>
        <v/>
      </c>
      <c r="G72" s="34" t="str">
        <f t="shared" si="3"/>
        <v/>
      </c>
      <c r="H72" s="34" t="str">
        <f t="shared" si="3"/>
        <v/>
      </c>
      <c r="I72" s="34">
        <f t="shared" si="3"/>
        <v>2.0954325041993467E-2</v>
      </c>
      <c r="J72" s="34">
        <f t="shared" si="3"/>
        <v>2.7712233624039524E-2</v>
      </c>
      <c r="K72" s="34">
        <f t="shared" si="2"/>
        <v>3.8855541962517594E-2</v>
      </c>
      <c r="L72" s="34">
        <f t="shared" si="2"/>
        <v>5.4269767524425902E-2</v>
      </c>
      <c r="M72" s="34">
        <f t="shared" si="2"/>
        <v>7.4311168550965825E-2</v>
      </c>
      <c r="N72" s="34">
        <f t="shared" si="2"/>
        <v>9.4995070479821378E-2</v>
      </c>
      <c r="O72" s="34">
        <f t="shared" si="2"/>
        <v>0.11641402253237008</v>
      </c>
      <c r="P72" s="34">
        <f t="shared" si="2"/>
        <v>0.13840677018338129</v>
      </c>
      <c r="Q72" s="34">
        <f t="shared" si="2"/>
        <v>0.16171982989447745</v>
      </c>
    </row>
    <row r="73" spans="1:17" x14ac:dyDescent="0.3">
      <c r="A73" s="3" t="s">
        <v>382</v>
      </c>
      <c r="B73" s="3" t="str">
        <f>INDEX('R1. Scenario specifications'!$C$11:$C$59,MATCH($A73,'R1. Scenario specifications'!$A$11:$A$59,0))</f>
        <v>2 Degrees Scenario, Energy Technology Perspectives 2017</v>
      </c>
      <c r="C73" s="3" t="s">
        <v>254</v>
      </c>
      <c r="D73" s="3" t="s">
        <v>431</v>
      </c>
      <c r="E73" s="34">
        <f t="shared" si="3"/>
        <v>1.7603680667874486</v>
      </c>
      <c r="F73" s="34" t="str">
        <f t="shared" si="3"/>
        <v/>
      </c>
      <c r="G73" s="34" t="str">
        <f t="shared" si="3"/>
        <v/>
      </c>
      <c r="H73" s="34" t="str">
        <f t="shared" si="3"/>
        <v/>
      </c>
      <c r="I73" s="34">
        <f t="shared" si="3"/>
        <v>1.7839142573829956</v>
      </c>
      <c r="J73" s="34">
        <f t="shared" si="3"/>
        <v>1.8035360828792848</v>
      </c>
      <c r="K73" s="34">
        <f t="shared" si="2"/>
        <v>1.6820090485317987</v>
      </c>
      <c r="L73" s="34">
        <f t="shared" si="2"/>
        <v>1.1394682606192936</v>
      </c>
      <c r="M73" s="34">
        <f t="shared" si="2"/>
        <v>0.80113428341477</v>
      </c>
      <c r="N73" s="34">
        <f t="shared" si="2"/>
        <v>0.50281831666226451</v>
      </c>
      <c r="O73" s="34">
        <f t="shared" si="2"/>
        <v>0.47312257093948079</v>
      </c>
      <c r="P73" s="34">
        <f t="shared" si="2"/>
        <v>0.41385416389482133</v>
      </c>
      <c r="Q73" s="34">
        <f t="shared" si="2"/>
        <v>0.33908297867979081</v>
      </c>
    </row>
    <row r="74" spans="1:17" x14ac:dyDescent="0.3">
      <c r="A74" s="3" t="s">
        <v>382</v>
      </c>
      <c r="B74" s="3" t="str">
        <f>INDEX('R1. Scenario specifications'!$C$11:$C$59,MATCH($A74,'R1. Scenario specifications'!$A$11:$A$59,0))</f>
        <v>2 Degrees Scenario, Energy Technology Perspectives 2017</v>
      </c>
      <c r="C74" s="3" t="s">
        <v>266</v>
      </c>
      <c r="D74" s="3" t="s">
        <v>431</v>
      </c>
      <c r="E74" s="34">
        <f t="shared" si="3"/>
        <v>0.44234508278658269</v>
      </c>
      <c r="F74" s="34" t="str">
        <f t="shared" si="3"/>
        <v/>
      </c>
      <c r="G74" s="34" t="str">
        <f t="shared" si="3"/>
        <v/>
      </c>
      <c r="H74" s="34" t="str">
        <f t="shared" si="3"/>
        <v/>
      </c>
      <c r="I74" s="34">
        <f t="shared" si="3"/>
        <v>0.41777118774908417</v>
      </c>
      <c r="J74" s="34">
        <f t="shared" si="3"/>
        <v>0.39729294188450209</v>
      </c>
      <c r="K74" s="34">
        <f t="shared" si="2"/>
        <v>0.31975212159696526</v>
      </c>
      <c r="L74" s="34">
        <f t="shared" si="2"/>
        <v>0.25971906079217377</v>
      </c>
      <c r="M74" s="34">
        <f t="shared" si="2"/>
        <v>0.20438194939348522</v>
      </c>
      <c r="N74" s="34">
        <f t="shared" si="2"/>
        <v>0.18951573756941317</v>
      </c>
      <c r="O74" s="34">
        <f t="shared" si="2"/>
        <v>0.16875145611529788</v>
      </c>
      <c r="P74" s="34">
        <f t="shared" si="2"/>
        <v>0.14251877255371972</v>
      </c>
      <c r="Q74" s="34">
        <f t="shared" si="2"/>
        <v>0.3914919961883761</v>
      </c>
    </row>
    <row r="75" spans="1:17" x14ac:dyDescent="0.3">
      <c r="A75" s="3" t="s">
        <v>382</v>
      </c>
      <c r="B75" s="3" t="str">
        <f>INDEX('R1. Scenario specifications'!$C$11:$C$59,MATCH($A75,'R1. Scenario specifications'!$A$11:$A$59,0))</f>
        <v>2 Degrees Scenario, Energy Technology Perspectives 2017</v>
      </c>
      <c r="C75" s="3" t="s">
        <v>255</v>
      </c>
      <c r="D75" s="3" t="s">
        <v>431</v>
      </c>
      <c r="E75" s="34">
        <f t="shared" si="3"/>
        <v>1.6386833129472773</v>
      </c>
      <c r="F75" s="34" t="str">
        <f t="shared" si="3"/>
        <v/>
      </c>
      <c r="G75" s="34" t="str">
        <f t="shared" si="3"/>
        <v/>
      </c>
      <c r="H75" s="34" t="str">
        <f t="shared" si="3"/>
        <v/>
      </c>
      <c r="I75" s="34">
        <f t="shared" si="3"/>
        <v>1.805105405902482</v>
      </c>
      <c r="J75" s="34">
        <f t="shared" si="3"/>
        <v>1.9437904833651527</v>
      </c>
      <c r="K75" s="34">
        <f t="shared" si="2"/>
        <v>1.9892438280309863</v>
      </c>
      <c r="L75" s="34">
        <f t="shared" si="2"/>
        <v>2.0144789838803838</v>
      </c>
      <c r="M75" s="34">
        <f t="shared" si="2"/>
        <v>2.0856511577805987</v>
      </c>
      <c r="N75" s="34">
        <f t="shared" si="2"/>
        <v>2.3647510752558478</v>
      </c>
      <c r="O75" s="34">
        <f t="shared" si="2"/>
        <v>2.3460314786708696</v>
      </c>
      <c r="P75" s="34">
        <f t="shared" si="2"/>
        <v>2.4072419238254228</v>
      </c>
      <c r="Q75" s="34">
        <f t="shared" si="2"/>
        <v>2.2214203576728084</v>
      </c>
    </row>
    <row r="76" spans="1:17" x14ac:dyDescent="0.3">
      <c r="A76" s="3" t="s">
        <v>382</v>
      </c>
      <c r="B76" s="3" t="str">
        <f>INDEX('R1. Scenario specifications'!$C$11:$C$59,MATCH($A76,'R1. Scenario specifications'!$A$11:$A$59,0))</f>
        <v>2 Degrees Scenario, Energy Technology Perspectives 2017</v>
      </c>
      <c r="C76" s="3" t="s">
        <v>257</v>
      </c>
      <c r="D76" s="3" t="s">
        <v>431</v>
      </c>
      <c r="E76" s="34">
        <f t="shared" si="3"/>
        <v>0.39827599999996116</v>
      </c>
      <c r="F76" s="34" t="str">
        <f t="shared" si="3"/>
        <v/>
      </c>
      <c r="G76" s="34" t="str">
        <f t="shared" si="3"/>
        <v/>
      </c>
      <c r="H76" s="34" t="str">
        <f t="shared" si="3"/>
        <v/>
      </c>
      <c r="I76" s="34">
        <f t="shared" si="3"/>
        <v>0.46977176947019356</v>
      </c>
      <c r="J76" s="34">
        <f t="shared" si="3"/>
        <v>0.52935157736205385</v>
      </c>
      <c r="K76" s="34">
        <f t="shared" si="2"/>
        <v>0.65124257981095091</v>
      </c>
      <c r="L76" s="34">
        <f t="shared" si="2"/>
        <v>0.74345346476687557</v>
      </c>
      <c r="M76" s="34">
        <f t="shared" si="2"/>
        <v>0.83485458446385341</v>
      </c>
      <c r="N76" s="34">
        <f t="shared" si="2"/>
        <v>0.90444428755557926</v>
      </c>
      <c r="O76" s="34">
        <f t="shared" si="2"/>
        <v>0.94804174812275699</v>
      </c>
      <c r="P76" s="34">
        <f t="shared" si="2"/>
        <v>0.99189918827717538</v>
      </c>
      <c r="Q76" s="34">
        <f t="shared" si="2"/>
        <v>1.0220356553110952</v>
      </c>
    </row>
    <row r="77" spans="1:17" x14ac:dyDescent="0.3">
      <c r="A77" s="3" t="s">
        <v>382</v>
      </c>
      <c r="B77" s="3" t="str">
        <f>INDEX('R1. Scenario specifications'!$C$11:$C$59,MATCH($A77,'R1. Scenario specifications'!$A$11:$A$59,0))</f>
        <v>2 Degrees Scenario, Energy Technology Perspectives 2017</v>
      </c>
      <c r="C77" s="3" t="s">
        <v>256</v>
      </c>
      <c r="D77" s="3" t="s">
        <v>431</v>
      </c>
      <c r="E77" s="34">
        <f t="shared" si="3"/>
        <v>1.0440240328563759</v>
      </c>
      <c r="F77" s="34" t="str">
        <f t="shared" si="3"/>
        <v/>
      </c>
      <c r="G77" s="34" t="str">
        <f t="shared" si="3"/>
        <v/>
      </c>
      <c r="H77" s="34" t="str">
        <f t="shared" si="3"/>
        <v/>
      </c>
      <c r="I77" s="34">
        <f t="shared" si="3"/>
        <v>1.2450191081520225</v>
      </c>
      <c r="J77" s="34">
        <f t="shared" si="3"/>
        <v>1.412515004231728</v>
      </c>
      <c r="K77" s="34">
        <f t="shared" si="2"/>
        <v>1.5703106890607328</v>
      </c>
      <c r="L77" s="34">
        <f t="shared" si="2"/>
        <v>1.6752095666888989</v>
      </c>
      <c r="M77" s="34">
        <f t="shared" si="2"/>
        <v>1.8307076654768266</v>
      </c>
      <c r="N77" s="34">
        <f t="shared" si="2"/>
        <v>1.9914642025665044</v>
      </c>
      <c r="O77" s="34">
        <f t="shared" si="2"/>
        <v>2.1026546178695376</v>
      </c>
      <c r="P77" s="34">
        <f t="shared" si="2"/>
        <v>2.2248985736499645</v>
      </c>
      <c r="Q77" s="34">
        <f t="shared" si="2"/>
        <v>2.3862204374902354</v>
      </c>
    </row>
    <row r="78" spans="1:17" x14ac:dyDescent="0.3">
      <c r="A78" s="3" t="s">
        <v>382</v>
      </c>
      <c r="B78" s="3" t="str">
        <f>INDEX('R1. Scenario specifications'!$C$11:$C$59,MATCH($A78,'R1. Scenario specifications'!$A$11:$A$59,0))</f>
        <v>2 Degrees Scenario, Energy Technology Perspectives 2017</v>
      </c>
      <c r="C78" s="3" t="s">
        <v>253</v>
      </c>
      <c r="D78" s="3" t="s">
        <v>431</v>
      </c>
      <c r="E78" s="34">
        <f t="shared" si="3"/>
        <v>0.13090315065412222</v>
      </c>
      <c r="F78" s="34" t="str">
        <f t="shared" si="3"/>
        <v/>
      </c>
      <c r="G78" s="34" t="str">
        <f t="shared" si="3"/>
        <v/>
      </c>
      <c r="H78" s="34" t="str">
        <f t="shared" si="3"/>
        <v/>
      </c>
      <c r="I78" s="34">
        <f t="shared" si="3"/>
        <v>0.21852010086016227</v>
      </c>
      <c r="J78" s="34">
        <f t="shared" si="3"/>
        <v>0.2915342260318623</v>
      </c>
      <c r="K78" s="34">
        <f t="shared" si="2"/>
        <v>0.37564046839274262</v>
      </c>
      <c r="L78" s="34">
        <f t="shared" si="2"/>
        <v>0.4741440091045504</v>
      </c>
      <c r="M78" s="34">
        <f t="shared" si="2"/>
        <v>0.54885101263346192</v>
      </c>
      <c r="N78" s="34">
        <f t="shared" si="2"/>
        <v>0.66573378691882235</v>
      </c>
      <c r="O78" s="34">
        <f t="shared" si="2"/>
        <v>0.77126203558784145</v>
      </c>
      <c r="P78" s="34">
        <f t="shared" si="2"/>
        <v>0.87341422863309415</v>
      </c>
      <c r="Q78" s="34">
        <f t="shared" si="2"/>
        <v>0.99962946597013536</v>
      </c>
    </row>
    <row r="79" spans="1:17" x14ac:dyDescent="0.3">
      <c r="A79" s="3" t="s">
        <v>382</v>
      </c>
      <c r="B79" s="3" t="str">
        <f>INDEX('R1. Scenario specifications'!$C$11:$C$59,MATCH($A79,'R1. Scenario specifications'!$A$11:$A$59,0))</f>
        <v>2 Degrees Scenario, Energy Technology Perspectives 2017</v>
      </c>
      <c r="C79" s="3" t="s">
        <v>259</v>
      </c>
      <c r="D79" s="3" t="s">
        <v>431</v>
      </c>
      <c r="E79" s="34">
        <f t="shared" si="3"/>
        <v>0.18542903206056638</v>
      </c>
      <c r="F79" s="34" t="str">
        <f t="shared" si="3"/>
        <v/>
      </c>
      <c r="G79" s="34" t="str">
        <f t="shared" si="3"/>
        <v/>
      </c>
      <c r="H79" s="34" t="str">
        <f t="shared" si="3"/>
        <v/>
      </c>
      <c r="I79" s="34">
        <f t="shared" si="3"/>
        <v>0.59981022885489421</v>
      </c>
      <c r="J79" s="34">
        <f t="shared" si="3"/>
        <v>0.94512789285016741</v>
      </c>
      <c r="K79" s="34">
        <f t="shared" si="2"/>
        <v>1.4788702938143505</v>
      </c>
      <c r="L79" s="34">
        <f t="shared" si="2"/>
        <v>2.1234460124222081</v>
      </c>
      <c r="M79" s="34">
        <f t="shared" si="2"/>
        <v>2.7614988169170993</v>
      </c>
      <c r="N79" s="34">
        <f t="shared" si="2"/>
        <v>3.7269006191817882</v>
      </c>
      <c r="O79" s="34">
        <f t="shared" si="2"/>
        <v>4.738649416885484</v>
      </c>
      <c r="P79" s="34">
        <f t="shared" si="2"/>
        <v>5.9224583237257438</v>
      </c>
      <c r="Q79" s="34">
        <f t="shared" si="2"/>
        <v>7.4271864370079586</v>
      </c>
    </row>
    <row r="80" spans="1:17" x14ac:dyDescent="0.3">
      <c r="A80" s="3" t="s">
        <v>382</v>
      </c>
      <c r="B80" s="3" t="str">
        <f>INDEX('R1. Scenario specifications'!$C$11:$C$59,MATCH($A80,'R1. Scenario specifications'!$A$11:$A$59,0))</f>
        <v>2 Degrees Scenario, Energy Technology Perspectives 2017</v>
      </c>
      <c r="C80" s="3" t="s">
        <v>260</v>
      </c>
      <c r="D80" s="3" t="s">
        <v>431</v>
      </c>
      <c r="E80" s="34">
        <f t="shared" si="3"/>
        <v>0.34956813537458747</v>
      </c>
      <c r="F80" s="34" t="str">
        <f t="shared" si="3"/>
        <v/>
      </c>
      <c r="G80" s="34" t="str">
        <f t="shared" si="3"/>
        <v/>
      </c>
      <c r="H80" s="34" t="str">
        <f t="shared" si="3"/>
        <v/>
      </c>
      <c r="I80" s="34">
        <f t="shared" si="3"/>
        <v>0.80065060836711732</v>
      </c>
      <c r="J80" s="34">
        <f t="shared" si="3"/>
        <v>1.1765526691942259</v>
      </c>
      <c r="K80" s="34">
        <f t="shared" si="2"/>
        <v>1.8395173861627101</v>
      </c>
      <c r="L80" s="34">
        <f t="shared" si="2"/>
        <v>2.3389578387632879</v>
      </c>
      <c r="M80" s="34">
        <f t="shared" si="2"/>
        <v>2.6714310509863339</v>
      </c>
      <c r="N80" s="34">
        <f t="shared" ref="N80:Q90" si="4">IF(SUMIFS(P$94:P$207,$B$94:$B$207,$A80)=0,"",SUMIFS(P$94:P$207,$B$94:$B$207,$A80,$D$94:$D$207,$C80)/10^3)</f>
        <v>2.9252126805556169</v>
      </c>
      <c r="O80" s="34">
        <f t="shared" si="4"/>
        <v>3.2799318184610149</v>
      </c>
      <c r="P80" s="34">
        <f t="shared" si="4"/>
        <v>3.6175702904160518</v>
      </c>
      <c r="Q80" s="34">
        <f t="shared" si="4"/>
        <v>4.0317055527521282</v>
      </c>
    </row>
    <row r="81" spans="1:28" x14ac:dyDescent="0.3">
      <c r="A81" s="3" t="s">
        <v>382</v>
      </c>
      <c r="B81" s="3" t="str">
        <f>INDEX('R1. Scenario specifications'!$C$11:$C$59,MATCH($A81,'R1. Scenario specifications'!$A$11:$A$59,0))</f>
        <v>2 Degrees Scenario, Energy Technology Perspectives 2017</v>
      </c>
      <c r="C81" s="3" t="s">
        <v>258</v>
      </c>
      <c r="D81" s="3" t="s">
        <v>431</v>
      </c>
      <c r="E81" s="34">
        <f t="shared" si="3"/>
        <v>1.2844834743538201E-2</v>
      </c>
      <c r="F81" s="34" t="str">
        <f t="shared" si="3"/>
        <v/>
      </c>
      <c r="G81" s="34" t="str">
        <f t="shared" si="3"/>
        <v/>
      </c>
      <c r="H81" s="34" t="str">
        <f t="shared" si="3"/>
        <v/>
      </c>
      <c r="I81" s="34">
        <f t="shared" si="3"/>
        <v>2.4628040204957444E-2</v>
      </c>
      <c r="J81" s="34">
        <f t="shared" si="3"/>
        <v>3.4447378089473485E-2</v>
      </c>
      <c r="K81" s="34">
        <f t="shared" si="3"/>
        <v>5.4199946952506101E-2</v>
      </c>
      <c r="L81" s="34">
        <f t="shared" si="3"/>
        <v>8.5454548429246352E-2</v>
      </c>
      <c r="M81" s="34">
        <f t="shared" si="3"/>
        <v>0.12478399527763843</v>
      </c>
      <c r="N81" s="34">
        <f t="shared" si="4"/>
        <v>0.19233441327887726</v>
      </c>
      <c r="O81" s="34">
        <f t="shared" si="4"/>
        <v>0.28415750051046224</v>
      </c>
      <c r="P81" s="34">
        <f t="shared" si="4"/>
        <v>0.37979171646487525</v>
      </c>
      <c r="Q81" s="34">
        <f t="shared" si="4"/>
        <v>0.49145717083797408</v>
      </c>
    </row>
    <row r="82" spans="1:28" x14ac:dyDescent="0.3">
      <c r="A82" s="3" t="s">
        <v>383</v>
      </c>
      <c r="B82" s="3" t="str">
        <f>INDEX('R1. Scenario specifications'!$C$11:$C$59,MATCH($A82,'R1. Scenario specifications'!$A$11:$A$59,0))</f>
        <v>Below 2 Degrees Scenario (1.75DS), Energy Technology Perspectives 2017</v>
      </c>
      <c r="C82" s="3" t="s">
        <v>254</v>
      </c>
      <c r="D82" s="3" t="s">
        <v>431</v>
      </c>
      <c r="E82" s="34">
        <f t="shared" si="3"/>
        <v>1.7603680667874486</v>
      </c>
      <c r="F82" s="34" t="str">
        <f t="shared" si="3"/>
        <v/>
      </c>
      <c r="G82" s="34" t="str">
        <f t="shared" si="3"/>
        <v/>
      </c>
      <c r="H82" s="34" t="str">
        <f t="shared" si="3"/>
        <v/>
      </c>
      <c r="I82" s="34">
        <f t="shared" si="3"/>
        <v>1.7485424433277286</v>
      </c>
      <c r="J82" s="34">
        <f t="shared" si="3"/>
        <v>1.7386877571112949</v>
      </c>
      <c r="K82" s="34">
        <f t="shared" si="3"/>
        <v>1.4340262710118759</v>
      </c>
      <c r="L82" s="34">
        <f t="shared" si="3"/>
        <v>0.92979285471138751</v>
      </c>
      <c r="M82" s="34">
        <f t="shared" si="3"/>
        <v>0.65998784802782029</v>
      </c>
      <c r="N82" s="34">
        <f t="shared" si="4"/>
        <v>0.48236211670748907</v>
      </c>
      <c r="O82" s="34">
        <f t="shared" si="4"/>
        <v>0.39578867321539724</v>
      </c>
      <c r="P82" s="34">
        <f t="shared" si="4"/>
        <v>0.33103359942122013</v>
      </c>
      <c r="Q82" s="34">
        <f t="shared" si="4"/>
        <v>0.2855108329523498</v>
      </c>
    </row>
    <row r="83" spans="1:28" x14ac:dyDescent="0.3">
      <c r="A83" s="3" t="s">
        <v>383</v>
      </c>
      <c r="B83" s="3" t="str">
        <f>INDEX('R1. Scenario specifications'!$C$11:$C$59,MATCH($A83,'R1. Scenario specifications'!$A$11:$A$59,0))</f>
        <v>Below 2 Degrees Scenario (1.75DS), Energy Technology Perspectives 2017</v>
      </c>
      <c r="C83" s="3" t="s">
        <v>266</v>
      </c>
      <c r="D83" s="3" t="s">
        <v>431</v>
      </c>
      <c r="E83" s="34">
        <f t="shared" si="3"/>
        <v>0.44234508278658269</v>
      </c>
      <c r="F83" s="34" t="str">
        <f t="shared" si="3"/>
        <v/>
      </c>
      <c r="G83" s="34" t="str">
        <f t="shared" si="3"/>
        <v/>
      </c>
      <c r="H83" s="34" t="str">
        <f t="shared" si="3"/>
        <v/>
      </c>
      <c r="I83" s="34">
        <f t="shared" si="3"/>
        <v>0.42532697016132232</v>
      </c>
      <c r="J83" s="34">
        <f t="shared" si="3"/>
        <v>0.41114520964027207</v>
      </c>
      <c r="K83" s="34">
        <f t="shared" si="3"/>
        <v>0.33102827878410485</v>
      </c>
      <c r="L83" s="34">
        <f t="shared" si="3"/>
        <v>0.26896965329296446</v>
      </c>
      <c r="M83" s="34">
        <f t="shared" si="3"/>
        <v>0.21356470202353983</v>
      </c>
      <c r="N83" s="34">
        <f t="shared" si="4"/>
        <v>0.19003840641082587</v>
      </c>
      <c r="O83" s="34">
        <f t="shared" si="4"/>
        <v>0.18219131709763842</v>
      </c>
      <c r="P83" s="34">
        <f t="shared" si="4"/>
        <v>0.15263290019485376</v>
      </c>
      <c r="Q83" s="34">
        <f t="shared" si="4"/>
        <v>0.16094156421877362</v>
      </c>
    </row>
    <row r="84" spans="1:28" x14ac:dyDescent="0.3">
      <c r="A84" s="3" t="s">
        <v>383</v>
      </c>
      <c r="B84" s="3" t="str">
        <f>INDEX('R1. Scenario specifications'!$C$11:$C$59,MATCH($A84,'R1. Scenario specifications'!$A$11:$A$59,0))</f>
        <v>Below 2 Degrees Scenario (1.75DS), Energy Technology Perspectives 2017</v>
      </c>
      <c r="C84" s="3" t="s">
        <v>255</v>
      </c>
      <c r="D84" s="3" t="s">
        <v>431</v>
      </c>
      <c r="E84" s="34">
        <f t="shared" si="3"/>
        <v>1.6386833129472773</v>
      </c>
      <c r="F84" s="34" t="str">
        <f t="shared" si="3"/>
        <v/>
      </c>
      <c r="G84" s="34" t="str">
        <f t="shared" si="3"/>
        <v/>
      </c>
      <c r="H84" s="34" t="str">
        <f t="shared" si="3"/>
        <v/>
      </c>
      <c r="I84" s="34">
        <f t="shared" si="3"/>
        <v>1.8295842762578676</v>
      </c>
      <c r="J84" s="34">
        <f t="shared" si="3"/>
        <v>1.988668412350026</v>
      </c>
      <c r="K84" s="34">
        <f t="shared" si="3"/>
        <v>2.0257464227944975</v>
      </c>
      <c r="L84" s="34">
        <f t="shared" si="3"/>
        <v>2.0016184837503785</v>
      </c>
      <c r="M84" s="34">
        <f t="shared" si="3"/>
        <v>1.9307288884278528</v>
      </c>
      <c r="N84" s="34">
        <f t="shared" si="4"/>
        <v>2.0423648964225918</v>
      </c>
      <c r="O84" s="34">
        <f t="shared" si="4"/>
        <v>1.9184509636790199</v>
      </c>
      <c r="P84" s="34">
        <f t="shared" si="4"/>
        <v>1.5334302159613644</v>
      </c>
      <c r="Q84" s="34">
        <f t="shared" si="4"/>
        <v>1.6337707765189033</v>
      </c>
    </row>
    <row r="85" spans="1:28" x14ac:dyDescent="0.3">
      <c r="A85" s="3" t="s">
        <v>383</v>
      </c>
      <c r="B85" s="3" t="str">
        <f>INDEX('R1. Scenario specifications'!$C$11:$C$59,MATCH($A85,'R1. Scenario specifications'!$A$11:$A$59,0))</f>
        <v>Below 2 Degrees Scenario (1.75DS), Energy Technology Perspectives 2017</v>
      </c>
      <c r="C85" s="3" t="s">
        <v>257</v>
      </c>
      <c r="D85" s="3" t="s">
        <v>431</v>
      </c>
      <c r="E85" s="34">
        <f t="shared" si="3"/>
        <v>0.39827599999996116</v>
      </c>
      <c r="F85" s="34" t="str">
        <f t="shared" si="3"/>
        <v/>
      </c>
      <c r="G85" s="34" t="str">
        <f t="shared" si="3"/>
        <v/>
      </c>
      <c r="H85" s="34" t="str">
        <f t="shared" ref="H85:M90" si="5">IF(SUMIFS(J$94:J$207,$B$94:$B$207,$A85)=0,"",SUMIFS(J$94:J$207,$B$94:$B$207,$A85,$D$94:$D$207,$C85)/10^3)</f>
        <v/>
      </c>
      <c r="I85" s="34">
        <f t="shared" si="5"/>
        <v>0.47325719434316432</v>
      </c>
      <c r="J85" s="34">
        <f t="shared" si="5"/>
        <v>0.53574152296250022</v>
      </c>
      <c r="K85" s="34">
        <f t="shared" si="5"/>
        <v>0.65577058377660835</v>
      </c>
      <c r="L85" s="34">
        <f t="shared" si="5"/>
        <v>0.75025765723057625</v>
      </c>
      <c r="M85" s="34">
        <f t="shared" si="5"/>
        <v>0.84127880379851716</v>
      </c>
      <c r="N85" s="34">
        <f t="shared" si="4"/>
        <v>0.91212714804933881</v>
      </c>
      <c r="O85" s="34">
        <f t="shared" si="4"/>
        <v>0.96518721530781959</v>
      </c>
      <c r="P85" s="34">
        <f t="shared" si="4"/>
        <v>1.0188308866427565</v>
      </c>
      <c r="Q85" s="34">
        <f t="shared" si="4"/>
        <v>1.0623414195615588</v>
      </c>
    </row>
    <row r="86" spans="1:28" x14ac:dyDescent="0.3">
      <c r="A86" s="3" t="s">
        <v>383</v>
      </c>
      <c r="B86" s="3" t="str">
        <f>INDEX('R1. Scenario specifications'!$C$11:$C$59,MATCH($A86,'R1. Scenario specifications'!$A$11:$A$59,0))</f>
        <v>Below 2 Degrees Scenario (1.75DS), Energy Technology Perspectives 2017</v>
      </c>
      <c r="C86" s="3" t="s">
        <v>256</v>
      </c>
      <c r="D86" s="3" t="s">
        <v>431</v>
      </c>
      <c r="E86" s="34">
        <f t="shared" ref="E86:G90" si="6">IF(SUMIFS(G$94:G$207,$B$94:$B$207,$A86)=0,"",SUMIFS(G$94:G$207,$B$94:$B$207,$A86,$D$94:$D$207,$C86)/10^3)</f>
        <v>1.0440240328563759</v>
      </c>
      <c r="F86" s="34" t="str">
        <f t="shared" si="6"/>
        <v/>
      </c>
      <c r="G86" s="34" t="str">
        <f t="shared" si="6"/>
        <v/>
      </c>
      <c r="H86" s="34" t="str">
        <f t="shared" si="5"/>
        <v/>
      </c>
      <c r="I86" s="34">
        <f t="shared" si="5"/>
        <v>1.2460854523716458</v>
      </c>
      <c r="J86" s="34">
        <f t="shared" si="5"/>
        <v>1.4144699686343705</v>
      </c>
      <c r="K86" s="34">
        <f t="shared" si="5"/>
        <v>1.5765783991066322</v>
      </c>
      <c r="L86" s="34">
        <f t="shared" si="5"/>
        <v>1.6902813099302647</v>
      </c>
      <c r="M86" s="34">
        <f t="shared" si="5"/>
        <v>1.8633158178265594</v>
      </c>
      <c r="N86" s="34">
        <f t="shared" si="4"/>
        <v>2.0309344822948643</v>
      </c>
      <c r="O86" s="34">
        <f t="shared" si="4"/>
        <v>2.1931921598591591</v>
      </c>
      <c r="P86" s="34">
        <f t="shared" si="4"/>
        <v>2.3720858944870211</v>
      </c>
      <c r="Q86" s="34">
        <f t="shared" si="4"/>
        <v>2.6073858274329127</v>
      </c>
    </row>
    <row r="87" spans="1:28" x14ac:dyDescent="0.3">
      <c r="A87" s="3" t="s">
        <v>383</v>
      </c>
      <c r="B87" s="3" t="str">
        <f>INDEX('R1. Scenario specifications'!$C$11:$C$59,MATCH($A87,'R1. Scenario specifications'!$A$11:$A$59,0))</f>
        <v>Below 2 Degrees Scenario (1.75DS), Energy Technology Perspectives 2017</v>
      </c>
      <c r="C87" s="3" t="s">
        <v>253</v>
      </c>
      <c r="D87" s="3" t="s">
        <v>431</v>
      </c>
      <c r="E87" s="34">
        <f t="shared" si="6"/>
        <v>0.13090315065412222</v>
      </c>
      <c r="F87" s="34" t="str">
        <f t="shared" si="6"/>
        <v/>
      </c>
      <c r="G87" s="34" t="str">
        <f t="shared" si="6"/>
        <v/>
      </c>
      <c r="H87" s="34" t="str">
        <f t="shared" si="5"/>
        <v/>
      </c>
      <c r="I87" s="34">
        <f t="shared" si="5"/>
        <v>0.24523252868834228</v>
      </c>
      <c r="J87" s="34">
        <f t="shared" si="5"/>
        <v>0.34050701038352571</v>
      </c>
      <c r="K87" s="34">
        <f t="shared" si="5"/>
        <v>0.40967537440459106</v>
      </c>
      <c r="L87" s="34">
        <f t="shared" si="5"/>
        <v>0.54356855693175443</v>
      </c>
      <c r="M87" s="34">
        <f t="shared" si="5"/>
        <v>0.7413039855307727</v>
      </c>
      <c r="N87" s="34">
        <f t="shared" si="4"/>
        <v>1.0401966685187123</v>
      </c>
      <c r="O87" s="34">
        <f t="shared" si="4"/>
        <v>1.2887195809750558</v>
      </c>
      <c r="P87" s="34">
        <f t="shared" si="4"/>
        <v>1.5578775011716453</v>
      </c>
      <c r="Q87" s="34">
        <f t="shared" si="4"/>
        <v>1.8189687612489374</v>
      </c>
    </row>
    <row r="88" spans="1:28" x14ac:dyDescent="0.3">
      <c r="A88" s="3" t="s">
        <v>383</v>
      </c>
      <c r="B88" s="3" t="str">
        <f>INDEX('R1. Scenario specifications'!$C$11:$C$59,MATCH($A88,'R1. Scenario specifications'!$A$11:$A$59,0))</f>
        <v>Below 2 Degrees Scenario (1.75DS), Energy Technology Perspectives 2017</v>
      </c>
      <c r="C88" s="3" t="s">
        <v>259</v>
      </c>
      <c r="D88" s="3" t="s">
        <v>431</v>
      </c>
      <c r="E88" s="34">
        <f t="shared" si="6"/>
        <v>0.18542903206056638</v>
      </c>
      <c r="F88" s="34" t="str">
        <f t="shared" si="6"/>
        <v/>
      </c>
      <c r="G88" s="34" t="str">
        <f t="shared" si="6"/>
        <v/>
      </c>
      <c r="H88" s="34" t="str">
        <f t="shared" si="5"/>
        <v/>
      </c>
      <c r="I88" s="34">
        <f t="shared" si="5"/>
        <v>0.54758252282638964</v>
      </c>
      <c r="J88" s="34">
        <f t="shared" si="5"/>
        <v>0.84937709846457587</v>
      </c>
      <c r="K88" s="34">
        <f t="shared" si="5"/>
        <v>1.3654492955969471</v>
      </c>
      <c r="L88" s="34">
        <f t="shared" si="5"/>
        <v>2.1443036159063582</v>
      </c>
      <c r="M88" s="34">
        <f t="shared" si="5"/>
        <v>3.1055323965348673</v>
      </c>
      <c r="N88" s="34">
        <f t="shared" si="4"/>
        <v>4.2265237397130688</v>
      </c>
      <c r="O88" s="34">
        <f t="shared" si="4"/>
        <v>5.3632878684589791</v>
      </c>
      <c r="P88" s="34">
        <f t="shared" si="4"/>
        <v>6.678611383875281</v>
      </c>
      <c r="Q88" s="34">
        <f t="shared" si="4"/>
        <v>7.9738462112420967</v>
      </c>
    </row>
    <row r="89" spans="1:28" x14ac:dyDescent="0.3">
      <c r="A89" s="3" t="s">
        <v>383</v>
      </c>
      <c r="B89" s="3" t="str">
        <f>INDEX('R1. Scenario specifications'!$C$11:$C$59,MATCH($A89,'R1. Scenario specifications'!$A$11:$A$59,0))</f>
        <v>Below 2 Degrees Scenario (1.75DS), Energy Technology Perspectives 2017</v>
      </c>
      <c r="C89" s="3" t="s">
        <v>260</v>
      </c>
      <c r="D89" s="3" t="s">
        <v>431</v>
      </c>
      <c r="E89" s="34">
        <f t="shared" si="6"/>
        <v>0.34956813537458747</v>
      </c>
      <c r="F89" s="34" t="str">
        <f t="shared" si="6"/>
        <v/>
      </c>
      <c r="G89" s="34" t="str">
        <f t="shared" si="6"/>
        <v/>
      </c>
      <c r="H89" s="34" t="str">
        <f t="shared" si="5"/>
        <v/>
      </c>
      <c r="I89" s="34">
        <f t="shared" si="5"/>
        <v>0.82298696095013557</v>
      </c>
      <c r="J89" s="34">
        <f t="shared" si="5"/>
        <v>1.2175026489297589</v>
      </c>
      <c r="K89" s="34">
        <f t="shared" si="5"/>
        <v>1.7812443004299543</v>
      </c>
      <c r="L89" s="34">
        <f t="shared" si="5"/>
        <v>2.2665162622573711</v>
      </c>
      <c r="M89" s="34">
        <f t="shared" si="5"/>
        <v>2.6936882572095526</v>
      </c>
      <c r="N89" s="34">
        <f t="shared" si="4"/>
        <v>3.0299401992007335</v>
      </c>
      <c r="O89" s="34">
        <f t="shared" si="4"/>
        <v>3.473681615841878</v>
      </c>
      <c r="P89" s="34">
        <f t="shared" si="4"/>
        <v>3.8311686988040612</v>
      </c>
      <c r="Q89" s="34">
        <f t="shared" si="4"/>
        <v>4.167237334334053</v>
      </c>
    </row>
    <row r="90" spans="1:28" x14ac:dyDescent="0.3">
      <c r="A90" s="3" t="s">
        <v>383</v>
      </c>
      <c r="B90" s="3" t="str">
        <f>INDEX('R1. Scenario specifications'!$C$11:$C$59,MATCH($A90,'R1. Scenario specifications'!$A$11:$A$59,0))</f>
        <v>Below 2 Degrees Scenario (1.75DS), Energy Technology Perspectives 2017</v>
      </c>
      <c r="C90" s="3" t="s">
        <v>258</v>
      </c>
      <c r="D90" s="3" t="s">
        <v>431</v>
      </c>
      <c r="E90" s="34">
        <f t="shared" si="6"/>
        <v>1.2844834743538201E-2</v>
      </c>
      <c r="F90" s="34" t="str">
        <f t="shared" si="6"/>
        <v/>
      </c>
      <c r="G90" s="34" t="str">
        <f t="shared" si="6"/>
        <v/>
      </c>
      <c r="H90" s="34" t="str">
        <f t="shared" si="5"/>
        <v/>
      </c>
      <c r="I90" s="34">
        <f t="shared" si="5"/>
        <v>2.6127648793906732E-2</v>
      </c>
      <c r="J90" s="34">
        <f t="shared" si="5"/>
        <v>3.7196660502547177E-2</v>
      </c>
      <c r="K90" s="34">
        <f t="shared" si="5"/>
        <v>5.7235212825109016E-2</v>
      </c>
      <c r="L90" s="34">
        <f t="shared" si="5"/>
        <v>8.9085359005065284E-2</v>
      </c>
      <c r="M90" s="34">
        <f t="shared" si="5"/>
        <v>0.13333671352697068</v>
      </c>
      <c r="N90" s="34">
        <f t="shared" si="4"/>
        <v>0.21353999582663333</v>
      </c>
      <c r="O90" s="34">
        <f t="shared" si="4"/>
        <v>0.32675695764636714</v>
      </c>
      <c r="P90" s="34">
        <f t="shared" si="4"/>
        <v>0.44015269532813267</v>
      </c>
      <c r="Q90" s="34">
        <f t="shared" si="4"/>
        <v>0.54818230806438373</v>
      </c>
    </row>
    <row r="91" spans="1:28" ht="15" thickBot="1" x14ac:dyDescent="0.35"/>
    <row r="92" spans="1:28" s="15" customFormat="1" ht="15" thickBot="1" x14ac:dyDescent="0.35">
      <c r="A92" s="15" t="s">
        <v>488</v>
      </c>
    </row>
    <row r="93" spans="1:28" x14ac:dyDescent="0.3">
      <c r="A93" s="3" t="s">
        <v>489</v>
      </c>
      <c r="B93" s="3" t="s">
        <v>8</v>
      </c>
      <c r="C93" s="3" t="s">
        <v>86</v>
      </c>
      <c r="D93" s="3" t="s">
        <v>252</v>
      </c>
      <c r="E93" s="3" t="s">
        <v>490</v>
      </c>
      <c r="F93" s="3" t="s">
        <v>430</v>
      </c>
      <c r="G93" s="3">
        <v>2014</v>
      </c>
      <c r="H93" s="3">
        <v>2015</v>
      </c>
      <c r="I93" s="3">
        <v>2016</v>
      </c>
      <c r="J93" s="3">
        <v>2017</v>
      </c>
      <c r="K93" s="3">
        <v>2020</v>
      </c>
      <c r="L93" s="3">
        <v>2025</v>
      </c>
      <c r="M93" s="3">
        <v>2030</v>
      </c>
      <c r="N93" s="3">
        <v>2035</v>
      </c>
      <c r="O93" s="3">
        <v>2040</v>
      </c>
      <c r="P93" s="3">
        <v>2045</v>
      </c>
      <c r="Q93" s="3">
        <v>2050</v>
      </c>
      <c r="R93" s="3">
        <v>2055</v>
      </c>
      <c r="S93" s="3">
        <v>2060</v>
      </c>
      <c r="AB93" s="27"/>
    </row>
    <row r="94" spans="1:28" x14ac:dyDescent="0.3">
      <c r="A94" s="3" t="s">
        <v>502</v>
      </c>
      <c r="B94" s="3" t="s">
        <v>368</v>
      </c>
      <c r="C94" s="3" t="str">
        <f>INDEX('R1. Scenario specifications'!$C$11:$C$59,MATCH($B94,'R1. Scenario specifications'!$A$11:$A$59,0))</f>
        <v>Current Policies Scenario, World Energy Outlook 2018</v>
      </c>
      <c r="D94" s="3" t="s">
        <v>254</v>
      </c>
      <c r="E94" s="3" t="s">
        <v>254</v>
      </c>
      <c r="F94" s="3" t="s">
        <v>501</v>
      </c>
      <c r="I94" s="34">
        <f>INDEX('R9. WEO18 Electricity'!$C$30:$K$42,MATCH($E94,'R9. WEO18 Electricity'!$A$30:$A$42,0),MATCH(I$93,'R9. WEO18 Electricity'!$C$28:$K$28,0))</f>
        <v>2025</v>
      </c>
      <c r="J94" s="34">
        <f>INDEX('R9. WEO18 Electricity'!$C$30:$K$42,MATCH($E94,'R9. WEO18 Electricity'!$A$30:$A$42,0),MATCH(CONCATENATE(J$93,"e"),'R9. WEO18 Electricity'!$C$28:$K$28,0))</f>
        <v>2067</v>
      </c>
      <c r="K94" s="31">
        <f>$J94+(K$93-$J$93)*($L94-$J94)/($L$93-$J$93)</f>
        <v>2124</v>
      </c>
      <c r="L94" s="34">
        <f>INDEX('R9. WEO18 Electricity'!$N$30:$Q$42,MATCH($E94,'R9. WEO18 Electricity'!$M$30:$M$42,0),MATCH(L$93,'R9. WEO18 Electricity'!$N$28:$Q$28,0))</f>
        <v>2219</v>
      </c>
      <c r="M94" s="34">
        <f>INDEX('R9. WEO18 Electricity'!$N$30:$Q$42,MATCH($E94,'R9. WEO18 Electricity'!$M$30:$M$42,0),MATCH(M$93,'R9. WEO18 Electricity'!$N$28:$Q$28,0))</f>
        <v>2348</v>
      </c>
      <c r="N94" s="34">
        <f>INDEX('R9. WEO18 Electricity'!$N$30:$Q$42,MATCH($E94,'R9. WEO18 Electricity'!$M$30:$M$42,0),MATCH(N$93,'R9. WEO18 Electricity'!$N$28:$Q$28,0))</f>
        <v>2518</v>
      </c>
      <c r="O94" s="34">
        <f>INDEX('R9. WEO18 Electricity'!$N$30:$Q$42,MATCH($E94,'R9. WEO18 Electricity'!$M$30:$M$42,0),MATCH(O$93,'R9. WEO18 Electricity'!$N$28:$Q$28,0))</f>
        <v>2693</v>
      </c>
      <c r="P94" s="31">
        <f>TREND($N94:$O94,$N$93:$O$93,P$93)</f>
        <v>2868</v>
      </c>
      <c r="Q94" s="31">
        <f t="shared" ref="Q94:S94" si="7">TREND($N94:$O94,$N$93:$O$93,Q$93)</f>
        <v>3043</v>
      </c>
      <c r="R94" s="31">
        <f t="shared" si="7"/>
        <v>3218</v>
      </c>
      <c r="S94" s="31">
        <f t="shared" si="7"/>
        <v>3393</v>
      </c>
    </row>
    <row r="95" spans="1:28" x14ac:dyDescent="0.3">
      <c r="A95" s="3" t="s">
        <v>502</v>
      </c>
      <c r="B95" s="3" t="s">
        <v>368</v>
      </c>
      <c r="C95" s="3" t="str">
        <f>INDEX('R1. Scenario specifications'!$C$11:$C$59,MATCH($B95,'R1. Scenario specifications'!$A$11:$A$59,0))</f>
        <v>Current Policies Scenario, World Energy Outlook 2018</v>
      </c>
      <c r="D95" s="3" t="s">
        <v>266</v>
      </c>
      <c r="E95" s="3" t="s">
        <v>266</v>
      </c>
      <c r="F95" s="3" t="s">
        <v>501</v>
      </c>
      <c r="I95" s="34">
        <f>INDEX('R9. WEO18 Electricity'!$C$30:$K$42,MATCH($E95,'R9. WEO18 Electricity'!$A$30:$A$42,0),MATCH(I$93,'R9. WEO18 Electricity'!$C$28:$K$28,0))</f>
        <v>446</v>
      </c>
      <c r="J95" s="34">
        <f>INDEX('R9. WEO18 Electricity'!$C$30:$K$42,MATCH($E95,'R9. WEO18 Electricity'!$A$30:$A$42,0),MATCH(CONCATENATE(J$93,"e"),'R9. WEO18 Electricity'!$C$28:$K$28,0))</f>
        <v>447</v>
      </c>
      <c r="K95" s="31">
        <f t="shared" ref="K95:K126" si="8">$J95+(K$93-$J$93)*($L95-$J95)/($L$93-$J$93)</f>
        <v>411.75</v>
      </c>
      <c r="L95" s="34">
        <f>INDEX('R9. WEO18 Electricity'!$N$30:$Q$42,MATCH($E95,'R9. WEO18 Electricity'!$M$30:$M$42,0),MATCH(L$93,'R9. WEO18 Electricity'!$N$28:$Q$28,0))</f>
        <v>353</v>
      </c>
      <c r="M95" s="34">
        <f>INDEX('R9. WEO18 Electricity'!$N$30:$Q$42,MATCH($E95,'R9. WEO18 Electricity'!$M$30:$M$42,0),MATCH(M$93,'R9. WEO18 Electricity'!$N$28:$Q$28,0))</f>
        <v>314</v>
      </c>
      <c r="N95" s="34">
        <f>INDEX('R9. WEO18 Electricity'!$N$30:$Q$42,MATCH($E95,'R9. WEO18 Electricity'!$M$30:$M$42,0),MATCH(N$93,'R9. WEO18 Electricity'!$N$28:$Q$28,0))</f>
        <v>288</v>
      </c>
      <c r="O95" s="34">
        <f>INDEX('R9. WEO18 Electricity'!$N$30:$Q$42,MATCH($E95,'R9. WEO18 Electricity'!$M$30:$M$42,0),MATCH(O$93,'R9. WEO18 Electricity'!$N$28:$Q$28,0))</f>
        <v>264</v>
      </c>
      <c r="P95" s="31">
        <f t="shared" ref="P95:S126" si="9">TREND($N95:$O95,$N$93:$O$93,P$93)</f>
        <v>240</v>
      </c>
      <c r="Q95" s="31">
        <f t="shared" si="9"/>
        <v>216</v>
      </c>
      <c r="R95" s="31">
        <f t="shared" si="9"/>
        <v>192</v>
      </c>
      <c r="S95" s="31">
        <f t="shared" si="9"/>
        <v>168</v>
      </c>
    </row>
    <row r="96" spans="1:28" x14ac:dyDescent="0.3">
      <c r="A96" s="3" t="s">
        <v>502</v>
      </c>
      <c r="B96" s="3" t="s">
        <v>368</v>
      </c>
      <c r="C96" s="3" t="str">
        <f>INDEX('R1. Scenario specifications'!$C$11:$C$59,MATCH($B96,'R1. Scenario specifications'!$A$11:$A$59,0))</f>
        <v>Current Policies Scenario, World Energy Outlook 2018</v>
      </c>
      <c r="D96" s="3" t="s">
        <v>255</v>
      </c>
      <c r="E96" s="3" t="s">
        <v>255</v>
      </c>
      <c r="F96" s="3" t="s">
        <v>501</v>
      </c>
      <c r="I96" s="34">
        <f>INDEX('R9. WEO18 Electricity'!$C$30:$K$42,MATCH($E96,'R9. WEO18 Electricity'!$A$30:$A$42,0),MATCH(I$93,'R9. WEO18 Electricity'!$C$28:$K$28,0))</f>
        <v>1644</v>
      </c>
      <c r="J96" s="34">
        <f>INDEX('R9. WEO18 Electricity'!$C$30:$K$42,MATCH($E96,'R9. WEO18 Electricity'!$A$30:$A$42,0),MATCH(CONCATENATE(J$93,"e"),'R9. WEO18 Electricity'!$C$28:$K$28,0))</f>
        <v>1695</v>
      </c>
      <c r="K96" s="31">
        <f t="shared" si="8"/>
        <v>1867.125</v>
      </c>
      <c r="L96" s="34">
        <f>INDEX('R9. WEO18 Electricity'!$N$30:$Q$42,MATCH($E96,'R9. WEO18 Electricity'!$M$30:$M$42,0),MATCH(L$93,'R9. WEO18 Electricity'!$N$28:$Q$28,0))</f>
        <v>2154</v>
      </c>
      <c r="M96" s="34">
        <f>INDEX('R9. WEO18 Electricity'!$N$30:$Q$42,MATCH($E96,'R9. WEO18 Electricity'!$M$30:$M$42,0),MATCH(M$93,'R9. WEO18 Electricity'!$N$28:$Q$28,0))</f>
        <v>2415</v>
      </c>
      <c r="N96" s="34">
        <f>INDEX('R9. WEO18 Electricity'!$N$30:$Q$42,MATCH($E96,'R9. WEO18 Electricity'!$M$30:$M$42,0),MATCH(N$93,'R9. WEO18 Electricity'!$N$28:$Q$28,0))</f>
        <v>2684</v>
      </c>
      <c r="O96" s="34">
        <f>INDEX('R9. WEO18 Electricity'!$N$30:$Q$42,MATCH($E96,'R9. WEO18 Electricity'!$M$30:$M$42,0),MATCH(O$93,'R9. WEO18 Electricity'!$N$28:$Q$28,0))</f>
        <v>2930</v>
      </c>
      <c r="P96" s="31">
        <f t="shared" si="9"/>
        <v>3176</v>
      </c>
      <c r="Q96" s="31">
        <f t="shared" si="9"/>
        <v>3422</v>
      </c>
      <c r="R96" s="31">
        <f t="shared" si="9"/>
        <v>3668</v>
      </c>
      <c r="S96" s="31">
        <f t="shared" si="9"/>
        <v>3914</v>
      </c>
    </row>
    <row r="97" spans="1:19" x14ac:dyDescent="0.3">
      <c r="A97" s="3" t="s">
        <v>502</v>
      </c>
      <c r="B97" s="3" t="s">
        <v>368</v>
      </c>
      <c r="C97" s="3" t="str">
        <f>INDEX('R1. Scenario specifications'!$C$11:$C$59,MATCH($B97,'R1. Scenario specifications'!$A$11:$A$59,0))</f>
        <v>Current Policies Scenario, World Energy Outlook 2018</v>
      </c>
      <c r="D97" s="3" t="s">
        <v>257</v>
      </c>
      <c r="E97" s="3" t="s">
        <v>257</v>
      </c>
      <c r="F97" s="3" t="s">
        <v>501</v>
      </c>
      <c r="I97" s="34">
        <f>INDEX('R9. WEO18 Electricity'!$C$30:$K$42,MATCH($E97,'R9. WEO18 Electricity'!$A$30:$A$42,0),MATCH(I$93,'R9. WEO18 Electricity'!$C$28:$K$28,0))</f>
        <v>414</v>
      </c>
      <c r="J97" s="34">
        <f>INDEX('R9. WEO18 Electricity'!$C$30:$K$42,MATCH($E97,'R9. WEO18 Electricity'!$A$30:$A$42,0),MATCH(CONCATENATE(J$93,"e"),'R9. WEO18 Electricity'!$C$28:$K$28,0))</f>
        <v>412</v>
      </c>
      <c r="K97" s="31">
        <f t="shared" si="8"/>
        <v>424.75</v>
      </c>
      <c r="L97" s="34">
        <f>INDEX('R9. WEO18 Electricity'!$N$30:$Q$42,MATCH($E97,'R9. WEO18 Electricity'!$M$30:$M$42,0),MATCH(L$93,'R9. WEO18 Electricity'!$N$28:$Q$28,0))</f>
        <v>446</v>
      </c>
      <c r="M97" s="34">
        <f>INDEX('R9. WEO18 Electricity'!$N$30:$Q$42,MATCH($E97,'R9. WEO18 Electricity'!$M$30:$M$42,0),MATCH(M$93,'R9. WEO18 Electricity'!$N$28:$Q$28,0))</f>
        <v>459</v>
      </c>
      <c r="N97" s="34">
        <f>INDEX('R9. WEO18 Electricity'!$N$30:$Q$42,MATCH($E97,'R9. WEO18 Electricity'!$M$30:$M$42,0),MATCH(N$93,'R9. WEO18 Electricity'!$N$28:$Q$28,0))</f>
        <v>473</v>
      </c>
      <c r="O97" s="34">
        <f>INDEX('R9. WEO18 Electricity'!$N$30:$Q$42,MATCH($E97,'R9. WEO18 Electricity'!$M$30:$M$42,0),MATCH(O$93,'R9. WEO18 Electricity'!$N$28:$Q$28,0))</f>
        <v>498</v>
      </c>
      <c r="P97" s="31">
        <f t="shared" si="9"/>
        <v>523</v>
      </c>
      <c r="Q97" s="31">
        <f t="shared" si="9"/>
        <v>548</v>
      </c>
      <c r="R97" s="31">
        <f t="shared" si="9"/>
        <v>573</v>
      </c>
      <c r="S97" s="31">
        <f t="shared" si="9"/>
        <v>598</v>
      </c>
    </row>
    <row r="98" spans="1:19" x14ac:dyDescent="0.3">
      <c r="A98" s="3" t="s">
        <v>502</v>
      </c>
      <c r="B98" s="3" t="s">
        <v>368</v>
      </c>
      <c r="C98" s="3" t="str">
        <f>INDEX('R1. Scenario specifications'!$C$11:$C$59,MATCH($B98,'R1. Scenario specifications'!$A$11:$A$59,0))</f>
        <v>Current Policies Scenario, World Energy Outlook 2018</v>
      </c>
      <c r="D98" s="3" t="s">
        <v>256</v>
      </c>
      <c r="E98" s="3" t="s">
        <v>256</v>
      </c>
      <c r="F98" s="3" t="s">
        <v>501</v>
      </c>
      <c r="I98" s="34">
        <f>INDEX('R9. WEO18 Electricity'!$C$30:$K$42,MATCH($E98,'R9. WEO18 Electricity'!$A$30:$A$42,0),MATCH(I$93,'R9. WEO18 Electricity'!$C$28:$K$28,0))</f>
        <v>1244</v>
      </c>
      <c r="J98" s="34">
        <f>INDEX('R9. WEO18 Electricity'!$C$30:$K$42,MATCH($E98,'R9. WEO18 Electricity'!$A$30:$A$42,0),MATCH(CONCATENATE(J$93,"e"),'R9. WEO18 Electricity'!$C$28:$K$28,0))</f>
        <v>1270</v>
      </c>
      <c r="K98" s="31">
        <f t="shared" si="8"/>
        <v>1338.25</v>
      </c>
      <c r="L98" s="34">
        <f>INDEX('R9. WEO18 Electricity'!$N$30:$Q$42,MATCH($E98,'R9. WEO18 Electricity'!$M$30:$M$42,0),MATCH(L$93,'R9. WEO18 Electricity'!$N$28:$Q$28,0))</f>
        <v>1452</v>
      </c>
      <c r="M98" s="34">
        <f>INDEX('R9. WEO18 Electricity'!$N$30:$Q$42,MATCH($E98,'R9. WEO18 Electricity'!$M$30:$M$42,0),MATCH(M$93,'R9. WEO18 Electricity'!$N$28:$Q$28,0))</f>
        <v>1565</v>
      </c>
      <c r="N98" s="34">
        <f>INDEX('R9. WEO18 Electricity'!$N$30:$Q$42,MATCH($E98,'R9. WEO18 Electricity'!$M$30:$M$42,0),MATCH(N$93,'R9. WEO18 Electricity'!$N$28:$Q$28,0))</f>
        <v>1669</v>
      </c>
      <c r="O98" s="34">
        <f>INDEX('R9. WEO18 Electricity'!$N$30:$Q$42,MATCH($E98,'R9. WEO18 Electricity'!$M$30:$M$42,0),MATCH(O$93,'R9. WEO18 Electricity'!$N$28:$Q$28,0))</f>
        <v>1769</v>
      </c>
      <c r="P98" s="31">
        <f t="shared" si="9"/>
        <v>1869</v>
      </c>
      <c r="Q98" s="31">
        <f t="shared" si="9"/>
        <v>1969</v>
      </c>
      <c r="R98" s="31">
        <f t="shared" si="9"/>
        <v>2069</v>
      </c>
      <c r="S98" s="31">
        <f t="shared" si="9"/>
        <v>2169</v>
      </c>
    </row>
    <row r="99" spans="1:19" x14ac:dyDescent="0.3">
      <c r="A99" s="3" t="s">
        <v>502</v>
      </c>
      <c r="B99" s="3" t="s">
        <v>368</v>
      </c>
      <c r="C99" s="3" t="str">
        <f>INDEX('R1. Scenario specifications'!$C$11:$C$59,MATCH($B99,'R1. Scenario specifications'!$A$11:$A$59,0))</f>
        <v>Current Policies Scenario, World Energy Outlook 2018</v>
      </c>
      <c r="D99" s="3" t="s">
        <v>253</v>
      </c>
      <c r="E99" s="3" t="s">
        <v>503</v>
      </c>
      <c r="F99" s="3" t="s">
        <v>501</v>
      </c>
      <c r="I99" s="34">
        <f>INDEX('R9. WEO18 Electricity'!$C$30:$K$42,MATCH($E99,'R9. WEO18 Electricity'!$A$30:$A$42,0),MATCH(I$93,'R9. WEO18 Electricity'!$C$28:$K$28,0))</f>
        <v>129</v>
      </c>
      <c r="J99" s="34">
        <f>INDEX('R9. WEO18 Electricity'!$C$30:$K$42,MATCH($E99,'R9. WEO18 Electricity'!$A$30:$A$42,0),MATCH(CONCATENATE(J$93,"e"),'R9. WEO18 Electricity'!$C$28:$K$28,0))</f>
        <v>136</v>
      </c>
      <c r="K99" s="31">
        <f t="shared" si="8"/>
        <v>153.25</v>
      </c>
      <c r="L99" s="34">
        <f>INDEX('R9. WEO18 Electricity'!$N$30:$Q$42,MATCH($E99,'R9. WEO18 Electricity'!$M$30:$M$42,0),MATCH(L$93,'R9. WEO18 Electricity'!$N$28:$Q$28,0))</f>
        <v>182</v>
      </c>
      <c r="M99" s="34">
        <f>INDEX('R9. WEO18 Electricity'!$N$30:$Q$42,MATCH($E99,'R9. WEO18 Electricity'!$M$30:$M$42,0),MATCH(M$93,'R9. WEO18 Electricity'!$N$28:$Q$28,0))</f>
        <v>203</v>
      </c>
      <c r="N99" s="34">
        <f>INDEX('R9. WEO18 Electricity'!$N$30:$Q$42,MATCH($E99,'R9. WEO18 Electricity'!$M$30:$M$42,0),MATCH(N$93,'R9. WEO18 Electricity'!$N$28:$Q$28,0))</f>
        <v>222</v>
      </c>
      <c r="O99" s="34">
        <f>INDEX('R9. WEO18 Electricity'!$N$30:$Q$42,MATCH($E99,'R9. WEO18 Electricity'!$M$30:$M$42,0),MATCH(O$93,'R9. WEO18 Electricity'!$N$28:$Q$28,0))</f>
        <v>241</v>
      </c>
      <c r="P99" s="31">
        <f t="shared" si="9"/>
        <v>260</v>
      </c>
      <c r="Q99" s="31">
        <f t="shared" si="9"/>
        <v>279</v>
      </c>
      <c r="R99" s="31">
        <f t="shared" si="9"/>
        <v>298</v>
      </c>
      <c r="S99" s="31">
        <f t="shared" si="9"/>
        <v>317</v>
      </c>
    </row>
    <row r="100" spans="1:19" x14ac:dyDescent="0.3">
      <c r="A100" s="3" t="s">
        <v>502</v>
      </c>
      <c r="B100" s="3" t="s">
        <v>368</v>
      </c>
      <c r="C100" s="3" t="str">
        <f>INDEX('R1. Scenario specifications'!$C$11:$C$59,MATCH($B100,'R1. Scenario specifications'!$A$11:$A$59,0))</f>
        <v>Current Policies Scenario, World Energy Outlook 2018</v>
      </c>
      <c r="D100" s="3" t="s">
        <v>259</v>
      </c>
      <c r="E100" s="3" t="s">
        <v>504</v>
      </c>
      <c r="F100" s="3" t="s">
        <v>501</v>
      </c>
      <c r="I100" s="34">
        <f>INDEX('R9. WEO18 Electricity'!$C$30:$K$42,MATCH($E100,'R9. WEO18 Electricity'!$A$30:$A$42,0),MATCH(I$93,'R9. WEO18 Electricity'!$C$28:$K$28,0))</f>
        <v>300</v>
      </c>
      <c r="J100" s="34">
        <f>INDEX('R9. WEO18 Electricity'!$C$30:$K$42,MATCH($E100,'R9. WEO18 Electricity'!$A$30:$A$42,0),MATCH(CONCATENATE(J$93,"e"),'R9. WEO18 Electricity'!$C$28:$K$28,0))</f>
        <v>398</v>
      </c>
      <c r="K100" s="31">
        <f t="shared" si="8"/>
        <v>626.75</v>
      </c>
      <c r="L100" s="34">
        <f>INDEX('R9. WEO18 Electricity'!$N$30:$Q$42,MATCH($E100,'R9. WEO18 Electricity'!$M$30:$M$42,0),MATCH(L$93,'R9. WEO18 Electricity'!$N$28:$Q$28,0))</f>
        <v>1008</v>
      </c>
      <c r="M100" s="34">
        <f>INDEX('R9. WEO18 Electricity'!$N$30:$Q$42,MATCH($E100,'R9. WEO18 Electricity'!$M$30:$M$42,0),MATCH(M$93,'R9. WEO18 Electricity'!$N$28:$Q$28,0))</f>
        <v>1290</v>
      </c>
      <c r="N100" s="34">
        <f>INDEX('R9. WEO18 Electricity'!$N$30:$Q$42,MATCH($E100,'R9. WEO18 Electricity'!$M$30:$M$42,0),MATCH(N$93,'R9. WEO18 Electricity'!$N$28:$Q$28,0))</f>
        <v>1596</v>
      </c>
      <c r="O100" s="34">
        <f>INDEX('R9. WEO18 Electricity'!$N$30:$Q$42,MATCH($E100,'R9. WEO18 Electricity'!$M$30:$M$42,0),MATCH(O$93,'R9. WEO18 Electricity'!$N$28:$Q$28,0))</f>
        <v>1951</v>
      </c>
      <c r="P100" s="31">
        <f t="shared" si="9"/>
        <v>2306</v>
      </c>
      <c r="Q100" s="31">
        <f t="shared" si="9"/>
        <v>2661</v>
      </c>
      <c r="R100" s="31">
        <f t="shared" si="9"/>
        <v>3016</v>
      </c>
      <c r="S100" s="31">
        <f t="shared" si="9"/>
        <v>3371</v>
      </c>
    </row>
    <row r="101" spans="1:19" x14ac:dyDescent="0.3">
      <c r="A101" s="3" t="s">
        <v>502</v>
      </c>
      <c r="B101" s="3" t="s">
        <v>368</v>
      </c>
      <c r="C101" s="3" t="str">
        <f>INDEX('R1. Scenario specifications'!$C$11:$C$59,MATCH($B101,'R1. Scenario specifications'!$A$11:$A$59,0))</f>
        <v>Current Policies Scenario, World Energy Outlook 2018</v>
      </c>
      <c r="D101" s="3" t="s">
        <v>259</v>
      </c>
      <c r="E101" s="3" t="s">
        <v>505</v>
      </c>
      <c r="F101" s="3" t="s">
        <v>501</v>
      </c>
      <c r="I101" s="34">
        <f>INDEX('R9. WEO18 Electricity'!$C$30:$K$42,MATCH($E101,'R9. WEO18 Electricity'!$A$30:$A$42,0),MATCH(I$93,'R9. WEO18 Electricity'!$C$28:$K$28,0))</f>
        <v>5</v>
      </c>
      <c r="J101" s="34">
        <f>INDEX('R9. WEO18 Electricity'!$C$30:$K$42,MATCH($E101,'R9. WEO18 Electricity'!$A$30:$A$42,0),MATCH(CONCATENATE(J$93,"e"),'R9. WEO18 Electricity'!$C$28:$K$28,0))</f>
        <v>5</v>
      </c>
      <c r="K101" s="31">
        <f t="shared" si="8"/>
        <v>7.25</v>
      </c>
      <c r="L101" s="34">
        <f>INDEX('R9. WEO18 Electricity'!$N$30:$Q$42,MATCH($E101,'R9. WEO18 Electricity'!$M$30:$M$42,0),MATCH(L$93,'R9. WEO18 Electricity'!$N$28:$Q$28,0))</f>
        <v>11</v>
      </c>
      <c r="M101" s="34">
        <f>INDEX('R9. WEO18 Electricity'!$N$30:$Q$42,MATCH($E101,'R9. WEO18 Electricity'!$M$30:$M$42,0),MATCH(M$93,'R9. WEO18 Electricity'!$N$28:$Q$28,0))</f>
        <v>18</v>
      </c>
      <c r="N101" s="34">
        <f>INDEX('R9. WEO18 Electricity'!$N$30:$Q$42,MATCH($E101,'R9. WEO18 Electricity'!$M$30:$M$42,0),MATCH(N$93,'R9. WEO18 Electricity'!$N$28:$Q$28,0))</f>
        <v>26</v>
      </c>
      <c r="O101" s="34">
        <f>INDEX('R9. WEO18 Electricity'!$N$30:$Q$42,MATCH($E101,'R9. WEO18 Electricity'!$M$30:$M$42,0),MATCH(O$93,'R9. WEO18 Electricity'!$N$28:$Q$28,0))</f>
        <v>36</v>
      </c>
      <c r="P101" s="31">
        <f t="shared" si="9"/>
        <v>46</v>
      </c>
      <c r="Q101" s="31">
        <f t="shared" si="9"/>
        <v>56</v>
      </c>
      <c r="R101" s="31">
        <f t="shared" si="9"/>
        <v>66</v>
      </c>
      <c r="S101" s="31">
        <f t="shared" si="9"/>
        <v>76</v>
      </c>
    </row>
    <row r="102" spans="1:19" x14ac:dyDescent="0.3">
      <c r="A102" s="3" t="s">
        <v>502</v>
      </c>
      <c r="B102" s="3" t="s">
        <v>368</v>
      </c>
      <c r="C102" s="3" t="str">
        <f>INDEX('R1. Scenario specifications'!$C$11:$C$59,MATCH($B102,'R1. Scenario specifications'!$A$11:$A$59,0))</f>
        <v>Current Policies Scenario, World Energy Outlook 2018</v>
      </c>
      <c r="D102" s="3" t="s">
        <v>260</v>
      </c>
      <c r="E102" s="3" t="s">
        <v>260</v>
      </c>
      <c r="F102" s="3" t="s">
        <v>501</v>
      </c>
      <c r="I102" s="34">
        <f>INDEX('R9. WEO18 Electricity'!$C$30:$K$42,MATCH($E102,'R9. WEO18 Electricity'!$A$30:$A$42,0),MATCH(I$93,'R9. WEO18 Electricity'!$C$28:$K$28,0))</f>
        <v>467</v>
      </c>
      <c r="J102" s="34">
        <f>INDEX('R9. WEO18 Electricity'!$C$30:$K$42,MATCH($E102,'R9. WEO18 Electricity'!$A$30:$A$42,0),MATCH(CONCATENATE(J$93,"e"),'R9. WEO18 Electricity'!$C$28:$K$28,0))</f>
        <v>515</v>
      </c>
      <c r="K102" s="31">
        <f t="shared" si="8"/>
        <v>656</v>
      </c>
      <c r="L102" s="34">
        <f>INDEX('R9. WEO18 Electricity'!$N$30:$Q$42,MATCH($E102,'R9. WEO18 Electricity'!$M$30:$M$42,0),MATCH(L$93,'R9. WEO18 Electricity'!$N$28:$Q$28,0))</f>
        <v>891</v>
      </c>
      <c r="M102" s="34">
        <f>INDEX('R9. WEO18 Electricity'!$N$30:$Q$42,MATCH($E102,'R9. WEO18 Electricity'!$M$30:$M$42,0),MATCH(M$93,'R9. WEO18 Electricity'!$N$28:$Q$28,0))</f>
        <v>1066</v>
      </c>
      <c r="N102" s="34">
        <f>INDEX('R9. WEO18 Electricity'!$N$30:$Q$42,MATCH($E102,'R9. WEO18 Electricity'!$M$30:$M$42,0),MATCH(N$93,'R9. WEO18 Electricity'!$N$28:$Q$28,0))</f>
        <v>1217</v>
      </c>
      <c r="O102" s="34">
        <f>INDEX('R9. WEO18 Electricity'!$N$30:$Q$42,MATCH($E102,'R9. WEO18 Electricity'!$M$30:$M$42,0),MATCH(O$93,'R9. WEO18 Electricity'!$N$28:$Q$28,0))</f>
        <v>1345</v>
      </c>
      <c r="P102" s="31">
        <f t="shared" si="9"/>
        <v>1473</v>
      </c>
      <c r="Q102" s="31">
        <f t="shared" si="9"/>
        <v>1601</v>
      </c>
      <c r="R102" s="31">
        <f t="shared" si="9"/>
        <v>1729</v>
      </c>
      <c r="S102" s="31">
        <f t="shared" si="9"/>
        <v>1857</v>
      </c>
    </row>
    <row r="103" spans="1:19" x14ac:dyDescent="0.3">
      <c r="A103" s="3" t="s">
        <v>502</v>
      </c>
      <c r="B103" s="3" t="s">
        <v>368</v>
      </c>
      <c r="C103" s="3" t="str">
        <f>INDEX('R1. Scenario specifications'!$C$11:$C$59,MATCH($B103,'R1. Scenario specifications'!$A$11:$A$59,0))</f>
        <v>Current Policies Scenario, World Energy Outlook 2018</v>
      </c>
      <c r="D103" s="3" t="s">
        <v>258</v>
      </c>
      <c r="E103" s="3" t="s">
        <v>506</v>
      </c>
      <c r="F103" s="3" t="s">
        <v>501</v>
      </c>
      <c r="I103" s="34">
        <f>INDEX('R9. WEO18 Electricity'!$C$30:$K$42,MATCH($E103,'R9. WEO18 Electricity'!$A$30:$A$42,0),MATCH(I$93,'R9. WEO18 Electricity'!$C$28:$K$28,0))</f>
        <v>13</v>
      </c>
      <c r="J103" s="34">
        <f>INDEX('R9. WEO18 Electricity'!$C$30:$K$42,MATCH($E103,'R9. WEO18 Electricity'!$A$30:$A$42,0),MATCH(CONCATENATE(J$93,"e"),'R9. WEO18 Electricity'!$C$28:$K$28,0))</f>
        <v>14</v>
      </c>
      <c r="K103" s="31">
        <f t="shared" si="8"/>
        <v>15.875</v>
      </c>
      <c r="L103" s="34">
        <f>INDEX('R9. WEO18 Electricity'!$N$30:$Q$42,MATCH($E103,'R9. WEO18 Electricity'!$M$30:$M$42,0),MATCH(L$93,'R9. WEO18 Electricity'!$N$28:$Q$28,0))</f>
        <v>19</v>
      </c>
      <c r="M103" s="34">
        <f>INDEX('R9. WEO18 Electricity'!$N$30:$Q$42,MATCH($E103,'R9. WEO18 Electricity'!$M$30:$M$42,0),MATCH(M$93,'R9. WEO18 Electricity'!$N$28:$Q$28,0))</f>
        <v>26</v>
      </c>
      <c r="N103" s="34">
        <f>INDEX('R9. WEO18 Electricity'!$N$30:$Q$42,MATCH($E103,'R9. WEO18 Electricity'!$M$30:$M$42,0),MATCH(N$93,'R9. WEO18 Electricity'!$N$28:$Q$28,0))</f>
        <v>33</v>
      </c>
      <c r="O103" s="34">
        <f>INDEX('R9. WEO18 Electricity'!$N$30:$Q$42,MATCH($E103,'R9. WEO18 Electricity'!$M$30:$M$42,0),MATCH(O$93,'R9. WEO18 Electricity'!$N$28:$Q$28,0))</f>
        <v>41</v>
      </c>
      <c r="P103" s="31">
        <f t="shared" si="9"/>
        <v>49</v>
      </c>
      <c r="Q103" s="31">
        <f t="shared" si="9"/>
        <v>57</v>
      </c>
      <c r="R103" s="31">
        <f t="shared" si="9"/>
        <v>65</v>
      </c>
      <c r="S103" s="31">
        <f t="shared" si="9"/>
        <v>73</v>
      </c>
    </row>
    <row r="104" spans="1:19" x14ac:dyDescent="0.3">
      <c r="A104" s="3" t="s">
        <v>502</v>
      </c>
      <c r="B104" s="39" t="s">
        <v>368</v>
      </c>
      <c r="C104" s="39" t="str">
        <f>INDEX('R1. Scenario specifications'!$C$11:$C$59,MATCH($B104,'R1. Scenario specifications'!$A$11:$A$59,0))</f>
        <v>Current Policies Scenario, World Energy Outlook 2018</v>
      </c>
      <c r="D104" s="39" t="s">
        <v>258</v>
      </c>
      <c r="E104" s="39" t="s">
        <v>507</v>
      </c>
      <c r="F104" s="39" t="s">
        <v>501</v>
      </c>
      <c r="G104" s="39"/>
      <c r="H104" s="39"/>
      <c r="I104" s="52">
        <f>INDEX('R9. WEO18 Electricity'!$C$30:$K$42,MATCH($E104,'R9. WEO18 Electricity'!$A$30:$A$42,0),MATCH(I$93,'R9. WEO18 Electricity'!$C$28:$K$28,0))</f>
        <v>1</v>
      </c>
      <c r="J104" s="52">
        <f>INDEX('R9. WEO18 Electricity'!$C$30:$K$42,MATCH($E104,'R9. WEO18 Electricity'!$A$30:$A$42,0),MATCH(CONCATENATE(J$93,"e"),'R9. WEO18 Electricity'!$C$28:$K$28,0))</f>
        <v>1</v>
      </c>
      <c r="K104" s="40">
        <f t="shared" si="8"/>
        <v>1</v>
      </c>
      <c r="L104" s="52">
        <f>INDEX('R9. WEO18 Electricity'!$N$30:$Q$42,MATCH($E104,'R9. WEO18 Electricity'!$M$30:$M$42,0),MATCH(L$93,'R9. WEO18 Electricity'!$N$28:$Q$28,0))</f>
        <v>1</v>
      </c>
      <c r="M104" s="52">
        <f>INDEX('R9. WEO18 Electricity'!$N$30:$Q$42,MATCH($E104,'R9. WEO18 Electricity'!$M$30:$M$42,0),MATCH(M$93,'R9. WEO18 Electricity'!$N$28:$Q$28,0))</f>
        <v>3</v>
      </c>
      <c r="N104" s="52">
        <f>INDEX('R9. WEO18 Electricity'!$N$30:$Q$42,MATCH($E104,'R9. WEO18 Electricity'!$M$30:$M$42,0),MATCH(N$93,'R9. WEO18 Electricity'!$N$28:$Q$28,0))</f>
        <v>6</v>
      </c>
      <c r="O104" s="52">
        <f>INDEX('R9. WEO18 Electricity'!$N$30:$Q$42,MATCH($E104,'R9. WEO18 Electricity'!$M$30:$M$42,0),MATCH(O$93,'R9. WEO18 Electricity'!$N$28:$Q$28,0))</f>
        <v>11</v>
      </c>
      <c r="P104" s="40">
        <f t="shared" si="9"/>
        <v>16</v>
      </c>
      <c r="Q104" s="40">
        <f t="shared" si="9"/>
        <v>21</v>
      </c>
      <c r="R104" s="40">
        <f t="shared" si="9"/>
        <v>26</v>
      </c>
      <c r="S104" s="40">
        <f t="shared" si="9"/>
        <v>31</v>
      </c>
    </row>
    <row r="105" spans="1:19" x14ac:dyDescent="0.3">
      <c r="A105" s="3" t="s">
        <v>502</v>
      </c>
      <c r="B105" s="3" t="s">
        <v>370</v>
      </c>
      <c r="C105" s="3" t="str">
        <f>INDEX('R1. Scenario specifications'!$C$11:$C$59,MATCH($B105,'R1. Scenario specifications'!$A$11:$A$59,0))</f>
        <v>New Policies Scenario, World Energy Outlook 2018</v>
      </c>
      <c r="D105" s="3" t="s">
        <v>254</v>
      </c>
      <c r="E105" s="3" t="s">
        <v>254</v>
      </c>
      <c r="F105" s="3" t="s">
        <v>501</v>
      </c>
      <c r="I105" s="34">
        <f>INDEX('R9. WEO18 Electricity'!$C$30:$K$42,MATCH($E105,'R9. WEO18 Electricity'!$A$30:$A$42,0),MATCH(I$93,'R9. WEO18 Electricity'!$C$28:$K$28,0))</f>
        <v>2025</v>
      </c>
      <c r="J105" s="34">
        <f>INDEX('R9. WEO18 Electricity'!$C$30:$K$42,MATCH($E105,'R9. WEO18 Electricity'!$A$30:$A$42,0),MATCH(CONCATENATE(J$93,"e"),'R9. WEO18 Electricity'!$C$28:$K$28,0))</f>
        <v>2067</v>
      </c>
      <c r="K105" s="31">
        <f t="shared" si="8"/>
        <v>2090.625</v>
      </c>
      <c r="L105" s="34">
        <f>INDEX('R9. WEO18 Electricity'!$C$30:$K$42,MATCH($E105,'R9. WEO18 Electricity'!$A$30:$A$42,0),MATCH(L$93,'R9. WEO18 Electricity'!$C$28:$K$28,0))</f>
        <v>2130</v>
      </c>
      <c r="M105" s="34">
        <f>INDEX('R9. WEO18 Electricity'!$C$30:$K$42,MATCH($E105,'R9. WEO18 Electricity'!$A$30:$A$42,0),MATCH(M$93,'R9. WEO18 Electricity'!$C$28:$K$28,0))</f>
        <v>2143</v>
      </c>
      <c r="N105" s="34">
        <f>INDEX('R9. WEO18 Electricity'!$C$30:$K$42,MATCH($E105,'R9. WEO18 Electricity'!$A$30:$A$42,0),MATCH(N$93,'R9. WEO18 Electricity'!$C$28:$K$28,0))</f>
        <v>2184</v>
      </c>
      <c r="O105" s="34">
        <f>INDEX('R9. WEO18 Electricity'!$C$30:$K$42,MATCH($E105,'R9. WEO18 Electricity'!$A$30:$A$42,0),MATCH(O$93,'R9. WEO18 Electricity'!$C$28:$K$28,0))</f>
        <v>2238</v>
      </c>
      <c r="P105" s="31">
        <f t="shared" si="9"/>
        <v>2292</v>
      </c>
      <c r="Q105" s="31">
        <f t="shared" si="9"/>
        <v>2346</v>
      </c>
      <c r="R105" s="31">
        <f t="shared" si="9"/>
        <v>2400</v>
      </c>
      <c r="S105" s="31">
        <f t="shared" si="9"/>
        <v>2454</v>
      </c>
    </row>
    <row r="106" spans="1:19" x14ac:dyDescent="0.3">
      <c r="A106" s="3" t="s">
        <v>502</v>
      </c>
      <c r="B106" s="3" t="s">
        <v>370</v>
      </c>
      <c r="C106" s="3" t="str">
        <f>INDEX('R1. Scenario specifications'!$C$11:$C$59,MATCH($B106,'R1. Scenario specifications'!$A$11:$A$59,0))</f>
        <v>New Policies Scenario, World Energy Outlook 2018</v>
      </c>
      <c r="D106" s="3" t="s">
        <v>266</v>
      </c>
      <c r="E106" s="3" t="s">
        <v>266</v>
      </c>
      <c r="F106" s="3" t="s">
        <v>501</v>
      </c>
      <c r="I106" s="34">
        <f>INDEX('R9. WEO18 Electricity'!$C$30:$K$42,MATCH($E106,'R9. WEO18 Electricity'!$A$30:$A$42,0),MATCH(I$93,'R9. WEO18 Electricity'!$C$28:$K$28,0))</f>
        <v>446</v>
      </c>
      <c r="J106" s="34">
        <f>INDEX('R9. WEO18 Electricity'!$C$30:$K$42,MATCH($E106,'R9. WEO18 Electricity'!$A$30:$A$42,0),MATCH(CONCATENATE(J$93,"e"),'R9. WEO18 Electricity'!$C$28:$K$28,0))</f>
        <v>447</v>
      </c>
      <c r="K106" s="31">
        <f t="shared" si="8"/>
        <v>410.625</v>
      </c>
      <c r="L106" s="34">
        <f>INDEX('R9. WEO18 Electricity'!$C$30:$K$42,MATCH($E106,'R9. WEO18 Electricity'!$A$30:$A$42,0),MATCH(L$93,'R9. WEO18 Electricity'!$C$28:$K$28,0))</f>
        <v>350</v>
      </c>
      <c r="M106" s="34">
        <f>INDEX('R9. WEO18 Electricity'!$C$30:$K$42,MATCH($E106,'R9. WEO18 Electricity'!$A$30:$A$42,0),MATCH(M$93,'R9. WEO18 Electricity'!$C$28:$K$28,0))</f>
        <v>307</v>
      </c>
      <c r="N106" s="34">
        <f>INDEX('R9. WEO18 Electricity'!$C$30:$K$42,MATCH($E106,'R9. WEO18 Electricity'!$A$30:$A$42,0),MATCH(N$93,'R9. WEO18 Electricity'!$C$28:$K$28,0))</f>
        <v>278</v>
      </c>
      <c r="O106" s="34">
        <f>INDEX('R9. WEO18 Electricity'!$C$30:$K$42,MATCH($E106,'R9. WEO18 Electricity'!$A$30:$A$42,0),MATCH(O$93,'R9. WEO18 Electricity'!$C$28:$K$28,0))</f>
        <v>246</v>
      </c>
      <c r="P106" s="31">
        <f t="shared" si="9"/>
        <v>214</v>
      </c>
      <c r="Q106" s="31">
        <f t="shared" si="9"/>
        <v>182</v>
      </c>
      <c r="R106" s="31">
        <f t="shared" si="9"/>
        <v>150</v>
      </c>
      <c r="S106" s="31">
        <f t="shared" si="9"/>
        <v>118</v>
      </c>
    </row>
    <row r="107" spans="1:19" x14ac:dyDescent="0.3">
      <c r="A107" s="3" t="s">
        <v>502</v>
      </c>
      <c r="B107" s="3" t="s">
        <v>370</v>
      </c>
      <c r="C107" s="3" t="str">
        <f>INDEX('R1. Scenario specifications'!$C$11:$C$59,MATCH($B107,'R1. Scenario specifications'!$A$11:$A$59,0))</f>
        <v>New Policies Scenario, World Energy Outlook 2018</v>
      </c>
      <c r="D107" s="3" t="s">
        <v>255</v>
      </c>
      <c r="E107" s="3" t="s">
        <v>255</v>
      </c>
      <c r="F107" s="3" t="s">
        <v>501</v>
      </c>
      <c r="I107" s="34">
        <f>INDEX('R9. WEO18 Electricity'!$C$30:$K$42,MATCH($E107,'R9. WEO18 Electricity'!$A$30:$A$42,0),MATCH(I$93,'R9. WEO18 Electricity'!$C$28:$K$28,0))</f>
        <v>1644</v>
      </c>
      <c r="J107" s="34">
        <f>INDEX('R9. WEO18 Electricity'!$C$30:$K$42,MATCH($E107,'R9. WEO18 Electricity'!$A$30:$A$42,0),MATCH(CONCATENATE(J$93,"e"),'R9. WEO18 Electricity'!$C$28:$K$28,0))</f>
        <v>1695</v>
      </c>
      <c r="K107" s="31">
        <f t="shared" si="8"/>
        <v>1851.75</v>
      </c>
      <c r="L107" s="34">
        <f>INDEX('R9. WEO18 Electricity'!$C$30:$K$42,MATCH($E107,'R9. WEO18 Electricity'!$A$30:$A$42,0),MATCH(L$93,'R9. WEO18 Electricity'!$C$28:$K$28,0))</f>
        <v>2113</v>
      </c>
      <c r="M107" s="34">
        <f>INDEX('R9. WEO18 Electricity'!$C$30:$K$42,MATCH($E107,'R9. WEO18 Electricity'!$A$30:$A$42,0),MATCH(M$93,'R9. WEO18 Electricity'!$C$28:$K$28,0))</f>
        <v>2334</v>
      </c>
      <c r="N107" s="34">
        <f>INDEX('R9. WEO18 Electricity'!$C$30:$K$42,MATCH($E107,'R9. WEO18 Electricity'!$A$30:$A$42,0),MATCH(N$93,'R9. WEO18 Electricity'!$C$28:$K$28,0))</f>
        <v>2526</v>
      </c>
      <c r="O107" s="34">
        <f>INDEX('R9. WEO18 Electricity'!$C$30:$K$42,MATCH($E107,'R9. WEO18 Electricity'!$A$30:$A$42,0),MATCH(O$93,'R9. WEO18 Electricity'!$C$28:$K$28,0))</f>
        <v>2740</v>
      </c>
      <c r="P107" s="31">
        <f t="shared" si="9"/>
        <v>2954</v>
      </c>
      <c r="Q107" s="31">
        <f t="shared" si="9"/>
        <v>3168</v>
      </c>
      <c r="R107" s="31">
        <f t="shared" si="9"/>
        <v>3382</v>
      </c>
      <c r="S107" s="31">
        <f t="shared" si="9"/>
        <v>3596</v>
      </c>
    </row>
    <row r="108" spans="1:19" x14ac:dyDescent="0.3">
      <c r="A108" s="3" t="s">
        <v>502</v>
      </c>
      <c r="B108" s="3" t="s">
        <v>370</v>
      </c>
      <c r="C108" s="3" t="str">
        <f>INDEX('R1. Scenario specifications'!$C$11:$C$59,MATCH($B108,'R1. Scenario specifications'!$A$11:$A$59,0))</f>
        <v>New Policies Scenario, World Energy Outlook 2018</v>
      </c>
      <c r="D108" s="3" t="s">
        <v>257</v>
      </c>
      <c r="E108" s="3" t="s">
        <v>257</v>
      </c>
      <c r="F108" s="3" t="s">
        <v>501</v>
      </c>
      <c r="I108" s="34">
        <f>INDEX('R9. WEO18 Electricity'!$C$30:$K$42,MATCH($E108,'R9. WEO18 Electricity'!$A$30:$A$42,0),MATCH(I$93,'R9. WEO18 Electricity'!$C$28:$K$28,0))</f>
        <v>414</v>
      </c>
      <c r="J108" s="34">
        <f>INDEX('R9. WEO18 Electricity'!$C$30:$K$42,MATCH($E108,'R9. WEO18 Electricity'!$A$30:$A$42,0),MATCH(CONCATENATE(J$93,"e"),'R9. WEO18 Electricity'!$C$28:$K$28,0))</f>
        <v>412</v>
      </c>
      <c r="K108" s="31">
        <f t="shared" si="8"/>
        <v>425.5</v>
      </c>
      <c r="L108" s="34">
        <f>INDEX('R9. WEO18 Electricity'!$C$30:$K$42,MATCH($E108,'R9. WEO18 Electricity'!$A$30:$A$42,0),MATCH(L$93,'R9. WEO18 Electricity'!$C$28:$K$28,0))</f>
        <v>448</v>
      </c>
      <c r="M108" s="34">
        <f>INDEX('R9. WEO18 Electricity'!$C$30:$K$42,MATCH($E108,'R9. WEO18 Electricity'!$A$30:$A$42,0),MATCH(M$93,'R9. WEO18 Electricity'!$C$28:$K$28,0))</f>
        <v>464</v>
      </c>
      <c r="N108" s="34">
        <f>INDEX('R9. WEO18 Electricity'!$C$30:$K$42,MATCH($E108,'R9. WEO18 Electricity'!$A$30:$A$42,0),MATCH(N$93,'R9. WEO18 Electricity'!$C$28:$K$28,0))</f>
        <v>495</v>
      </c>
      <c r="O108" s="34">
        <f>INDEX('R9. WEO18 Electricity'!$C$30:$K$42,MATCH($E108,'R9. WEO18 Electricity'!$A$30:$A$42,0),MATCH(O$93,'R9. WEO18 Electricity'!$C$28:$K$28,0))</f>
        <v>518</v>
      </c>
      <c r="P108" s="31">
        <f t="shared" si="9"/>
        <v>541</v>
      </c>
      <c r="Q108" s="31">
        <f t="shared" si="9"/>
        <v>564</v>
      </c>
      <c r="R108" s="31">
        <f t="shared" si="9"/>
        <v>587</v>
      </c>
      <c r="S108" s="31">
        <f t="shared" si="9"/>
        <v>610</v>
      </c>
    </row>
    <row r="109" spans="1:19" x14ac:dyDescent="0.3">
      <c r="A109" s="3" t="s">
        <v>502</v>
      </c>
      <c r="B109" s="3" t="s">
        <v>370</v>
      </c>
      <c r="C109" s="3" t="str">
        <f>INDEX('R1. Scenario specifications'!$C$11:$C$59,MATCH($B109,'R1. Scenario specifications'!$A$11:$A$59,0))</f>
        <v>New Policies Scenario, World Energy Outlook 2018</v>
      </c>
      <c r="D109" s="3" t="s">
        <v>256</v>
      </c>
      <c r="E109" s="3" t="s">
        <v>256</v>
      </c>
      <c r="F109" s="3" t="s">
        <v>501</v>
      </c>
      <c r="I109" s="34">
        <f>INDEX('R9. WEO18 Electricity'!$C$30:$K$42,MATCH($E109,'R9. WEO18 Electricity'!$A$30:$A$42,0),MATCH(I$93,'R9. WEO18 Electricity'!$C$28:$K$28,0))</f>
        <v>1244</v>
      </c>
      <c r="J109" s="34">
        <f>INDEX('R9. WEO18 Electricity'!$C$30:$K$42,MATCH($E109,'R9. WEO18 Electricity'!$A$30:$A$42,0),MATCH(CONCATENATE(J$93,"e"),'R9. WEO18 Electricity'!$C$28:$K$28,0))</f>
        <v>1270</v>
      </c>
      <c r="K109" s="31">
        <f t="shared" si="8"/>
        <v>1342</v>
      </c>
      <c r="L109" s="34">
        <f>INDEX('R9. WEO18 Electricity'!$C$30:$K$42,MATCH($E109,'R9. WEO18 Electricity'!$A$30:$A$42,0),MATCH(L$93,'R9. WEO18 Electricity'!$C$28:$K$28,0))</f>
        <v>1462</v>
      </c>
      <c r="M109" s="34">
        <f>INDEX('R9. WEO18 Electricity'!$C$30:$K$42,MATCH($E109,'R9. WEO18 Electricity'!$A$30:$A$42,0),MATCH(M$93,'R9. WEO18 Electricity'!$C$28:$K$28,0))</f>
        <v>1604</v>
      </c>
      <c r="N109" s="34">
        <f>INDEX('R9. WEO18 Electricity'!$C$30:$K$42,MATCH($E109,'R9. WEO18 Electricity'!$A$30:$A$42,0),MATCH(N$93,'R9. WEO18 Electricity'!$C$28:$K$28,0))</f>
        <v>1728</v>
      </c>
      <c r="O109" s="34">
        <f>INDEX('R9. WEO18 Electricity'!$C$30:$K$42,MATCH($E109,'R9. WEO18 Electricity'!$A$30:$A$42,0),MATCH(O$93,'R9. WEO18 Electricity'!$C$28:$K$28,0))</f>
        <v>1839</v>
      </c>
      <c r="P109" s="31">
        <f t="shared" si="9"/>
        <v>1950</v>
      </c>
      <c r="Q109" s="31">
        <f t="shared" si="9"/>
        <v>2061</v>
      </c>
      <c r="R109" s="31">
        <f t="shared" si="9"/>
        <v>2172</v>
      </c>
      <c r="S109" s="31">
        <f t="shared" si="9"/>
        <v>2283</v>
      </c>
    </row>
    <row r="110" spans="1:19" x14ac:dyDescent="0.3">
      <c r="A110" s="3" t="s">
        <v>502</v>
      </c>
      <c r="B110" s="3" t="s">
        <v>370</v>
      </c>
      <c r="C110" s="3" t="str">
        <f>INDEX('R1. Scenario specifications'!$C$11:$C$59,MATCH($B110,'R1. Scenario specifications'!$A$11:$A$59,0))</f>
        <v>New Policies Scenario, World Energy Outlook 2018</v>
      </c>
      <c r="D110" s="3" t="s">
        <v>253</v>
      </c>
      <c r="E110" s="3" t="s">
        <v>503</v>
      </c>
      <c r="F110" s="3" t="s">
        <v>501</v>
      </c>
      <c r="I110" s="34">
        <f>INDEX('R9. WEO18 Electricity'!$C$30:$K$42,MATCH($E110,'R9. WEO18 Electricity'!$A$30:$A$42,0),MATCH(I$93,'R9. WEO18 Electricity'!$C$28:$K$28,0))</f>
        <v>129</v>
      </c>
      <c r="J110" s="34">
        <f>INDEX('R9. WEO18 Electricity'!$C$30:$K$42,MATCH($E110,'R9. WEO18 Electricity'!$A$30:$A$42,0),MATCH(CONCATENATE(J$93,"e"),'R9. WEO18 Electricity'!$C$28:$K$28,0))</f>
        <v>136</v>
      </c>
      <c r="K110" s="31">
        <f t="shared" si="8"/>
        <v>154.75</v>
      </c>
      <c r="L110" s="34">
        <f>INDEX('R9. WEO18 Electricity'!$C$30:$K$42,MATCH($E110,'R9. WEO18 Electricity'!$A$30:$A$42,0),MATCH(L$93,'R9. WEO18 Electricity'!$C$28:$K$28,0))</f>
        <v>186</v>
      </c>
      <c r="M110" s="34">
        <f>INDEX('R9. WEO18 Electricity'!$C$30:$K$42,MATCH($E110,'R9. WEO18 Electricity'!$A$30:$A$42,0),MATCH(M$93,'R9. WEO18 Electricity'!$C$28:$K$28,0))</f>
        <v>216</v>
      </c>
      <c r="N110" s="34">
        <f>INDEX('R9. WEO18 Electricity'!$C$30:$K$42,MATCH($E110,'R9. WEO18 Electricity'!$A$30:$A$42,0),MATCH(N$93,'R9. WEO18 Electricity'!$C$28:$K$28,0))</f>
        <v>247</v>
      </c>
      <c r="O110" s="34">
        <f>INDEX('R9. WEO18 Electricity'!$C$30:$K$42,MATCH($E110,'R9. WEO18 Electricity'!$A$30:$A$42,0),MATCH(O$93,'R9. WEO18 Electricity'!$C$28:$K$28,0))</f>
        <v>278</v>
      </c>
      <c r="P110" s="31">
        <f t="shared" si="9"/>
        <v>309</v>
      </c>
      <c r="Q110" s="31">
        <f t="shared" si="9"/>
        <v>340</v>
      </c>
      <c r="R110" s="31">
        <f t="shared" si="9"/>
        <v>371</v>
      </c>
      <c r="S110" s="31">
        <f t="shared" si="9"/>
        <v>402</v>
      </c>
    </row>
    <row r="111" spans="1:19" x14ac:dyDescent="0.3">
      <c r="A111" s="3" t="s">
        <v>502</v>
      </c>
      <c r="B111" s="3" t="s">
        <v>370</v>
      </c>
      <c r="C111" s="3" t="str">
        <f>INDEX('R1. Scenario specifications'!$C$11:$C$59,MATCH($B111,'R1. Scenario specifications'!$A$11:$A$59,0))</f>
        <v>New Policies Scenario, World Energy Outlook 2018</v>
      </c>
      <c r="D111" s="3" t="s">
        <v>259</v>
      </c>
      <c r="E111" s="3" t="s">
        <v>504</v>
      </c>
      <c r="F111" s="3" t="s">
        <v>501</v>
      </c>
      <c r="I111" s="34">
        <f>INDEX('R9. WEO18 Electricity'!$C$30:$K$42,MATCH($E111,'R9. WEO18 Electricity'!$A$30:$A$42,0),MATCH(I$93,'R9. WEO18 Electricity'!$C$28:$K$28,0))</f>
        <v>300</v>
      </c>
      <c r="J111" s="34">
        <f>INDEX('R9. WEO18 Electricity'!$C$30:$K$42,MATCH($E111,'R9. WEO18 Electricity'!$A$30:$A$42,0),MATCH(CONCATENATE(J$93,"e"),'R9. WEO18 Electricity'!$C$28:$K$28,0))</f>
        <v>398</v>
      </c>
      <c r="K111" s="31">
        <f t="shared" si="8"/>
        <v>664.625</v>
      </c>
      <c r="L111" s="34">
        <f>INDEX('R9. WEO18 Electricity'!$C$30:$K$42,MATCH($E111,'R9. WEO18 Electricity'!$A$30:$A$42,0),MATCH(L$93,'R9. WEO18 Electricity'!$C$28:$K$28,0))</f>
        <v>1109</v>
      </c>
      <c r="M111" s="34">
        <f>INDEX('R9. WEO18 Electricity'!$C$30:$K$42,MATCH($E111,'R9. WEO18 Electricity'!$A$30:$A$42,0),MATCH(M$93,'R9. WEO18 Electricity'!$C$28:$K$28,0))</f>
        <v>1589</v>
      </c>
      <c r="N111" s="34">
        <f>INDEX('R9. WEO18 Electricity'!$C$30:$K$42,MATCH($E111,'R9. WEO18 Electricity'!$A$30:$A$42,0),MATCH(N$93,'R9. WEO18 Electricity'!$C$28:$K$28,0))</f>
        <v>2033</v>
      </c>
      <c r="O111" s="34">
        <f>INDEX('R9. WEO18 Electricity'!$C$30:$K$42,MATCH($E111,'R9. WEO18 Electricity'!$A$30:$A$42,0),MATCH(O$93,'R9. WEO18 Electricity'!$C$28:$K$28,0))</f>
        <v>2540</v>
      </c>
      <c r="P111" s="31">
        <f t="shared" si="9"/>
        <v>3047</v>
      </c>
      <c r="Q111" s="31">
        <f t="shared" si="9"/>
        <v>3554</v>
      </c>
      <c r="R111" s="31">
        <f t="shared" si="9"/>
        <v>4061</v>
      </c>
      <c r="S111" s="31">
        <f t="shared" si="9"/>
        <v>4568</v>
      </c>
    </row>
    <row r="112" spans="1:19" x14ac:dyDescent="0.3">
      <c r="A112" s="3" t="s">
        <v>502</v>
      </c>
      <c r="B112" s="3" t="s">
        <v>370</v>
      </c>
      <c r="C112" s="3" t="str">
        <f>INDEX('R1. Scenario specifications'!$C$11:$C$59,MATCH($B112,'R1. Scenario specifications'!$A$11:$A$59,0))</f>
        <v>New Policies Scenario, World Energy Outlook 2018</v>
      </c>
      <c r="D112" s="3" t="s">
        <v>259</v>
      </c>
      <c r="E112" s="3" t="s">
        <v>505</v>
      </c>
      <c r="F112" s="3" t="s">
        <v>501</v>
      </c>
      <c r="I112" s="34">
        <f>INDEX('R9. WEO18 Electricity'!$C$30:$K$42,MATCH($E112,'R9. WEO18 Electricity'!$A$30:$A$42,0),MATCH(I$93,'R9. WEO18 Electricity'!$C$28:$K$28,0))</f>
        <v>5</v>
      </c>
      <c r="J112" s="34">
        <f>INDEX('R9. WEO18 Electricity'!$C$30:$K$42,MATCH($E112,'R9. WEO18 Electricity'!$A$30:$A$42,0),MATCH(CONCATENATE(J$93,"e"),'R9. WEO18 Electricity'!$C$28:$K$28,0))</f>
        <v>5</v>
      </c>
      <c r="K112" s="31">
        <f t="shared" si="8"/>
        <v>8</v>
      </c>
      <c r="L112" s="34">
        <f>INDEX('R9. WEO18 Electricity'!$C$30:$K$42,MATCH($E112,'R9. WEO18 Electricity'!$A$30:$A$42,0),MATCH(L$93,'R9. WEO18 Electricity'!$C$28:$K$28,0))</f>
        <v>13</v>
      </c>
      <c r="M112" s="34">
        <f>INDEX('R9. WEO18 Electricity'!$C$30:$K$42,MATCH($E112,'R9. WEO18 Electricity'!$A$30:$A$42,0),MATCH(M$93,'R9. WEO18 Electricity'!$C$28:$K$28,0))</f>
        <v>25</v>
      </c>
      <c r="N112" s="34">
        <f>INDEX('R9. WEO18 Electricity'!$C$30:$K$42,MATCH($E112,'R9. WEO18 Electricity'!$A$30:$A$42,0),MATCH(N$93,'R9. WEO18 Electricity'!$C$28:$K$28,0))</f>
        <v>44</v>
      </c>
      <c r="O112" s="34">
        <f>INDEX('R9. WEO18 Electricity'!$C$30:$K$42,MATCH($E112,'R9. WEO18 Electricity'!$A$30:$A$42,0),MATCH(O$93,'R9. WEO18 Electricity'!$C$28:$K$28,0))</f>
        <v>68</v>
      </c>
      <c r="P112" s="31">
        <f t="shared" si="9"/>
        <v>92</v>
      </c>
      <c r="Q112" s="31">
        <f t="shared" si="9"/>
        <v>116</v>
      </c>
      <c r="R112" s="31">
        <f t="shared" si="9"/>
        <v>140</v>
      </c>
      <c r="S112" s="31">
        <f t="shared" si="9"/>
        <v>164</v>
      </c>
    </row>
    <row r="113" spans="1:19" x14ac:dyDescent="0.3">
      <c r="A113" s="3" t="s">
        <v>502</v>
      </c>
      <c r="B113" s="3" t="s">
        <v>370</v>
      </c>
      <c r="C113" s="3" t="str">
        <f>INDEX('R1. Scenario specifications'!$C$11:$C$59,MATCH($B113,'R1. Scenario specifications'!$A$11:$A$59,0))</f>
        <v>New Policies Scenario, World Energy Outlook 2018</v>
      </c>
      <c r="D113" s="3" t="s">
        <v>260</v>
      </c>
      <c r="E113" s="3" t="s">
        <v>260</v>
      </c>
      <c r="F113" s="3" t="s">
        <v>501</v>
      </c>
      <c r="I113" s="34">
        <f>INDEX('R9. WEO18 Electricity'!$C$30:$K$42,MATCH($E113,'R9. WEO18 Electricity'!$A$30:$A$42,0),MATCH(I$93,'R9. WEO18 Electricity'!$C$28:$K$28,0))</f>
        <v>467</v>
      </c>
      <c r="J113" s="34">
        <f>INDEX('R9. WEO18 Electricity'!$C$30:$K$42,MATCH($E113,'R9. WEO18 Electricity'!$A$30:$A$42,0),MATCH(CONCATENATE(J$93,"e"),'R9. WEO18 Electricity'!$C$28:$K$28,0))</f>
        <v>515</v>
      </c>
      <c r="K113" s="31">
        <f t="shared" si="8"/>
        <v>679.25</v>
      </c>
      <c r="L113" s="34">
        <f>INDEX('R9. WEO18 Electricity'!$C$30:$K$42,MATCH($E113,'R9. WEO18 Electricity'!$A$30:$A$42,0),MATCH(L$93,'R9. WEO18 Electricity'!$C$28:$K$28,0))</f>
        <v>953</v>
      </c>
      <c r="M113" s="34">
        <f>INDEX('R9. WEO18 Electricity'!$C$30:$K$42,MATCH($E113,'R9. WEO18 Electricity'!$A$30:$A$42,0),MATCH(M$93,'R9. WEO18 Electricity'!$C$28:$K$28,0))</f>
        <v>1250</v>
      </c>
      <c r="N113" s="34">
        <f>INDEX('R9. WEO18 Electricity'!$C$30:$K$42,MATCH($E113,'R9. WEO18 Electricity'!$A$30:$A$42,0),MATCH(N$93,'R9. WEO18 Electricity'!$C$28:$K$28,0))</f>
        <v>1498</v>
      </c>
      <c r="O113" s="34">
        <f>INDEX('R9. WEO18 Electricity'!$C$30:$K$42,MATCH($E113,'R9. WEO18 Electricity'!$A$30:$A$42,0),MATCH(O$93,'R9. WEO18 Electricity'!$C$28:$K$28,0))</f>
        <v>1707</v>
      </c>
      <c r="P113" s="31">
        <f t="shared" si="9"/>
        <v>1916</v>
      </c>
      <c r="Q113" s="31">
        <f t="shared" si="9"/>
        <v>2125</v>
      </c>
      <c r="R113" s="31">
        <f t="shared" si="9"/>
        <v>2334</v>
      </c>
      <c r="S113" s="31">
        <f t="shared" si="9"/>
        <v>2543</v>
      </c>
    </row>
    <row r="114" spans="1:19" x14ac:dyDescent="0.3">
      <c r="A114" s="3" t="s">
        <v>502</v>
      </c>
      <c r="B114" s="3" t="s">
        <v>370</v>
      </c>
      <c r="C114" s="3" t="str">
        <f>INDEX('R1. Scenario specifications'!$C$11:$C$59,MATCH($B114,'R1. Scenario specifications'!$A$11:$A$59,0))</f>
        <v>New Policies Scenario, World Energy Outlook 2018</v>
      </c>
      <c r="D114" s="3" t="s">
        <v>258</v>
      </c>
      <c r="E114" s="3" t="s">
        <v>506</v>
      </c>
      <c r="F114" s="3" t="s">
        <v>501</v>
      </c>
      <c r="I114" s="34">
        <f>INDEX('R9. WEO18 Electricity'!$C$30:$K$42,MATCH($E114,'R9. WEO18 Electricity'!$A$30:$A$42,0),MATCH(I$93,'R9. WEO18 Electricity'!$C$28:$K$28,0))</f>
        <v>13</v>
      </c>
      <c r="J114" s="34">
        <f>INDEX('R9. WEO18 Electricity'!$C$30:$K$42,MATCH($E114,'R9. WEO18 Electricity'!$A$30:$A$42,0),MATCH(CONCATENATE(J$93,"e"),'R9. WEO18 Electricity'!$C$28:$K$28,0))</f>
        <v>14</v>
      </c>
      <c r="K114" s="31">
        <f t="shared" si="8"/>
        <v>16.25</v>
      </c>
      <c r="L114" s="34">
        <f>INDEX('R9. WEO18 Electricity'!$C$30:$K$42,MATCH($E114,'R9. WEO18 Electricity'!$A$30:$A$42,0),MATCH(L$93,'R9. WEO18 Electricity'!$C$28:$K$28,0))</f>
        <v>20</v>
      </c>
      <c r="M114" s="34">
        <f>INDEX('R9. WEO18 Electricity'!$C$30:$K$42,MATCH($E114,'R9. WEO18 Electricity'!$A$30:$A$42,0),MATCH(M$93,'R9. WEO18 Electricity'!$C$28:$K$28,0))</f>
        <v>29</v>
      </c>
      <c r="N114" s="34">
        <f>INDEX('R9. WEO18 Electricity'!$C$30:$K$42,MATCH($E114,'R9. WEO18 Electricity'!$A$30:$A$42,0),MATCH(N$93,'R9. WEO18 Electricity'!$C$28:$K$28,0))</f>
        <v>39</v>
      </c>
      <c r="O114" s="34">
        <f>INDEX('R9. WEO18 Electricity'!$C$30:$K$42,MATCH($E114,'R9. WEO18 Electricity'!$A$30:$A$42,0),MATCH(O$93,'R9. WEO18 Electricity'!$C$28:$K$28,0))</f>
        <v>51</v>
      </c>
      <c r="P114" s="31">
        <f t="shared" si="9"/>
        <v>63</v>
      </c>
      <c r="Q114" s="31">
        <f t="shared" si="9"/>
        <v>75</v>
      </c>
      <c r="R114" s="31">
        <f t="shared" si="9"/>
        <v>87</v>
      </c>
      <c r="S114" s="31">
        <f t="shared" si="9"/>
        <v>99</v>
      </c>
    </row>
    <row r="115" spans="1:19" x14ac:dyDescent="0.3">
      <c r="A115" s="3" t="s">
        <v>502</v>
      </c>
      <c r="B115" s="39" t="s">
        <v>370</v>
      </c>
      <c r="C115" s="39" t="str">
        <f>INDEX('R1. Scenario specifications'!$C$11:$C$59,MATCH($B115,'R1. Scenario specifications'!$A$11:$A$59,0))</f>
        <v>New Policies Scenario, World Energy Outlook 2018</v>
      </c>
      <c r="D115" s="39" t="s">
        <v>258</v>
      </c>
      <c r="E115" s="39" t="s">
        <v>507</v>
      </c>
      <c r="F115" s="39" t="s">
        <v>501</v>
      </c>
      <c r="G115" s="39"/>
      <c r="H115" s="39"/>
      <c r="I115" s="52">
        <f>INDEX('R9. WEO18 Electricity'!$C$30:$K$42,MATCH($E115,'R9. WEO18 Electricity'!$A$30:$A$42,0),MATCH(I$93,'R9. WEO18 Electricity'!$C$28:$K$28,0))</f>
        <v>1</v>
      </c>
      <c r="J115" s="52">
        <f>INDEX('R9. WEO18 Electricity'!$C$30:$K$42,MATCH($E115,'R9. WEO18 Electricity'!$A$30:$A$42,0),MATCH(CONCATENATE(J$93,"e"),'R9. WEO18 Electricity'!$C$28:$K$28,0))</f>
        <v>1</v>
      </c>
      <c r="K115" s="40">
        <f t="shared" si="8"/>
        <v>1</v>
      </c>
      <c r="L115" s="52">
        <f>INDEX('R9. WEO18 Electricity'!$C$30:$K$42,MATCH($E115,'R9. WEO18 Electricity'!$A$30:$A$42,0),MATCH(L$93,'R9. WEO18 Electricity'!$C$28:$K$28,0))</f>
        <v>1</v>
      </c>
      <c r="M115" s="52">
        <f>INDEX('R9. WEO18 Electricity'!$C$30:$K$42,MATCH($E115,'R9. WEO18 Electricity'!$A$30:$A$42,0),MATCH(M$93,'R9. WEO18 Electricity'!$C$28:$K$28,0))</f>
        <v>5</v>
      </c>
      <c r="N115" s="52">
        <f>INDEX('R9. WEO18 Electricity'!$C$30:$K$42,MATCH($E115,'R9. WEO18 Electricity'!$A$30:$A$42,0),MATCH(N$93,'R9. WEO18 Electricity'!$C$28:$K$28,0))</f>
        <v>11</v>
      </c>
      <c r="O115" s="52">
        <f>INDEX('R9. WEO18 Electricity'!$C$30:$K$42,MATCH($E115,'R9. WEO18 Electricity'!$A$30:$A$42,0),MATCH(O$93,'R9. WEO18 Electricity'!$C$28:$K$28,0))</f>
        <v>21</v>
      </c>
      <c r="P115" s="40">
        <f t="shared" si="9"/>
        <v>31</v>
      </c>
      <c r="Q115" s="40">
        <f t="shared" si="9"/>
        <v>41</v>
      </c>
      <c r="R115" s="40">
        <f t="shared" si="9"/>
        <v>51</v>
      </c>
      <c r="S115" s="40">
        <f t="shared" si="9"/>
        <v>61</v>
      </c>
    </row>
    <row r="116" spans="1:19" x14ac:dyDescent="0.3">
      <c r="A116" s="3" t="s">
        <v>502</v>
      </c>
      <c r="B116" s="3" t="s">
        <v>372</v>
      </c>
      <c r="C116" s="3" t="str">
        <f>INDEX('R1. Scenario specifications'!$C$11:$C$59,MATCH($B116,'R1. Scenario specifications'!$A$11:$A$59,0))</f>
        <v>Sustainable Development Scenario, World Energy Outlook 2018</v>
      </c>
      <c r="D116" s="3" t="s">
        <v>254</v>
      </c>
      <c r="E116" s="3" t="s">
        <v>254</v>
      </c>
      <c r="F116" s="3" t="s">
        <v>501</v>
      </c>
      <c r="I116" s="34">
        <f>INDEX('R9. WEO18 Electricity'!$C$30:$K$42,MATCH($E116,'R9. WEO18 Electricity'!$A$30:$A$42,0),MATCH(I$93,'R9. WEO18 Electricity'!$C$28:$K$28,0))</f>
        <v>2025</v>
      </c>
      <c r="J116" s="34">
        <f>INDEX('R9. WEO18 Electricity'!$C$30:$K$42,MATCH($E116,'R9. WEO18 Electricity'!$A$30:$A$42,0),MATCH(CONCATENATE(J$93,"e"),'R9. WEO18 Electricity'!$C$28:$K$28,0))</f>
        <v>2067</v>
      </c>
      <c r="K116" s="31">
        <f t="shared" si="8"/>
        <v>2021.25</v>
      </c>
      <c r="L116" s="34">
        <f>INDEX('R9. WEO18 Electricity'!$R$30:$U$42,MATCH($E116,'R9. WEO18 Electricity'!$M$30:$M$42,0),MATCH(L$93,'R9. WEO18 Electricity'!$R$28:$U$28,0))</f>
        <v>1945</v>
      </c>
      <c r="M116" s="34">
        <f>INDEX('R9. WEO18 Electricity'!$R$30:$U$42,MATCH($E116,'R9. WEO18 Electricity'!$M$30:$M$42,0),MATCH(M$93,'R9. WEO18 Electricity'!$R$28:$U$28,0))</f>
        <v>1633</v>
      </c>
      <c r="N116" s="34">
        <f>INDEX('R9. WEO18 Electricity'!$R$30:$U$42,MATCH($E116,'R9. WEO18 Electricity'!$M$30:$M$42,0),MATCH(N$93,'R9. WEO18 Electricity'!$R$28:$U$28,0))</f>
        <v>1339</v>
      </c>
      <c r="O116" s="34">
        <f>INDEX('R9. WEO18 Electricity'!$R$30:$U$42,MATCH($E116,'R9. WEO18 Electricity'!$M$30:$M$42,0),MATCH(O$93,'R9. WEO18 Electricity'!$R$28:$U$28,0))</f>
        <v>1119</v>
      </c>
      <c r="P116" s="31">
        <f t="shared" si="9"/>
        <v>899</v>
      </c>
      <c r="Q116" s="31">
        <f t="shared" si="9"/>
        <v>679</v>
      </c>
      <c r="R116" s="31">
        <f t="shared" si="9"/>
        <v>459</v>
      </c>
      <c r="S116" s="31">
        <f t="shared" si="9"/>
        <v>239</v>
      </c>
    </row>
    <row r="117" spans="1:19" x14ac:dyDescent="0.3">
      <c r="A117" s="3" t="s">
        <v>502</v>
      </c>
      <c r="B117" s="3" t="s">
        <v>372</v>
      </c>
      <c r="C117" s="3" t="str">
        <f>INDEX('R1. Scenario specifications'!$C$11:$C$59,MATCH($B117,'R1. Scenario specifications'!$A$11:$A$59,0))</f>
        <v>Sustainable Development Scenario, World Energy Outlook 2018</v>
      </c>
      <c r="D117" s="3" t="s">
        <v>266</v>
      </c>
      <c r="E117" s="3" t="s">
        <v>266</v>
      </c>
      <c r="F117" s="3" t="s">
        <v>501</v>
      </c>
      <c r="I117" s="34">
        <f>INDEX('R9. WEO18 Electricity'!$C$30:$K$42,MATCH($E117,'R9. WEO18 Electricity'!$A$30:$A$42,0),MATCH(I$93,'R9. WEO18 Electricity'!$C$28:$K$28,0))</f>
        <v>446</v>
      </c>
      <c r="J117" s="34">
        <f>INDEX('R9. WEO18 Electricity'!$C$30:$K$42,MATCH($E117,'R9. WEO18 Electricity'!$A$30:$A$42,0),MATCH(CONCATENATE(J$93,"e"),'R9. WEO18 Electricity'!$C$28:$K$28,0))</f>
        <v>447</v>
      </c>
      <c r="K117" s="31">
        <f t="shared" si="8"/>
        <v>406.5</v>
      </c>
      <c r="L117" s="34">
        <f>INDEX('R9. WEO18 Electricity'!$R$30:$U$42,MATCH($E117,'R9. WEO18 Electricity'!$M$30:$M$42,0),MATCH(L$93,'R9. WEO18 Electricity'!$R$28:$U$28,0))</f>
        <v>339</v>
      </c>
      <c r="M117" s="34">
        <f>INDEX('R9. WEO18 Electricity'!$R$30:$U$42,MATCH($E117,'R9. WEO18 Electricity'!$M$30:$M$42,0),MATCH(M$93,'R9. WEO18 Electricity'!$R$28:$U$28,0))</f>
        <v>289</v>
      </c>
      <c r="N117" s="34">
        <f>INDEX('R9. WEO18 Electricity'!$R$30:$U$42,MATCH($E117,'R9. WEO18 Electricity'!$M$30:$M$42,0),MATCH(N$93,'R9. WEO18 Electricity'!$R$28:$U$28,0))</f>
        <v>259</v>
      </c>
      <c r="O117" s="34">
        <f>INDEX('R9. WEO18 Electricity'!$R$30:$U$42,MATCH($E117,'R9. WEO18 Electricity'!$M$30:$M$42,0),MATCH(O$93,'R9. WEO18 Electricity'!$R$28:$U$28,0))</f>
        <v>228</v>
      </c>
      <c r="P117" s="31">
        <f t="shared" si="9"/>
        <v>197</v>
      </c>
      <c r="Q117" s="31">
        <f t="shared" si="9"/>
        <v>166</v>
      </c>
      <c r="R117" s="31">
        <f t="shared" si="9"/>
        <v>135</v>
      </c>
      <c r="S117" s="31">
        <f t="shared" si="9"/>
        <v>104</v>
      </c>
    </row>
    <row r="118" spans="1:19" x14ac:dyDescent="0.3">
      <c r="A118" s="3" t="s">
        <v>502</v>
      </c>
      <c r="B118" s="3" t="s">
        <v>372</v>
      </c>
      <c r="C118" s="3" t="str">
        <f>INDEX('R1. Scenario specifications'!$C$11:$C$59,MATCH($B118,'R1. Scenario specifications'!$A$11:$A$59,0))</f>
        <v>Sustainable Development Scenario, World Energy Outlook 2018</v>
      </c>
      <c r="D118" s="3" t="s">
        <v>255</v>
      </c>
      <c r="E118" s="3" t="s">
        <v>255</v>
      </c>
      <c r="F118" s="3" t="s">
        <v>501</v>
      </c>
      <c r="I118" s="34">
        <f>INDEX('R9. WEO18 Electricity'!$C$30:$K$42,MATCH($E118,'R9. WEO18 Electricity'!$A$30:$A$42,0),MATCH(I$93,'R9. WEO18 Electricity'!$C$28:$K$28,0))</f>
        <v>1644</v>
      </c>
      <c r="J118" s="34">
        <f>INDEX('R9. WEO18 Electricity'!$C$30:$K$42,MATCH($E118,'R9. WEO18 Electricity'!$A$30:$A$42,0),MATCH(CONCATENATE(J$93,"e"),'R9. WEO18 Electricity'!$C$28:$K$28,0))</f>
        <v>1695</v>
      </c>
      <c r="K118" s="31">
        <f t="shared" si="8"/>
        <v>1807.875</v>
      </c>
      <c r="L118" s="34">
        <f>INDEX('R9. WEO18 Electricity'!$R$30:$U$42,MATCH($E118,'R9. WEO18 Electricity'!$M$30:$M$42,0),MATCH(L$93,'R9. WEO18 Electricity'!$R$28:$U$28,0))</f>
        <v>1996</v>
      </c>
      <c r="M118" s="34">
        <f>INDEX('R9. WEO18 Electricity'!$R$30:$U$42,MATCH($E118,'R9. WEO18 Electricity'!$M$30:$M$42,0),MATCH(M$93,'R9. WEO18 Electricity'!$R$28:$U$28,0))</f>
        <v>2103</v>
      </c>
      <c r="N118" s="34">
        <f>INDEX('R9. WEO18 Electricity'!$R$30:$U$42,MATCH($E118,'R9. WEO18 Electricity'!$M$30:$M$42,0),MATCH(N$93,'R9. WEO18 Electricity'!$R$28:$U$28,0))</f>
        <v>2261</v>
      </c>
      <c r="O118" s="34">
        <f>INDEX('R9. WEO18 Electricity'!$R$30:$U$42,MATCH($E118,'R9. WEO18 Electricity'!$M$30:$M$42,0),MATCH(O$93,'R9. WEO18 Electricity'!$R$28:$U$28,0))</f>
        <v>2406</v>
      </c>
      <c r="P118" s="31">
        <f t="shared" si="9"/>
        <v>2551</v>
      </c>
      <c r="Q118" s="31">
        <f t="shared" si="9"/>
        <v>2696</v>
      </c>
      <c r="R118" s="31">
        <f t="shared" si="9"/>
        <v>2841</v>
      </c>
      <c r="S118" s="31">
        <f t="shared" si="9"/>
        <v>2986</v>
      </c>
    </row>
    <row r="119" spans="1:19" x14ac:dyDescent="0.3">
      <c r="A119" s="3" t="s">
        <v>502</v>
      </c>
      <c r="B119" s="3" t="s">
        <v>372</v>
      </c>
      <c r="C119" s="3" t="str">
        <f>INDEX('R1. Scenario specifications'!$C$11:$C$59,MATCH($B119,'R1. Scenario specifications'!$A$11:$A$59,0))</f>
        <v>Sustainable Development Scenario, World Energy Outlook 2018</v>
      </c>
      <c r="D119" s="3" t="s">
        <v>257</v>
      </c>
      <c r="E119" s="3" t="s">
        <v>257</v>
      </c>
      <c r="F119" s="3" t="s">
        <v>501</v>
      </c>
      <c r="I119" s="34">
        <f>INDEX('R9. WEO18 Electricity'!$C$30:$K$42,MATCH($E119,'R9. WEO18 Electricity'!$A$30:$A$42,0),MATCH(I$93,'R9. WEO18 Electricity'!$C$28:$K$28,0))</f>
        <v>414</v>
      </c>
      <c r="J119" s="34">
        <f>INDEX('R9. WEO18 Electricity'!$C$30:$K$42,MATCH($E119,'R9. WEO18 Electricity'!$A$30:$A$42,0),MATCH(CONCATENATE(J$93,"e"),'R9. WEO18 Electricity'!$C$28:$K$28,0))</f>
        <v>412</v>
      </c>
      <c r="K119" s="31">
        <f t="shared" si="8"/>
        <v>432.625</v>
      </c>
      <c r="L119" s="34">
        <f>INDEX('R9. WEO18 Electricity'!$R$30:$U$42,MATCH($E119,'R9. WEO18 Electricity'!$M$30:$M$42,0),MATCH(L$93,'R9. WEO18 Electricity'!$R$28:$U$28,0))</f>
        <v>467</v>
      </c>
      <c r="M119" s="34">
        <f>INDEX('R9. WEO18 Electricity'!$R$30:$U$42,MATCH($E119,'R9. WEO18 Electricity'!$M$30:$M$42,0),MATCH(M$93,'R9. WEO18 Electricity'!$R$28:$U$28,0))</f>
        <v>542</v>
      </c>
      <c r="N119" s="34">
        <f>INDEX('R9. WEO18 Electricity'!$R$30:$U$42,MATCH($E119,'R9. WEO18 Electricity'!$M$30:$M$42,0),MATCH(N$93,'R9. WEO18 Electricity'!$R$28:$U$28,0))</f>
        <v>621</v>
      </c>
      <c r="O119" s="34">
        <f>INDEX('R9. WEO18 Electricity'!$R$30:$U$42,MATCH($E119,'R9. WEO18 Electricity'!$M$30:$M$42,0),MATCH(O$93,'R9. WEO18 Electricity'!$R$28:$U$28,0))</f>
        <v>678</v>
      </c>
      <c r="P119" s="31">
        <f t="shared" si="9"/>
        <v>735</v>
      </c>
      <c r="Q119" s="31">
        <f t="shared" si="9"/>
        <v>792</v>
      </c>
      <c r="R119" s="31">
        <f t="shared" si="9"/>
        <v>849</v>
      </c>
      <c r="S119" s="31">
        <f t="shared" si="9"/>
        <v>906</v>
      </c>
    </row>
    <row r="120" spans="1:19" x14ac:dyDescent="0.3">
      <c r="A120" s="3" t="s">
        <v>502</v>
      </c>
      <c r="B120" s="3" t="s">
        <v>372</v>
      </c>
      <c r="C120" s="3" t="str">
        <f>INDEX('R1. Scenario specifications'!$C$11:$C$59,MATCH($B120,'R1. Scenario specifications'!$A$11:$A$59,0))</f>
        <v>Sustainable Development Scenario, World Energy Outlook 2018</v>
      </c>
      <c r="D120" s="3" t="s">
        <v>256</v>
      </c>
      <c r="E120" s="3" t="s">
        <v>256</v>
      </c>
      <c r="F120" s="3" t="s">
        <v>501</v>
      </c>
      <c r="I120" s="34">
        <f>INDEX('R9. WEO18 Electricity'!$C$30:$K$42,MATCH($E120,'R9. WEO18 Electricity'!$A$30:$A$42,0),MATCH(I$93,'R9. WEO18 Electricity'!$C$28:$K$28,0))</f>
        <v>1244</v>
      </c>
      <c r="J120" s="34">
        <f>INDEX('R9. WEO18 Electricity'!$C$30:$K$42,MATCH($E120,'R9. WEO18 Electricity'!$A$30:$A$42,0),MATCH(CONCATENATE(J$93,"e"),'R9. WEO18 Electricity'!$C$28:$K$28,0))</f>
        <v>1270</v>
      </c>
      <c r="K120" s="31">
        <f t="shared" si="8"/>
        <v>1367.875</v>
      </c>
      <c r="L120" s="34">
        <f>INDEX('R9. WEO18 Electricity'!$R$30:$U$42,MATCH($E120,'R9. WEO18 Electricity'!$M$30:$M$42,0),MATCH(L$93,'R9. WEO18 Electricity'!$R$28:$U$28,0))</f>
        <v>1531</v>
      </c>
      <c r="M120" s="34">
        <f>INDEX('R9. WEO18 Electricity'!$R$30:$U$42,MATCH($E120,'R9. WEO18 Electricity'!$M$30:$M$42,0),MATCH(M$93,'R9. WEO18 Electricity'!$R$28:$U$28,0))</f>
        <v>1738</v>
      </c>
      <c r="N120" s="34">
        <f>INDEX('R9. WEO18 Electricity'!$R$30:$U$42,MATCH($E120,'R9. WEO18 Electricity'!$M$30:$M$42,0),MATCH(N$93,'R9. WEO18 Electricity'!$R$28:$U$28,0))</f>
        <v>1924</v>
      </c>
      <c r="O120" s="34">
        <f>INDEX('R9. WEO18 Electricity'!$R$30:$U$42,MATCH($E120,'R9. WEO18 Electricity'!$M$30:$M$42,0),MATCH(O$93,'R9. WEO18 Electricity'!$R$28:$U$28,0))</f>
        <v>2096</v>
      </c>
      <c r="P120" s="31">
        <f t="shared" si="9"/>
        <v>2268</v>
      </c>
      <c r="Q120" s="31">
        <f t="shared" si="9"/>
        <v>2440</v>
      </c>
      <c r="R120" s="31">
        <f t="shared" si="9"/>
        <v>2612</v>
      </c>
      <c r="S120" s="31">
        <f t="shared" si="9"/>
        <v>2784</v>
      </c>
    </row>
    <row r="121" spans="1:19" x14ac:dyDescent="0.3">
      <c r="A121" s="3" t="s">
        <v>502</v>
      </c>
      <c r="B121" s="3" t="s">
        <v>372</v>
      </c>
      <c r="C121" s="3" t="str">
        <f>INDEX('R1. Scenario specifications'!$C$11:$C$59,MATCH($B121,'R1. Scenario specifications'!$A$11:$A$59,0))</f>
        <v>Sustainable Development Scenario, World Energy Outlook 2018</v>
      </c>
      <c r="D121" s="3" t="s">
        <v>253</v>
      </c>
      <c r="E121" s="3" t="s">
        <v>503</v>
      </c>
      <c r="F121" s="3" t="s">
        <v>501</v>
      </c>
      <c r="I121" s="34">
        <f>INDEX('R9. WEO18 Electricity'!$C$30:$K$42,MATCH($E121,'R9. WEO18 Electricity'!$A$30:$A$42,0),MATCH(I$93,'R9. WEO18 Electricity'!$C$28:$K$28,0))</f>
        <v>129</v>
      </c>
      <c r="J121" s="34">
        <f>INDEX('R9. WEO18 Electricity'!$C$30:$K$42,MATCH($E121,'R9. WEO18 Electricity'!$A$30:$A$42,0),MATCH(CONCATENATE(J$93,"e"),'R9. WEO18 Electricity'!$C$28:$K$28,0))</f>
        <v>136</v>
      </c>
      <c r="K121" s="31">
        <f t="shared" si="8"/>
        <v>164.875</v>
      </c>
      <c r="L121" s="34">
        <f>INDEX('R9. WEO18 Electricity'!$R$30:$U$42,MATCH($E121,'R9. WEO18 Electricity'!$M$30:$M$42,0),MATCH(L$93,'R9. WEO18 Electricity'!$R$28:$U$28,0))</f>
        <v>213</v>
      </c>
      <c r="M121" s="34">
        <f>INDEX('R9. WEO18 Electricity'!$R$30:$U$42,MATCH($E121,'R9. WEO18 Electricity'!$M$30:$M$42,0),MATCH(M$93,'R9. WEO18 Electricity'!$R$28:$U$28,0))</f>
        <v>266</v>
      </c>
      <c r="N121" s="34">
        <f>INDEX('R9. WEO18 Electricity'!$R$30:$U$42,MATCH($E121,'R9. WEO18 Electricity'!$M$30:$M$42,0),MATCH(N$93,'R9. WEO18 Electricity'!$R$28:$U$28,0))</f>
        <v>323</v>
      </c>
      <c r="O121" s="34">
        <f>INDEX('R9. WEO18 Electricity'!$R$30:$U$42,MATCH($E121,'R9. WEO18 Electricity'!$M$30:$M$42,0),MATCH(O$93,'R9. WEO18 Electricity'!$R$28:$U$28,0))</f>
        <v>379</v>
      </c>
      <c r="P121" s="31">
        <f t="shared" si="9"/>
        <v>435</v>
      </c>
      <c r="Q121" s="31">
        <f t="shared" si="9"/>
        <v>491</v>
      </c>
      <c r="R121" s="31">
        <f t="shared" si="9"/>
        <v>547</v>
      </c>
      <c r="S121" s="31">
        <f t="shared" si="9"/>
        <v>603</v>
      </c>
    </row>
    <row r="122" spans="1:19" x14ac:dyDescent="0.3">
      <c r="A122" s="3" t="s">
        <v>502</v>
      </c>
      <c r="B122" s="3" t="s">
        <v>372</v>
      </c>
      <c r="C122" s="3" t="str">
        <f>INDEX('R1. Scenario specifications'!$C$11:$C$59,MATCH($B122,'R1. Scenario specifications'!$A$11:$A$59,0))</f>
        <v>Sustainable Development Scenario, World Energy Outlook 2018</v>
      </c>
      <c r="D122" s="3" t="s">
        <v>259</v>
      </c>
      <c r="E122" s="3" t="s">
        <v>504</v>
      </c>
      <c r="F122" s="3" t="s">
        <v>501</v>
      </c>
      <c r="I122" s="34">
        <f>INDEX('R9. WEO18 Electricity'!$C$30:$K$42,MATCH($E122,'R9. WEO18 Electricity'!$A$30:$A$42,0),MATCH(I$93,'R9. WEO18 Electricity'!$C$28:$K$28,0))</f>
        <v>300</v>
      </c>
      <c r="J122" s="34">
        <f>INDEX('R9. WEO18 Electricity'!$C$30:$K$42,MATCH($E122,'R9. WEO18 Electricity'!$A$30:$A$42,0),MATCH(CONCATENATE(J$93,"e"),'R9. WEO18 Electricity'!$C$28:$K$28,0))</f>
        <v>398</v>
      </c>
      <c r="K122" s="31">
        <f t="shared" si="8"/>
        <v>800.75</v>
      </c>
      <c r="L122" s="34">
        <f>INDEX('R9. WEO18 Electricity'!$R$30:$U$42,MATCH($E122,'R9. WEO18 Electricity'!$M$30:$M$42,0),MATCH(L$93,'R9. WEO18 Electricity'!$R$28:$U$28,0))</f>
        <v>1472</v>
      </c>
      <c r="M122" s="34">
        <f>INDEX('R9. WEO18 Electricity'!$R$30:$U$42,MATCH($E122,'R9. WEO18 Electricity'!$M$30:$M$42,0),MATCH(M$93,'R9. WEO18 Electricity'!$R$28:$U$28,0))</f>
        <v>2346</v>
      </c>
      <c r="N122" s="34">
        <f>INDEX('R9. WEO18 Electricity'!$R$30:$U$42,MATCH($E122,'R9. WEO18 Electricity'!$M$30:$M$42,0),MATCH(N$93,'R9. WEO18 Electricity'!$R$28:$U$28,0))</f>
        <v>3300</v>
      </c>
      <c r="O122" s="34">
        <f>INDEX('R9. WEO18 Electricity'!$R$30:$U$42,MATCH($E122,'R9. WEO18 Electricity'!$M$30:$M$42,0),MATCH(O$93,'R9. WEO18 Electricity'!$R$28:$U$28,0))</f>
        <v>4240</v>
      </c>
      <c r="P122" s="31">
        <f t="shared" si="9"/>
        <v>5180</v>
      </c>
      <c r="Q122" s="31">
        <f t="shared" si="9"/>
        <v>6120</v>
      </c>
      <c r="R122" s="31">
        <f t="shared" si="9"/>
        <v>7060</v>
      </c>
      <c r="S122" s="31">
        <f t="shared" si="9"/>
        <v>8000</v>
      </c>
    </row>
    <row r="123" spans="1:19" x14ac:dyDescent="0.3">
      <c r="A123" s="3" t="s">
        <v>502</v>
      </c>
      <c r="B123" s="3" t="s">
        <v>372</v>
      </c>
      <c r="C123" s="3" t="str">
        <f>INDEX('R1. Scenario specifications'!$C$11:$C$59,MATCH($B123,'R1. Scenario specifications'!$A$11:$A$59,0))</f>
        <v>Sustainable Development Scenario, World Energy Outlook 2018</v>
      </c>
      <c r="D123" s="3" t="s">
        <v>259</v>
      </c>
      <c r="E123" s="3" t="s">
        <v>505</v>
      </c>
      <c r="F123" s="3" t="s">
        <v>501</v>
      </c>
      <c r="I123" s="34">
        <f>INDEX('R9. WEO18 Electricity'!$C$30:$K$42,MATCH($E123,'R9. WEO18 Electricity'!$A$30:$A$42,0),MATCH(I$93,'R9. WEO18 Electricity'!$C$28:$K$28,0))</f>
        <v>5</v>
      </c>
      <c r="J123" s="34">
        <f>INDEX('R9. WEO18 Electricity'!$C$30:$K$42,MATCH($E123,'R9. WEO18 Electricity'!$A$30:$A$42,0),MATCH(CONCATENATE(J$93,"e"),'R9. WEO18 Electricity'!$C$28:$K$28,0))</f>
        <v>5</v>
      </c>
      <c r="K123" s="31">
        <f t="shared" si="8"/>
        <v>10.625</v>
      </c>
      <c r="L123" s="34">
        <f>INDEX('R9. WEO18 Electricity'!$R$30:$U$42,MATCH($E123,'R9. WEO18 Electricity'!$M$30:$M$42,0),MATCH(L$93,'R9. WEO18 Electricity'!$R$28:$U$28,0))</f>
        <v>20</v>
      </c>
      <c r="M123" s="34">
        <f>INDEX('R9. WEO18 Electricity'!$R$30:$U$42,MATCH($E123,'R9. WEO18 Electricity'!$M$30:$M$42,0),MATCH(M$93,'R9. WEO18 Electricity'!$R$28:$U$28,0))</f>
        <v>62</v>
      </c>
      <c r="N123" s="34">
        <f>INDEX('R9. WEO18 Electricity'!$R$30:$U$42,MATCH($E123,'R9. WEO18 Electricity'!$M$30:$M$42,0),MATCH(N$93,'R9. WEO18 Electricity'!$R$28:$U$28,0))</f>
        <v>148</v>
      </c>
      <c r="O123" s="34">
        <f>INDEX('R9. WEO18 Electricity'!$R$30:$U$42,MATCH($E123,'R9. WEO18 Electricity'!$M$30:$M$42,0),MATCH(O$93,'R9. WEO18 Electricity'!$R$28:$U$28,0))</f>
        <v>267</v>
      </c>
      <c r="P123" s="31">
        <f t="shared" si="9"/>
        <v>386</v>
      </c>
      <c r="Q123" s="31">
        <f t="shared" si="9"/>
        <v>505</v>
      </c>
      <c r="R123" s="31">
        <f t="shared" si="9"/>
        <v>624</v>
      </c>
      <c r="S123" s="31">
        <f t="shared" si="9"/>
        <v>743</v>
      </c>
    </row>
    <row r="124" spans="1:19" x14ac:dyDescent="0.3">
      <c r="A124" s="3" t="s">
        <v>502</v>
      </c>
      <c r="B124" s="3" t="s">
        <v>372</v>
      </c>
      <c r="C124" s="3" t="str">
        <f>INDEX('R1. Scenario specifications'!$C$11:$C$59,MATCH($B124,'R1. Scenario specifications'!$A$11:$A$59,0))</f>
        <v>Sustainable Development Scenario, World Energy Outlook 2018</v>
      </c>
      <c r="D124" s="3" t="s">
        <v>260</v>
      </c>
      <c r="E124" s="3" t="s">
        <v>260</v>
      </c>
      <c r="F124" s="3" t="s">
        <v>501</v>
      </c>
      <c r="I124" s="34">
        <f>INDEX('R9. WEO18 Electricity'!$C$30:$K$42,MATCH($E124,'R9. WEO18 Electricity'!$A$30:$A$42,0),MATCH(I$93,'R9. WEO18 Electricity'!$C$28:$K$28,0))</f>
        <v>467</v>
      </c>
      <c r="J124" s="34">
        <f>INDEX('R9. WEO18 Electricity'!$C$30:$K$42,MATCH($E124,'R9. WEO18 Electricity'!$A$30:$A$42,0),MATCH(CONCATENATE(J$93,"e"),'R9. WEO18 Electricity'!$C$28:$K$28,0))</f>
        <v>515</v>
      </c>
      <c r="K124" s="31">
        <f t="shared" si="8"/>
        <v>742.625</v>
      </c>
      <c r="L124" s="34">
        <f>INDEX('R9. WEO18 Electricity'!$R$30:$U$42,MATCH($E124,'R9. WEO18 Electricity'!$M$30:$M$42,0),MATCH(L$93,'R9. WEO18 Electricity'!$R$28:$U$28,0))</f>
        <v>1122</v>
      </c>
      <c r="M124" s="34">
        <f>INDEX('R9. WEO18 Electricity'!$R$30:$U$42,MATCH($E124,'R9. WEO18 Electricity'!$M$30:$M$42,0),MATCH(M$93,'R9. WEO18 Electricity'!$R$28:$U$28,0))</f>
        <v>1712</v>
      </c>
      <c r="N124" s="34">
        <f>INDEX('R9. WEO18 Electricity'!$R$30:$U$42,MATCH($E124,'R9. WEO18 Electricity'!$M$30:$M$42,0),MATCH(N$93,'R9. WEO18 Electricity'!$R$28:$U$28,0))</f>
        <v>2304</v>
      </c>
      <c r="O124" s="34">
        <f>INDEX('R9. WEO18 Electricity'!$R$30:$U$42,MATCH($E124,'R9. WEO18 Electricity'!$M$30:$M$42,0),MATCH(O$93,'R9. WEO18 Electricity'!$R$28:$U$28,0))</f>
        <v>2819</v>
      </c>
      <c r="P124" s="31">
        <f t="shared" si="9"/>
        <v>3334</v>
      </c>
      <c r="Q124" s="31">
        <f t="shared" si="9"/>
        <v>3849</v>
      </c>
      <c r="R124" s="31">
        <f t="shared" si="9"/>
        <v>4364</v>
      </c>
      <c r="S124" s="31">
        <f t="shared" si="9"/>
        <v>4879</v>
      </c>
    </row>
    <row r="125" spans="1:19" x14ac:dyDescent="0.3">
      <c r="A125" s="3" t="s">
        <v>502</v>
      </c>
      <c r="B125" s="3" t="s">
        <v>372</v>
      </c>
      <c r="C125" s="3" t="str">
        <f>INDEX('R1. Scenario specifications'!$C$11:$C$59,MATCH($B125,'R1. Scenario specifications'!$A$11:$A$59,0))</f>
        <v>Sustainable Development Scenario, World Energy Outlook 2018</v>
      </c>
      <c r="D125" s="3" t="s">
        <v>258</v>
      </c>
      <c r="E125" s="3" t="s">
        <v>506</v>
      </c>
      <c r="F125" s="3" t="s">
        <v>501</v>
      </c>
      <c r="I125" s="34">
        <f>INDEX('R9. WEO18 Electricity'!$C$30:$K$42,MATCH($E125,'R9. WEO18 Electricity'!$A$30:$A$42,0),MATCH(I$93,'R9. WEO18 Electricity'!$C$28:$K$28,0))</f>
        <v>13</v>
      </c>
      <c r="J125" s="34">
        <f>INDEX('R9. WEO18 Electricity'!$C$30:$K$42,MATCH($E125,'R9. WEO18 Electricity'!$A$30:$A$42,0),MATCH(CONCATENATE(J$93,"e"),'R9. WEO18 Electricity'!$C$28:$K$28,0))</f>
        <v>14</v>
      </c>
      <c r="K125" s="31">
        <f t="shared" si="8"/>
        <v>18.5</v>
      </c>
      <c r="L125" s="34">
        <f>INDEX('R9. WEO18 Electricity'!$R$30:$U$42,MATCH($E125,'R9. WEO18 Electricity'!$M$30:$M$42,0),MATCH(L$93,'R9. WEO18 Electricity'!$R$28:$U$28,0))</f>
        <v>26</v>
      </c>
      <c r="M125" s="34">
        <f>INDEX('R9. WEO18 Electricity'!$R$30:$U$42,MATCH($E125,'R9. WEO18 Electricity'!$M$30:$M$42,0),MATCH(M$93,'R9. WEO18 Electricity'!$R$28:$U$28,0))</f>
        <v>43</v>
      </c>
      <c r="N125" s="34">
        <f>INDEX('R9. WEO18 Electricity'!$R$30:$U$42,MATCH($E125,'R9. WEO18 Electricity'!$M$30:$M$42,0),MATCH(N$93,'R9. WEO18 Electricity'!$R$28:$U$28,0))</f>
        <v>63</v>
      </c>
      <c r="O125" s="34">
        <f>INDEX('R9. WEO18 Electricity'!$R$30:$U$42,MATCH($E125,'R9. WEO18 Electricity'!$M$30:$M$42,0),MATCH(O$93,'R9. WEO18 Electricity'!$R$28:$U$28,0))</f>
        <v>82</v>
      </c>
      <c r="P125" s="31">
        <f t="shared" si="9"/>
        <v>101</v>
      </c>
      <c r="Q125" s="31">
        <f t="shared" si="9"/>
        <v>120</v>
      </c>
      <c r="R125" s="31">
        <f t="shared" si="9"/>
        <v>139</v>
      </c>
      <c r="S125" s="31">
        <f t="shared" si="9"/>
        <v>158</v>
      </c>
    </row>
    <row r="126" spans="1:19" x14ac:dyDescent="0.3">
      <c r="A126" s="39" t="s">
        <v>502</v>
      </c>
      <c r="B126" s="39" t="s">
        <v>372</v>
      </c>
      <c r="C126" s="39" t="str">
        <f>INDEX('R1. Scenario specifications'!$C$11:$C$59,MATCH($B126,'R1. Scenario specifications'!$A$11:$A$59,0))</f>
        <v>Sustainable Development Scenario, World Energy Outlook 2018</v>
      </c>
      <c r="D126" s="39" t="s">
        <v>258</v>
      </c>
      <c r="E126" s="39" t="s">
        <v>507</v>
      </c>
      <c r="F126" s="39" t="s">
        <v>501</v>
      </c>
      <c r="G126" s="39"/>
      <c r="H126" s="39"/>
      <c r="I126" s="52">
        <f>INDEX('R9. WEO18 Electricity'!$C$30:$K$42,MATCH($E126,'R9. WEO18 Electricity'!$A$30:$A$42,0),MATCH(I$93,'R9. WEO18 Electricity'!$C$28:$K$28,0))</f>
        <v>1</v>
      </c>
      <c r="J126" s="52">
        <f>INDEX('R9. WEO18 Electricity'!$C$30:$K$42,MATCH($E126,'R9. WEO18 Electricity'!$A$30:$A$42,0),MATCH(CONCATENATE(J$93,"e"),'R9. WEO18 Electricity'!$C$28:$K$28,0))</f>
        <v>1</v>
      </c>
      <c r="K126" s="40">
        <f t="shared" si="8"/>
        <v>1.375</v>
      </c>
      <c r="L126" s="52">
        <f>INDEX('R9. WEO18 Electricity'!$R$30:$U$42,MATCH($E126,'R9. WEO18 Electricity'!$M$30:$M$42,0),MATCH(L$93,'R9. WEO18 Electricity'!$R$28:$U$28,0))</f>
        <v>2</v>
      </c>
      <c r="M126" s="52">
        <f>INDEX('R9. WEO18 Electricity'!$R$30:$U$42,MATCH($E126,'R9. WEO18 Electricity'!$M$30:$M$42,0),MATCH(M$93,'R9. WEO18 Electricity'!$R$28:$U$28,0))</f>
        <v>6</v>
      </c>
      <c r="N126" s="52">
        <f>INDEX('R9. WEO18 Electricity'!$R$30:$U$42,MATCH($E126,'R9. WEO18 Electricity'!$M$30:$M$42,0),MATCH(N$93,'R9. WEO18 Electricity'!$R$28:$U$28,0))</f>
        <v>16</v>
      </c>
      <c r="O126" s="52">
        <f>INDEX('R9. WEO18 Electricity'!$R$30:$U$42,MATCH($E126,'R9. WEO18 Electricity'!$M$30:$M$42,0),MATCH(O$93,'R9. WEO18 Electricity'!$R$28:$U$28,0))</f>
        <v>31</v>
      </c>
      <c r="P126" s="40">
        <f t="shared" si="9"/>
        <v>46</v>
      </c>
      <c r="Q126" s="40">
        <f t="shared" si="9"/>
        <v>61</v>
      </c>
      <c r="R126" s="40">
        <f t="shared" si="9"/>
        <v>76</v>
      </c>
      <c r="S126" s="40">
        <f t="shared" si="9"/>
        <v>91</v>
      </c>
    </row>
    <row r="127" spans="1:19" x14ac:dyDescent="0.3">
      <c r="A127" s="3" t="s">
        <v>508</v>
      </c>
      <c r="B127" s="3" t="s">
        <v>378</v>
      </c>
      <c r="C127" s="3" t="str">
        <f>INDEX('R1. Scenario specifications'!$C$11:$C$59,MATCH($B127,'R1. Scenario specifications'!$A$11:$A$59,0))</f>
        <v>Current Policies Scenario, World Energy Outlook 2016</v>
      </c>
      <c r="D127" s="3" t="s">
        <v>254</v>
      </c>
      <c r="E127" s="3" t="s">
        <v>254</v>
      </c>
      <c r="F127" s="3" t="s">
        <v>501</v>
      </c>
      <c r="G127" s="34">
        <f>INDEX('R10. WEO16 Electricity'!$C$29:$K$40,MATCH($E127,'R10. WEO16 Electricity'!$A$29:$A$40,0),MATCH(G$93,'R10. WEO16 Electricity'!$C$27:$K$27,0))</f>
        <v>1881.943</v>
      </c>
      <c r="K127" s="34">
        <f>INDEX('R10. WEO16 Electricity'!$N$29:$P$40,MATCH($E127,'R10. WEO16 Electricity'!$M$29:$M$40,0),MATCH(K$93,'R10. WEO16 Electricity'!$N$27:$P$27,0))</f>
        <v>2200.9470000000001</v>
      </c>
      <c r="M127" s="34">
        <f>INDEX('R10. WEO16 Electricity'!$N$29:$P$40,MATCH($E127,'R10. WEO16 Electricity'!$M$29:$M$40,0),MATCH(M$93,'R10. WEO16 Electricity'!$N$27:$P$27,0))</f>
        <v>2617.2707999999998</v>
      </c>
      <c r="N127" s="34"/>
      <c r="O127" s="34">
        <f>INDEX('R10. WEO16 Electricity'!$N$29:$P$40,MATCH($E127,'R10. WEO16 Electricity'!$M$29:$M$40,0),MATCH(O$93,'R10. WEO16 Electricity'!$N$27:$P$27,0))</f>
        <v>3029.8759</v>
      </c>
      <c r="P127" s="31">
        <f>$O127+(P$93-$O$93)*($O127-$M127)/($O$93-$M$93)</f>
        <v>3236.1784500000003</v>
      </c>
      <c r="Q127" s="31">
        <f t="shared" ref="Q127:S137" si="10">$O127+(Q$93-$O$93)*($O127-$M127)/($O$93-$M$93)</f>
        <v>3442.4810000000002</v>
      </c>
      <c r="R127" s="31">
        <f t="shared" si="10"/>
        <v>3648.7835500000001</v>
      </c>
      <c r="S127" s="31">
        <f t="shared" si="10"/>
        <v>3855.0861000000004</v>
      </c>
    </row>
    <row r="128" spans="1:19" x14ac:dyDescent="0.3">
      <c r="A128" s="3" t="s">
        <v>508</v>
      </c>
      <c r="B128" s="3" t="s">
        <v>378</v>
      </c>
      <c r="C128" s="3" t="str">
        <f>INDEX('R1. Scenario specifications'!$C$11:$C$59,MATCH($B128,'R1. Scenario specifications'!$A$11:$A$59,0))</f>
        <v>Current Policies Scenario, World Energy Outlook 2016</v>
      </c>
      <c r="D128" s="3" t="s">
        <v>266</v>
      </c>
      <c r="E128" s="3" t="s">
        <v>266</v>
      </c>
      <c r="F128" s="3" t="s">
        <v>501</v>
      </c>
      <c r="G128" s="34">
        <f>INDEX('R10. WEO16 Electricity'!$C$29:$K$40,MATCH($E128,'R10. WEO16 Electricity'!$A$29:$A$40,0),MATCH(G$93,'R10. WEO16 Electricity'!$C$27:$K$27,0))</f>
        <v>441.49310000000003</v>
      </c>
      <c r="K128" s="34">
        <f>INDEX('R10. WEO16 Electricity'!$N$29:$P$40,MATCH($E128,'R10. WEO16 Electricity'!$M$29:$M$40,0),MATCH(K$93,'R10. WEO16 Electricity'!$N$27:$P$27,0))</f>
        <v>375.46589999999998</v>
      </c>
      <c r="M128" s="34">
        <f>INDEX('R10. WEO16 Electricity'!$N$29:$P$40,MATCH($E128,'R10. WEO16 Electricity'!$M$29:$M$40,0),MATCH(M$93,'R10. WEO16 Electricity'!$N$27:$P$27,0))</f>
        <v>300.27210000000002</v>
      </c>
      <c r="N128" s="34"/>
      <c r="O128" s="34">
        <f>INDEX('R10. WEO16 Electricity'!$N$29:$P$40,MATCH($E128,'R10. WEO16 Electricity'!$M$29:$M$40,0),MATCH(O$93,'R10. WEO16 Electricity'!$N$27:$P$27,0))</f>
        <v>264.01159999999999</v>
      </c>
      <c r="P128" s="31">
        <f t="shared" ref="P128:P137" si="11">$O128+(P$93-$O$93)*($O128-$M128)/($O$93-$M$93)</f>
        <v>245.88134999999997</v>
      </c>
      <c r="Q128" s="31">
        <f t="shared" si="10"/>
        <v>227.75109999999995</v>
      </c>
      <c r="R128" s="31">
        <f t="shared" si="10"/>
        <v>209.62084999999993</v>
      </c>
      <c r="S128" s="31">
        <f t="shared" si="10"/>
        <v>191.49059999999992</v>
      </c>
    </row>
    <row r="129" spans="1:19" x14ac:dyDescent="0.3">
      <c r="A129" s="3" t="s">
        <v>508</v>
      </c>
      <c r="B129" s="3" t="s">
        <v>378</v>
      </c>
      <c r="C129" s="3" t="str">
        <f>INDEX('R1. Scenario specifications'!$C$11:$C$59,MATCH($B129,'R1. Scenario specifications'!$A$11:$A$59,0))</f>
        <v>Current Policies Scenario, World Energy Outlook 2016</v>
      </c>
      <c r="D129" s="3" t="s">
        <v>255</v>
      </c>
      <c r="E129" s="3" t="s">
        <v>255</v>
      </c>
      <c r="F129" s="3" t="s">
        <v>501</v>
      </c>
      <c r="G129" s="34">
        <f>INDEX('R10. WEO16 Electricity'!$C$29:$K$40,MATCH($E129,'R10. WEO16 Electricity'!$A$29:$A$40,0),MATCH(G$93,'R10. WEO16 Electricity'!$C$27:$K$27,0))</f>
        <v>1562.5581</v>
      </c>
      <c r="K129" s="34">
        <f>INDEX('R10. WEO16 Electricity'!$N$29:$P$40,MATCH($E129,'R10. WEO16 Electricity'!$M$29:$M$40,0),MATCH(K$93,'R10. WEO16 Electricity'!$N$27:$P$27,0))</f>
        <v>1873.5452</v>
      </c>
      <c r="M129" s="34">
        <f>INDEX('R10. WEO16 Electricity'!$N$29:$P$40,MATCH($E129,'R10. WEO16 Electricity'!$M$29:$M$40,0),MATCH(M$93,'R10. WEO16 Electricity'!$N$27:$P$27,0))</f>
        <v>2443.1271999999999</v>
      </c>
      <c r="N129" s="34"/>
      <c r="O129" s="34">
        <f>INDEX('R10. WEO16 Electricity'!$N$29:$P$40,MATCH($E129,'R10. WEO16 Electricity'!$M$29:$M$40,0),MATCH(O$93,'R10. WEO16 Electricity'!$N$27:$P$27,0))</f>
        <v>3035.0358999999999</v>
      </c>
      <c r="P129" s="31">
        <f t="shared" si="11"/>
        <v>3330.9902499999998</v>
      </c>
      <c r="Q129" s="31">
        <f t="shared" si="10"/>
        <v>3626.9445999999998</v>
      </c>
      <c r="R129" s="31">
        <f t="shared" si="10"/>
        <v>3922.8989499999998</v>
      </c>
      <c r="S129" s="31">
        <f t="shared" si="10"/>
        <v>4218.8532999999998</v>
      </c>
    </row>
    <row r="130" spans="1:19" x14ac:dyDescent="0.3">
      <c r="A130" s="3" t="s">
        <v>508</v>
      </c>
      <c r="B130" s="3" t="s">
        <v>378</v>
      </c>
      <c r="C130" s="3" t="str">
        <f>INDEX('R1. Scenario specifications'!$C$11:$C$59,MATCH($B130,'R1. Scenario specifications'!$A$11:$A$59,0))</f>
        <v>Current Policies Scenario, World Energy Outlook 2016</v>
      </c>
      <c r="D130" s="3" t="s">
        <v>257</v>
      </c>
      <c r="E130" s="3" t="s">
        <v>257</v>
      </c>
      <c r="F130" s="3" t="s">
        <v>501</v>
      </c>
      <c r="G130" s="34">
        <f>INDEX('R10. WEO16 Electricity'!$C$29:$K$40,MATCH($E130,'R10. WEO16 Electricity'!$A$29:$A$40,0),MATCH(G$93,'R10. WEO16 Electricity'!$C$27:$K$27,0))</f>
        <v>397.68400000000003</v>
      </c>
      <c r="K130" s="34">
        <f>INDEX('R10. WEO16 Electricity'!$N$29:$P$40,MATCH($E130,'R10. WEO16 Electricity'!$M$29:$M$40,0),MATCH(K$93,'R10. WEO16 Electricity'!$N$27:$P$27,0))</f>
        <v>437.13299999999998</v>
      </c>
      <c r="M130" s="34">
        <f>INDEX('R10. WEO16 Electricity'!$N$29:$P$40,MATCH($E130,'R10. WEO16 Electricity'!$M$29:$M$40,0),MATCH(M$93,'R10. WEO16 Electricity'!$N$27:$P$27,0))</f>
        <v>487.78699999999998</v>
      </c>
      <c r="N130" s="34"/>
      <c r="O130" s="34">
        <f>INDEX('R10. WEO16 Electricity'!$N$29:$P$40,MATCH($E130,'R10. WEO16 Electricity'!$M$29:$M$40,0),MATCH(O$93,'R10. WEO16 Electricity'!$N$27:$P$27,0))</f>
        <v>528.55799999999999</v>
      </c>
      <c r="P130" s="31">
        <f t="shared" si="11"/>
        <v>548.94349999999997</v>
      </c>
      <c r="Q130" s="31">
        <f t="shared" si="10"/>
        <v>569.32899999999995</v>
      </c>
      <c r="R130" s="31">
        <f t="shared" si="10"/>
        <v>589.71450000000004</v>
      </c>
      <c r="S130" s="31">
        <f t="shared" si="10"/>
        <v>610.1</v>
      </c>
    </row>
    <row r="131" spans="1:19" x14ac:dyDescent="0.3">
      <c r="A131" s="3" t="s">
        <v>508</v>
      </c>
      <c r="B131" s="3" t="s">
        <v>378</v>
      </c>
      <c r="C131" s="3" t="str">
        <f>INDEX('R1. Scenario specifications'!$C$11:$C$59,MATCH($B131,'R1. Scenario specifications'!$A$11:$A$59,0))</f>
        <v>Current Policies Scenario, World Energy Outlook 2016</v>
      </c>
      <c r="D131" s="3" t="s">
        <v>256</v>
      </c>
      <c r="E131" s="3" t="s">
        <v>256</v>
      </c>
      <c r="F131" s="3" t="s">
        <v>501</v>
      </c>
      <c r="G131" s="34">
        <f>INDEX('R10. WEO16 Electricity'!$C$29:$K$40,MATCH($E131,'R10. WEO16 Electricity'!$A$29:$A$40,0),MATCH(G$93,'R10. WEO16 Electricity'!$C$27:$K$27,0))</f>
        <v>1176.9855</v>
      </c>
      <c r="K131" s="34">
        <f>INDEX('R10. WEO16 Electricity'!$N$29:$P$40,MATCH($E131,'R10. WEO16 Electricity'!$M$29:$M$40,0),MATCH(K$93,'R10. WEO16 Electricity'!$N$27:$P$27,0))</f>
        <v>1337.9193</v>
      </c>
      <c r="M131" s="34">
        <f>INDEX('R10. WEO16 Electricity'!$N$29:$P$40,MATCH($E131,'R10. WEO16 Electricity'!$M$29:$M$40,0),MATCH(M$93,'R10. WEO16 Electricity'!$N$27:$P$27,0))</f>
        <v>1570.5091</v>
      </c>
      <c r="N131" s="34"/>
      <c r="O131" s="34">
        <f>INDEX('R10. WEO16 Electricity'!$N$29:$P$40,MATCH($E131,'R10. WEO16 Electricity'!$M$29:$M$40,0),MATCH(O$93,'R10. WEO16 Electricity'!$N$27:$P$27,0))</f>
        <v>1770.3696</v>
      </c>
      <c r="P131" s="31">
        <f t="shared" si="11"/>
        <v>1870.2998499999999</v>
      </c>
      <c r="Q131" s="31">
        <f t="shared" si="10"/>
        <v>1970.2301</v>
      </c>
      <c r="R131" s="31">
        <f t="shared" si="10"/>
        <v>2070.1603500000001</v>
      </c>
      <c r="S131" s="31">
        <f t="shared" si="10"/>
        <v>2170.0906</v>
      </c>
    </row>
    <row r="132" spans="1:19" x14ac:dyDescent="0.3">
      <c r="A132" s="3" t="s">
        <v>508</v>
      </c>
      <c r="B132" s="3" t="s">
        <v>378</v>
      </c>
      <c r="C132" s="3" t="str">
        <f>INDEX('R1. Scenario specifications'!$C$11:$C$59,MATCH($B132,'R1. Scenario specifications'!$A$11:$A$59,0))</f>
        <v>Current Policies Scenario, World Energy Outlook 2016</v>
      </c>
      <c r="D132" s="3" t="s">
        <v>253</v>
      </c>
      <c r="E132" s="3" t="s">
        <v>503</v>
      </c>
      <c r="F132" s="3" t="s">
        <v>501</v>
      </c>
      <c r="G132" s="34">
        <f>INDEX('R10. WEO16 Electricity'!$C$29:$K$40,MATCH($E132,'R10. WEO16 Electricity'!$A$29:$A$40,0),MATCH(G$93,'R10. WEO16 Electricity'!$C$27:$K$27,0))</f>
        <v>112.51690000000001</v>
      </c>
      <c r="K132" s="34">
        <f>INDEX('R10. WEO16 Electricity'!$N$29:$P$40,MATCH($E132,'R10. WEO16 Electricity'!$M$29:$M$40,0),MATCH(K$93,'R10. WEO16 Electricity'!$N$27:$P$27,0))</f>
        <v>138.92140000000001</v>
      </c>
      <c r="M132" s="34">
        <f>INDEX('R10. WEO16 Electricity'!$N$29:$P$40,MATCH($E132,'R10. WEO16 Electricity'!$M$29:$M$40,0),MATCH(M$93,'R10. WEO16 Electricity'!$N$27:$P$27,0))</f>
        <v>180.18180000000001</v>
      </c>
      <c r="N132" s="34"/>
      <c r="O132" s="34">
        <f>INDEX('R10. WEO16 Electricity'!$N$29:$P$40,MATCH($E132,'R10. WEO16 Electricity'!$M$29:$M$40,0),MATCH(O$93,'R10. WEO16 Electricity'!$N$27:$P$27,0))</f>
        <v>222.53389999999999</v>
      </c>
      <c r="P132" s="31">
        <f t="shared" si="11"/>
        <v>243.70994999999999</v>
      </c>
      <c r="Q132" s="31">
        <f t="shared" si="10"/>
        <v>264.88599999999997</v>
      </c>
      <c r="R132" s="31">
        <f t="shared" si="10"/>
        <v>286.06204999999994</v>
      </c>
      <c r="S132" s="31">
        <f t="shared" si="10"/>
        <v>307.23809999999992</v>
      </c>
    </row>
    <row r="133" spans="1:19" x14ac:dyDescent="0.3">
      <c r="A133" s="3" t="s">
        <v>508</v>
      </c>
      <c r="B133" s="3" t="s">
        <v>378</v>
      </c>
      <c r="C133" s="3" t="str">
        <f>INDEX('R1. Scenario specifications'!$C$11:$C$59,MATCH($B133,'R1. Scenario specifications'!$A$11:$A$59,0))</f>
        <v>Current Policies Scenario, World Energy Outlook 2016</v>
      </c>
      <c r="D133" s="3" t="s">
        <v>259</v>
      </c>
      <c r="E133" s="3" t="s">
        <v>504</v>
      </c>
      <c r="F133" s="3" t="s">
        <v>501</v>
      </c>
      <c r="G133" s="34">
        <f>INDEX('R10. WEO16 Electricity'!$C$29:$K$40,MATCH($E133,'R10. WEO16 Electricity'!$A$29:$A$40,0),MATCH(G$93,'R10. WEO16 Electricity'!$C$27:$K$27,0))</f>
        <v>175.72929999999999</v>
      </c>
      <c r="K133" s="34">
        <f>INDEX('R10. WEO16 Electricity'!$N$29:$P$40,MATCH($E133,'R10. WEO16 Electricity'!$M$29:$M$40,0),MATCH(K$93,'R10. WEO16 Electricity'!$N$27:$P$27,0))</f>
        <v>424.09519999999998</v>
      </c>
      <c r="M133" s="34">
        <f>INDEX('R10. WEO16 Electricity'!$N$29:$P$40,MATCH($E133,'R10. WEO16 Electricity'!$M$29:$M$40,0),MATCH(M$93,'R10. WEO16 Electricity'!$N$27:$P$27,0))</f>
        <v>707.63</v>
      </c>
      <c r="N133" s="34"/>
      <c r="O133" s="34">
        <f>INDEX('R10. WEO16 Electricity'!$N$29:$P$40,MATCH($E133,'R10. WEO16 Electricity'!$M$29:$M$40,0),MATCH(O$93,'R10. WEO16 Electricity'!$N$27:$P$27,0))</f>
        <v>991.37810000000002</v>
      </c>
      <c r="P133" s="31">
        <f t="shared" si="11"/>
        <v>1133.25215</v>
      </c>
      <c r="Q133" s="31">
        <f t="shared" si="10"/>
        <v>1275.1262000000002</v>
      </c>
      <c r="R133" s="31">
        <f t="shared" si="10"/>
        <v>1417.0002500000001</v>
      </c>
      <c r="S133" s="31">
        <f t="shared" si="10"/>
        <v>1558.8742999999999</v>
      </c>
    </row>
    <row r="134" spans="1:19" x14ac:dyDescent="0.3">
      <c r="A134" s="3" t="s">
        <v>508</v>
      </c>
      <c r="B134" s="3" t="s">
        <v>378</v>
      </c>
      <c r="C134" s="3" t="str">
        <f>INDEX('R1. Scenario specifications'!$C$11:$C$59,MATCH($B134,'R1. Scenario specifications'!$A$11:$A$59,0))</f>
        <v>Current Policies Scenario, World Energy Outlook 2016</v>
      </c>
      <c r="D134" s="3" t="s">
        <v>259</v>
      </c>
      <c r="E134" s="3" t="s">
        <v>505</v>
      </c>
      <c r="F134" s="3" t="s">
        <v>501</v>
      </c>
      <c r="G134" s="34">
        <f>INDEX('R10. WEO16 Electricity'!$C$29:$K$40,MATCH($E134,'R10. WEO16 Electricity'!$A$29:$A$40,0),MATCH(G$93,'R10. WEO16 Electricity'!$C$27:$K$27,0))</f>
        <v>4.5023999999999997</v>
      </c>
      <c r="K134" s="34">
        <f>INDEX('R10. WEO16 Electricity'!$N$29:$P$40,MATCH($E134,'R10. WEO16 Electricity'!$M$29:$M$40,0),MATCH(K$93,'R10. WEO16 Electricity'!$N$27:$P$27,0))</f>
        <v>9.4428999999999998</v>
      </c>
      <c r="M134" s="34">
        <f>INDEX('R10. WEO16 Electricity'!$N$29:$P$40,MATCH($E134,'R10. WEO16 Electricity'!$M$29:$M$40,0),MATCH(M$93,'R10. WEO16 Electricity'!$N$27:$P$27,0))</f>
        <v>24.419899999999998</v>
      </c>
      <c r="N134" s="34"/>
      <c r="O134" s="34">
        <f>INDEX('R10. WEO16 Electricity'!$N$29:$P$40,MATCH($E134,'R10. WEO16 Electricity'!$M$29:$M$40,0),MATCH(O$93,'R10. WEO16 Electricity'!$N$27:$P$27,0))</f>
        <v>49.502600000000001</v>
      </c>
      <c r="P134" s="31">
        <f t="shared" si="11"/>
        <v>62.043950000000002</v>
      </c>
      <c r="Q134" s="31">
        <f t="shared" si="10"/>
        <v>74.585300000000004</v>
      </c>
      <c r="R134" s="31">
        <f t="shared" si="10"/>
        <v>87.126650000000012</v>
      </c>
      <c r="S134" s="31">
        <f t="shared" si="10"/>
        <v>99.668000000000006</v>
      </c>
    </row>
    <row r="135" spans="1:19" x14ac:dyDescent="0.3">
      <c r="A135" s="3" t="s">
        <v>508</v>
      </c>
      <c r="B135" s="3" t="s">
        <v>378</v>
      </c>
      <c r="C135" s="3" t="str">
        <f>INDEX('R1. Scenario specifications'!$C$11:$C$59,MATCH($B135,'R1. Scenario specifications'!$A$11:$A$59,0))</f>
        <v>Current Policies Scenario, World Energy Outlook 2016</v>
      </c>
      <c r="D135" s="3" t="s">
        <v>260</v>
      </c>
      <c r="E135" s="3" t="s">
        <v>260</v>
      </c>
      <c r="F135" s="3" t="s">
        <v>501</v>
      </c>
      <c r="G135" s="34">
        <f>INDEX('R10. WEO16 Electricity'!$C$29:$K$40,MATCH($E135,'R10. WEO16 Electricity'!$A$29:$A$40,0),MATCH(G$93,'R10. WEO16 Electricity'!$C$27:$K$27,0))</f>
        <v>351.04289999999997</v>
      </c>
      <c r="K135" s="34">
        <f>INDEX('R10. WEO16 Electricity'!$N$29:$P$40,MATCH($E135,'R10. WEO16 Electricity'!$M$29:$M$40,0),MATCH(K$93,'R10. WEO16 Electricity'!$N$27:$P$27,0))</f>
        <v>621.10119999999995</v>
      </c>
      <c r="M135" s="34">
        <f>INDEX('R10. WEO16 Electricity'!$N$29:$P$40,MATCH($E135,'R10. WEO16 Electricity'!$M$29:$M$40,0),MATCH(M$93,'R10. WEO16 Electricity'!$N$27:$P$27,0))</f>
        <v>940.28800000000001</v>
      </c>
      <c r="N135" s="34"/>
      <c r="O135" s="34">
        <f>INDEX('R10. WEO16 Electricity'!$N$29:$P$40,MATCH($E135,'R10. WEO16 Electricity'!$M$29:$M$40,0),MATCH(O$93,'R10. WEO16 Electricity'!$N$27:$P$27,0))</f>
        <v>1214.2514000000001</v>
      </c>
      <c r="P135" s="31">
        <f t="shared" si="11"/>
        <v>1351.2331000000001</v>
      </c>
      <c r="Q135" s="31">
        <f t="shared" si="10"/>
        <v>1488.2148000000002</v>
      </c>
      <c r="R135" s="31">
        <f t="shared" si="10"/>
        <v>1625.1965000000002</v>
      </c>
      <c r="S135" s="31">
        <f t="shared" si="10"/>
        <v>1762.1782000000003</v>
      </c>
    </row>
    <row r="136" spans="1:19" x14ac:dyDescent="0.3">
      <c r="A136" s="3" t="s">
        <v>508</v>
      </c>
      <c r="B136" s="3" t="s">
        <v>378</v>
      </c>
      <c r="C136" s="3" t="str">
        <f>INDEX('R1. Scenario specifications'!$C$11:$C$59,MATCH($B136,'R1. Scenario specifications'!$A$11:$A$59,0))</f>
        <v>Current Policies Scenario, World Energy Outlook 2016</v>
      </c>
      <c r="D136" s="3" t="s">
        <v>258</v>
      </c>
      <c r="E136" s="3" t="s">
        <v>506</v>
      </c>
      <c r="F136" s="3" t="s">
        <v>501</v>
      </c>
      <c r="G136" s="34">
        <f>INDEX('R10. WEO16 Electricity'!$C$29:$K$40,MATCH($E136,'R10. WEO16 Electricity'!$A$29:$A$40,0),MATCH(G$93,'R10. WEO16 Electricity'!$C$27:$K$27,0))</f>
        <v>12.4063</v>
      </c>
      <c r="K136" s="34">
        <f>INDEX('R10. WEO16 Electricity'!$N$29:$P$40,MATCH($E136,'R10. WEO16 Electricity'!$M$29:$M$40,0),MATCH(K$93,'R10. WEO16 Electricity'!$N$27:$P$27,0))</f>
        <v>16.592300000000002</v>
      </c>
      <c r="M136" s="34">
        <f>INDEX('R10. WEO16 Electricity'!$N$29:$P$40,MATCH($E136,'R10. WEO16 Electricity'!$M$29:$M$40,0),MATCH(M$93,'R10. WEO16 Electricity'!$N$27:$P$27,0))</f>
        <v>27.778300000000002</v>
      </c>
      <c r="N136" s="34"/>
      <c r="O136" s="34">
        <f>INDEX('R10. WEO16 Electricity'!$N$29:$P$40,MATCH($E136,'R10. WEO16 Electricity'!$M$29:$M$40,0),MATCH(O$93,'R10. WEO16 Electricity'!$N$27:$P$27,0))</f>
        <v>43.705300000000001</v>
      </c>
      <c r="P136" s="31">
        <f t="shared" si="11"/>
        <v>51.668799999999997</v>
      </c>
      <c r="Q136" s="31">
        <f t="shared" si="10"/>
        <v>59.632300000000001</v>
      </c>
      <c r="R136" s="31">
        <f t="shared" si="10"/>
        <v>67.595799999999997</v>
      </c>
      <c r="S136" s="31">
        <f t="shared" si="10"/>
        <v>75.559299999999993</v>
      </c>
    </row>
    <row r="137" spans="1:19" x14ac:dyDescent="0.3">
      <c r="A137" s="3" t="s">
        <v>508</v>
      </c>
      <c r="B137" s="39" t="s">
        <v>378</v>
      </c>
      <c r="C137" s="39" t="str">
        <f>INDEX('R1. Scenario specifications'!$C$11:$C$59,MATCH($B137,'R1. Scenario specifications'!$A$11:$A$59,0))</f>
        <v>Current Policies Scenario, World Energy Outlook 2016</v>
      </c>
      <c r="D137" s="39" t="s">
        <v>258</v>
      </c>
      <c r="E137" s="39" t="s">
        <v>507</v>
      </c>
      <c r="F137" s="39" t="s">
        <v>501</v>
      </c>
      <c r="G137" s="52">
        <f>INDEX('R10. WEO16 Electricity'!$C$29:$K$40,MATCH($E137,'R10. WEO16 Electricity'!$A$29:$A$40,0),MATCH(G$93,'R10. WEO16 Electricity'!$C$27:$K$27,0))</f>
        <v>0.53449999999999998</v>
      </c>
      <c r="H137" s="39"/>
      <c r="I137" s="39"/>
      <c r="J137" s="39"/>
      <c r="K137" s="52">
        <f>INDEX('R10. WEO16 Electricity'!$N$29:$P$40,MATCH($E137,'R10. WEO16 Electricity'!$M$29:$M$40,0),MATCH(K$93,'R10. WEO16 Electricity'!$N$27:$P$27,0))</f>
        <v>0.83550000000000002</v>
      </c>
      <c r="L137" s="39"/>
      <c r="M137" s="52">
        <f>INDEX('R10. WEO16 Electricity'!$N$29:$P$40,MATCH($E137,'R10. WEO16 Electricity'!$M$29:$M$40,0),MATCH(M$93,'R10. WEO16 Electricity'!$N$27:$P$27,0))</f>
        <v>3.3086000000000002</v>
      </c>
      <c r="N137" s="52"/>
      <c r="O137" s="52">
        <f>INDEX('R10. WEO16 Electricity'!$N$29:$P$40,MATCH($E137,'R10. WEO16 Electricity'!$M$29:$M$40,0),MATCH(O$93,'R10. WEO16 Electricity'!$N$27:$P$27,0))</f>
        <v>11.736499999999999</v>
      </c>
      <c r="P137" s="40">
        <f t="shared" si="11"/>
        <v>15.95045</v>
      </c>
      <c r="Q137" s="40">
        <f t="shared" si="10"/>
        <v>20.164400000000001</v>
      </c>
      <c r="R137" s="40">
        <f t="shared" si="10"/>
        <v>24.378349999999998</v>
      </c>
      <c r="S137" s="40">
        <f t="shared" si="10"/>
        <v>28.592299999999998</v>
      </c>
    </row>
    <row r="138" spans="1:19" x14ac:dyDescent="0.3">
      <c r="A138" s="3" t="s">
        <v>508</v>
      </c>
      <c r="B138" s="3" t="s">
        <v>379</v>
      </c>
      <c r="C138" s="3" t="str">
        <f>INDEX('R1. Scenario specifications'!$C$11:$C$59,MATCH($B138,'R1. Scenario specifications'!$A$11:$A$59,0))</f>
        <v>New Policies Scenario, World Energy Outlook 2016</v>
      </c>
      <c r="D138" s="3" t="s">
        <v>254</v>
      </c>
      <c r="E138" s="3" t="s">
        <v>254</v>
      </c>
      <c r="F138" s="3" t="s">
        <v>501</v>
      </c>
      <c r="G138" s="34">
        <f>INDEX('R10. WEO16 Electricity'!$C$29:$K$40,MATCH($E138,'R10. WEO16 Electricity'!$A$29:$A$40,0),MATCH(G$93,'R10. WEO16 Electricity'!$C$27:$K$27,0))</f>
        <v>1881.943</v>
      </c>
      <c r="H138" s="34"/>
      <c r="I138" s="34"/>
      <c r="J138" s="34"/>
      <c r="K138" s="34">
        <f>INDEX('R10. WEO16 Electricity'!$C$29:$K$40,MATCH($E138,'R10. WEO16 Electricity'!$A$29:$A$40,0),MATCH(K$93,'R10. WEO16 Electricity'!$C$27:$K$27,0))</f>
        <v>2158.7581</v>
      </c>
      <c r="L138" s="34">
        <f>INDEX('R10. WEO16 Electricity'!$C$29:$K$40,MATCH($E138,'R10. WEO16 Electricity'!$A$29:$A$40,0),MATCH(L$93,'R10. WEO16 Electricity'!$C$27:$K$27,0))</f>
        <v>2227.5162</v>
      </c>
      <c r="M138" s="34">
        <f>INDEX('R10. WEO16 Electricity'!$C$29:$K$40,MATCH($E138,'R10. WEO16 Electricity'!$A$29:$A$40,0),MATCH(M$93,'R10. WEO16 Electricity'!$C$27:$K$27,0))</f>
        <v>2318.3872000000001</v>
      </c>
      <c r="N138" s="34">
        <f>INDEX('R10. WEO16 Electricity'!$C$29:$K$40,MATCH($E138,'R10. WEO16 Electricity'!$A$29:$A$40,0),MATCH(N$93,'R10. WEO16 Electricity'!$C$27:$K$27,0))</f>
        <v>2390.7881000000002</v>
      </c>
      <c r="O138" s="34">
        <f>INDEX('R10. WEO16 Electricity'!$C$29:$K$40,MATCH($E138,'R10. WEO16 Electricity'!$A$29:$A$40,0),MATCH(O$93,'R10. WEO16 Electricity'!$C$27:$K$27,0))</f>
        <v>2437.4618</v>
      </c>
      <c r="P138" s="31">
        <f t="shared" ref="P138:S148" si="12">TREND($N138:$O138,$N$93:$O$93,P$93)</f>
        <v>2484.1355000000003</v>
      </c>
      <c r="Q138" s="31">
        <f t="shared" si="12"/>
        <v>2530.8091999999997</v>
      </c>
      <c r="R138" s="31">
        <f t="shared" si="12"/>
        <v>2577.4828999999991</v>
      </c>
      <c r="S138" s="31">
        <f t="shared" si="12"/>
        <v>2624.1565999999984</v>
      </c>
    </row>
    <row r="139" spans="1:19" x14ac:dyDescent="0.3">
      <c r="A139" s="3" t="s">
        <v>508</v>
      </c>
      <c r="B139" s="3" t="s">
        <v>379</v>
      </c>
      <c r="C139" s="3" t="str">
        <f>INDEX('R1. Scenario specifications'!$C$11:$C$59,MATCH($B139,'R1. Scenario specifications'!$A$11:$A$59,0))</f>
        <v>New Policies Scenario, World Energy Outlook 2016</v>
      </c>
      <c r="D139" s="3" t="s">
        <v>266</v>
      </c>
      <c r="E139" s="3" t="s">
        <v>266</v>
      </c>
      <c r="F139" s="3" t="s">
        <v>501</v>
      </c>
      <c r="G139" s="34">
        <f>INDEX('R10. WEO16 Electricity'!$C$29:$K$40,MATCH($E139,'R10. WEO16 Electricity'!$A$29:$A$40,0),MATCH(G$93,'R10. WEO16 Electricity'!$C$27:$K$27,0))</f>
        <v>441.49310000000003</v>
      </c>
      <c r="H139" s="34"/>
      <c r="I139" s="34"/>
      <c r="J139" s="34"/>
      <c r="K139" s="34">
        <f>INDEX('R10. WEO16 Electricity'!$C$29:$K$40,MATCH($E139,'R10. WEO16 Electricity'!$A$29:$A$40,0),MATCH(K$93,'R10. WEO16 Electricity'!$C$27:$K$27,0))</f>
        <v>372.81659999999999</v>
      </c>
      <c r="L139" s="34">
        <f>INDEX('R10. WEO16 Electricity'!$C$29:$K$40,MATCH($E139,'R10. WEO16 Electricity'!$A$29:$A$40,0),MATCH(L$93,'R10. WEO16 Electricity'!$C$27:$K$27,0))</f>
        <v>333.74619999999999</v>
      </c>
      <c r="M139" s="34">
        <f>INDEX('R10. WEO16 Electricity'!$C$29:$K$40,MATCH($E139,'R10. WEO16 Electricity'!$A$29:$A$40,0),MATCH(M$93,'R10. WEO16 Electricity'!$C$27:$K$27,0))</f>
        <v>292.12329999999997</v>
      </c>
      <c r="N139" s="34">
        <f>INDEX('R10. WEO16 Electricity'!$C$29:$K$40,MATCH($E139,'R10. WEO16 Electricity'!$A$29:$A$40,0),MATCH(N$93,'R10. WEO16 Electricity'!$C$27:$K$27,0))</f>
        <v>273.24419999999998</v>
      </c>
      <c r="O139" s="34">
        <f>INDEX('R10. WEO16 Electricity'!$C$29:$K$40,MATCH($E139,'R10. WEO16 Electricity'!$A$29:$A$40,0),MATCH(O$93,'R10. WEO16 Electricity'!$C$27:$K$27,0))</f>
        <v>254.1474</v>
      </c>
      <c r="P139" s="31">
        <f t="shared" si="12"/>
        <v>235.05060000000049</v>
      </c>
      <c r="Q139" s="31">
        <f t="shared" si="12"/>
        <v>215.95380000000023</v>
      </c>
      <c r="R139" s="31">
        <f t="shared" si="12"/>
        <v>196.85699999999997</v>
      </c>
      <c r="S139" s="31">
        <f t="shared" si="12"/>
        <v>177.76020000000062</v>
      </c>
    </row>
    <row r="140" spans="1:19" x14ac:dyDescent="0.3">
      <c r="A140" s="3" t="s">
        <v>508</v>
      </c>
      <c r="B140" s="3" t="s">
        <v>379</v>
      </c>
      <c r="C140" s="3" t="str">
        <f>INDEX('R1. Scenario specifications'!$C$11:$C$59,MATCH($B140,'R1. Scenario specifications'!$A$11:$A$59,0))</f>
        <v>New Policies Scenario, World Energy Outlook 2016</v>
      </c>
      <c r="D140" s="3" t="s">
        <v>255</v>
      </c>
      <c r="E140" s="3" t="s">
        <v>255</v>
      </c>
      <c r="F140" s="3" t="s">
        <v>501</v>
      </c>
      <c r="G140" s="34">
        <f>INDEX('R10. WEO16 Electricity'!$C$29:$K$40,MATCH($E140,'R10. WEO16 Electricity'!$A$29:$A$40,0),MATCH(G$93,'R10. WEO16 Electricity'!$C$27:$K$27,0))</f>
        <v>1562.5581</v>
      </c>
      <c r="H140" s="34"/>
      <c r="I140" s="34"/>
      <c r="J140" s="34"/>
      <c r="K140" s="34">
        <f>INDEX('R10. WEO16 Electricity'!$C$29:$K$40,MATCH($E140,'R10. WEO16 Electricity'!$A$29:$A$40,0),MATCH(K$93,'R10. WEO16 Electricity'!$C$27:$K$27,0))</f>
        <v>1843.8462999999999</v>
      </c>
      <c r="L140" s="34">
        <f>INDEX('R10. WEO16 Electricity'!$C$29:$K$40,MATCH($E140,'R10. WEO16 Electricity'!$A$29:$A$40,0),MATCH(L$93,'R10. WEO16 Electricity'!$C$27:$K$27,0))</f>
        <v>2029.3722</v>
      </c>
      <c r="M140" s="34">
        <f>INDEX('R10. WEO16 Electricity'!$C$29:$K$40,MATCH($E140,'R10. WEO16 Electricity'!$A$29:$A$40,0),MATCH(M$93,'R10. WEO16 Electricity'!$C$27:$K$27,0))</f>
        <v>2262.3764999999999</v>
      </c>
      <c r="N140" s="34">
        <f>INDEX('R10. WEO16 Electricity'!$C$29:$K$40,MATCH($E140,'R10. WEO16 Electricity'!$A$29:$A$40,0),MATCH(N$93,'R10. WEO16 Electricity'!$C$27:$K$27,0))</f>
        <v>2487.2828</v>
      </c>
      <c r="O140" s="34">
        <f>INDEX('R10. WEO16 Electricity'!$C$29:$K$40,MATCH($E140,'R10. WEO16 Electricity'!$A$29:$A$40,0),MATCH(O$93,'R10. WEO16 Electricity'!$C$27:$K$27,0))</f>
        <v>2702.7813000000001</v>
      </c>
      <c r="P140" s="31">
        <f t="shared" si="12"/>
        <v>2918.2797999999893</v>
      </c>
      <c r="Q140" s="31">
        <f t="shared" si="12"/>
        <v>3133.7782999999908</v>
      </c>
      <c r="R140" s="31">
        <f t="shared" si="12"/>
        <v>3349.2767999999924</v>
      </c>
      <c r="S140" s="31">
        <f t="shared" si="12"/>
        <v>3564.7752999999939</v>
      </c>
    </row>
    <row r="141" spans="1:19" x14ac:dyDescent="0.3">
      <c r="A141" s="3" t="s">
        <v>508</v>
      </c>
      <c r="B141" s="3" t="s">
        <v>379</v>
      </c>
      <c r="C141" s="3" t="str">
        <f>INDEX('R1. Scenario specifications'!$C$11:$C$59,MATCH($B141,'R1. Scenario specifications'!$A$11:$A$59,0))</f>
        <v>New Policies Scenario, World Energy Outlook 2016</v>
      </c>
      <c r="D141" s="3" t="s">
        <v>257</v>
      </c>
      <c r="E141" s="3" t="s">
        <v>257</v>
      </c>
      <c r="F141" s="3" t="s">
        <v>501</v>
      </c>
      <c r="G141" s="34">
        <f>INDEX('R10. WEO16 Electricity'!$C$29:$K$40,MATCH($E141,'R10. WEO16 Electricity'!$A$29:$A$40,0),MATCH(G$93,'R10. WEO16 Electricity'!$C$27:$K$27,0))</f>
        <v>397.68400000000003</v>
      </c>
      <c r="H141" s="34"/>
      <c r="I141" s="34"/>
      <c r="J141" s="34"/>
      <c r="K141" s="34">
        <f>INDEX('R10. WEO16 Electricity'!$C$29:$K$40,MATCH($E141,'R10. WEO16 Electricity'!$A$29:$A$40,0),MATCH(K$93,'R10. WEO16 Electricity'!$C$27:$K$27,0))</f>
        <v>438.36500000000001</v>
      </c>
      <c r="L141" s="34">
        <f>INDEX('R10. WEO16 Electricity'!$C$29:$K$40,MATCH($E141,'R10. WEO16 Electricity'!$A$29:$A$40,0),MATCH(L$93,'R10. WEO16 Electricity'!$C$27:$K$27,0))</f>
        <v>468.048</v>
      </c>
      <c r="M141" s="34">
        <f>INDEX('R10. WEO16 Electricity'!$C$29:$K$40,MATCH($E141,'R10. WEO16 Electricity'!$A$29:$A$40,0),MATCH(M$93,'R10. WEO16 Electricity'!$C$27:$K$27,0))</f>
        <v>519.98099999999999</v>
      </c>
      <c r="N141" s="34">
        <f>INDEX('R10. WEO16 Electricity'!$C$29:$K$40,MATCH($E141,'R10. WEO16 Electricity'!$A$29:$A$40,0),MATCH(N$93,'R10. WEO16 Electricity'!$C$27:$K$27,0))</f>
        <v>565.46100000000001</v>
      </c>
      <c r="O141" s="34">
        <f>INDEX('R10. WEO16 Electricity'!$C$29:$K$40,MATCH($E141,'R10. WEO16 Electricity'!$A$29:$A$40,0),MATCH(O$93,'R10. WEO16 Electricity'!$C$27:$K$27,0))</f>
        <v>606.23400000000004</v>
      </c>
      <c r="P141" s="31">
        <f t="shared" si="12"/>
        <v>647.00699999999779</v>
      </c>
      <c r="Q141" s="31">
        <f t="shared" si="12"/>
        <v>687.77999999999884</v>
      </c>
      <c r="R141" s="31">
        <f t="shared" si="12"/>
        <v>728.55299999999988</v>
      </c>
      <c r="S141" s="31">
        <f t="shared" si="12"/>
        <v>769.32600000000093</v>
      </c>
    </row>
    <row r="142" spans="1:19" x14ac:dyDescent="0.3">
      <c r="A142" s="3" t="s">
        <v>508</v>
      </c>
      <c r="B142" s="3" t="s">
        <v>379</v>
      </c>
      <c r="C142" s="3" t="str">
        <f>INDEX('R1. Scenario specifications'!$C$11:$C$59,MATCH($B142,'R1. Scenario specifications'!$A$11:$A$59,0))</f>
        <v>New Policies Scenario, World Energy Outlook 2016</v>
      </c>
      <c r="D142" s="3" t="s">
        <v>256</v>
      </c>
      <c r="E142" s="3" t="s">
        <v>256</v>
      </c>
      <c r="F142" s="3" t="s">
        <v>501</v>
      </c>
      <c r="G142" s="34">
        <f>INDEX('R10. WEO16 Electricity'!$C$29:$K$40,MATCH($E142,'R10. WEO16 Electricity'!$A$29:$A$40,0),MATCH(G$93,'R10. WEO16 Electricity'!$C$27:$K$27,0))</f>
        <v>1176.9855</v>
      </c>
      <c r="H142" s="34"/>
      <c r="I142" s="34"/>
      <c r="J142" s="34"/>
      <c r="K142" s="34">
        <f>INDEX('R10. WEO16 Electricity'!$C$29:$K$40,MATCH($E142,'R10. WEO16 Electricity'!$A$29:$A$40,0),MATCH(K$93,'R10. WEO16 Electricity'!$C$27:$K$27,0))</f>
        <v>1345.2045000000001</v>
      </c>
      <c r="L142" s="34">
        <f>INDEX('R10. WEO16 Electricity'!$C$29:$K$40,MATCH($E142,'R10. WEO16 Electricity'!$A$29:$A$40,0),MATCH(L$93,'R10. WEO16 Electricity'!$C$27:$K$27,0))</f>
        <v>1483.8969999999999</v>
      </c>
      <c r="M142" s="34">
        <f>INDEX('R10. WEO16 Electricity'!$C$29:$K$40,MATCH($E142,'R10. WEO16 Electricity'!$A$29:$A$40,0),MATCH(M$93,'R10. WEO16 Electricity'!$C$27:$K$27,0))</f>
        <v>1622.0486000000001</v>
      </c>
      <c r="N142" s="34">
        <f>INDEX('R10. WEO16 Electricity'!$C$29:$K$40,MATCH($E142,'R10. WEO16 Electricity'!$A$29:$A$40,0),MATCH(N$93,'R10. WEO16 Electricity'!$C$27:$K$27,0))</f>
        <v>1745.3448000000001</v>
      </c>
      <c r="O142" s="34">
        <f>INDEX('R10. WEO16 Electricity'!$C$29:$K$40,MATCH($E142,'R10. WEO16 Electricity'!$A$29:$A$40,0),MATCH(O$93,'R10. WEO16 Electricity'!$C$27:$K$27,0))</f>
        <v>1847.6301000000001</v>
      </c>
      <c r="P142" s="31">
        <f t="shared" si="12"/>
        <v>1949.915399999998</v>
      </c>
      <c r="Q142" s="31">
        <f t="shared" si="12"/>
        <v>2052.2007000000012</v>
      </c>
      <c r="R142" s="31">
        <f t="shared" si="12"/>
        <v>2154.4859999999971</v>
      </c>
      <c r="S142" s="31">
        <f t="shared" si="12"/>
        <v>2256.7713000000003</v>
      </c>
    </row>
    <row r="143" spans="1:19" x14ac:dyDescent="0.3">
      <c r="A143" s="3" t="s">
        <v>508</v>
      </c>
      <c r="B143" s="3" t="s">
        <v>379</v>
      </c>
      <c r="C143" s="3" t="str">
        <f>INDEX('R1. Scenario specifications'!$C$11:$C$59,MATCH($B143,'R1. Scenario specifications'!$A$11:$A$59,0))</f>
        <v>New Policies Scenario, World Energy Outlook 2016</v>
      </c>
      <c r="D143" s="3" t="s">
        <v>253</v>
      </c>
      <c r="E143" s="3" t="s">
        <v>503</v>
      </c>
      <c r="F143" s="3" t="s">
        <v>501</v>
      </c>
      <c r="G143" s="34">
        <f>INDEX('R10. WEO16 Electricity'!$C$29:$K$40,MATCH($E143,'R10. WEO16 Electricity'!$A$29:$A$40,0),MATCH(G$93,'R10. WEO16 Electricity'!$C$27:$K$27,0))</f>
        <v>112.51690000000001</v>
      </c>
      <c r="H143" s="34"/>
      <c r="I143" s="34"/>
      <c r="J143" s="34"/>
      <c r="K143" s="34">
        <f>INDEX('R10. WEO16 Electricity'!$C$29:$K$40,MATCH($E143,'R10. WEO16 Electricity'!$A$29:$A$40,0),MATCH(K$93,'R10. WEO16 Electricity'!$C$27:$K$27,0))</f>
        <v>140.31299999999999</v>
      </c>
      <c r="L143" s="34">
        <f>INDEX('R10. WEO16 Electricity'!$C$29:$K$40,MATCH($E143,'R10. WEO16 Electricity'!$A$29:$A$40,0),MATCH(L$93,'R10. WEO16 Electricity'!$C$27:$K$27,0))</f>
        <v>165.71780000000001</v>
      </c>
      <c r="M143" s="34">
        <f>INDEX('R10. WEO16 Electricity'!$C$29:$K$40,MATCH($E143,'R10. WEO16 Electricity'!$A$29:$A$40,0),MATCH(M$93,'R10. WEO16 Electricity'!$C$27:$K$27,0))</f>
        <v>194.7148</v>
      </c>
      <c r="N143" s="34">
        <f>INDEX('R10. WEO16 Electricity'!$C$29:$K$40,MATCH($E143,'R10. WEO16 Electricity'!$A$29:$A$40,0),MATCH(N$93,'R10. WEO16 Electricity'!$C$27:$K$27,0))</f>
        <v>226.441</v>
      </c>
      <c r="O143" s="34">
        <f>INDEX('R10. WEO16 Electricity'!$C$29:$K$40,MATCH($E143,'R10. WEO16 Electricity'!$A$29:$A$40,0),MATCH(O$93,'R10. WEO16 Electricity'!$C$27:$K$27,0))</f>
        <v>259.4821</v>
      </c>
      <c r="P143" s="31">
        <f t="shared" si="12"/>
        <v>292.52319999999963</v>
      </c>
      <c r="Q143" s="31">
        <f t="shared" si="12"/>
        <v>325.5643</v>
      </c>
      <c r="R143" s="31">
        <f t="shared" si="12"/>
        <v>358.60540000000037</v>
      </c>
      <c r="S143" s="31">
        <f t="shared" si="12"/>
        <v>391.64650000000074</v>
      </c>
    </row>
    <row r="144" spans="1:19" x14ac:dyDescent="0.3">
      <c r="A144" s="3" t="s">
        <v>508</v>
      </c>
      <c r="B144" s="3" t="s">
        <v>379</v>
      </c>
      <c r="C144" s="3" t="str">
        <f>INDEX('R1. Scenario specifications'!$C$11:$C$59,MATCH($B144,'R1. Scenario specifications'!$A$11:$A$59,0))</f>
        <v>New Policies Scenario, World Energy Outlook 2016</v>
      </c>
      <c r="D144" s="3" t="s">
        <v>259</v>
      </c>
      <c r="E144" s="3" t="s">
        <v>504</v>
      </c>
      <c r="F144" s="3" t="s">
        <v>501</v>
      </c>
      <c r="G144" s="34">
        <f>INDEX('R10. WEO16 Electricity'!$C$29:$K$40,MATCH($E144,'R10. WEO16 Electricity'!$A$29:$A$40,0),MATCH(G$93,'R10. WEO16 Electricity'!$C$27:$K$27,0))</f>
        <v>175.72929999999999</v>
      </c>
      <c r="H144" s="34"/>
      <c r="I144" s="34"/>
      <c r="J144" s="34"/>
      <c r="K144" s="34">
        <f>INDEX('R10. WEO16 Electricity'!$C$29:$K$40,MATCH($E144,'R10. WEO16 Electricity'!$A$29:$A$40,0),MATCH(K$93,'R10. WEO16 Electricity'!$C$27:$K$27,0))</f>
        <v>481.28550000000001</v>
      </c>
      <c r="L144" s="34">
        <f>INDEX('R10. WEO16 Electricity'!$C$29:$K$40,MATCH($E144,'R10. WEO16 Electricity'!$A$29:$A$40,0),MATCH(L$93,'R10. WEO16 Electricity'!$C$27:$K$27,0))</f>
        <v>714.61519999999996</v>
      </c>
      <c r="M144" s="34">
        <f>INDEX('R10. WEO16 Electricity'!$C$29:$K$40,MATCH($E144,'R10. WEO16 Electricity'!$A$29:$A$40,0),MATCH(M$93,'R10. WEO16 Electricity'!$C$27:$K$27,0))</f>
        <v>949.21680000000003</v>
      </c>
      <c r="N144" s="34">
        <f>INDEX('R10. WEO16 Electricity'!$C$29:$K$40,MATCH($E144,'R10. WEO16 Electricity'!$A$29:$A$40,0),MATCH(N$93,'R10. WEO16 Electricity'!$C$27:$K$27,0))</f>
        <v>1182.8719000000001</v>
      </c>
      <c r="O144" s="34">
        <f>INDEX('R10. WEO16 Electricity'!$C$29:$K$40,MATCH($E144,'R10. WEO16 Electricity'!$A$29:$A$40,0),MATCH(O$93,'R10. WEO16 Electricity'!$C$27:$K$27,0))</f>
        <v>1404.6677</v>
      </c>
      <c r="P144" s="31">
        <f t="shared" si="12"/>
        <v>1626.463499999998</v>
      </c>
      <c r="Q144" s="31">
        <f t="shared" si="12"/>
        <v>1848.2592999999906</v>
      </c>
      <c r="R144" s="31">
        <f t="shared" si="12"/>
        <v>2070.0550999999832</v>
      </c>
      <c r="S144" s="31">
        <f t="shared" si="12"/>
        <v>2291.8508999999904</v>
      </c>
    </row>
    <row r="145" spans="1:19" x14ac:dyDescent="0.3">
      <c r="A145" s="3" t="s">
        <v>508</v>
      </c>
      <c r="B145" s="3" t="s">
        <v>379</v>
      </c>
      <c r="C145" s="3" t="str">
        <f>INDEX('R1. Scenario specifications'!$C$11:$C$59,MATCH($B145,'R1. Scenario specifications'!$A$11:$A$59,0))</f>
        <v>New Policies Scenario, World Energy Outlook 2016</v>
      </c>
      <c r="D145" s="3" t="s">
        <v>259</v>
      </c>
      <c r="E145" s="3" t="s">
        <v>505</v>
      </c>
      <c r="F145" s="3" t="s">
        <v>501</v>
      </c>
      <c r="G145" s="34">
        <f>INDEX('R10. WEO16 Electricity'!$C$29:$K$40,MATCH($E145,'R10. WEO16 Electricity'!$A$29:$A$40,0),MATCH(G$93,'R10. WEO16 Electricity'!$C$27:$K$27,0))</f>
        <v>4.5023999999999997</v>
      </c>
      <c r="H145" s="34"/>
      <c r="I145" s="34"/>
      <c r="J145" s="34"/>
      <c r="K145" s="34">
        <f>INDEX('R10. WEO16 Electricity'!$C$29:$K$40,MATCH($E145,'R10. WEO16 Electricity'!$A$29:$A$40,0),MATCH(K$93,'R10. WEO16 Electricity'!$C$27:$K$27,0))</f>
        <v>10.332800000000001</v>
      </c>
      <c r="L145" s="34">
        <f>INDEX('R10. WEO16 Electricity'!$C$29:$K$40,MATCH($E145,'R10. WEO16 Electricity'!$A$29:$A$40,0),MATCH(L$93,'R10. WEO16 Electricity'!$C$27:$K$27,0))</f>
        <v>19.810700000000001</v>
      </c>
      <c r="M145" s="34">
        <f>INDEX('R10. WEO16 Electricity'!$C$29:$K$40,MATCH($E145,'R10. WEO16 Electricity'!$A$29:$A$40,0),MATCH(M$93,'R10. WEO16 Electricity'!$C$27:$K$27,0))</f>
        <v>34.2485</v>
      </c>
      <c r="N145" s="34">
        <f>INDEX('R10. WEO16 Electricity'!$C$29:$K$40,MATCH($E145,'R10. WEO16 Electricity'!$A$29:$A$40,0),MATCH(N$93,'R10. WEO16 Electricity'!$C$27:$K$27,0))</f>
        <v>53.4816</v>
      </c>
      <c r="O145" s="34">
        <f>INDEX('R10. WEO16 Electricity'!$C$29:$K$40,MATCH($E145,'R10. WEO16 Electricity'!$A$29:$A$40,0),MATCH(O$93,'R10. WEO16 Electricity'!$C$27:$K$27,0))</f>
        <v>75.875500000000002</v>
      </c>
      <c r="P145" s="31">
        <f t="shared" si="12"/>
        <v>98.269400000001042</v>
      </c>
      <c r="Q145" s="31">
        <f t="shared" si="12"/>
        <v>120.66330000000198</v>
      </c>
      <c r="R145" s="31">
        <f t="shared" si="12"/>
        <v>143.0572000000011</v>
      </c>
      <c r="S145" s="31">
        <f t="shared" si="12"/>
        <v>165.45110000000204</v>
      </c>
    </row>
    <row r="146" spans="1:19" x14ac:dyDescent="0.3">
      <c r="A146" s="3" t="s">
        <v>508</v>
      </c>
      <c r="B146" s="3" t="s">
        <v>379</v>
      </c>
      <c r="C146" s="3" t="str">
        <f>INDEX('R1. Scenario specifications'!$C$11:$C$59,MATCH($B146,'R1. Scenario specifications'!$A$11:$A$59,0))</f>
        <v>New Policies Scenario, World Energy Outlook 2016</v>
      </c>
      <c r="D146" s="3" t="s">
        <v>260</v>
      </c>
      <c r="E146" s="3" t="s">
        <v>260</v>
      </c>
      <c r="F146" s="3" t="s">
        <v>501</v>
      </c>
      <c r="G146" s="34">
        <f>INDEX('R10. WEO16 Electricity'!$C$29:$K$40,MATCH($E146,'R10. WEO16 Electricity'!$A$29:$A$40,0),MATCH(G$93,'R10. WEO16 Electricity'!$C$27:$K$27,0))</f>
        <v>351.04289999999997</v>
      </c>
      <c r="H146" s="34"/>
      <c r="I146" s="34"/>
      <c r="J146" s="34"/>
      <c r="K146" s="34">
        <f>INDEX('R10. WEO16 Electricity'!$C$29:$K$40,MATCH($E146,'R10. WEO16 Electricity'!$A$29:$A$40,0),MATCH(K$93,'R10. WEO16 Electricity'!$C$27:$K$27,0))</f>
        <v>670.27499999999998</v>
      </c>
      <c r="L146" s="34">
        <f>INDEX('R10. WEO16 Electricity'!$C$29:$K$40,MATCH($E146,'R10. WEO16 Electricity'!$A$29:$A$40,0),MATCH(L$93,'R10. WEO16 Electricity'!$C$27:$K$27,0))</f>
        <v>903.4348</v>
      </c>
      <c r="M146" s="34">
        <f>INDEX('R10. WEO16 Electricity'!$C$29:$K$40,MATCH($E146,'R10. WEO16 Electricity'!$A$29:$A$40,0),MATCH(M$93,'R10. WEO16 Electricity'!$C$27:$K$27,0))</f>
        <v>1119.1264000000001</v>
      </c>
      <c r="N146" s="34">
        <f>INDEX('R10. WEO16 Electricity'!$C$29:$K$40,MATCH($E146,'R10. WEO16 Electricity'!$A$29:$A$40,0),MATCH(N$93,'R10. WEO16 Electricity'!$C$27:$K$27,0))</f>
        <v>1319.3072</v>
      </c>
      <c r="O146" s="34">
        <f>INDEX('R10. WEO16 Electricity'!$C$29:$K$40,MATCH($E146,'R10. WEO16 Electricity'!$A$29:$A$40,0),MATCH(O$93,'R10. WEO16 Electricity'!$C$27:$K$27,0))</f>
        <v>1504.1342999999999</v>
      </c>
      <c r="P146" s="31">
        <f t="shared" si="12"/>
        <v>1688.9614000000001</v>
      </c>
      <c r="Q146" s="31">
        <f t="shared" si="12"/>
        <v>1873.7884999999951</v>
      </c>
      <c r="R146" s="31">
        <f t="shared" si="12"/>
        <v>2058.6155999999901</v>
      </c>
      <c r="S146" s="31">
        <f t="shared" si="12"/>
        <v>2243.4426999999996</v>
      </c>
    </row>
    <row r="147" spans="1:19" x14ac:dyDescent="0.3">
      <c r="A147" s="3" t="s">
        <v>508</v>
      </c>
      <c r="B147" s="3" t="s">
        <v>379</v>
      </c>
      <c r="C147" s="3" t="str">
        <f>INDEX('R1. Scenario specifications'!$C$11:$C$59,MATCH($B147,'R1. Scenario specifications'!$A$11:$A$59,0))</f>
        <v>New Policies Scenario, World Energy Outlook 2016</v>
      </c>
      <c r="D147" s="3" t="s">
        <v>258</v>
      </c>
      <c r="E147" s="3" t="s">
        <v>506</v>
      </c>
      <c r="F147" s="3" t="s">
        <v>501</v>
      </c>
      <c r="G147" s="34">
        <f>INDEX('R10. WEO16 Electricity'!$C$29:$K$40,MATCH($E147,'R10. WEO16 Electricity'!$A$29:$A$40,0),MATCH(G$93,'R10. WEO16 Electricity'!$C$27:$K$27,0))</f>
        <v>12.4063</v>
      </c>
      <c r="H147" s="34"/>
      <c r="I147" s="34"/>
      <c r="J147" s="34"/>
      <c r="K147" s="34">
        <f>INDEX('R10. WEO16 Electricity'!$C$29:$K$40,MATCH($E147,'R10. WEO16 Electricity'!$A$29:$A$40,0),MATCH(K$93,'R10. WEO16 Electricity'!$C$27:$K$27,0))</f>
        <v>17.1142</v>
      </c>
      <c r="L147" s="34">
        <f>INDEX('R10. WEO16 Electricity'!$C$29:$K$40,MATCH($E147,'R10. WEO16 Electricity'!$A$29:$A$40,0),MATCH(L$93,'R10. WEO16 Electricity'!$C$27:$K$27,0))</f>
        <v>22.773499999999999</v>
      </c>
      <c r="M147" s="34">
        <f>INDEX('R10. WEO16 Electricity'!$C$29:$K$40,MATCH($E147,'R10. WEO16 Electricity'!$A$29:$A$40,0),MATCH(M$93,'R10. WEO16 Electricity'!$C$27:$K$27,0))</f>
        <v>31.279299999999999</v>
      </c>
      <c r="N147" s="34">
        <f>INDEX('R10. WEO16 Electricity'!$C$29:$K$40,MATCH($E147,'R10. WEO16 Electricity'!$A$29:$A$40,0),MATCH(N$93,'R10. WEO16 Electricity'!$C$27:$K$27,0))</f>
        <v>42.290999999999997</v>
      </c>
      <c r="O147" s="34">
        <f>INDEX('R10. WEO16 Electricity'!$C$29:$K$40,MATCH($E147,'R10. WEO16 Electricity'!$A$29:$A$40,0),MATCH(O$93,'R10. WEO16 Electricity'!$C$27:$K$27,0))</f>
        <v>54.520600000000002</v>
      </c>
      <c r="P147" s="31">
        <f t="shared" si="12"/>
        <v>66.750200000000405</v>
      </c>
      <c r="Q147" s="31">
        <f t="shared" si="12"/>
        <v>78.979800000000978</v>
      </c>
      <c r="R147" s="31">
        <f t="shared" si="12"/>
        <v>91.209400000000642</v>
      </c>
      <c r="S147" s="31">
        <f t="shared" si="12"/>
        <v>103.43900000000031</v>
      </c>
    </row>
    <row r="148" spans="1:19" x14ac:dyDescent="0.3">
      <c r="A148" s="3" t="s">
        <v>508</v>
      </c>
      <c r="B148" s="39" t="s">
        <v>379</v>
      </c>
      <c r="C148" s="39" t="str">
        <f>INDEX('R1. Scenario specifications'!$C$11:$C$59,MATCH($B148,'R1. Scenario specifications'!$A$11:$A$59,0))</f>
        <v>New Policies Scenario, World Energy Outlook 2016</v>
      </c>
      <c r="D148" s="39" t="s">
        <v>258</v>
      </c>
      <c r="E148" s="39" t="s">
        <v>507</v>
      </c>
      <c r="F148" s="39" t="s">
        <v>501</v>
      </c>
      <c r="G148" s="52">
        <f>INDEX('R10. WEO16 Electricity'!$C$29:$K$40,MATCH($E148,'R10. WEO16 Electricity'!$A$29:$A$40,0),MATCH(G$93,'R10. WEO16 Electricity'!$C$27:$K$27,0))</f>
        <v>0.53449999999999998</v>
      </c>
      <c r="H148" s="39"/>
      <c r="I148" s="39"/>
      <c r="J148" s="39"/>
      <c r="K148" s="52">
        <f>INDEX('R10. WEO16 Electricity'!$C$29:$K$40,MATCH($E148,'R10. WEO16 Electricity'!$A$29:$A$40,0),MATCH(K$93,'R10. WEO16 Electricity'!$C$27:$K$27,0))</f>
        <v>1.0773999999999999</v>
      </c>
      <c r="L148" s="52">
        <f>INDEX('R10. WEO16 Electricity'!$C$29:$K$40,MATCH($E148,'R10. WEO16 Electricity'!$A$29:$A$40,0),MATCH(L$93,'R10. WEO16 Electricity'!$C$27:$K$27,0))</f>
        <v>2.4994999999999998</v>
      </c>
      <c r="M148" s="52">
        <f>INDEX('R10. WEO16 Electricity'!$C$29:$K$40,MATCH($E148,'R10. WEO16 Electricity'!$A$29:$A$40,0),MATCH(M$93,'R10. WEO16 Electricity'!$C$27:$K$27,0))</f>
        <v>5.8352000000000004</v>
      </c>
      <c r="N148" s="52">
        <f>INDEX('R10. WEO16 Electricity'!$C$29:$K$40,MATCH($E148,'R10. WEO16 Electricity'!$A$29:$A$40,0),MATCH(N$93,'R10. WEO16 Electricity'!$C$27:$K$27,0))</f>
        <v>12.086</v>
      </c>
      <c r="O148" s="52">
        <f>INDEX('R10. WEO16 Electricity'!$C$29:$K$40,MATCH($E148,'R10. WEO16 Electricity'!$A$29:$A$40,0),MATCH(O$93,'R10. WEO16 Electricity'!$C$27:$K$27,0))</f>
        <v>21.432500000000001</v>
      </c>
      <c r="P148" s="40">
        <f t="shared" si="12"/>
        <v>30.778999999999996</v>
      </c>
      <c r="Q148" s="40">
        <f t="shared" si="12"/>
        <v>40.125500000000102</v>
      </c>
      <c r="R148" s="40">
        <f t="shared" si="12"/>
        <v>49.471999999999753</v>
      </c>
      <c r="S148" s="40">
        <f t="shared" si="12"/>
        <v>58.818499999999858</v>
      </c>
    </row>
    <row r="149" spans="1:19" x14ac:dyDescent="0.3">
      <c r="A149" s="3" t="s">
        <v>508</v>
      </c>
      <c r="B149" s="3" t="s">
        <v>380</v>
      </c>
      <c r="C149" s="3" t="str">
        <f>INDEX('R1. Scenario specifications'!$C$11:$C$59,MATCH($B149,'R1. Scenario specifications'!$A$11:$A$59,0))</f>
        <v>450 Scenario, World Energy Outlook 2016</v>
      </c>
      <c r="D149" s="3" t="s">
        <v>254</v>
      </c>
      <c r="E149" s="3" t="s">
        <v>254</v>
      </c>
      <c r="F149" s="3" t="s">
        <v>501</v>
      </c>
      <c r="G149" s="34">
        <f>INDEX('R10. WEO16 Electricity'!$C$29:$K$40,MATCH($E149,'R10. WEO16 Electricity'!$A$29:$A$40,0),MATCH(G$93,'R10. WEO16 Electricity'!$C$27:$K$27,0))</f>
        <v>1881.943</v>
      </c>
      <c r="K149" s="34">
        <f>INDEX('R10. WEO16 Electricity'!$Q$29:$S$40,MATCH($E149,'R10. WEO16 Electricity'!$M$29:$M$40,0),MATCH(K$93,'R10. WEO16 Electricity'!$Q$27:$S$27,0))</f>
        <v>2093.9652999999998</v>
      </c>
      <c r="M149" s="34">
        <f>INDEX('R10. WEO16 Electricity'!$Q$29:$S$40,MATCH($E149,'R10. WEO16 Electricity'!$M$29:$M$40,0),MATCH(M$93,'R10. WEO16 Electricity'!$Q$27:$S$27,0))</f>
        <v>1686.7897</v>
      </c>
      <c r="N149" s="34"/>
      <c r="O149" s="34">
        <f>INDEX('R10. WEO16 Electricity'!$Q$29:$S$40,MATCH($E149,'R10. WEO16 Electricity'!$M$29:$M$40,0),MATCH(O$93,'R10. WEO16 Electricity'!$Q$27:$S$27,0))</f>
        <v>1193.69</v>
      </c>
      <c r="P149" s="31">
        <f>$O149+(P$93-$O$93)*($O149-$M149)/($O$93-$M$93)</f>
        <v>947.14015000000006</v>
      </c>
      <c r="Q149" s="31">
        <f t="shared" ref="Q149:S149" si="13">$O149+(Q$93-$O$93)*($O149-$M149)/($O$93-$M$93)</f>
        <v>700.59030000000007</v>
      </c>
      <c r="R149" s="31">
        <f t="shared" si="13"/>
        <v>454.04045000000008</v>
      </c>
      <c r="S149" s="31">
        <f t="shared" si="13"/>
        <v>207.4906000000002</v>
      </c>
    </row>
    <row r="150" spans="1:19" x14ac:dyDescent="0.3">
      <c r="A150" s="3" t="s">
        <v>508</v>
      </c>
      <c r="B150" s="3" t="s">
        <v>380</v>
      </c>
      <c r="C150" s="3" t="str">
        <f>INDEX('R1. Scenario specifications'!$C$11:$C$59,MATCH($B150,'R1. Scenario specifications'!$A$11:$A$59,0))</f>
        <v>450 Scenario, World Energy Outlook 2016</v>
      </c>
      <c r="D150" s="3" t="s">
        <v>266</v>
      </c>
      <c r="E150" s="3" t="s">
        <v>266</v>
      </c>
      <c r="F150" s="3" t="s">
        <v>501</v>
      </c>
      <c r="G150" s="34">
        <f>INDEX('R10. WEO16 Electricity'!$C$29:$K$40,MATCH($E150,'R10. WEO16 Electricity'!$A$29:$A$40,0),MATCH(G$93,'R10. WEO16 Electricity'!$C$27:$K$27,0))</f>
        <v>441.49310000000003</v>
      </c>
      <c r="K150" s="34">
        <f>INDEX('R10. WEO16 Electricity'!$Q$29:$S$40,MATCH($E150,'R10. WEO16 Electricity'!$M$29:$M$40,0),MATCH(K$93,'R10. WEO16 Electricity'!$Q$27:$S$27,0))</f>
        <v>366.7987</v>
      </c>
      <c r="M150" s="34">
        <f>INDEX('R10. WEO16 Electricity'!$Q$29:$S$40,MATCH($E150,'R10. WEO16 Electricity'!$M$29:$M$40,0),MATCH(M$93,'R10. WEO16 Electricity'!$Q$27:$S$27,0))</f>
        <v>261.2561</v>
      </c>
      <c r="N150" s="34"/>
      <c r="O150" s="34">
        <f>INDEX('R10. WEO16 Electricity'!$Q$29:$S$40,MATCH($E150,'R10. WEO16 Electricity'!$M$29:$M$40,0),MATCH(O$93,'R10. WEO16 Electricity'!$Q$27:$S$27,0))</f>
        <v>210.59950000000001</v>
      </c>
      <c r="P150" s="31">
        <f t="shared" ref="P150:S159" si="14">$O150+(P$93-$O$93)*($O150-$M150)/($O$93-$M$93)</f>
        <v>185.27120000000002</v>
      </c>
      <c r="Q150" s="31">
        <f t="shared" si="14"/>
        <v>159.94290000000001</v>
      </c>
      <c r="R150" s="31">
        <f t="shared" si="14"/>
        <v>134.6146</v>
      </c>
      <c r="S150" s="31">
        <f t="shared" si="14"/>
        <v>109.28630000000001</v>
      </c>
    </row>
    <row r="151" spans="1:19" x14ac:dyDescent="0.3">
      <c r="A151" s="3" t="s">
        <v>508</v>
      </c>
      <c r="B151" s="3" t="s">
        <v>380</v>
      </c>
      <c r="C151" s="3" t="str">
        <f>INDEX('R1. Scenario specifications'!$C$11:$C$59,MATCH($B151,'R1. Scenario specifications'!$A$11:$A$59,0))</f>
        <v>450 Scenario, World Energy Outlook 2016</v>
      </c>
      <c r="D151" s="3" t="s">
        <v>255</v>
      </c>
      <c r="E151" s="3" t="s">
        <v>255</v>
      </c>
      <c r="F151" s="3" t="s">
        <v>501</v>
      </c>
      <c r="G151" s="34">
        <f>INDEX('R10. WEO16 Electricity'!$C$29:$K$40,MATCH($E151,'R10. WEO16 Electricity'!$A$29:$A$40,0),MATCH(G$93,'R10. WEO16 Electricity'!$C$27:$K$27,0))</f>
        <v>1562.5581</v>
      </c>
      <c r="K151" s="34">
        <f>INDEX('R10. WEO16 Electricity'!$Q$29:$S$40,MATCH($E151,'R10. WEO16 Electricity'!$M$29:$M$40,0),MATCH(K$93,'R10. WEO16 Electricity'!$Q$27:$S$27,0))</f>
        <v>1788.5685000000001</v>
      </c>
      <c r="M151" s="34">
        <f>INDEX('R10. WEO16 Electricity'!$Q$29:$S$40,MATCH($E151,'R10. WEO16 Electricity'!$M$29:$M$40,0),MATCH(M$93,'R10. WEO16 Electricity'!$Q$27:$S$27,0))</f>
        <v>2009.6341</v>
      </c>
      <c r="N151" s="34"/>
      <c r="O151" s="34">
        <f>INDEX('R10. WEO16 Electricity'!$Q$29:$S$40,MATCH($E151,'R10. WEO16 Electricity'!$M$29:$M$40,0),MATCH(O$93,'R10. WEO16 Electricity'!$Q$27:$S$27,0))</f>
        <v>2250.8498</v>
      </c>
      <c r="P151" s="31">
        <f t="shared" si="14"/>
        <v>2371.4576499999998</v>
      </c>
      <c r="Q151" s="31">
        <f t="shared" si="14"/>
        <v>2492.0654999999997</v>
      </c>
      <c r="R151" s="31">
        <f t="shared" si="14"/>
        <v>2612.67335</v>
      </c>
      <c r="S151" s="31">
        <f t="shared" si="14"/>
        <v>2733.2811999999999</v>
      </c>
    </row>
    <row r="152" spans="1:19" x14ac:dyDescent="0.3">
      <c r="A152" s="3" t="s">
        <v>508</v>
      </c>
      <c r="B152" s="3" t="s">
        <v>380</v>
      </c>
      <c r="C152" s="3" t="str">
        <f>INDEX('R1. Scenario specifications'!$C$11:$C$59,MATCH($B152,'R1. Scenario specifications'!$A$11:$A$59,0))</f>
        <v>450 Scenario, World Energy Outlook 2016</v>
      </c>
      <c r="D152" s="3" t="s">
        <v>257</v>
      </c>
      <c r="E152" s="3" t="s">
        <v>257</v>
      </c>
      <c r="F152" s="3" t="s">
        <v>501</v>
      </c>
      <c r="G152" s="34">
        <f>INDEX('R10. WEO16 Electricity'!$C$29:$K$40,MATCH($E152,'R10. WEO16 Electricity'!$A$29:$A$40,0),MATCH(G$93,'R10. WEO16 Electricity'!$C$27:$K$27,0))</f>
        <v>397.68400000000003</v>
      </c>
      <c r="K152" s="34">
        <f>INDEX('R10. WEO16 Electricity'!$Q$29:$S$40,MATCH($E152,'R10. WEO16 Electricity'!$M$29:$M$40,0),MATCH(K$93,'R10. WEO16 Electricity'!$Q$27:$S$27,0))</f>
        <v>448.84199999999998</v>
      </c>
      <c r="M152" s="34">
        <f>INDEX('R10. WEO16 Electricity'!$Q$29:$S$40,MATCH($E152,'R10. WEO16 Electricity'!$M$29:$M$40,0),MATCH(M$93,'R10. WEO16 Electricity'!$Q$27:$S$27,0))</f>
        <v>641.7944</v>
      </c>
      <c r="N152" s="34"/>
      <c r="O152" s="34">
        <f>INDEX('R10. WEO16 Electricity'!$Q$29:$S$40,MATCH($E152,'R10. WEO16 Electricity'!$M$29:$M$40,0),MATCH(O$93,'R10. WEO16 Electricity'!$Q$27:$S$27,0))</f>
        <v>819.65650000000005</v>
      </c>
      <c r="P152" s="31">
        <f t="shared" si="14"/>
        <v>908.58755000000008</v>
      </c>
      <c r="Q152" s="31">
        <f t="shared" si="14"/>
        <v>997.51860000000011</v>
      </c>
      <c r="R152" s="31">
        <f t="shared" si="14"/>
        <v>1086.44965</v>
      </c>
      <c r="S152" s="31">
        <f t="shared" si="14"/>
        <v>1175.3807000000002</v>
      </c>
    </row>
    <row r="153" spans="1:19" x14ac:dyDescent="0.3">
      <c r="A153" s="3" t="s">
        <v>508</v>
      </c>
      <c r="B153" s="3" t="s">
        <v>380</v>
      </c>
      <c r="C153" s="3" t="str">
        <f>INDEX('R1. Scenario specifications'!$C$11:$C$59,MATCH($B153,'R1. Scenario specifications'!$A$11:$A$59,0))</f>
        <v>450 Scenario, World Energy Outlook 2016</v>
      </c>
      <c r="D153" s="3" t="s">
        <v>256</v>
      </c>
      <c r="E153" s="3" t="s">
        <v>256</v>
      </c>
      <c r="F153" s="3" t="s">
        <v>501</v>
      </c>
      <c r="G153" s="34">
        <f>INDEX('R10. WEO16 Electricity'!$C$29:$K$40,MATCH($E153,'R10. WEO16 Electricity'!$A$29:$A$40,0),MATCH(G$93,'R10. WEO16 Electricity'!$C$27:$K$27,0))</f>
        <v>1176.9855</v>
      </c>
      <c r="K153" s="34">
        <f>INDEX('R10. WEO16 Electricity'!$Q$29:$S$40,MATCH($E153,'R10. WEO16 Electricity'!$M$29:$M$40,0),MATCH(K$93,'R10. WEO16 Electricity'!$Q$27:$S$27,0))</f>
        <v>1347.7327</v>
      </c>
      <c r="M153" s="34">
        <f>INDEX('R10. WEO16 Electricity'!$Q$29:$S$40,MATCH($E153,'R10. WEO16 Electricity'!$M$29:$M$40,0),MATCH(M$93,'R10. WEO16 Electricity'!$Q$27:$S$27,0))</f>
        <v>1718.0426</v>
      </c>
      <c r="N153" s="34"/>
      <c r="O153" s="34">
        <f>INDEX('R10. WEO16 Electricity'!$Q$29:$S$40,MATCH($E153,'R10. WEO16 Electricity'!$M$29:$M$40,0),MATCH(O$93,'R10. WEO16 Electricity'!$Q$27:$S$27,0))</f>
        <v>2056.9618</v>
      </c>
      <c r="P153" s="31">
        <f t="shared" si="14"/>
        <v>2226.4214000000002</v>
      </c>
      <c r="Q153" s="31">
        <f t="shared" si="14"/>
        <v>2395.8810000000003</v>
      </c>
      <c r="R153" s="31">
        <f t="shared" si="14"/>
        <v>2565.3406</v>
      </c>
      <c r="S153" s="31">
        <f t="shared" si="14"/>
        <v>2734.8002000000001</v>
      </c>
    </row>
    <row r="154" spans="1:19" x14ac:dyDescent="0.3">
      <c r="A154" s="3" t="s">
        <v>508</v>
      </c>
      <c r="B154" s="3" t="s">
        <v>380</v>
      </c>
      <c r="C154" s="3" t="str">
        <f>INDEX('R1. Scenario specifications'!$C$11:$C$59,MATCH($B154,'R1. Scenario specifications'!$A$11:$A$59,0))</f>
        <v>450 Scenario, World Energy Outlook 2016</v>
      </c>
      <c r="D154" s="3" t="s">
        <v>253</v>
      </c>
      <c r="E154" s="3" t="s">
        <v>503</v>
      </c>
      <c r="F154" s="3" t="s">
        <v>501</v>
      </c>
      <c r="G154" s="34">
        <f>INDEX('R10. WEO16 Electricity'!$C$29:$K$40,MATCH($E154,'R10. WEO16 Electricity'!$A$29:$A$40,0),MATCH(G$93,'R10. WEO16 Electricity'!$C$27:$K$27,0))</f>
        <v>112.51690000000001</v>
      </c>
      <c r="K154" s="34">
        <f>INDEX('R10. WEO16 Electricity'!$Q$29:$S$40,MATCH($E154,'R10. WEO16 Electricity'!$M$29:$M$40,0),MATCH(K$93,'R10. WEO16 Electricity'!$Q$27:$S$27,0))</f>
        <v>141.2936</v>
      </c>
      <c r="M154" s="34">
        <f>INDEX('R10. WEO16 Electricity'!$Q$29:$S$40,MATCH($E154,'R10. WEO16 Electricity'!$M$29:$M$40,0),MATCH(M$93,'R10. WEO16 Electricity'!$Q$27:$S$27,0))</f>
        <v>233.48840000000001</v>
      </c>
      <c r="N154" s="34"/>
      <c r="O154" s="34">
        <f>INDEX('R10. WEO16 Electricity'!$Q$29:$S$40,MATCH($E154,'R10. WEO16 Electricity'!$M$29:$M$40,0),MATCH(O$93,'R10. WEO16 Electricity'!$Q$27:$S$27,0))</f>
        <v>362.2688</v>
      </c>
      <c r="P154" s="31">
        <f t="shared" si="14"/>
        <v>426.65899999999999</v>
      </c>
      <c r="Q154" s="31">
        <f t="shared" si="14"/>
        <v>491.04919999999998</v>
      </c>
      <c r="R154" s="31">
        <f t="shared" si="14"/>
        <v>555.43939999999998</v>
      </c>
      <c r="S154" s="31">
        <f t="shared" si="14"/>
        <v>619.82960000000003</v>
      </c>
    </row>
    <row r="155" spans="1:19" x14ac:dyDescent="0.3">
      <c r="A155" s="3" t="s">
        <v>508</v>
      </c>
      <c r="B155" s="3" t="s">
        <v>380</v>
      </c>
      <c r="C155" s="3" t="str">
        <f>INDEX('R1. Scenario specifications'!$C$11:$C$59,MATCH($B155,'R1. Scenario specifications'!$A$11:$A$59,0))</f>
        <v>450 Scenario, World Energy Outlook 2016</v>
      </c>
      <c r="D155" s="3" t="s">
        <v>259</v>
      </c>
      <c r="E155" s="3" t="s">
        <v>504</v>
      </c>
      <c r="F155" s="3" t="s">
        <v>501</v>
      </c>
      <c r="G155" s="34">
        <f>INDEX('R10. WEO16 Electricity'!$C$29:$K$40,MATCH($E155,'R10. WEO16 Electricity'!$A$29:$A$40,0),MATCH(G$93,'R10. WEO16 Electricity'!$C$27:$K$27,0))</f>
        <v>175.72929999999999</v>
      </c>
      <c r="K155" s="34">
        <f>INDEX('R10. WEO16 Electricity'!$Q$29:$S$40,MATCH($E155,'R10. WEO16 Electricity'!$M$29:$M$40,0),MATCH(K$93,'R10. WEO16 Electricity'!$Q$27:$S$27,0))</f>
        <v>516.7328</v>
      </c>
      <c r="M155" s="34">
        <f>INDEX('R10. WEO16 Electricity'!$Q$29:$S$40,MATCH($E155,'R10. WEO16 Electricity'!$M$29:$M$40,0),MATCH(M$93,'R10. WEO16 Electricity'!$Q$27:$S$27,0))</f>
        <v>1277.5424</v>
      </c>
      <c r="N155" s="34"/>
      <c r="O155" s="34">
        <f>INDEX('R10. WEO16 Electricity'!$Q$29:$S$40,MATCH($E155,'R10. WEO16 Electricity'!$M$29:$M$40,0),MATCH(O$93,'R10. WEO16 Electricity'!$Q$27:$S$27,0))</f>
        <v>2107.5835000000002</v>
      </c>
      <c r="P155" s="31">
        <f t="shared" si="14"/>
        <v>2522.6040500000004</v>
      </c>
      <c r="Q155" s="31">
        <f t="shared" si="14"/>
        <v>2937.6246000000001</v>
      </c>
      <c r="R155" s="31">
        <f t="shared" si="14"/>
        <v>3352.6451500000003</v>
      </c>
      <c r="S155" s="31">
        <f t="shared" si="14"/>
        <v>3767.6657000000005</v>
      </c>
    </row>
    <row r="156" spans="1:19" x14ac:dyDescent="0.3">
      <c r="A156" s="3" t="s">
        <v>508</v>
      </c>
      <c r="B156" s="3" t="s">
        <v>380</v>
      </c>
      <c r="C156" s="3" t="str">
        <f>INDEX('R1. Scenario specifications'!$C$11:$C$59,MATCH($B156,'R1. Scenario specifications'!$A$11:$A$59,0))</f>
        <v>450 Scenario, World Energy Outlook 2016</v>
      </c>
      <c r="D156" s="3" t="s">
        <v>259</v>
      </c>
      <c r="E156" s="3" t="s">
        <v>505</v>
      </c>
      <c r="F156" s="3" t="s">
        <v>501</v>
      </c>
      <c r="G156" s="34">
        <f>INDEX('R10. WEO16 Electricity'!$C$29:$K$40,MATCH($E156,'R10. WEO16 Electricity'!$A$29:$A$40,0),MATCH(G$93,'R10. WEO16 Electricity'!$C$27:$K$27,0))</f>
        <v>4.5023999999999997</v>
      </c>
      <c r="K156" s="34">
        <f>INDEX('R10. WEO16 Electricity'!$Q$29:$S$40,MATCH($E156,'R10. WEO16 Electricity'!$M$29:$M$40,0),MATCH(K$93,'R10. WEO16 Electricity'!$Q$27:$S$27,0))</f>
        <v>13.7948</v>
      </c>
      <c r="M156" s="34">
        <f>INDEX('R10. WEO16 Electricity'!$Q$29:$S$40,MATCH($E156,'R10. WEO16 Electricity'!$M$29:$M$40,0),MATCH(M$93,'R10. WEO16 Electricity'!$Q$27:$S$27,0))</f>
        <v>101.2961</v>
      </c>
      <c r="N156" s="34"/>
      <c r="O156" s="34">
        <f>INDEX('R10. WEO16 Electricity'!$Q$29:$S$40,MATCH($E156,'R10. WEO16 Electricity'!$M$29:$M$40,0),MATCH(O$93,'R10. WEO16 Electricity'!$Q$27:$S$27,0))</f>
        <v>336.93</v>
      </c>
      <c r="P156" s="31">
        <f t="shared" si="14"/>
        <v>454.74694999999997</v>
      </c>
      <c r="Q156" s="31">
        <f t="shared" si="14"/>
        <v>572.56389999999999</v>
      </c>
      <c r="R156" s="31">
        <f t="shared" si="14"/>
        <v>690.38085000000001</v>
      </c>
      <c r="S156" s="31">
        <f t="shared" si="14"/>
        <v>808.19779999999992</v>
      </c>
    </row>
    <row r="157" spans="1:19" x14ac:dyDescent="0.3">
      <c r="A157" s="3" t="s">
        <v>508</v>
      </c>
      <c r="B157" s="3" t="s">
        <v>380</v>
      </c>
      <c r="C157" s="3" t="str">
        <f>INDEX('R1. Scenario specifications'!$C$11:$C$59,MATCH($B157,'R1. Scenario specifications'!$A$11:$A$59,0))</f>
        <v>450 Scenario, World Energy Outlook 2016</v>
      </c>
      <c r="D157" s="3" t="s">
        <v>260</v>
      </c>
      <c r="E157" s="3" t="s">
        <v>260</v>
      </c>
      <c r="F157" s="3" t="s">
        <v>501</v>
      </c>
      <c r="G157" s="34">
        <f>INDEX('R10. WEO16 Electricity'!$C$29:$K$40,MATCH($E157,'R10. WEO16 Electricity'!$A$29:$A$40,0),MATCH(G$93,'R10. WEO16 Electricity'!$C$27:$K$27,0))</f>
        <v>351.04289999999997</v>
      </c>
      <c r="K157" s="34">
        <f>INDEX('R10. WEO16 Electricity'!$Q$29:$S$40,MATCH($E157,'R10. WEO16 Electricity'!$M$29:$M$40,0),MATCH(K$93,'R10. WEO16 Electricity'!$Q$27:$S$27,0))</f>
        <v>710.48739999999998</v>
      </c>
      <c r="M157" s="34">
        <f>INDEX('R10. WEO16 Electricity'!$Q$29:$S$40,MATCH($E157,'R10. WEO16 Electricity'!$M$29:$M$40,0),MATCH(M$93,'R10. WEO16 Electricity'!$Q$27:$S$27,0))</f>
        <v>1572.2203</v>
      </c>
      <c r="N157" s="34"/>
      <c r="O157" s="34">
        <f>INDEX('R10. WEO16 Electricity'!$Q$29:$S$40,MATCH($E157,'R10. WEO16 Electricity'!$M$29:$M$40,0),MATCH(O$93,'R10. WEO16 Electricity'!$Q$27:$S$27,0))</f>
        <v>2311.5194000000001</v>
      </c>
      <c r="P157" s="31">
        <f t="shared" si="14"/>
        <v>2681.1689500000002</v>
      </c>
      <c r="Q157" s="31">
        <f t="shared" si="14"/>
        <v>3050.8185000000003</v>
      </c>
      <c r="R157" s="31">
        <f t="shared" si="14"/>
        <v>3420.4680500000004</v>
      </c>
      <c r="S157" s="31">
        <f t="shared" si="14"/>
        <v>3790.1176000000005</v>
      </c>
    </row>
    <row r="158" spans="1:19" x14ac:dyDescent="0.3">
      <c r="A158" s="3" t="s">
        <v>508</v>
      </c>
      <c r="B158" s="3" t="s">
        <v>380</v>
      </c>
      <c r="C158" s="3" t="str">
        <f>INDEX('R1. Scenario specifications'!$C$11:$C$59,MATCH($B158,'R1. Scenario specifications'!$A$11:$A$59,0))</f>
        <v>450 Scenario, World Energy Outlook 2016</v>
      </c>
      <c r="D158" s="3" t="s">
        <v>258</v>
      </c>
      <c r="E158" s="3" t="s">
        <v>506</v>
      </c>
      <c r="F158" s="3" t="s">
        <v>501</v>
      </c>
      <c r="G158" s="34">
        <f>INDEX('R10. WEO16 Electricity'!$C$29:$K$40,MATCH($E158,'R10. WEO16 Electricity'!$A$29:$A$40,0),MATCH(G$93,'R10. WEO16 Electricity'!$C$27:$K$27,0))</f>
        <v>12.4063</v>
      </c>
      <c r="K158" s="34">
        <f>INDEX('R10. WEO16 Electricity'!$Q$29:$S$40,MATCH($E158,'R10. WEO16 Electricity'!$M$29:$M$40,0),MATCH(K$93,'R10. WEO16 Electricity'!$Q$27:$S$27,0))</f>
        <v>17.6373</v>
      </c>
      <c r="M158" s="34">
        <f>INDEX('R10. WEO16 Electricity'!$Q$29:$S$40,MATCH($E158,'R10. WEO16 Electricity'!$M$29:$M$40,0),MATCH(M$93,'R10. WEO16 Electricity'!$Q$27:$S$27,0))</f>
        <v>44.210500000000003</v>
      </c>
      <c r="N158" s="34"/>
      <c r="O158" s="34">
        <f>INDEX('R10. WEO16 Electricity'!$Q$29:$S$40,MATCH($E158,'R10. WEO16 Electricity'!$M$29:$M$40,0),MATCH(O$93,'R10. WEO16 Electricity'!$Q$27:$S$27,0))</f>
        <v>80.061700000000002</v>
      </c>
      <c r="P158" s="31">
        <f t="shared" si="14"/>
        <v>97.987300000000005</v>
      </c>
      <c r="Q158" s="31">
        <f t="shared" si="14"/>
        <v>115.91290000000001</v>
      </c>
      <c r="R158" s="31">
        <f t="shared" si="14"/>
        <v>133.83850000000001</v>
      </c>
      <c r="S158" s="31">
        <f t="shared" si="14"/>
        <v>151.76409999999998</v>
      </c>
    </row>
    <row r="159" spans="1:19" x14ac:dyDescent="0.3">
      <c r="A159" s="39" t="s">
        <v>508</v>
      </c>
      <c r="B159" s="39" t="s">
        <v>380</v>
      </c>
      <c r="C159" s="39" t="str">
        <f>INDEX('R1. Scenario specifications'!$C$11:$C$59,MATCH($B159,'R1. Scenario specifications'!$A$11:$A$59,0))</f>
        <v>450 Scenario, World Energy Outlook 2016</v>
      </c>
      <c r="D159" s="39" t="s">
        <v>258</v>
      </c>
      <c r="E159" s="39" t="s">
        <v>507</v>
      </c>
      <c r="F159" s="39" t="s">
        <v>501</v>
      </c>
      <c r="G159" s="52">
        <f>INDEX('R10. WEO16 Electricity'!$C$29:$K$40,MATCH($E159,'R10. WEO16 Electricity'!$A$29:$A$40,0),MATCH(G$93,'R10. WEO16 Electricity'!$C$27:$K$27,0))</f>
        <v>0.53449999999999998</v>
      </c>
      <c r="H159" s="39"/>
      <c r="I159" s="39"/>
      <c r="J159" s="39"/>
      <c r="K159" s="52">
        <f>INDEX('R10. WEO16 Electricity'!$Q$29:$S$40,MATCH($E159,'R10. WEO16 Electricity'!$M$29:$M$40,0),MATCH(K$93,'R10. WEO16 Electricity'!$Q$27:$S$27,0))</f>
        <v>1.0773999999999999</v>
      </c>
      <c r="L159" s="39"/>
      <c r="M159" s="52">
        <f>INDEX('R10. WEO16 Electricity'!$Q$29:$S$40,MATCH($E159,'R10. WEO16 Electricity'!$M$29:$M$40,0),MATCH(M$93,'R10. WEO16 Electricity'!$Q$27:$S$27,0))</f>
        <v>8.0574999999999992</v>
      </c>
      <c r="N159" s="52"/>
      <c r="O159" s="52">
        <f>INDEX('R10. WEO16 Electricity'!$Q$29:$S$40,MATCH($E159,'R10. WEO16 Electricity'!$M$29:$M$40,0),MATCH(O$93,'R10. WEO16 Electricity'!$Q$27:$S$27,0))</f>
        <v>36.0914</v>
      </c>
      <c r="P159" s="40">
        <f t="shared" si="14"/>
        <v>50.108350000000002</v>
      </c>
      <c r="Q159" s="40">
        <f t="shared" si="14"/>
        <v>64.12530000000001</v>
      </c>
      <c r="R159" s="40">
        <f t="shared" si="14"/>
        <v>78.142250000000004</v>
      </c>
      <c r="S159" s="40">
        <f t="shared" si="14"/>
        <v>92.159200000000013</v>
      </c>
    </row>
    <row r="160" spans="1:19" x14ac:dyDescent="0.3">
      <c r="A160" s="3" t="s">
        <v>496</v>
      </c>
      <c r="B160" s="3" t="s">
        <v>381</v>
      </c>
      <c r="C160" s="3" t="str">
        <f>INDEX('R1. Scenario specifications'!$C$11:$C$59,MATCH($B160,'R1. Scenario specifications'!$A$11:$A$59,0))</f>
        <v>Reference Technologies Scenario, Energy Technology Perspectives 2017</v>
      </c>
      <c r="D160" s="3" t="s">
        <v>266</v>
      </c>
      <c r="E160" s="3" t="s">
        <v>266</v>
      </c>
      <c r="F160" s="3" t="s">
        <v>501</v>
      </c>
      <c r="G160" s="34">
        <f>IFERROR(INDEX('R5. ETP17 Summary'!$C$125:$K$141,MATCH($E160,'R5. ETP17 Summary'!$B$125:$B$141,0),MATCH(G$93,'R5. ETP17 Summary'!$C$9:$K$9,0)),"")</f>
        <v>442.34508278658268</v>
      </c>
      <c r="H160" s="34" t="str">
        <f>IFERROR(INDEX('R5. ETP17 Summary'!$C$125:$K$141,MATCH($E160,'R5. ETP17 Summary'!$B$125:$B$141,0),MATCH(H$93,'R5. ETP17 Summary'!$C$9:$K$9,0)),"")</f>
        <v/>
      </c>
      <c r="I160" s="34" t="str">
        <f>IFERROR(INDEX('R5. ETP17 Summary'!$C$125:$K$141,MATCH($E160,'R5. ETP17 Summary'!$B$125:$B$141,0),MATCH(I$93,'R5. ETP17 Summary'!$C$9:$K$9,0)),"")</f>
        <v/>
      </c>
      <c r="J160" s="34" t="str">
        <f>IFERROR(INDEX('R5. ETP17 Summary'!$C$125:$K$141,MATCH($E160,'R5. ETP17 Summary'!$B$125:$B$141,0),MATCH(J$93,'R5. ETP17 Summary'!$C$9:$K$9,0)),"")</f>
        <v/>
      </c>
      <c r="K160" s="31">
        <f>$G160+(K$93-$G$93)*($L160-$G160)/($L$93-$G$93)</f>
        <v>425.93354525623118</v>
      </c>
      <c r="L160" s="34">
        <f>IFERROR(INDEX('R5. ETP17 Summary'!$C$125:$K$141,MATCH($E160,'R5. ETP17 Summary'!$B$125:$B$141,0),MATCH(L$93,'R5. ETP17 Summary'!$C$9:$K$9,0)),"")</f>
        <v>412.25726398093832</v>
      </c>
      <c r="M160" s="34">
        <f>IFERROR(INDEX('R5. ETP17 Summary'!$C$125:$K$141,MATCH($E160,'R5. ETP17 Summary'!$B$125:$B$141,0),MATCH(M$93,'R5. ETP17 Summary'!$C$9:$K$9,0)),"")</f>
        <v>334.80739288811037</v>
      </c>
      <c r="N160" s="34">
        <f>IFERROR(INDEX('R5. ETP17 Summary'!$C$125:$K$141,MATCH($E160,'R5. ETP17 Summary'!$B$125:$B$141,0),MATCH(N$93,'R5. ETP17 Summary'!$C$9:$K$9,0)),"")</f>
        <v>284.31426209862917</v>
      </c>
      <c r="O160" s="34">
        <f>IFERROR(INDEX('R5. ETP17 Summary'!$C$125:$K$141,MATCH($E160,'R5. ETP17 Summary'!$B$125:$B$141,0),MATCH(O$93,'R5. ETP17 Summary'!$C$9:$K$9,0)),"")</f>
        <v>255.06501813470425</v>
      </c>
      <c r="P160" s="34">
        <f>IFERROR(INDEX('R5. ETP17 Summary'!$C$125:$K$141,MATCH($E160,'R5. ETP17 Summary'!$B$125:$B$141,0),MATCH(P$93,'R5. ETP17 Summary'!$C$9:$K$9,0)),"")</f>
        <v>236.47033425401193</v>
      </c>
      <c r="Q160" s="34">
        <f>IFERROR(INDEX('R5. ETP17 Summary'!$C$125:$K$141,MATCH($E160,'R5. ETP17 Summary'!$B$125:$B$141,0),MATCH(Q$93,'R5. ETP17 Summary'!$C$9:$K$9,0)),"")</f>
        <v>204.31890877543393</v>
      </c>
      <c r="R160" s="34">
        <f>IFERROR(INDEX('R5. ETP17 Summary'!$C$125:$K$141,MATCH($E160,'R5. ETP17 Summary'!$B$125:$B$141,0),MATCH(R$93,'R5. ETP17 Summary'!$C$9:$K$9,0)),"")</f>
        <v>154.88134483156944</v>
      </c>
      <c r="S160" s="34">
        <f>IFERROR(INDEX('R5. ETP17 Summary'!$C$125:$K$141,MATCH($E160,'R5. ETP17 Summary'!$B$125:$B$141,0),MATCH(S$93,'R5. ETP17 Summary'!$C$9:$K$9,0)),"")</f>
        <v>134.64069795332381</v>
      </c>
    </row>
    <row r="161" spans="1:19" x14ac:dyDescent="0.3">
      <c r="A161" s="3" t="s">
        <v>496</v>
      </c>
      <c r="B161" s="3" t="s">
        <v>381</v>
      </c>
      <c r="C161" s="3" t="str">
        <f>INDEX('R1. Scenario specifications'!$C$11:$C$59,MATCH($B161,'R1. Scenario specifications'!$A$11:$A$59,0))</f>
        <v>Reference Technologies Scenario, Energy Technology Perspectives 2017</v>
      </c>
      <c r="D161" s="3" t="s">
        <v>254</v>
      </c>
      <c r="E161" s="3" t="s">
        <v>254</v>
      </c>
      <c r="F161" s="3" t="s">
        <v>501</v>
      </c>
      <c r="G161" s="34">
        <f>IFERROR(INDEX('R5. ETP17 Summary'!$C$125:$K$141,MATCH($E161,'R5. ETP17 Summary'!$B$125:$B$141,0),MATCH(G$93,'R5. ETP17 Summary'!$C$9:$K$9,0)),"")</f>
        <v>1760.3680667874487</v>
      </c>
      <c r="H161" s="34" t="str">
        <f>IFERROR(INDEX('R5. ETP17 Summary'!$C$125:$K$141,MATCH($E161,'R5. ETP17 Summary'!$B$125:$B$141,0),MATCH(H$93,'R5. ETP17 Summary'!$C$9:$K$9,0)),"")</f>
        <v/>
      </c>
      <c r="I161" s="34" t="str">
        <f>IFERROR(INDEX('R5. ETP17 Summary'!$C$125:$K$141,MATCH($E161,'R5. ETP17 Summary'!$B$125:$B$141,0),MATCH(I$93,'R5. ETP17 Summary'!$C$9:$K$9,0)),"")</f>
        <v/>
      </c>
      <c r="J161" s="34" t="str">
        <f>IFERROR(INDEX('R5. ETP17 Summary'!$C$125:$K$141,MATCH($E161,'R5. ETP17 Summary'!$B$125:$B$141,0),MATCH(J$93,'R5. ETP17 Summary'!$C$9:$K$9,0)),"")</f>
        <v/>
      </c>
      <c r="K161" s="31">
        <f t="shared" ref="K161:K207" si="15">$G161+(K$93-$G$93)*($L161-$G161)/($L$93-$G$93)</f>
        <v>1894.6818915357367</v>
      </c>
      <c r="L161" s="34">
        <f>IFERROR(INDEX('R5. ETP17 Summary'!$C$125:$K$141,MATCH($E161,'R5. ETP17 Summary'!$B$125:$B$141,0),MATCH(L$93,'R5. ETP17 Summary'!$C$9:$K$9,0)),"")</f>
        <v>2006.6100788259769</v>
      </c>
      <c r="M161" s="34">
        <f>IFERROR(INDEX('R5. ETP17 Summary'!$C$125:$K$141,MATCH($E161,'R5. ETP17 Summary'!$B$125:$B$141,0),MATCH(M$93,'R5. ETP17 Summary'!$C$9:$K$9,0)),"")</f>
        <v>2108.5305572703269</v>
      </c>
      <c r="N161" s="34">
        <f>IFERROR(INDEX('R5. ETP17 Summary'!$C$125:$K$141,MATCH($E161,'R5. ETP17 Summary'!$B$125:$B$141,0),MATCH(N$93,'R5. ETP17 Summary'!$C$9:$K$9,0)),"")</f>
        <v>2197.228592832776</v>
      </c>
      <c r="O161" s="34">
        <f>IFERROR(INDEX('R5. ETP17 Summary'!$C$125:$K$141,MATCH($E161,'R5. ETP17 Summary'!$B$125:$B$141,0),MATCH(O$93,'R5. ETP17 Summary'!$C$9:$K$9,0)),"")</f>
        <v>2316.9907006120861</v>
      </c>
      <c r="P161" s="34">
        <f>IFERROR(INDEX('R5. ETP17 Summary'!$C$125:$K$141,MATCH($E161,'R5. ETP17 Summary'!$B$125:$B$141,0),MATCH(P$93,'R5. ETP17 Summary'!$C$9:$K$9,0)),"")</f>
        <v>2336.25892698295</v>
      </c>
      <c r="Q161" s="34">
        <f>IFERROR(INDEX('R5. ETP17 Summary'!$C$125:$K$141,MATCH($E161,'R5. ETP17 Summary'!$B$125:$B$141,0),MATCH(Q$93,'R5. ETP17 Summary'!$C$9:$K$9,0)),"")</f>
        <v>2199.8617657853497</v>
      </c>
      <c r="R161" s="34">
        <f>IFERROR(INDEX('R5. ETP17 Summary'!$C$125:$K$141,MATCH($E161,'R5. ETP17 Summary'!$B$125:$B$141,0),MATCH(R$93,'R5. ETP17 Summary'!$C$9:$K$9,0)),"")</f>
        <v>2132.8603621226812</v>
      </c>
      <c r="S161" s="34">
        <f>IFERROR(INDEX('R5. ETP17 Summary'!$C$125:$K$141,MATCH($E161,'R5. ETP17 Summary'!$B$125:$B$141,0),MATCH(S$93,'R5. ETP17 Summary'!$C$9:$K$9,0)),"")</f>
        <v>1870.2428322415685</v>
      </c>
    </row>
    <row r="162" spans="1:19" x14ac:dyDescent="0.3">
      <c r="A162" s="3" t="s">
        <v>496</v>
      </c>
      <c r="B162" s="3" t="s">
        <v>381</v>
      </c>
      <c r="C162" s="3" t="str">
        <f>INDEX('R1. Scenario specifications'!$C$11:$C$59,MATCH($B162,'R1. Scenario specifications'!$A$11:$A$59,0))</f>
        <v>Reference Technologies Scenario, Energy Technology Perspectives 2017</v>
      </c>
      <c r="D162" s="3" t="s">
        <v>254</v>
      </c>
      <c r="E162" s="3" t="s">
        <v>509</v>
      </c>
      <c r="F162" s="3" t="s">
        <v>501</v>
      </c>
      <c r="G162" s="34">
        <f>IFERROR(INDEX('R5. ETP17 Summary'!$C$125:$K$141,MATCH($E162,'R5. ETP17 Summary'!$B$125:$B$141,0),MATCH(G$93,'R5. ETP17 Summary'!$C$9:$K$9,0)),"")</f>
        <v>0</v>
      </c>
      <c r="H162" s="34" t="str">
        <f>IFERROR(INDEX('R5. ETP17 Summary'!$C$125:$K$141,MATCH($E162,'R5. ETP17 Summary'!$B$125:$B$141,0),MATCH(H$93,'R5. ETP17 Summary'!$C$9:$K$9,0)),"")</f>
        <v/>
      </c>
      <c r="I162" s="34" t="str">
        <f>IFERROR(INDEX('R5. ETP17 Summary'!$C$125:$K$141,MATCH($E162,'R5. ETP17 Summary'!$B$125:$B$141,0),MATCH(I$93,'R5. ETP17 Summary'!$C$9:$K$9,0)),"")</f>
        <v/>
      </c>
      <c r="J162" s="34" t="str">
        <f>IFERROR(INDEX('R5. ETP17 Summary'!$C$125:$K$141,MATCH($E162,'R5. ETP17 Summary'!$B$125:$B$141,0),MATCH(J$93,'R5. ETP17 Summary'!$C$9:$K$9,0)),"")</f>
        <v/>
      </c>
      <c r="K162" s="31">
        <f t="shared" si="15"/>
        <v>0.66436348406197643</v>
      </c>
      <c r="L162" s="34">
        <f>IFERROR(INDEX('R5. ETP17 Summary'!$C$125:$K$141,MATCH($E162,'R5. ETP17 Summary'!$B$125:$B$141,0),MATCH(L$93,'R5. ETP17 Summary'!$C$9:$K$9,0)),"")</f>
        <v>1.2179997207802902</v>
      </c>
      <c r="M162" s="34">
        <f>IFERROR(INDEX('R5. ETP17 Summary'!$C$125:$K$141,MATCH($E162,'R5. ETP17 Summary'!$B$125:$B$141,0),MATCH(M$93,'R5. ETP17 Summary'!$C$9:$K$9,0)),"")</f>
        <v>1.85277391142357</v>
      </c>
      <c r="N162" s="34">
        <f>IFERROR(INDEX('R5. ETP17 Summary'!$C$125:$K$141,MATCH($E162,'R5. ETP17 Summary'!$B$125:$B$141,0),MATCH(N$93,'R5. ETP17 Summary'!$C$9:$K$9,0)),"")</f>
        <v>5.7078007706732699</v>
      </c>
      <c r="O162" s="34">
        <f>IFERROR(INDEX('R5. ETP17 Summary'!$C$125:$K$141,MATCH($E162,'R5. ETP17 Summary'!$B$125:$B$141,0),MATCH(O$93,'R5. ETP17 Summary'!$C$9:$K$9,0)),"")</f>
        <v>11.863736577593787</v>
      </c>
      <c r="P162" s="34">
        <f>IFERROR(INDEX('R5. ETP17 Summary'!$C$125:$K$141,MATCH($E162,'R5. ETP17 Summary'!$B$125:$B$141,0),MATCH(P$93,'R5. ETP17 Summary'!$C$9:$K$9,0)),"")</f>
        <v>16.896753240498573</v>
      </c>
      <c r="Q162" s="34">
        <f>IFERROR(INDEX('R5. ETP17 Summary'!$C$125:$K$141,MATCH($E162,'R5. ETP17 Summary'!$B$125:$B$141,0),MATCH(Q$93,'R5. ETP17 Summary'!$C$9:$K$9,0)),"")</f>
        <v>22.584218679670549</v>
      </c>
      <c r="R162" s="34">
        <f>IFERROR(INDEX('R5. ETP17 Summary'!$C$125:$K$141,MATCH($E162,'R5. ETP17 Summary'!$B$125:$B$141,0),MATCH(R$93,'R5. ETP17 Summary'!$C$9:$K$9,0)),"")</f>
        <v>36.903583247229776</v>
      </c>
      <c r="S162" s="34">
        <f>IFERROR(INDEX('R5. ETP17 Summary'!$C$125:$K$141,MATCH($E162,'R5. ETP17 Summary'!$B$125:$B$141,0),MATCH(S$93,'R5. ETP17 Summary'!$C$9:$K$9,0)),"")</f>
        <v>55.092619279080779</v>
      </c>
    </row>
    <row r="163" spans="1:19" x14ac:dyDescent="0.3">
      <c r="A163" s="3" t="s">
        <v>496</v>
      </c>
      <c r="B163" s="3" t="s">
        <v>381</v>
      </c>
      <c r="C163" s="3" t="str">
        <f>INDEX('R1. Scenario specifications'!$C$11:$C$59,MATCH($B163,'R1. Scenario specifications'!$A$11:$A$59,0))</f>
        <v>Reference Technologies Scenario, Energy Technology Perspectives 2017</v>
      </c>
      <c r="D163" s="3" t="s">
        <v>255</v>
      </c>
      <c r="E163" s="3" t="s">
        <v>510</v>
      </c>
      <c r="F163" s="3" t="s">
        <v>501</v>
      </c>
      <c r="G163" s="34">
        <f>IFERROR(INDEX('R5. ETP17 Summary'!$C$125:$K$141,MATCH($E163,'R5. ETP17 Summary'!$B$125:$B$141,0),MATCH(G$93,'R5. ETP17 Summary'!$C$9:$K$9,0)),"")</f>
        <v>1638.6833129472773</v>
      </c>
      <c r="H163" s="34" t="str">
        <f>IFERROR(INDEX('R5. ETP17 Summary'!$C$125:$K$141,MATCH($E163,'R5. ETP17 Summary'!$B$125:$B$141,0),MATCH(H$93,'R5. ETP17 Summary'!$C$9:$K$9,0)),"")</f>
        <v/>
      </c>
      <c r="I163" s="34" t="str">
        <f>IFERROR(INDEX('R5. ETP17 Summary'!$C$125:$K$141,MATCH($E163,'R5. ETP17 Summary'!$B$125:$B$141,0),MATCH(I$93,'R5. ETP17 Summary'!$C$9:$K$9,0)),"")</f>
        <v/>
      </c>
      <c r="J163" s="34" t="str">
        <f>IFERROR(INDEX('R5. ETP17 Summary'!$C$125:$K$141,MATCH($E163,'R5. ETP17 Summary'!$B$125:$B$141,0),MATCH(J$93,'R5. ETP17 Summary'!$C$9:$K$9,0)),"")</f>
        <v/>
      </c>
      <c r="K163" s="31">
        <f t="shared" si="15"/>
        <v>1810.8485751745241</v>
      </c>
      <c r="L163" s="34">
        <f>IFERROR(INDEX('R5. ETP17 Summary'!$C$125:$K$141,MATCH($E163,'R5. ETP17 Summary'!$B$125:$B$141,0),MATCH(L$93,'R5. ETP17 Summary'!$C$9:$K$9,0)),"")</f>
        <v>1954.319627030563</v>
      </c>
      <c r="M163" s="34">
        <f>IFERROR(INDEX('R5. ETP17 Summary'!$C$125:$K$141,MATCH($E163,'R5. ETP17 Summary'!$B$125:$B$141,0),MATCH(M$93,'R5. ETP17 Summary'!$C$9:$K$9,0)),"")</f>
        <v>2088.1335464421131</v>
      </c>
      <c r="N163" s="34">
        <f>IFERROR(INDEX('R5. ETP17 Summary'!$C$125:$K$141,MATCH($E163,'R5. ETP17 Summary'!$B$125:$B$141,0),MATCH(N$93,'R5. ETP17 Summary'!$C$9:$K$9,0)),"")</f>
        <v>2327.5251846210922</v>
      </c>
      <c r="O163" s="34">
        <f>IFERROR(INDEX('R5. ETP17 Summary'!$C$125:$K$141,MATCH($E163,'R5. ETP17 Summary'!$B$125:$B$141,0),MATCH(O$93,'R5. ETP17 Summary'!$C$9:$K$9,0)),"")</f>
        <v>2534.3895713791817</v>
      </c>
      <c r="P163" s="34">
        <f>IFERROR(INDEX('R5. ETP17 Summary'!$C$125:$K$141,MATCH($E163,'R5. ETP17 Summary'!$B$125:$B$141,0),MATCH(P$93,'R5. ETP17 Summary'!$C$9:$K$9,0)),"")</f>
        <v>2966.9193713036702</v>
      </c>
      <c r="Q163" s="34">
        <f>IFERROR(INDEX('R5. ETP17 Summary'!$C$125:$K$141,MATCH($E163,'R5. ETP17 Summary'!$B$125:$B$141,0),MATCH(Q$93,'R5. ETP17 Summary'!$C$9:$K$9,0)),"")</f>
        <v>3301.0766609601542</v>
      </c>
      <c r="R163" s="34">
        <f>IFERROR(INDEX('R5. ETP17 Summary'!$C$125:$K$141,MATCH($E163,'R5. ETP17 Summary'!$B$125:$B$141,0),MATCH(R$93,'R5. ETP17 Summary'!$C$9:$K$9,0)),"")</f>
        <v>3686.0212675709467</v>
      </c>
      <c r="S163" s="34">
        <f>IFERROR(INDEX('R5. ETP17 Summary'!$C$125:$K$141,MATCH($E163,'R5. ETP17 Summary'!$B$125:$B$141,0),MATCH(S$93,'R5. ETP17 Summary'!$C$9:$K$9,0)),"")</f>
        <v>4145.7975912240117</v>
      </c>
    </row>
    <row r="164" spans="1:19" x14ac:dyDescent="0.3">
      <c r="A164" s="3" t="s">
        <v>496</v>
      </c>
      <c r="B164" s="3" t="s">
        <v>381</v>
      </c>
      <c r="C164" s="3" t="str">
        <f>INDEX('R1. Scenario specifications'!$C$11:$C$59,MATCH($B164,'R1. Scenario specifications'!$A$11:$A$59,0))</f>
        <v>Reference Technologies Scenario, Energy Technology Perspectives 2017</v>
      </c>
      <c r="D164" s="3" t="s">
        <v>255</v>
      </c>
      <c r="E164" s="3" t="s">
        <v>511</v>
      </c>
      <c r="F164" s="3" t="s">
        <v>501</v>
      </c>
      <c r="G164" s="34">
        <f>IFERROR(INDEX('R5. ETP17 Summary'!$C$125:$K$141,MATCH($E164,'R5. ETP17 Summary'!$B$125:$B$141,0),MATCH(G$93,'R5. ETP17 Summary'!$C$9:$K$9,0)),"")</f>
        <v>0</v>
      </c>
      <c r="H164" s="34" t="str">
        <f>IFERROR(INDEX('R5. ETP17 Summary'!$C$125:$K$141,MATCH($E164,'R5. ETP17 Summary'!$B$125:$B$141,0),MATCH(H$93,'R5. ETP17 Summary'!$C$9:$K$9,0)),"")</f>
        <v/>
      </c>
      <c r="I164" s="34" t="str">
        <f>IFERROR(INDEX('R5. ETP17 Summary'!$C$125:$K$141,MATCH($E164,'R5. ETP17 Summary'!$B$125:$B$141,0),MATCH(I$93,'R5. ETP17 Summary'!$C$9:$K$9,0)),"")</f>
        <v/>
      </c>
      <c r="J164" s="34" t="str">
        <f>IFERROR(INDEX('R5. ETP17 Summary'!$C$125:$K$141,MATCH($E164,'R5. ETP17 Summary'!$B$125:$B$141,0),MATCH(J$93,'R5. ETP17 Summary'!$C$9:$K$9,0)),"")</f>
        <v/>
      </c>
      <c r="K164" s="31">
        <f t="shared" si="15"/>
        <v>0</v>
      </c>
      <c r="L164" s="34">
        <f>IFERROR(INDEX('R5. ETP17 Summary'!$C$125:$K$141,MATCH($E164,'R5. ETP17 Summary'!$B$125:$B$141,0),MATCH(L$93,'R5. ETP17 Summary'!$C$9:$K$9,0)),"")</f>
        <v>0</v>
      </c>
      <c r="M164" s="34">
        <f>IFERROR(INDEX('R5. ETP17 Summary'!$C$125:$K$141,MATCH($E164,'R5. ETP17 Summary'!$B$125:$B$141,0),MATCH(M$93,'R5. ETP17 Summary'!$C$9:$K$9,0)),"")</f>
        <v>0</v>
      </c>
      <c r="N164" s="34">
        <f>IFERROR(INDEX('R5. ETP17 Summary'!$C$125:$K$141,MATCH($E164,'R5. ETP17 Summary'!$B$125:$B$141,0),MATCH(N$93,'R5. ETP17 Summary'!$C$9:$K$9,0)),"")</f>
        <v>0</v>
      </c>
      <c r="O164" s="34">
        <f>IFERROR(INDEX('R5. ETP17 Summary'!$C$125:$K$141,MATCH($E164,'R5. ETP17 Summary'!$B$125:$B$141,0),MATCH(O$93,'R5. ETP17 Summary'!$C$9:$K$9,0)),"")</f>
        <v>0</v>
      </c>
      <c r="P164" s="34">
        <f>IFERROR(INDEX('R5. ETP17 Summary'!$C$125:$K$141,MATCH($E164,'R5. ETP17 Summary'!$B$125:$B$141,0),MATCH(P$93,'R5. ETP17 Summary'!$C$9:$K$9,0)),"")</f>
        <v>0</v>
      </c>
      <c r="Q164" s="34">
        <f>IFERROR(INDEX('R5. ETP17 Summary'!$C$125:$K$141,MATCH($E164,'R5. ETP17 Summary'!$B$125:$B$141,0),MATCH(Q$93,'R5. ETP17 Summary'!$C$9:$K$9,0)),"")</f>
        <v>0</v>
      </c>
      <c r="R164" s="34">
        <f>IFERROR(INDEX('R5. ETP17 Summary'!$C$125:$K$141,MATCH($E164,'R5. ETP17 Summary'!$B$125:$B$141,0),MATCH(R$93,'R5. ETP17 Summary'!$C$9:$K$9,0)),"")</f>
        <v>0</v>
      </c>
      <c r="S164" s="34">
        <f>IFERROR(INDEX('R5. ETP17 Summary'!$C$125:$K$141,MATCH($E164,'R5. ETP17 Summary'!$B$125:$B$141,0),MATCH(S$93,'R5. ETP17 Summary'!$C$9:$K$9,0)),"")</f>
        <v>0</v>
      </c>
    </row>
    <row r="165" spans="1:19" x14ac:dyDescent="0.3">
      <c r="A165" s="3" t="s">
        <v>496</v>
      </c>
      <c r="B165" s="3" t="s">
        <v>381</v>
      </c>
      <c r="C165" s="3" t="str">
        <f>INDEX('R1. Scenario specifications'!$C$11:$C$59,MATCH($B165,'R1. Scenario specifications'!$A$11:$A$59,0))</f>
        <v>Reference Technologies Scenario, Energy Technology Perspectives 2017</v>
      </c>
      <c r="D165" s="3" t="s">
        <v>257</v>
      </c>
      <c r="E165" s="3" t="s">
        <v>257</v>
      </c>
      <c r="F165" s="3" t="s">
        <v>501</v>
      </c>
      <c r="G165" s="34">
        <f>IFERROR(INDEX('R5. ETP17 Summary'!$C$125:$K$141,MATCH($E165,'R5. ETP17 Summary'!$B$125:$B$141,0),MATCH(G$93,'R5. ETP17 Summary'!$C$9:$K$9,0)),"")</f>
        <v>398.27599999996119</v>
      </c>
      <c r="H165" s="34" t="str">
        <f>IFERROR(INDEX('R5. ETP17 Summary'!$C$125:$K$141,MATCH($E165,'R5. ETP17 Summary'!$B$125:$B$141,0),MATCH(H$93,'R5. ETP17 Summary'!$C$9:$K$9,0)),"")</f>
        <v/>
      </c>
      <c r="I165" s="34" t="str">
        <f>IFERROR(INDEX('R5. ETP17 Summary'!$C$125:$K$141,MATCH($E165,'R5. ETP17 Summary'!$B$125:$B$141,0),MATCH(I$93,'R5. ETP17 Summary'!$C$9:$K$9,0)),"")</f>
        <v/>
      </c>
      <c r="J165" s="34" t="str">
        <f>IFERROR(INDEX('R5. ETP17 Summary'!$C$125:$K$141,MATCH($E165,'R5. ETP17 Summary'!$B$125:$B$141,0),MATCH(J$93,'R5. ETP17 Summary'!$C$9:$K$9,0)),"")</f>
        <v/>
      </c>
      <c r="K165" s="31">
        <f t="shared" si="15"/>
        <v>450.04639640646951</v>
      </c>
      <c r="L165" s="34">
        <f>IFERROR(INDEX('R5. ETP17 Summary'!$C$125:$K$141,MATCH($E165,'R5. ETP17 Summary'!$B$125:$B$141,0),MATCH(L$93,'R5. ETP17 Summary'!$C$9:$K$9,0)),"")</f>
        <v>493.18839341189312</v>
      </c>
      <c r="M165" s="34">
        <f>IFERROR(INDEX('R5. ETP17 Summary'!$C$125:$K$141,MATCH($E165,'R5. ETP17 Summary'!$B$125:$B$141,0),MATCH(M$93,'R5. ETP17 Summary'!$C$9:$K$9,0)),"")</f>
        <v>537.13989999735554</v>
      </c>
      <c r="N165" s="34">
        <f>IFERROR(INDEX('R5. ETP17 Summary'!$C$125:$K$141,MATCH($E165,'R5. ETP17 Summary'!$B$125:$B$141,0),MATCH(N$93,'R5. ETP17 Summary'!$C$9:$K$9,0)),"")</f>
        <v>571.26713050902765</v>
      </c>
      <c r="O165" s="34">
        <f>IFERROR(INDEX('R5. ETP17 Summary'!$C$125:$K$141,MATCH($E165,'R5. ETP17 Summary'!$B$125:$B$141,0),MATCH(O$93,'R5. ETP17 Summary'!$C$9:$K$9,0)),"")</f>
        <v>615.21302401816604</v>
      </c>
      <c r="P165" s="34">
        <f>IFERROR(INDEX('R5. ETP17 Summary'!$C$125:$K$141,MATCH($E165,'R5. ETP17 Summary'!$B$125:$B$141,0),MATCH(P$93,'R5. ETP17 Summary'!$C$9:$K$9,0)),"")</f>
        <v>647.61599980504639</v>
      </c>
      <c r="Q165" s="34">
        <f>IFERROR(INDEX('R5. ETP17 Summary'!$C$125:$K$141,MATCH($E165,'R5. ETP17 Summary'!$B$125:$B$141,0),MATCH(Q$93,'R5. ETP17 Summary'!$C$9:$K$9,0)),"")</f>
        <v>676.89057996139297</v>
      </c>
      <c r="R165" s="34">
        <f>IFERROR(INDEX('R5. ETP17 Summary'!$C$125:$K$141,MATCH($E165,'R5. ETP17 Summary'!$B$125:$B$141,0),MATCH(R$93,'R5. ETP17 Summary'!$C$9:$K$9,0)),"")</f>
        <v>700.37620810473697</v>
      </c>
      <c r="S165" s="34">
        <f>IFERROR(INDEX('R5. ETP17 Summary'!$C$125:$K$141,MATCH($E165,'R5. ETP17 Summary'!$B$125:$B$141,0),MATCH(S$93,'R5. ETP17 Summary'!$C$9:$K$9,0)),"")</f>
        <v>715.35099955085593</v>
      </c>
    </row>
    <row r="166" spans="1:19" x14ac:dyDescent="0.3">
      <c r="A166" s="3" t="s">
        <v>496</v>
      </c>
      <c r="B166" s="3" t="s">
        <v>381</v>
      </c>
      <c r="C166" s="3" t="str">
        <f>INDEX('R1. Scenario specifications'!$C$11:$C$59,MATCH($B166,'R1. Scenario specifications'!$A$11:$A$59,0))</f>
        <v>Reference Technologies Scenario, Energy Technology Perspectives 2017</v>
      </c>
      <c r="D166" s="3" t="s">
        <v>253</v>
      </c>
      <c r="E166" s="3" t="s">
        <v>512</v>
      </c>
      <c r="F166" s="3" t="s">
        <v>501</v>
      </c>
      <c r="G166" s="34">
        <f>IFERROR(INDEX('R5. ETP17 Summary'!$C$125:$K$141,MATCH($E166,'R5. ETP17 Summary'!$B$125:$B$141,0),MATCH(G$93,'R5. ETP17 Summary'!$C$9:$K$9,0)),"")</f>
        <v>130.90315065412221</v>
      </c>
      <c r="H166" s="34" t="str">
        <f>IFERROR(INDEX('R5. ETP17 Summary'!$C$125:$K$141,MATCH($E166,'R5. ETP17 Summary'!$B$125:$B$141,0),MATCH(H$93,'R5. ETP17 Summary'!$C$9:$K$9,0)),"")</f>
        <v/>
      </c>
      <c r="I166" s="34" t="str">
        <f>IFERROR(INDEX('R5. ETP17 Summary'!$C$125:$K$141,MATCH($E166,'R5. ETP17 Summary'!$B$125:$B$141,0),MATCH(I$93,'R5. ETP17 Summary'!$C$9:$K$9,0)),"")</f>
        <v/>
      </c>
      <c r="J166" s="34" t="str">
        <f>IFERROR(INDEX('R5. ETP17 Summary'!$C$125:$K$141,MATCH($E166,'R5. ETP17 Summary'!$B$125:$B$141,0),MATCH(J$93,'R5. ETP17 Summary'!$C$9:$K$9,0)),"")</f>
        <v/>
      </c>
      <c r="K166" s="31">
        <f t="shared" si="15"/>
        <v>196.14925882161049</v>
      </c>
      <c r="L166" s="34">
        <f>IFERROR(INDEX('R5. ETP17 Summary'!$C$125:$K$141,MATCH($E166,'R5. ETP17 Summary'!$B$125:$B$141,0),MATCH(L$93,'R5. ETP17 Summary'!$C$9:$K$9,0)),"")</f>
        <v>250.52101562785074</v>
      </c>
      <c r="M166" s="34">
        <f>IFERROR(INDEX('R5. ETP17 Summary'!$C$125:$K$141,MATCH($E166,'R5. ETP17 Summary'!$B$125:$B$141,0),MATCH(M$93,'R5. ETP17 Summary'!$C$9:$K$9,0)),"")</f>
        <v>291.47523823631684</v>
      </c>
      <c r="N166" s="34">
        <f>IFERROR(INDEX('R5. ETP17 Summary'!$C$125:$K$141,MATCH($E166,'R5. ETP17 Summary'!$B$125:$B$141,0),MATCH(N$93,'R5. ETP17 Summary'!$C$9:$K$9,0)),"")</f>
        <v>320.14315808978597</v>
      </c>
      <c r="O166" s="34">
        <f>IFERROR(INDEX('R5. ETP17 Summary'!$C$125:$K$141,MATCH($E166,'R5. ETP17 Summary'!$B$125:$B$141,0),MATCH(O$93,'R5. ETP17 Summary'!$C$9:$K$9,0)),"")</f>
        <v>358.83470256634291</v>
      </c>
      <c r="P166" s="34">
        <f>IFERROR(INDEX('R5. ETP17 Summary'!$C$125:$K$141,MATCH($E166,'R5. ETP17 Summary'!$B$125:$B$141,0),MATCH(P$93,'R5. ETP17 Summary'!$C$9:$K$9,0)),"")</f>
        <v>397.38753876336949</v>
      </c>
      <c r="Q166" s="34">
        <f>IFERROR(INDEX('R5. ETP17 Summary'!$C$125:$K$141,MATCH($E166,'R5. ETP17 Summary'!$B$125:$B$141,0),MATCH(Q$93,'R5. ETP17 Summary'!$C$9:$K$9,0)),"")</f>
        <v>454.8912974963431</v>
      </c>
      <c r="R166" s="34">
        <f>IFERROR(INDEX('R5. ETP17 Summary'!$C$125:$K$141,MATCH($E166,'R5. ETP17 Summary'!$B$125:$B$141,0),MATCH(R$93,'R5. ETP17 Summary'!$C$9:$K$9,0)),"")</f>
        <v>477.20202745251055</v>
      </c>
      <c r="S166" s="34">
        <f>IFERROR(INDEX('R5. ETP17 Summary'!$C$125:$K$141,MATCH($E166,'R5. ETP17 Summary'!$B$125:$B$141,0),MATCH(S$93,'R5. ETP17 Summary'!$C$9:$K$9,0)),"")</f>
        <v>489.22655193785994</v>
      </c>
    </row>
    <row r="167" spans="1:19" x14ac:dyDescent="0.3">
      <c r="A167" s="3" t="s">
        <v>496</v>
      </c>
      <c r="B167" s="3" t="s">
        <v>381</v>
      </c>
      <c r="C167" s="3" t="str">
        <f>INDEX('R1. Scenario specifications'!$C$11:$C$59,MATCH($B167,'R1. Scenario specifications'!$A$11:$A$59,0))</f>
        <v>Reference Technologies Scenario, Energy Technology Perspectives 2017</v>
      </c>
      <c r="D167" s="3" t="s">
        <v>253</v>
      </c>
      <c r="E167" s="3" t="s">
        <v>513</v>
      </c>
      <c r="F167" s="3" t="s">
        <v>501</v>
      </c>
      <c r="G167" s="34">
        <f>IFERROR(INDEX('R5. ETP17 Summary'!$C$125:$K$141,MATCH($E167,'R5. ETP17 Summary'!$B$125:$B$141,0),MATCH(G$93,'R5. ETP17 Summary'!$C$9:$K$9,0)),"")</f>
        <v>0</v>
      </c>
      <c r="H167" s="34" t="str">
        <f>IFERROR(INDEX('R5. ETP17 Summary'!$C$125:$K$141,MATCH($E167,'R5. ETP17 Summary'!$B$125:$B$141,0),MATCH(H$93,'R5. ETP17 Summary'!$C$9:$K$9,0)),"")</f>
        <v/>
      </c>
      <c r="I167" s="34" t="str">
        <f>IFERROR(INDEX('R5. ETP17 Summary'!$C$125:$K$141,MATCH($E167,'R5. ETP17 Summary'!$B$125:$B$141,0),MATCH(I$93,'R5. ETP17 Summary'!$C$9:$K$9,0)),"")</f>
        <v/>
      </c>
      <c r="J167" s="34" t="str">
        <f>IFERROR(INDEX('R5. ETP17 Summary'!$C$125:$K$141,MATCH($E167,'R5. ETP17 Summary'!$B$125:$B$141,0),MATCH(J$93,'R5. ETP17 Summary'!$C$9:$K$9,0)),"")</f>
        <v/>
      </c>
      <c r="K167" s="31">
        <f t="shared" si="15"/>
        <v>6.545453914004952E-2</v>
      </c>
      <c r="L167" s="34">
        <f>IFERROR(INDEX('R5. ETP17 Summary'!$C$125:$K$141,MATCH($E167,'R5. ETP17 Summary'!$B$125:$B$141,0),MATCH(L$93,'R5. ETP17 Summary'!$C$9:$K$9,0)),"")</f>
        <v>0.11999998842342412</v>
      </c>
      <c r="M167" s="34">
        <f>IFERROR(INDEX('R5. ETP17 Summary'!$C$125:$K$141,MATCH($E167,'R5. ETP17 Summary'!$B$125:$B$141,0),MATCH(M$93,'R5. ETP17 Summary'!$C$9:$K$9,0)),"")</f>
        <v>6.607201651076533E-8</v>
      </c>
      <c r="N167" s="34">
        <f>IFERROR(INDEX('R5. ETP17 Summary'!$C$125:$K$141,MATCH($E167,'R5. ETP17 Summary'!$B$125:$B$141,0),MATCH(N$93,'R5. ETP17 Summary'!$C$9:$K$9,0)),"")</f>
        <v>8.7923083955804282E-8</v>
      </c>
      <c r="O167" s="34">
        <f>IFERROR(INDEX('R5. ETP17 Summary'!$C$125:$K$141,MATCH($E167,'R5. ETP17 Summary'!$B$125:$B$141,0),MATCH(O$93,'R5. ETP17 Summary'!$C$9:$K$9,0)),"")</f>
        <v>0.3580707599813257</v>
      </c>
      <c r="P167" s="34">
        <f>IFERROR(INDEX('R5. ETP17 Summary'!$C$125:$K$141,MATCH($E167,'R5. ETP17 Summary'!$B$125:$B$141,0),MATCH(P$93,'R5. ETP17 Summary'!$C$9:$K$9,0)),"")</f>
        <v>0.94527398972813281</v>
      </c>
      <c r="Q167" s="34">
        <f>IFERROR(INDEX('R5. ETP17 Summary'!$C$125:$K$141,MATCH($E167,'R5. ETP17 Summary'!$B$125:$B$141,0),MATCH(Q$93,'R5. ETP17 Summary'!$C$9:$K$9,0)),"")</f>
        <v>1.6656127888392702</v>
      </c>
      <c r="R167" s="34">
        <f>IFERROR(INDEX('R5. ETP17 Summary'!$C$125:$K$141,MATCH($E167,'R5. ETP17 Summary'!$B$125:$B$141,0),MATCH(R$93,'R5. ETP17 Summary'!$C$9:$K$9,0)),"")</f>
        <v>3.000300132228876</v>
      </c>
      <c r="S167" s="34">
        <f>IFERROR(INDEX('R5. ETP17 Summary'!$C$125:$K$141,MATCH($E167,'R5. ETP17 Summary'!$B$125:$B$141,0),MATCH(S$93,'R5. ETP17 Summary'!$C$9:$K$9,0)),"")</f>
        <v>5.9456158464322026</v>
      </c>
    </row>
    <row r="168" spans="1:19" x14ac:dyDescent="0.3">
      <c r="A168" s="3" t="s">
        <v>496</v>
      </c>
      <c r="B168" s="3" t="s">
        <v>381</v>
      </c>
      <c r="C168" s="3" t="str">
        <f>INDEX('R1. Scenario specifications'!$C$11:$C$59,MATCH($B168,'R1. Scenario specifications'!$A$11:$A$59,0))</f>
        <v>Reference Technologies Scenario, Energy Technology Perspectives 2017</v>
      </c>
      <c r="D168" s="3" t="s">
        <v>256</v>
      </c>
      <c r="E168" s="3" t="s">
        <v>514</v>
      </c>
      <c r="F168" s="3" t="s">
        <v>501</v>
      </c>
      <c r="G168" s="34">
        <f>IFERROR(INDEX('R5. ETP17 Summary'!$C$125:$K$141,MATCH($E168,'R5. ETP17 Summary'!$B$125:$B$141,0),MATCH(G$93,'R5. ETP17 Summary'!$C$9:$K$9,0)),"")</f>
        <v>1044.0240328563759</v>
      </c>
      <c r="H168" s="34" t="str">
        <f>IFERROR(INDEX('R5. ETP17 Summary'!$C$125:$K$141,MATCH($E168,'R5. ETP17 Summary'!$B$125:$B$141,0),MATCH(H$93,'R5. ETP17 Summary'!$C$9:$K$9,0)),"")</f>
        <v/>
      </c>
      <c r="I168" s="34" t="str">
        <f>IFERROR(INDEX('R5. ETP17 Summary'!$C$125:$K$141,MATCH($E168,'R5. ETP17 Summary'!$B$125:$B$141,0),MATCH(I$93,'R5. ETP17 Summary'!$C$9:$K$9,0)),"")</f>
        <v/>
      </c>
      <c r="J168" s="34" t="str">
        <f>IFERROR(INDEX('R5. ETP17 Summary'!$C$125:$K$141,MATCH($E168,'R5. ETP17 Summary'!$B$125:$B$141,0),MATCH(J$93,'R5. ETP17 Summary'!$C$9:$K$9,0)),"")</f>
        <v/>
      </c>
      <c r="K168" s="31">
        <f t="shared" si="15"/>
        <v>1211.6660598754211</v>
      </c>
      <c r="L168" s="34">
        <f>IFERROR(INDEX('R5. ETP17 Summary'!$C$125:$K$141,MATCH($E168,'R5. ETP17 Summary'!$B$125:$B$141,0),MATCH(L$93,'R5. ETP17 Summary'!$C$9:$K$9,0)),"")</f>
        <v>1351.3677490579585</v>
      </c>
      <c r="M168" s="34">
        <f>IFERROR(INDEX('R5. ETP17 Summary'!$C$125:$K$141,MATCH($E168,'R5. ETP17 Summary'!$B$125:$B$141,0),MATCH(M$93,'R5. ETP17 Summary'!$C$9:$K$9,0)),"")</f>
        <v>1485.7671461018708</v>
      </c>
      <c r="N168" s="34">
        <f>IFERROR(INDEX('R5. ETP17 Summary'!$C$125:$K$141,MATCH($E168,'R5. ETP17 Summary'!$B$125:$B$141,0),MATCH(N$93,'R5. ETP17 Summary'!$C$9:$K$9,0)),"")</f>
        <v>1609.902128088891</v>
      </c>
      <c r="O168" s="34">
        <f>IFERROR(INDEX('R5. ETP17 Summary'!$C$125:$K$141,MATCH($E168,'R5. ETP17 Summary'!$B$125:$B$141,0),MATCH(O$93,'R5. ETP17 Summary'!$C$9:$K$9,0)),"")</f>
        <v>1717.5064283675074</v>
      </c>
      <c r="P168" s="34">
        <f>IFERROR(INDEX('R5. ETP17 Summary'!$C$125:$K$141,MATCH($E168,'R5. ETP17 Summary'!$B$125:$B$141,0),MATCH(P$93,'R5. ETP17 Summary'!$C$9:$K$9,0)),"")</f>
        <v>1824.5475013518226</v>
      </c>
      <c r="Q168" s="34">
        <f>IFERROR(INDEX('R5. ETP17 Summary'!$C$125:$K$141,MATCH($E168,'R5. ETP17 Summary'!$B$125:$B$141,0),MATCH(Q$93,'R5. ETP17 Summary'!$C$9:$K$9,0)),"")</f>
        <v>1933.0265377225926</v>
      </c>
      <c r="R168" s="34">
        <f>IFERROR(INDEX('R5. ETP17 Summary'!$C$125:$K$141,MATCH($E168,'R5. ETP17 Summary'!$B$125:$B$141,0),MATCH(R$93,'R5. ETP17 Summary'!$C$9:$K$9,0)),"")</f>
        <v>2043.0041582487054</v>
      </c>
      <c r="S168" s="34">
        <f>IFERROR(INDEX('R5. ETP17 Summary'!$C$125:$K$141,MATCH($E168,'R5. ETP17 Summary'!$B$125:$B$141,0),MATCH(S$93,'R5. ETP17 Summary'!$C$9:$K$9,0)),"")</f>
        <v>2156.0268394983718</v>
      </c>
    </row>
    <row r="169" spans="1:19" x14ac:dyDescent="0.3">
      <c r="A169" s="3" t="s">
        <v>496</v>
      </c>
      <c r="B169" s="3" t="s">
        <v>381</v>
      </c>
      <c r="C169" s="3" t="str">
        <f>INDEX('R1. Scenario specifications'!$C$11:$C$59,MATCH($B169,'R1. Scenario specifications'!$A$11:$A$59,0))</f>
        <v>Reference Technologies Scenario, Energy Technology Perspectives 2017</v>
      </c>
      <c r="D169" s="3" t="s">
        <v>258</v>
      </c>
      <c r="E169" s="3" t="s">
        <v>506</v>
      </c>
      <c r="F169" s="3" t="s">
        <v>501</v>
      </c>
      <c r="G169" s="34">
        <f>IFERROR(INDEX('R5. ETP17 Summary'!$C$125:$K$141,MATCH($E169,'R5. ETP17 Summary'!$B$125:$B$141,0),MATCH(G$93,'R5. ETP17 Summary'!$C$9:$K$9,0)),"")</f>
        <v>12.308314743538201</v>
      </c>
      <c r="H169" s="34" t="str">
        <f>IFERROR(INDEX('R5. ETP17 Summary'!$C$125:$K$141,MATCH($E169,'R5. ETP17 Summary'!$B$125:$B$141,0),MATCH(H$93,'R5. ETP17 Summary'!$C$9:$K$9,0)),"")</f>
        <v/>
      </c>
      <c r="I169" s="34" t="str">
        <f>IFERROR(INDEX('R5. ETP17 Summary'!$C$125:$K$141,MATCH($E169,'R5. ETP17 Summary'!$B$125:$B$141,0),MATCH(I$93,'R5. ETP17 Summary'!$C$9:$K$9,0)),"")</f>
        <v/>
      </c>
      <c r="J169" s="34" t="str">
        <f>IFERROR(INDEX('R5. ETP17 Summary'!$C$125:$K$141,MATCH($E169,'R5. ETP17 Summary'!$B$125:$B$141,0),MATCH(J$93,'R5. ETP17 Summary'!$C$9:$K$9,0)),"")</f>
        <v/>
      </c>
      <c r="K169" s="31">
        <f t="shared" si="15"/>
        <v>19.51290854186675</v>
      </c>
      <c r="L169" s="34">
        <f>IFERROR(INDEX('R5. ETP17 Summary'!$C$125:$K$141,MATCH($E169,'R5. ETP17 Summary'!$B$125:$B$141,0),MATCH(L$93,'R5. ETP17 Summary'!$C$9:$K$9,0)),"")</f>
        <v>25.516736707140542</v>
      </c>
      <c r="M169" s="34">
        <f>IFERROR(INDEX('R5. ETP17 Summary'!$C$125:$K$141,MATCH($E169,'R5. ETP17 Summary'!$B$125:$B$141,0),MATCH(M$93,'R5. ETP17 Summary'!$C$9:$K$9,0)),"")</f>
        <v>33.459372683647572</v>
      </c>
      <c r="N169" s="34">
        <f>IFERROR(INDEX('R5. ETP17 Summary'!$C$125:$K$141,MATCH($E169,'R5. ETP17 Summary'!$B$125:$B$141,0),MATCH(N$93,'R5. ETP17 Summary'!$C$9:$K$9,0)),"")</f>
        <v>44.108180667247318</v>
      </c>
      <c r="O169" s="34">
        <f>IFERROR(INDEX('R5. ETP17 Summary'!$C$125:$K$141,MATCH($E169,'R5. ETP17 Summary'!$B$125:$B$141,0),MATCH(O$93,'R5. ETP17 Summary'!$C$9:$K$9,0)),"")</f>
        <v>56.442199009267156</v>
      </c>
      <c r="P169" s="34">
        <f>IFERROR(INDEX('R5. ETP17 Summary'!$C$125:$K$141,MATCH($E169,'R5. ETP17 Summary'!$B$125:$B$141,0),MATCH(P$93,'R5. ETP17 Summary'!$C$9:$K$9,0)),"")</f>
        <v>70.427573097160163</v>
      </c>
      <c r="Q169" s="34">
        <f>IFERROR(INDEX('R5. ETP17 Summary'!$C$125:$K$141,MATCH($E169,'R5. ETP17 Summary'!$B$125:$B$141,0),MATCH(Q$93,'R5. ETP17 Summary'!$C$9:$K$9,0)),"")</f>
        <v>85.100363760294172</v>
      </c>
      <c r="R169" s="34">
        <f>IFERROR(INDEX('R5. ETP17 Summary'!$C$125:$K$141,MATCH($E169,'R5. ETP17 Summary'!$B$125:$B$141,0),MATCH(R$93,'R5. ETP17 Summary'!$C$9:$K$9,0)),"")</f>
        <v>99.580145336849796</v>
      </c>
      <c r="S169" s="34">
        <f>IFERROR(INDEX('R5. ETP17 Summary'!$C$125:$K$141,MATCH($E169,'R5. ETP17 Summary'!$B$125:$B$141,0),MATCH(S$93,'R5. ETP17 Summary'!$C$9:$K$9,0)),"")</f>
        <v>115.9286455433903</v>
      </c>
    </row>
    <row r="170" spans="1:19" x14ac:dyDescent="0.3">
      <c r="A170" s="3" t="s">
        <v>496</v>
      </c>
      <c r="B170" s="3" t="s">
        <v>381</v>
      </c>
      <c r="C170" s="3" t="str">
        <f>INDEX('R1. Scenario specifications'!$C$11:$C$59,MATCH($B170,'R1. Scenario specifications'!$A$11:$A$59,0))</f>
        <v>Reference Technologies Scenario, Energy Technology Perspectives 2017</v>
      </c>
      <c r="D170" s="3" t="s">
        <v>260</v>
      </c>
      <c r="E170" s="3" t="s">
        <v>515</v>
      </c>
      <c r="F170" s="3" t="s">
        <v>501</v>
      </c>
      <c r="G170" s="34">
        <f>IFERROR(INDEX('R5. ETP17 Summary'!$C$125:$K$141,MATCH($E170,'R5. ETP17 Summary'!$B$125:$B$141,0),MATCH(G$93,'R5. ETP17 Summary'!$C$9:$K$9,0)),"")</f>
        <v>340.80495537458751</v>
      </c>
      <c r="H170" s="34" t="str">
        <f>IFERROR(INDEX('R5. ETP17 Summary'!$C$125:$K$141,MATCH($E170,'R5. ETP17 Summary'!$B$125:$B$141,0),MATCH(H$93,'R5. ETP17 Summary'!$C$9:$K$9,0)),"")</f>
        <v/>
      </c>
      <c r="I170" s="34" t="str">
        <f>IFERROR(INDEX('R5. ETP17 Summary'!$C$125:$K$141,MATCH($E170,'R5. ETP17 Summary'!$B$125:$B$141,0),MATCH(I$93,'R5. ETP17 Summary'!$C$9:$K$9,0)),"")</f>
        <v/>
      </c>
      <c r="J170" s="34" t="str">
        <f>IFERROR(INDEX('R5. ETP17 Summary'!$C$125:$K$141,MATCH($E170,'R5. ETP17 Summary'!$B$125:$B$141,0),MATCH(J$93,'R5. ETP17 Summary'!$C$9:$K$9,0)),"")</f>
        <v/>
      </c>
      <c r="K170" s="31">
        <f t="shared" si="15"/>
        <v>674.51195145288557</v>
      </c>
      <c r="L170" s="34">
        <f>IFERROR(INDEX('R5. ETP17 Summary'!$C$125:$K$141,MATCH($E170,'R5. ETP17 Summary'!$B$125:$B$141,0),MATCH(L$93,'R5. ETP17 Summary'!$C$9:$K$9,0)),"")</f>
        <v>952.6011148514674</v>
      </c>
      <c r="M170" s="34">
        <f>IFERROR(INDEX('R5. ETP17 Summary'!$C$125:$K$141,MATCH($E170,'R5. ETP17 Summary'!$B$125:$B$141,0),MATCH(M$93,'R5. ETP17 Summary'!$C$9:$K$9,0)),"")</f>
        <v>1217.3069957065907</v>
      </c>
      <c r="N170" s="34">
        <f>IFERROR(INDEX('R5. ETP17 Summary'!$C$125:$K$141,MATCH($E170,'R5. ETP17 Summary'!$B$125:$B$141,0),MATCH(N$93,'R5. ETP17 Summary'!$C$9:$K$9,0)),"")</f>
        <v>1457.1559334885283</v>
      </c>
      <c r="O170" s="34">
        <f>IFERROR(INDEX('R5. ETP17 Summary'!$C$125:$K$141,MATCH($E170,'R5. ETP17 Summary'!$B$125:$B$141,0),MATCH(O$93,'R5. ETP17 Summary'!$C$9:$K$9,0)),"")</f>
        <v>1642.0210775729024</v>
      </c>
      <c r="P170" s="34">
        <f>IFERROR(INDEX('R5. ETP17 Summary'!$C$125:$K$141,MATCH($E170,'R5. ETP17 Summary'!$B$125:$B$141,0),MATCH(P$93,'R5. ETP17 Summary'!$C$9:$K$9,0)),"")</f>
        <v>1812.2936354303483</v>
      </c>
      <c r="Q170" s="34">
        <f>IFERROR(INDEX('R5. ETP17 Summary'!$C$125:$K$141,MATCH($E170,'R5. ETP17 Summary'!$B$125:$B$141,0),MATCH(Q$93,'R5. ETP17 Summary'!$C$9:$K$9,0)),"")</f>
        <v>2072.8400198583167</v>
      </c>
      <c r="R170" s="34">
        <f>IFERROR(INDEX('R5. ETP17 Summary'!$C$125:$K$141,MATCH($E170,'R5. ETP17 Summary'!$B$125:$B$141,0),MATCH(R$93,'R5. ETP17 Summary'!$C$9:$K$9,0)),"")</f>
        <v>2260.9858303645119</v>
      </c>
      <c r="S170" s="34">
        <f>IFERROR(INDEX('R5. ETP17 Summary'!$C$125:$K$141,MATCH($E170,'R5. ETP17 Summary'!$B$125:$B$141,0),MATCH(S$93,'R5. ETP17 Summary'!$C$9:$K$9,0)),"")</f>
        <v>2410.5694081532329</v>
      </c>
    </row>
    <row r="171" spans="1:19" x14ac:dyDescent="0.3">
      <c r="A171" s="3" t="s">
        <v>496</v>
      </c>
      <c r="B171" s="3" t="s">
        <v>381</v>
      </c>
      <c r="C171" s="3" t="str">
        <f>INDEX('R1. Scenario specifications'!$C$11:$C$59,MATCH($B171,'R1. Scenario specifications'!$A$11:$A$59,0))</f>
        <v>Reference Technologies Scenario, Energy Technology Perspectives 2017</v>
      </c>
      <c r="D171" s="3" t="s">
        <v>260</v>
      </c>
      <c r="E171" s="3" t="s">
        <v>516</v>
      </c>
      <c r="F171" s="3" t="s">
        <v>501</v>
      </c>
      <c r="G171" s="34">
        <f>IFERROR(INDEX('R5. ETP17 Summary'!$C$125:$K$141,MATCH($E171,'R5. ETP17 Summary'!$B$125:$B$141,0),MATCH(G$93,'R5. ETP17 Summary'!$C$9:$K$9,0)),"")</f>
        <v>8.7631800000000002</v>
      </c>
      <c r="H171" s="34" t="str">
        <f>IFERROR(INDEX('R5. ETP17 Summary'!$C$125:$K$141,MATCH($E171,'R5. ETP17 Summary'!$B$125:$B$141,0),MATCH(H$93,'R5. ETP17 Summary'!$C$9:$K$9,0)),"")</f>
        <v/>
      </c>
      <c r="I171" s="34" t="str">
        <f>IFERROR(INDEX('R5. ETP17 Summary'!$C$125:$K$141,MATCH($E171,'R5. ETP17 Summary'!$B$125:$B$141,0),MATCH(I$93,'R5. ETP17 Summary'!$C$9:$K$9,0)),"")</f>
        <v/>
      </c>
      <c r="J171" s="34" t="str">
        <f>IFERROR(INDEX('R5. ETP17 Summary'!$C$125:$K$141,MATCH($E171,'R5. ETP17 Summary'!$B$125:$B$141,0),MATCH(J$93,'R5. ETP17 Summary'!$C$9:$K$9,0)),"")</f>
        <v/>
      </c>
      <c r="K171" s="31">
        <f t="shared" si="15"/>
        <v>17.523497985918318</v>
      </c>
      <c r="L171" s="34">
        <f>IFERROR(INDEX('R5. ETP17 Summary'!$C$125:$K$141,MATCH($E171,'R5. ETP17 Summary'!$B$125:$B$141,0),MATCH(L$93,'R5. ETP17 Summary'!$C$9:$K$9,0)),"")</f>
        <v>24.823762974183584</v>
      </c>
      <c r="M171" s="34">
        <f>IFERROR(INDEX('R5. ETP17 Summary'!$C$125:$K$141,MATCH($E171,'R5. ETP17 Summary'!$B$125:$B$141,0),MATCH(M$93,'R5. ETP17 Summary'!$C$9:$K$9,0)),"")</f>
        <v>38.499804181533804</v>
      </c>
      <c r="N171" s="34">
        <f>IFERROR(INDEX('R5. ETP17 Summary'!$C$125:$K$141,MATCH($E171,'R5. ETP17 Summary'!$B$125:$B$141,0),MATCH(N$93,'R5. ETP17 Summary'!$C$9:$K$9,0)),"")</f>
        <v>54.626882285005649</v>
      </c>
      <c r="O171" s="34">
        <f>IFERROR(INDEX('R5. ETP17 Summary'!$C$125:$K$141,MATCH($E171,'R5. ETP17 Summary'!$B$125:$B$141,0),MATCH(O$93,'R5. ETP17 Summary'!$C$9:$K$9,0)),"")</f>
        <v>74.141846691006918</v>
      </c>
      <c r="P171" s="34">
        <f>IFERROR(INDEX('R5. ETP17 Summary'!$C$125:$K$141,MATCH($E171,'R5. ETP17 Summary'!$B$125:$B$141,0),MATCH(P$93,'R5. ETP17 Summary'!$C$9:$K$9,0)),"")</f>
        <v>99.767413955926244</v>
      </c>
      <c r="Q171" s="34">
        <f>IFERROR(INDEX('R5. ETP17 Summary'!$C$125:$K$141,MATCH($E171,'R5. ETP17 Summary'!$B$125:$B$141,0),MATCH(Q$93,'R5. ETP17 Summary'!$C$9:$K$9,0)),"")</f>
        <v>135.57703324231764</v>
      </c>
      <c r="R171" s="34">
        <f>IFERROR(INDEX('R5. ETP17 Summary'!$C$125:$K$141,MATCH($E171,'R5. ETP17 Summary'!$B$125:$B$141,0),MATCH(R$93,'R5. ETP17 Summary'!$C$9:$K$9,0)),"")</f>
        <v>185.63974140382376</v>
      </c>
      <c r="S171" s="34">
        <f>IFERROR(INDEX('R5. ETP17 Summary'!$C$125:$K$141,MATCH($E171,'R5. ETP17 Summary'!$B$125:$B$141,0),MATCH(S$93,'R5. ETP17 Summary'!$C$9:$K$9,0)),"")</f>
        <v>251.02139255439084</v>
      </c>
    </row>
    <row r="172" spans="1:19" x14ac:dyDescent="0.3">
      <c r="A172" s="3" t="s">
        <v>496</v>
      </c>
      <c r="B172" s="3" t="s">
        <v>381</v>
      </c>
      <c r="C172" s="3" t="str">
        <f>INDEX('R1. Scenario specifications'!$C$11:$C$59,MATCH($B172,'R1. Scenario specifications'!$A$11:$A$59,0))</f>
        <v>Reference Technologies Scenario, Energy Technology Perspectives 2017</v>
      </c>
      <c r="D172" s="3" t="s">
        <v>259</v>
      </c>
      <c r="E172" s="3" t="s">
        <v>504</v>
      </c>
      <c r="F172" s="3" t="s">
        <v>501</v>
      </c>
      <c r="G172" s="34">
        <f>IFERROR(INDEX('R5. ETP17 Summary'!$C$125:$K$141,MATCH($E172,'R5. ETP17 Summary'!$B$125:$B$141,0),MATCH(G$93,'R5. ETP17 Summary'!$C$9:$K$9,0)),"")</f>
        <v>177.99678700200658</v>
      </c>
      <c r="H172" s="34" t="str">
        <f>IFERROR(INDEX('R5. ETP17 Summary'!$C$125:$K$141,MATCH($E172,'R5. ETP17 Summary'!$B$125:$B$141,0),MATCH(H$93,'R5. ETP17 Summary'!$C$9:$K$9,0)),"")</f>
        <v/>
      </c>
      <c r="I172" s="34" t="str">
        <f>IFERROR(INDEX('R5. ETP17 Summary'!$C$125:$K$141,MATCH($E172,'R5. ETP17 Summary'!$B$125:$B$141,0),MATCH(I$93,'R5. ETP17 Summary'!$C$9:$K$9,0)),"")</f>
        <v/>
      </c>
      <c r="J172" s="34" t="str">
        <f>IFERROR(INDEX('R5. ETP17 Summary'!$C$125:$K$141,MATCH($E172,'R5. ETP17 Summary'!$B$125:$B$141,0),MATCH(J$93,'R5. ETP17 Summary'!$C$9:$K$9,0)),"")</f>
        <v/>
      </c>
      <c r="K172" s="31">
        <f t="shared" si="15"/>
        <v>497.69619147891592</v>
      </c>
      <c r="L172" s="34">
        <f>IFERROR(INDEX('R5. ETP17 Summary'!$C$125:$K$141,MATCH($E172,'R5. ETP17 Summary'!$B$125:$B$141,0),MATCH(L$93,'R5. ETP17 Summary'!$C$9:$K$9,0)),"")</f>
        <v>764.11236187634029</v>
      </c>
      <c r="M172" s="34">
        <f>IFERROR(INDEX('R5. ETP17 Summary'!$C$125:$K$141,MATCH($E172,'R5. ETP17 Summary'!$B$125:$B$141,0),MATCH(M$93,'R5. ETP17 Summary'!$C$9:$K$9,0)),"")</f>
        <v>1065.4180950612515</v>
      </c>
      <c r="N172" s="34">
        <f>IFERROR(INDEX('R5. ETP17 Summary'!$C$125:$K$141,MATCH($E172,'R5. ETP17 Summary'!$B$125:$B$141,0),MATCH(N$93,'R5. ETP17 Summary'!$C$9:$K$9,0)),"")</f>
        <v>1348.226740614459</v>
      </c>
      <c r="O172" s="34">
        <f>IFERROR(INDEX('R5. ETP17 Summary'!$C$125:$K$141,MATCH($E172,'R5. ETP17 Summary'!$B$125:$B$141,0),MATCH(O$93,'R5. ETP17 Summary'!$C$9:$K$9,0)),"")</f>
        <v>1677.710602335309</v>
      </c>
      <c r="P172" s="34">
        <f>IFERROR(INDEX('R5. ETP17 Summary'!$C$125:$K$141,MATCH($E172,'R5. ETP17 Summary'!$B$125:$B$141,0),MATCH(P$93,'R5. ETP17 Summary'!$C$9:$K$9,0)),"")</f>
        <v>2024.9811644814256</v>
      </c>
      <c r="Q172" s="34">
        <f>IFERROR(INDEX('R5. ETP17 Summary'!$C$125:$K$141,MATCH($E172,'R5. ETP17 Summary'!$B$125:$B$141,0),MATCH(Q$93,'R5. ETP17 Summary'!$C$9:$K$9,0)),"")</f>
        <v>2396.4039058194176</v>
      </c>
      <c r="R172" s="34">
        <f>IFERROR(INDEX('R5. ETP17 Summary'!$C$125:$K$141,MATCH($E172,'R5. ETP17 Summary'!$B$125:$B$141,0),MATCH(R$93,'R5. ETP17 Summary'!$C$9:$K$9,0)),"")</f>
        <v>2698.1544284002816</v>
      </c>
      <c r="S172" s="34">
        <f>IFERROR(INDEX('R5. ETP17 Summary'!$C$125:$K$141,MATCH($E172,'R5. ETP17 Summary'!$B$125:$B$141,0),MATCH(S$93,'R5. ETP17 Summary'!$C$9:$K$9,0)),"")</f>
        <v>3000.6385254369993</v>
      </c>
    </row>
    <row r="173" spans="1:19" x14ac:dyDescent="0.3">
      <c r="A173" s="3" t="s">
        <v>496</v>
      </c>
      <c r="B173" s="3" t="s">
        <v>381</v>
      </c>
      <c r="C173" s="3" t="str">
        <f>INDEX('R1. Scenario specifications'!$C$11:$C$59,MATCH($B173,'R1. Scenario specifications'!$A$11:$A$59,0))</f>
        <v>Reference Technologies Scenario, Energy Technology Perspectives 2017</v>
      </c>
      <c r="D173" s="3" t="s">
        <v>259</v>
      </c>
      <c r="E173" s="3" t="s">
        <v>517</v>
      </c>
      <c r="F173" s="3" t="s">
        <v>501</v>
      </c>
      <c r="G173" s="34">
        <f>IFERROR(INDEX('R5. ETP17 Summary'!$C$125:$K$141,MATCH($E173,'R5. ETP17 Summary'!$B$125:$B$141,0),MATCH(G$93,'R5. ETP17 Summary'!$C$9:$K$9,0)),"")</f>
        <v>7.4322450585597988</v>
      </c>
      <c r="H173" s="34" t="str">
        <f>IFERROR(INDEX('R5. ETP17 Summary'!$C$125:$K$141,MATCH($E173,'R5. ETP17 Summary'!$B$125:$B$141,0),MATCH(H$93,'R5. ETP17 Summary'!$C$9:$K$9,0)),"")</f>
        <v/>
      </c>
      <c r="I173" s="34" t="str">
        <f>IFERROR(INDEX('R5. ETP17 Summary'!$C$125:$K$141,MATCH($E173,'R5. ETP17 Summary'!$B$125:$B$141,0),MATCH(I$93,'R5. ETP17 Summary'!$C$9:$K$9,0)),"")</f>
        <v/>
      </c>
      <c r="J173" s="34" t="str">
        <f>IFERROR(INDEX('R5. ETP17 Summary'!$C$125:$K$141,MATCH($E173,'R5. ETP17 Summary'!$B$125:$B$141,0),MATCH(J$93,'R5. ETP17 Summary'!$C$9:$K$9,0)),"")</f>
        <v/>
      </c>
      <c r="K173" s="31">
        <f t="shared" si="15"/>
        <v>14.61558479022381</v>
      </c>
      <c r="L173" s="34">
        <f>IFERROR(INDEX('R5. ETP17 Summary'!$C$125:$K$141,MATCH($E173,'R5. ETP17 Summary'!$B$125:$B$141,0),MATCH(L$93,'R5. ETP17 Summary'!$C$9:$K$9,0)),"")</f>
        <v>20.601701233277154</v>
      </c>
      <c r="M173" s="34">
        <f>IFERROR(INDEX('R5. ETP17 Summary'!$C$125:$K$141,MATCH($E173,'R5. ETP17 Summary'!$B$125:$B$141,0),MATCH(M$93,'R5. ETP17 Summary'!$C$9:$K$9,0)),"")</f>
        <v>46.666420685477419</v>
      </c>
      <c r="N173" s="34">
        <f>IFERROR(INDEX('R5. ETP17 Summary'!$C$125:$K$141,MATCH($E173,'R5. ETP17 Summary'!$B$125:$B$141,0),MATCH(N$93,'R5. ETP17 Summary'!$C$9:$K$9,0)),"")</f>
        <v>81.000930070684745</v>
      </c>
      <c r="O173" s="34">
        <f>IFERROR(INDEX('R5. ETP17 Summary'!$C$125:$K$141,MATCH($E173,'R5. ETP17 Summary'!$B$125:$B$141,0),MATCH(O$93,'R5. ETP17 Summary'!$C$9:$K$9,0)),"")</f>
        <v>119.84266601844459</v>
      </c>
      <c r="P173" s="34">
        <f>IFERROR(INDEX('R5. ETP17 Summary'!$C$125:$K$141,MATCH($E173,'R5. ETP17 Summary'!$B$125:$B$141,0),MATCH(P$93,'R5. ETP17 Summary'!$C$9:$K$9,0)),"")</f>
        <v>161.61149676151288</v>
      </c>
      <c r="Q173" s="34">
        <f>IFERROR(INDEX('R5. ETP17 Summary'!$C$125:$K$141,MATCH($E173,'R5. ETP17 Summary'!$B$125:$B$141,0),MATCH(Q$93,'R5. ETP17 Summary'!$C$9:$K$9,0)),"")</f>
        <v>217.01252172511622</v>
      </c>
      <c r="R173" s="34">
        <f>IFERROR(INDEX('R5. ETP17 Summary'!$C$125:$K$141,MATCH($E173,'R5. ETP17 Summary'!$B$125:$B$141,0),MATCH(R$93,'R5. ETP17 Summary'!$C$9:$K$9,0)),"")</f>
        <v>282.19216679895936</v>
      </c>
      <c r="S173" s="34">
        <f>IFERROR(INDEX('R5. ETP17 Summary'!$C$125:$K$141,MATCH($E173,'R5. ETP17 Summary'!$B$125:$B$141,0),MATCH(S$93,'R5. ETP17 Summary'!$C$9:$K$9,0)),"")</f>
        <v>349.61810176379964</v>
      </c>
    </row>
    <row r="174" spans="1:19" x14ac:dyDescent="0.3">
      <c r="A174" s="3" t="s">
        <v>496</v>
      </c>
      <c r="B174" s="3" t="s">
        <v>381</v>
      </c>
      <c r="C174" s="3" t="str">
        <f>INDEX('R1. Scenario specifications'!$C$11:$C$59,MATCH($B174,'R1. Scenario specifications'!$A$11:$A$59,0))</f>
        <v>Reference Technologies Scenario, Energy Technology Perspectives 2017</v>
      </c>
      <c r="D174" s="3" t="s">
        <v>258</v>
      </c>
      <c r="E174" s="3" t="s">
        <v>518</v>
      </c>
      <c r="F174" s="3" t="s">
        <v>501</v>
      </c>
      <c r="G174" s="34">
        <f>IFERROR(INDEX('R5. ETP17 Summary'!$C$125:$K$141,MATCH($E174,'R5. ETP17 Summary'!$B$125:$B$141,0),MATCH(G$93,'R5. ETP17 Summary'!$C$9:$K$9,0)),"")</f>
        <v>0.53652000000000011</v>
      </c>
      <c r="H174" s="34" t="str">
        <f>IFERROR(INDEX('R5. ETP17 Summary'!$C$125:$K$141,MATCH($E174,'R5. ETP17 Summary'!$B$125:$B$141,0),MATCH(H$93,'R5. ETP17 Summary'!$C$9:$K$9,0)),"")</f>
        <v/>
      </c>
      <c r="I174" s="34" t="str">
        <f>IFERROR(INDEX('R5. ETP17 Summary'!$C$125:$K$141,MATCH($E174,'R5. ETP17 Summary'!$B$125:$B$141,0),MATCH(I$93,'R5. ETP17 Summary'!$C$9:$K$9,0)),"")</f>
        <v/>
      </c>
      <c r="J174" s="34" t="str">
        <f>IFERROR(INDEX('R5. ETP17 Summary'!$C$125:$K$141,MATCH($E174,'R5. ETP17 Summary'!$B$125:$B$141,0),MATCH(J$93,'R5. ETP17 Summary'!$C$9:$K$9,0)),"")</f>
        <v/>
      </c>
      <c r="K174" s="31">
        <f t="shared" si="15"/>
        <v>1.4414165001267181</v>
      </c>
      <c r="L174" s="34">
        <f>IFERROR(INDEX('R5. ETP17 Summary'!$C$125:$K$141,MATCH($E174,'R5. ETP17 Summary'!$B$125:$B$141,0),MATCH(L$93,'R5. ETP17 Summary'!$C$9:$K$9,0)),"")</f>
        <v>2.1954969168989829</v>
      </c>
      <c r="M174" s="34">
        <f>IFERROR(INDEX('R5. ETP17 Summary'!$C$125:$K$141,MATCH($E174,'R5. ETP17 Summary'!$B$125:$B$141,0),MATCH(M$93,'R5. ETP17 Summary'!$C$9:$K$9,0)),"")</f>
        <v>5.3961692788700182</v>
      </c>
      <c r="N174" s="34">
        <f>IFERROR(INDEX('R5. ETP17 Summary'!$C$125:$K$141,MATCH($E174,'R5. ETP17 Summary'!$B$125:$B$141,0),MATCH(N$93,'R5. ETP17 Summary'!$C$9:$K$9,0)),"")</f>
        <v>10.161586857178587</v>
      </c>
      <c r="O174" s="34">
        <f>IFERROR(INDEX('R5. ETP17 Summary'!$C$125:$K$141,MATCH($E174,'R5. ETP17 Summary'!$B$125:$B$141,0),MATCH(O$93,'R5. ETP17 Summary'!$C$9:$K$9,0)),"")</f>
        <v>17.868969541698672</v>
      </c>
      <c r="P174" s="34">
        <f>IFERROR(INDEX('R5. ETP17 Summary'!$C$125:$K$141,MATCH($E174,'R5. ETP17 Summary'!$B$125:$B$141,0),MATCH(P$93,'R5. ETP17 Summary'!$C$9:$K$9,0)),"")</f>
        <v>24.567497382661223</v>
      </c>
      <c r="Q174" s="34">
        <f>IFERROR(INDEX('R5. ETP17 Summary'!$C$125:$K$141,MATCH($E174,'R5. ETP17 Summary'!$B$125:$B$141,0),MATCH(Q$93,'R5. ETP17 Summary'!$C$9:$K$9,0)),"")</f>
        <v>31.313658772075915</v>
      </c>
      <c r="R174" s="34">
        <f>IFERROR(INDEX('R5. ETP17 Summary'!$C$125:$K$141,MATCH($E174,'R5. ETP17 Summary'!$B$125:$B$141,0),MATCH(R$93,'R5. ETP17 Summary'!$C$9:$K$9,0)),"")</f>
        <v>38.826624846531516</v>
      </c>
      <c r="S174" s="34">
        <f>IFERROR(INDEX('R5. ETP17 Summary'!$C$125:$K$141,MATCH($E174,'R5. ETP17 Summary'!$B$125:$B$141,0),MATCH(S$93,'R5. ETP17 Summary'!$C$9:$K$9,0)),"")</f>
        <v>45.791184351087139</v>
      </c>
    </row>
    <row r="175" spans="1:19" x14ac:dyDescent="0.3">
      <c r="A175" s="3" t="s">
        <v>496</v>
      </c>
      <c r="B175" s="39" t="s">
        <v>381</v>
      </c>
      <c r="C175" s="39" t="str">
        <f>INDEX('R1. Scenario specifications'!$C$11:$C$59,MATCH($B175,'R1. Scenario specifications'!$A$11:$A$59,0))</f>
        <v>Reference Technologies Scenario, Energy Technology Perspectives 2017</v>
      </c>
      <c r="D175" s="39" t="s">
        <v>258</v>
      </c>
      <c r="E175" s="39" t="s">
        <v>258</v>
      </c>
      <c r="F175" s="39" t="s">
        <v>501</v>
      </c>
      <c r="G175" s="52">
        <f>IFERROR(INDEX('R5. ETP17 Summary'!$C$125:$K$141,MATCH($E175,'R5. ETP17 Summary'!$B$125:$B$141,0),MATCH(G$93,'R5. ETP17 Summary'!$C$9:$K$9,0)),"")</f>
        <v>0</v>
      </c>
      <c r="H175" s="52" t="str">
        <f>IFERROR(INDEX('R5. ETP17 Summary'!$C$125:$K$141,MATCH($E175,'R5. ETP17 Summary'!$B$125:$B$141,0),MATCH(H$93,'R5. ETP17 Summary'!$C$9:$K$9,0)),"")</f>
        <v/>
      </c>
      <c r="I175" s="52" t="str">
        <f>IFERROR(INDEX('R5. ETP17 Summary'!$C$125:$K$141,MATCH($E175,'R5. ETP17 Summary'!$B$125:$B$141,0),MATCH(I$93,'R5. ETP17 Summary'!$C$9:$K$9,0)),"")</f>
        <v/>
      </c>
      <c r="J175" s="52" t="str">
        <f>IFERROR(INDEX('R5. ETP17 Summary'!$C$125:$K$141,MATCH($E175,'R5. ETP17 Summary'!$B$125:$B$141,0),MATCH(J$93,'R5. ETP17 Summary'!$C$9:$K$9,0)),"")</f>
        <v/>
      </c>
      <c r="K175" s="40">
        <f t="shared" si="15"/>
        <v>0</v>
      </c>
      <c r="L175" s="52">
        <f>IFERROR(INDEX('R5. ETP17 Summary'!$C$125:$K$141,MATCH($E175,'R5. ETP17 Summary'!$B$125:$B$141,0),MATCH(L$93,'R5. ETP17 Summary'!$C$9:$K$9,0)),"")</f>
        <v>0</v>
      </c>
      <c r="M175" s="52">
        <f>IFERROR(INDEX('R5. ETP17 Summary'!$C$125:$K$141,MATCH($E175,'R5. ETP17 Summary'!$B$125:$B$141,0),MATCH(M$93,'R5. ETP17 Summary'!$C$9:$K$9,0)),"")</f>
        <v>0</v>
      </c>
      <c r="N175" s="52">
        <f>IFERROR(INDEX('R5. ETP17 Summary'!$C$125:$K$141,MATCH($E175,'R5. ETP17 Summary'!$B$125:$B$141,0),MATCH(N$93,'R5. ETP17 Summary'!$C$9:$K$9,0)),"")</f>
        <v>0</v>
      </c>
      <c r="O175" s="52">
        <f>IFERROR(INDEX('R5. ETP17 Summary'!$C$125:$K$141,MATCH($E175,'R5. ETP17 Summary'!$B$125:$B$141,0),MATCH(O$93,'R5. ETP17 Summary'!$C$9:$K$9,0)),"")</f>
        <v>0</v>
      </c>
      <c r="P175" s="52">
        <f>IFERROR(INDEX('R5. ETP17 Summary'!$C$125:$K$141,MATCH($E175,'R5. ETP17 Summary'!$B$125:$B$141,0),MATCH(P$93,'R5. ETP17 Summary'!$C$9:$K$9,0)),"")</f>
        <v>0</v>
      </c>
      <c r="Q175" s="52">
        <f>IFERROR(INDEX('R5. ETP17 Summary'!$C$125:$K$141,MATCH($E175,'R5. ETP17 Summary'!$B$125:$B$141,0),MATCH(Q$93,'R5. ETP17 Summary'!$C$9:$K$9,0)),"")</f>
        <v>0</v>
      </c>
      <c r="R175" s="52">
        <f>IFERROR(INDEX('R5. ETP17 Summary'!$C$125:$K$141,MATCH($E175,'R5. ETP17 Summary'!$B$125:$B$141,0),MATCH(R$93,'R5. ETP17 Summary'!$C$9:$K$9,0)),"")</f>
        <v>0</v>
      </c>
      <c r="S175" s="52">
        <f>IFERROR(INDEX('R5. ETP17 Summary'!$C$125:$K$141,MATCH($E175,'R5. ETP17 Summary'!$B$125:$B$141,0),MATCH(S$93,'R5. ETP17 Summary'!$C$9:$K$9,0)),"")</f>
        <v>0</v>
      </c>
    </row>
    <row r="176" spans="1:19" x14ac:dyDescent="0.3">
      <c r="A176" s="3" t="s">
        <v>496</v>
      </c>
      <c r="B176" s="3" t="s">
        <v>382</v>
      </c>
      <c r="C176" s="3" t="str">
        <f>INDEX('R1. Scenario specifications'!$C$11:$C$59,MATCH($B176,'R1. Scenario specifications'!$A$11:$A$59,0))</f>
        <v>2 Degrees Scenario, Energy Technology Perspectives 2017</v>
      </c>
      <c r="D176" s="3" t="s">
        <v>266</v>
      </c>
      <c r="E176" s="3" t="s">
        <v>266</v>
      </c>
      <c r="F176" s="3" t="s">
        <v>501</v>
      </c>
      <c r="G176" s="34">
        <f>IFERROR(INDEX('R5. ETP17 Summary'!$P$125:$X$141,MATCH($E176,'R5. ETP17 Summary'!$O$125:$O$141,0),MATCH(G$93,'R5. ETP17 Summary'!$P$9:$X$9,0)),"")</f>
        <v>442.34508278658268</v>
      </c>
      <c r="H176" s="34" t="str">
        <f>IFERROR(INDEX('R5. ETP17 Summary'!$P$125:$X$141,MATCH($E176,'R5. ETP17 Summary'!$O$125:$O$141,0),MATCH(H$93,'R5. ETP17 Summary'!$P$9:$X$9,0)),"")</f>
        <v/>
      </c>
      <c r="I176" s="34" t="str">
        <f>IFERROR(INDEX('R5. ETP17 Summary'!$P$125:$X$141,MATCH($E176,'R5. ETP17 Summary'!$O$125:$O$141,0),MATCH(I$93,'R5. ETP17 Summary'!$P$9:$X$9,0)),"")</f>
        <v/>
      </c>
      <c r="J176" s="34" t="str">
        <f>IFERROR(INDEX('R5. ETP17 Summary'!$P$125:$X$141,MATCH($E176,'R5. ETP17 Summary'!$O$125:$O$141,0),MATCH(J$93,'R5. ETP17 Summary'!$P$9:$X$9,0)),"")</f>
        <v/>
      </c>
      <c r="K176" s="31">
        <f t="shared" si="15"/>
        <v>417.77118774908416</v>
      </c>
      <c r="L176" s="34">
        <f>IFERROR(INDEX('R5. ETP17 Summary'!$P$125:$X$141,MATCH($E176,'R5. ETP17 Summary'!$O$125:$O$141,0),MATCH(L$93,'R5. ETP17 Summary'!$P$9:$X$9,0)),"")</f>
        <v>397.29294188450211</v>
      </c>
      <c r="M176" s="34">
        <f>IFERROR(INDEX('R5. ETP17 Summary'!$P$125:$X$141,MATCH($E176,'R5. ETP17 Summary'!$O$125:$O$141,0),MATCH(M$93,'R5. ETP17 Summary'!$P$9:$X$9,0)),"")</f>
        <v>319.75212159696525</v>
      </c>
      <c r="N176" s="34">
        <f>IFERROR(INDEX('R5. ETP17 Summary'!$P$125:$X$141,MATCH($E176,'R5. ETP17 Summary'!$O$125:$O$141,0),MATCH(N$93,'R5. ETP17 Summary'!$P$9:$X$9,0)),"")</f>
        <v>259.71906079217376</v>
      </c>
      <c r="O176" s="34">
        <f>IFERROR(INDEX('R5. ETP17 Summary'!$P$125:$X$141,MATCH($E176,'R5. ETP17 Summary'!$O$125:$O$141,0),MATCH(O$93,'R5. ETP17 Summary'!$P$9:$X$9,0)),"")</f>
        <v>204.38194939348523</v>
      </c>
      <c r="P176" s="34">
        <f>IFERROR(INDEX('R5. ETP17 Summary'!$P$125:$X$141,MATCH($E176,'R5. ETP17 Summary'!$O$125:$O$141,0),MATCH(P$93,'R5. ETP17 Summary'!$P$9:$X$9,0)),"")</f>
        <v>189.51573756941318</v>
      </c>
      <c r="Q176" s="34">
        <f>IFERROR(INDEX('R5. ETP17 Summary'!$P$125:$X$141,MATCH($E176,'R5. ETP17 Summary'!$O$125:$O$141,0),MATCH(Q$93,'R5. ETP17 Summary'!$P$9:$X$9,0)),"")</f>
        <v>168.75145611529788</v>
      </c>
      <c r="R176" s="34">
        <f>IFERROR(INDEX('R5. ETP17 Summary'!$P$125:$X$141,MATCH($E176,'R5. ETP17 Summary'!$O$125:$O$141,0),MATCH(R$93,'R5. ETP17 Summary'!$P$9:$X$9,0)),"")</f>
        <v>142.51877255371971</v>
      </c>
      <c r="S176" s="34">
        <f>IFERROR(INDEX('R5. ETP17 Summary'!$P$125:$X$141,MATCH($E176,'R5. ETP17 Summary'!$O$125:$O$141,0),MATCH(S$93,'R5. ETP17 Summary'!$P$9:$X$9,0)),"")</f>
        <v>391.49199618837611</v>
      </c>
    </row>
    <row r="177" spans="1:19" x14ac:dyDescent="0.3">
      <c r="A177" s="3" t="s">
        <v>496</v>
      </c>
      <c r="B177" s="3" t="s">
        <v>382</v>
      </c>
      <c r="C177" s="3" t="str">
        <f>INDEX('R1. Scenario specifications'!$C$11:$C$59,MATCH($B177,'R1. Scenario specifications'!$A$11:$A$59,0))</f>
        <v>2 Degrees Scenario, Energy Technology Perspectives 2017</v>
      </c>
      <c r="D177" s="3" t="s">
        <v>254</v>
      </c>
      <c r="E177" s="3" t="s">
        <v>254</v>
      </c>
      <c r="F177" s="3" t="s">
        <v>501</v>
      </c>
      <c r="G177" s="34">
        <f>IFERROR(INDEX('R5. ETP17 Summary'!$P$125:$X$141,MATCH($E177,'R5. ETP17 Summary'!$O$125:$O$141,0),MATCH(G$93,'R5. ETP17 Summary'!$P$9:$X$9,0)),"")</f>
        <v>1760.3680667874487</v>
      </c>
      <c r="H177" s="34" t="str">
        <f>IFERROR(INDEX('R5. ETP17 Summary'!$P$125:$X$141,MATCH($E177,'R5. ETP17 Summary'!$O$125:$O$141,0),MATCH(H$93,'R5. ETP17 Summary'!$P$9:$X$9,0)),"")</f>
        <v/>
      </c>
      <c r="I177" s="34" t="str">
        <f>IFERROR(INDEX('R5. ETP17 Summary'!$P$125:$X$141,MATCH($E177,'R5. ETP17 Summary'!$O$125:$O$141,0),MATCH(I$93,'R5. ETP17 Summary'!$P$9:$X$9,0)),"")</f>
        <v/>
      </c>
      <c r="J177" s="34" t="str">
        <f>IFERROR(INDEX('R5. ETP17 Summary'!$P$125:$X$141,MATCH($E177,'R5. ETP17 Summary'!$O$125:$O$141,0),MATCH(J$93,'R5. ETP17 Summary'!$P$9:$X$9,0)),"")</f>
        <v/>
      </c>
      <c r="K177" s="31">
        <f t="shared" si="15"/>
        <v>1780.0720694333877</v>
      </c>
      <c r="L177" s="34">
        <f>IFERROR(INDEX('R5. ETP17 Summary'!$P$125:$X$141,MATCH($E177,'R5. ETP17 Summary'!$O$125:$O$141,0),MATCH(L$93,'R5. ETP17 Summary'!$P$9:$X$9,0)),"")</f>
        <v>1796.4920716383367</v>
      </c>
      <c r="M177" s="34">
        <f>IFERROR(INDEX('R5. ETP17 Summary'!$P$125:$X$141,MATCH($E177,'R5. ETP17 Summary'!$O$125:$O$141,0),MATCH(M$93,'R5. ETP17 Summary'!$P$9:$X$9,0)),"")</f>
        <v>1626.0324352822868</v>
      </c>
      <c r="N177" s="34">
        <f>IFERROR(INDEX('R5. ETP17 Summary'!$P$125:$X$141,MATCH($E177,'R5. ETP17 Summary'!$O$125:$O$141,0),MATCH(N$93,'R5. ETP17 Summary'!$P$9:$X$9,0)),"")</f>
        <v>975.92734550235321</v>
      </c>
      <c r="O177" s="34">
        <f>IFERROR(INDEX('R5. ETP17 Summary'!$P$125:$X$141,MATCH($E177,'R5. ETP17 Summary'!$O$125:$O$141,0),MATCH(O$93,'R5. ETP17 Summary'!$P$9:$X$9,0)),"")</f>
        <v>522.98542205199635</v>
      </c>
      <c r="P177" s="34">
        <f>IFERROR(INDEX('R5. ETP17 Summary'!$P$125:$X$141,MATCH($E177,'R5. ETP17 Summary'!$O$125:$O$141,0),MATCH(P$93,'R5. ETP17 Summary'!$P$9:$X$9,0)),"")</f>
        <v>154.35352552394446</v>
      </c>
      <c r="Q177" s="34">
        <f>IFERROR(INDEX('R5. ETP17 Summary'!$P$125:$X$141,MATCH($E177,'R5. ETP17 Summary'!$O$125:$O$141,0),MATCH(Q$93,'R5. ETP17 Summary'!$P$9:$X$9,0)),"")</f>
        <v>122.98954629073832</v>
      </c>
      <c r="R177" s="34">
        <f>IFERROR(INDEX('R5. ETP17 Summary'!$P$125:$X$141,MATCH($E177,'R5. ETP17 Summary'!$O$125:$O$141,0),MATCH(R$93,'R5. ETP17 Summary'!$P$9:$X$9,0)),"")</f>
        <v>97.933119673013124</v>
      </c>
      <c r="S177" s="34">
        <f>IFERROR(INDEX('R5. ETP17 Summary'!$P$125:$X$141,MATCH($E177,'R5. ETP17 Summary'!$O$125:$O$141,0),MATCH(S$93,'R5. ETP17 Summary'!$P$9:$X$9,0)),"")</f>
        <v>25.070594897012338</v>
      </c>
    </row>
    <row r="178" spans="1:19" x14ac:dyDescent="0.3">
      <c r="A178" s="3" t="s">
        <v>496</v>
      </c>
      <c r="B178" s="3" t="s">
        <v>382</v>
      </c>
      <c r="C178" s="3" t="str">
        <f>INDEX('R1. Scenario specifications'!$C$11:$C$59,MATCH($B178,'R1. Scenario specifications'!$A$11:$A$59,0))</f>
        <v>2 Degrees Scenario, Energy Technology Perspectives 2017</v>
      </c>
      <c r="D178" s="3" t="s">
        <v>254</v>
      </c>
      <c r="E178" s="3" t="s">
        <v>509</v>
      </c>
      <c r="F178" s="3" t="s">
        <v>501</v>
      </c>
      <c r="G178" s="34">
        <f>IFERROR(INDEX('R5. ETP17 Summary'!$P$125:$X$141,MATCH($E178,'R5. ETP17 Summary'!$O$125:$O$141,0),MATCH(G$93,'R5. ETP17 Summary'!$P$9:$X$9,0)),"")</f>
        <v>0</v>
      </c>
      <c r="H178" s="34" t="str">
        <f>IFERROR(INDEX('R5. ETP17 Summary'!$P$125:$X$141,MATCH($E178,'R5. ETP17 Summary'!$O$125:$O$141,0),MATCH(H$93,'R5. ETP17 Summary'!$P$9:$X$9,0)),"")</f>
        <v/>
      </c>
      <c r="I178" s="34" t="str">
        <f>IFERROR(INDEX('R5. ETP17 Summary'!$P$125:$X$141,MATCH($E178,'R5. ETP17 Summary'!$O$125:$O$141,0),MATCH(I$93,'R5. ETP17 Summary'!$P$9:$X$9,0)),"")</f>
        <v/>
      </c>
      <c r="J178" s="34" t="str">
        <f>IFERROR(INDEX('R5. ETP17 Summary'!$P$125:$X$141,MATCH($E178,'R5. ETP17 Summary'!$O$125:$O$141,0),MATCH(J$93,'R5. ETP17 Summary'!$P$9:$X$9,0)),"")</f>
        <v/>
      </c>
      <c r="K178" s="31">
        <f t="shared" si="15"/>
        <v>3.842187949608014</v>
      </c>
      <c r="L178" s="34">
        <f>IFERROR(INDEX('R5. ETP17 Summary'!$P$125:$X$141,MATCH($E178,'R5. ETP17 Summary'!$O$125:$O$141,0),MATCH(L$93,'R5. ETP17 Summary'!$P$9:$X$9,0)),"")</f>
        <v>7.0440112409480253</v>
      </c>
      <c r="M178" s="34">
        <f>IFERROR(INDEX('R5. ETP17 Summary'!$P$125:$X$141,MATCH($E178,'R5. ETP17 Summary'!$O$125:$O$141,0),MATCH(M$93,'R5. ETP17 Summary'!$P$9:$X$9,0)),"")</f>
        <v>55.976613249511949</v>
      </c>
      <c r="N178" s="34">
        <f>IFERROR(INDEX('R5. ETP17 Summary'!$P$125:$X$141,MATCH($E178,'R5. ETP17 Summary'!$O$125:$O$141,0),MATCH(N$93,'R5. ETP17 Summary'!$P$9:$X$9,0)),"")</f>
        <v>163.5409151169404</v>
      </c>
      <c r="O178" s="34">
        <f>IFERROR(INDEX('R5. ETP17 Summary'!$P$125:$X$141,MATCH($E178,'R5. ETP17 Summary'!$O$125:$O$141,0),MATCH(O$93,'R5. ETP17 Summary'!$P$9:$X$9,0)),"")</f>
        <v>278.14886136277369</v>
      </c>
      <c r="P178" s="34">
        <f>IFERROR(INDEX('R5. ETP17 Summary'!$P$125:$X$141,MATCH($E178,'R5. ETP17 Summary'!$O$125:$O$141,0),MATCH(P$93,'R5. ETP17 Summary'!$P$9:$X$9,0)),"")</f>
        <v>348.46479113832004</v>
      </c>
      <c r="Q178" s="34">
        <f>IFERROR(INDEX('R5. ETP17 Summary'!$P$125:$X$141,MATCH($E178,'R5. ETP17 Summary'!$O$125:$O$141,0),MATCH(Q$93,'R5. ETP17 Summary'!$P$9:$X$9,0)),"")</f>
        <v>350.13302464874249</v>
      </c>
      <c r="R178" s="34">
        <f>IFERROR(INDEX('R5. ETP17 Summary'!$P$125:$X$141,MATCH($E178,'R5. ETP17 Summary'!$O$125:$O$141,0),MATCH(R$93,'R5. ETP17 Summary'!$P$9:$X$9,0)),"")</f>
        <v>315.92104422180819</v>
      </c>
      <c r="S178" s="34">
        <f>IFERROR(INDEX('R5. ETP17 Summary'!$P$125:$X$141,MATCH($E178,'R5. ETP17 Summary'!$O$125:$O$141,0),MATCH(S$93,'R5. ETP17 Summary'!$P$9:$X$9,0)),"")</f>
        <v>314.0123837827785</v>
      </c>
    </row>
    <row r="179" spans="1:19" x14ac:dyDescent="0.3">
      <c r="A179" s="3" t="s">
        <v>496</v>
      </c>
      <c r="B179" s="3" t="s">
        <v>382</v>
      </c>
      <c r="C179" s="3" t="str">
        <f>INDEX('R1. Scenario specifications'!$C$11:$C$59,MATCH($B179,'R1. Scenario specifications'!$A$11:$A$59,0))</f>
        <v>2 Degrees Scenario, Energy Technology Perspectives 2017</v>
      </c>
      <c r="D179" s="3" t="s">
        <v>255</v>
      </c>
      <c r="E179" s="3" t="s">
        <v>510</v>
      </c>
      <c r="F179" s="3" t="s">
        <v>501</v>
      </c>
      <c r="G179" s="34">
        <f>IFERROR(INDEX('R5. ETP17 Summary'!$P$125:$X$141,MATCH($E179,'R5. ETP17 Summary'!$O$125:$O$141,0),MATCH(G$93,'R5. ETP17 Summary'!$P$9:$X$9,0)),"")</f>
        <v>1638.6833129472773</v>
      </c>
      <c r="H179" s="34" t="str">
        <f>IFERROR(INDEX('R5. ETP17 Summary'!$P$125:$X$141,MATCH($E179,'R5. ETP17 Summary'!$O$125:$O$141,0),MATCH(H$93,'R5. ETP17 Summary'!$P$9:$X$9,0)),"")</f>
        <v/>
      </c>
      <c r="I179" s="34" t="str">
        <f>IFERROR(INDEX('R5. ETP17 Summary'!$P$125:$X$141,MATCH($E179,'R5. ETP17 Summary'!$O$125:$O$141,0),MATCH(I$93,'R5. ETP17 Summary'!$P$9:$X$9,0)),"")</f>
        <v/>
      </c>
      <c r="J179" s="34" t="str">
        <f>IFERROR(INDEX('R5. ETP17 Summary'!$P$125:$X$141,MATCH($E179,'R5. ETP17 Summary'!$O$125:$O$141,0),MATCH(J$93,'R5. ETP17 Summary'!$P$9:$X$9,0)),"")</f>
        <v/>
      </c>
      <c r="K179" s="31">
        <f t="shared" si="15"/>
        <v>1804.7525548913925</v>
      </c>
      <c r="L179" s="34">
        <f>IFERROR(INDEX('R5. ETP17 Summary'!$P$125:$X$141,MATCH($E179,'R5. ETP17 Summary'!$O$125:$O$141,0),MATCH(L$93,'R5. ETP17 Summary'!$P$9:$X$9,0)),"")</f>
        <v>1943.1435898448219</v>
      </c>
      <c r="M179" s="34">
        <f>IFERROR(INDEX('R5. ETP17 Summary'!$P$125:$X$141,MATCH($E179,'R5. ETP17 Summary'!$O$125:$O$141,0),MATCH(M$93,'R5. ETP17 Summary'!$P$9:$X$9,0)),"")</f>
        <v>1972.9730620222667</v>
      </c>
      <c r="N179" s="34">
        <f>IFERROR(INDEX('R5. ETP17 Summary'!$P$125:$X$141,MATCH($E179,'R5. ETP17 Summary'!$O$125:$O$141,0),MATCH(N$93,'R5. ETP17 Summary'!$P$9:$X$9,0)),"")</f>
        <v>1947.1174037301369</v>
      </c>
      <c r="O179" s="34">
        <f>IFERROR(INDEX('R5. ETP17 Summary'!$P$125:$X$141,MATCH($E179,'R5. ETP17 Summary'!$O$125:$O$141,0),MATCH(O$93,'R5. ETP17 Summary'!$P$9:$X$9,0)),"")</f>
        <v>1974.8002000885078</v>
      </c>
      <c r="P179" s="34">
        <f>IFERROR(INDEX('R5. ETP17 Summary'!$P$125:$X$141,MATCH($E179,'R5. ETP17 Summary'!$O$125:$O$141,0),MATCH(P$93,'R5. ETP17 Summary'!$P$9:$X$9,0)),"")</f>
        <v>2175.9754826987551</v>
      </c>
      <c r="Q179" s="34">
        <f>IFERROR(INDEX('R5. ETP17 Summary'!$P$125:$X$141,MATCH($E179,'R5. ETP17 Summary'!$O$125:$O$141,0),MATCH(Q$93,'R5. ETP17 Summary'!$P$9:$X$9,0)),"")</f>
        <v>2110.7678719439305</v>
      </c>
      <c r="R179" s="34">
        <f>IFERROR(INDEX('R5. ETP17 Summary'!$P$125:$X$141,MATCH($E179,'R5. ETP17 Summary'!$O$125:$O$141,0),MATCH(R$93,'R5. ETP17 Summary'!$P$9:$X$9,0)),"")</f>
        <v>2108.0592219257819</v>
      </c>
      <c r="S179" s="34">
        <f>IFERROR(INDEX('R5. ETP17 Summary'!$P$125:$X$141,MATCH($E179,'R5. ETP17 Summary'!$O$125:$O$141,0),MATCH(S$93,'R5. ETP17 Summary'!$P$9:$X$9,0)),"")</f>
        <v>1899.2885804880354</v>
      </c>
    </row>
    <row r="180" spans="1:19" x14ac:dyDescent="0.3">
      <c r="A180" s="3" t="s">
        <v>496</v>
      </c>
      <c r="B180" s="3" t="s">
        <v>382</v>
      </c>
      <c r="C180" s="3" t="str">
        <f>INDEX('R1. Scenario specifications'!$C$11:$C$59,MATCH($B180,'R1. Scenario specifications'!$A$11:$A$59,0))</f>
        <v>2 Degrees Scenario, Energy Technology Perspectives 2017</v>
      </c>
      <c r="D180" s="3" t="s">
        <v>255</v>
      </c>
      <c r="E180" s="3" t="s">
        <v>511</v>
      </c>
      <c r="F180" s="3" t="s">
        <v>501</v>
      </c>
      <c r="G180" s="34">
        <f>IFERROR(INDEX('R5. ETP17 Summary'!$P$125:$X$141,MATCH($E180,'R5. ETP17 Summary'!$O$125:$O$141,0),MATCH(G$93,'R5. ETP17 Summary'!$P$9:$X$9,0)),"")</f>
        <v>0</v>
      </c>
      <c r="H180" s="34" t="str">
        <f>IFERROR(INDEX('R5. ETP17 Summary'!$P$125:$X$141,MATCH($E180,'R5. ETP17 Summary'!$O$125:$O$141,0),MATCH(H$93,'R5. ETP17 Summary'!$P$9:$X$9,0)),"")</f>
        <v/>
      </c>
      <c r="I180" s="34" t="str">
        <f>IFERROR(INDEX('R5. ETP17 Summary'!$P$125:$X$141,MATCH($E180,'R5. ETP17 Summary'!$O$125:$O$141,0),MATCH(I$93,'R5. ETP17 Summary'!$P$9:$X$9,0)),"")</f>
        <v/>
      </c>
      <c r="J180" s="34" t="str">
        <f>IFERROR(INDEX('R5. ETP17 Summary'!$P$125:$X$141,MATCH($E180,'R5. ETP17 Summary'!$O$125:$O$141,0),MATCH(J$93,'R5. ETP17 Summary'!$P$9:$X$9,0)),"")</f>
        <v/>
      </c>
      <c r="K180" s="31">
        <f t="shared" si="15"/>
        <v>0.35285101108957678</v>
      </c>
      <c r="L180" s="34">
        <f>IFERROR(INDEX('R5. ETP17 Summary'!$P$125:$X$141,MATCH($E180,'R5. ETP17 Summary'!$O$125:$O$141,0),MATCH(L$93,'R5. ETP17 Summary'!$P$9:$X$9,0)),"")</f>
        <v>0.64689352033089076</v>
      </c>
      <c r="M180" s="34">
        <f>IFERROR(INDEX('R5. ETP17 Summary'!$P$125:$X$141,MATCH($E180,'R5. ETP17 Summary'!$O$125:$O$141,0),MATCH(M$93,'R5. ETP17 Summary'!$P$9:$X$9,0)),"")</f>
        <v>16.270766008719541</v>
      </c>
      <c r="N180" s="34">
        <f>IFERROR(INDEX('R5. ETP17 Summary'!$P$125:$X$141,MATCH($E180,'R5. ETP17 Summary'!$O$125:$O$141,0),MATCH(N$93,'R5. ETP17 Summary'!$P$9:$X$9,0)),"")</f>
        <v>67.361580150247207</v>
      </c>
      <c r="O180" s="34">
        <f>IFERROR(INDEX('R5. ETP17 Summary'!$P$125:$X$141,MATCH($E180,'R5. ETP17 Summary'!$O$125:$O$141,0),MATCH(O$93,'R5. ETP17 Summary'!$P$9:$X$9,0)),"")</f>
        <v>110.85095769209101</v>
      </c>
      <c r="P180" s="34">
        <f>IFERROR(INDEX('R5. ETP17 Summary'!$P$125:$X$141,MATCH($E180,'R5. ETP17 Summary'!$O$125:$O$141,0),MATCH(P$93,'R5. ETP17 Summary'!$P$9:$X$9,0)),"")</f>
        <v>188.77559255709278</v>
      </c>
      <c r="Q180" s="34">
        <f>IFERROR(INDEX('R5. ETP17 Summary'!$P$125:$X$141,MATCH($E180,'R5. ETP17 Summary'!$O$125:$O$141,0),MATCH(Q$93,'R5. ETP17 Summary'!$P$9:$X$9,0)),"")</f>
        <v>235.26360672693929</v>
      </c>
      <c r="R180" s="34">
        <f>IFERROR(INDEX('R5. ETP17 Summary'!$P$125:$X$141,MATCH($E180,'R5. ETP17 Summary'!$O$125:$O$141,0),MATCH(R$93,'R5. ETP17 Summary'!$P$9:$X$9,0)),"")</f>
        <v>299.18270189964113</v>
      </c>
      <c r="S180" s="34">
        <f>IFERROR(INDEX('R5. ETP17 Summary'!$P$125:$X$141,MATCH($E180,'R5. ETP17 Summary'!$O$125:$O$141,0),MATCH(S$93,'R5. ETP17 Summary'!$P$9:$X$9,0)),"")</f>
        <v>322.13177718477283</v>
      </c>
    </row>
    <row r="181" spans="1:19" x14ac:dyDescent="0.3">
      <c r="A181" s="3" t="s">
        <v>496</v>
      </c>
      <c r="B181" s="3" t="s">
        <v>382</v>
      </c>
      <c r="C181" s="3" t="str">
        <f>INDEX('R1. Scenario specifications'!$C$11:$C$59,MATCH($B181,'R1. Scenario specifications'!$A$11:$A$59,0))</f>
        <v>2 Degrees Scenario, Energy Technology Perspectives 2017</v>
      </c>
      <c r="D181" s="3" t="s">
        <v>257</v>
      </c>
      <c r="E181" s="3" t="s">
        <v>257</v>
      </c>
      <c r="F181" s="3" t="s">
        <v>501</v>
      </c>
      <c r="G181" s="34">
        <f>IFERROR(INDEX('R5. ETP17 Summary'!$P$125:$X$141,MATCH($E181,'R5. ETP17 Summary'!$O$125:$O$141,0),MATCH(G$93,'R5. ETP17 Summary'!$P$9:$X$9,0)),"")</f>
        <v>398.27599999996119</v>
      </c>
      <c r="H181" s="34" t="str">
        <f>IFERROR(INDEX('R5. ETP17 Summary'!$P$125:$X$141,MATCH($E181,'R5. ETP17 Summary'!$O$125:$O$141,0),MATCH(H$93,'R5. ETP17 Summary'!$P$9:$X$9,0)),"")</f>
        <v/>
      </c>
      <c r="I181" s="34" t="str">
        <f>IFERROR(INDEX('R5. ETP17 Summary'!$P$125:$X$141,MATCH($E181,'R5. ETP17 Summary'!$O$125:$O$141,0),MATCH(I$93,'R5. ETP17 Summary'!$P$9:$X$9,0)),"")</f>
        <v/>
      </c>
      <c r="J181" s="34" t="str">
        <f>IFERROR(INDEX('R5. ETP17 Summary'!$P$125:$X$141,MATCH($E181,'R5. ETP17 Summary'!$O$125:$O$141,0),MATCH(J$93,'R5. ETP17 Summary'!$P$9:$X$9,0)),"")</f>
        <v/>
      </c>
      <c r="K181" s="31">
        <f t="shared" si="15"/>
        <v>469.77176947019353</v>
      </c>
      <c r="L181" s="34">
        <f>IFERROR(INDEX('R5. ETP17 Summary'!$P$125:$X$141,MATCH($E181,'R5. ETP17 Summary'!$O$125:$O$141,0),MATCH(L$93,'R5. ETP17 Summary'!$P$9:$X$9,0)),"")</f>
        <v>529.35157736205383</v>
      </c>
      <c r="M181" s="34">
        <f>IFERROR(INDEX('R5. ETP17 Summary'!$P$125:$X$141,MATCH($E181,'R5. ETP17 Summary'!$O$125:$O$141,0),MATCH(M$93,'R5. ETP17 Summary'!$P$9:$X$9,0)),"")</f>
        <v>651.24257981095093</v>
      </c>
      <c r="N181" s="34">
        <f>IFERROR(INDEX('R5. ETP17 Summary'!$P$125:$X$141,MATCH($E181,'R5. ETP17 Summary'!$O$125:$O$141,0),MATCH(N$93,'R5. ETP17 Summary'!$P$9:$X$9,0)),"")</f>
        <v>743.45346476687553</v>
      </c>
      <c r="O181" s="34">
        <f>IFERROR(INDEX('R5. ETP17 Summary'!$P$125:$X$141,MATCH($E181,'R5. ETP17 Summary'!$O$125:$O$141,0),MATCH(O$93,'R5. ETP17 Summary'!$P$9:$X$9,0)),"")</f>
        <v>834.85458446385337</v>
      </c>
      <c r="P181" s="34">
        <f>IFERROR(INDEX('R5. ETP17 Summary'!$P$125:$X$141,MATCH($E181,'R5. ETP17 Summary'!$O$125:$O$141,0),MATCH(P$93,'R5. ETP17 Summary'!$P$9:$X$9,0)),"")</f>
        <v>904.44428755557931</v>
      </c>
      <c r="Q181" s="34">
        <f>IFERROR(INDEX('R5. ETP17 Summary'!$P$125:$X$141,MATCH($E181,'R5. ETP17 Summary'!$O$125:$O$141,0),MATCH(Q$93,'R5. ETP17 Summary'!$P$9:$X$9,0)),"")</f>
        <v>948.04174812275699</v>
      </c>
      <c r="R181" s="34">
        <f>IFERROR(INDEX('R5. ETP17 Summary'!$P$125:$X$141,MATCH($E181,'R5. ETP17 Summary'!$O$125:$O$141,0),MATCH(R$93,'R5. ETP17 Summary'!$P$9:$X$9,0)),"")</f>
        <v>991.89918827717543</v>
      </c>
      <c r="S181" s="34">
        <f>IFERROR(INDEX('R5. ETP17 Summary'!$P$125:$X$141,MATCH($E181,'R5. ETP17 Summary'!$O$125:$O$141,0),MATCH(S$93,'R5. ETP17 Summary'!$P$9:$X$9,0)),"")</f>
        <v>1022.0356553110953</v>
      </c>
    </row>
    <row r="182" spans="1:19" x14ac:dyDescent="0.3">
      <c r="A182" s="3" t="s">
        <v>496</v>
      </c>
      <c r="B182" s="3" t="s">
        <v>382</v>
      </c>
      <c r="C182" s="3" t="str">
        <f>INDEX('R1. Scenario specifications'!$C$11:$C$59,MATCH($B182,'R1. Scenario specifications'!$A$11:$A$59,0))</f>
        <v>2 Degrees Scenario, Energy Technology Perspectives 2017</v>
      </c>
      <c r="D182" s="3" t="s">
        <v>253</v>
      </c>
      <c r="E182" s="3" t="s">
        <v>512</v>
      </c>
      <c r="F182" s="3" t="s">
        <v>501</v>
      </c>
      <c r="G182" s="34">
        <f>IFERROR(INDEX('R5. ETP17 Summary'!$P$125:$X$141,MATCH($E182,'R5. ETP17 Summary'!$O$125:$O$141,0),MATCH(G$93,'R5. ETP17 Summary'!$P$9:$X$9,0)),"")</f>
        <v>130.90315065412221</v>
      </c>
      <c r="H182" s="34" t="str">
        <f>IFERROR(INDEX('R5. ETP17 Summary'!$P$125:$X$141,MATCH($E182,'R5. ETP17 Summary'!$O$125:$O$141,0),MATCH(H$93,'R5. ETP17 Summary'!$P$9:$X$9,0)),"")</f>
        <v/>
      </c>
      <c r="I182" s="34" t="str">
        <f>IFERROR(INDEX('R5. ETP17 Summary'!$P$125:$X$141,MATCH($E182,'R5. ETP17 Summary'!$O$125:$O$141,0),MATCH(I$93,'R5. ETP17 Summary'!$P$9:$X$9,0)),"")</f>
        <v/>
      </c>
      <c r="J182" s="34" t="str">
        <f>IFERROR(INDEX('R5. ETP17 Summary'!$P$125:$X$141,MATCH($E182,'R5. ETP17 Summary'!$O$125:$O$141,0),MATCH(J$93,'R5. ETP17 Summary'!$P$9:$X$9,0)),"")</f>
        <v/>
      </c>
      <c r="K182" s="31">
        <f t="shared" si="15"/>
        <v>218.24431983018152</v>
      </c>
      <c r="L182" s="34">
        <f>IFERROR(INDEX('R5. ETP17 Summary'!$P$125:$X$141,MATCH($E182,'R5. ETP17 Summary'!$O$125:$O$141,0),MATCH(L$93,'R5. ETP17 Summary'!$P$9:$X$9,0)),"")</f>
        <v>291.02862747689761</v>
      </c>
      <c r="M182" s="34">
        <f>IFERROR(INDEX('R5. ETP17 Summary'!$P$125:$X$141,MATCH($E182,'R5. ETP17 Summary'!$O$125:$O$141,0),MATCH(M$93,'R5. ETP17 Summary'!$P$9:$X$9,0)),"")</f>
        <v>372.93919740679678</v>
      </c>
      <c r="N182" s="34">
        <f>IFERROR(INDEX('R5. ETP17 Summary'!$P$125:$X$141,MATCH($E182,'R5. ETP17 Summary'!$O$125:$O$141,0),MATCH(N$93,'R5. ETP17 Summary'!$P$9:$X$9,0)),"")</f>
        <v>463.45110944066749</v>
      </c>
      <c r="O182" s="34">
        <f>IFERROR(INDEX('R5. ETP17 Summary'!$P$125:$X$141,MATCH($E182,'R5. ETP17 Summary'!$O$125:$O$141,0),MATCH(O$93,'R5. ETP17 Summary'!$P$9:$X$9,0)),"")</f>
        <v>524.56333277256385</v>
      </c>
      <c r="P182" s="34">
        <f>IFERROR(INDEX('R5. ETP17 Summary'!$P$125:$X$141,MATCH($E182,'R5. ETP17 Summary'!$O$125:$O$141,0),MATCH(P$93,'R5. ETP17 Summary'!$P$9:$X$9,0)),"")</f>
        <v>623.03315504757234</v>
      </c>
      <c r="Q182" s="34">
        <f>IFERROR(INDEX('R5. ETP17 Summary'!$P$125:$X$141,MATCH($E182,'R5. ETP17 Summary'!$O$125:$O$141,0),MATCH(Q$93,'R5. ETP17 Summary'!$P$9:$X$9,0)),"")</f>
        <v>708.40099506490708</v>
      </c>
      <c r="R182" s="34">
        <f>IFERROR(INDEX('R5. ETP17 Summary'!$P$125:$X$141,MATCH($E182,'R5. ETP17 Summary'!$O$125:$O$141,0),MATCH(R$93,'R5. ETP17 Summary'!$P$9:$X$9,0)),"")</f>
        <v>779.02219916530578</v>
      </c>
      <c r="S182" s="34">
        <f>IFERROR(INDEX('R5. ETP17 Summary'!$P$125:$X$141,MATCH($E182,'R5. ETP17 Summary'!$O$125:$O$141,0),MATCH(S$93,'R5. ETP17 Summary'!$P$9:$X$9,0)),"")</f>
        <v>857.92090651217359</v>
      </c>
    </row>
    <row r="183" spans="1:19" x14ac:dyDescent="0.3">
      <c r="A183" s="3" t="s">
        <v>496</v>
      </c>
      <c r="B183" s="3" t="s">
        <v>382</v>
      </c>
      <c r="C183" s="3" t="str">
        <f>INDEX('R1. Scenario specifications'!$C$11:$C$59,MATCH($B183,'R1. Scenario specifications'!$A$11:$A$59,0))</f>
        <v>2 Degrees Scenario, Energy Technology Perspectives 2017</v>
      </c>
      <c r="D183" s="3" t="s">
        <v>253</v>
      </c>
      <c r="E183" s="3" t="s">
        <v>513</v>
      </c>
      <c r="F183" s="3" t="s">
        <v>501</v>
      </c>
      <c r="G183" s="34">
        <f>IFERROR(INDEX('R5. ETP17 Summary'!$P$125:$X$141,MATCH($E183,'R5. ETP17 Summary'!$O$125:$O$141,0),MATCH(G$93,'R5. ETP17 Summary'!$P$9:$X$9,0)),"")</f>
        <v>0</v>
      </c>
      <c r="H183" s="34" t="str">
        <f>IFERROR(INDEX('R5. ETP17 Summary'!$P$125:$X$141,MATCH($E183,'R5. ETP17 Summary'!$O$125:$O$141,0),MATCH(H$93,'R5. ETP17 Summary'!$P$9:$X$9,0)),"")</f>
        <v/>
      </c>
      <c r="I183" s="34" t="str">
        <f>IFERROR(INDEX('R5. ETP17 Summary'!$P$125:$X$141,MATCH($E183,'R5. ETP17 Summary'!$O$125:$O$141,0),MATCH(I$93,'R5. ETP17 Summary'!$P$9:$X$9,0)),"")</f>
        <v/>
      </c>
      <c r="J183" s="34" t="str">
        <f>IFERROR(INDEX('R5. ETP17 Summary'!$P$125:$X$141,MATCH($E183,'R5. ETP17 Summary'!$O$125:$O$141,0),MATCH(J$93,'R5. ETP17 Summary'!$P$9:$X$9,0)),"")</f>
        <v/>
      </c>
      <c r="K183" s="31">
        <f t="shared" si="15"/>
        <v>0.27578102998075149</v>
      </c>
      <c r="L183" s="34">
        <f>IFERROR(INDEX('R5. ETP17 Summary'!$P$125:$X$141,MATCH($E183,'R5. ETP17 Summary'!$O$125:$O$141,0),MATCH(L$93,'R5. ETP17 Summary'!$P$9:$X$9,0)),"")</f>
        <v>0.50559855496471107</v>
      </c>
      <c r="M183" s="34">
        <f>IFERROR(INDEX('R5. ETP17 Summary'!$P$125:$X$141,MATCH($E183,'R5. ETP17 Summary'!$O$125:$O$141,0),MATCH(M$93,'R5. ETP17 Summary'!$P$9:$X$9,0)),"")</f>
        <v>2.7012709859458433</v>
      </c>
      <c r="N183" s="34">
        <f>IFERROR(INDEX('R5. ETP17 Summary'!$P$125:$X$141,MATCH($E183,'R5. ETP17 Summary'!$O$125:$O$141,0),MATCH(N$93,'R5. ETP17 Summary'!$P$9:$X$9,0)),"")</f>
        <v>10.692899663882876</v>
      </c>
      <c r="O183" s="34">
        <f>IFERROR(INDEX('R5. ETP17 Summary'!$P$125:$X$141,MATCH($E183,'R5. ETP17 Summary'!$O$125:$O$141,0),MATCH(O$93,'R5. ETP17 Summary'!$P$9:$X$9,0)),"")</f>
        <v>24.287679860897988</v>
      </c>
      <c r="P183" s="34">
        <f>IFERROR(INDEX('R5. ETP17 Summary'!$P$125:$X$141,MATCH($E183,'R5. ETP17 Summary'!$O$125:$O$141,0),MATCH(P$93,'R5. ETP17 Summary'!$P$9:$X$9,0)),"")</f>
        <v>42.70063187125001</v>
      </c>
      <c r="Q183" s="34">
        <f>IFERROR(INDEX('R5. ETP17 Summary'!$P$125:$X$141,MATCH($E183,'R5. ETP17 Summary'!$O$125:$O$141,0),MATCH(Q$93,'R5. ETP17 Summary'!$P$9:$X$9,0)),"")</f>
        <v>62.861040522934303</v>
      </c>
      <c r="R183" s="34">
        <f>IFERROR(INDEX('R5. ETP17 Summary'!$P$125:$X$141,MATCH($E183,'R5. ETP17 Summary'!$O$125:$O$141,0),MATCH(R$93,'R5. ETP17 Summary'!$P$9:$X$9,0)),"")</f>
        <v>94.392029467788333</v>
      </c>
      <c r="S183" s="34">
        <f>IFERROR(INDEX('R5. ETP17 Summary'!$P$125:$X$141,MATCH($E183,'R5. ETP17 Summary'!$O$125:$O$141,0),MATCH(S$93,'R5. ETP17 Summary'!$P$9:$X$9,0)),"")</f>
        <v>141.7085594579618</v>
      </c>
    </row>
    <row r="184" spans="1:19" x14ac:dyDescent="0.3">
      <c r="A184" s="3" t="s">
        <v>496</v>
      </c>
      <c r="B184" s="3" t="s">
        <v>382</v>
      </c>
      <c r="C184" s="3" t="str">
        <f>INDEX('R1. Scenario specifications'!$C$11:$C$59,MATCH($B184,'R1. Scenario specifications'!$A$11:$A$59,0))</f>
        <v>2 Degrees Scenario, Energy Technology Perspectives 2017</v>
      </c>
      <c r="D184" s="3" t="s">
        <v>256</v>
      </c>
      <c r="E184" s="3" t="s">
        <v>514</v>
      </c>
      <c r="F184" s="3" t="s">
        <v>501</v>
      </c>
      <c r="G184" s="34">
        <f>IFERROR(INDEX('R5. ETP17 Summary'!$P$125:$X$141,MATCH($E184,'R5. ETP17 Summary'!$O$125:$O$141,0),MATCH(G$93,'R5. ETP17 Summary'!$P$9:$X$9,0)),"")</f>
        <v>1044.0240328563759</v>
      </c>
      <c r="H184" s="34" t="str">
        <f>IFERROR(INDEX('R5. ETP17 Summary'!$P$125:$X$141,MATCH($E184,'R5. ETP17 Summary'!$O$125:$O$141,0),MATCH(H$93,'R5. ETP17 Summary'!$P$9:$X$9,0)),"")</f>
        <v/>
      </c>
      <c r="I184" s="34" t="str">
        <f>IFERROR(INDEX('R5. ETP17 Summary'!$P$125:$X$141,MATCH($E184,'R5. ETP17 Summary'!$O$125:$O$141,0),MATCH(I$93,'R5. ETP17 Summary'!$P$9:$X$9,0)),"")</f>
        <v/>
      </c>
      <c r="J184" s="34" t="str">
        <f>IFERROR(INDEX('R5. ETP17 Summary'!$P$125:$X$141,MATCH($E184,'R5. ETP17 Summary'!$O$125:$O$141,0),MATCH(J$93,'R5. ETP17 Summary'!$P$9:$X$9,0)),"")</f>
        <v/>
      </c>
      <c r="K184" s="31">
        <f t="shared" si="15"/>
        <v>1245.0191081520225</v>
      </c>
      <c r="L184" s="34">
        <f>IFERROR(INDEX('R5. ETP17 Summary'!$P$125:$X$141,MATCH($E184,'R5. ETP17 Summary'!$O$125:$O$141,0),MATCH(L$93,'R5. ETP17 Summary'!$P$9:$X$9,0)),"")</f>
        <v>1412.515004231728</v>
      </c>
      <c r="M184" s="34">
        <f>IFERROR(INDEX('R5. ETP17 Summary'!$P$125:$X$141,MATCH($E184,'R5. ETP17 Summary'!$O$125:$O$141,0),MATCH(M$93,'R5. ETP17 Summary'!$P$9:$X$9,0)),"")</f>
        <v>1570.3106890607328</v>
      </c>
      <c r="N184" s="34">
        <f>IFERROR(INDEX('R5. ETP17 Summary'!$P$125:$X$141,MATCH($E184,'R5. ETP17 Summary'!$O$125:$O$141,0),MATCH(N$93,'R5. ETP17 Summary'!$P$9:$X$9,0)),"")</f>
        <v>1675.2095666888988</v>
      </c>
      <c r="O184" s="34">
        <f>IFERROR(INDEX('R5. ETP17 Summary'!$P$125:$X$141,MATCH($E184,'R5. ETP17 Summary'!$O$125:$O$141,0),MATCH(O$93,'R5. ETP17 Summary'!$P$9:$X$9,0)),"")</f>
        <v>1830.7076654768266</v>
      </c>
      <c r="P184" s="34">
        <f>IFERROR(INDEX('R5. ETP17 Summary'!$P$125:$X$141,MATCH($E184,'R5. ETP17 Summary'!$O$125:$O$141,0),MATCH(P$93,'R5. ETP17 Summary'!$P$9:$X$9,0)),"")</f>
        <v>1991.4642025665044</v>
      </c>
      <c r="Q184" s="34">
        <f>IFERROR(INDEX('R5. ETP17 Summary'!$P$125:$X$141,MATCH($E184,'R5. ETP17 Summary'!$O$125:$O$141,0),MATCH(Q$93,'R5. ETP17 Summary'!$P$9:$X$9,0)),"")</f>
        <v>2102.6546178695376</v>
      </c>
      <c r="R184" s="34">
        <f>IFERROR(INDEX('R5. ETP17 Summary'!$P$125:$X$141,MATCH($E184,'R5. ETP17 Summary'!$O$125:$O$141,0),MATCH(R$93,'R5. ETP17 Summary'!$P$9:$X$9,0)),"")</f>
        <v>2224.8985736499644</v>
      </c>
      <c r="S184" s="34">
        <f>IFERROR(INDEX('R5. ETP17 Summary'!$P$125:$X$141,MATCH($E184,'R5. ETP17 Summary'!$O$125:$O$141,0),MATCH(S$93,'R5. ETP17 Summary'!$P$9:$X$9,0)),"")</f>
        <v>2386.2204374902353</v>
      </c>
    </row>
    <row r="185" spans="1:19" x14ac:dyDescent="0.3">
      <c r="A185" s="3" t="s">
        <v>496</v>
      </c>
      <c r="B185" s="3" t="s">
        <v>382</v>
      </c>
      <c r="C185" s="3" t="str">
        <f>INDEX('R1. Scenario specifications'!$C$11:$C$59,MATCH($B185,'R1. Scenario specifications'!$A$11:$A$59,0))</f>
        <v>2 Degrees Scenario, Energy Technology Perspectives 2017</v>
      </c>
      <c r="D185" s="3" t="s">
        <v>258</v>
      </c>
      <c r="E185" s="3" t="s">
        <v>506</v>
      </c>
      <c r="F185" s="3" t="s">
        <v>501</v>
      </c>
      <c r="G185" s="34">
        <f>IFERROR(INDEX('R5. ETP17 Summary'!$P$125:$X$141,MATCH($E185,'R5. ETP17 Summary'!$O$125:$O$141,0),MATCH(G$93,'R5. ETP17 Summary'!$P$9:$X$9,0)),"")</f>
        <v>12.308314743538201</v>
      </c>
      <c r="H185" s="34" t="str">
        <f>IFERROR(INDEX('R5. ETP17 Summary'!$P$125:$X$141,MATCH($E185,'R5. ETP17 Summary'!$O$125:$O$141,0),MATCH(H$93,'R5. ETP17 Summary'!$P$9:$X$9,0)),"")</f>
        <v/>
      </c>
      <c r="I185" s="34" t="str">
        <f>IFERROR(INDEX('R5. ETP17 Summary'!$P$125:$X$141,MATCH($E185,'R5. ETP17 Summary'!$O$125:$O$141,0),MATCH(I$93,'R5. ETP17 Summary'!$P$9:$X$9,0)),"")</f>
        <v/>
      </c>
      <c r="J185" s="34" t="str">
        <f>IFERROR(INDEX('R5. ETP17 Summary'!$P$125:$X$141,MATCH($E185,'R5. ETP17 Summary'!$O$125:$O$141,0),MATCH(J$93,'R5. ETP17 Summary'!$P$9:$X$9,0)),"")</f>
        <v/>
      </c>
      <c r="K185" s="31">
        <f t="shared" si="15"/>
        <v>23.011350301565557</v>
      </c>
      <c r="L185" s="34">
        <f>IFERROR(INDEX('R5. ETP17 Summary'!$P$125:$X$141,MATCH($E185,'R5. ETP17 Summary'!$O$125:$O$141,0),MATCH(L$93,'R5. ETP17 Summary'!$P$9:$X$9,0)),"")</f>
        <v>31.930546599921684</v>
      </c>
      <c r="M185" s="34">
        <f>IFERROR(INDEX('R5. ETP17 Summary'!$P$125:$X$141,MATCH($E185,'R5. ETP17 Summary'!$O$125:$O$141,0),MATCH(M$93,'R5. ETP17 Summary'!$P$9:$X$9,0)),"")</f>
        <v>47.289961257793742</v>
      </c>
      <c r="N185" s="34">
        <f>IFERROR(INDEX('R5. ETP17 Summary'!$P$125:$X$141,MATCH($E185,'R5. ETP17 Summary'!$O$125:$O$141,0),MATCH(N$93,'R5. ETP17 Summary'!$P$9:$X$9,0)),"")</f>
        <v>66.35190437292087</v>
      </c>
      <c r="O185" s="34">
        <f>IFERROR(INDEX('R5. ETP17 Summary'!$P$125:$X$141,MATCH($E185,'R5. ETP17 Summary'!$O$125:$O$141,0),MATCH(O$93,'R5. ETP17 Summary'!$P$9:$X$9,0)),"")</f>
        <v>85.752055062190493</v>
      </c>
      <c r="P185" s="34">
        <f>IFERROR(INDEX('R5. ETP17 Summary'!$P$125:$X$141,MATCH($E185,'R5. ETP17 Summary'!$O$125:$O$141,0),MATCH(P$93,'R5. ETP17 Summary'!$P$9:$X$9,0)),"")</f>
        <v>109.26982882676188</v>
      </c>
      <c r="Q185" s="34">
        <f>IFERROR(INDEX('R5. ETP17 Summary'!$P$125:$X$141,MATCH($E185,'R5. ETP17 Summary'!$O$125:$O$141,0),MATCH(Q$93,'R5. ETP17 Summary'!$P$9:$X$9,0)),"")</f>
        <v>131.13118165755546</v>
      </c>
      <c r="R185" s="34">
        <f>IFERROR(INDEX('R5. ETP17 Summary'!$P$125:$X$141,MATCH($E185,'R5. ETP17 Summary'!$O$125:$O$141,0),MATCH(R$93,'R5. ETP17 Summary'!$P$9:$X$9,0)),"")</f>
        <v>153.95923375988997</v>
      </c>
      <c r="S185" s="34">
        <f>IFERROR(INDEX('R5. ETP17 Summary'!$P$125:$X$141,MATCH($E185,'R5. ETP17 Summary'!$O$125:$O$141,0),MATCH(S$93,'R5. ETP17 Summary'!$P$9:$X$9,0)),"")</f>
        <v>212.16688443261779</v>
      </c>
    </row>
    <row r="186" spans="1:19" x14ac:dyDescent="0.3">
      <c r="A186" s="3" t="s">
        <v>496</v>
      </c>
      <c r="B186" s="3" t="s">
        <v>382</v>
      </c>
      <c r="C186" s="3" t="str">
        <f>INDEX('R1. Scenario specifications'!$C$11:$C$59,MATCH($B186,'R1. Scenario specifications'!$A$11:$A$59,0))</f>
        <v>2 Degrees Scenario, Energy Technology Perspectives 2017</v>
      </c>
      <c r="D186" s="3" t="s">
        <v>260</v>
      </c>
      <c r="E186" s="3" t="s">
        <v>515</v>
      </c>
      <c r="F186" s="3" t="s">
        <v>501</v>
      </c>
      <c r="G186" s="34">
        <f>IFERROR(INDEX('R5. ETP17 Summary'!$P$125:$X$141,MATCH($E186,'R5. ETP17 Summary'!$O$125:$O$141,0),MATCH(G$93,'R5. ETP17 Summary'!$P$9:$X$9,0)),"")</f>
        <v>340.80495537458751</v>
      </c>
      <c r="H186" s="34" t="str">
        <f>IFERROR(INDEX('R5. ETP17 Summary'!$P$125:$X$141,MATCH($E186,'R5. ETP17 Summary'!$O$125:$O$141,0),MATCH(H$93,'R5. ETP17 Summary'!$P$9:$X$9,0)),"")</f>
        <v/>
      </c>
      <c r="I186" s="34" t="str">
        <f>IFERROR(INDEX('R5. ETP17 Summary'!$P$125:$X$141,MATCH($E186,'R5. ETP17 Summary'!$O$125:$O$141,0),MATCH(I$93,'R5. ETP17 Summary'!$P$9:$X$9,0)),"")</f>
        <v/>
      </c>
      <c r="J186" s="34" t="str">
        <f>IFERROR(INDEX('R5. ETP17 Summary'!$P$125:$X$141,MATCH($E186,'R5. ETP17 Summary'!$O$125:$O$141,0),MATCH(J$93,'R5. ETP17 Summary'!$P$9:$X$9,0)),"")</f>
        <v/>
      </c>
      <c r="K186" s="31">
        <f t="shared" si="15"/>
        <v>762.57986031024916</v>
      </c>
      <c r="L186" s="34">
        <f>IFERROR(INDEX('R5. ETP17 Summary'!$P$125:$X$141,MATCH($E186,'R5. ETP17 Summary'!$O$125:$O$141,0),MATCH(L$93,'R5. ETP17 Summary'!$P$9:$X$9,0)),"")</f>
        <v>1114.0589477566341</v>
      </c>
      <c r="M186" s="34">
        <f>IFERROR(INDEX('R5. ETP17 Summary'!$P$125:$X$141,MATCH($E186,'R5. ETP17 Summary'!$O$125:$O$141,0),MATCH(M$93,'R5. ETP17 Summary'!$P$9:$X$9,0)),"")</f>
        <v>1713.5819584642406</v>
      </c>
      <c r="N186" s="34">
        <f>IFERROR(INDEX('R5. ETP17 Summary'!$P$125:$X$141,MATCH($E186,'R5. ETP17 Summary'!$O$125:$O$141,0),MATCH(N$93,'R5. ETP17 Summary'!$P$9:$X$9,0)),"")</f>
        <v>2141.9950801844279</v>
      </c>
      <c r="O186" s="34">
        <f>IFERROR(INDEX('R5. ETP17 Summary'!$P$125:$X$141,MATCH($E186,'R5. ETP17 Summary'!$O$125:$O$141,0),MATCH(O$93,'R5. ETP17 Summary'!$P$9:$X$9,0)),"")</f>
        <v>2405.6840095755579</v>
      </c>
      <c r="P186" s="34">
        <f>IFERROR(INDEX('R5. ETP17 Summary'!$P$125:$X$141,MATCH($E186,'R5. ETP17 Summary'!$O$125:$O$141,0),MATCH(P$93,'R5. ETP17 Summary'!$P$9:$X$9,0)),"")</f>
        <v>2590.4785439468246</v>
      </c>
      <c r="Q186" s="34">
        <f>IFERROR(INDEX('R5. ETP17 Summary'!$P$125:$X$141,MATCH($E186,'R5. ETP17 Summary'!$O$125:$O$141,0),MATCH(Q$93,'R5. ETP17 Summary'!$P$9:$X$9,0)),"")</f>
        <v>2869.6680710289061</v>
      </c>
      <c r="R186" s="34">
        <f>IFERROR(INDEX('R5. ETP17 Summary'!$P$125:$X$141,MATCH($E186,'R5. ETP17 Summary'!$O$125:$O$141,0),MATCH(R$93,'R5. ETP17 Summary'!$P$9:$X$9,0)),"")</f>
        <v>3101.3497369897</v>
      </c>
      <c r="S186" s="34">
        <f>IFERROR(INDEX('R5. ETP17 Summary'!$P$125:$X$141,MATCH($E186,'R5. ETP17 Summary'!$O$125:$O$141,0),MATCH(S$93,'R5. ETP17 Summary'!$P$9:$X$9,0)),"")</f>
        <v>3376.1890953475131</v>
      </c>
    </row>
    <row r="187" spans="1:19" x14ac:dyDescent="0.3">
      <c r="A187" s="3" t="s">
        <v>496</v>
      </c>
      <c r="B187" s="3" t="s">
        <v>382</v>
      </c>
      <c r="C187" s="3" t="str">
        <f>INDEX('R1. Scenario specifications'!$C$11:$C$59,MATCH($B187,'R1. Scenario specifications'!$A$11:$A$59,0))</f>
        <v>2 Degrees Scenario, Energy Technology Perspectives 2017</v>
      </c>
      <c r="D187" s="3" t="s">
        <v>260</v>
      </c>
      <c r="E187" s="3" t="s">
        <v>516</v>
      </c>
      <c r="F187" s="3" t="s">
        <v>501</v>
      </c>
      <c r="G187" s="34">
        <f>IFERROR(INDEX('R5. ETP17 Summary'!$P$125:$X$141,MATCH($E187,'R5. ETP17 Summary'!$O$125:$O$141,0),MATCH(G$93,'R5. ETP17 Summary'!$P$9:$X$9,0)),"")</f>
        <v>8.7631800000000002</v>
      </c>
      <c r="H187" s="34" t="str">
        <f>IFERROR(INDEX('R5. ETP17 Summary'!$P$125:$X$141,MATCH($E187,'R5. ETP17 Summary'!$O$125:$O$141,0),MATCH(H$93,'R5. ETP17 Summary'!$P$9:$X$9,0)),"")</f>
        <v/>
      </c>
      <c r="I187" s="34" t="str">
        <f>IFERROR(INDEX('R5. ETP17 Summary'!$P$125:$X$141,MATCH($E187,'R5. ETP17 Summary'!$O$125:$O$141,0),MATCH(I$93,'R5. ETP17 Summary'!$P$9:$X$9,0)),"")</f>
        <v/>
      </c>
      <c r="J187" s="34" t="str">
        <f>IFERROR(INDEX('R5. ETP17 Summary'!$P$125:$X$141,MATCH($E187,'R5. ETP17 Summary'!$O$125:$O$141,0),MATCH(J$93,'R5. ETP17 Summary'!$P$9:$X$9,0)),"")</f>
        <v/>
      </c>
      <c r="K187" s="31">
        <f t="shared" si="15"/>
        <v>38.070748056868219</v>
      </c>
      <c r="L187" s="34">
        <f>IFERROR(INDEX('R5. ETP17 Summary'!$P$125:$X$141,MATCH($E187,'R5. ETP17 Summary'!$O$125:$O$141,0),MATCH(L$93,'R5. ETP17 Summary'!$P$9:$X$9,0)),"")</f>
        <v>62.493721437591738</v>
      </c>
      <c r="M187" s="34">
        <f>IFERROR(INDEX('R5. ETP17 Summary'!$P$125:$X$141,MATCH($E187,'R5. ETP17 Summary'!$O$125:$O$141,0),MATCH(M$93,'R5. ETP17 Summary'!$P$9:$X$9,0)),"")</f>
        <v>125.93542769846947</v>
      </c>
      <c r="N187" s="34">
        <f>IFERROR(INDEX('R5. ETP17 Summary'!$P$125:$X$141,MATCH($E187,'R5. ETP17 Summary'!$O$125:$O$141,0),MATCH(N$93,'R5. ETP17 Summary'!$P$9:$X$9,0)),"")</f>
        <v>196.96275857885988</v>
      </c>
      <c r="O187" s="34">
        <f>IFERROR(INDEX('R5. ETP17 Summary'!$P$125:$X$141,MATCH($E187,'R5. ETP17 Summary'!$O$125:$O$141,0),MATCH(O$93,'R5. ETP17 Summary'!$P$9:$X$9,0)),"")</f>
        <v>265.74704141077598</v>
      </c>
      <c r="P187" s="34">
        <f>IFERROR(INDEX('R5. ETP17 Summary'!$P$125:$X$141,MATCH($E187,'R5. ETP17 Summary'!$O$125:$O$141,0),MATCH(P$93,'R5. ETP17 Summary'!$P$9:$X$9,0)),"")</f>
        <v>334.73413660879203</v>
      </c>
      <c r="Q187" s="34">
        <f>IFERROR(INDEX('R5. ETP17 Summary'!$P$125:$X$141,MATCH($E187,'R5. ETP17 Summary'!$O$125:$O$141,0),MATCH(Q$93,'R5. ETP17 Summary'!$P$9:$X$9,0)),"")</f>
        <v>410.26374743210852</v>
      </c>
      <c r="R187" s="34">
        <f>IFERROR(INDEX('R5. ETP17 Summary'!$P$125:$X$141,MATCH($E187,'R5. ETP17 Summary'!$O$125:$O$141,0),MATCH(R$93,'R5. ETP17 Summary'!$P$9:$X$9,0)),"")</f>
        <v>516.22055342635178</v>
      </c>
      <c r="S187" s="34">
        <f>IFERROR(INDEX('R5. ETP17 Summary'!$P$125:$X$141,MATCH($E187,'R5. ETP17 Summary'!$O$125:$O$141,0),MATCH(S$93,'R5. ETP17 Summary'!$P$9:$X$9,0)),"")</f>
        <v>655.51645740461538</v>
      </c>
    </row>
    <row r="188" spans="1:19" x14ac:dyDescent="0.3">
      <c r="A188" s="3" t="s">
        <v>496</v>
      </c>
      <c r="B188" s="3" t="s">
        <v>382</v>
      </c>
      <c r="C188" s="3" t="str">
        <f>INDEX('R1. Scenario specifications'!$C$11:$C$59,MATCH($B188,'R1. Scenario specifications'!$A$11:$A$59,0))</f>
        <v>2 Degrees Scenario, Energy Technology Perspectives 2017</v>
      </c>
      <c r="D188" s="3" t="s">
        <v>259</v>
      </c>
      <c r="E188" s="3" t="s">
        <v>504</v>
      </c>
      <c r="F188" s="3" t="s">
        <v>501</v>
      </c>
      <c r="G188" s="34">
        <f>IFERROR(INDEX('R5. ETP17 Summary'!$P$125:$X$141,MATCH($E188,'R5. ETP17 Summary'!$O$125:$O$141,0),MATCH(G$93,'R5. ETP17 Summary'!$P$9:$X$9,0)),"")</f>
        <v>177.99678700200658</v>
      </c>
      <c r="H188" s="34" t="str">
        <f>IFERROR(INDEX('R5. ETP17 Summary'!$P$125:$X$141,MATCH($E188,'R5. ETP17 Summary'!$O$125:$O$141,0),MATCH(H$93,'R5. ETP17 Summary'!$P$9:$X$9,0)),"")</f>
        <v/>
      </c>
      <c r="I188" s="34" t="str">
        <f>IFERROR(INDEX('R5. ETP17 Summary'!$P$125:$X$141,MATCH($E188,'R5. ETP17 Summary'!$O$125:$O$141,0),MATCH(I$93,'R5. ETP17 Summary'!$P$9:$X$9,0)),"")</f>
        <v/>
      </c>
      <c r="J188" s="34" t="str">
        <f>IFERROR(INDEX('R5. ETP17 Summary'!$P$125:$X$141,MATCH($E188,'R5. ETP17 Summary'!$O$125:$O$141,0),MATCH(J$93,'R5. ETP17 Summary'!$P$9:$X$9,0)),"")</f>
        <v/>
      </c>
      <c r="K188" s="31">
        <f t="shared" si="15"/>
        <v>563.68365504239853</v>
      </c>
      <c r="L188" s="34">
        <f>IFERROR(INDEX('R5. ETP17 Summary'!$P$125:$X$141,MATCH($E188,'R5. ETP17 Summary'!$O$125:$O$141,0),MATCH(L$93,'R5. ETP17 Summary'!$P$9:$X$9,0)),"")</f>
        <v>885.08937840939177</v>
      </c>
      <c r="M188" s="34">
        <f>IFERROR(INDEX('R5. ETP17 Summary'!$P$125:$X$141,MATCH($E188,'R5. ETP17 Summary'!$O$125:$O$141,0),MATCH(M$93,'R5. ETP17 Summary'!$P$9:$X$9,0)),"")</f>
        <v>1321.2585623252153</v>
      </c>
      <c r="N188" s="34">
        <f>IFERROR(INDEX('R5. ETP17 Summary'!$P$125:$X$141,MATCH($E188,'R5. ETP17 Summary'!$O$125:$O$141,0),MATCH(N$93,'R5. ETP17 Summary'!$P$9:$X$9,0)),"")</f>
        <v>1845.9939906377581</v>
      </c>
      <c r="O188" s="34">
        <f>IFERROR(INDEX('R5. ETP17 Summary'!$P$125:$X$141,MATCH($E188,'R5. ETP17 Summary'!$O$125:$O$141,0),MATCH(O$93,'R5. ETP17 Summary'!$P$9:$X$9,0)),"")</f>
        <v>2354.1603103872458</v>
      </c>
      <c r="P188" s="34">
        <f>IFERROR(INDEX('R5. ETP17 Summary'!$P$125:$X$141,MATCH($E188,'R5. ETP17 Summary'!$O$125:$O$141,0),MATCH(P$93,'R5. ETP17 Summary'!$P$9:$X$9,0)),"")</f>
        <v>3177.3833007482149</v>
      </c>
      <c r="Q188" s="34">
        <f>IFERROR(INDEX('R5. ETP17 Summary'!$P$125:$X$141,MATCH($E188,'R5. ETP17 Summary'!$O$125:$O$141,0),MATCH(Q$93,'R5. ETP17 Summary'!$P$9:$X$9,0)),"")</f>
        <v>4018.6728437742222</v>
      </c>
      <c r="R188" s="34">
        <f>IFERROR(INDEX('R5. ETP17 Summary'!$P$125:$X$141,MATCH($E188,'R5. ETP17 Summary'!$O$125:$O$141,0),MATCH(R$93,'R5. ETP17 Summary'!$P$9:$X$9,0)),"")</f>
        <v>5039.5520367419322</v>
      </c>
      <c r="S188" s="34">
        <f>IFERROR(INDEX('R5. ETP17 Summary'!$P$125:$X$141,MATCH($E188,'R5. ETP17 Summary'!$O$125:$O$141,0),MATCH(S$93,'R5. ETP17 Summary'!$P$9:$X$9,0)),"")</f>
        <v>6394.4322457247272</v>
      </c>
    </row>
    <row r="189" spans="1:19" x14ac:dyDescent="0.3">
      <c r="A189" s="3" t="s">
        <v>496</v>
      </c>
      <c r="B189" s="3" t="s">
        <v>382</v>
      </c>
      <c r="C189" s="3" t="str">
        <f>INDEX('R1. Scenario specifications'!$C$11:$C$59,MATCH($B189,'R1. Scenario specifications'!$A$11:$A$59,0))</f>
        <v>2 Degrees Scenario, Energy Technology Perspectives 2017</v>
      </c>
      <c r="D189" s="3" t="s">
        <v>259</v>
      </c>
      <c r="E189" s="3" t="s">
        <v>517</v>
      </c>
      <c r="F189" s="3" t="s">
        <v>501</v>
      </c>
      <c r="G189" s="34">
        <f>IFERROR(INDEX('R5. ETP17 Summary'!$P$125:$X$141,MATCH($E189,'R5. ETP17 Summary'!$O$125:$O$141,0),MATCH(G$93,'R5. ETP17 Summary'!$P$9:$X$9,0)),"")</f>
        <v>7.4322450585597988</v>
      </c>
      <c r="H189" s="34" t="str">
        <f>IFERROR(INDEX('R5. ETP17 Summary'!$P$125:$X$141,MATCH($E189,'R5. ETP17 Summary'!$O$125:$O$141,0),MATCH(H$93,'R5. ETP17 Summary'!$P$9:$X$9,0)),"")</f>
        <v/>
      </c>
      <c r="I189" s="34" t="str">
        <f>IFERROR(INDEX('R5. ETP17 Summary'!$P$125:$X$141,MATCH($E189,'R5. ETP17 Summary'!$O$125:$O$141,0),MATCH(I$93,'R5. ETP17 Summary'!$P$9:$X$9,0)),"")</f>
        <v/>
      </c>
      <c r="J189" s="34" t="str">
        <f>IFERROR(INDEX('R5. ETP17 Summary'!$P$125:$X$141,MATCH($E189,'R5. ETP17 Summary'!$O$125:$O$141,0),MATCH(J$93,'R5. ETP17 Summary'!$P$9:$X$9,0)),"")</f>
        <v/>
      </c>
      <c r="K189" s="31">
        <f t="shared" si="15"/>
        <v>36.126573812495728</v>
      </c>
      <c r="L189" s="34">
        <f>IFERROR(INDEX('R5. ETP17 Summary'!$P$125:$X$141,MATCH($E189,'R5. ETP17 Summary'!$O$125:$O$141,0),MATCH(L$93,'R5. ETP17 Summary'!$P$9:$X$9,0)),"")</f>
        <v>60.038514440775664</v>
      </c>
      <c r="M189" s="34">
        <f>IFERROR(INDEX('R5. ETP17 Summary'!$P$125:$X$141,MATCH($E189,'R5. ETP17 Summary'!$O$125:$O$141,0),MATCH(M$93,'R5. ETP17 Summary'!$P$9:$X$9,0)),"")</f>
        <v>157.61173148913522</v>
      </c>
      <c r="N189" s="34">
        <f>IFERROR(INDEX('R5. ETP17 Summary'!$P$125:$X$141,MATCH($E189,'R5. ETP17 Summary'!$O$125:$O$141,0),MATCH(N$93,'R5. ETP17 Summary'!$P$9:$X$9,0)),"")</f>
        <v>277.45202178445021</v>
      </c>
      <c r="O189" s="34">
        <f>IFERROR(INDEX('R5. ETP17 Summary'!$P$125:$X$141,MATCH($E189,'R5. ETP17 Summary'!$O$125:$O$141,0),MATCH(O$93,'R5. ETP17 Summary'!$P$9:$X$9,0)),"")</f>
        <v>407.33850652985348</v>
      </c>
      <c r="P189" s="34">
        <f>IFERROR(INDEX('R5. ETP17 Summary'!$P$125:$X$141,MATCH($E189,'R5. ETP17 Summary'!$O$125:$O$141,0),MATCH(P$93,'R5. ETP17 Summary'!$P$9:$X$9,0)),"")</f>
        <v>549.51731843357322</v>
      </c>
      <c r="Q189" s="34">
        <f>IFERROR(INDEX('R5. ETP17 Summary'!$P$125:$X$141,MATCH($E189,'R5. ETP17 Summary'!$O$125:$O$141,0),MATCH(Q$93,'R5. ETP17 Summary'!$P$9:$X$9,0)),"")</f>
        <v>719.9765731112625</v>
      </c>
      <c r="R189" s="34">
        <f>IFERROR(INDEX('R5. ETP17 Summary'!$P$125:$X$141,MATCH($E189,'R5. ETP17 Summary'!$O$125:$O$141,0),MATCH(R$93,'R5. ETP17 Summary'!$P$9:$X$9,0)),"")</f>
        <v>882.90628698381204</v>
      </c>
      <c r="S189" s="34">
        <f>IFERROR(INDEX('R5. ETP17 Summary'!$P$125:$X$141,MATCH($E189,'R5. ETP17 Summary'!$O$125:$O$141,0),MATCH(S$93,'R5. ETP17 Summary'!$P$9:$X$9,0)),"")</f>
        <v>1032.7541912832307</v>
      </c>
    </row>
    <row r="190" spans="1:19" x14ac:dyDescent="0.3">
      <c r="A190" s="3" t="s">
        <v>496</v>
      </c>
      <c r="B190" s="3" t="s">
        <v>382</v>
      </c>
      <c r="C190" s="3" t="str">
        <f>INDEX('R1. Scenario specifications'!$C$11:$C$59,MATCH($B190,'R1. Scenario specifications'!$A$11:$A$59,0))</f>
        <v>2 Degrees Scenario, Energy Technology Perspectives 2017</v>
      </c>
      <c r="D190" s="3" t="s">
        <v>258</v>
      </c>
      <c r="E190" s="3" t="s">
        <v>518</v>
      </c>
      <c r="F190" s="3" t="s">
        <v>501</v>
      </c>
      <c r="G190" s="34">
        <f>IFERROR(INDEX('R5. ETP17 Summary'!$P$125:$X$141,MATCH($E190,'R5. ETP17 Summary'!$O$125:$O$141,0),MATCH(G$93,'R5. ETP17 Summary'!$P$9:$X$9,0)),"")</f>
        <v>0.53652000000000011</v>
      </c>
      <c r="H190" s="34" t="str">
        <f>IFERROR(INDEX('R5. ETP17 Summary'!$P$125:$X$141,MATCH($E190,'R5. ETP17 Summary'!$O$125:$O$141,0),MATCH(H$93,'R5. ETP17 Summary'!$P$9:$X$9,0)),"")</f>
        <v/>
      </c>
      <c r="I190" s="34" t="str">
        <f>IFERROR(INDEX('R5. ETP17 Summary'!$P$125:$X$141,MATCH($E190,'R5. ETP17 Summary'!$O$125:$O$141,0),MATCH(I$93,'R5. ETP17 Summary'!$P$9:$X$9,0)),"")</f>
        <v/>
      </c>
      <c r="J190" s="34" t="str">
        <f>IFERROR(INDEX('R5. ETP17 Summary'!$P$125:$X$141,MATCH($E190,'R5. ETP17 Summary'!$O$125:$O$141,0),MATCH(J$93,'R5. ETP17 Summary'!$P$9:$X$9,0)),"")</f>
        <v/>
      </c>
      <c r="K190" s="31">
        <f t="shared" si="15"/>
        <v>1.6166899033918884</v>
      </c>
      <c r="L190" s="34">
        <f>IFERROR(INDEX('R5. ETP17 Summary'!$P$125:$X$141,MATCH($E190,'R5. ETP17 Summary'!$O$125:$O$141,0),MATCH(L$93,'R5. ETP17 Summary'!$P$9:$X$9,0)),"")</f>
        <v>2.5168314895517954</v>
      </c>
      <c r="M190" s="34">
        <f>IFERROR(INDEX('R5. ETP17 Summary'!$P$125:$X$141,MATCH($E190,'R5. ETP17 Summary'!$O$125:$O$141,0),MATCH(M$93,'R5. ETP17 Summary'!$P$9:$X$9,0)),"")</f>
        <v>6.9099856947123603</v>
      </c>
      <c r="N190" s="34">
        <f>IFERROR(INDEX('R5. ETP17 Summary'!$P$125:$X$141,MATCH($E190,'R5. ETP17 Summary'!$O$125:$O$141,0),MATCH(N$93,'R5. ETP17 Summary'!$P$9:$X$9,0)),"")</f>
        <v>19.102644056325495</v>
      </c>
      <c r="O190" s="34">
        <f>IFERROR(INDEX('R5. ETP17 Summary'!$P$125:$X$141,MATCH($E190,'R5. ETP17 Summary'!$O$125:$O$141,0),MATCH(O$93,'R5. ETP17 Summary'!$P$9:$X$9,0)),"")</f>
        <v>39.031940215447946</v>
      </c>
      <c r="P190" s="34">
        <f>IFERROR(INDEX('R5. ETP17 Summary'!$P$125:$X$141,MATCH($E190,'R5. ETP17 Summary'!$O$125:$O$141,0),MATCH(P$93,'R5. ETP17 Summary'!$P$9:$X$9,0)),"")</f>
        <v>83.064584452115383</v>
      </c>
      <c r="Q190" s="34">
        <f>IFERROR(INDEX('R5. ETP17 Summary'!$P$125:$X$141,MATCH($E190,'R5. ETP17 Summary'!$O$125:$O$141,0),MATCH(Q$93,'R5. ETP17 Summary'!$P$9:$X$9,0)),"")</f>
        <v>153.02631885290677</v>
      </c>
      <c r="R190" s="34">
        <f>IFERROR(INDEX('R5. ETP17 Summary'!$P$125:$X$141,MATCH($E190,'R5. ETP17 Summary'!$O$125:$O$141,0),MATCH(R$93,'R5. ETP17 Summary'!$P$9:$X$9,0)),"")</f>
        <v>225.8324827049853</v>
      </c>
      <c r="S190" s="34">
        <f>IFERROR(INDEX('R5. ETP17 Summary'!$P$125:$X$141,MATCH($E190,'R5. ETP17 Summary'!$O$125:$O$141,0),MATCH(S$93,'R5. ETP17 Summary'!$P$9:$X$9,0)),"")</f>
        <v>279.29028640535631</v>
      </c>
    </row>
    <row r="191" spans="1:19" x14ac:dyDescent="0.3">
      <c r="A191" s="3" t="s">
        <v>496</v>
      </c>
      <c r="B191" s="39" t="s">
        <v>382</v>
      </c>
      <c r="C191" s="39" t="str">
        <f>INDEX('R1. Scenario specifications'!$C$11:$C$59,MATCH($B191,'R1. Scenario specifications'!$A$11:$A$59,0))</f>
        <v>2 Degrees Scenario, Energy Technology Perspectives 2017</v>
      </c>
      <c r="D191" s="39" t="s">
        <v>258</v>
      </c>
      <c r="E191" s="39" t="s">
        <v>258</v>
      </c>
      <c r="F191" s="39" t="s">
        <v>501</v>
      </c>
      <c r="G191" s="52">
        <f>IFERROR(INDEX('R5. ETP17 Summary'!$P$125:$X$141,MATCH($E191,'R5. ETP17 Summary'!$O$125:$O$141,0),MATCH(G$93,'R5. ETP17 Summary'!$P$9:$X$9,0)),"")</f>
        <v>0</v>
      </c>
      <c r="H191" s="52" t="str">
        <f>IFERROR(INDEX('R5. ETP17 Summary'!$P$125:$X$141,MATCH($E191,'R5. ETP17 Summary'!$O$125:$O$141,0),MATCH(H$93,'R5. ETP17 Summary'!$P$9:$X$9,0)),"")</f>
        <v/>
      </c>
      <c r="I191" s="52" t="str">
        <f>IFERROR(INDEX('R5. ETP17 Summary'!$P$125:$X$141,MATCH($E191,'R5. ETP17 Summary'!$O$125:$O$141,0),MATCH(I$93,'R5. ETP17 Summary'!$P$9:$X$9,0)),"")</f>
        <v/>
      </c>
      <c r="J191" s="52" t="str">
        <f>IFERROR(INDEX('R5. ETP17 Summary'!$P$125:$X$141,MATCH($E191,'R5. ETP17 Summary'!$O$125:$O$141,0),MATCH(J$93,'R5. ETP17 Summary'!$P$9:$X$9,0)),"")</f>
        <v/>
      </c>
      <c r="K191" s="40">
        <f t="shared" si="15"/>
        <v>0</v>
      </c>
      <c r="L191" s="52">
        <f>IFERROR(INDEX('R5. ETP17 Summary'!$P$125:$X$141,MATCH($E191,'R5. ETP17 Summary'!$O$125:$O$141,0),MATCH(L$93,'R5. ETP17 Summary'!$P$9:$X$9,0)),"")</f>
        <v>0</v>
      </c>
      <c r="M191" s="52">
        <f>IFERROR(INDEX('R5. ETP17 Summary'!$P$125:$X$141,MATCH($E191,'R5. ETP17 Summary'!$O$125:$O$141,0),MATCH(M$93,'R5. ETP17 Summary'!$P$9:$X$9,0)),"")</f>
        <v>0</v>
      </c>
      <c r="N191" s="52">
        <f>IFERROR(INDEX('R5. ETP17 Summary'!$P$125:$X$141,MATCH($E191,'R5. ETP17 Summary'!$O$125:$O$141,0),MATCH(N$93,'R5. ETP17 Summary'!$P$9:$X$9,0)),"")</f>
        <v>0</v>
      </c>
      <c r="O191" s="52">
        <f>IFERROR(INDEX('R5. ETP17 Summary'!$P$125:$X$141,MATCH($E191,'R5. ETP17 Summary'!$O$125:$O$141,0),MATCH(O$93,'R5. ETP17 Summary'!$P$9:$X$9,0)),"")</f>
        <v>0</v>
      </c>
      <c r="P191" s="52">
        <f>IFERROR(INDEX('R5. ETP17 Summary'!$P$125:$X$141,MATCH($E191,'R5. ETP17 Summary'!$O$125:$O$141,0),MATCH(P$93,'R5. ETP17 Summary'!$P$9:$X$9,0)),"")</f>
        <v>0</v>
      </c>
      <c r="Q191" s="52">
        <f>IFERROR(INDEX('R5. ETP17 Summary'!$P$125:$X$141,MATCH($E191,'R5. ETP17 Summary'!$O$125:$O$141,0),MATCH(Q$93,'R5. ETP17 Summary'!$P$9:$X$9,0)),"")</f>
        <v>0</v>
      </c>
      <c r="R191" s="52">
        <f>IFERROR(INDEX('R5. ETP17 Summary'!$P$125:$X$141,MATCH($E191,'R5. ETP17 Summary'!$O$125:$O$141,0),MATCH(R$93,'R5. ETP17 Summary'!$P$9:$X$9,0)),"")</f>
        <v>0</v>
      </c>
      <c r="S191" s="52">
        <f>IFERROR(INDEX('R5. ETP17 Summary'!$P$125:$X$141,MATCH($E191,'R5. ETP17 Summary'!$O$125:$O$141,0),MATCH(S$93,'R5. ETP17 Summary'!$P$9:$X$9,0)),"")</f>
        <v>0</v>
      </c>
    </row>
    <row r="192" spans="1:19" x14ac:dyDescent="0.3">
      <c r="A192" s="3" t="s">
        <v>496</v>
      </c>
      <c r="B192" s="3" t="s">
        <v>383</v>
      </c>
      <c r="C192" s="3" t="str">
        <f>INDEX('R1. Scenario specifications'!$C$11:$C$59,MATCH($B192,'R1. Scenario specifications'!$A$11:$A$59,0))</f>
        <v>Below 2 Degrees Scenario (1.75DS), Energy Technology Perspectives 2017</v>
      </c>
      <c r="D192" s="3" t="s">
        <v>266</v>
      </c>
      <c r="E192" s="3" t="s">
        <v>266</v>
      </c>
      <c r="F192" s="3" t="s">
        <v>501</v>
      </c>
      <c r="G192" s="34">
        <f>IFERROR(INDEX('R5. ETP17 Summary'!$AC$125:$AK$141,MATCH($E192,'R5. ETP17 Summary'!$AB$125:$AB$141,0),MATCH(G$93,'R5. ETP17 Summary'!$AC$9:$AK$9,0)),"")</f>
        <v>442.34508278658268</v>
      </c>
      <c r="H192" s="34" t="str">
        <f>IFERROR(INDEX('R5. ETP17 Summary'!$AC$125:$AK$141,MATCH($E192,'R5. ETP17 Summary'!$AB$125:$AB$141,0),MATCH(H$93,'R5. ETP17 Summary'!$AC$9:$AK$9,0)),"")</f>
        <v/>
      </c>
      <c r="I192" s="34" t="str">
        <f>IFERROR(INDEX('R5. ETP17 Summary'!$AC$125:$AK$141,MATCH($E192,'R5. ETP17 Summary'!$AB$125:$AB$141,0),MATCH(I$93,'R5. ETP17 Summary'!$AC$9:$AK$9,0)),"")</f>
        <v/>
      </c>
      <c r="J192" s="34" t="str">
        <f>IFERROR(INDEX('R5. ETP17 Summary'!$AC$125:$AK$141,MATCH($E192,'R5. ETP17 Summary'!$AB$125:$AB$141,0),MATCH(J$93,'R5. ETP17 Summary'!$AC$9:$AK$9,0)),"")</f>
        <v/>
      </c>
      <c r="K192" s="31">
        <f t="shared" si="15"/>
        <v>425.32697016132232</v>
      </c>
      <c r="L192" s="34">
        <f>IFERROR(INDEX('R5. ETP17 Summary'!$AC$125:$AK$141,MATCH($E192,'R5. ETP17 Summary'!$AB$125:$AB$141,0),MATCH(L$93,'R5. ETP17 Summary'!$AC$9:$AK$9,0)),"")</f>
        <v>411.14520964027207</v>
      </c>
      <c r="M192" s="34">
        <f>IFERROR(INDEX('R5. ETP17 Summary'!$AC$125:$AK$141,MATCH($E192,'R5. ETP17 Summary'!$AB$125:$AB$141,0),MATCH(M$93,'R5. ETP17 Summary'!$AC$9:$AK$9,0)),"")</f>
        <v>331.02827878410483</v>
      </c>
      <c r="N192" s="34">
        <f>IFERROR(INDEX('R5. ETP17 Summary'!$AC$125:$AK$141,MATCH($E192,'R5. ETP17 Summary'!$AB$125:$AB$141,0),MATCH(N$93,'R5. ETP17 Summary'!$AC$9:$AK$9,0)),"")</f>
        <v>268.96965329296444</v>
      </c>
      <c r="O192" s="34">
        <f>IFERROR(INDEX('R5. ETP17 Summary'!$AC$125:$AK$141,MATCH($E192,'R5. ETP17 Summary'!$AB$125:$AB$141,0),MATCH(O$93,'R5. ETP17 Summary'!$AC$9:$AK$9,0)),"")</f>
        <v>213.56470202353984</v>
      </c>
      <c r="P192" s="34">
        <f>IFERROR(INDEX('R5. ETP17 Summary'!$AC$125:$AK$141,MATCH($E192,'R5. ETP17 Summary'!$AB$125:$AB$141,0),MATCH(P$93,'R5. ETP17 Summary'!$AC$9:$AK$9,0)),"")</f>
        <v>190.03840641082587</v>
      </c>
      <c r="Q192" s="34">
        <f>IFERROR(INDEX('R5. ETP17 Summary'!$AC$125:$AK$141,MATCH($E192,'R5. ETP17 Summary'!$AB$125:$AB$141,0),MATCH(Q$93,'R5. ETP17 Summary'!$AC$9:$AK$9,0)),"")</f>
        <v>182.1913170976384</v>
      </c>
      <c r="R192" s="34">
        <f>IFERROR(INDEX('R5. ETP17 Summary'!$AC$125:$AK$141,MATCH($E192,'R5. ETP17 Summary'!$AB$125:$AB$141,0),MATCH(R$93,'R5. ETP17 Summary'!$AC$9:$AK$9,0)),"")</f>
        <v>152.63290019485376</v>
      </c>
      <c r="S192" s="34">
        <f>IFERROR(INDEX('R5. ETP17 Summary'!$AC$125:$AK$141,MATCH($E192,'R5. ETP17 Summary'!$AB$125:$AB$141,0),MATCH(S$93,'R5. ETP17 Summary'!$AC$9:$AK$9,0)),"")</f>
        <v>160.94156421877361</v>
      </c>
    </row>
    <row r="193" spans="1:19" x14ac:dyDescent="0.3">
      <c r="A193" s="3" t="s">
        <v>496</v>
      </c>
      <c r="B193" s="3" t="s">
        <v>383</v>
      </c>
      <c r="C193" s="3" t="str">
        <f>INDEX('R1. Scenario specifications'!$C$11:$C$59,MATCH($B193,'R1. Scenario specifications'!$A$11:$A$59,0))</f>
        <v>Below 2 Degrees Scenario (1.75DS), Energy Technology Perspectives 2017</v>
      </c>
      <c r="D193" s="3" t="s">
        <v>254</v>
      </c>
      <c r="E193" s="3" t="s">
        <v>254</v>
      </c>
      <c r="F193" s="3" t="s">
        <v>501</v>
      </c>
      <c r="G193" s="34">
        <f>IFERROR(INDEX('R5. ETP17 Summary'!$AC$125:$AK$141,MATCH($E193,'R5. ETP17 Summary'!$AB$125:$AB$141,0),MATCH(G$93,'R5. ETP17 Summary'!$AC$9:$AK$9,0)),"")</f>
        <v>1760.3680667874487</v>
      </c>
      <c r="H193" s="34" t="str">
        <f>IFERROR(INDEX('R5. ETP17 Summary'!$AC$125:$AK$141,MATCH($E193,'R5. ETP17 Summary'!$AB$125:$AB$141,0),MATCH(H$93,'R5. ETP17 Summary'!$AC$9:$AK$9,0)),"")</f>
        <v/>
      </c>
      <c r="I193" s="34" t="str">
        <f>IFERROR(INDEX('R5. ETP17 Summary'!$AC$125:$AK$141,MATCH($E193,'R5. ETP17 Summary'!$AB$125:$AB$141,0),MATCH(I$93,'R5. ETP17 Summary'!$AC$9:$AK$9,0)),"")</f>
        <v/>
      </c>
      <c r="J193" s="34" t="str">
        <f>IFERROR(INDEX('R5. ETP17 Summary'!$AC$125:$AK$141,MATCH($E193,'R5. ETP17 Summary'!$AB$125:$AB$141,0),MATCH(J$93,'R5. ETP17 Summary'!$AC$9:$AK$9,0)),"")</f>
        <v/>
      </c>
      <c r="K193" s="31">
        <f t="shared" si="15"/>
        <v>1745.3767502049125</v>
      </c>
      <c r="L193" s="34">
        <f>IFERROR(INDEX('R5. ETP17 Summary'!$AC$125:$AK$141,MATCH($E193,'R5. ETP17 Summary'!$AB$125:$AB$141,0),MATCH(L$93,'R5. ETP17 Summary'!$AC$9:$AK$9,0)),"")</f>
        <v>1732.8839863861322</v>
      </c>
      <c r="M193" s="34">
        <f>IFERROR(INDEX('R5. ETP17 Summary'!$AC$125:$AK$141,MATCH($E193,'R5. ETP17 Summary'!$AB$125:$AB$141,0),MATCH(M$93,'R5. ETP17 Summary'!$AC$9:$AK$9,0)),"")</f>
        <v>1391.7185375682607</v>
      </c>
      <c r="N193" s="34">
        <f>IFERROR(INDEX('R5. ETP17 Summary'!$AC$125:$AK$141,MATCH($E193,'R5. ETP17 Summary'!$AB$125:$AB$141,0),MATCH(N$93,'R5. ETP17 Summary'!$AC$9:$AK$9,0)),"")</f>
        <v>792.67047797498844</v>
      </c>
      <c r="O193" s="34">
        <f>IFERROR(INDEX('R5. ETP17 Summary'!$AC$125:$AK$141,MATCH($E193,'R5. ETP17 Summary'!$AB$125:$AB$141,0),MATCH(O$93,'R5. ETP17 Summary'!$AC$9:$AK$9,0)),"")</f>
        <v>393.32514395902331</v>
      </c>
      <c r="P193" s="34">
        <f>IFERROR(INDEX('R5. ETP17 Summary'!$AC$125:$AK$141,MATCH($E193,'R5. ETP17 Summary'!$AB$125:$AB$141,0),MATCH(P$93,'R5. ETP17 Summary'!$AC$9:$AK$9,0)),"")</f>
        <v>136.36691304310267</v>
      </c>
      <c r="Q193" s="34">
        <f>IFERROR(INDEX('R5. ETP17 Summary'!$AC$125:$AK$141,MATCH($E193,'R5. ETP17 Summary'!$AB$125:$AB$141,0),MATCH(Q$93,'R5. ETP17 Summary'!$AC$9:$AK$9,0)),"")</f>
        <v>111.88398436425018</v>
      </c>
      <c r="R193" s="34">
        <f>IFERROR(INDEX('R5. ETP17 Summary'!$AC$125:$AK$141,MATCH($E193,'R5. ETP17 Summary'!$AB$125:$AB$141,0),MATCH(R$93,'R5. ETP17 Summary'!$AC$9:$AK$9,0)),"")</f>
        <v>89.969241210995634</v>
      </c>
      <c r="S193" s="34">
        <f>IFERROR(INDEX('R5. ETP17 Summary'!$AC$125:$AK$141,MATCH($E193,'R5. ETP17 Summary'!$AB$125:$AB$141,0),MATCH(S$93,'R5. ETP17 Summary'!$AC$9:$AK$9,0)),"")</f>
        <v>21.716469080241009</v>
      </c>
    </row>
    <row r="194" spans="1:19" x14ac:dyDescent="0.3">
      <c r="A194" s="3" t="s">
        <v>496</v>
      </c>
      <c r="B194" s="3" t="s">
        <v>383</v>
      </c>
      <c r="C194" s="3" t="str">
        <f>INDEX('R1. Scenario specifications'!$C$11:$C$59,MATCH($B194,'R1. Scenario specifications'!$A$11:$A$59,0))</f>
        <v>Below 2 Degrees Scenario (1.75DS), Energy Technology Perspectives 2017</v>
      </c>
      <c r="D194" s="3" t="s">
        <v>254</v>
      </c>
      <c r="E194" s="3" t="s">
        <v>509</v>
      </c>
      <c r="F194" s="3" t="s">
        <v>501</v>
      </c>
      <c r="G194" s="34">
        <f>IFERROR(INDEX('R5. ETP17 Summary'!$AC$125:$AK$141,MATCH($E194,'R5. ETP17 Summary'!$AB$125:$AB$141,0),MATCH(G$93,'R5. ETP17 Summary'!$AC$9:$AK$9,0)),"")</f>
        <v>0</v>
      </c>
      <c r="H194" s="34" t="str">
        <f>IFERROR(INDEX('R5. ETP17 Summary'!$AC$125:$AK$141,MATCH($E194,'R5. ETP17 Summary'!$AB$125:$AB$141,0),MATCH(H$93,'R5. ETP17 Summary'!$AC$9:$AK$9,0)),"")</f>
        <v/>
      </c>
      <c r="I194" s="34" t="str">
        <f>IFERROR(INDEX('R5. ETP17 Summary'!$AC$125:$AK$141,MATCH($E194,'R5. ETP17 Summary'!$AB$125:$AB$141,0),MATCH(I$93,'R5. ETP17 Summary'!$AC$9:$AK$9,0)),"")</f>
        <v/>
      </c>
      <c r="J194" s="34" t="str">
        <f>IFERROR(INDEX('R5. ETP17 Summary'!$AC$125:$AK$141,MATCH($E194,'R5. ETP17 Summary'!$AB$125:$AB$141,0),MATCH(J$93,'R5. ETP17 Summary'!$AC$9:$AK$9,0)),"")</f>
        <v/>
      </c>
      <c r="K194" s="31">
        <f t="shared" si="15"/>
        <v>3.1656931228160046</v>
      </c>
      <c r="L194" s="34">
        <f>IFERROR(INDEX('R5. ETP17 Summary'!$AC$125:$AK$141,MATCH($E194,'R5. ETP17 Summary'!$AB$125:$AB$141,0),MATCH(L$93,'R5. ETP17 Summary'!$AC$9:$AK$9,0)),"")</f>
        <v>5.8037707251626749</v>
      </c>
      <c r="M194" s="34">
        <f>IFERROR(INDEX('R5. ETP17 Summary'!$AC$125:$AK$141,MATCH($E194,'R5. ETP17 Summary'!$AB$125:$AB$141,0),MATCH(M$93,'R5. ETP17 Summary'!$AC$9:$AK$9,0)),"")</f>
        <v>42.307733443615199</v>
      </c>
      <c r="N194" s="34">
        <f>IFERROR(INDEX('R5. ETP17 Summary'!$AC$125:$AK$141,MATCH($E194,'R5. ETP17 Summary'!$AB$125:$AB$141,0),MATCH(N$93,'R5. ETP17 Summary'!$AC$9:$AK$9,0)),"")</f>
        <v>137.12237673639899</v>
      </c>
      <c r="O194" s="34">
        <f>IFERROR(INDEX('R5. ETP17 Summary'!$AC$125:$AK$141,MATCH($E194,'R5. ETP17 Summary'!$AB$125:$AB$141,0),MATCH(O$93,'R5. ETP17 Summary'!$AC$9:$AK$9,0)),"")</f>
        <v>266.66270406879693</v>
      </c>
      <c r="P194" s="34">
        <f>IFERROR(INDEX('R5. ETP17 Summary'!$AC$125:$AK$141,MATCH($E194,'R5. ETP17 Summary'!$AB$125:$AB$141,0),MATCH(P$93,'R5. ETP17 Summary'!$AC$9:$AK$9,0)),"")</f>
        <v>345.99520366438639</v>
      </c>
      <c r="Q194" s="34">
        <f>IFERROR(INDEX('R5. ETP17 Summary'!$AC$125:$AK$141,MATCH($E194,'R5. ETP17 Summary'!$AB$125:$AB$141,0),MATCH(Q$93,'R5. ETP17 Summary'!$AC$9:$AK$9,0)),"")</f>
        <v>283.90468885114706</v>
      </c>
      <c r="R194" s="34">
        <f>IFERROR(INDEX('R5. ETP17 Summary'!$AC$125:$AK$141,MATCH($E194,'R5. ETP17 Summary'!$AB$125:$AB$141,0),MATCH(R$93,'R5. ETP17 Summary'!$AC$9:$AK$9,0)),"")</f>
        <v>241.0643582102245</v>
      </c>
      <c r="S194" s="34">
        <f>IFERROR(INDEX('R5. ETP17 Summary'!$AC$125:$AK$141,MATCH($E194,'R5. ETP17 Summary'!$AB$125:$AB$141,0),MATCH(S$93,'R5. ETP17 Summary'!$AC$9:$AK$9,0)),"")</f>
        <v>263.79436387210882</v>
      </c>
    </row>
    <row r="195" spans="1:19" x14ac:dyDescent="0.3">
      <c r="A195" s="3" t="s">
        <v>496</v>
      </c>
      <c r="B195" s="3" t="s">
        <v>383</v>
      </c>
      <c r="C195" s="3" t="str">
        <f>INDEX('R1. Scenario specifications'!$C$11:$C$59,MATCH($B195,'R1. Scenario specifications'!$A$11:$A$59,0))</f>
        <v>Below 2 Degrees Scenario (1.75DS), Energy Technology Perspectives 2017</v>
      </c>
      <c r="D195" s="3" t="s">
        <v>255</v>
      </c>
      <c r="E195" s="3" t="s">
        <v>510</v>
      </c>
      <c r="F195" s="3" t="s">
        <v>501</v>
      </c>
      <c r="G195" s="34">
        <f>IFERROR(INDEX('R5. ETP17 Summary'!$AC$125:$AK$141,MATCH($E195,'R5. ETP17 Summary'!$AB$125:$AB$141,0),MATCH(G$93,'R5. ETP17 Summary'!$AC$9:$AK$9,0)),"")</f>
        <v>1638.6833129472773</v>
      </c>
      <c r="H195" s="34" t="str">
        <f>IFERROR(INDEX('R5. ETP17 Summary'!$AC$125:$AK$141,MATCH($E195,'R5. ETP17 Summary'!$AB$125:$AB$141,0),MATCH(H$93,'R5. ETP17 Summary'!$AC$9:$AK$9,0)),"")</f>
        <v/>
      </c>
      <c r="I195" s="34" t="str">
        <f>IFERROR(INDEX('R5. ETP17 Summary'!$AC$125:$AK$141,MATCH($E195,'R5. ETP17 Summary'!$AB$125:$AB$141,0),MATCH(I$93,'R5. ETP17 Summary'!$AC$9:$AK$9,0)),"")</f>
        <v/>
      </c>
      <c r="J195" s="34" t="str">
        <f>IFERROR(INDEX('R5. ETP17 Summary'!$AC$125:$AK$141,MATCH($E195,'R5. ETP17 Summary'!$AB$125:$AB$141,0),MATCH(J$93,'R5. ETP17 Summary'!$AC$9:$AK$9,0)),"")</f>
        <v/>
      </c>
      <c r="K195" s="31">
        <f t="shared" si="15"/>
        <v>1828.6187537568098</v>
      </c>
      <c r="L195" s="34">
        <f>IFERROR(INDEX('R5. ETP17 Summary'!$AC$125:$AK$141,MATCH($E195,'R5. ETP17 Summary'!$AB$125:$AB$141,0),MATCH(L$93,'R5. ETP17 Summary'!$AC$9:$AK$9,0)),"")</f>
        <v>1986.8982877647538</v>
      </c>
      <c r="M195" s="34">
        <f>IFERROR(INDEX('R5. ETP17 Summary'!$AC$125:$AK$141,MATCH($E195,'R5. ETP17 Summary'!$AB$125:$AB$141,0),MATCH(M$93,'R5. ETP17 Summary'!$AC$9:$AK$9,0)),"")</f>
        <v>2004.0463369479228</v>
      </c>
      <c r="N195" s="34">
        <f>IFERROR(INDEX('R5. ETP17 Summary'!$AC$125:$AK$141,MATCH($E195,'R5. ETP17 Summary'!$AB$125:$AB$141,0),MATCH(N$93,'R5. ETP17 Summary'!$AC$9:$AK$9,0)),"")</f>
        <v>1929.1321870077982</v>
      </c>
      <c r="O195" s="34">
        <f>IFERROR(INDEX('R5. ETP17 Summary'!$AC$125:$AK$141,MATCH($E195,'R5. ETP17 Summary'!$AB$125:$AB$141,0),MATCH(O$93,'R5. ETP17 Summary'!$AC$9:$AK$9,0)),"")</f>
        <v>1784.9965311941819</v>
      </c>
      <c r="P195" s="34">
        <f>IFERROR(INDEX('R5. ETP17 Summary'!$AC$125:$AK$141,MATCH($E195,'R5. ETP17 Summary'!$AB$125:$AB$141,0),MATCH(P$93,'R5. ETP17 Summary'!$AC$9:$AK$9,0)),"")</f>
        <v>1817.7308914488913</v>
      </c>
      <c r="Q195" s="34">
        <f>IFERROR(INDEX('R5. ETP17 Summary'!$AC$125:$AK$141,MATCH($E195,'R5. ETP17 Summary'!$AB$125:$AB$141,0),MATCH(Q$93,'R5. ETP17 Summary'!$AC$9:$AK$9,0)),"")</f>
        <v>1632.518596584137</v>
      </c>
      <c r="R195" s="34">
        <f>IFERROR(INDEX('R5. ETP17 Summary'!$AC$125:$AK$141,MATCH($E195,'R5. ETP17 Summary'!$AB$125:$AB$141,0),MATCH(R$93,'R5. ETP17 Summary'!$AC$9:$AK$9,0)),"")</f>
        <v>1199.109387832076</v>
      </c>
      <c r="S195" s="34">
        <f>IFERROR(INDEX('R5. ETP17 Summary'!$AC$125:$AK$141,MATCH($E195,'R5. ETP17 Summary'!$AB$125:$AB$141,0),MATCH(S$93,'R5. ETP17 Summary'!$AC$9:$AK$9,0)),"")</f>
        <v>1250.7570811058636</v>
      </c>
    </row>
    <row r="196" spans="1:19" x14ac:dyDescent="0.3">
      <c r="A196" s="3" t="s">
        <v>496</v>
      </c>
      <c r="B196" s="3" t="s">
        <v>383</v>
      </c>
      <c r="C196" s="3" t="str">
        <f>INDEX('R1. Scenario specifications'!$C$11:$C$59,MATCH($B196,'R1. Scenario specifications'!$A$11:$A$59,0))</f>
        <v>Below 2 Degrees Scenario (1.75DS), Energy Technology Perspectives 2017</v>
      </c>
      <c r="D196" s="3" t="s">
        <v>255</v>
      </c>
      <c r="E196" s="3" t="s">
        <v>511</v>
      </c>
      <c r="F196" s="3" t="s">
        <v>501</v>
      </c>
      <c r="G196" s="34">
        <f>IFERROR(INDEX('R5. ETP17 Summary'!$AC$125:$AK$141,MATCH($E196,'R5. ETP17 Summary'!$AB$125:$AB$141,0),MATCH(G$93,'R5. ETP17 Summary'!$AC$9:$AK$9,0)),"")</f>
        <v>0</v>
      </c>
      <c r="H196" s="34" t="str">
        <f>IFERROR(INDEX('R5. ETP17 Summary'!$AC$125:$AK$141,MATCH($E196,'R5. ETP17 Summary'!$AB$125:$AB$141,0),MATCH(H$93,'R5. ETP17 Summary'!$AC$9:$AK$9,0)),"")</f>
        <v/>
      </c>
      <c r="I196" s="34" t="str">
        <f>IFERROR(INDEX('R5. ETP17 Summary'!$AC$125:$AK$141,MATCH($E196,'R5. ETP17 Summary'!$AB$125:$AB$141,0),MATCH(I$93,'R5. ETP17 Summary'!$AC$9:$AK$9,0)),"")</f>
        <v/>
      </c>
      <c r="J196" s="34" t="str">
        <f>IFERROR(INDEX('R5. ETP17 Summary'!$AC$125:$AK$141,MATCH($E196,'R5. ETP17 Summary'!$AB$125:$AB$141,0),MATCH(J$93,'R5. ETP17 Summary'!$AC$9:$AK$9,0)),"")</f>
        <v/>
      </c>
      <c r="K196" s="31">
        <f t="shared" si="15"/>
        <v>0.96552250105759907</v>
      </c>
      <c r="L196" s="34">
        <f>IFERROR(INDEX('R5. ETP17 Summary'!$AC$125:$AK$141,MATCH($E196,'R5. ETP17 Summary'!$AB$125:$AB$141,0),MATCH(L$93,'R5. ETP17 Summary'!$AC$9:$AK$9,0)),"")</f>
        <v>1.7701245852722651</v>
      </c>
      <c r="M196" s="34">
        <f>IFERROR(INDEX('R5. ETP17 Summary'!$AC$125:$AK$141,MATCH($E196,'R5. ETP17 Summary'!$AB$125:$AB$141,0),MATCH(M$93,'R5. ETP17 Summary'!$AC$9:$AK$9,0)),"")</f>
        <v>21.700085846574652</v>
      </c>
      <c r="N196" s="34">
        <f>IFERROR(INDEX('R5. ETP17 Summary'!$AC$125:$AK$141,MATCH($E196,'R5. ETP17 Summary'!$AB$125:$AB$141,0),MATCH(N$93,'R5. ETP17 Summary'!$AC$9:$AK$9,0)),"")</f>
        <v>72.486296742580237</v>
      </c>
      <c r="O196" s="34">
        <f>IFERROR(INDEX('R5. ETP17 Summary'!$AC$125:$AK$141,MATCH($E196,'R5. ETP17 Summary'!$AB$125:$AB$141,0),MATCH(O$93,'R5. ETP17 Summary'!$AC$9:$AK$9,0)),"")</f>
        <v>145.73235723367094</v>
      </c>
      <c r="P196" s="34">
        <f>IFERROR(INDEX('R5. ETP17 Summary'!$AC$125:$AK$141,MATCH($E196,'R5. ETP17 Summary'!$AB$125:$AB$141,0),MATCH(P$93,'R5. ETP17 Summary'!$AC$9:$AK$9,0)),"")</f>
        <v>224.63400497370054</v>
      </c>
      <c r="Q196" s="34">
        <f>IFERROR(INDEX('R5. ETP17 Summary'!$AC$125:$AK$141,MATCH($E196,'R5. ETP17 Summary'!$AB$125:$AB$141,0),MATCH(Q$93,'R5. ETP17 Summary'!$AC$9:$AK$9,0)),"")</f>
        <v>285.93236709488298</v>
      </c>
      <c r="R196" s="34">
        <f>IFERROR(INDEX('R5. ETP17 Summary'!$AC$125:$AK$141,MATCH($E196,'R5. ETP17 Summary'!$AB$125:$AB$141,0),MATCH(R$93,'R5. ETP17 Summary'!$AC$9:$AK$9,0)),"")</f>
        <v>334.32082812928832</v>
      </c>
      <c r="S196" s="34">
        <f>IFERROR(INDEX('R5. ETP17 Summary'!$AC$125:$AK$141,MATCH($E196,'R5. ETP17 Summary'!$AB$125:$AB$141,0),MATCH(S$93,'R5. ETP17 Summary'!$AC$9:$AK$9,0)),"")</f>
        <v>383.0136954130399</v>
      </c>
    </row>
    <row r="197" spans="1:19" x14ac:dyDescent="0.3">
      <c r="A197" s="3" t="s">
        <v>496</v>
      </c>
      <c r="B197" s="3" t="s">
        <v>383</v>
      </c>
      <c r="C197" s="3" t="str">
        <f>INDEX('R1. Scenario specifications'!$C$11:$C$59,MATCH($B197,'R1. Scenario specifications'!$A$11:$A$59,0))</f>
        <v>Below 2 Degrees Scenario (1.75DS), Energy Technology Perspectives 2017</v>
      </c>
      <c r="D197" s="3" t="s">
        <v>257</v>
      </c>
      <c r="E197" s="3" t="s">
        <v>257</v>
      </c>
      <c r="F197" s="3" t="s">
        <v>501</v>
      </c>
      <c r="G197" s="34">
        <f>IFERROR(INDEX('R5. ETP17 Summary'!$AC$125:$AK$141,MATCH($E197,'R5. ETP17 Summary'!$AB$125:$AB$141,0),MATCH(G$93,'R5. ETP17 Summary'!$AC$9:$AK$9,0)),"")</f>
        <v>398.27599999996119</v>
      </c>
      <c r="H197" s="34" t="str">
        <f>IFERROR(INDEX('R5. ETP17 Summary'!$AC$125:$AK$141,MATCH($E197,'R5. ETP17 Summary'!$AB$125:$AB$141,0),MATCH(H$93,'R5. ETP17 Summary'!$AC$9:$AK$9,0)),"")</f>
        <v/>
      </c>
      <c r="I197" s="34" t="str">
        <f>IFERROR(INDEX('R5. ETP17 Summary'!$AC$125:$AK$141,MATCH($E197,'R5. ETP17 Summary'!$AB$125:$AB$141,0),MATCH(I$93,'R5. ETP17 Summary'!$AC$9:$AK$9,0)),"")</f>
        <v/>
      </c>
      <c r="J197" s="34" t="str">
        <f>IFERROR(INDEX('R5. ETP17 Summary'!$AC$125:$AK$141,MATCH($E197,'R5. ETP17 Summary'!$AB$125:$AB$141,0),MATCH(J$93,'R5. ETP17 Summary'!$AC$9:$AK$9,0)),"")</f>
        <v/>
      </c>
      <c r="K197" s="31">
        <f t="shared" si="15"/>
        <v>473.25719434316431</v>
      </c>
      <c r="L197" s="34">
        <f>IFERROR(INDEX('R5. ETP17 Summary'!$AC$125:$AK$141,MATCH($E197,'R5. ETP17 Summary'!$AB$125:$AB$141,0),MATCH(L$93,'R5. ETP17 Summary'!$AC$9:$AK$9,0)),"")</f>
        <v>535.7415229625002</v>
      </c>
      <c r="M197" s="34">
        <f>IFERROR(INDEX('R5. ETP17 Summary'!$AC$125:$AK$141,MATCH($E197,'R5. ETP17 Summary'!$AB$125:$AB$141,0),MATCH(M$93,'R5. ETP17 Summary'!$AC$9:$AK$9,0)),"")</f>
        <v>655.77058377660831</v>
      </c>
      <c r="N197" s="34">
        <f>IFERROR(INDEX('R5. ETP17 Summary'!$AC$125:$AK$141,MATCH($E197,'R5. ETP17 Summary'!$AB$125:$AB$141,0),MATCH(N$93,'R5. ETP17 Summary'!$AC$9:$AK$9,0)),"")</f>
        <v>750.25765723057623</v>
      </c>
      <c r="O197" s="34">
        <f>IFERROR(INDEX('R5. ETP17 Summary'!$AC$125:$AK$141,MATCH($E197,'R5. ETP17 Summary'!$AB$125:$AB$141,0),MATCH(O$93,'R5. ETP17 Summary'!$AC$9:$AK$9,0)),"")</f>
        <v>841.27880379851717</v>
      </c>
      <c r="P197" s="34">
        <f>IFERROR(INDEX('R5. ETP17 Summary'!$AC$125:$AK$141,MATCH($E197,'R5. ETP17 Summary'!$AB$125:$AB$141,0),MATCH(P$93,'R5. ETP17 Summary'!$AC$9:$AK$9,0)),"")</f>
        <v>912.12714804933876</v>
      </c>
      <c r="Q197" s="34">
        <f>IFERROR(INDEX('R5. ETP17 Summary'!$AC$125:$AK$141,MATCH($E197,'R5. ETP17 Summary'!$AB$125:$AB$141,0),MATCH(Q$93,'R5. ETP17 Summary'!$AC$9:$AK$9,0)),"")</f>
        <v>965.18721530781954</v>
      </c>
      <c r="R197" s="34">
        <f>IFERROR(INDEX('R5. ETP17 Summary'!$AC$125:$AK$141,MATCH($E197,'R5. ETP17 Summary'!$AB$125:$AB$141,0),MATCH(R$93,'R5. ETP17 Summary'!$AC$9:$AK$9,0)),"")</f>
        <v>1018.8308866427565</v>
      </c>
      <c r="S197" s="34">
        <f>IFERROR(INDEX('R5. ETP17 Summary'!$AC$125:$AK$141,MATCH($E197,'R5. ETP17 Summary'!$AB$125:$AB$141,0),MATCH(S$93,'R5. ETP17 Summary'!$AC$9:$AK$9,0)),"")</f>
        <v>1062.3414195615587</v>
      </c>
    </row>
    <row r="198" spans="1:19" x14ac:dyDescent="0.3">
      <c r="A198" s="3" t="s">
        <v>496</v>
      </c>
      <c r="B198" s="3" t="s">
        <v>383</v>
      </c>
      <c r="C198" s="3" t="str">
        <f>INDEX('R1. Scenario specifications'!$C$11:$C$59,MATCH($B198,'R1. Scenario specifications'!$A$11:$A$59,0))</f>
        <v>Below 2 Degrees Scenario (1.75DS), Energy Technology Perspectives 2017</v>
      </c>
      <c r="D198" s="3" t="s">
        <v>253</v>
      </c>
      <c r="E198" s="3" t="s">
        <v>512</v>
      </c>
      <c r="F198" s="3" t="s">
        <v>501</v>
      </c>
      <c r="G198" s="34">
        <f>IFERROR(INDEX('R5. ETP17 Summary'!$AC$125:$AK$141,MATCH($E198,'R5. ETP17 Summary'!$AB$125:$AB$141,0),MATCH(G$93,'R5. ETP17 Summary'!$AC$9:$AK$9,0)),"")</f>
        <v>130.90315065412221</v>
      </c>
      <c r="H198" s="34" t="str">
        <f>IFERROR(INDEX('R5. ETP17 Summary'!$AC$125:$AK$141,MATCH($E198,'R5. ETP17 Summary'!$AB$125:$AB$141,0),MATCH(H$93,'R5. ETP17 Summary'!$AC$9:$AK$9,0)),"")</f>
        <v/>
      </c>
      <c r="I198" s="34" t="str">
        <f>IFERROR(INDEX('R5. ETP17 Summary'!$AC$125:$AK$141,MATCH($E198,'R5. ETP17 Summary'!$AB$125:$AB$141,0),MATCH(I$93,'R5. ETP17 Summary'!$AC$9:$AK$9,0)),"")</f>
        <v/>
      </c>
      <c r="J198" s="34" t="str">
        <f>IFERROR(INDEX('R5. ETP17 Summary'!$AC$125:$AK$141,MATCH($E198,'R5. ETP17 Summary'!$AB$125:$AB$141,0),MATCH(J$93,'R5. ETP17 Summary'!$AC$9:$AK$9,0)),"")</f>
        <v/>
      </c>
      <c r="K198" s="31">
        <f t="shared" si="15"/>
        <v>244.89290547011797</v>
      </c>
      <c r="L198" s="34">
        <f>IFERROR(INDEX('R5. ETP17 Summary'!$AC$125:$AK$141,MATCH($E198,'R5. ETP17 Summary'!$AB$125:$AB$141,0),MATCH(L$93,'R5. ETP17 Summary'!$AC$9:$AK$9,0)),"")</f>
        <v>339.88436781678109</v>
      </c>
      <c r="M198" s="34">
        <f>IFERROR(INDEX('R5. ETP17 Summary'!$AC$125:$AK$141,MATCH($E198,'R5. ETP17 Summary'!$AB$125:$AB$141,0),MATCH(M$93,'R5. ETP17 Summary'!$AC$9:$AK$9,0)),"")</f>
        <v>407.94020208538598</v>
      </c>
      <c r="N198" s="34">
        <f>IFERROR(INDEX('R5. ETP17 Summary'!$AC$125:$AK$141,MATCH($E198,'R5. ETP17 Summary'!$AB$125:$AB$141,0),MATCH(N$93,'R5. ETP17 Summary'!$AC$9:$AK$9,0)),"")</f>
        <v>534.18832695305287</v>
      </c>
      <c r="O198" s="34">
        <f>IFERROR(INDEX('R5. ETP17 Summary'!$AC$125:$AK$141,MATCH($E198,'R5. ETP17 Summary'!$AB$125:$AB$141,0),MATCH(O$93,'R5. ETP17 Summary'!$AC$9:$AK$9,0)),"")</f>
        <v>707.31303378636301</v>
      </c>
      <c r="P198" s="34">
        <f>IFERROR(INDEX('R5. ETP17 Summary'!$AC$125:$AK$141,MATCH($E198,'R5. ETP17 Summary'!$AB$125:$AB$141,0),MATCH(P$93,'R5. ETP17 Summary'!$AC$9:$AK$9,0)),"")</f>
        <v>940.52164430883943</v>
      </c>
      <c r="Q198" s="34">
        <f>IFERROR(INDEX('R5. ETP17 Summary'!$AC$125:$AK$141,MATCH($E198,'R5. ETP17 Summary'!$AB$125:$AB$141,0),MATCH(Q$93,'R5. ETP17 Summary'!$AC$9:$AK$9,0)),"")</f>
        <v>1126.4947325418148</v>
      </c>
      <c r="R198" s="34">
        <f>IFERROR(INDEX('R5. ETP17 Summary'!$AC$125:$AK$141,MATCH($E198,'R5. ETP17 Summary'!$AB$125:$AB$141,0),MATCH(R$93,'R5. ETP17 Summary'!$AC$9:$AK$9,0)),"")</f>
        <v>1329.9973718599138</v>
      </c>
      <c r="S198" s="34">
        <f>IFERROR(INDEX('R5. ETP17 Summary'!$AC$125:$AK$141,MATCH($E198,'R5. ETP17 Summary'!$AB$125:$AB$141,0),MATCH(S$93,'R5. ETP17 Summary'!$AC$9:$AK$9,0)),"")</f>
        <v>1512.0323248176342</v>
      </c>
    </row>
    <row r="199" spans="1:19" x14ac:dyDescent="0.3">
      <c r="A199" s="3" t="s">
        <v>496</v>
      </c>
      <c r="B199" s="3" t="s">
        <v>383</v>
      </c>
      <c r="C199" s="3" t="str">
        <f>INDEX('R1. Scenario specifications'!$C$11:$C$59,MATCH($B199,'R1. Scenario specifications'!$A$11:$A$59,0))</f>
        <v>Below 2 Degrees Scenario (1.75DS), Energy Technology Perspectives 2017</v>
      </c>
      <c r="D199" s="3" t="s">
        <v>253</v>
      </c>
      <c r="E199" s="3" t="s">
        <v>513</v>
      </c>
      <c r="F199" s="3" t="s">
        <v>501</v>
      </c>
      <c r="G199" s="34">
        <f>IFERROR(INDEX('R5. ETP17 Summary'!$AC$125:$AK$141,MATCH($E199,'R5. ETP17 Summary'!$AB$125:$AB$141,0),MATCH(G$93,'R5. ETP17 Summary'!$AC$9:$AK$9,0)),"")</f>
        <v>0</v>
      </c>
      <c r="H199" s="34" t="str">
        <f>IFERROR(INDEX('R5. ETP17 Summary'!$AC$125:$AK$141,MATCH($E199,'R5. ETP17 Summary'!$AB$125:$AB$141,0),MATCH(H$93,'R5. ETP17 Summary'!$AC$9:$AK$9,0)),"")</f>
        <v/>
      </c>
      <c r="I199" s="34" t="str">
        <f>IFERROR(INDEX('R5. ETP17 Summary'!$AC$125:$AK$141,MATCH($E199,'R5. ETP17 Summary'!$AB$125:$AB$141,0),MATCH(I$93,'R5. ETP17 Summary'!$AC$9:$AK$9,0)),"")</f>
        <v/>
      </c>
      <c r="J199" s="34" t="str">
        <f>IFERROR(INDEX('R5. ETP17 Summary'!$AC$125:$AK$141,MATCH($E199,'R5. ETP17 Summary'!$AB$125:$AB$141,0),MATCH(J$93,'R5. ETP17 Summary'!$AC$9:$AK$9,0)),"")</f>
        <v/>
      </c>
      <c r="K199" s="31">
        <f t="shared" si="15"/>
        <v>0.33962321822432284</v>
      </c>
      <c r="L199" s="34">
        <f>IFERROR(INDEX('R5. ETP17 Summary'!$AC$125:$AK$141,MATCH($E199,'R5. ETP17 Summary'!$AB$125:$AB$141,0),MATCH(L$93,'R5. ETP17 Summary'!$AC$9:$AK$9,0)),"")</f>
        <v>0.62264256674459195</v>
      </c>
      <c r="M199" s="34">
        <f>IFERROR(INDEX('R5. ETP17 Summary'!$AC$125:$AK$141,MATCH($E199,'R5. ETP17 Summary'!$AB$125:$AB$141,0),MATCH(M$93,'R5. ETP17 Summary'!$AC$9:$AK$9,0)),"")</f>
        <v>1.7351723192051325</v>
      </c>
      <c r="N199" s="34">
        <f>IFERROR(INDEX('R5. ETP17 Summary'!$AC$125:$AK$141,MATCH($E199,'R5. ETP17 Summary'!$AB$125:$AB$141,0),MATCH(N$93,'R5. ETP17 Summary'!$AC$9:$AK$9,0)),"")</f>
        <v>9.3802299787015944</v>
      </c>
      <c r="O199" s="34">
        <f>IFERROR(INDEX('R5. ETP17 Summary'!$AC$125:$AK$141,MATCH($E199,'R5. ETP17 Summary'!$AB$125:$AB$141,0),MATCH(O$93,'R5. ETP17 Summary'!$AC$9:$AK$9,0)),"")</f>
        <v>33.990951744409692</v>
      </c>
      <c r="P199" s="34">
        <f>IFERROR(INDEX('R5. ETP17 Summary'!$AC$125:$AK$141,MATCH($E199,'R5. ETP17 Summary'!$AB$125:$AB$141,0),MATCH(P$93,'R5. ETP17 Summary'!$AC$9:$AK$9,0)),"")</f>
        <v>99.675024209872902</v>
      </c>
      <c r="Q199" s="34">
        <f>IFERROR(INDEX('R5. ETP17 Summary'!$AC$125:$AK$141,MATCH($E199,'R5. ETP17 Summary'!$AB$125:$AB$141,0),MATCH(Q$93,'R5. ETP17 Summary'!$AC$9:$AK$9,0)),"")</f>
        <v>162.22484843324102</v>
      </c>
      <c r="R199" s="34">
        <f>IFERROR(INDEX('R5. ETP17 Summary'!$AC$125:$AK$141,MATCH($E199,'R5. ETP17 Summary'!$AB$125:$AB$141,0),MATCH(R$93,'R5. ETP17 Summary'!$AC$9:$AK$9,0)),"")</f>
        <v>227.88012931173137</v>
      </c>
      <c r="S199" s="34">
        <f>IFERROR(INDEX('R5. ETP17 Summary'!$AC$125:$AK$141,MATCH($E199,'R5. ETP17 Summary'!$AB$125:$AB$141,0),MATCH(S$93,'R5. ETP17 Summary'!$AC$9:$AK$9,0)),"")</f>
        <v>306.93643643130338</v>
      </c>
    </row>
    <row r="200" spans="1:19" x14ac:dyDescent="0.3">
      <c r="A200" s="3" t="s">
        <v>496</v>
      </c>
      <c r="B200" s="3" t="s">
        <v>383</v>
      </c>
      <c r="C200" s="3" t="str">
        <f>INDEX('R1. Scenario specifications'!$C$11:$C$59,MATCH($B200,'R1. Scenario specifications'!$A$11:$A$59,0))</f>
        <v>Below 2 Degrees Scenario (1.75DS), Energy Technology Perspectives 2017</v>
      </c>
      <c r="D200" s="3" t="s">
        <v>256</v>
      </c>
      <c r="E200" s="3" t="s">
        <v>514</v>
      </c>
      <c r="F200" s="3" t="s">
        <v>501</v>
      </c>
      <c r="G200" s="34">
        <f>IFERROR(INDEX('R5. ETP17 Summary'!$AC$125:$AK$141,MATCH($E200,'R5. ETP17 Summary'!$AB$125:$AB$141,0),MATCH(G$93,'R5. ETP17 Summary'!$AC$9:$AK$9,0)),"")</f>
        <v>1044.0240328563759</v>
      </c>
      <c r="H200" s="34" t="str">
        <f>IFERROR(INDEX('R5. ETP17 Summary'!$AC$125:$AK$141,MATCH($E200,'R5. ETP17 Summary'!$AB$125:$AB$141,0),MATCH(H$93,'R5. ETP17 Summary'!$AC$9:$AK$9,0)),"")</f>
        <v/>
      </c>
      <c r="I200" s="34" t="str">
        <f>IFERROR(INDEX('R5. ETP17 Summary'!$AC$125:$AK$141,MATCH($E200,'R5. ETP17 Summary'!$AB$125:$AB$141,0),MATCH(I$93,'R5. ETP17 Summary'!$AC$9:$AK$9,0)),"")</f>
        <v/>
      </c>
      <c r="J200" s="34" t="str">
        <f>IFERROR(INDEX('R5. ETP17 Summary'!$AC$125:$AK$141,MATCH($E200,'R5. ETP17 Summary'!$AB$125:$AB$141,0),MATCH(J$93,'R5. ETP17 Summary'!$AC$9:$AK$9,0)),"")</f>
        <v/>
      </c>
      <c r="K200" s="31">
        <f t="shared" si="15"/>
        <v>1246.0854523716457</v>
      </c>
      <c r="L200" s="34">
        <f>IFERROR(INDEX('R5. ETP17 Summary'!$AC$125:$AK$141,MATCH($E200,'R5. ETP17 Summary'!$AB$125:$AB$141,0),MATCH(L$93,'R5. ETP17 Summary'!$AC$9:$AK$9,0)),"")</f>
        <v>1414.4699686343704</v>
      </c>
      <c r="M200" s="34">
        <f>IFERROR(INDEX('R5. ETP17 Summary'!$AC$125:$AK$141,MATCH($E200,'R5. ETP17 Summary'!$AB$125:$AB$141,0),MATCH(M$93,'R5. ETP17 Summary'!$AC$9:$AK$9,0)),"")</f>
        <v>1576.5783991066323</v>
      </c>
      <c r="N200" s="34">
        <f>IFERROR(INDEX('R5. ETP17 Summary'!$AC$125:$AK$141,MATCH($E200,'R5. ETP17 Summary'!$AB$125:$AB$141,0),MATCH(N$93,'R5. ETP17 Summary'!$AC$9:$AK$9,0)),"")</f>
        <v>1690.2813099302648</v>
      </c>
      <c r="O200" s="34">
        <f>IFERROR(INDEX('R5. ETP17 Summary'!$AC$125:$AK$141,MATCH($E200,'R5. ETP17 Summary'!$AB$125:$AB$141,0),MATCH(O$93,'R5. ETP17 Summary'!$AC$9:$AK$9,0)),"")</f>
        <v>1863.3158178265594</v>
      </c>
      <c r="P200" s="34">
        <f>IFERROR(INDEX('R5. ETP17 Summary'!$AC$125:$AK$141,MATCH($E200,'R5. ETP17 Summary'!$AB$125:$AB$141,0),MATCH(P$93,'R5. ETP17 Summary'!$AC$9:$AK$9,0)),"")</f>
        <v>2030.9344822948644</v>
      </c>
      <c r="Q200" s="34">
        <f>IFERROR(INDEX('R5. ETP17 Summary'!$AC$125:$AK$141,MATCH($E200,'R5. ETP17 Summary'!$AB$125:$AB$141,0),MATCH(Q$93,'R5. ETP17 Summary'!$AC$9:$AK$9,0)),"")</f>
        <v>2193.1921598591589</v>
      </c>
      <c r="R200" s="34">
        <f>IFERROR(INDEX('R5. ETP17 Summary'!$AC$125:$AK$141,MATCH($E200,'R5. ETP17 Summary'!$AB$125:$AB$141,0),MATCH(R$93,'R5. ETP17 Summary'!$AC$9:$AK$9,0)),"")</f>
        <v>2372.0858944870211</v>
      </c>
      <c r="S200" s="34">
        <f>IFERROR(INDEX('R5. ETP17 Summary'!$AC$125:$AK$141,MATCH($E200,'R5. ETP17 Summary'!$AB$125:$AB$141,0),MATCH(S$93,'R5. ETP17 Summary'!$AC$9:$AK$9,0)),"")</f>
        <v>2607.3858274329127</v>
      </c>
    </row>
    <row r="201" spans="1:19" x14ac:dyDescent="0.3">
      <c r="A201" s="3" t="s">
        <v>496</v>
      </c>
      <c r="B201" s="3" t="s">
        <v>383</v>
      </c>
      <c r="C201" s="3" t="str">
        <f>INDEX('R1. Scenario specifications'!$C$11:$C$59,MATCH($B201,'R1. Scenario specifications'!$A$11:$A$59,0))</f>
        <v>Below 2 Degrees Scenario (1.75DS), Energy Technology Perspectives 2017</v>
      </c>
      <c r="D201" s="3" t="s">
        <v>258</v>
      </c>
      <c r="E201" s="3" t="s">
        <v>506</v>
      </c>
      <c r="F201" s="3" t="s">
        <v>501</v>
      </c>
      <c r="G201" s="34">
        <f>IFERROR(INDEX('R5. ETP17 Summary'!$AC$125:$AK$141,MATCH($E201,'R5. ETP17 Summary'!$AB$125:$AB$141,0),MATCH(G$93,'R5. ETP17 Summary'!$AC$9:$AK$9,0)),"")</f>
        <v>12.308314743538201</v>
      </c>
      <c r="H201" s="34" t="str">
        <f>IFERROR(INDEX('R5. ETP17 Summary'!$AC$125:$AK$141,MATCH($E201,'R5. ETP17 Summary'!$AB$125:$AB$141,0),MATCH(H$93,'R5. ETP17 Summary'!$AC$9:$AK$9,0)),"")</f>
        <v/>
      </c>
      <c r="I201" s="34" t="str">
        <f>IFERROR(INDEX('R5. ETP17 Summary'!$AC$125:$AK$141,MATCH($E201,'R5. ETP17 Summary'!$AB$125:$AB$141,0),MATCH(I$93,'R5. ETP17 Summary'!$AC$9:$AK$9,0)),"")</f>
        <v/>
      </c>
      <c r="J201" s="34" t="str">
        <f>IFERROR(INDEX('R5. ETP17 Summary'!$AC$125:$AK$141,MATCH($E201,'R5. ETP17 Summary'!$AB$125:$AB$141,0),MATCH(J$93,'R5. ETP17 Summary'!$AC$9:$AK$9,0)),"")</f>
        <v/>
      </c>
      <c r="K201" s="31">
        <f t="shared" si="15"/>
        <v>24.510958889868956</v>
      </c>
      <c r="L201" s="34">
        <f>IFERROR(INDEX('R5. ETP17 Summary'!$AC$125:$AK$141,MATCH($E201,'R5. ETP17 Summary'!$AB$125:$AB$141,0),MATCH(L$93,'R5. ETP17 Summary'!$AC$9:$AK$9,0)),"")</f>
        <v>34.67982901181125</v>
      </c>
      <c r="M201" s="34">
        <f>IFERROR(INDEX('R5. ETP17 Summary'!$AC$125:$AK$141,MATCH($E201,'R5. ETP17 Summary'!$AB$125:$AB$141,0),MATCH(M$93,'R5. ETP17 Summary'!$AC$9:$AK$9,0)),"")</f>
        <v>50.32522711431087</v>
      </c>
      <c r="N201" s="34">
        <f>IFERROR(INDEX('R5. ETP17 Summary'!$AC$125:$AK$141,MATCH($E201,'R5. ETP17 Summary'!$AB$125:$AB$141,0),MATCH(N$93,'R5. ETP17 Summary'!$AC$9:$AK$9,0)),"")</f>
        <v>69.704243160839894</v>
      </c>
      <c r="O201" s="34">
        <f>IFERROR(INDEX('R5. ETP17 Summary'!$AC$125:$AK$141,MATCH($E201,'R5. ETP17 Summary'!$AB$125:$AB$141,0),MATCH(O$93,'R5. ETP17 Summary'!$AC$9:$AK$9,0)),"")</f>
        <v>90.944845927328146</v>
      </c>
      <c r="P201" s="34">
        <f>IFERROR(INDEX('R5. ETP17 Summary'!$AC$125:$AK$141,MATCH($E201,'R5. ETP17 Summary'!$AB$125:$AB$141,0),MATCH(P$93,'R5. ETP17 Summary'!$AC$9:$AK$9,0)),"")</f>
        <v>121.30262588940374</v>
      </c>
      <c r="Q201" s="34">
        <f>IFERROR(INDEX('R5. ETP17 Summary'!$AC$125:$AK$141,MATCH($E201,'R5. ETP17 Summary'!$AB$125:$AB$141,0),MATCH(Q$93,'R5. ETP17 Summary'!$AC$9:$AK$9,0)),"")</f>
        <v>145.1760884609233</v>
      </c>
      <c r="R201" s="34">
        <f>IFERROR(INDEX('R5. ETP17 Summary'!$AC$125:$AK$141,MATCH($E201,'R5. ETP17 Summary'!$AB$125:$AB$141,0),MATCH(R$93,'R5. ETP17 Summary'!$AC$9:$AK$9,0)),"")</f>
        <v>170.25314778850594</v>
      </c>
      <c r="S201" s="34">
        <f>IFERROR(INDEX('R5. ETP17 Summary'!$AC$125:$AK$141,MATCH($E201,'R5. ETP17 Summary'!$AB$125:$AB$141,0),MATCH(S$93,'R5. ETP17 Summary'!$AC$9:$AK$9,0)),"")</f>
        <v>212.8844884413989</v>
      </c>
    </row>
    <row r="202" spans="1:19" x14ac:dyDescent="0.3">
      <c r="A202" s="3" t="s">
        <v>496</v>
      </c>
      <c r="B202" s="3" t="s">
        <v>383</v>
      </c>
      <c r="C202" s="3" t="str">
        <f>INDEX('R1. Scenario specifications'!$C$11:$C$59,MATCH($B202,'R1. Scenario specifications'!$A$11:$A$59,0))</f>
        <v>Below 2 Degrees Scenario (1.75DS), Energy Technology Perspectives 2017</v>
      </c>
      <c r="D202" s="3" t="s">
        <v>260</v>
      </c>
      <c r="E202" s="3" t="s">
        <v>515</v>
      </c>
      <c r="F202" s="3" t="s">
        <v>501</v>
      </c>
      <c r="G202" s="34">
        <f>IFERROR(INDEX('R5. ETP17 Summary'!$AC$125:$AK$141,MATCH($E202,'R5. ETP17 Summary'!$AB$125:$AB$141,0),MATCH(G$93,'R5. ETP17 Summary'!$AC$9:$AK$9,0)),"")</f>
        <v>340.80495537458751</v>
      </c>
      <c r="H202" s="34" t="str">
        <f>IFERROR(INDEX('R5. ETP17 Summary'!$AC$125:$AK$141,MATCH($E202,'R5. ETP17 Summary'!$AB$125:$AB$141,0),MATCH(H$93,'R5. ETP17 Summary'!$AC$9:$AK$9,0)),"")</f>
        <v/>
      </c>
      <c r="I202" s="34" t="str">
        <f>IFERROR(INDEX('R5. ETP17 Summary'!$AC$125:$AK$141,MATCH($E202,'R5. ETP17 Summary'!$AB$125:$AB$141,0),MATCH(I$93,'R5. ETP17 Summary'!$AC$9:$AK$9,0)),"")</f>
        <v/>
      </c>
      <c r="J202" s="34" t="str">
        <f>IFERROR(INDEX('R5. ETP17 Summary'!$AC$125:$AK$141,MATCH($E202,'R5. ETP17 Summary'!$AB$125:$AB$141,0),MATCH(J$93,'R5. ETP17 Summary'!$AC$9:$AK$9,0)),"")</f>
        <v/>
      </c>
      <c r="K202" s="31">
        <f t="shared" si="15"/>
        <v>784.97213576098989</v>
      </c>
      <c r="L202" s="34">
        <f>IFERROR(INDEX('R5. ETP17 Summary'!$AC$125:$AK$141,MATCH($E202,'R5. ETP17 Summary'!$AB$125:$AB$141,0),MATCH(L$93,'R5. ETP17 Summary'!$AC$9:$AK$9,0)),"")</f>
        <v>1155.1114527496584</v>
      </c>
      <c r="M202" s="34">
        <f>IFERROR(INDEX('R5. ETP17 Summary'!$AC$125:$AK$141,MATCH($E202,'R5. ETP17 Summary'!$AB$125:$AB$141,0),MATCH(M$93,'R5. ETP17 Summary'!$AC$9:$AK$9,0)),"")</f>
        <v>1659.7192613891732</v>
      </c>
      <c r="N202" s="34">
        <f>IFERROR(INDEX('R5. ETP17 Summary'!$AC$125:$AK$141,MATCH($E202,'R5. ETP17 Summary'!$AB$125:$AB$141,0),MATCH(N$93,'R5. ETP17 Summary'!$AC$9:$AK$9,0)),"")</f>
        <v>2073.0673310436641</v>
      </c>
      <c r="O202" s="34">
        <f>IFERROR(INDEX('R5. ETP17 Summary'!$AC$125:$AK$141,MATCH($E202,'R5. ETP17 Summary'!$AB$125:$AB$141,0),MATCH(O$93,'R5. ETP17 Summary'!$AC$9:$AK$9,0)),"")</f>
        <v>2426.3844278391516</v>
      </c>
      <c r="P202" s="34">
        <f>IFERROR(INDEX('R5. ETP17 Summary'!$AC$125:$AK$141,MATCH($E202,'R5. ETP17 Summary'!$AB$125:$AB$141,0),MATCH(P$93,'R5. ETP17 Summary'!$AC$9:$AK$9,0)),"")</f>
        <v>2687.9427020035037</v>
      </c>
      <c r="Q202" s="34">
        <f>IFERROR(INDEX('R5. ETP17 Summary'!$AC$125:$AK$141,MATCH($E202,'R5. ETP17 Summary'!$AB$125:$AB$141,0),MATCH(Q$93,'R5. ETP17 Summary'!$AC$9:$AK$9,0)),"")</f>
        <v>3036.8571260878175</v>
      </c>
      <c r="R202" s="34">
        <f>IFERROR(INDEX('R5. ETP17 Summary'!$AC$125:$AK$141,MATCH($E202,'R5. ETP17 Summary'!$AB$125:$AB$141,0),MATCH(R$93,'R5. ETP17 Summary'!$AC$9:$AK$9,0)),"")</f>
        <v>3275.2988181691894</v>
      </c>
      <c r="S202" s="34">
        <f>IFERROR(INDEX('R5. ETP17 Summary'!$AC$125:$AK$141,MATCH($E202,'R5. ETP17 Summary'!$AB$125:$AB$141,0),MATCH(S$93,'R5. ETP17 Summary'!$AC$9:$AK$9,0)),"")</f>
        <v>3477.0564194873409</v>
      </c>
    </row>
    <row r="203" spans="1:19" x14ac:dyDescent="0.3">
      <c r="A203" s="3" t="s">
        <v>496</v>
      </c>
      <c r="B203" s="3" t="s">
        <v>383</v>
      </c>
      <c r="C203" s="3" t="str">
        <f>INDEX('R1. Scenario specifications'!$C$11:$C$59,MATCH($B203,'R1. Scenario specifications'!$A$11:$A$59,0))</f>
        <v>Below 2 Degrees Scenario (1.75DS), Energy Technology Perspectives 2017</v>
      </c>
      <c r="D203" s="3" t="s">
        <v>260</v>
      </c>
      <c r="E203" s="3" t="s">
        <v>516</v>
      </c>
      <c r="F203" s="3" t="s">
        <v>501</v>
      </c>
      <c r="G203" s="34">
        <f>IFERROR(INDEX('R5. ETP17 Summary'!$AC$125:$AK$141,MATCH($E203,'R5. ETP17 Summary'!$AB$125:$AB$141,0),MATCH(G$93,'R5. ETP17 Summary'!$AC$9:$AK$9,0)),"")</f>
        <v>8.7631800000000002</v>
      </c>
      <c r="H203" s="34" t="str">
        <f>IFERROR(INDEX('R5. ETP17 Summary'!$AC$125:$AK$141,MATCH($E203,'R5. ETP17 Summary'!$AB$125:$AB$141,0),MATCH(H$93,'R5. ETP17 Summary'!$AC$9:$AK$9,0)),"")</f>
        <v/>
      </c>
      <c r="I203" s="34" t="str">
        <f>IFERROR(INDEX('R5. ETP17 Summary'!$AC$125:$AK$141,MATCH($E203,'R5. ETP17 Summary'!$AB$125:$AB$141,0),MATCH(I$93,'R5. ETP17 Summary'!$AC$9:$AK$9,0)),"")</f>
        <v/>
      </c>
      <c r="J203" s="34" t="str">
        <f>IFERROR(INDEX('R5. ETP17 Summary'!$AC$125:$AK$141,MATCH($E203,'R5. ETP17 Summary'!$AB$125:$AB$141,0),MATCH(J$93,'R5. ETP17 Summary'!$AC$9:$AK$9,0)),"")</f>
        <v/>
      </c>
      <c r="K203" s="31">
        <f t="shared" si="15"/>
        <v>38.014825189145689</v>
      </c>
      <c r="L203" s="34">
        <f>IFERROR(INDEX('R5. ETP17 Summary'!$AC$125:$AK$141,MATCH($E203,'R5. ETP17 Summary'!$AB$125:$AB$141,0),MATCH(L$93,'R5. ETP17 Summary'!$AC$9:$AK$9,0)),"")</f>
        <v>62.39119618010043</v>
      </c>
      <c r="M203" s="34">
        <f>IFERROR(INDEX('R5. ETP17 Summary'!$AC$125:$AK$141,MATCH($E203,'R5. ETP17 Summary'!$AB$125:$AB$141,0),MATCH(M$93,'R5. ETP17 Summary'!$AC$9:$AK$9,0)),"")</f>
        <v>121.52503904078114</v>
      </c>
      <c r="N203" s="34">
        <f>IFERROR(INDEX('R5. ETP17 Summary'!$AC$125:$AK$141,MATCH($E203,'R5. ETP17 Summary'!$AB$125:$AB$141,0),MATCH(N$93,'R5. ETP17 Summary'!$AC$9:$AK$9,0)),"")</f>
        <v>193.44893121370706</v>
      </c>
      <c r="O203" s="34">
        <f>IFERROR(INDEX('R5. ETP17 Summary'!$AC$125:$AK$141,MATCH($E203,'R5. ETP17 Summary'!$AB$125:$AB$141,0),MATCH(O$93,'R5. ETP17 Summary'!$AC$9:$AK$9,0)),"")</f>
        <v>267.30382937040144</v>
      </c>
      <c r="P203" s="34">
        <f>IFERROR(INDEX('R5. ETP17 Summary'!$AC$125:$AK$141,MATCH($E203,'R5. ETP17 Summary'!$AB$125:$AB$141,0),MATCH(P$93,'R5. ETP17 Summary'!$AC$9:$AK$9,0)),"")</f>
        <v>341.99749719722951</v>
      </c>
      <c r="Q203" s="34">
        <f>IFERROR(INDEX('R5. ETP17 Summary'!$AC$125:$AK$141,MATCH($E203,'R5. ETP17 Summary'!$AB$125:$AB$141,0),MATCH(Q$93,'R5. ETP17 Summary'!$AC$9:$AK$9,0)),"")</f>
        <v>436.82448975406021</v>
      </c>
      <c r="R203" s="34">
        <f>IFERROR(INDEX('R5. ETP17 Summary'!$AC$125:$AK$141,MATCH($E203,'R5. ETP17 Summary'!$AB$125:$AB$141,0),MATCH(R$93,'R5. ETP17 Summary'!$AC$9:$AK$9,0)),"")</f>
        <v>555.86988063487161</v>
      </c>
      <c r="S203" s="34">
        <f>IFERROR(INDEX('R5. ETP17 Summary'!$AC$125:$AK$141,MATCH($E203,'R5. ETP17 Summary'!$AB$125:$AB$141,0),MATCH(S$93,'R5. ETP17 Summary'!$AC$9:$AK$9,0)),"")</f>
        <v>690.1809148467122</v>
      </c>
    </row>
    <row r="204" spans="1:19" x14ac:dyDescent="0.3">
      <c r="A204" s="3" t="s">
        <v>496</v>
      </c>
      <c r="B204" s="3" t="s">
        <v>383</v>
      </c>
      <c r="C204" s="3" t="str">
        <f>INDEX('R1. Scenario specifications'!$C$11:$C$59,MATCH($B204,'R1. Scenario specifications'!$A$11:$A$59,0))</f>
        <v>Below 2 Degrees Scenario (1.75DS), Energy Technology Perspectives 2017</v>
      </c>
      <c r="D204" s="3" t="s">
        <v>259</v>
      </c>
      <c r="E204" s="3" t="s">
        <v>504</v>
      </c>
      <c r="F204" s="3" t="s">
        <v>501</v>
      </c>
      <c r="G204" s="34">
        <f>IFERROR(INDEX('R5. ETP17 Summary'!$AC$125:$AK$141,MATCH($E204,'R5. ETP17 Summary'!$AB$125:$AB$141,0),MATCH(G$93,'R5. ETP17 Summary'!$AC$9:$AK$9,0)),"")</f>
        <v>177.99678700200658</v>
      </c>
      <c r="H204" s="34" t="str">
        <f>IFERROR(INDEX('R5. ETP17 Summary'!$AC$125:$AK$141,MATCH($E204,'R5. ETP17 Summary'!$AB$125:$AB$141,0),MATCH(H$93,'R5. ETP17 Summary'!$AC$9:$AK$9,0)),"")</f>
        <v/>
      </c>
      <c r="I204" s="34" t="str">
        <f>IFERROR(INDEX('R5. ETP17 Summary'!$AC$125:$AK$141,MATCH($E204,'R5. ETP17 Summary'!$AB$125:$AB$141,0),MATCH(I$93,'R5. ETP17 Summary'!$AC$9:$AK$9,0)),"")</f>
        <v/>
      </c>
      <c r="J204" s="34" t="str">
        <f>IFERROR(INDEX('R5. ETP17 Summary'!$AC$125:$AK$141,MATCH($E204,'R5. ETP17 Summary'!$AB$125:$AB$141,0),MATCH(J$93,'R5. ETP17 Summary'!$AC$9:$AK$9,0)),"")</f>
        <v/>
      </c>
      <c r="K204" s="31">
        <f t="shared" si="15"/>
        <v>491.60814211977743</v>
      </c>
      <c r="L204" s="34">
        <f>IFERROR(INDEX('R5. ETP17 Summary'!$AC$125:$AK$141,MATCH($E204,'R5. ETP17 Summary'!$AB$125:$AB$141,0),MATCH(L$93,'R5. ETP17 Summary'!$AC$9:$AK$9,0)),"")</f>
        <v>752.95093805125327</v>
      </c>
      <c r="M204" s="34">
        <f>IFERROR(INDEX('R5. ETP17 Summary'!$AC$125:$AK$141,MATCH($E204,'R5. ETP17 Summary'!$AB$125:$AB$141,0),MATCH(M$93,'R5. ETP17 Summary'!$AC$9:$AK$9,0)),"")</f>
        <v>1162.33799605746</v>
      </c>
      <c r="N204" s="34">
        <f>IFERROR(INDEX('R5. ETP17 Summary'!$AC$125:$AK$141,MATCH($E204,'R5. ETP17 Summary'!$AB$125:$AB$141,0),MATCH(N$93,'R5. ETP17 Summary'!$AC$9:$AK$9,0)),"")</f>
        <v>1771.2562459937669</v>
      </c>
      <c r="O204" s="34">
        <f>IFERROR(INDEX('R5. ETP17 Summary'!$AC$125:$AK$141,MATCH($E204,'R5. ETP17 Summary'!$AB$125:$AB$141,0),MATCH(O$93,'R5. ETP17 Summary'!$AC$9:$AK$9,0)),"")</f>
        <v>2540.3906783841362</v>
      </c>
      <c r="P204" s="34">
        <f>IFERROR(INDEX('R5. ETP17 Summary'!$AC$125:$AK$141,MATCH($E204,'R5. ETP17 Summary'!$AB$125:$AB$141,0),MATCH(P$93,'R5. ETP17 Summary'!$AC$9:$AK$9,0)),"")</f>
        <v>3480.7180174474261</v>
      </c>
      <c r="Q204" s="34">
        <f>IFERROR(INDEX('R5. ETP17 Summary'!$AC$125:$AK$141,MATCH($E204,'R5. ETP17 Summary'!$AB$125:$AB$141,0),MATCH(Q$93,'R5. ETP17 Summary'!$AC$9:$AK$9,0)),"")</f>
        <v>4424.1306688407958</v>
      </c>
      <c r="R204" s="34">
        <f>IFERROR(INDEX('R5. ETP17 Summary'!$AC$125:$AK$141,MATCH($E204,'R5. ETP17 Summary'!$AB$125:$AB$141,0),MATCH(R$93,'R5. ETP17 Summary'!$AC$9:$AK$9,0)),"")</f>
        <v>5550.1550504998295</v>
      </c>
      <c r="S204" s="34">
        <f>IFERROR(INDEX('R5. ETP17 Summary'!$AC$125:$AK$141,MATCH($E204,'R5. ETP17 Summary'!$AB$125:$AB$141,0),MATCH(S$93,'R5. ETP17 Summary'!$AC$9:$AK$9,0)),"")</f>
        <v>6697.0570240831321</v>
      </c>
    </row>
    <row r="205" spans="1:19" x14ac:dyDescent="0.3">
      <c r="A205" s="3" t="s">
        <v>496</v>
      </c>
      <c r="B205" s="3" t="s">
        <v>383</v>
      </c>
      <c r="C205" s="3" t="str">
        <f>INDEX('R1. Scenario specifications'!$C$11:$C$59,MATCH($B205,'R1. Scenario specifications'!$A$11:$A$59,0))</f>
        <v>Below 2 Degrees Scenario (1.75DS), Energy Technology Perspectives 2017</v>
      </c>
      <c r="D205" s="3" t="s">
        <v>259</v>
      </c>
      <c r="E205" s="3" t="s">
        <v>517</v>
      </c>
      <c r="F205" s="3" t="s">
        <v>501</v>
      </c>
      <c r="G205" s="34">
        <f>IFERROR(INDEX('R5. ETP17 Summary'!$AC$125:$AK$141,MATCH($E205,'R5. ETP17 Summary'!$AB$125:$AB$141,0),MATCH(G$93,'R5. ETP17 Summary'!$AC$9:$AK$9,0)),"")</f>
        <v>7.4322450585597988</v>
      </c>
      <c r="H205" s="34" t="str">
        <f>IFERROR(INDEX('R5. ETP17 Summary'!$AC$125:$AK$141,MATCH($E205,'R5. ETP17 Summary'!$AB$125:$AB$141,0),MATCH(H$93,'R5. ETP17 Summary'!$AC$9:$AK$9,0)),"")</f>
        <v/>
      </c>
      <c r="I205" s="34" t="str">
        <f>IFERROR(INDEX('R5. ETP17 Summary'!$AC$125:$AK$141,MATCH($E205,'R5. ETP17 Summary'!$AB$125:$AB$141,0),MATCH(I$93,'R5. ETP17 Summary'!$AC$9:$AK$9,0)),"")</f>
        <v/>
      </c>
      <c r="J205" s="34" t="str">
        <f>IFERROR(INDEX('R5. ETP17 Summary'!$AC$125:$AK$141,MATCH($E205,'R5. ETP17 Summary'!$AB$125:$AB$141,0),MATCH(J$93,'R5. ETP17 Summary'!$AC$9:$AK$9,0)),"")</f>
        <v/>
      </c>
      <c r="K205" s="31">
        <f t="shared" si="15"/>
        <v>55.97438070661223</v>
      </c>
      <c r="L205" s="34">
        <f>IFERROR(INDEX('R5. ETP17 Summary'!$AC$125:$AK$141,MATCH($E205,'R5. ETP17 Summary'!$AB$125:$AB$141,0),MATCH(L$93,'R5. ETP17 Summary'!$AC$9:$AK$9,0)),"")</f>
        <v>96.426160413322577</v>
      </c>
      <c r="M205" s="34">
        <f>IFERROR(INDEX('R5. ETP17 Summary'!$AC$125:$AK$141,MATCH($E205,'R5. ETP17 Summary'!$AB$125:$AB$141,0),MATCH(M$93,'R5. ETP17 Summary'!$AC$9:$AK$9,0)),"")</f>
        <v>203.11129953948691</v>
      </c>
      <c r="N205" s="34">
        <f>IFERROR(INDEX('R5. ETP17 Summary'!$AC$125:$AK$141,MATCH($E205,'R5. ETP17 Summary'!$AB$125:$AB$141,0),MATCH(N$93,'R5. ETP17 Summary'!$AC$9:$AK$9,0)),"")</f>
        <v>373.04736991259136</v>
      </c>
      <c r="O205" s="34">
        <f>IFERROR(INDEX('R5. ETP17 Summary'!$AC$125:$AK$141,MATCH($E205,'R5. ETP17 Summary'!$AB$125:$AB$141,0),MATCH(O$93,'R5. ETP17 Summary'!$AC$9:$AK$9,0)),"")</f>
        <v>565.14171815073132</v>
      </c>
      <c r="P205" s="34">
        <f>IFERROR(INDEX('R5. ETP17 Summary'!$AC$125:$AK$141,MATCH($E205,'R5. ETP17 Summary'!$AB$125:$AB$141,0),MATCH(P$93,'R5. ETP17 Summary'!$AC$9:$AK$9,0)),"")</f>
        <v>745.80572226564232</v>
      </c>
      <c r="Q205" s="34">
        <f>IFERROR(INDEX('R5. ETP17 Summary'!$AC$125:$AK$141,MATCH($E205,'R5. ETP17 Summary'!$AB$125:$AB$141,0),MATCH(Q$93,'R5. ETP17 Summary'!$AC$9:$AK$9,0)),"")</f>
        <v>939.15719961818252</v>
      </c>
      <c r="R205" s="34">
        <f>IFERROR(INDEX('R5. ETP17 Summary'!$AC$125:$AK$141,MATCH($E205,'R5. ETP17 Summary'!$AB$125:$AB$141,0),MATCH(R$93,'R5. ETP17 Summary'!$AC$9:$AK$9,0)),"")</f>
        <v>1128.4563333754509</v>
      </c>
      <c r="S205" s="34">
        <f>IFERROR(INDEX('R5. ETP17 Summary'!$AC$125:$AK$141,MATCH($E205,'R5. ETP17 Summary'!$AB$125:$AB$141,0),MATCH(S$93,'R5. ETP17 Summary'!$AC$9:$AK$9,0)),"")</f>
        <v>1276.7891871589641</v>
      </c>
    </row>
    <row r="206" spans="1:19" x14ac:dyDescent="0.3">
      <c r="A206" s="3" t="s">
        <v>496</v>
      </c>
      <c r="B206" s="3" t="s">
        <v>383</v>
      </c>
      <c r="C206" s="3" t="str">
        <f>INDEX('R1. Scenario specifications'!$C$11:$C$59,MATCH($B206,'R1. Scenario specifications'!$A$11:$A$59,0))</f>
        <v>Below 2 Degrees Scenario (1.75DS), Energy Technology Perspectives 2017</v>
      </c>
      <c r="D206" s="3" t="s">
        <v>258</v>
      </c>
      <c r="E206" s="3" t="s">
        <v>518</v>
      </c>
      <c r="F206" s="3" t="s">
        <v>501</v>
      </c>
      <c r="G206" s="34">
        <f>IFERROR(INDEX('R5. ETP17 Summary'!$AC$125:$AK$141,MATCH($E206,'R5. ETP17 Summary'!$AB$125:$AB$141,0),MATCH(G$93,'R5. ETP17 Summary'!$AC$9:$AK$9,0)),"")</f>
        <v>0.53652000000000011</v>
      </c>
      <c r="H206" s="34" t="str">
        <f>IFERROR(INDEX('R5. ETP17 Summary'!$AC$125:$AK$141,MATCH($E206,'R5. ETP17 Summary'!$AB$125:$AB$141,0),MATCH(H$93,'R5. ETP17 Summary'!$AC$9:$AK$9,0)),"")</f>
        <v/>
      </c>
      <c r="I206" s="34" t="str">
        <f>IFERROR(INDEX('R5. ETP17 Summary'!$AC$125:$AK$141,MATCH($E206,'R5. ETP17 Summary'!$AB$125:$AB$141,0),MATCH(I$93,'R5. ETP17 Summary'!$AC$9:$AK$9,0)),"")</f>
        <v/>
      </c>
      <c r="J206" s="34" t="str">
        <f>IFERROR(INDEX('R5. ETP17 Summary'!$AC$125:$AK$141,MATCH($E206,'R5. ETP17 Summary'!$AB$125:$AB$141,0),MATCH(J$93,'R5. ETP17 Summary'!$AC$9:$AK$9,0)),"")</f>
        <v/>
      </c>
      <c r="K206" s="31">
        <f t="shared" si="15"/>
        <v>1.616689904037778</v>
      </c>
      <c r="L206" s="34">
        <f>IFERROR(INDEX('R5. ETP17 Summary'!$AC$125:$AK$141,MATCH($E206,'R5. ETP17 Summary'!$AB$125:$AB$141,0),MATCH(L$93,'R5. ETP17 Summary'!$AC$9:$AK$9,0)),"")</f>
        <v>2.5168314907359264</v>
      </c>
      <c r="M206" s="34">
        <f>IFERROR(INDEX('R5. ETP17 Summary'!$AC$125:$AK$141,MATCH($E206,'R5. ETP17 Summary'!$AB$125:$AB$141,0),MATCH(M$93,'R5. ETP17 Summary'!$AC$9:$AK$9,0)),"")</f>
        <v>6.9099857107981491</v>
      </c>
      <c r="N206" s="34">
        <f>IFERROR(INDEX('R5. ETP17 Summary'!$AC$125:$AK$141,MATCH($E206,'R5. ETP17 Summary'!$AB$125:$AB$141,0),MATCH(N$93,'R5. ETP17 Summary'!$AC$9:$AK$9,0)),"")</f>
        <v>19.381115844225388</v>
      </c>
      <c r="O206" s="34">
        <f>IFERROR(INDEX('R5. ETP17 Summary'!$AC$125:$AK$141,MATCH($E206,'R5. ETP17 Summary'!$AB$125:$AB$141,0),MATCH(O$93,'R5. ETP17 Summary'!$AC$9:$AK$9,0)),"")</f>
        <v>42.391867599642559</v>
      </c>
      <c r="P206" s="34">
        <f>IFERROR(INDEX('R5. ETP17 Summary'!$AC$125:$AK$141,MATCH($E206,'R5. ETP17 Summary'!$AB$125:$AB$141,0),MATCH(P$93,'R5. ETP17 Summary'!$AC$9:$AK$9,0)),"")</f>
        <v>92.237369937229573</v>
      </c>
      <c r="Q206" s="34">
        <f>IFERROR(INDEX('R5. ETP17 Summary'!$AC$125:$AK$141,MATCH($E206,'R5. ETP17 Summary'!$AB$125:$AB$141,0),MATCH(Q$93,'R5. ETP17 Summary'!$AC$9:$AK$9,0)),"")</f>
        <v>181.58086918544387</v>
      </c>
      <c r="R206" s="34">
        <f>IFERROR(INDEX('R5. ETP17 Summary'!$AC$125:$AK$141,MATCH($E206,'R5. ETP17 Summary'!$AB$125:$AB$141,0),MATCH(R$93,'R5. ETP17 Summary'!$AC$9:$AK$9,0)),"")</f>
        <v>269.89954753962672</v>
      </c>
      <c r="S206" s="34">
        <f>IFERROR(INDEX('R5. ETP17 Summary'!$AC$125:$AK$141,MATCH($E206,'R5. ETP17 Summary'!$AB$125:$AB$141,0),MATCH(S$93,'R5. ETP17 Summary'!$AC$9:$AK$9,0)),"")</f>
        <v>335.29781962298489</v>
      </c>
    </row>
    <row r="207" spans="1:19" x14ac:dyDescent="0.3">
      <c r="A207" s="39" t="s">
        <v>496</v>
      </c>
      <c r="B207" s="39" t="s">
        <v>383</v>
      </c>
      <c r="C207" s="39" t="str">
        <f>INDEX('R1. Scenario specifications'!$C$11:$C$59,MATCH($B207,'R1. Scenario specifications'!$A$11:$A$59,0))</f>
        <v>Below 2 Degrees Scenario (1.75DS), Energy Technology Perspectives 2017</v>
      </c>
      <c r="D207" s="39" t="s">
        <v>258</v>
      </c>
      <c r="E207" s="39" t="s">
        <v>258</v>
      </c>
      <c r="F207" s="39" t="s">
        <v>501</v>
      </c>
      <c r="G207" s="52">
        <f>IFERROR(INDEX('R5. ETP17 Summary'!$AC$125:$AK$141,MATCH($E207,'R5. ETP17 Summary'!$AB$125:$AB$141,0),MATCH(G$93,'R5. ETP17 Summary'!$AC$9:$AK$9,0)),"")</f>
        <v>0</v>
      </c>
      <c r="H207" s="52" t="str">
        <f>IFERROR(INDEX('R5. ETP17 Summary'!$AC$125:$AK$141,MATCH($E207,'R5. ETP17 Summary'!$AB$125:$AB$141,0),MATCH(H$93,'R5. ETP17 Summary'!$AC$9:$AK$9,0)),"")</f>
        <v/>
      </c>
      <c r="I207" s="52" t="str">
        <f>IFERROR(INDEX('R5. ETP17 Summary'!$AC$125:$AK$141,MATCH($E207,'R5. ETP17 Summary'!$AB$125:$AB$141,0),MATCH(I$93,'R5. ETP17 Summary'!$AC$9:$AK$9,0)),"")</f>
        <v/>
      </c>
      <c r="J207" s="52" t="str">
        <f>IFERROR(INDEX('R5. ETP17 Summary'!$AC$125:$AK$141,MATCH($E207,'R5. ETP17 Summary'!$AB$125:$AB$141,0),MATCH(J$93,'R5. ETP17 Summary'!$AC$9:$AK$9,0)),"")</f>
        <v/>
      </c>
      <c r="K207" s="40">
        <f t="shared" si="15"/>
        <v>0</v>
      </c>
      <c r="L207" s="52">
        <f>IFERROR(INDEX('R5. ETP17 Summary'!$AC$125:$AK$141,MATCH($E207,'R5. ETP17 Summary'!$AB$125:$AB$141,0),MATCH(L$93,'R5. ETP17 Summary'!$AC$9:$AK$9,0)),"")</f>
        <v>0</v>
      </c>
      <c r="M207" s="52">
        <f>IFERROR(INDEX('R5. ETP17 Summary'!$AC$125:$AK$141,MATCH($E207,'R5. ETP17 Summary'!$AB$125:$AB$141,0),MATCH(M$93,'R5. ETP17 Summary'!$AC$9:$AK$9,0)),"")</f>
        <v>0</v>
      </c>
      <c r="N207" s="52">
        <f>IFERROR(INDEX('R5. ETP17 Summary'!$AC$125:$AK$141,MATCH($E207,'R5. ETP17 Summary'!$AB$125:$AB$141,0),MATCH(N$93,'R5. ETP17 Summary'!$AC$9:$AK$9,0)),"")</f>
        <v>0</v>
      </c>
      <c r="O207" s="52">
        <f>IFERROR(INDEX('R5. ETP17 Summary'!$AC$125:$AK$141,MATCH($E207,'R5. ETP17 Summary'!$AB$125:$AB$141,0),MATCH(O$93,'R5. ETP17 Summary'!$AC$9:$AK$9,0)),"")</f>
        <v>0</v>
      </c>
      <c r="P207" s="52">
        <f>IFERROR(INDEX('R5. ETP17 Summary'!$AC$125:$AK$141,MATCH($E207,'R5. ETP17 Summary'!$AB$125:$AB$141,0),MATCH(P$93,'R5. ETP17 Summary'!$AC$9:$AK$9,0)),"")</f>
        <v>0</v>
      </c>
      <c r="Q207" s="52">
        <f>IFERROR(INDEX('R5. ETP17 Summary'!$AC$125:$AK$141,MATCH($E207,'R5. ETP17 Summary'!$AB$125:$AB$141,0),MATCH(Q$93,'R5. ETP17 Summary'!$AC$9:$AK$9,0)),"")</f>
        <v>0</v>
      </c>
      <c r="R207" s="52">
        <f>IFERROR(INDEX('R5. ETP17 Summary'!$AC$125:$AK$141,MATCH($E207,'R5. ETP17 Summary'!$AB$125:$AB$141,0),MATCH(R$93,'R5. ETP17 Summary'!$AC$9:$AK$9,0)),"")</f>
        <v>0</v>
      </c>
      <c r="S207" s="52">
        <f>IFERROR(INDEX('R5. ETP17 Summary'!$AC$125:$AK$141,MATCH($E207,'R5. ETP17 Summary'!$AB$125:$AB$141,0),MATCH(S$93,'R5. ETP17 Summary'!$AC$9:$AK$9,0)),"")</f>
        <v>0</v>
      </c>
    </row>
  </sheetData>
  <conditionalFormatting sqref="V93:XFD108 A93:A104 C95:E104 F95:F126 G105:H126 T109:XFD126 C93:S93 P94:S126 G95:J104 D94:O94 K95:O126 D105:E137 F127:XFD159 A208:XFD218 A127:B175 D161:XFD175 F176:XFD207 D160:J160 L160:XFD160 A324:XFD1048576 A219:C323 E219:XFD323 A1:XFD9 A91:XFD92 A10:A90 C10:XFD90">
    <cfRule type="expression" dxfId="82" priority="16">
      <formula>_xlfn.ISFORMULA(A1)</formula>
    </cfRule>
  </conditionalFormatting>
  <conditionalFormatting sqref="A105:A115 C105:C115">
    <cfRule type="expression" dxfId="81" priority="15">
      <formula>_xlfn.ISFORMULA(A105)</formula>
    </cfRule>
  </conditionalFormatting>
  <conditionalFormatting sqref="A116:A126 C116:C126">
    <cfRule type="expression" dxfId="80" priority="14">
      <formula>_xlfn.ISFORMULA(A116)</formula>
    </cfRule>
  </conditionalFormatting>
  <conditionalFormatting sqref="I105:J115">
    <cfRule type="expression" dxfId="79" priority="13">
      <formula>_xlfn.ISFORMULA(I105)</formula>
    </cfRule>
  </conditionalFormatting>
  <conditionalFormatting sqref="I116:J126">
    <cfRule type="expression" dxfId="78" priority="12">
      <formula>_xlfn.ISFORMULA(I116)</formula>
    </cfRule>
  </conditionalFormatting>
  <conditionalFormatting sqref="C127:C159">
    <cfRule type="expression" dxfId="77" priority="11">
      <formula>_xlfn.ISFORMULA(C127)</formula>
    </cfRule>
  </conditionalFormatting>
  <conditionalFormatting sqref="D138:E148">
    <cfRule type="expression" dxfId="76" priority="10">
      <formula>_xlfn.ISFORMULA(D138)</formula>
    </cfRule>
  </conditionalFormatting>
  <conditionalFormatting sqref="D149:E159">
    <cfRule type="expression" dxfId="75" priority="9">
      <formula>_xlfn.ISFORMULA(D149)</formula>
    </cfRule>
  </conditionalFormatting>
  <conditionalFormatting sqref="C160:C175">
    <cfRule type="expression" dxfId="74" priority="8">
      <formula>_xlfn.ISFORMULA(C160)</formula>
    </cfRule>
  </conditionalFormatting>
  <conditionalFormatting sqref="D176:E191 A176:B191">
    <cfRule type="expression" dxfId="73" priority="7">
      <formula>_xlfn.ISFORMULA(A176)</formula>
    </cfRule>
  </conditionalFormatting>
  <conditionalFormatting sqref="C176:C191">
    <cfRule type="expression" dxfId="72" priority="6">
      <formula>_xlfn.ISFORMULA(C176)</formula>
    </cfRule>
  </conditionalFormatting>
  <conditionalFormatting sqref="D192:E207 A192:B207">
    <cfRule type="expression" dxfId="71" priority="5">
      <formula>_xlfn.ISFORMULA(A192)</formula>
    </cfRule>
  </conditionalFormatting>
  <conditionalFormatting sqref="C192:C207">
    <cfRule type="expression" dxfId="70" priority="4">
      <formula>_xlfn.ISFORMULA(C192)</formula>
    </cfRule>
  </conditionalFormatting>
  <conditionalFormatting sqref="K160">
    <cfRule type="expression" dxfId="69" priority="3">
      <formula>_xlfn.ISFORMULA(K160)</formula>
    </cfRule>
  </conditionalFormatting>
  <conditionalFormatting sqref="B10:B90">
    <cfRule type="expression" dxfId="68" priority="2">
      <formula>_xlfn.ISFORMULA(B10)</formula>
    </cfRule>
  </conditionalFormatting>
  <conditionalFormatting sqref="C94">
    <cfRule type="expression" dxfId="67" priority="1">
      <formula>_xlfn.ISFORMULA(C94)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6DEC9-8C84-4387-8F60-27468513B67A}">
  <sheetPr>
    <tabColor theme="5" tint="0.39997558519241921"/>
  </sheetPr>
  <dimension ref="A1:N29"/>
  <sheetViews>
    <sheetView workbookViewId="0"/>
  </sheetViews>
  <sheetFormatPr defaultColWidth="15.77734375" defaultRowHeight="14.4" x14ac:dyDescent="0.3"/>
  <cols>
    <col min="1" max="2" width="15.77734375" style="3" customWidth="1"/>
    <col min="3" max="5" width="12.77734375" style="3" customWidth="1"/>
    <col min="6" max="16384" width="15.77734375" style="3"/>
  </cols>
  <sheetData>
    <row r="1" spans="1:14" s="13" customFormat="1" ht="36.6" x14ac:dyDescent="0.7">
      <c r="A1" s="13" t="s">
        <v>1000</v>
      </c>
    </row>
    <row r="2" spans="1:14" s="5" customFormat="1" x14ac:dyDescent="0.3">
      <c r="A2" s="5" t="s">
        <v>5</v>
      </c>
      <c r="B2" s="5" t="s">
        <v>1001</v>
      </c>
    </row>
    <row r="3" spans="1:14" s="5" customFormat="1" x14ac:dyDescent="0.3">
      <c r="A3" s="5" t="s">
        <v>6</v>
      </c>
      <c r="B3" s="5" t="s">
        <v>519</v>
      </c>
    </row>
    <row r="4" spans="1:14" s="5" customFormat="1" x14ac:dyDescent="0.3">
      <c r="A4" s="5" t="s">
        <v>4</v>
      </c>
      <c r="B4" s="5" t="s">
        <v>476</v>
      </c>
    </row>
    <row r="5" spans="1:14" s="5" customFormat="1" x14ac:dyDescent="0.3">
      <c r="A5" s="5" t="s">
        <v>2</v>
      </c>
      <c r="B5" s="5" t="s">
        <v>1002</v>
      </c>
    </row>
    <row r="6" spans="1:14" s="5" customFormat="1" x14ac:dyDescent="0.3">
      <c r="A6" s="5" t="s">
        <v>478</v>
      </c>
      <c r="B6" s="5" t="s">
        <v>479</v>
      </c>
      <c r="C6" s="5" t="s">
        <v>480</v>
      </c>
      <c r="D6" s="5" t="s">
        <v>481</v>
      </c>
    </row>
    <row r="7" spans="1:14" s="5" customFormat="1" x14ac:dyDescent="0.3">
      <c r="B7" s="51">
        <f>'R2. Unit conversion factors'!$E$15</f>
        <v>1.0127580003920797</v>
      </c>
      <c r="C7" s="5" t="s">
        <v>520</v>
      </c>
      <c r="D7" s="5" t="s">
        <v>247</v>
      </c>
    </row>
    <row r="8" spans="1:14" ht="15" thickBot="1" x14ac:dyDescent="0.35"/>
    <row r="9" spans="1:14" s="15" customFormat="1" ht="15" thickBot="1" x14ac:dyDescent="0.35">
      <c r="A9" s="15" t="s">
        <v>487</v>
      </c>
    </row>
    <row r="10" spans="1:14" x14ac:dyDescent="0.3">
      <c r="A10" s="3" t="s">
        <v>8</v>
      </c>
      <c r="B10" s="3" t="s">
        <v>86</v>
      </c>
      <c r="C10" s="3" t="s">
        <v>480</v>
      </c>
      <c r="D10" s="3" t="s">
        <v>481</v>
      </c>
      <c r="E10" s="3">
        <v>2020</v>
      </c>
      <c r="F10" s="3">
        <v>2030</v>
      </c>
      <c r="G10" s="3">
        <v>2040</v>
      </c>
      <c r="H10" s="3">
        <v>2050</v>
      </c>
    </row>
    <row r="11" spans="1:14" x14ac:dyDescent="0.3">
      <c r="A11" s="3" t="s">
        <v>378</v>
      </c>
      <c r="B11" s="3" t="str">
        <f>INDEX('R1. Scenario specifications'!$C$11:$C$59,MATCH($A11,'R1. Scenario specifications'!$A$11:$A$59,0))</f>
        <v>Current Policies Scenario, World Energy Outlook 2016</v>
      </c>
      <c r="C11" s="3" t="s">
        <v>520</v>
      </c>
      <c r="D11" s="3" t="s">
        <v>247</v>
      </c>
      <c r="E11" s="14">
        <f t="shared" ref="E11:H13" si="0">AVERAGEIFS(F$17:F$29,$B$17:$B$29,$A11)*$B$7</f>
        <v>7.291857602822974</v>
      </c>
      <c r="F11" s="14">
        <f t="shared" si="0"/>
        <v>12.153096004704956</v>
      </c>
      <c r="G11" s="14">
        <f t="shared" si="0"/>
        <v>16.204128006273276</v>
      </c>
      <c r="H11" s="14">
        <f t="shared" si="0"/>
        <v>20.255160007841596</v>
      </c>
    </row>
    <row r="12" spans="1:14" x14ac:dyDescent="0.3">
      <c r="A12" s="3" t="s">
        <v>379</v>
      </c>
      <c r="B12" s="3" t="str">
        <f>INDEX('R1. Scenario specifications'!$C$11:$C$59,MATCH($A12,'R1. Scenario specifications'!$A$11:$A$59,0))</f>
        <v>New Policies Scenario, World Energy Outlook 2016</v>
      </c>
      <c r="C12" s="3" t="s">
        <v>520</v>
      </c>
      <c r="D12" s="3" t="s">
        <v>247</v>
      </c>
      <c r="E12" s="14">
        <f t="shared" si="0"/>
        <v>12.760750804940205</v>
      </c>
      <c r="F12" s="14">
        <f t="shared" si="0"/>
        <v>25.11639840972358</v>
      </c>
      <c r="G12" s="14">
        <f t="shared" si="0"/>
        <v>36.256736414036453</v>
      </c>
      <c r="H12" s="14">
        <f t="shared" si="0"/>
        <v>47.397074418349327</v>
      </c>
    </row>
    <row r="13" spans="1:14" x14ac:dyDescent="0.3">
      <c r="A13" s="3" t="s">
        <v>380</v>
      </c>
      <c r="B13" s="3" t="str">
        <f>INDEX('R1. Scenario specifications'!$C$11:$C$59,MATCH($A13,'R1. Scenario specifications'!$A$11:$A$59,0))</f>
        <v>450 Scenario, World Energy Outlook 2016</v>
      </c>
      <c r="C13" s="3" t="s">
        <v>520</v>
      </c>
      <c r="D13" s="3" t="s">
        <v>247</v>
      </c>
      <c r="E13" s="14">
        <f t="shared" si="0"/>
        <v>16.879300006534663</v>
      </c>
      <c r="F13" s="14">
        <f t="shared" si="0"/>
        <v>92.836150035940648</v>
      </c>
      <c r="G13" s="14">
        <f t="shared" si="0"/>
        <v>136.72233005293077</v>
      </c>
      <c r="H13" s="14">
        <f t="shared" si="0"/>
        <v>180.6085100699209</v>
      </c>
    </row>
    <row r="14" spans="1:14" ht="15" thickBot="1" x14ac:dyDescent="0.35"/>
    <row r="15" spans="1:14" s="15" customFormat="1" ht="15" thickBot="1" x14ac:dyDescent="0.35">
      <c r="A15" s="15" t="s">
        <v>488</v>
      </c>
    </row>
    <row r="16" spans="1:14" x14ac:dyDescent="0.3">
      <c r="A16" s="3" t="s">
        <v>489</v>
      </c>
      <c r="B16" s="3" t="s">
        <v>8</v>
      </c>
      <c r="C16" s="3" t="s">
        <v>86</v>
      </c>
      <c r="D16" s="3" t="s">
        <v>76</v>
      </c>
      <c r="E16" s="3" t="s">
        <v>521</v>
      </c>
      <c r="F16" s="3">
        <v>2020</v>
      </c>
      <c r="G16" s="3">
        <v>2030</v>
      </c>
      <c r="H16" s="3">
        <v>2040</v>
      </c>
      <c r="I16" s="3">
        <v>2050</v>
      </c>
      <c r="N16" s="27"/>
    </row>
    <row r="17" spans="1:9" x14ac:dyDescent="0.3">
      <c r="A17" s="3" t="s">
        <v>522</v>
      </c>
      <c r="B17" s="3" t="s">
        <v>378</v>
      </c>
      <c r="C17" s="3" t="str">
        <f>INDEX('R1. Scenario specifications'!$C$11:$C$59,MATCH($B17,'R1. Scenario specifications'!$A$11:$A$59,0))</f>
        <v>Current Policies Scenario, World Energy Outlook 2016</v>
      </c>
      <c r="D17" s="3" t="str">
        <f>'R11. WEO16 CO2 prices'!C10</f>
        <v>European Union</v>
      </c>
      <c r="E17" s="3" t="str">
        <f>'R11. WEO16 CO2 prices'!D10</f>
        <v>Power, industry, aviation</v>
      </c>
      <c r="F17" s="3">
        <f>'R11. WEO16 CO2 prices'!E10</f>
        <v>18</v>
      </c>
      <c r="G17" s="3">
        <f>'R11. WEO16 CO2 prices'!F10</f>
        <v>30</v>
      </c>
      <c r="H17" s="3">
        <f>'R11. WEO16 CO2 prices'!G10</f>
        <v>40</v>
      </c>
      <c r="I17" s="17">
        <f>TREND($G17:$H17,$G$16:$H$16,I$16)</f>
        <v>50</v>
      </c>
    </row>
    <row r="18" spans="1:9" x14ac:dyDescent="0.3">
      <c r="A18" s="3" t="s">
        <v>522</v>
      </c>
      <c r="B18" s="3" t="s">
        <v>378</v>
      </c>
      <c r="C18" s="3" t="str">
        <f>INDEX('R1. Scenario specifications'!$C$11:$C$59,MATCH($B18,'R1. Scenario specifications'!$A$11:$A$59,0))</f>
        <v>Current Policies Scenario, World Energy Outlook 2016</v>
      </c>
      <c r="D18" s="3" t="str">
        <f>'R11. WEO16 CO2 prices'!C11</f>
        <v>Korea</v>
      </c>
      <c r="E18" s="3" t="str">
        <f>'R11. WEO16 CO2 prices'!D11</f>
        <v>Power, industry</v>
      </c>
      <c r="F18" s="3">
        <f>'R11. WEO16 CO2 prices'!E11</f>
        <v>18</v>
      </c>
      <c r="G18" s="3">
        <f>'R11. WEO16 CO2 prices'!F11</f>
        <v>30</v>
      </c>
      <c r="H18" s="3">
        <f>'R11. WEO16 CO2 prices'!G11</f>
        <v>40</v>
      </c>
      <c r="I18" s="17">
        <f t="shared" ref="I18:I29" si="1">TREND($G18:$H18,$G$16:$H$16,I$16)</f>
        <v>50</v>
      </c>
    </row>
    <row r="19" spans="1:9" x14ac:dyDescent="0.3">
      <c r="A19" s="3" t="s">
        <v>522</v>
      </c>
      <c r="B19" s="3" t="s">
        <v>378</v>
      </c>
      <c r="C19" s="3" t="str">
        <f>INDEX('R1. Scenario specifications'!$C$11:$C$59,MATCH($B19,'R1. Scenario specifications'!$A$11:$A$59,0))</f>
        <v>Current Policies Scenario, World Energy Outlook 2016</v>
      </c>
      <c r="D19" s="3" t="str">
        <f>'R11. WEO16 CO2 prices'!C12</f>
        <v>Chile</v>
      </c>
      <c r="E19" s="3" t="str">
        <f>'R11. WEO16 CO2 prices'!D12</f>
        <v>Power</v>
      </c>
      <c r="F19" s="3">
        <f>'R11. WEO16 CO2 prices'!E12</f>
        <v>0</v>
      </c>
      <c r="G19" s="3">
        <f>'R11. WEO16 CO2 prices'!F12</f>
        <v>0</v>
      </c>
      <c r="H19" s="3">
        <f>'R11. WEO16 CO2 prices'!G12</f>
        <v>0</v>
      </c>
      <c r="I19" s="17">
        <f t="shared" si="1"/>
        <v>0</v>
      </c>
    </row>
    <row r="20" spans="1:9" x14ac:dyDescent="0.3">
      <c r="A20" s="3" t="s">
        <v>522</v>
      </c>
      <c r="B20" s="3" t="s">
        <v>378</v>
      </c>
      <c r="C20" s="3" t="str">
        <f>INDEX('R1. Scenario specifications'!$C$11:$C$59,MATCH($B20,'R1. Scenario specifications'!$A$11:$A$59,0))</f>
        <v>Current Policies Scenario, World Energy Outlook 2016</v>
      </c>
      <c r="D20" s="3" t="str">
        <f>'R11. WEO16 CO2 prices'!C13</f>
        <v>China</v>
      </c>
      <c r="E20" s="3" t="str">
        <f>'R11. WEO16 CO2 prices'!D13</f>
        <v>Power, industry</v>
      </c>
      <c r="F20" s="3">
        <f>'R11. WEO16 CO2 prices'!E13</f>
        <v>0</v>
      </c>
      <c r="G20" s="3">
        <f>'R11. WEO16 CO2 prices'!F13</f>
        <v>0</v>
      </c>
      <c r="H20" s="3">
        <f>'R11. WEO16 CO2 prices'!G13</f>
        <v>0</v>
      </c>
      <c r="I20" s="17">
        <f t="shared" si="1"/>
        <v>0</v>
      </c>
    </row>
    <row r="21" spans="1:9" x14ac:dyDescent="0.3">
      <c r="A21" s="3" t="s">
        <v>522</v>
      </c>
      <c r="B21" s="3" t="s">
        <v>378</v>
      </c>
      <c r="C21" s="3" t="str">
        <f>INDEX('R1. Scenario specifications'!$C$11:$C$59,MATCH($B21,'R1. Scenario specifications'!$A$11:$A$59,0))</f>
        <v>Current Policies Scenario, World Energy Outlook 2016</v>
      </c>
      <c r="D21" s="3" t="str">
        <f>'R11. WEO16 CO2 prices'!C14</f>
        <v>South Africa</v>
      </c>
      <c r="E21" s="3" t="str">
        <f>'R11. WEO16 CO2 prices'!D14</f>
        <v>Power, industry</v>
      </c>
      <c r="F21" s="3">
        <f>'R11. WEO16 CO2 prices'!E14</f>
        <v>0</v>
      </c>
      <c r="G21" s="3">
        <f>'R11. WEO16 CO2 prices'!F14</f>
        <v>0</v>
      </c>
      <c r="H21" s="3">
        <f>'R11. WEO16 CO2 prices'!G14</f>
        <v>0</v>
      </c>
      <c r="I21" s="17">
        <f t="shared" si="1"/>
        <v>0</v>
      </c>
    </row>
    <row r="22" spans="1:9" x14ac:dyDescent="0.3">
      <c r="A22" s="3" t="s">
        <v>522</v>
      </c>
      <c r="B22" s="3" t="s">
        <v>379</v>
      </c>
      <c r="C22" s="3" t="str">
        <f>INDEX('R1. Scenario specifications'!$C$11:$C$59,MATCH($B22,'R1. Scenario specifications'!$A$11:$A$59,0))</f>
        <v>New Policies Scenario, World Energy Outlook 2016</v>
      </c>
      <c r="D22" s="3" t="str">
        <f>'R11. WEO16 CO2 prices'!C15</f>
        <v>European Union</v>
      </c>
      <c r="E22" s="3" t="str">
        <f>'R11. WEO16 CO2 prices'!D15</f>
        <v>Power, industry, aviation</v>
      </c>
      <c r="F22" s="3">
        <f>'R11. WEO16 CO2 prices'!E15</f>
        <v>20</v>
      </c>
      <c r="G22" s="3">
        <f>'R11. WEO16 CO2 prices'!F15</f>
        <v>37</v>
      </c>
      <c r="H22" s="3">
        <f>'R11. WEO16 CO2 prices'!G15</f>
        <v>50</v>
      </c>
      <c r="I22" s="17">
        <f t="shared" si="1"/>
        <v>63</v>
      </c>
    </row>
    <row r="23" spans="1:9" x14ac:dyDescent="0.3">
      <c r="A23" s="3" t="s">
        <v>522</v>
      </c>
      <c r="B23" s="3" t="s">
        <v>379</v>
      </c>
      <c r="C23" s="3" t="str">
        <f>INDEX('R1. Scenario specifications'!$C$11:$C$59,MATCH($B23,'R1. Scenario specifications'!$A$11:$A$59,0))</f>
        <v>New Policies Scenario, World Energy Outlook 2016</v>
      </c>
      <c r="D23" s="3" t="str">
        <f>'R11. WEO16 CO2 prices'!C16</f>
        <v>Chile</v>
      </c>
      <c r="E23" s="3" t="str">
        <f>'R11. WEO16 CO2 prices'!D16</f>
        <v>Power</v>
      </c>
      <c r="F23" s="3">
        <f>'R11. WEO16 CO2 prices'!E16</f>
        <v>6</v>
      </c>
      <c r="G23" s="3">
        <f>'R11. WEO16 CO2 prices'!F16</f>
        <v>12</v>
      </c>
      <c r="H23" s="3">
        <f>'R11. WEO16 CO2 prices'!G16</f>
        <v>20</v>
      </c>
      <c r="I23" s="17">
        <f t="shared" si="1"/>
        <v>28</v>
      </c>
    </row>
    <row r="24" spans="1:9" x14ac:dyDescent="0.3">
      <c r="A24" s="3" t="s">
        <v>522</v>
      </c>
      <c r="B24" s="3" t="s">
        <v>379</v>
      </c>
      <c r="C24" s="3" t="str">
        <f>INDEX('R1. Scenario specifications'!$C$11:$C$59,MATCH($B24,'R1. Scenario specifications'!$A$11:$A$59,0))</f>
        <v>New Policies Scenario, World Energy Outlook 2016</v>
      </c>
      <c r="D24" s="3" t="str">
        <f>'R11. WEO16 CO2 prices'!C17</f>
        <v>Korea</v>
      </c>
      <c r="E24" s="3" t="str">
        <f>'R11. WEO16 CO2 prices'!D17</f>
        <v>Power, industry</v>
      </c>
      <c r="F24" s="3">
        <f>'R11. WEO16 CO2 prices'!E17</f>
        <v>20</v>
      </c>
      <c r="G24" s="3">
        <f>'R11. WEO16 CO2 prices'!F17</f>
        <v>37</v>
      </c>
      <c r="H24" s="3">
        <f>'R11. WEO16 CO2 prices'!G17</f>
        <v>50</v>
      </c>
      <c r="I24" s="17">
        <f t="shared" si="1"/>
        <v>63</v>
      </c>
    </row>
    <row r="25" spans="1:9" x14ac:dyDescent="0.3">
      <c r="A25" s="3" t="s">
        <v>522</v>
      </c>
      <c r="B25" s="3" t="s">
        <v>379</v>
      </c>
      <c r="C25" s="3" t="str">
        <f>INDEX('R1. Scenario specifications'!$C$11:$C$59,MATCH($B25,'R1. Scenario specifications'!$A$11:$A$59,0))</f>
        <v>New Policies Scenario, World Energy Outlook 2016</v>
      </c>
      <c r="D25" s="3" t="str">
        <f>'R11. WEO16 CO2 prices'!C18</f>
        <v>China</v>
      </c>
      <c r="E25" s="3" t="str">
        <f>'R11. WEO16 CO2 prices'!D18</f>
        <v>Power, industry</v>
      </c>
      <c r="F25" s="3">
        <f>'R11. WEO16 CO2 prices'!E18</f>
        <v>10</v>
      </c>
      <c r="G25" s="3">
        <f>'R11. WEO16 CO2 prices'!F18</f>
        <v>23</v>
      </c>
      <c r="H25" s="3">
        <f>'R11. WEO16 CO2 prices'!G18</f>
        <v>35</v>
      </c>
      <c r="I25" s="17">
        <f t="shared" si="1"/>
        <v>47</v>
      </c>
    </row>
    <row r="26" spans="1:9" x14ac:dyDescent="0.3">
      <c r="A26" s="3" t="s">
        <v>522</v>
      </c>
      <c r="B26" s="3" t="s">
        <v>379</v>
      </c>
      <c r="C26" s="3" t="str">
        <f>INDEX('R1. Scenario specifications'!$C$11:$C$59,MATCH($B26,'R1. Scenario specifications'!$A$11:$A$59,0))</f>
        <v>New Policies Scenario, World Energy Outlook 2016</v>
      </c>
      <c r="D26" s="3" t="str">
        <f>'R11. WEO16 CO2 prices'!C19</f>
        <v>South Africa</v>
      </c>
      <c r="E26" s="3" t="str">
        <f>'R11. WEO16 CO2 prices'!D19</f>
        <v>Power, industry</v>
      </c>
      <c r="F26" s="3">
        <f>'R11. WEO16 CO2 prices'!E19</f>
        <v>7</v>
      </c>
      <c r="G26" s="3">
        <f>'R11. WEO16 CO2 prices'!F19</f>
        <v>15</v>
      </c>
      <c r="H26" s="3">
        <f>'R11. WEO16 CO2 prices'!G19</f>
        <v>24</v>
      </c>
      <c r="I26" s="17">
        <f t="shared" si="1"/>
        <v>33</v>
      </c>
    </row>
    <row r="27" spans="1:9" x14ac:dyDescent="0.3">
      <c r="A27" s="3" t="s">
        <v>522</v>
      </c>
      <c r="B27" s="3" t="s">
        <v>380</v>
      </c>
      <c r="C27" s="3" t="str">
        <f>INDEX('R1. Scenario specifications'!$C$11:$C$59,MATCH($B27,'R1. Scenario specifications'!$A$11:$A$59,0))</f>
        <v>450 Scenario, World Energy Outlook 2016</v>
      </c>
      <c r="D27" s="3" t="str">
        <f>'R11. WEO16 CO2 prices'!C20</f>
        <v>United States, Canada, Japan, Korea, Australia, New Zealand</v>
      </c>
      <c r="E27" s="3" t="str">
        <f>'R11. WEO16 CO2 prices'!D20</f>
        <v>Power, industry</v>
      </c>
      <c r="F27" s="3">
        <f>'R11. WEO16 CO2 prices'!E20</f>
        <v>20</v>
      </c>
      <c r="G27" s="3">
        <f>'R11. WEO16 CO2 prices'!F20</f>
        <v>100</v>
      </c>
      <c r="H27" s="3">
        <f>'R11. WEO16 CO2 prices'!G20</f>
        <v>140</v>
      </c>
      <c r="I27" s="17">
        <f t="shared" si="1"/>
        <v>180</v>
      </c>
    </row>
    <row r="28" spans="1:9" x14ac:dyDescent="0.3">
      <c r="A28" s="3" t="s">
        <v>522</v>
      </c>
      <c r="B28" s="3" t="s">
        <v>380</v>
      </c>
      <c r="C28" s="3" t="str">
        <f>INDEX('R1. Scenario specifications'!$C$11:$C$59,MATCH($B28,'R1. Scenario specifications'!$A$11:$A$59,0))</f>
        <v>450 Scenario, World Energy Outlook 2016</v>
      </c>
      <c r="D28" s="3" t="str">
        <f>'R11. WEO16 CO2 prices'!C21</f>
        <v>European Union</v>
      </c>
      <c r="E28" s="3" t="str">
        <f>'R11. WEO16 CO2 prices'!D21</f>
        <v>Power, industry, aviation</v>
      </c>
      <c r="F28" s="3">
        <f>'R11. WEO16 CO2 prices'!E21</f>
        <v>20</v>
      </c>
      <c r="G28" s="3">
        <f>'R11. WEO16 CO2 prices'!F21</f>
        <v>100</v>
      </c>
      <c r="H28" s="3">
        <f>'R11. WEO16 CO2 prices'!G21</f>
        <v>140</v>
      </c>
      <c r="I28" s="17">
        <f t="shared" si="1"/>
        <v>180</v>
      </c>
    </row>
    <row r="29" spans="1:9" x14ac:dyDescent="0.3">
      <c r="A29" s="3" t="s">
        <v>522</v>
      </c>
      <c r="B29" s="3" t="s">
        <v>380</v>
      </c>
      <c r="C29" s="3" t="str">
        <f>INDEX('R1. Scenario specifications'!$C$11:$C$59,MATCH($B29,'R1. Scenario specifications'!$A$11:$A$59,0))</f>
        <v>450 Scenario, World Energy Outlook 2016</v>
      </c>
      <c r="D29" s="3" t="str">
        <f>'R11. WEO16 CO2 prices'!C22</f>
        <v>China, Russia, Brazil, South Africa</v>
      </c>
      <c r="E29" s="3" t="str">
        <f>'R11. WEO16 CO2 prices'!D22</f>
        <v>Power, industry</v>
      </c>
      <c r="F29" s="3">
        <f>'R11. WEO16 CO2 prices'!E22</f>
        <v>10</v>
      </c>
      <c r="G29" s="3">
        <f>'R11. WEO16 CO2 prices'!F22</f>
        <v>75</v>
      </c>
      <c r="H29" s="3">
        <f>'R11. WEO16 CO2 prices'!G22</f>
        <v>125</v>
      </c>
      <c r="I29" s="17">
        <f t="shared" si="1"/>
        <v>175</v>
      </c>
    </row>
  </sheetData>
  <conditionalFormatting sqref="H16:XFD16 A30:XFD30 C16:E16 A38:XFD1048576 A31:A37 C31:XFD37 A1:XFD10 A16:A29 B27:B29 A14:XFD15 A11:A13 C11:XFD13 D17:XFD29">
    <cfRule type="expression" dxfId="66" priority="3">
      <formula>_xlfn.ISFORMULA(A1)</formula>
    </cfRule>
  </conditionalFormatting>
  <conditionalFormatting sqref="B11:B13">
    <cfRule type="expression" dxfId="65" priority="2">
      <formula>_xlfn.ISFORMULA(B11)</formula>
    </cfRule>
  </conditionalFormatting>
  <conditionalFormatting sqref="C17:C29">
    <cfRule type="expression" dxfId="64" priority="1">
      <formula>_xlfn.ISFORMULA(C17)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DD1E3-840C-49EC-B863-7C7B03FC1922}">
  <sheetPr>
    <tabColor theme="5" tint="0.39997558519241921"/>
    <pageSetUpPr autoPageBreaks="0"/>
  </sheetPr>
  <dimension ref="A1:AB161"/>
  <sheetViews>
    <sheetView workbookViewId="0"/>
  </sheetViews>
  <sheetFormatPr defaultColWidth="15.77734375" defaultRowHeight="14.4" x14ac:dyDescent="0.3"/>
  <cols>
    <col min="1" max="2" width="15.77734375" style="3" customWidth="1"/>
    <col min="3" max="15" width="12.77734375" style="3" customWidth="1"/>
    <col min="16" max="16" width="15.77734375" style="3" customWidth="1"/>
    <col min="17" max="16384" width="15.77734375" style="3"/>
  </cols>
  <sheetData>
    <row r="1" spans="1:18" s="13" customFormat="1" ht="36.6" x14ac:dyDescent="0.7">
      <c r="A1" s="13" t="s">
        <v>523</v>
      </c>
    </row>
    <row r="2" spans="1:18" s="5" customFormat="1" x14ac:dyDescent="0.3">
      <c r="A2" s="5" t="s">
        <v>5</v>
      </c>
      <c r="B2" s="5" t="s">
        <v>524</v>
      </c>
    </row>
    <row r="3" spans="1:18" s="5" customFormat="1" x14ac:dyDescent="0.3">
      <c r="A3" s="5" t="s">
        <v>6</v>
      </c>
      <c r="B3" s="5" t="s">
        <v>525</v>
      </c>
    </row>
    <row r="4" spans="1:18" s="5" customFormat="1" x14ac:dyDescent="0.3">
      <c r="A4" s="5" t="s">
        <v>4</v>
      </c>
      <c r="B4" s="5" t="s">
        <v>476</v>
      </c>
    </row>
    <row r="5" spans="1:18" s="5" customFormat="1" x14ac:dyDescent="0.3">
      <c r="A5" s="5" t="s">
        <v>2</v>
      </c>
      <c r="B5" s="5" t="s">
        <v>526</v>
      </c>
    </row>
    <row r="6" spans="1:18" s="5" customFormat="1" x14ac:dyDescent="0.3">
      <c r="A6" s="5" t="s">
        <v>478</v>
      </c>
      <c r="B6" s="5" t="s">
        <v>479</v>
      </c>
      <c r="C6" s="5" t="s">
        <v>527</v>
      </c>
      <c r="D6" s="5" t="s">
        <v>528</v>
      </c>
    </row>
    <row r="7" spans="1:18" s="5" customFormat="1" x14ac:dyDescent="0.3">
      <c r="B7" s="51">
        <f>10^3</f>
        <v>1000</v>
      </c>
      <c r="C7" s="5" t="s">
        <v>486</v>
      </c>
      <c r="D7" s="5" t="s">
        <v>482</v>
      </c>
    </row>
    <row r="8" spans="1:18" s="5" customFormat="1" x14ac:dyDescent="0.3">
      <c r="B8" s="51">
        <v>1</v>
      </c>
      <c r="C8" s="5" t="s">
        <v>482</v>
      </c>
      <c r="D8" s="5" t="s">
        <v>482</v>
      </c>
    </row>
    <row r="9" spans="1:18" s="5" customFormat="1" x14ac:dyDescent="0.3">
      <c r="B9" s="51">
        <f>1/'R2. Unit conversion factors'!$E$9</f>
        <v>41.867999934702667</v>
      </c>
      <c r="C9" s="5" t="s">
        <v>529</v>
      </c>
      <c r="D9" s="5" t="s">
        <v>482</v>
      </c>
    </row>
    <row r="10" spans="1:18" ht="15" thickBot="1" x14ac:dyDescent="0.35"/>
    <row r="11" spans="1:18" s="15" customFormat="1" ht="15" thickBot="1" x14ac:dyDescent="0.35">
      <c r="A11" s="15" t="s">
        <v>487</v>
      </c>
    </row>
    <row r="12" spans="1:18" x14ac:dyDescent="0.3">
      <c r="A12" s="3" t="s">
        <v>8</v>
      </c>
      <c r="B12" s="3" t="s">
        <v>86</v>
      </c>
      <c r="C12" s="3" t="s">
        <v>252</v>
      </c>
      <c r="D12" s="3" t="s">
        <v>480</v>
      </c>
      <c r="E12" s="3" t="s">
        <v>481</v>
      </c>
      <c r="F12" s="3">
        <v>2014</v>
      </c>
      <c r="G12" s="3">
        <v>2015</v>
      </c>
      <c r="H12" s="3">
        <v>2016</v>
      </c>
      <c r="I12" s="3">
        <v>2017</v>
      </c>
      <c r="J12" s="3">
        <v>2020</v>
      </c>
      <c r="K12" s="3">
        <v>2025</v>
      </c>
      <c r="L12" s="3">
        <v>2030</v>
      </c>
      <c r="M12" s="3">
        <v>2035</v>
      </c>
      <c r="N12" s="3">
        <v>2040</v>
      </c>
      <c r="O12" s="3">
        <v>2045</v>
      </c>
      <c r="P12" s="3">
        <v>2050</v>
      </c>
      <c r="Q12" s="3">
        <v>2055</v>
      </c>
      <c r="R12" s="3">
        <v>2060</v>
      </c>
    </row>
    <row r="13" spans="1:18" x14ac:dyDescent="0.3">
      <c r="A13" s="3" t="s">
        <v>368</v>
      </c>
      <c r="B13" s="3" t="str">
        <f>INDEX('R1. Scenario specifications'!$C$11:$C$59,MATCH($A13,'R1. Scenario specifications'!$A$11:$A$59,0))</f>
        <v>Current Policies Scenario, World Energy Outlook 2018</v>
      </c>
      <c r="C13" s="3" t="s">
        <v>254</v>
      </c>
      <c r="D13" s="3" t="str">
        <f t="array" ref="D13">INDEX($F$86:$F$161,MATCH($A13&amp;$C13,$B$86:$B$161&amp;$D$86:$D$161,0))</f>
        <v>Mtoe</v>
      </c>
      <c r="E13" s="3" t="s">
        <v>482</v>
      </c>
      <c r="F13" s="34" t="str">
        <f t="array" ref="F13">IF(SUMIFS(G$86:G$161,$B$86:$B$161,$A13)=0,"",SUMIFS(G$86:G$161,$B$86:$B$161,$A13,$D$86:$D$161,$C13)*INDEX($B$7:$B$9,MATCH($D13&amp;$E13,$C$7:$C$9&amp;$D$7:$D$9,0)))</f>
        <v/>
      </c>
      <c r="G13" s="34" t="str">
        <f t="array" ref="G13">IF(SUMIFS(H$86:H$161,$B$86:$B$161,$A13)=0,"",SUMIFS(H$86:H$161,$B$86:$B$161,$A13,$D$86:$D$161,$C13)*INDEX($B$7:$B$9,MATCH($D13&amp;$E13,$C$7:$C$9&amp;$D$7:$D$9,0)))</f>
        <v/>
      </c>
      <c r="H13" s="34">
        <f t="array" ref="H13">IF(SUMIFS(I$86:I$161,$B$86:$B$161,$A13)=0,"",SUMIFS(I$86:I$161,$B$86:$B$161,$A13,$D$86:$D$161,$C13)*INDEX($B$7:$B$9,MATCH($D13&amp;$E13,$C$7:$C$9&amp;$D$7:$D$9,0)))</f>
        <v>155748.95975709392</v>
      </c>
      <c r="I13" s="34">
        <f t="array" ref="I13">IF(SUMIFS(J$86:J$161,$B$86:$B$161,$A13)=0,"",SUMIFS(J$86:J$161,$B$86:$B$161,$A13,$D$86:$D$161,$C13)*INDEX($B$7:$B$9,MATCH($D13&amp;$E13,$C$7:$C$9&amp;$D$7:$D$9,0)))</f>
        <v>157004.99975513501</v>
      </c>
      <c r="J13" s="34">
        <f t="array" ref="J13">IF(SUMIFS(K$86:K$161,$B$86:$B$161,$A13)=0,"",SUMIFS(K$86:K$161,$B$86:$B$161,$A13,$D$86:$D$161,$C13)*INDEX($B$7:$B$9,MATCH($D13&amp;$E13,$C$7:$C$9&amp;$D$7:$D$9,0)))</f>
        <v>160898.72374906234</v>
      </c>
      <c r="K13" s="34">
        <f t="array" ref="K13">IF(SUMIFS(L$86:L$161,$B$86:$B$161,$A13)=0,"",SUMIFS(L$86:L$161,$B$86:$B$161,$A13,$D$86:$D$161,$C13)*INDEX($B$7:$B$9,MATCH($D13&amp;$E13,$C$7:$C$9&amp;$D$7:$D$9,0)))</f>
        <v>167388.26373894126</v>
      </c>
      <c r="L13" s="34">
        <f t="array" ref="L13">IF(SUMIFS(M$86:M$161,$B$86:$B$161,$A13)=0,"",SUMIFS(M$86:M$161,$B$86:$B$161,$A13,$D$86:$D$161,$C13)*INDEX($B$7:$B$9,MATCH($D13&amp;$E13,$C$7:$C$9&amp;$D$7:$D$9,0)))</f>
        <v>178022.73572235575</v>
      </c>
      <c r="M13" s="34">
        <f t="array" ref="M13">IF(SUMIFS(N$86:N$161,$B$86:$B$161,$A13)=0,"",SUMIFS(N$86:N$161,$B$86:$B$161,$A13,$D$86:$D$161,$C13)*INDEX($B$7:$B$9,MATCH($D13&amp;$E13,$C$7:$C$9&amp;$D$7:$D$9,0)))</f>
        <v>189243.35970485606</v>
      </c>
      <c r="N13" s="34">
        <f t="array" ref="N13">IF(SUMIFS(O$86:O$161,$B$86:$B$161,$A13)=0,"",SUMIFS(O$86:O$161,$B$86:$B$161,$A13,$D$86:$D$161,$C13)*INDEX($B$7:$B$9,MATCH($D13&amp;$E13,$C$7:$C$9&amp;$D$7:$D$9,0)))</f>
        <v>199668.49168859702</v>
      </c>
      <c r="O13" s="34">
        <f t="array" ref="O13">IF(SUMIFS(P$86:P$161,$B$86:$B$161,$A13)=0,"",SUMIFS(P$86:P$161,$B$86:$B$161,$A13,$D$86:$D$161,$C13)*INDEX($B$7:$B$9,MATCH($D13&amp;$E13,$C$7:$C$9&amp;$D$7:$D$9,0)))</f>
        <v>210093.62367233797</v>
      </c>
      <c r="P13" s="34">
        <f t="array" ref="P13">IF(SUMIFS(Q$86:Q$161,$B$86:$B$161,$A13)=0,"",SUMIFS(Q$86:Q$161,$B$86:$B$161,$A13,$D$86:$D$161,$C13)*INDEX($B$7:$B$9,MATCH($D13&amp;$E13,$C$7:$C$9&amp;$D$7:$D$9,0)))</f>
        <v>220518.75565607895</v>
      </c>
      <c r="Q13" s="34">
        <f t="array" ref="Q13">IF(SUMIFS(R$86:R$161,$B$86:$B$161,$A13)=0,"",SUMIFS(R$86:R$161,$B$86:$B$161,$A13,$D$86:$D$161,$C13)*INDEX($B$7:$B$9,MATCH($D13&amp;$E13,$C$7:$C$9&amp;$D$7:$D$9,0)))</f>
        <v>230943.88763981991</v>
      </c>
      <c r="R13" s="34">
        <f t="array" ref="R13">IF(SUMIFS(S$86:S$161,$B$86:$B$161,$A13)=0,"",SUMIFS(S$86:S$161,$B$86:$B$161,$A13,$D$86:$D$161,$C13)*INDEX($B$7:$B$9,MATCH($D13&amp;$E13,$C$7:$C$9&amp;$D$7:$D$9,0)))</f>
        <v>241369.01962356086</v>
      </c>
    </row>
    <row r="14" spans="1:18" x14ac:dyDescent="0.3">
      <c r="A14" s="3" t="s">
        <v>368</v>
      </c>
      <c r="B14" s="3" t="str">
        <f>INDEX('R1. Scenario specifications'!$C$11:$C$59,MATCH($A14,'R1. Scenario specifications'!$A$11:$A$59,0))</f>
        <v>Current Policies Scenario, World Energy Outlook 2018</v>
      </c>
      <c r="C14" s="3" t="s">
        <v>266</v>
      </c>
      <c r="D14" s="3" t="str">
        <f t="array" ref="D14">INDEX($F$86:$F$161,MATCH($A14&amp;$C14,$B$86:$B$161&amp;$D$86:$D$161,0))</f>
        <v>Mtoe</v>
      </c>
      <c r="E14" s="3" t="s">
        <v>482</v>
      </c>
      <c r="F14" s="34" t="str">
        <f t="array" ref="F14">IF(SUMIFS(G$86:G$161,$B$86:$B$161,$A14)=0,"",SUMIFS(G$86:G$161,$B$86:$B$161,$A14,$D$86:$D$161,$C14)*INDEX($B$7:$B$9,MATCH($D14&amp;$E14,$C$7:$C$9&amp;$D$7:$D$9,0)))</f>
        <v/>
      </c>
      <c r="G14" s="34" t="str">
        <f t="array" ref="G14">IF(SUMIFS(H$86:H$161,$B$86:$B$161,$A14)=0,"",SUMIFS(H$86:H$161,$B$86:$B$161,$A14,$D$86:$D$161,$C14)*INDEX($B$7:$B$9,MATCH($D14&amp;$E14,$C$7:$C$9&amp;$D$7:$D$9,0)))</f>
        <v/>
      </c>
      <c r="H14" s="34">
        <f t="array" ref="H14">IF(SUMIFS(I$86:I$161,$B$86:$B$161,$A14)=0,"",SUMIFS(I$86:I$161,$B$86:$B$161,$A14,$D$86:$D$161,$C14)*INDEX($B$7:$B$9,MATCH($D14&amp;$E14,$C$7:$C$9&amp;$D$7:$D$9,0)))</f>
        <v>182711.95171504244</v>
      </c>
      <c r="I14" s="34">
        <f t="array" ref="I14">IF(SUMIFS(J$86:J$161,$B$86:$B$161,$A14)=0,"",SUMIFS(J$86:J$161,$B$86:$B$161,$A14,$D$86:$D$161,$C14)*INDEX($B$7:$B$9,MATCH($D14&amp;$E14,$C$7:$C$9&amp;$D$7:$D$9,0)))</f>
        <v>185684.57971040634</v>
      </c>
      <c r="J14" s="34">
        <f t="array" ref="J14">IF(SUMIFS(K$86:K$161,$B$86:$B$161,$A14)=0,"",SUMIFS(K$86:K$161,$B$86:$B$161,$A14,$D$86:$D$161,$C14)*INDEX($B$7:$B$9,MATCH($D14&amp;$E14,$C$7:$C$9&amp;$D$7:$D$9,0)))</f>
        <v>193016.71319897112</v>
      </c>
      <c r="K14" s="34">
        <f t="array" ref="K14">IF(SUMIFS(L$86:L$161,$B$86:$B$161,$A14)=0,"",SUMIFS(L$86:L$161,$B$86:$B$161,$A14,$D$86:$D$161,$C14)*INDEX($B$7:$B$9,MATCH($D14&amp;$E14,$C$7:$C$9&amp;$D$7:$D$9,0)))</f>
        <v>205236.93567991248</v>
      </c>
      <c r="L14" s="34">
        <f t="array" ref="L14">IF(SUMIFS(M$86:M$161,$B$86:$B$161,$A14)=0,"",SUMIFS(M$86:M$161,$B$86:$B$161,$A14,$D$86:$D$161,$C14)*INDEX($B$7:$B$9,MATCH($D14&amp;$E14,$C$7:$C$9&amp;$D$7:$D$9,0)))</f>
        <v>214699.10366515527</v>
      </c>
      <c r="M14" s="34">
        <f t="array" ref="M14">IF(SUMIFS(N$86:N$161,$B$86:$B$161,$A14)=0,"",SUMIFS(N$86:N$161,$B$86:$B$161,$A14,$D$86:$D$161,$C14)*INDEX($B$7:$B$9,MATCH($D14&amp;$E14,$C$7:$C$9&amp;$D$7:$D$9,0)))</f>
        <v>223114.57165203051</v>
      </c>
      <c r="N14" s="34">
        <f t="array" ref="N14">IF(SUMIFS(O$86:O$161,$B$86:$B$161,$A14)=0,"",SUMIFS(O$86:O$161,$B$86:$B$161,$A14,$D$86:$D$161,$C14)*INDEX($B$7:$B$9,MATCH($D14&amp;$E14,$C$7:$C$9&amp;$D$7:$D$9,0)))</f>
        <v>233204.75963629386</v>
      </c>
      <c r="O14" s="34">
        <f t="array" ref="O14">IF(SUMIFS(P$86:P$161,$B$86:$B$161,$A14)=0,"",SUMIFS(P$86:P$161,$B$86:$B$161,$A14,$D$86:$D$161,$C14)*INDEX($B$7:$B$9,MATCH($D14&amp;$E14,$C$7:$C$9&amp;$D$7:$D$9,0)))</f>
        <v>243294.94762055718</v>
      </c>
      <c r="P14" s="34">
        <f t="array" ref="P14">IF(SUMIFS(Q$86:Q$161,$B$86:$B$161,$A14)=0,"",SUMIFS(Q$86:Q$161,$B$86:$B$161,$A14,$D$86:$D$161,$C14)*INDEX($B$7:$B$9,MATCH($D14&amp;$E14,$C$7:$C$9&amp;$D$7:$D$9,0)))</f>
        <v>253385.13560482053</v>
      </c>
      <c r="Q14" s="34">
        <f t="array" ref="Q14">IF(SUMIFS(R$86:R$161,$B$86:$B$161,$A14)=0,"",SUMIFS(R$86:R$161,$B$86:$B$161,$A14,$D$86:$D$161,$C14)*INDEX($B$7:$B$9,MATCH($D14&amp;$E14,$C$7:$C$9&amp;$D$7:$D$9,0)))</f>
        <v>263475.32358908386</v>
      </c>
      <c r="R14" s="34">
        <f t="array" ref="R14">IF(SUMIFS(S$86:S$161,$B$86:$B$161,$A14)=0,"",SUMIFS(S$86:S$161,$B$86:$B$161,$A14,$D$86:$D$161,$C14)*INDEX($B$7:$B$9,MATCH($D14&amp;$E14,$C$7:$C$9&amp;$D$7:$D$9,0)))</f>
        <v>273565.5115733472</v>
      </c>
    </row>
    <row r="15" spans="1:18" x14ac:dyDescent="0.3">
      <c r="A15" s="3" t="s">
        <v>368</v>
      </c>
      <c r="B15" s="3" t="str">
        <f>INDEX('R1. Scenario specifications'!$C$11:$C$59,MATCH($A15,'R1. Scenario specifications'!$A$11:$A$59,0))</f>
        <v>Current Policies Scenario, World Energy Outlook 2018</v>
      </c>
      <c r="C15" s="3" t="s">
        <v>255</v>
      </c>
      <c r="D15" s="3" t="str">
        <f t="array" ref="D15">INDEX($F$86:$F$161,MATCH($A15&amp;$C15,$B$86:$B$161&amp;$D$86:$D$161,0))</f>
        <v>Mtoe</v>
      </c>
      <c r="E15" s="3" t="s">
        <v>482</v>
      </c>
      <c r="F15" s="34" t="str">
        <f t="array" ref="F15">IF(SUMIFS(G$86:G$161,$B$86:$B$161,$A15)=0,"",SUMIFS(G$86:G$161,$B$86:$B$161,$A15,$D$86:$D$161,$C15)*INDEX($B$7:$B$9,MATCH($D15&amp;$E15,$C$7:$C$9&amp;$D$7:$D$9,0)))</f>
        <v/>
      </c>
      <c r="G15" s="34" t="str">
        <f t="array" ref="G15">IF(SUMIFS(H$86:H$161,$B$86:$B$161,$A15)=0,"",SUMIFS(H$86:H$161,$B$86:$B$161,$A15,$D$86:$D$161,$C15)*INDEX($B$7:$B$9,MATCH($D15&amp;$E15,$C$7:$C$9&amp;$D$7:$D$9,0)))</f>
        <v/>
      </c>
      <c r="H15" s="34">
        <f t="array" ref="H15">IF(SUMIFS(I$86:I$161,$B$86:$B$161,$A15)=0,"",SUMIFS(I$86:I$161,$B$86:$B$161,$A15,$D$86:$D$161,$C15)*INDEX($B$7:$B$9,MATCH($D15&amp;$E15,$C$7:$C$9&amp;$D$7:$D$9,0)))</f>
        <v>126525.09580267147</v>
      </c>
      <c r="I15" s="34">
        <f t="array" ref="I15">IF(SUMIFS(J$86:J$161,$B$86:$B$161,$A15)=0,"",SUMIFS(J$86:J$161,$B$86:$B$161,$A15,$D$86:$D$161,$C15)*INDEX($B$7:$B$9,MATCH($D15&amp;$E15,$C$7:$C$9&amp;$D$7:$D$9,0)))</f>
        <v>130083.87579712119</v>
      </c>
      <c r="J15" s="34">
        <f t="array" ref="J15">IF(SUMIFS(K$86:K$161,$B$86:$B$161,$A15)=0,"",SUMIFS(K$86:K$161,$B$86:$B$161,$A15,$D$86:$D$161,$C15)*INDEX($B$7:$B$9,MATCH($D15&amp;$E15,$C$7:$C$9&amp;$D$7:$D$9,0)))</f>
        <v>138075.43028465754</v>
      </c>
      <c r="K15" s="34">
        <f t="array" ref="K15">IF(SUMIFS(L$86:L$161,$B$86:$B$161,$A15)=0,"",SUMIFS(L$86:L$161,$B$86:$B$161,$A15,$D$86:$D$161,$C15)*INDEX($B$7:$B$9,MATCH($D15&amp;$E15,$C$7:$C$9&amp;$D$7:$D$9,0)))</f>
        <v>151394.68776388484</v>
      </c>
      <c r="L15" s="34">
        <f t="array" ref="L15">IF(SUMIFS(M$86:M$161,$B$86:$B$161,$A15)=0,"",SUMIFS(M$86:M$161,$B$86:$B$161,$A15,$D$86:$D$161,$C15)*INDEX($B$7:$B$9,MATCH($D15&amp;$E15,$C$7:$C$9&amp;$D$7:$D$9,0)))</f>
        <v>167471.99973881067</v>
      </c>
      <c r="M15" s="34">
        <f t="array" ref="M15">IF(SUMIFS(N$86:N$161,$B$86:$B$161,$A15)=0,"",SUMIFS(N$86:N$161,$B$86:$B$161,$A15,$D$86:$D$161,$C15)*INDEX($B$7:$B$9,MATCH($D15&amp;$E15,$C$7:$C$9&amp;$D$7:$D$9,0)))</f>
        <v>184721.61571190818</v>
      </c>
      <c r="N15" s="34">
        <f t="array" ref="N15">IF(SUMIFS(O$86:O$161,$B$86:$B$161,$A15)=0,"",SUMIFS(O$86:O$161,$B$86:$B$161,$A15,$D$86:$D$161,$C15)*INDEX($B$7:$B$9,MATCH($D15&amp;$E15,$C$7:$C$9&amp;$D$7:$D$9,0)))</f>
        <v>201133.87168631161</v>
      </c>
      <c r="O15" s="34">
        <f t="array" ref="O15">IF(SUMIFS(P$86:P$161,$B$86:$B$161,$A15)=0,"",SUMIFS(P$86:P$161,$B$86:$B$161,$A15,$D$86:$D$161,$C15)*INDEX($B$7:$B$9,MATCH($D15&amp;$E15,$C$7:$C$9&amp;$D$7:$D$9,0)))</f>
        <v>217546.12766071505</v>
      </c>
      <c r="P15" s="34">
        <f t="array" ref="P15">IF(SUMIFS(Q$86:Q$161,$B$86:$B$161,$A15)=0,"",SUMIFS(Q$86:Q$161,$B$86:$B$161,$A15,$D$86:$D$161,$C15)*INDEX($B$7:$B$9,MATCH($D15&amp;$E15,$C$7:$C$9&amp;$D$7:$D$9,0)))</f>
        <v>233958.38363511849</v>
      </c>
      <c r="Q15" s="34">
        <f t="array" ref="Q15">IF(SUMIFS(R$86:R$161,$B$86:$B$161,$A15)=0,"",SUMIFS(R$86:R$161,$B$86:$B$161,$A15,$D$86:$D$161,$C15)*INDEX($B$7:$B$9,MATCH($D15&amp;$E15,$C$7:$C$9&amp;$D$7:$D$9,0)))</f>
        <v>250370.63960952195</v>
      </c>
      <c r="R15" s="34">
        <f t="array" ref="R15">IF(SUMIFS(S$86:S$161,$B$86:$B$161,$A15)=0,"",SUMIFS(S$86:S$161,$B$86:$B$161,$A15,$D$86:$D$161,$C15)*INDEX($B$7:$B$9,MATCH($D15&amp;$E15,$C$7:$C$9&amp;$D$7:$D$9,0)))</f>
        <v>266782.89558392542</v>
      </c>
    </row>
    <row r="16" spans="1:18" x14ac:dyDescent="0.3">
      <c r="A16" s="3" t="s">
        <v>368</v>
      </c>
      <c r="B16" s="3" t="str">
        <f>INDEX('R1. Scenario specifications'!$C$11:$C$59,MATCH($A16,'R1. Scenario specifications'!$A$11:$A$59,0))</f>
        <v>Current Policies Scenario, World Energy Outlook 2018</v>
      </c>
      <c r="C16" s="3" t="s">
        <v>257</v>
      </c>
      <c r="D16" s="3" t="str">
        <f t="array" ref="D16">INDEX($F$86:$F$161,MATCH($A16&amp;$C16,$B$86:$B$161&amp;$D$86:$D$161,0))</f>
        <v>Mtoe</v>
      </c>
      <c r="E16" s="3" t="s">
        <v>482</v>
      </c>
      <c r="F16" s="34" t="str">
        <f t="array" ref="F16">IF(SUMIFS(G$86:G$161,$B$86:$B$161,$A16)=0,"",SUMIFS(G$86:G$161,$B$86:$B$161,$A16,$D$86:$D$161,$C16)*INDEX($B$7:$B$9,MATCH($D16&amp;$E16,$C$7:$C$9&amp;$D$7:$D$9,0)))</f>
        <v/>
      </c>
      <c r="G16" s="34" t="str">
        <f t="array" ref="G16">IF(SUMIFS(H$86:H$161,$B$86:$B$161,$A16)=0,"",SUMIFS(H$86:H$161,$B$86:$B$161,$A16,$D$86:$D$161,$C16)*INDEX($B$7:$B$9,MATCH($D16&amp;$E16,$C$7:$C$9&amp;$D$7:$D$9,0)))</f>
        <v/>
      </c>
      <c r="H16" s="34">
        <f t="array" ref="H16">IF(SUMIFS(I$86:I$161,$B$86:$B$161,$A16)=0,"",SUMIFS(I$86:I$161,$B$86:$B$161,$A16,$D$86:$D$161,$C16)*INDEX($B$7:$B$9,MATCH($D16&amp;$E16,$C$7:$C$9&amp;$D$7:$D$9,0)))</f>
        <v>28428.371955663111</v>
      </c>
      <c r="I16" s="34">
        <f t="array" ref="I16">IF(SUMIFS(J$86:J$161,$B$86:$B$161,$A16)=0,"",SUMIFS(J$86:J$161,$B$86:$B$161,$A16,$D$86:$D$161,$C16)*INDEX($B$7:$B$9,MATCH($D16&amp;$E16,$C$7:$C$9&amp;$D$7:$D$9,0)))</f>
        <v>28805.183955075434</v>
      </c>
      <c r="J16" s="34">
        <f t="array" ref="J16">IF(SUMIFS(K$86:K$161,$B$86:$B$161,$A16)=0,"",SUMIFS(K$86:K$161,$B$86:$B$161,$A16,$D$86:$D$161,$C16)*INDEX($B$7:$B$9,MATCH($D16&amp;$E16,$C$7:$C$9&amp;$D$7:$D$9,0)))</f>
        <v>30610.741452259488</v>
      </c>
      <c r="K16" s="34">
        <f t="array" ref="K16">IF(SUMIFS(L$86:L$161,$B$86:$B$161,$A16)=0,"",SUMIFS(L$86:L$161,$B$86:$B$161,$A16,$D$86:$D$161,$C16)*INDEX($B$7:$B$9,MATCH($D16&amp;$E16,$C$7:$C$9&amp;$D$7:$D$9,0)))</f>
        <v>33620.003947566242</v>
      </c>
      <c r="L16" s="34">
        <f t="array" ref="L16">IF(SUMIFS(M$86:M$161,$B$86:$B$161,$A16)=0,"",SUMIFS(M$86:M$161,$B$86:$B$161,$A16,$D$86:$D$161,$C16)*INDEX($B$7:$B$9,MATCH($D16&amp;$E16,$C$7:$C$9&amp;$D$7:$D$9,0)))</f>
        <v>35336.591944889049</v>
      </c>
      <c r="M16" s="34">
        <f t="array" ref="M16">IF(SUMIFS(N$86:N$161,$B$86:$B$161,$A16)=0,"",SUMIFS(N$86:N$161,$B$86:$B$161,$A16,$D$86:$D$161,$C16)*INDEX($B$7:$B$9,MATCH($D16&amp;$E16,$C$7:$C$9&amp;$D$7:$D$9,0)))</f>
        <v>37220.651941950673</v>
      </c>
      <c r="N16" s="34">
        <f t="array" ref="N16">IF(SUMIFS(O$86:O$161,$B$86:$B$161,$A16)=0,"",SUMIFS(O$86:O$161,$B$86:$B$161,$A16,$D$86:$D$161,$C16)*INDEX($B$7:$B$9,MATCH($D16&amp;$E16,$C$7:$C$9&amp;$D$7:$D$9,0)))</f>
        <v>39816.467937902235</v>
      </c>
      <c r="O16" s="34">
        <f t="array" ref="O16">IF(SUMIFS(P$86:P$161,$B$86:$B$161,$A16)=0,"",SUMIFS(P$86:P$161,$B$86:$B$161,$A16,$D$86:$D$161,$C16)*INDEX($B$7:$B$9,MATCH($D16&amp;$E16,$C$7:$C$9&amp;$D$7:$D$9,0)))</f>
        <v>42412.283933853803</v>
      </c>
      <c r="P16" s="34">
        <f t="array" ref="P16">IF(SUMIFS(Q$86:Q$161,$B$86:$B$161,$A16)=0,"",SUMIFS(Q$86:Q$161,$B$86:$B$161,$A16,$D$86:$D$161,$C16)*INDEX($B$7:$B$9,MATCH($D16&amp;$E16,$C$7:$C$9&amp;$D$7:$D$9,0)))</f>
        <v>45008.099929805365</v>
      </c>
      <c r="Q16" s="34">
        <f t="array" ref="Q16">IF(SUMIFS(R$86:R$161,$B$86:$B$161,$A16)=0,"",SUMIFS(R$86:R$161,$B$86:$B$161,$A16,$D$86:$D$161,$C16)*INDEX($B$7:$B$9,MATCH($D16&amp;$E16,$C$7:$C$9&amp;$D$7:$D$9,0)))</f>
        <v>47603.915925756934</v>
      </c>
      <c r="R16" s="34">
        <f t="array" ref="R16">IF(SUMIFS(S$86:S$161,$B$86:$B$161,$A16)=0,"",SUMIFS(S$86:S$161,$B$86:$B$161,$A16,$D$86:$D$161,$C16)*INDEX($B$7:$B$9,MATCH($D16&amp;$E16,$C$7:$C$9&amp;$D$7:$D$9,0)))</f>
        <v>50199.731921708495</v>
      </c>
    </row>
    <row r="17" spans="1:18" x14ac:dyDescent="0.3">
      <c r="A17" s="3" t="s">
        <v>368</v>
      </c>
      <c r="B17" s="3" t="str">
        <f>INDEX('R1. Scenario specifications'!$C$11:$C$59,MATCH($A17,'R1. Scenario specifications'!$A$11:$A$59,0))</f>
        <v>Current Policies Scenario, World Energy Outlook 2018</v>
      </c>
      <c r="C17" s="3" t="s">
        <v>256</v>
      </c>
      <c r="D17" s="3" t="str">
        <f t="array" ref="D17">INDEX($F$86:$F$161,MATCH($A17&amp;$C17,$B$86:$B$161&amp;$D$86:$D$161,0))</f>
        <v>Mtoe</v>
      </c>
      <c r="E17" s="3" t="s">
        <v>482</v>
      </c>
      <c r="F17" s="34" t="str">
        <f t="array" ref="F17">IF(SUMIFS(G$86:G$161,$B$86:$B$161,$A17)=0,"",SUMIFS(G$86:G$161,$B$86:$B$161,$A17,$D$86:$D$161,$C17)*INDEX($B$7:$B$9,MATCH($D17&amp;$E17,$C$7:$C$9&amp;$D$7:$D$9,0)))</f>
        <v/>
      </c>
      <c r="G17" s="34" t="str">
        <f t="array" ref="G17">IF(SUMIFS(H$86:H$161,$B$86:$B$161,$A17)=0,"",SUMIFS(H$86:H$161,$B$86:$B$161,$A17,$D$86:$D$161,$C17)*INDEX($B$7:$B$9,MATCH($D17&amp;$E17,$C$7:$C$9&amp;$D$7:$D$9,0)))</f>
        <v/>
      </c>
      <c r="H17" s="34">
        <f t="array" ref="H17">IF(SUMIFS(I$86:I$161,$B$86:$B$161,$A17)=0,"",SUMIFS(I$86:I$161,$B$86:$B$161,$A17,$D$86:$D$161,$C17)*INDEX($B$7:$B$9,MATCH($D17&amp;$E17,$C$7:$C$9&amp;$D$7:$D$9,0)))</f>
        <v>14570.063977276528</v>
      </c>
      <c r="I17" s="34">
        <f t="array" ref="I17">IF(SUMIFS(J$86:J$161,$B$86:$B$161,$A17)=0,"",SUMIFS(J$86:J$161,$B$86:$B$161,$A17,$D$86:$D$161,$C17)*INDEX($B$7:$B$9,MATCH($D17&amp;$E17,$C$7:$C$9&amp;$D$7:$D$9,0)))</f>
        <v>14779.403976950041</v>
      </c>
      <c r="J17" s="34">
        <f t="array" ref="J17">IF(SUMIFS(K$86:K$161,$B$86:$B$161,$A17)=0,"",SUMIFS(K$86:K$161,$B$86:$B$161,$A17,$D$86:$D$161,$C17)*INDEX($B$7:$B$9,MATCH($D17&amp;$E17,$C$7:$C$9&amp;$D$7:$D$9,0)))</f>
        <v>15721.433975480852</v>
      </c>
      <c r="K17" s="34">
        <f t="array" ref="K17">IF(SUMIFS(L$86:L$161,$B$86:$B$161,$A17)=0,"",SUMIFS(L$86:L$161,$B$86:$B$161,$A17,$D$86:$D$161,$C17)*INDEX($B$7:$B$9,MATCH($D17&amp;$E17,$C$7:$C$9&amp;$D$7:$D$9,0)))</f>
        <v>17291.483973032202</v>
      </c>
      <c r="L17" s="34">
        <f t="array" ref="L17">IF(SUMIFS(M$86:M$161,$B$86:$B$161,$A17)=0,"",SUMIFS(M$86:M$161,$B$86:$B$161,$A17,$D$86:$D$161,$C17)*INDEX($B$7:$B$9,MATCH($D17&amp;$E17,$C$7:$C$9&amp;$D$7:$D$9,0)))</f>
        <v>18798.731970681496</v>
      </c>
      <c r="M17" s="34">
        <f t="array" ref="M17">IF(SUMIFS(N$86:N$161,$B$86:$B$161,$A17)=0,"",SUMIFS(N$86:N$161,$B$86:$B$161,$A17,$D$86:$D$161,$C17)*INDEX($B$7:$B$9,MATCH($D17&amp;$E17,$C$7:$C$9&amp;$D$7:$D$9,0)))</f>
        <v>20180.375968526685</v>
      </c>
      <c r="N17" s="34">
        <f t="array" ref="N17">IF(SUMIFS(O$86:O$161,$B$86:$B$161,$A17)=0,"",SUMIFS(O$86:O$161,$B$86:$B$161,$A17,$D$86:$D$161,$C17)*INDEX($B$7:$B$9,MATCH($D17&amp;$E17,$C$7:$C$9&amp;$D$7:$D$9,0)))</f>
        <v>21520.15196643717</v>
      </c>
      <c r="O17" s="34">
        <f t="array" ref="O17">IF(SUMIFS(P$86:P$161,$B$86:$B$161,$A17)=0,"",SUMIFS(P$86:P$161,$B$86:$B$161,$A17,$D$86:$D$161,$C17)*INDEX($B$7:$B$9,MATCH($D17&amp;$E17,$C$7:$C$9&amp;$D$7:$D$9,0)))</f>
        <v>22859.927964347655</v>
      </c>
      <c r="P17" s="34">
        <f t="array" ref="P17">IF(SUMIFS(Q$86:Q$161,$B$86:$B$161,$A17)=0,"",SUMIFS(Q$86:Q$161,$B$86:$B$161,$A17,$D$86:$D$161,$C17)*INDEX($B$7:$B$9,MATCH($D17&amp;$E17,$C$7:$C$9&amp;$D$7:$D$9,0)))</f>
        <v>24199.70396225814</v>
      </c>
      <c r="Q17" s="34">
        <f t="array" ref="Q17">IF(SUMIFS(R$86:R$161,$B$86:$B$161,$A17)=0,"",SUMIFS(R$86:R$161,$B$86:$B$161,$A17,$D$86:$D$161,$C17)*INDEX($B$7:$B$9,MATCH($D17&amp;$E17,$C$7:$C$9&amp;$D$7:$D$9,0)))</f>
        <v>25539.479960168628</v>
      </c>
      <c r="R17" s="34">
        <f t="array" ref="R17">IF(SUMIFS(S$86:S$161,$B$86:$B$161,$A17)=0,"",SUMIFS(S$86:S$161,$B$86:$B$161,$A17,$D$86:$D$161,$C17)*INDEX($B$7:$B$9,MATCH($D17&amp;$E17,$C$7:$C$9&amp;$D$7:$D$9,0)))</f>
        <v>26879.255958079113</v>
      </c>
    </row>
    <row r="18" spans="1:18" x14ac:dyDescent="0.3">
      <c r="A18" s="3" t="s">
        <v>368</v>
      </c>
      <c r="B18" s="3" t="str">
        <f>INDEX('R1. Scenario specifications'!$C$11:$C$59,MATCH($A18,'R1. Scenario specifications'!$A$11:$A$59,0))</f>
        <v>Current Policies Scenario, World Energy Outlook 2018</v>
      </c>
      <c r="C18" s="3" t="s">
        <v>253</v>
      </c>
      <c r="D18" s="3" t="str">
        <f t="array" ref="D18">INDEX($F$86:$F$161,MATCH($A18&amp;$C18,$B$86:$B$161&amp;$D$86:$D$161,0))</f>
        <v>Mtoe</v>
      </c>
      <c r="E18" s="3" t="s">
        <v>482</v>
      </c>
      <c r="F18" s="34" t="str">
        <f t="array" ref="F18">IF(SUMIFS(G$86:G$161,$B$86:$B$161,$A18)=0,"",SUMIFS(G$86:G$161,$B$86:$B$161,$A18,$D$86:$D$161,$C18)*INDEX($B$7:$B$9,MATCH($D18&amp;$E18,$C$7:$C$9&amp;$D$7:$D$9,0)))</f>
        <v/>
      </c>
      <c r="G18" s="34" t="str">
        <f t="array" ref="G18">IF(SUMIFS(H$86:H$161,$B$86:$B$161,$A18)=0,"",SUMIFS(H$86:H$161,$B$86:$B$161,$A18,$D$86:$D$161,$C18)*INDEX($B$7:$B$9,MATCH($D18&amp;$E18,$C$7:$C$9&amp;$D$7:$D$9,0)))</f>
        <v/>
      </c>
      <c r="H18" s="34">
        <f t="array" ref="H18">IF(SUMIFS(I$86:I$161,$B$86:$B$161,$A18)=0,"",SUMIFS(I$86:I$161,$B$86:$B$161,$A18,$D$86:$D$161,$C18)*INDEX($B$7:$B$9,MATCH($D18&amp;$E18,$C$7:$C$9&amp;$D$7:$D$9,0)))</f>
        <v>56521.799911848597</v>
      </c>
      <c r="I18" s="34">
        <f t="array" ref="I18">IF(SUMIFS(J$86:J$161,$B$86:$B$161,$A18)=0,"",SUMIFS(J$86:J$161,$B$86:$B$161,$A18,$D$86:$D$161,$C18)*INDEX($B$7:$B$9,MATCH($D18&amp;$E18,$C$7:$C$9&amp;$D$7:$D$9,0)))</f>
        <v>57945.311909628494</v>
      </c>
      <c r="J18" s="34">
        <f t="array" ref="J18">IF(SUMIFS(K$86:K$161,$B$86:$B$161,$A18)=0,"",SUMIFS(K$86:K$161,$B$86:$B$161,$A18,$D$86:$D$161,$C18)*INDEX($B$7:$B$9,MATCH($D18&amp;$E18,$C$7:$C$9&amp;$D$7:$D$9,0)))</f>
        <v>60897.005905025027</v>
      </c>
      <c r="K18" s="34">
        <f t="array" ref="K18">IF(SUMIFS(L$86:L$161,$B$86:$B$161,$A18)=0,"",SUMIFS(L$86:L$161,$B$86:$B$161,$A18,$D$86:$D$161,$C18)*INDEX($B$7:$B$9,MATCH($D18&amp;$E18,$C$7:$C$9&amp;$D$7:$D$9,0)))</f>
        <v>65816.495897352594</v>
      </c>
      <c r="L18" s="34">
        <f t="array" ref="L18">IF(SUMIFS(M$86:M$161,$B$86:$B$161,$A18)=0,"",SUMIFS(M$86:M$161,$B$86:$B$161,$A18,$D$86:$D$161,$C18)*INDEX($B$7:$B$9,MATCH($D18&amp;$E18,$C$7:$C$9&amp;$D$7:$D$9,0)))</f>
        <v>69040.331892324699</v>
      </c>
      <c r="M18" s="34">
        <f t="array" ref="M18">IF(SUMIFS(N$86:N$161,$B$86:$B$161,$A18)=0,"",SUMIFS(N$86:N$161,$B$86:$B$161,$A18,$D$86:$D$161,$C18)*INDEX($B$7:$B$9,MATCH($D18&amp;$E18,$C$7:$C$9&amp;$D$7:$D$9,0)))</f>
        <v>71929.223887819186</v>
      </c>
      <c r="N18" s="34">
        <f t="array" ref="N18">IF(SUMIFS(O$86:O$161,$B$86:$B$161,$A18)=0,"",SUMIFS(O$86:O$161,$B$86:$B$161,$A18,$D$86:$D$161,$C18)*INDEX($B$7:$B$9,MATCH($D18&amp;$E18,$C$7:$C$9&amp;$D$7:$D$9,0)))</f>
        <v>74148.227884358421</v>
      </c>
      <c r="O18" s="34">
        <f t="array" ref="O18">IF(SUMIFS(P$86:P$161,$B$86:$B$161,$A18)=0,"",SUMIFS(P$86:P$161,$B$86:$B$161,$A18,$D$86:$D$161,$C18)*INDEX($B$7:$B$9,MATCH($D18&amp;$E18,$C$7:$C$9&amp;$D$7:$D$9,0)))</f>
        <v>76367.231880897671</v>
      </c>
      <c r="P18" s="34">
        <f t="array" ref="P18">IF(SUMIFS(Q$86:Q$161,$B$86:$B$161,$A18)=0,"",SUMIFS(Q$86:Q$161,$B$86:$B$161,$A18,$D$86:$D$161,$C18)*INDEX($B$7:$B$9,MATCH($D18&amp;$E18,$C$7:$C$9&amp;$D$7:$D$9,0)))</f>
        <v>78586.235877436906</v>
      </c>
      <c r="Q18" s="34">
        <f t="array" ref="Q18">IF(SUMIFS(R$86:R$161,$B$86:$B$161,$A18)=0,"",SUMIFS(R$86:R$161,$B$86:$B$161,$A18,$D$86:$D$161,$C18)*INDEX($B$7:$B$9,MATCH($D18&amp;$E18,$C$7:$C$9&amp;$D$7:$D$9,0)))</f>
        <v>80805.239873976141</v>
      </c>
      <c r="R18" s="34">
        <f t="array" ref="R18">IF(SUMIFS(S$86:S$161,$B$86:$B$161,$A18)=0,"",SUMIFS(S$86:S$161,$B$86:$B$161,$A18,$D$86:$D$161,$C18)*INDEX($B$7:$B$9,MATCH($D18&amp;$E18,$C$7:$C$9&amp;$D$7:$D$9,0)))</f>
        <v>83024.243870515391</v>
      </c>
    </row>
    <row r="19" spans="1:18" x14ac:dyDescent="0.3">
      <c r="A19" s="3" t="s">
        <v>368</v>
      </c>
      <c r="B19" s="3" t="str">
        <f>INDEX('R1. Scenario specifications'!$C$11:$C$59,MATCH($A19,'R1. Scenario specifications'!$A$11:$A$59,0))</f>
        <v>Current Policies Scenario, World Energy Outlook 2018</v>
      </c>
      <c r="C19" s="3" t="s">
        <v>461</v>
      </c>
      <c r="D19" s="3" t="str">
        <f t="array" ref="D19">INDEX($F$86:$F$161,MATCH($A19&amp;$C19,$B$86:$B$161&amp;$D$86:$D$161,0))</f>
        <v>Mtoe</v>
      </c>
      <c r="E19" s="3" t="s">
        <v>482</v>
      </c>
      <c r="F19" s="34" t="str">
        <f t="array" ref="F19">IF(SUMIFS(G$86:G$161,$B$86:$B$161,$A19)=0,"",SUMIFS(G$86:G$161,$B$86:$B$161,$A19,$D$86:$D$161,$C19)*INDEX($B$7:$B$9,MATCH($D19&amp;$E19,$C$7:$C$9&amp;$D$7:$D$9,0)))</f>
        <v/>
      </c>
      <c r="G19" s="34" t="str">
        <f t="array" ref="G19">IF(SUMIFS(H$86:H$161,$B$86:$B$161,$A19)=0,"",SUMIFS(H$86:H$161,$B$86:$B$161,$A19,$D$86:$D$161,$C19)*INDEX($B$7:$B$9,MATCH($D19&amp;$E19,$C$7:$C$9&amp;$D$7:$D$9,0)))</f>
        <v/>
      </c>
      <c r="H19" s="34">
        <f t="array" ref="H19">IF(SUMIFS(I$86:I$161,$B$86:$B$161,$A19)=0,"",SUMIFS(I$86:I$161,$B$86:$B$161,$A19,$D$86:$D$161,$C19)*INDEX($B$7:$B$9,MATCH($D19&amp;$E19,$C$7:$C$9&amp;$D$7:$D$9,0)))</f>
        <v>9378.4319853733978</v>
      </c>
      <c r="I19" s="34">
        <f t="array" ref="I19">IF(SUMIFS(J$86:J$161,$B$86:$B$161,$A19)=0,"",SUMIFS(J$86:J$161,$B$86:$B$161,$A19,$D$86:$D$161,$C19)*INDEX($B$7:$B$9,MATCH($D19&amp;$E19,$C$7:$C$9&amp;$D$7:$D$9,0)))</f>
        <v>10634.471983414478</v>
      </c>
      <c r="J19" s="34">
        <f t="array" ref="J19">IF(SUMIFS(K$86:K$161,$B$86:$B$161,$A19)=0,"",SUMIFS(K$86:K$161,$B$86:$B$161,$A19,$D$86:$D$161,$C19)*INDEX($B$7:$B$9,MATCH($D19&amp;$E19,$C$7:$C$9&amp;$D$7:$D$9,0)))</f>
        <v>14167.084477905015</v>
      </c>
      <c r="K19" s="34">
        <f t="array" ref="K19">IF(SUMIFS(L$86:L$161,$B$86:$B$161,$A19)=0,"",SUMIFS(L$86:L$161,$B$86:$B$161,$A19,$D$86:$D$161,$C19)*INDEX($B$7:$B$9,MATCH($D19&amp;$E19,$C$7:$C$9&amp;$D$7:$D$9,0)))</f>
        <v>20054.771968722576</v>
      </c>
      <c r="L19" s="34">
        <f t="array" ref="L19">IF(SUMIFS(M$86:M$161,$B$86:$B$161,$A19)=0,"",SUMIFS(M$86:M$161,$B$86:$B$161,$A19,$D$86:$D$161,$C19)*INDEX($B$7:$B$9,MATCH($D19&amp;$E19,$C$7:$C$9&amp;$D$7:$D$9,0)))</f>
        <v>25958.159959515655</v>
      </c>
      <c r="M19" s="34">
        <f t="array" ref="M19">IF(SUMIFS(N$86:N$161,$B$86:$B$161,$A19)=0,"",SUMIFS(N$86:N$161,$B$86:$B$161,$A19,$D$86:$D$161,$C19)*INDEX($B$7:$B$9,MATCH($D19&amp;$E19,$C$7:$C$9&amp;$D$7:$D$9,0)))</f>
        <v>32405.831949459865</v>
      </c>
      <c r="N19" s="34">
        <f t="array" ref="N19">IF(SUMIFS(O$86:O$161,$B$86:$B$161,$A19)=0,"",SUMIFS(O$86:O$161,$B$86:$B$161,$A19,$D$86:$D$161,$C19)*INDEX($B$7:$B$9,MATCH($D19&amp;$E19,$C$7:$C$9&amp;$D$7:$D$9,0)))</f>
        <v>39690.863938098126</v>
      </c>
      <c r="O19" s="34">
        <f t="array" ref="O19">IF(SUMIFS(P$86:P$161,$B$86:$B$161,$A19)=0,"",SUMIFS(P$86:P$161,$B$86:$B$161,$A19,$D$86:$D$161,$C19)*INDEX($B$7:$B$9,MATCH($D19&amp;$E19,$C$7:$C$9&amp;$D$7:$D$9,0)))</f>
        <v>46975.89592673639</v>
      </c>
      <c r="P19" s="34">
        <f t="array" ref="P19">IF(SUMIFS(Q$86:Q$161,$B$86:$B$161,$A19)=0,"",SUMIFS(Q$86:Q$161,$B$86:$B$161,$A19,$D$86:$D$161,$C19)*INDEX($B$7:$B$9,MATCH($D19&amp;$E19,$C$7:$C$9&amp;$D$7:$D$9,0)))</f>
        <v>54260.927915374654</v>
      </c>
      <c r="Q19" s="34">
        <f t="array" ref="Q19">IF(SUMIFS(R$86:R$161,$B$86:$B$161,$A19)=0,"",SUMIFS(R$86:R$161,$B$86:$B$161,$A19,$D$86:$D$161,$C19)*INDEX($B$7:$B$9,MATCH($D19&amp;$E19,$C$7:$C$9&amp;$D$7:$D$9,0)))</f>
        <v>61545.959904012918</v>
      </c>
      <c r="R19" s="34">
        <f t="array" ref="R19">IF(SUMIFS(S$86:S$161,$B$86:$B$161,$A19)=0,"",SUMIFS(S$86:S$161,$B$86:$B$161,$A19,$D$86:$D$161,$C19)*INDEX($B$7:$B$9,MATCH($D19&amp;$E19,$C$7:$C$9&amp;$D$7:$D$9,0)))</f>
        <v>68830.991892651189</v>
      </c>
    </row>
    <row r="20" spans="1:18" x14ac:dyDescent="0.3">
      <c r="A20" s="3" t="s">
        <v>370</v>
      </c>
      <c r="B20" s="3" t="str">
        <f>INDEX('R1. Scenario specifications'!$C$11:$C$59,MATCH($A20,'R1. Scenario specifications'!$A$11:$A$59,0))</f>
        <v>New Policies Scenario, World Energy Outlook 2018</v>
      </c>
      <c r="C20" s="3" t="s">
        <v>254</v>
      </c>
      <c r="D20" s="3" t="str">
        <f t="array" ref="D20">INDEX($F$86:$F$161,MATCH($A20&amp;$C20,$B$86:$B$161&amp;$D$86:$D$161,0))</f>
        <v>Mtoe</v>
      </c>
      <c r="E20" s="3" t="s">
        <v>482</v>
      </c>
      <c r="F20" s="34" t="str">
        <f t="array" ref="F20">IF(SUMIFS(G$86:G$161,$B$86:$B$161,$A20)=0,"",SUMIFS(G$86:G$161,$B$86:$B$161,$A20,$D$86:$D$161,$C20)*INDEX($B$7:$B$9,MATCH($D20&amp;$E20,$C$7:$C$9&amp;$D$7:$D$9,0)))</f>
        <v/>
      </c>
      <c r="G20" s="34" t="str">
        <f t="array" ref="G20">IF(SUMIFS(H$86:H$161,$B$86:$B$161,$A20)=0,"",SUMIFS(H$86:H$161,$B$86:$B$161,$A20,$D$86:$D$161,$C20)*INDEX($B$7:$B$9,MATCH($D20&amp;$E20,$C$7:$C$9&amp;$D$7:$D$9,0)))</f>
        <v/>
      </c>
      <c r="H20" s="34">
        <f t="array" ref="H20">IF(SUMIFS(I$86:I$161,$B$86:$B$161,$A20)=0,"",SUMIFS(I$86:I$161,$B$86:$B$161,$A20,$D$86:$D$161,$C20)*INDEX($B$7:$B$9,MATCH($D20&amp;$E20,$C$7:$C$9&amp;$D$7:$D$9,0)))</f>
        <v>155748.95975709392</v>
      </c>
      <c r="I20" s="34">
        <f t="array" ref="I20">IF(SUMIFS(J$86:J$161,$B$86:$B$161,$A20)=0,"",SUMIFS(J$86:J$161,$B$86:$B$161,$A20,$D$86:$D$161,$C20)*INDEX($B$7:$B$9,MATCH($D20&amp;$E20,$C$7:$C$9&amp;$D$7:$D$9,0)))</f>
        <v>157004.99975513501</v>
      </c>
      <c r="J20" s="34">
        <f t="array" ref="J20">IF(SUMIFS(K$86:K$161,$B$86:$B$161,$A20)=0,"",SUMIFS(K$86:K$161,$B$86:$B$161,$A20,$D$86:$D$161,$C20)*INDEX($B$7:$B$9,MATCH($D20&amp;$E20,$C$7:$C$9&amp;$D$7:$D$9,0)))</f>
        <v>157287.60875469423</v>
      </c>
      <c r="K20" s="34">
        <f t="array" ref="K20">IF(SUMIFS(L$86:L$161,$B$86:$B$161,$A20)=0,"",SUMIFS(L$86:L$161,$B$86:$B$161,$A20,$D$86:$D$161,$C20)*INDEX($B$7:$B$9,MATCH($D20&amp;$E20,$C$7:$C$9&amp;$D$7:$D$9,0)))</f>
        <v>157758.62375395963</v>
      </c>
      <c r="L20" s="34">
        <f t="array" ref="L20">IF(SUMIFS(M$86:M$161,$B$86:$B$161,$A20)=0,"",SUMIFS(M$86:M$161,$B$86:$B$161,$A20,$D$86:$D$161,$C20)*INDEX($B$7:$B$9,MATCH($D20&amp;$E20,$C$7:$C$9&amp;$D$7:$D$9,0)))</f>
        <v>158386.64375298019</v>
      </c>
      <c r="M20" s="34">
        <f t="array" ref="M20">IF(SUMIFS(N$86:N$161,$B$86:$B$161,$A20)=0,"",SUMIFS(N$86:N$161,$B$86:$B$161,$A20,$D$86:$D$161,$C20)*INDEX($B$7:$B$9,MATCH($D20&amp;$E20,$C$7:$C$9&amp;$D$7:$D$9,0)))</f>
        <v>158805.32375232721</v>
      </c>
      <c r="N20" s="34">
        <f t="array" ref="N20">IF(SUMIFS(O$86:O$161,$B$86:$B$161,$A20)=0,"",SUMIFS(O$86:O$161,$B$86:$B$161,$A20,$D$86:$D$161,$C20)*INDEX($B$7:$B$9,MATCH($D20&amp;$E20,$C$7:$C$9&amp;$D$7:$D$9,0)))</f>
        <v>159475.21175128245</v>
      </c>
      <c r="O20" s="34">
        <f t="array" ref="O20">IF(SUMIFS(P$86:P$161,$B$86:$B$161,$A20)=0,"",SUMIFS(P$86:P$161,$B$86:$B$161,$A20,$D$86:$D$161,$C20)*INDEX($B$7:$B$9,MATCH($D20&amp;$E20,$C$7:$C$9&amp;$D$7:$D$9,0)))</f>
        <v>160145.09975023771</v>
      </c>
      <c r="P20" s="34">
        <f t="array" ref="P20">IF(SUMIFS(Q$86:Q$161,$B$86:$B$161,$A20)=0,"",SUMIFS(Q$86:Q$161,$B$86:$B$161,$A20,$D$86:$D$161,$C20)*INDEX($B$7:$B$9,MATCH($D20&amp;$E20,$C$7:$C$9&amp;$D$7:$D$9,0)))</f>
        <v>160814.98774919295</v>
      </c>
      <c r="Q20" s="34">
        <f t="array" ref="Q20">IF(SUMIFS(R$86:R$161,$B$86:$B$161,$A20)=0,"",SUMIFS(R$86:R$161,$B$86:$B$161,$A20,$D$86:$D$161,$C20)*INDEX($B$7:$B$9,MATCH($D20&amp;$E20,$C$7:$C$9&amp;$D$7:$D$9,0)))</f>
        <v>161484.87574814819</v>
      </c>
      <c r="R20" s="34">
        <f t="array" ref="R20">IF(SUMIFS(S$86:S$161,$B$86:$B$161,$A20)=0,"",SUMIFS(S$86:S$161,$B$86:$B$161,$A20,$D$86:$D$161,$C20)*INDEX($B$7:$B$9,MATCH($D20&amp;$E20,$C$7:$C$9&amp;$D$7:$D$9,0)))</f>
        <v>162154.76374710342</v>
      </c>
    </row>
    <row r="21" spans="1:18" x14ac:dyDescent="0.3">
      <c r="A21" s="3" t="s">
        <v>370</v>
      </c>
      <c r="B21" s="3" t="str">
        <f>INDEX('R1. Scenario specifications'!$C$11:$C$59,MATCH($A21,'R1. Scenario specifications'!$A$11:$A$59,0))</f>
        <v>New Policies Scenario, World Energy Outlook 2018</v>
      </c>
      <c r="C21" s="3" t="s">
        <v>266</v>
      </c>
      <c r="D21" s="3" t="str">
        <f t="array" ref="D21">INDEX($F$86:$F$161,MATCH($A21&amp;$C21,$B$86:$B$161&amp;$D$86:$D$161,0))</f>
        <v>Mtoe</v>
      </c>
      <c r="E21" s="3" t="s">
        <v>482</v>
      </c>
      <c r="F21" s="34" t="str">
        <f t="array" ref="F21">IF(SUMIFS(G$86:G$161,$B$86:$B$161,$A21)=0,"",SUMIFS(G$86:G$161,$B$86:$B$161,$A21,$D$86:$D$161,$C21)*INDEX($B$7:$B$9,MATCH($D21&amp;$E21,$C$7:$C$9&amp;$D$7:$D$9,0)))</f>
        <v/>
      </c>
      <c r="G21" s="34" t="str">
        <f t="array" ref="G21">IF(SUMIFS(H$86:H$161,$B$86:$B$161,$A21)=0,"",SUMIFS(H$86:H$161,$B$86:$B$161,$A21,$D$86:$D$161,$C21)*INDEX($B$7:$B$9,MATCH($D21&amp;$E21,$C$7:$C$9&amp;$D$7:$D$9,0)))</f>
        <v/>
      </c>
      <c r="H21" s="34">
        <f t="array" ref="H21">IF(SUMIFS(I$86:I$161,$B$86:$B$161,$A21)=0,"",SUMIFS(I$86:I$161,$B$86:$B$161,$A21,$D$86:$D$161,$C21)*INDEX($B$7:$B$9,MATCH($D21&amp;$E21,$C$7:$C$9&amp;$D$7:$D$9,0)))</f>
        <v>182711.95171504244</v>
      </c>
      <c r="I21" s="34">
        <f t="array" ref="I21">IF(SUMIFS(J$86:J$161,$B$86:$B$161,$A21)=0,"",SUMIFS(J$86:J$161,$B$86:$B$161,$A21,$D$86:$D$161,$C21)*INDEX($B$7:$B$9,MATCH($D21&amp;$E21,$C$7:$C$9&amp;$D$7:$D$9,0)))</f>
        <v>185684.57971040634</v>
      </c>
      <c r="J21" s="34">
        <f t="array" ref="J21">IF(SUMIFS(K$86:K$161,$B$86:$B$161,$A21)=0,"",SUMIFS(K$86:K$161,$B$86:$B$161,$A21,$D$86:$D$161,$C21)*INDEX($B$7:$B$9,MATCH($D21&amp;$E21,$C$7:$C$9&amp;$D$7:$D$9,0)))</f>
        <v>190693.03920259513</v>
      </c>
      <c r="K21" s="34">
        <f t="array" ref="K21">IF(SUMIFS(L$86:L$161,$B$86:$B$161,$A21)=0,"",SUMIFS(L$86:L$161,$B$86:$B$161,$A21,$D$86:$D$161,$C21)*INDEX($B$7:$B$9,MATCH($D21&amp;$E21,$C$7:$C$9&amp;$D$7:$D$9,0)))</f>
        <v>199040.47168957649</v>
      </c>
      <c r="L21" s="34">
        <f t="array" ref="L21">IF(SUMIFS(M$86:M$161,$B$86:$B$161,$A21)=0,"",SUMIFS(M$86:M$161,$B$86:$B$161,$A21,$D$86:$D$161,$C21)*INDEX($B$7:$B$9,MATCH($D21&amp;$E21,$C$7:$C$9&amp;$D$7:$D$9,0)))</f>
        <v>202222.43968461387</v>
      </c>
      <c r="M21" s="34">
        <f t="array" ref="M21">IF(SUMIFS(N$86:N$161,$B$86:$B$161,$A21)=0,"",SUMIFS(N$86:N$161,$B$86:$B$161,$A21,$D$86:$D$161,$C21)*INDEX($B$7:$B$9,MATCH($D21&amp;$E21,$C$7:$C$9&amp;$D$7:$D$9,0)))</f>
        <v>202724.8556838303</v>
      </c>
      <c r="N21" s="34">
        <f t="array" ref="N21">IF(SUMIFS(O$86:O$161,$B$86:$B$161,$A21)=0,"",SUMIFS(O$86:O$161,$B$86:$B$161,$A21,$D$86:$D$161,$C21)*INDEX($B$7:$B$9,MATCH($D21&amp;$E21,$C$7:$C$9&amp;$D$7:$D$9,0)))</f>
        <v>204901.99168043485</v>
      </c>
      <c r="O21" s="34">
        <f t="array" ref="O21">IF(SUMIFS(P$86:P$161,$B$86:$B$161,$A21)=0,"",SUMIFS(P$86:P$161,$B$86:$B$161,$A21,$D$86:$D$161,$C21)*INDEX($B$7:$B$9,MATCH($D21&amp;$E21,$C$7:$C$9&amp;$D$7:$D$9,0)))</f>
        <v>207079.12767703939</v>
      </c>
      <c r="P21" s="34">
        <f t="array" ref="P21">IF(SUMIFS(Q$86:Q$161,$B$86:$B$161,$A21)=0,"",SUMIFS(Q$86:Q$161,$B$86:$B$161,$A21,$D$86:$D$161,$C21)*INDEX($B$7:$B$9,MATCH($D21&amp;$E21,$C$7:$C$9&amp;$D$7:$D$9,0)))</f>
        <v>209256.26367364393</v>
      </c>
      <c r="Q21" s="34">
        <f t="array" ref="Q21">IF(SUMIFS(R$86:R$161,$B$86:$B$161,$A21)=0,"",SUMIFS(R$86:R$161,$B$86:$B$161,$A21,$D$86:$D$161,$C21)*INDEX($B$7:$B$9,MATCH($D21&amp;$E21,$C$7:$C$9&amp;$D$7:$D$9,0)))</f>
        <v>211433.39967024847</v>
      </c>
      <c r="R21" s="34">
        <f t="array" ref="R21">IF(SUMIFS(S$86:S$161,$B$86:$B$161,$A21)=0,"",SUMIFS(S$86:S$161,$B$86:$B$161,$A21,$D$86:$D$161,$C21)*INDEX($B$7:$B$9,MATCH($D21&amp;$E21,$C$7:$C$9&amp;$D$7:$D$9,0)))</f>
        <v>213610.53566685301</v>
      </c>
    </row>
    <row r="22" spans="1:18" x14ac:dyDescent="0.3">
      <c r="A22" s="3" t="s">
        <v>370</v>
      </c>
      <c r="B22" s="3" t="str">
        <f>INDEX('R1. Scenario specifications'!$C$11:$C$59,MATCH($A22,'R1. Scenario specifications'!$A$11:$A$59,0))</f>
        <v>New Policies Scenario, World Energy Outlook 2018</v>
      </c>
      <c r="C22" s="3" t="s">
        <v>255</v>
      </c>
      <c r="D22" s="3" t="str">
        <f t="array" ref="D22">INDEX($F$86:$F$161,MATCH($A22&amp;$C22,$B$86:$B$161&amp;$D$86:$D$161,0))</f>
        <v>Mtoe</v>
      </c>
      <c r="E22" s="3" t="s">
        <v>482</v>
      </c>
      <c r="F22" s="34" t="str">
        <f t="array" ref="F22">IF(SUMIFS(G$86:G$161,$B$86:$B$161,$A22)=0,"",SUMIFS(G$86:G$161,$B$86:$B$161,$A22,$D$86:$D$161,$C22)*INDEX($B$7:$B$9,MATCH($D22&amp;$E22,$C$7:$C$9&amp;$D$7:$D$9,0)))</f>
        <v/>
      </c>
      <c r="G22" s="34" t="str">
        <f t="array" ref="G22">IF(SUMIFS(H$86:H$161,$B$86:$B$161,$A22)=0,"",SUMIFS(H$86:H$161,$B$86:$B$161,$A22,$D$86:$D$161,$C22)*INDEX($B$7:$B$9,MATCH($D22&amp;$E22,$C$7:$C$9&amp;$D$7:$D$9,0)))</f>
        <v/>
      </c>
      <c r="H22" s="34">
        <f t="array" ref="H22">IF(SUMIFS(I$86:I$161,$B$86:$B$161,$A22)=0,"",SUMIFS(I$86:I$161,$B$86:$B$161,$A22,$D$86:$D$161,$C22)*INDEX($B$7:$B$9,MATCH($D22&amp;$E22,$C$7:$C$9&amp;$D$7:$D$9,0)))</f>
        <v>126525.09580267147</v>
      </c>
      <c r="I22" s="34">
        <f t="array" ref="I22">IF(SUMIFS(J$86:J$161,$B$86:$B$161,$A22)=0,"",SUMIFS(J$86:J$161,$B$86:$B$161,$A22,$D$86:$D$161,$C22)*INDEX($B$7:$B$9,MATCH($D22&amp;$E22,$C$7:$C$9&amp;$D$7:$D$9,0)))</f>
        <v>130083.87579712119</v>
      </c>
      <c r="J22" s="34">
        <f t="array" ref="J22">IF(SUMIFS(K$86:K$161,$B$86:$B$161,$A22)=0,"",SUMIFS(K$86:K$161,$B$86:$B$161,$A22,$D$86:$D$161,$C22)*INDEX($B$7:$B$9,MATCH($D22&amp;$E22,$C$7:$C$9&amp;$D$7:$D$9,0)))</f>
        <v>136866.49178654302</v>
      </c>
      <c r="K22" s="34">
        <f t="array" ref="K22">IF(SUMIFS(L$86:L$161,$B$86:$B$161,$A22)=0,"",SUMIFS(L$86:L$161,$B$86:$B$161,$A22,$D$86:$D$161,$C22)*INDEX($B$7:$B$9,MATCH($D22&amp;$E22,$C$7:$C$9&amp;$D$7:$D$9,0)))</f>
        <v>148170.85176891275</v>
      </c>
      <c r="L22" s="34">
        <f t="array" ref="L22">IF(SUMIFS(M$86:M$161,$B$86:$B$161,$A22)=0,"",SUMIFS(M$86:M$161,$B$86:$B$161,$A22,$D$86:$D$161,$C22)*INDEX($B$7:$B$9,MATCH($D22&amp;$E22,$C$7:$C$9&amp;$D$7:$D$9,0)))</f>
        <v>159935.75975056418</v>
      </c>
      <c r="M22" s="34">
        <f t="array" ref="M22">IF(SUMIFS(N$86:N$161,$B$86:$B$161,$A22)=0,"",SUMIFS(N$86:N$161,$B$86:$B$161,$A22,$D$86:$D$161,$C22)*INDEX($B$7:$B$9,MATCH($D22&amp;$E22,$C$7:$C$9&amp;$D$7:$D$9,0)))</f>
        <v>172998.57573019143</v>
      </c>
      <c r="N22" s="34">
        <f t="array" ref="N22">IF(SUMIFS(O$86:O$161,$B$86:$B$161,$A22)=0,"",SUMIFS(O$86:O$161,$B$86:$B$161,$A22,$D$86:$D$161,$C22)*INDEX($B$7:$B$9,MATCH($D22&amp;$E22,$C$7:$C$9&amp;$D$7:$D$9,0)))</f>
        <v>185726.44771034102</v>
      </c>
      <c r="O22" s="34">
        <f t="array" ref="O22">IF(SUMIFS(P$86:P$161,$B$86:$B$161,$A22)=0,"",SUMIFS(P$86:P$161,$B$86:$B$161,$A22,$D$86:$D$161,$C22)*INDEX($B$7:$B$9,MATCH($D22&amp;$E22,$C$7:$C$9&amp;$D$7:$D$9,0)))</f>
        <v>198454.31969049064</v>
      </c>
      <c r="P22" s="34">
        <f t="array" ref="P22">IF(SUMIFS(Q$86:Q$161,$B$86:$B$161,$A22)=0,"",SUMIFS(Q$86:Q$161,$B$86:$B$161,$A22,$D$86:$D$161,$C22)*INDEX($B$7:$B$9,MATCH($D22&amp;$E22,$C$7:$C$9&amp;$D$7:$D$9,0)))</f>
        <v>211182.19167064026</v>
      </c>
      <c r="Q22" s="34">
        <f t="array" ref="Q22">IF(SUMIFS(R$86:R$161,$B$86:$B$161,$A22)=0,"",SUMIFS(R$86:R$161,$B$86:$B$161,$A22,$D$86:$D$161,$C22)*INDEX($B$7:$B$9,MATCH($D22&amp;$E22,$C$7:$C$9&amp;$D$7:$D$9,0)))</f>
        <v>223910.06365078987</v>
      </c>
      <c r="R22" s="34">
        <f t="array" ref="R22">IF(SUMIFS(S$86:S$161,$B$86:$B$161,$A22)=0,"",SUMIFS(S$86:S$161,$B$86:$B$161,$A22,$D$86:$D$161,$C22)*INDEX($B$7:$B$9,MATCH($D22&amp;$E22,$C$7:$C$9&amp;$D$7:$D$9,0)))</f>
        <v>236637.93563093946</v>
      </c>
    </row>
    <row r="23" spans="1:18" x14ac:dyDescent="0.3">
      <c r="A23" s="3" t="s">
        <v>370</v>
      </c>
      <c r="B23" s="3" t="str">
        <f>INDEX('R1. Scenario specifications'!$C$11:$C$59,MATCH($A23,'R1. Scenario specifications'!$A$11:$A$59,0))</f>
        <v>New Policies Scenario, World Energy Outlook 2018</v>
      </c>
      <c r="C23" s="3" t="s">
        <v>257</v>
      </c>
      <c r="D23" s="3" t="str">
        <f t="array" ref="D23">INDEX($F$86:$F$161,MATCH($A23&amp;$C23,$B$86:$B$161&amp;$D$86:$D$161,0))</f>
        <v>Mtoe</v>
      </c>
      <c r="E23" s="3" t="s">
        <v>482</v>
      </c>
      <c r="F23" s="34" t="str">
        <f t="array" ref="F23">IF(SUMIFS(G$86:G$161,$B$86:$B$161,$A23)=0,"",SUMIFS(G$86:G$161,$B$86:$B$161,$A23,$D$86:$D$161,$C23)*INDEX($B$7:$B$9,MATCH($D23&amp;$E23,$C$7:$C$9&amp;$D$7:$D$9,0)))</f>
        <v/>
      </c>
      <c r="G23" s="34" t="str">
        <f t="array" ref="G23">IF(SUMIFS(H$86:H$161,$B$86:$B$161,$A23)=0,"",SUMIFS(H$86:H$161,$B$86:$B$161,$A23,$D$86:$D$161,$C23)*INDEX($B$7:$B$9,MATCH($D23&amp;$E23,$C$7:$C$9&amp;$D$7:$D$9,0)))</f>
        <v/>
      </c>
      <c r="H23" s="34">
        <f t="array" ref="H23">IF(SUMIFS(I$86:I$161,$B$86:$B$161,$A23)=0,"",SUMIFS(I$86:I$161,$B$86:$B$161,$A23,$D$86:$D$161,$C23)*INDEX($B$7:$B$9,MATCH($D23&amp;$E23,$C$7:$C$9&amp;$D$7:$D$9,0)))</f>
        <v>28428.371955663111</v>
      </c>
      <c r="I23" s="34">
        <f t="array" ref="I23">IF(SUMIFS(J$86:J$161,$B$86:$B$161,$A23)=0,"",SUMIFS(J$86:J$161,$B$86:$B$161,$A23,$D$86:$D$161,$C23)*INDEX($B$7:$B$9,MATCH($D23&amp;$E23,$C$7:$C$9&amp;$D$7:$D$9,0)))</f>
        <v>28805.183955075434</v>
      </c>
      <c r="J23" s="34">
        <f t="array" ref="J23">IF(SUMIFS(K$86:K$161,$B$86:$B$161,$A23)=0,"",SUMIFS(K$86:K$161,$B$86:$B$161,$A23,$D$86:$D$161,$C23)*INDEX($B$7:$B$9,MATCH($D23&amp;$E23,$C$7:$C$9&amp;$D$7:$D$9,0)))</f>
        <v>30642.142452210515</v>
      </c>
      <c r="K23" s="34">
        <f t="array" ref="K23">IF(SUMIFS(L$86:L$161,$B$86:$B$161,$A23)=0,"",SUMIFS(L$86:L$161,$B$86:$B$161,$A23,$D$86:$D$161,$C23)*INDEX($B$7:$B$9,MATCH($D23&amp;$E23,$C$7:$C$9&amp;$D$7:$D$9,0)))</f>
        <v>33703.73994743565</v>
      </c>
      <c r="L23" s="34">
        <f t="array" ref="L23">IF(SUMIFS(M$86:M$161,$B$86:$B$161,$A23)=0,"",SUMIFS(M$86:M$161,$B$86:$B$161,$A23,$D$86:$D$161,$C23)*INDEX($B$7:$B$9,MATCH($D23&amp;$E23,$C$7:$C$9&amp;$D$7:$D$9,0)))</f>
        <v>35504.063944627858</v>
      </c>
      <c r="M23" s="34">
        <f t="array" ref="M23">IF(SUMIFS(N$86:N$161,$B$86:$B$161,$A23)=0,"",SUMIFS(N$86:N$161,$B$86:$B$161,$A23,$D$86:$D$161,$C23)*INDEX($B$7:$B$9,MATCH($D23&amp;$E23,$C$7:$C$9&amp;$D$7:$D$9,0)))</f>
        <v>38434.823940057046</v>
      </c>
      <c r="N23" s="34">
        <f t="array" ref="N23">IF(SUMIFS(O$86:O$161,$B$86:$B$161,$A23)=0,"",SUMIFS(O$86:O$161,$B$86:$B$161,$A23,$D$86:$D$161,$C23)*INDEX($B$7:$B$9,MATCH($D23&amp;$E23,$C$7:$C$9&amp;$D$7:$D$9,0)))</f>
        <v>40653.827936596288</v>
      </c>
      <c r="O23" s="34">
        <f t="array" ref="O23">IF(SUMIFS(P$86:P$161,$B$86:$B$161,$A23)=0,"",SUMIFS(P$86:P$161,$B$86:$B$161,$A23,$D$86:$D$161,$C23)*INDEX($B$7:$B$9,MATCH($D23&amp;$E23,$C$7:$C$9&amp;$D$7:$D$9,0)))</f>
        <v>42872.831933135531</v>
      </c>
      <c r="P23" s="34">
        <f t="array" ref="P23">IF(SUMIFS(Q$86:Q$161,$B$86:$B$161,$A23)=0,"",SUMIFS(Q$86:Q$161,$B$86:$B$161,$A23,$D$86:$D$161,$C23)*INDEX($B$7:$B$9,MATCH($D23&amp;$E23,$C$7:$C$9&amp;$D$7:$D$9,0)))</f>
        <v>45091.835929674773</v>
      </c>
      <c r="Q23" s="34">
        <f t="array" ref="Q23">IF(SUMIFS(R$86:R$161,$B$86:$B$161,$A23)=0,"",SUMIFS(R$86:R$161,$B$86:$B$161,$A23,$D$86:$D$161,$C23)*INDEX($B$7:$B$9,MATCH($D23&amp;$E23,$C$7:$C$9&amp;$D$7:$D$9,0)))</f>
        <v>47310.839926214016</v>
      </c>
      <c r="R23" s="34">
        <f t="array" ref="R23">IF(SUMIFS(S$86:S$161,$B$86:$B$161,$A23)=0,"",SUMIFS(S$86:S$161,$B$86:$B$161,$A23,$D$86:$D$161,$C23)*INDEX($B$7:$B$9,MATCH($D23&amp;$E23,$C$7:$C$9&amp;$D$7:$D$9,0)))</f>
        <v>49529.843922753258</v>
      </c>
    </row>
    <row r="24" spans="1:18" x14ac:dyDescent="0.3">
      <c r="A24" s="3" t="s">
        <v>370</v>
      </c>
      <c r="B24" s="3" t="str">
        <f>INDEX('R1. Scenario specifications'!$C$11:$C$59,MATCH($A24,'R1. Scenario specifications'!$A$11:$A$59,0))</f>
        <v>New Policies Scenario, World Energy Outlook 2018</v>
      </c>
      <c r="C24" s="3" t="s">
        <v>256</v>
      </c>
      <c r="D24" s="3" t="str">
        <f t="array" ref="D24">INDEX($F$86:$F$161,MATCH($A24&amp;$C24,$B$86:$B$161&amp;$D$86:$D$161,0))</f>
        <v>Mtoe</v>
      </c>
      <c r="E24" s="3" t="s">
        <v>482</v>
      </c>
      <c r="F24" s="34" t="str">
        <f t="array" ref="F24">IF(SUMIFS(G$86:G$161,$B$86:$B$161,$A24)=0,"",SUMIFS(G$86:G$161,$B$86:$B$161,$A24,$D$86:$D$161,$C24)*INDEX($B$7:$B$9,MATCH($D24&amp;$E24,$C$7:$C$9&amp;$D$7:$D$9,0)))</f>
        <v/>
      </c>
      <c r="G24" s="34" t="str">
        <f t="array" ref="G24">IF(SUMIFS(H$86:H$161,$B$86:$B$161,$A24)=0,"",SUMIFS(H$86:H$161,$B$86:$B$161,$A24,$D$86:$D$161,$C24)*INDEX($B$7:$B$9,MATCH($D24&amp;$E24,$C$7:$C$9&amp;$D$7:$D$9,0)))</f>
        <v/>
      </c>
      <c r="H24" s="34">
        <f t="array" ref="H24">IF(SUMIFS(I$86:I$161,$B$86:$B$161,$A24)=0,"",SUMIFS(I$86:I$161,$B$86:$B$161,$A24,$D$86:$D$161,$C24)*INDEX($B$7:$B$9,MATCH($D24&amp;$E24,$C$7:$C$9&amp;$D$7:$D$9,0)))</f>
        <v>14570.063977276528</v>
      </c>
      <c r="I24" s="34">
        <f t="array" ref="I24">IF(SUMIFS(J$86:J$161,$B$86:$B$161,$A24)=0,"",SUMIFS(J$86:J$161,$B$86:$B$161,$A24,$D$86:$D$161,$C24)*INDEX($B$7:$B$9,MATCH($D24&amp;$E24,$C$7:$C$9&amp;$D$7:$D$9,0)))</f>
        <v>14779.403976950041</v>
      </c>
      <c r="J24" s="34">
        <f t="array" ref="J24">IF(SUMIFS(K$86:K$161,$B$86:$B$161,$A24)=0,"",SUMIFS(K$86:K$161,$B$86:$B$161,$A24,$D$86:$D$161,$C24)*INDEX($B$7:$B$9,MATCH($D24&amp;$E24,$C$7:$C$9&amp;$D$7:$D$9,0)))</f>
        <v>15752.834975431879</v>
      </c>
      <c r="K24" s="34">
        <f t="array" ref="K24">IF(SUMIFS(L$86:L$161,$B$86:$B$161,$A24)=0,"",SUMIFS(L$86:L$161,$B$86:$B$161,$A24,$D$86:$D$161,$C24)*INDEX($B$7:$B$9,MATCH($D24&amp;$E24,$C$7:$C$9&amp;$D$7:$D$9,0)))</f>
        <v>17375.219972901607</v>
      </c>
      <c r="L24" s="34">
        <f t="array" ref="L24">IF(SUMIFS(M$86:M$161,$B$86:$B$161,$A24)=0,"",SUMIFS(M$86:M$161,$B$86:$B$161,$A24,$D$86:$D$161,$C24)*INDEX($B$7:$B$9,MATCH($D24&amp;$E24,$C$7:$C$9&amp;$D$7:$D$9,0)))</f>
        <v>19175.543970093822</v>
      </c>
      <c r="M24" s="34">
        <f t="array" ref="M24">IF(SUMIFS(N$86:N$161,$B$86:$B$161,$A24)=0,"",SUMIFS(N$86:N$161,$B$86:$B$161,$A24,$D$86:$D$161,$C24)*INDEX($B$7:$B$9,MATCH($D24&amp;$E24,$C$7:$C$9&amp;$D$7:$D$9,0)))</f>
        <v>20766.527967612521</v>
      </c>
      <c r="N24" s="34">
        <f t="array" ref="N24">IF(SUMIFS(O$86:O$161,$B$86:$B$161,$A24)=0,"",SUMIFS(O$86:O$161,$B$86:$B$161,$A24,$D$86:$D$161,$C24)*INDEX($B$7:$B$9,MATCH($D24&amp;$E24,$C$7:$C$9&amp;$D$7:$D$9,0)))</f>
        <v>22231.907965327115</v>
      </c>
      <c r="O24" s="34">
        <f t="array" ref="O24">IF(SUMIFS(P$86:P$161,$B$86:$B$161,$A24)=0,"",SUMIFS(P$86:P$161,$B$86:$B$161,$A24,$D$86:$D$161,$C24)*INDEX($B$7:$B$9,MATCH($D24&amp;$E24,$C$7:$C$9&amp;$D$7:$D$9,0)))</f>
        <v>23697.287963041708</v>
      </c>
      <c r="P24" s="34">
        <f t="array" ref="P24">IF(SUMIFS(Q$86:Q$161,$B$86:$B$161,$A24)=0,"",SUMIFS(Q$86:Q$161,$B$86:$B$161,$A24,$D$86:$D$161,$C24)*INDEX($B$7:$B$9,MATCH($D24&amp;$E24,$C$7:$C$9&amp;$D$7:$D$9,0)))</f>
        <v>25162.667960756302</v>
      </c>
      <c r="Q24" s="34">
        <f t="array" ref="Q24">IF(SUMIFS(R$86:R$161,$B$86:$B$161,$A24)=0,"",SUMIFS(R$86:R$161,$B$86:$B$161,$A24,$D$86:$D$161,$C24)*INDEX($B$7:$B$9,MATCH($D24&amp;$E24,$C$7:$C$9&amp;$D$7:$D$9,0)))</f>
        <v>26628.047958470896</v>
      </c>
      <c r="R24" s="34">
        <f t="array" ref="R24">IF(SUMIFS(S$86:S$161,$B$86:$B$161,$A24)=0,"",SUMIFS(S$86:S$161,$B$86:$B$161,$A24,$D$86:$D$161,$C24)*INDEX($B$7:$B$9,MATCH($D24&amp;$E24,$C$7:$C$9&amp;$D$7:$D$9,0)))</f>
        <v>28093.427956185489</v>
      </c>
    </row>
    <row r="25" spans="1:18" x14ac:dyDescent="0.3">
      <c r="A25" s="3" t="s">
        <v>370</v>
      </c>
      <c r="B25" s="3" t="str">
        <f>INDEX('R1. Scenario specifications'!$C$11:$C$59,MATCH($A25,'R1. Scenario specifications'!$A$11:$A$59,0))</f>
        <v>New Policies Scenario, World Energy Outlook 2018</v>
      </c>
      <c r="C25" s="3" t="s">
        <v>253</v>
      </c>
      <c r="D25" s="3" t="str">
        <f t="array" ref="D25">INDEX($F$86:$F$161,MATCH($A25&amp;$C25,$B$86:$B$161&amp;$D$86:$D$161,0))</f>
        <v>Mtoe</v>
      </c>
      <c r="E25" s="3" t="s">
        <v>482</v>
      </c>
      <c r="F25" s="34" t="str">
        <f t="array" ref="F25">IF(SUMIFS(G$86:G$161,$B$86:$B$161,$A25)=0,"",SUMIFS(G$86:G$161,$B$86:$B$161,$A25,$D$86:$D$161,$C25)*INDEX($B$7:$B$9,MATCH($D25&amp;$E25,$C$7:$C$9&amp;$D$7:$D$9,0)))</f>
        <v/>
      </c>
      <c r="G25" s="34" t="str">
        <f t="array" ref="G25">IF(SUMIFS(H$86:H$161,$B$86:$B$161,$A25)=0,"",SUMIFS(H$86:H$161,$B$86:$B$161,$A25,$D$86:$D$161,$C25)*INDEX($B$7:$B$9,MATCH($D25&amp;$E25,$C$7:$C$9&amp;$D$7:$D$9,0)))</f>
        <v/>
      </c>
      <c r="H25" s="34">
        <f t="array" ref="H25">IF(SUMIFS(I$86:I$161,$B$86:$B$161,$A25)=0,"",SUMIFS(I$86:I$161,$B$86:$B$161,$A25,$D$86:$D$161,$C25)*INDEX($B$7:$B$9,MATCH($D25&amp;$E25,$C$7:$C$9&amp;$D$7:$D$9,0)))</f>
        <v>56521.799911848597</v>
      </c>
      <c r="I25" s="34">
        <f t="array" ref="I25">IF(SUMIFS(J$86:J$161,$B$86:$B$161,$A25)=0,"",SUMIFS(J$86:J$161,$B$86:$B$161,$A25,$D$86:$D$161,$C25)*INDEX($B$7:$B$9,MATCH($D25&amp;$E25,$C$7:$C$9&amp;$D$7:$D$9,0)))</f>
        <v>57945.311909628494</v>
      </c>
      <c r="J25" s="34">
        <f t="array" ref="J25">IF(SUMIFS(K$86:K$161,$B$86:$B$161,$A25)=0,"",SUMIFS(K$86:K$161,$B$86:$B$161,$A25,$D$86:$D$161,$C25)*INDEX($B$7:$B$9,MATCH($D25&amp;$E25,$C$7:$C$9&amp;$D$7:$D$9,0)))</f>
        <v>61179.614904584269</v>
      </c>
      <c r="K25" s="34">
        <f t="array" ref="K25">IF(SUMIFS(L$86:L$161,$B$86:$B$161,$A25)=0,"",SUMIFS(L$86:L$161,$B$86:$B$161,$A25,$D$86:$D$161,$C25)*INDEX($B$7:$B$9,MATCH($D25&amp;$E25,$C$7:$C$9&amp;$D$7:$D$9,0)))</f>
        <v>66570.119896177246</v>
      </c>
      <c r="L25" s="34">
        <f t="array" ref="L25">IF(SUMIFS(M$86:M$161,$B$86:$B$161,$A25)=0,"",SUMIFS(M$86:M$161,$B$86:$B$161,$A25,$D$86:$D$161,$C25)*INDEX($B$7:$B$9,MATCH($D25&amp;$E25,$C$7:$C$9&amp;$D$7:$D$9,0)))</f>
        <v>70798.787889582207</v>
      </c>
      <c r="M25" s="34">
        <f t="array" ref="M25">IF(SUMIFS(N$86:N$161,$B$86:$B$161,$A25)=0,"",SUMIFS(N$86:N$161,$B$86:$B$161,$A25,$D$86:$D$161,$C25)*INDEX($B$7:$B$9,MATCH($D25&amp;$E25,$C$7:$C$9&amp;$D$7:$D$9,0)))</f>
        <v>74357.567884031931</v>
      </c>
      <c r="N25" s="34">
        <f t="array" ref="N25">IF(SUMIFS(O$86:O$161,$B$86:$B$161,$A25)=0,"",SUMIFS(O$86:O$161,$B$86:$B$161,$A25,$D$86:$D$161,$C25)*INDEX($B$7:$B$9,MATCH($D25&amp;$E25,$C$7:$C$9&amp;$D$7:$D$9,0)))</f>
        <v>77497.667879134635</v>
      </c>
      <c r="O25" s="34">
        <f t="array" ref="O25">IF(SUMIFS(P$86:P$161,$B$86:$B$161,$A25)=0,"",SUMIFS(P$86:P$161,$B$86:$B$161,$A25,$D$86:$D$161,$C25)*INDEX($B$7:$B$9,MATCH($D25&amp;$E25,$C$7:$C$9&amp;$D$7:$D$9,0)))</f>
        <v>80637.767874237339</v>
      </c>
      <c r="P25" s="34">
        <f t="array" ref="P25">IF(SUMIFS(Q$86:Q$161,$B$86:$B$161,$A25)=0,"",SUMIFS(Q$86:Q$161,$B$86:$B$161,$A25,$D$86:$D$161,$C25)*INDEX($B$7:$B$9,MATCH($D25&amp;$E25,$C$7:$C$9&amp;$D$7:$D$9,0)))</f>
        <v>83777.867869340029</v>
      </c>
      <c r="Q25" s="34">
        <f t="array" ref="Q25">IF(SUMIFS(R$86:R$161,$B$86:$B$161,$A25)=0,"",SUMIFS(R$86:R$161,$B$86:$B$161,$A25,$D$86:$D$161,$C25)*INDEX($B$7:$B$9,MATCH($D25&amp;$E25,$C$7:$C$9&amp;$D$7:$D$9,0)))</f>
        <v>86917.967864442733</v>
      </c>
      <c r="R25" s="34">
        <f t="array" ref="R25">IF(SUMIFS(S$86:S$161,$B$86:$B$161,$A25)=0,"",SUMIFS(S$86:S$161,$B$86:$B$161,$A25,$D$86:$D$161,$C25)*INDEX($B$7:$B$9,MATCH($D25&amp;$E25,$C$7:$C$9&amp;$D$7:$D$9,0)))</f>
        <v>90058.067859545437</v>
      </c>
    </row>
    <row r="26" spans="1:18" x14ac:dyDescent="0.3">
      <c r="A26" s="3" t="s">
        <v>370</v>
      </c>
      <c r="B26" s="3" t="str">
        <f>INDEX('R1. Scenario specifications'!$C$11:$C$59,MATCH($A26,'R1. Scenario specifications'!$A$11:$A$59,0))</f>
        <v>New Policies Scenario, World Energy Outlook 2018</v>
      </c>
      <c r="C26" s="3" t="s">
        <v>461</v>
      </c>
      <c r="D26" s="3" t="str">
        <f t="array" ref="D26">INDEX($F$86:$F$161,MATCH($A26&amp;$C26,$B$86:$B$161&amp;$D$86:$D$161,0))</f>
        <v>Mtoe</v>
      </c>
      <c r="E26" s="3" t="s">
        <v>482</v>
      </c>
      <c r="F26" s="34" t="str">
        <f t="array" ref="F26">IF(SUMIFS(G$86:G$161,$B$86:$B$161,$A26)=0,"",SUMIFS(G$86:G$161,$B$86:$B$161,$A26,$D$86:$D$161,$C26)*INDEX($B$7:$B$9,MATCH($D26&amp;$E26,$C$7:$C$9&amp;$D$7:$D$9,0)))</f>
        <v/>
      </c>
      <c r="G26" s="34" t="str">
        <f t="array" ref="G26">IF(SUMIFS(H$86:H$161,$B$86:$B$161,$A26)=0,"",SUMIFS(H$86:H$161,$B$86:$B$161,$A26,$D$86:$D$161,$C26)*INDEX($B$7:$B$9,MATCH($D26&amp;$E26,$C$7:$C$9&amp;$D$7:$D$9,0)))</f>
        <v/>
      </c>
      <c r="H26" s="34">
        <f t="array" ref="H26">IF(SUMIFS(I$86:I$161,$B$86:$B$161,$A26)=0,"",SUMIFS(I$86:I$161,$B$86:$B$161,$A26,$D$86:$D$161,$C26)*INDEX($B$7:$B$9,MATCH($D26&amp;$E26,$C$7:$C$9&amp;$D$7:$D$9,0)))</f>
        <v>9378.4319853733978</v>
      </c>
      <c r="I26" s="34">
        <f t="array" ref="I26">IF(SUMIFS(J$86:J$161,$B$86:$B$161,$A26)=0,"",SUMIFS(J$86:J$161,$B$86:$B$161,$A26,$D$86:$D$161,$C26)*INDEX($B$7:$B$9,MATCH($D26&amp;$E26,$C$7:$C$9&amp;$D$7:$D$9,0)))</f>
        <v>10634.471983414478</v>
      </c>
      <c r="J26" s="34">
        <f t="array" ref="J26">IF(SUMIFS(K$86:K$161,$B$86:$B$161,$A26)=0,"",SUMIFS(K$86:K$161,$B$86:$B$161,$A26,$D$86:$D$161,$C26)*INDEX($B$7:$B$9,MATCH($D26&amp;$E26,$C$7:$C$9&amp;$D$7:$D$9,0)))</f>
        <v>14748.002976999014</v>
      </c>
      <c r="K26" s="34">
        <f t="array" ref="K26">IF(SUMIFS(L$86:L$161,$B$86:$B$161,$A26)=0,"",SUMIFS(L$86:L$161,$B$86:$B$161,$A26,$D$86:$D$161,$C26)*INDEX($B$7:$B$9,MATCH($D26&amp;$E26,$C$7:$C$9&amp;$D$7:$D$9,0)))</f>
        <v>21603.887966306575</v>
      </c>
      <c r="L26" s="34">
        <f t="array" ref="L26">IF(SUMIFS(M$86:M$161,$B$86:$B$161,$A26)=0,"",SUMIFS(M$86:M$161,$B$86:$B$161,$A26,$D$86:$D$161,$C26)*INDEX($B$7:$B$9,MATCH($D26&amp;$E26,$C$7:$C$9&amp;$D$7:$D$9,0)))</f>
        <v>30814.847951941163</v>
      </c>
      <c r="M26" s="34">
        <f t="array" ref="M26">IF(SUMIFS(N$86:N$161,$B$86:$B$161,$A26)=0,"",SUMIFS(N$86:N$161,$B$86:$B$161,$A26,$D$86:$D$161,$C26)*INDEX($B$7:$B$9,MATCH($D26&amp;$E26,$C$7:$C$9&amp;$D$7:$D$9,0)))</f>
        <v>40528.223936792179</v>
      </c>
      <c r="N26" s="34">
        <f t="array" ref="N26">IF(SUMIFS(O$86:O$161,$B$86:$B$161,$A26)=0,"",SUMIFS(O$86:O$161,$B$86:$B$161,$A26,$D$86:$D$161,$C26)*INDEX($B$7:$B$9,MATCH($D26&amp;$E26,$C$7:$C$9&amp;$D$7:$D$9,0)))</f>
        <v>51204.563920141358</v>
      </c>
      <c r="O26" s="34">
        <f t="array" ref="O26">IF(SUMIFS(P$86:P$161,$B$86:$B$161,$A26)=0,"",SUMIFS(P$86:P$161,$B$86:$B$161,$A26,$D$86:$D$161,$C26)*INDEX($B$7:$B$9,MATCH($D26&amp;$E26,$C$7:$C$9&amp;$D$7:$D$9,0)))</f>
        <v>61880.903903490544</v>
      </c>
      <c r="P26" s="34">
        <f t="array" ref="P26">IF(SUMIFS(Q$86:Q$161,$B$86:$B$161,$A26)=0,"",SUMIFS(Q$86:Q$161,$B$86:$B$161,$A26,$D$86:$D$161,$C26)*INDEX($B$7:$B$9,MATCH($D26&amp;$E26,$C$7:$C$9&amp;$D$7:$D$9,0)))</f>
        <v>72557.243886839715</v>
      </c>
      <c r="Q26" s="34">
        <f t="array" ref="Q26">IF(SUMIFS(R$86:R$161,$B$86:$B$161,$A26)=0,"",SUMIFS(R$86:R$161,$B$86:$B$161,$A26,$D$86:$D$161,$C26)*INDEX($B$7:$B$9,MATCH($D26&amp;$E26,$C$7:$C$9&amp;$D$7:$D$9,0)))</f>
        <v>83233.583870188901</v>
      </c>
      <c r="R26" s="34">
        <f t="array" ref="R26">IF(SUMIFS(S$86:S$161,$B$86:$B$161,$A26)=0,"",SUMIFS(S$86:S$161,$B$86:$B$161,$A26,$D$86:$D$161,$C26)*INDEX($B$7:$B$9,MATCH($D26&amp;$E26,$C$7:$C$9&amp;$D$7:$D$9,0)))</f>
        <v>93909.923853538086</v>
      </c>
    </row>
    <row r="27" spans="1:18" x14ac:dyDescent="0.3">
      <c r="A27" s="3" t="s">
        <v>372</v>
      </c>
      <c r="B27" s="3" t="str">
        <f>INDEX('R1. Scenario specifications'!$C$11:$C$59,MATCH($A27,'R1. Scenario specifications'!$A$11:$A$59,0))</f>
        <v>Sustainable Development Scenario, World Energy Outlook 2018</v>
      </c>
      <c r="C27" s="3" t="s">
        <v>254</v>
      </c>
      <c r="D27" s="3" t="str">
        <f t="array" ref="D27">INDEX($F$86:$F$161,MATCH($A27&amp;$C27,$B$86:$B$161&amp;$D$86:$D$161,0))</f>
        <v>Mtoe</v>
      </c>
      <c r="E27" s="3" t="s">
        <v>482</v>
      </c>
      <c r="F27" s="34" t="str">
        <f t="array" ref="F27">IF(SUMIFS(G$86:G$161,$B$86:$B$161,$A27)=0,"",SUMIFS(G$86:G$161,$B$86:$B$161,$A27,$D$86:$D$161,$C27)*INDEX($B$7:$B$9,MATCH($D27&amp;$E27,$C$7:$C$9&amp;$D$7:$D$9,0)))</f>
        <v/>
      </c>
      <c r="G27" s="34" t="str">
        <f t="array" ref="G27">IF(SUMIFS(H$86:H$161,$B$86:$B$161,$A27)=0,"",SUMIFS(H$86:H$161,$B$86:$B$161,$A27,$D$86:$D$161,$C27)*INDEX($B$7:$B$9,MATCH($D27&amp;$E27,$C$7:$C$9&amp;$D$7:$D$9,0)))</f>
        <v/>
      </c>
      <c r="H27" s="34">
        <f t="array" ref="H27">IF(SUMIFS(I$86:I$161,$B$86:$B$161,$A27)=0,"",SUMIFS(I$86:I$161,$B$86:$B$161,$A27,$D$86:$D$161,$C27)*INDEX($B$7:$B$9,MATCH($D27&amp;$E27,$C$7:$C$9&amp;$D$7:$D$9,0)))</f>
        <v>155748.95975709392</v>
      </c>
      <c r="I27" s="34">
        <f t="array" ref="I27">IF(SUMIFS(J$86:J$161,$B$86:$B$161,$A27)=0,"",SUMIFS(J$86:J$161,$B$86:$B$161,$A27,$D$86:$D$161,$C27)*INDEX($B$7:$B$9,MATCH($D27&amp;$E27,$C$7:$C$9&amp;$D$7:$D$9,0)))</f>
        <v>157004.99975513501</v>
      </c>
      <c r="J27" s="34">
        <f t="array" ref="J27">IF(SUMIFS(K$86:K$161,$B$86:$B$161,$A27)=0,"",SUMIFS(K$86:K$161,$B$86:$B$161,$A27,$D$86:$D$161,$C27)*INDEX($B$7:$B$9,MATCH($D27&amp;$E27,$C$7:$C$9&amp;$D$7:$D$9,0)))</f>
        <v>145936.14727239797</v>
      </c>
      <c r="K27" s="34">
        <f t="array" ref="K27">IF(SUMIFS(L$86:L$161,$B$86:$B$161,$A27)=0,"",SUMIFS(L$86:L$161,$B$86:$B$161,$A27,$D$86:$D$161,$C27)*INDEX($B$7:$B$9,MATCH($D27&amp;$E27,$C$7:$C$9&amp;$D$7:$D$9,0)))</f>
        <v>127488.05980116961</v>
      </c>
      <c r="L27" s="34">
        <f t="array" ref="L27">IF(SUMIFS(M$86:M$161,$B$86:$B$161,$A27)=0,"",SUMIFS(M$86:M$161,$B$86:$B$161,$A27,$D$86:$D$161,$C27)*INDEX($B$7:$B$9,MATCH($D27&amp;$E27,$C$7:$C$9&amp;$D$7:$D$9,0)))</f>
        <v>101153.08784224164</v>
      </c>
      <c r="M27" s="34">
        <f t="array" ref="M27">IF(SUMIFS(N$86:N$161,$B$86:$B$161,$A27)=0,"",SUMIFS(N$86:N$161,$B$86:$B$161,$A27,$D$86:$D$161,$C27)*INDEX($B$7:$B$9,MATCH($D27&amp;$E27,$C$7:$C$9&amp;$D$7:$D$9,0)))</f>
        <v>80260.955874825013</v>
      </c>
      <c r="N27" s="34">
        <f t="array" ref="N27">IF(SUMIFS(O$86:O$161,$B$86:$B$161,$A27)=0,"",SUMIFS(O$86:O$161,$B$86:$B$161,$A27,$D$86:$D$161,$C27)*INDEX($B$7:$B$9,MATCH($D27&amp;$E27,$C$7:$C$9&amp;$D$7:$D$9,0)))</f>
        <v>66863.195895720157</v>
      </c>
      <c r="O27" s="34">
        <f t="array" ref="O27">IF(SUMIFS(P$86:P$161,$B$86:$B$161,$A27)=0,"",SUMIFS(P$86:P$161,$B$86:$B$161,$A27,$D$86:$D$161,$C27)*INDEX($B$7:$B$9,MATCH($D27&amp;$E27,$C$7:$C$9&amp;$D$7:$D$9,0)))</f>
        <v>53465.435916615308</v>
      </c>
      <c r="P27" s="34">
        <f t="array" ref="P27">IF(SUMIFS(Q$86:Q$161,$B$86:$B$161,$A27)=0,"",SUMIFS(Q$86:Q$161,$B$86:$B$161,$A27,$D$86:$D$161,$C27)*INDEX($B$7:$B$9,MATCH($D27&amp;$E27,$C$7:$C$9&amp;$D$7:$D$9,0)))</f>
        <v>40067.675937510452</v>
      </c>
      <c r="Q27" s="34">
        <f t="array" ref="Q27">IF(SUMIFS(R$86:R$161,$B$86:$B$161,$A27)=0,"",SUMIFS(R$86:R$161,$B$86:$B$161,$A27,$D$86:$D$161,$C27)*INDEX($B$7:$B$9,MATCH($D27&amp;$E27,$C$7:$C$9&amp;$D$7:$D$9,0)))</f>
        <v>26669.9159584056</v>
      </c>
      <c r="R27" s="34">
        <f t="array" ref="R27">IF(SUMIFS(S$86:S$161,$B$86:$B$161,$A27)=0,"",SUMIFS(S$86:S$161,$B$86:$B$161,$A27,$D$86:$D$161,$C27)*INDEX($B$7:$B$9,MATCH($D27&amp;$E27,$C$7:$C$9&amp;$D$7:$D$9,0)))</f>
        <v>13272.155979300745</v>
      </c>
    </row>
    <row r="28" spans="1:18" x14ac:dyDescent="0.3">
      <c r="A28" s="3" t="s">
        <v>372</v>
      </c>
      <c r="B28" s="3" t="str">
        <f>INDEX('R1. Scenario specifications'!$C$11:$C$59,MATCH($A28,'R1. Scenario specifications'!$A$11:$A$59,0))</f>
        <v>Sustainable Development Scenario, World Energy Outlook 2018</v>
      </c>
      <c r="C28" s="3" t="s">
        <v>266</v>
      </c>
      <c r="D28" s="3" t="str">
        <f t="array" ref="D28">INDEX($F$86:$F$161,MATCH($A28&amp;$C28,$B$86:$B$161&amp;$D$86:$D$161,0))</f>
        <v>Mtoe</v>
      </c>
      <c r="E28" s="3" t="s">
        <v>482</v>
      </c>
      <c r="F28" s="34" t="str">
        <f t="array" ref="F28">IF(SUMIFS(G$86:G$161,$B$86:$B$161,$A28)=0,"",SUMIFS(G$86:G$161,$B$86:$B$161,$A28,$D$86:$D$161,$C28)*INDEX($B$7:$B$9,MATCH($D28&amp;$E28,$C$7:$C$9&amp;$D$7:$D$9,0)))</f>
        <v/>
      </c>
      <c r="G28" s="34" t="str">
        <f t="array" ref="G28">IF(SUMIFS(H$86:H$161,$B$86:$B$161,$A28)=0,"",SUMIFS(H$86:H$161,$B$86:$B$161,$A28,$D$86:$D$161,$C28)*INDEX($B$7:$B$9,MATCH($D28&amp;$E28,$C$7:$C$9&amp;$D$7:$D$9,0)))</f>
        <v/>
      </c>
      <c r="H28" s="34">
        <f t="array" ref="H28">IF(SUMIFS(I$86:I$161,$B$86:$B$161,$A28)=0,"",SUMIFS(I$86:I$161,$B$86:$B$161,$A28,$D$86:$D$161,$C28)*INDEX($B$7:$B$9,MATCH($D28&amp;$E28,$C$7:$C$9&amp;$D$7:$D$9,0)))</f>
        <v>182711.95171504244</v>
      </c>
      <c r="I28" s="34">
        <f t="array" ref="I28">IF(SUMIFS(J$86:J$161,$B$86:$B$161,$A28)=0,"",SUMIFS(J$86:J$161,$B$86:$B$161,$A28,$D$86:$D$161,$C28)*INDEX($B$7:$B$9,MATCH($D28&amp;$E28,$C$7:$C$9&amp;$D$7:$D$9,0)))</f>
        <v>185684.57971040634</v>
      </c>
      <c r="J28" s="34">
        <f t="array" ref="J28">IF(SUMIFS(K$86:K$161,$B$86:$B$161,$A28)=0,"",SUMIFS(K$86:K$161,$B$86:$B$161,$A28,$D$86:$D$161,$C28)*INDEX($B$7:$B$9,MATCH($D28&amp;$E28,$C$7:$C$9&amp;$D$7:$D$9,0)))</f>
        <v>184098.82921287947</v>
      </c>
      <c r="K28" s="34">
        <f t="array" ref="K28">IF(SUMIFS(L$86:L$161,$B$86:$B$161,$A28)=0,"",SUMIFS(L$86:L$161,$B$86:$B$161,$A28,$D$86:$D$161,$C28)*INDEX($B$7:$B$9,MATCH($D28&amp;$E28,$C$7:$C$9&amp;$D$7:$D$9,0)))</f>
        <v>181455.91171700135</v>
      </c>
      <c r="L28" s="34">
        <f t="array" ref="L28">IF(SUMIFS(M$86:M$161,$B$86:$B$161,$A28)=0,"",SUMIFS(M$86:M$161,$B$86:$B$161,$A28,$D$86:$D$161,$C28)*INDEX($B$7:$B$9,MATCH($D28&amp;$E28,$C$7:$C$9&amp;$D$7:$D$9,0)))</f>
        <v>166843.97973979011</v>
      </c>
      <c r="M28" s="34">
        <f t="array" ref="M28">IF(SUMIFS(N$86:N$161,$B$86:$B$161,$A28)=0,"",SUMIFS(N$86:N$161,$B$86:$B$161,$A28,$D$86:$D$161,$C28)*INDEX($B$7:$B$9,MATCH($D28&amp;$E28,$C$7:$C$9&amp;$D$7:$D$9,0)))</f>
        <v>147166.01977047988</v>
      </c>
      <c r="N28" s="34">
        <f t="array" ref="N28">IF(SUMIFS(O$86:O$161,$B$86:$B$161,$A28)=0,"",SUMIFS(O$86:O$161,$B$86:$B$161,$A28,$D$86:$D$161,$C28)*INDEX($B$7:$B$9,MATCH($D28&amp;$E28,$C$7:$C$9&amp;$D$7:$D$9,0)))</f>
        <v>132135.40779392162</v>
      </c>
      <c r="O28" s="34">
        <f t="array" ref="O28">IF(SUMIFS(P$86:P$161,$B$86:$B$161,$A28)=0,"",SUMIFS(P$86:P$161,$B$86:$B$161,$A28,$D$86:$D$161,$C28)*INDEX($B$7:$B$9,MATCH($D28&amp;$E28,$C$7:$C$9&amp;$D$7:$D$9,0)))</f>
        <v>117104.79581736335</v>
      </c>
      <c r="P28" s="34">
        <f t="array" ref="P28">IF(SUMIFS(Q$86:Q$161,$B$86:$B$161,$A28)=0,"",SUMIFS(Q$86:Q$161,$B$86:$B$161,$A28,$D$86:$D$161,$C28)*INDEX($B$7:$B$9,MATCH($D28&amp;$E28,$C$7:$C$9&amp;$D$7:$D$9,0)))</f>
        <v>102074.1838408051</v>
      </c>
      <c r="Q28" s="34">
        <f t="array" ref="Q28">IF(SUMIFS(R$86:R$161,$B$86:$B$161,$A28)=0,"",SUMIFS(R$86:R$161,$B$86:$B$161,$A28,$D$86:$D$161,$C28)*INDEX($B$7:$B$9,MATCH($D28&amp;$E28,$C$7:$C$9&amp;$D$7:$D$9,0)))</f>
        <v>87043.571864246842</v>
      </c>
      <c r="R28" s="34">
        <f t="array" ref="R28">IF(SUMIFS(S$86:S$161,$B$86:$B$161,$A28)=0,"",SUMIFS(S$86:S$161,$B$86:$B$161,$A28,$D$86:$D$161,$C28)*INDEX($B$7:$B$9,MATCH($D28&amp;$E28,$C$7:$C$9&amp;$D$7:$D$9,0)))</f>
        <v>72012.959887688587</v>
      </c>
    </row>
    <row r="29" spans="1:18" x14ac:dyDescent="0.3">
      <c r="A29" s="3" t="s">
        <v>372</v>
      </c>
      <c r="B29" s="3" t="str">
        <f>INDEX('R1. Scenario specifications'!$C$11:$C$59,MATCH($A29,'R1. Scenario specifications'!$A$11:$A$59,0))</f>
        <v>Sustainable Development Scenario, World Energy Outlook 2018</v>
      </c>
      <c r="C29" s="3" t="s">
        <v>255</v>
      </c>
      <c r="D29" s="3" t="str">
        <f t="array" ref="D29">INDEX($F$86:$F$161,MATCH($A29&amp;$C29,$B$86:$B$161&amp;$D$86:$D$161,0))</f>
        <v>Mtoe</v>
      </c>
      <c r="E29" s="3" t="s">
        <v>482</v>
      </c>
      <c r="F29" s="34" t="str">
        <f t="array" ref="F29">IF(SUMIFS(G$86:G$161,$B$86:$B$161,$A29)=0,"",SUMIFS(G$86:G$161,$B$86:$B$161,$A29,$D$86:$D$161,$C29)*INDEX($B$7:$B$9,MATCH($D29&amp;$E29,$C$7:$C$9&amp;$D$7:$D$9,0)))</f>
        <v/>
      </c>
      <c r="G29" s="34" t="str">
        <f t="array" ref="G29">IF(SUMIFS(H$86:H$161,$B$86:$B$161,$A29)=0,"",SUMIFS(H$86:H$161,$B$86:$B$161,$A29,$D$86:$D$161,$C29)*INDEX($B$7:$B$9,MATCH($D29&amp;$E29,$C$7:$C$9&amp;$D$7:$D$9,0)))</f>
        <v/>
      </c>
      <c r="H29" s="34">
        <f t="array" ref="H29">IF(SUMIFS(I$86:I$161,$B$86:$B$161,$A29)=0,"",SUMIFS(I$86:I$161,$B$86:$B$161,$A29,$D$86:$D$161,$C29)*INDEX($B$7:$B$9,MATCH($D29&amp;$E29,$C$7:$C$9&amp;$D$7:$D$9,0)))</f>
        <v>126525.09580267147</v>
      </c>
      <c r="I29" s="34">
        <f t="array" ref="I29">IF(SUMIFS(J$86:J$161,$B$86:$B$161,$A29)=0,"",SUMIFS(J$86:J$161,$B$86:$B$161,$A29,$D$86:$D$161,$C29)*INDEX($B$7:$B$9,MATCH($D29&amp;$E29,$C$7:$C$9&amp;$D$7:$D$9,0)))</f>
        <v>130083.87579712119</v>
      </c>
      <c r="J29" s="34">
        <f t="array" ref="J29">IF(SUMIFS(K$86:K$161,$B$86:$B$161,$A29)=0,"",SUMIFS(K$86:K$161,$B$86:$B$161,$A29,$D$86:$D$161,$C29)*INDEX($B$7:$B$9,MATCH($D29&amp;$E29,$C$7:$C$9&amp;$D$7:$D$9,0)))</f>
        <v>135531.94928862437</v>
      </c>
      <c r="K29" s="34">
        <f t="array" ref="K29">IF(SUMIFS(L$86:L$161,$B$86:$B$161,$A29)=0,"",SUMIFS(L$86:L$161,$B$86:$B$161,$A29,$D$86:$D$161,$C29)*INDEX($B$7:$B$9,MATCH($D29&amp;$E29,$C$7:$C$9&amp;$D$7:$D$9,0)))</f>
        <v>144612.07177446302</v>
      </c>
      <c r="L29" s="34">
        <f t="array" ref="L29">IF(SUMIFS(M$86:M$161,$B$86:$B$161,$A29)=0,"",SUMIFS(M$86:M$161,$B$86:$B$161,$A29,$D$86:$D$161,$C29)*INDEX($B$7:$B$9,MATCH($D29&amp;$E29,$C$7:$C$9&amp;$D$7:$D$9,0)))</f>
        <v>148798.87176793328</v>
      </c>
      <c r="M29" s="34">
        <f t="array" ref="M29">IF(SUMIFS(N$86:N$161,$B$86:$B$161,$A29)=0,"",SUMIFS(N$86:N$161,$B$86:$B$161,$A29,$D$86:$D$161,$C29)*INDEX($B$7:$B$9,MATCH($D29&amp;$E29,$C$7:$C$9&amp;$D$7:$D$9,0)))</f>
        <v>147877.77576936982</v>
      </c>
      <c r="N29" s="34">
        <f t="array" ref="N29">IF(SUMIFS(O$86:O$161,$B$86:$B$161,$A29)=0,"",SUMIFS(O$86:O$161,$B$86:$B$161,$A29,$D$86:$D$161,$C29)*INDEX($B$7:$B$9,MATCH($D29&amp;$E29,$C$7:$C$9&amp;$D$7:$D$9,0)))</f>
        <v>143732.84377583425</v>
      </c>
      <c r="O29" s="34">
        <f t="array" ref="O29">IF(SUMIFS(P$86:P$161,$B$86:$B$161,$A29)=0,"",SUMIFS(P$86:P$161,$B$86:$B$161,$A29,$D$86:$D$161,$C29)*INDEX($B$7:$B$9,MATCH($D29&amp;$E29,$C$7:$C$9&amp;$D$7:$D$9,0)))</f>
        <v>139587.9117822987</v>
      </c>
      <c r="P29" s="34">
        <f t="array" ref="P29">IF(SUMIFS(Q$86:Q$161,$B$86:$B$161,$A29)=0,"",SUMIFS(Q$86:Q$161,$B$86:$B$161,$A29,$D$86:$D$161,$C29)*INDEX($B$7:$B$9,MATCH($D29&amp;$E29,$C$7:$C$9&amp;$D$7:$D$9,0)))</f>
        <v>135442.97978876313</v>
      </c>
      <c r="Q29" s="34">
        <f t="array" ref="Q29">IF(SUMIFS(R$86:R$161,$B$86:$B$161,$A29)=0,"",SUMIFS(R$86:R$161,$B$86:$B$161,$A29,$D$86:$D$161,$C29)*INDEX($B$7:$B$9,MATCH($D29&amp;$E29,$C$7:$C$9&amp;$D$7:$D$9,0)))</f>
        <v>131298.04779522755</v>
      </c>
      <c r="R29" s="34">
        <f t="array" ref="R29">IF(SUMIFS(S$86:S$161,$B$86:$B$161,$A29)=0,"",SUMIFS(S$86:S$161,$B$86:$B$161,$A29,$D$86:$D$161,$C29)*INDEX($B$7:$B$9,MATCH($D29&amp;$E29,$C$7:$C$9&amp;$D$7:$D$9,0)))</f>
        <v>127153.11580169199</v>
      </c>
    </row>
    <row r="30" spans="1:18" x14ac:dyDescent="0.3">
      <c r="A30" s="3" t="s">
        <v>372</v>
      </c>
      <c r="B30" s="3" t="str">
        <f>INDEX('R1. Scenario specifications'!$C$11:$C$59,MATCH($A30,'R1. Scenario specifications'!$A$11:$A$59,0))</f>
        <v>Sustainable Development Scenario, World Energy Outlook 2018</v>
      </c>
      <c r="C30" s="3" t="s">
        <v>257</v>
      </c>
      <c r="D30" s="3" t="str">
        <f t="array" ref="D30">INDEX($F$86:$F$161,MATCH($A30&amp;$C30,$B$86:$B$161&amp;$D$86:$D$161,0))</f>
        <v>Mtoe</v>
      </c>
      <c r="E30" s="3" t="s">
        <v>482</v>
      </c>
      <c r="F30" s="34" t="str">
        <f t="array" ref="F30">IF(SUMIFS(G$86:G$161,$B$86:$B$161,$A30)=0,"",SUMIFS(G$86:G$161,$B$86:$B$161,$A30,$D$86:$D$161,$C30)*INDEX($B$7:$B$9,MATCH($D30&amp;$E30,$C$7:$C$9&amp;$D$7:$D$9,0)))</f>
        <v/>
      </c>
      <c r="G30" s="34" t="str">
        <f t="array" ref="G30">IF(SUMIFS(H$86:H$161,$B$86:$B$161,$A30)=0,"",SUMIFS(H$86:H$161,$B$86:$B$161,$A30,$D$86:$D$161,$C30)*INDEX($B$7:$B$9,MATCH($D30&amp;$E30,$C$7:$C$9&amp;$D$7:$D$9,0)))</f>
        <v/>
      </c>
      <c r="H30" s="34">
        <f t="array" ref="H30">IF(SUMIFS(I$86:I$161,$B$86:$B$161,$A30)=0,"",SUMIFS(I$86:I$161,$B$86:$B$161,$A30,$D$86:$D$161,$C30)*INDEX($B$7:$B$9,MATCH($D30&amp;$E30,$C$7:$C$9&amp;$D$7:$D$9,0)))</f>
        <v>28428.371955663111</v>
      </c>
      <c r="I30" s="34">
        <f t="array" ref="I30">IF(SUMIFS(J$86:J$161,$B$86:$B$161,$A30)=0,"",SUMIFS(J$86:J$161,$B$86:$B$161,$A30,$D$86:$D$161,$C30)*INDEX($B$7:$B$9,MATCH($D30&amp;$E30,$C$7:$C$9&amp;$D$7:$D$9,0)))</f>
        <v>28805.183955075434</v>
      </c>
      <c r="J30" s="34">
        <f t="array" ref="J30">IF(SUMIFS(K$86:K$161,$B$86:$B$161,$A30)=0,"",SUMIFS(K$86:K$161,$B$86:$B$161,$A30,$D$86:$D$161,$C30)*INDEX($B$7:$B$9,MATCH($D30&amp;$E30,$C$7:$C$9&amp;$D$7:$D$9,0)))</f>
        <v>31521.370450839269</v>
      </c>
      <c r="K30" s="34">
        <f t="array" ref="K30">IF(SUMIFS(L$86:L$161,$B$86:$B$161,$A30)=0,"",SUMIFS(L$86:L$161,$B$86:$B$161,$A30,$D$86:$D$161,$C30)*INDEX($B$7:$B$9,MATCH($D30&amp;$E30,$C$7:$C$9&amp;$D$7:$D$9,0)))</f>
        <v>36048.347943778994</v>
      </c>
      <c r="L30" s="34">
        <f t="array" ref="L30">IF(SUMIFS(M$86:M$161,$B$86:$B$161,$A30)=0,"",SUMIFS(M$86:M$161,$B$86:$B$161,$A30,$D$86:$D$161,$C30)*INDEX($B$7:$B$9,MATCH($D30&amp;$E30,$C$7:$C$9&amp;$D$7:$D$9,0)))</f>
        <v>42412.283933853803</v>
      </c>
      <c r="M30" s="34">
        <f t="array" ref="M30">IF(SUMIFS(N$86:N$161,$B$86:$B$161,$A30)=0,"",SUMIFS(N$86:N$161,$B$86:$B$161,$A30,$D$86:$D$161,$C30)*INDEX($B$7:$B$9,MATCH($D30&amp;$E30,$C$7:$C$9&amp;$D$7:$D$9,0)))</f>
        <v>49487.97592281855</v>
      </c>
      <c r="N30" s="34">
        <f t="array" ref="N30">IF(SUMIFS(O$86:O$161,$B$86:$B$161,$A30)=0,"",SUMIFS(O$86:O$161,$B$86:$B$161,$A30,$D$86:$D$161,$C30)*INDEX($B$7:$B$9,MATCH($D30&amp;$E30,$C$7:$C$9&amp;$D$7:$D$9,0)))</f>
        <v>54135.323915570545</v>
      </c>
      <c r="O30" s="34">
        <f t="array" ref="O30">IF(SUMIFS(P$86:P$161,$B$86:$B$161,$A30)=0,"",SUMIFS(P$86:P$161,$B$86:$B$161,$A30,$D$86:$D$161,$C30)*INDEX($B$7:$B$9,MATCH($D30&amp;$E30,$C$7:$C$9&amp;$D$7:$D$9,0)))</f>
        <v>58782.671908322547</v>
      </c>
      <c r="P30" s="34">
        <f t="array" ref="P30">IF(SUMIFS(Q$86:Q$161,$B$86:$B$161,$A30)=0,"",SUMIFS(Q$86:Q$161,$B$86:$B$161,$A30,$D$86:$D$161,$C30)*INDEX($B$7:$B$9,MATCH($D30&amp;$E30,$C$7:$C$9&amp;$D$7:$D$9,0)))</f>
        <v>63430.019901074542</v>
      </c>
      <c r="Q30" s="34">
        <f t="array" ref="Q30">IF(SUMIFS(R$86:R$161,$B$86:$B$161,$A30)=0,"",SUMIFS(R$86:R$161,$B$86:$B$161,$A30,$D$86:$D$161,$C30)*INDEX($B$7:$B$9,MATCH($D30&amp;$E30,$C$7:$C$9&amp;$D$7:$D$9,0)))</f>
        <v>68077.367893826537</v>
      </c>
      <c r="R30" s="34">
        <f t="array" ref="R30">IF(SUMIFS(S$86:S$161,$B$86:$B$161,$A30)=0,"",SUMIFS(S$86:S$161,$B$86:$B$161,$A30,$D$86:$D$161,$C30)*INDEX($B$7:$B$9,MATCH($D30&amp;$E30,$C$7:$C$9&amp;$D$7:$D$9,0)))</f>
        <v>72724.715886578531</v>
      </c>
    </row>
    <row r="31" spans="1:18" x14ac:dyDescent="0.3">
      <c r="A31" s="3" t="s">
        <v>372</v>
      </c>
      <c r="B31" s="3" t="str">
        <f>INDEX('R1. Scenario specifications'!$C$11:$C$59,MATCH($A31,'R1. Scenario specifications'!$A$11:$A$59,0))</f>
        <v>Sustainable Development Scenario, World Energy Outlook 2018</v>
      </c>
      <c r="C31" s="3" t="s">
        <v>256</v>
      </c>
      <c r="D31" s="3" t="str">
        <f t="array" ref="D31">INDEX($F$86:$F$161,MATCH($A31&amp;$C31,$B$86:$B$161&amp;$D$86:$D$161,0))</f>
        <v>Mtoe</v>
      </c>
      <c r="E31" s="3" t="s">
        <v>482</v>
      </c>
      <c r="F31" s="34" t="str">
        <f t="array" ref="F31">IF(SUMIFS(G$86:G$161,$B$86:$B$161,$A31)=0,"",SUMIFS(G$86:G$161,$B$86:$B$161,$A31,$D$86:$D$161,$C31)*INDEX($B$7:$B$9,MATCH($D31&amp;$E31,$C$7:$C$9&amp;$D$7:$D$9,0)))</f>
        <v/>
      </c>
      <c r="G31" s="34" t="str">
        <f t="array" ref="G31">IF(SUMIFS(H$86:H$161,$B$86:$B$161,$A31)=0,"",SUMIFS(H$86:H$161,$B$86:$B$161,$A31,$D$86:$D$161,$C31)*INDEX($B$7:$B$9,MATCH($D31&amp;$E31,$C$7:$C$9&amp;$D$7:$D$9,0)))</f>
        <v/>
      </c>
      <c r="H31" s="34">
        <f t="array" ref="H31">IF(SUMIFS(I$86:I$161,$B$86:$B$161,$A31)=0,"",SUMIFS(I$86:I$161,$B$86:$B$161,$A31,$D$86:$D$161,$C31)*INDEX($B$7:$B$9,MATCH($D31&amp;$E31,$C$7:$C$9&amp;$D$7:$D$9,0)))</f>
        <v>14570.063977276528</v>
      </c>
      <c r="I31" s="34">
        <f t="array" ref="I31">IF(SUMIFS(J$86:J$161,$B$86:$B$161,$A31)=0,"",SUMIFS(J$86:J$161,$B$86:$B$161,$A31,$D$86:$D$161,$C31)*INDEX($B$7:$B$9,MATCH($D31&amp;$E31,$C$7:$C$9&amp;$D$7:$D$9,0)))</f>
        <v>14779.403976950041</v>
      </c>
      <c r="J31" s="34">
        <f t="array" ref="J31">IF(SUMIFS(K$86:K$161,$B$86:$B$161,$A31)=0,"",SUMIFS(K$86:K$161,$B$86:$B$161,$A31,$D$86:$D$161,$C31)*INDEX($B$7:$B$9,MATCH($D31&amp;$E31,$C$7:$C$9&amp;$D$7:$D$9,0)))</f>
        <v>16004.042975040094</v>
      </c>
      <c r="K31" s="34">
        <f t="array" ref="K31">IF(SUMIFS(L$86:L$161,$B$86:$B$161,$A31)=0,"",SUMIFS(L$86:L$161,$B$86:$B$161,$A31,$D$86:$D$161,$C31)*INDEX($B$7:$B$9,MATCH($D31&amp;$E31,$C$7:$C$9&amp;$D$7:$D$9,0)))</f>
        <v>18045.107971856851</v>
      </c>
      <c r="L31" s="34">
        <f t="array" ref="L31">IF(SUMIFS(M$86:M$161,$B$86:$B$161,$A31)=0,"",SUMIFS(M$86:M$161,$B$86:$B$161,$A31,$D$86:$D$161,$C31)*INDEX($B$7:$B$9,MATCH($D31&amp;$E31,$C$7:$C$9&amp;$D$7:$D$9,0)))</f>
        <v>20599.055967873712</v>
      </c>
      <c r="M31" s="34">
        <f t="array" ref="M31">IF(SUMIFS(N$86:N$161,$B$86:$B$161,$A31)=0,"",SUMIFS(N$86:N$161,$B$86:$B$161,$A31,$D$86:$D$161,$C31)*INDEX($B$7:$B$9,MATCH($D31&amp;$E31,$C$7:$C$9&amp;$D$7:$D$9,0)))</f>
        <v>22943.663964217063</v>
      </c>
      <c r="N31" s="34">
        <f t="array" ref="N31">IF(SUMIFS(O$86:O$161,$B$86:$B$161,$A31)=0,"",SUMIFS(O$86:O$161,$B$86:$B$161,$A31,$D$86:$D$161,$C31)*INDEX($B$7:$B$9,MATCH($D31&amp;$E31,$C$7:$C$9&amp;$D$7:$D$9,0)))</f>
        <v>25162.667960756302</v>
      </c>
      <c r="O31" s="34">
        <f t="array" ref="O31">IF(SUMIFS(P$86:P$161,$B$86:$B$161,$A31)=0,"",SUMIFS(P$86:P$161,$B$86:$B$161,$A31,$D$86:$D$161,$C31)*INDEX($B$7:$B$9,MATCH($D31&amp;$E31,$C$7:$C$9&amp;$D$7:$D$9,0)))</f>
        <v>27381.671957295544</v>
      </c>
      <c r="P31" s="34">
        <f t="array" ref="P31">IF(SUMIFS(Q$86:Q$161,$B$86:$B$161,$A31)=0,"",SUMIFS(Q$86:Q$161,$B$86:$B$161,$A31,$D$86:$D$161,$C31)*INDEX($B$7:$B$9,MATCH($D31&amp;$E31,$C$7:$C$9&amp;$D$7:$D$9,0)))</f>
        <v>29600.675953834787</v>
      </c>
      <c r="Q31" s="34">
        <f t="array" ref="Q31">IF(SUMIFS(R$86:R$161,$B$86:$B$161,$A31)=0,"",SUMIFS(R$86:R$161,$B$86:$B$161,$A31,$D$86:$D$161,$C31)*INDEX($B$7:$B$9,MATCH($D31&amp;$E31,$C$7:$C$9&amp;$D$7:$D$9,0)))</f>
        <v>31819.679950374026</v>
      </c>
      <c r="R31" s="34">
        <f t="array" ref="R31">IF(SUMIFS(S$86:S$161,$B$86:$B$161,$A31)=0,"",SUMIFS(S$86:S$161,$B$86:$B$161,$A31,$D$86:$D$161,$C31)*INDEX($B$7:$B$9,MATCH($D31&amp;$E31,$C$7:$C$9&amp;$D$7:$D$9,0)))</f>
        <v>34038.683946913268</v>
      </c>
    </row>
    <row r="32" spans="1:18" x14ac:dyDescent="0.3">
      <c r="A32" s="3" t="s">
        <v>372</v>
      </c>
      <c r="B32" s="3" t="str">
        <f>INDEX('R1. Scenario specifications'!$C$11:$C$59,MATCH($A32,'R1. Scenario specifications'!$A$11:$A$59,0))</f>
        <v>Sustainable Development Scenario, World Energy Outlook 2018</v>
      </c>
      <c r="C32" s="3" t="s">
        <v>253</v>
      </c>
      <c r="D32" s="3" t="str">
        <f t="array" ref="D32">INDEX($F$86:$F$161,MATCH($A32&amp;$C32,$B$86:$B$161&amp;$D$86:$D$161,0))</f>
        <v>Mtoe</v>
      </c>
      <c r="E32" s="3" t="s">
        <v>482</v>
      </c>
      <c r="F32" s="34" t="str">
        <f t="array" ref="F32">IF(SUMIFS(G$86:G$161,$B$86:$B$161,$A32)=0,"",SUMIFS(G$86:G$161,$B$86:$B$161,$A32,$D$86:$D$161,$C32)*INDEX($B$7:$B$9,MATCH($D32&amp;$E32,$C$7:$C$9&amp;$D$7:$D$9,0)))</f>
        <v/>
      </c>
      <c r="G32" s="34" t="str">
        <f t="array" ref="G32">IF(SUMIFS(H$86:H$161,$B$86:$B$161,$A32)=0,"",SUMIFS(H$86:H$161,$B$86:$B$161,$A32,$D$86:$D$161,$C32)*INDEX($B$7:$B$9,MATCH($D32&amp;$E32,$C$7:$C$9&amp;$D$7:$D$9,0)))</f>
        <v/>
      </c>
      <c r="H32" s="34">
        <f t="array" ref="H32">IF(SUMIFS(I$86:I$161,$B$86:$B$161,$A32)=0,"",SUMIFS(I$86:I$161,$B$86:$B$161,$A32,$D$86:$D$161,$C32)*INDEX($B$7:$B$9,MATCH($D32&amp;$E32,$C$7:$C$9&amp;$D$7:$D$9,0)))</f>
        <v>56521.799911848597</v>
      </c>
      <c r="I32" s="34">
        <f t="array" ref="I32">IF(SUMIFS(J$86:J$161,$B$86:$B$161,$A32)=0,"",SUMIFS(J$86:J$161,$B$86:$B$161,$A32,$D$86:$D$161,$C32)*INDEX($B$7:$B$9,MATCH($D32&amp;$E32,$C$7:$C$9&amp;$D$7:$D$9,0)))</f>
        <v>57945.311909628494</v>
      </c>
      <c r="J32" s="34">
        <f t="array" ref="J32">IF(SUMIFS(K$86:K$161,$B$86:$B$161,$A32)=0,"",SUMIFS(K$86:K$161,$B$86:$B$161,$A32,$D$86:$D$161,$C32)*INDEX($B$7:$B$9,MATCH($D32&amp;$E32,$C$7:$C$9&amp;$D$7:$D$9,0)))</f>
        <v>57772.606409897839</v>
      </c>
      <c r="K32" s="34">
        <f t="array" ref="K32">IF(SUMIFS(L$86:L$161,$B$86:$B$161,$A32)=0,"",SUMIFS(L$86:L$161,$B$86:$B$161,$A32,$D$86:$D$161,$C32)*INDEX($B$7:$B$9,MATCH($D32&amp;$E32,$C$7:$C$9&amp;$D$7:$D$9,0)))</f>
        <v>57484.763910346759</v>
      </c>
      <c r="L32" s="34">
        <f t="array" ref="L32">IF(SUMIFS(M$86:M$161,$B$86:$B$161,$A32)=0,"",SUMIFS(M$86:M$161,$B$86:$B$161,$A32,$D$86:$D$161,$C32)*INDEX($B$7:$B$9,MATCH($D32&amp;$E32,$C$7:$C$9&amp;$D$7:$D$9,0)))</f>
        <v>53465.435916615308</v>
      </c>
      <c r="M32" s="34">
        <f t="array" ref="M32">IF(SUMIFS(N$86:N$161,$B$86:$B$161,$A32)=0,"",SUMIFS(N$86:N$161,$B$86:$B$161,$A32,$D$86:$D$161,$C32)*INDEX($B$7:$B$9,MATCH($D32&amp;$E32,$C$7:$C$9&amp;$D$7:$D$9,0)))</f>
        <v>58447.727908844921</v>
      </c>
      <c r="N32" s="34">
        <f t="array" ref="N32">IF(SUMIFS(O$86:O$161,$B$86:$B$161,$A32)=0,"",SUMIFS(O$86:O$161,$B$86:$B$161,$A32,$D$86:$D$161,$C32)*INDEX($B$7:$B$9,MATCH($D32&amp;$E32,$C$7:$C$9&amp;$D$7:$D$9,0)))</f>
        <v>62969.471901792807</v>
      </c>
      <c r="O32" s="34">
        <f t="array" ref="O32">IF(SUMIFS(P$86:P$161,$B$86:$B$161,$A32)=0,"",SUMIFS(P$86:P$161,$B$86:$B$161,$A32,$D$86:$D$161,$C32)*INDEX($B$7:$B$9,MATCH($D32&amp;$E32,$C$7:$C$9&amp;$D$7:$D$9,0)))</f>
        <v>67491.215894740701</v>
      </c>
      <c r="P32" s="34">
        <f t="array" ref="P32">IF(SUMIFS(Q$86:Q$161,$B$86:$B$161,$A32)=0,"",SUMIFS(Q$86:Q$161,$B$86:$B$161,$A32,$D$86:$D$161,$C32)*INDEX($B$7:$B$9,MATCH($D32&amp;$E32,$C$7:$C$9&amp;$D$7:$D$9,0)))</f>
        <v>72012.959887688587</v>
      </c>
      <c r="Q32" s="34">
        <f t="array" ref="Q32">IF(SUMIFS(R$86:R$161,$B$86:$B$161,$A32)=0,"",SUMIFS(R$86:R$161,$B$86:$B$161,$A32,$D$86:$D$161,$C32)*INDEX($B$7:$B$9,MATCH($D32&amp;$E32,$C$7:$C$9&amp;$D$7:$D$9,0)))</f>
        <v>76534.703880636473</v>
      </c>
      <c r="R32" s="34">
        <f t="array" ref="R32">IF(SUMIFS(S$86:S$161,$B$86:$B$161,$A32)=0,"",SUMIFS(S$86:S$161,$B$86:$B$161,$A32,$D$86:$D$161,$C32)*INDEX($B$7:$B$9,MATCH($D32&amp;$E32,$C$7:$C$9&amp;$D$7:$D$9,0)))</f>
        <v>81056.447873584359</v>
      </c>
    </row>
    <row r="33" spans="1:18" x14ac:dyDescent="0.3">
      <c r="A33" s="3" t="s">
        <v>372</v>
      </c>
      <c r="B33" s="3" t="str">
        <f>INDEX('R1. Scenario specifications'!$C$11:$C$59,MATCH($A33,'R1. Scenario specifications'!$A$11:$A$59,0))</f>
        <v>Sustainable Development Scenario, World Energy Outlook 2018</v>
      </c>
      <c r="C33" s="3" t="s">
        <v>461</v>
      </c>
      <c r="D33" s="3" t="str">
        <f t="array" ref="D33">INDEX($F$86:$F$161,MATCH($A33&amp;$C33,$B$86:$B$161&amp;$D$86:$D$161,0))</f>
        <v>Mtoe</v>
      </c>
      <c r="E33" s="3" t="s">
        <v>482</v>
      </c>
      <c r="F33" s="34" t="str">
        <f t="array" ref="F33">IF(SUMIFS(G$86:G$161,$B$86:$B$161,$A33)=0,"",SUMIFS(G$86:G$161,$B$86:$B$161,$A33,$D$86:$D$161,$C33)*INDEX($B$7:$B$9,MATCH($D33&amp;$E33,$C$7:$C$9&amp;$D$7:$D$9,0)))</f>
        <v/>
      </c>
      <c r="G33" s="34" t="str">
        <f t="array" ref="G33">IF(SUMIFS(H$86:H$161,$B$86:$B$161,$A33)=0,"",SUMIFS(H$86:H$161,$B$86:$B$161,$A33,$D$86:$D$161,$C33)*INDEX($B$7:$B$9,MATCH($D33&amp;$E33,$C$7:$C$9&amp;$D$7:$D$9,0)))</f>
        <v/>
      </c>
      <c r="H33" s="34">
        <f t="array" ref="H33">IF(SUMIFS(I$86:I$161,$B$86:$B$161,$A33)=0,"",SUMIFS(I$86:I$161,$B$86:$B$161,$A33,$D$86:$D$161,$C33)*INDEX($B$7:$B$9,MATCH($D33&amp;$E33,$C$7:$C$9&amp;$D$7:$D$9,0)))</f>
        <v>9378.4319853733978</v>
      </c>
      <c r="I33" s="34">
        <f t="array" ref="I33">IF(SUMIFS(J$86:J$161,$B$86:$B$161,$A33)=0,"",SUMIFS(J$86:J$161,$B$86:$B$161,$A33,$D$86:$D$161,$C33)*INDEX($B$7:$B$9,MATCH($D33&amp;$E33,$C$7:$C$9&amp;$D$7:$D$9,0)))</f>
        <v>10634.471983414478</v>
      </c>
      <c r="J33" s="34">
        <f t="array" ref="J33">IF(SUMIFS(K$86:K$161,$B$86:$B$161,$A33)=0,"",SUMIFS(K$86:K$161,$B$86:$B$161,$A33,$D$86:$D$161,$C33)*INDEX($B$7:$B$9,MATCH($D33&amp;$E33,$C$7:$C$9&amp;$D$7:$D$9,0)))</f>
        <v>16820.468973766798</v>
      </c>
      <c r="K33" s="34">
        <f t="array" ref="K33">IF(SUMIFS(L$86:L$161,$B$86:$B$161,$A33)=0,"",SUMIFS(L$86:L$161,$B$86:$B$161,$A33,$D$86:$D$161,$C33)*INDEX($B$7:$B$9,MATCH($D33&amp;$E33,$C$7:$C$9&amp;$D$7:$D$9,0)))</f>
        <v>27130.463957687327</v>
      </c>
      <c r="L33" s="34">
        <f t="array" ref="L33">IF(SUMIFS(M$86:M$161,$B$86:$B$161,$A33)=0,"",SUMIFS(M$86:M$161,$B$86:$B$161,$A33,$D$86:$D$161,$C33)*INDEX($B$7:$B$9,MATCH($D33&amp;$E33,$C$7:$C$9&amp;$D$7:$D$9,0)))</f>
        <v>45343.043929282991</v>
      </c>
      <c r="M33" s="34">
        <f t="array" ref="M33">IF(SUMIFS(N$86:N$161,$B$86:$B$161,$A33)=0,"",SUMIFS(N$86:N$161,$B$86:$B$161,$A33,$D$86:$D$161,$C33)*INDEX($B$7:$B$9,MATCH($D33&amp;$E33,$C$7:$C$9&amp;$D$7:$D$9,0)))</f>
        <v>66905.063895654865</v>
      </c>
      <c r="N33" s="34">
        <f t="array" ref="N33">IF(SUMIFS(O$86:O$161,$B$86:$B$161,$A33)=0,"",SUMIFS(O$86:O$161,$B$86:$B$161,$A33,$D$86:$D$161,$C33)*INDEX($B$7:$B$9,MATCH($D33&amp;$E33,$C$7:$C$9&amp;$D$7:$D$9,0)))</f>
        <v>89262.575860786092</v>
      </c>
      <c r="O33" s="34">
        <f t="array" ref="O33">IF(SUMIFS(P$86:P$161,$B$86:$B$161,$A33)=0,"",SUMIFS(P$86:P$161,$B$86:$B$161,$A33,$D$86:$D$161,$C33)*INDEX($B$7:$B$9,MATCH($D33&amp;$E33,$C$7:$C$9&amp;$D$7:$D$9,0)))</f>
        <v>111620.0878259173</v>
      </c>
      <c r="P33" s="34">
        <f t="array" ref="P33">IF(SUMIFS(Q$86:Q$161,$B$86:$B$161,$A33)=0,"",SUMIFS(Q$86:Q$161,$B$86:$B$161,$A33,$D$86:$D$161,$C33)*INDEX($B$7:$B$9,MATCH($D33&amp;$E33,$C$7:$C$9&amp;$D$7:$D$9,0)))</f>
        <v>133977.59979104853</v>
      </c>
      <c r="Q33" s="34">
        <f t="array" ref="Q33">IF(SUMIFS(R$86:R$161,$B$86:$B$161,$A33)=0,"",SUMIFS(R$86:R$161,$B$86:$B$161,$A33,$D$86:$D$161,$C33)*INDEX($B$7:$B$9,MATCH($D33&amp;$E33,$C$7:$C$9&amp;$D$7:$D$9,0)))</f>
        <v>156335.11175617974</v>
      </c>
      <c r="R33" s="34">
        <f t="array" ref="R33">IF(SUMIFS(S$86:S$161,$B$86:$B$161,$A33)=0,"",SUMIFS(S$86:S$161,$B$86:$B$161,$A33,$D$86:$D$161,$C33)*INDEX($B$7:$B$9,MATCH($D33&amp;$E33,$C$7:$C$9&amp;$D$7:$D$9,0)))</f>
        <v>178692.62372131099</v>
      </c>
    </row>
    <row r="34" spans="1:18" x14ac:dyDescent="0.3">
      <c r="A34" s="3" t="s">
        <v>378</v>
      </c>
      <c r="B34" s="3" t="str">
        <f>INDEX('R1. Scenario specifications'!$C$11:$C$59,MATCH($A34,'R1. Scenario specifications'!$A$11:$A$59,0))</f>
        <v>Current Policies Scenario, World Energy Outlook 2016</v>
      </c>
      <c r="C34" s="3" t="s">
        <v>254</v>
      </c>
      <c r="D34" s="3" t="str">
        <f t="array" ref="D34">INDEX($F$86:$F$161,MATCH($A34&amp;$C34,$B$86:$B$161&amp;$D$86:$D$161,0))</f>
        <v>Mtoe</v>
      </c>
      <c r="E34" s="3" t="s">
        <v>482</v>
      </c>
      <c r="F34" s="34">
        <f t="array" ref="F34">IF(SUMIFS(G$86:G$161,$B$86:$B$161,$A34)=0,"",SUMIFS(G$86:G$161,$B$86:$B$161,$A34,$D$86:$D$161,$C34)*INDEX($B$7:$B$9,MATCH($D34&amp;$E34,$C$7:$C$9&amp;$D$7:$D$9,0)))</f>
        <v>164381.98643202987</v>
      </c>
      <c r="G34" s="34" t="str">
        <f t="array" ref="G34">IF(SUMIFS(H$86:H$161,$B$86:$B$161,$A34)=0,"",SUMIFS(H$86:H$161,$B$86:$B$161,$A34,$D$86:$D$161,$C34)*INDEX($B$7:$B$9,MATCH($D34&amp;$E34,$C$7:$C$9&amp;$D$7:$D$9,0)))</f>
        <v/>
      </c>
      <c r="H34" s="34" t="str">
        <f t="array" ref="H34">IF(SUMIFS(I$86:I$161,$B$86:$B$161,$A34)=0,"",SUMIFS(I$86:I$161,$B$86:$B$161,$A34,$D$86:$D$161,$C34)*INDEX($B$7:$B$9,MATCH($D34&amp;$E34,$C$7:$C$9&amp;$D$7:$D$9,0)))</f>
        <v/>
      </c>
      <c r="I34" s="34" t="str">
        <f t="array" ref="I34">IF(SUMIFS(J$86:J$161,$B$86:$B$161,$A34)=0,"",SUMIFS(J$86:J$161,$B$86:$B$161,$A34,$D$86:$D$161,$C34)*INDEX($B$7:$B$9,MATCH($D34&amp;$E34,$C$7:$C$9&amp;$D$7:$D$9,0)))</f>
        <v/>
      </c>
      <c r="J34" s="34">
        <f t="array" ref="J34">IF(SUMIFS(K$86:K$161,$B$86:$B$161,$A34)=0,"",SUMIFS(K$86:K$161,$B$86:$B$161,$A34,$D$86:$D$161,$C34)*INDEX($B$7:$B$9,MATCH($D34&amp;$E34,$C$7:$C$9&amp;$D$7:$D$9,0)))</f>
        <v>169624.6429554534</v>
      </c>
      <c r="K34" s="34" t="str">
        <f t="array" ref="K34">IF(SUMIFS(L$86:L$161,$B$86:$B$161,$A34)=0,"",SUMIFS(L$86:L$161,$B$86:$B$161,$A34,$D$86:$D$161,$C34)*INDEX($B$7:$B$9,MATCH($D34&amp;$E34,$C$7:$C$9&amp;$D$7:$D$9,0)))</f>
        <v/>
      </c>
      <c r="L34" s="34">
        <f t="array" ref="L34">IF(SUMIFS(M$86:M$161,$B$86:$B$161,$A34)=0,"",SUMIFS(M$86:M$161,$B$86:$B$161,$A34,$D$86:$D$161,$C34)*INDEX($B$7:$B$9,MATCH($D34&amp;$E34,$C$7:$C$9&amp;$D$7:$D$9,0)))</f>
        <v>197197.31672845106</v>
      </c>
      <c r="M34" s="34" t="str">
        <f t="array" ref="M34">IF(SUMIFS(N$86:N$161,$B$86:$B$161,$A34)=0,"",SUMIFS(N$86:N$161,$B$86:$B$161,$A34,$D$86:$D$161,$C34)*INDEX($B$7:$B$9,MATCH($D34&amp;$E34,$C$7:$C$9&amp;$D$7:$D$9,0)))</f>
        <v/>
      </c>
      <c r="N34" s="34">
        <f t="array" ref="N34">IF(SUMIFS(O$86:O$161,$B$86:$B$161,$A34)=0,"",SUMIFS(O$86:O$161,$B$86:$B$161,$A34,$D$86:$D$161,$C34)*INDEX($B$7:$B$9,MATCH($D34&amp;$E34,$C$7:$C$9&amp;$D$7:$D$9,0)))</f>
        <v>223025.72356936909</v>
      </c>
      <c r="O34" s="34">
        <f t="array" ref="O34">IF(SUMIFS(P$86:P$161,$B$86:$B$161,$A34)=0,"",SUMIFS(P$86:P$161,$B$86:$B$161,$A34,$D$86:$D$161,$C34)*INDEX($B$7:$B$9,MATCH($D34&amp;$E34,$C$7:$C$9&amp;$D$7:$D$9,0)))</f>
        <v>235939.92698982812</v>
      </c>
      <c r="P34" s="34">
        <f t="array" ref="P34">IF(SUMIFS(Q$86:Q$161,$B$86:$B$161,$A34)=0,"",SUMIFS(Q$86:Q$161,$B$86:$B$161,$A34,$D$86:$D$161,$C34)*INDEX($B$7:$B$9,MATCH($D34&amp;$E34,$C$7:$C$9&amp;$D$7:$D$9,0)))</f>
        <v>248854.13041028712</v>
      </c>
      <c r="Q34" s="34">
        <f t="array" ref="Q34">IF(SUMIFS(R$86:R$161,$B$86:$B$161,$A34)=0,"",SUMIFS(R$86:R$161,$B$86:$B$161,$A34,$D$86:$D$161,$C34)*INDEX($B$7:$B$9,MATCH($D34&amp;$E34,$C$7:$C$9&amp;$D$7:$D$9,0)))</f>
        <v>261768.33383074615</v>
      </c>
      <c r="R34" s="34">
        <f t="array" ref="R34">IF(SUMIFS(S$86:S$161,$B$86:$B$161,$A34)=0,"",SUMIFS(S$86:S$161,$B$86:$B$161,$A34,$D$86:$D$161,$C34)*INDEX($B$7:$B$9,MATCH($D34&amp;$E34,$C$7:$C$9&amp;$D$7:$D$9,0)))</f>
        <v>274682.53725120518</v>
      </c>
    </row>
    <row r="35" spans="1:18" x14ac:dyDescent="0.3">
      <c r="A35" s="3" t="s">
        <v>378</v>
      </c>
      <c r="B35" s="3" t="str">
        <f>INDEX('R1. Scenario specifications'!$C$11:$C$59,MATCH($A35,'R1. Scenario specifications'!$A$11:$A$59,0))</f>
        <v>Current Policies Scenario, World Energy Outlook 2016</v>
      </c>
      <c r="C35" s="3" t="s">
        <v>266</v>
      </c>
      <c r="D35" s="3" t="str">
        <f t="array" ref="D35">INDEX($F$86:$F$161,MATCH($A35&amp;$C35,$B$86:$B$161&amp;$D$86:$D$161,0))</f>
        <v>Mtoe</v>
      </c>
      <c r="E35" s="3" t="s">
        <v>482</v>
      </c>
      <c r="F35" s="34">
        <f t="array" ref="F35">IF(SUMIFS(G$86:G$161,$B$86:$B$161,$A35)=0,"",SUMIFS(G$86:G$161,$B$86:$B$161,$A35,$D$86:$D$161,$C35)*INDEX($B$7:$B$9,MATCH($D35&amp;$E35,$C$7:$C$9&amp;$D$7:$D$9,0)))</f>
        <v>178601.82877665258</v>
      </c>
      <c r="G35" s="34" t="str">
        <f t="array" ref="G35">IF(SUMIFS(H$86:H$161,$B$86:$B$161,$A35)=0,"",SUMIFS(H$86:H$161,$B$86:$B$161,$A35,$D$86:$D$161,$C35)*INDEX($B$7:$B$9,MATCH($D35&amp;$E35,$C$7:$C$9&amp;$D$7:$D$9,0)))</f>
        <v/>
      </c>
      <c r="H35" s="34" t="str">
        <f t="array" ref="H35">IF(SUMIFS(I$86:I$161,$B$86:$B$161,$A35)=0,"",SUMIFS(I$86:I$161,$B$86:$B$161,$A35,$D$86:$D$161,$C35)*INDEX($B$7:$B$9,MATCH($D35&amp;$E35,$C$7:$C$9&amp;$D$7:$D$9,0)))</f>
        <v/>
      </c>
      <c r="I35" s="34" t="str">
        <f t="array" ref="I35">IF(SUMIFS(J$86:J$161,$B$86:$B$161,$A35)=0,"",SUMIFS(J$86:J$161,$B$86:$B$161,$A35,$D$86:$D$161,$C35)*INDEX($B$7:$B$9,MATCH($D35&amp;$E35,$C$7:$C$9&amp;$D$7:$D$9,0)))</f>
        <v/>
      </c>
      <c r="J35" s="34">
        <f t="array" ref="J35">IF(SUMIFS(K$86:K$161,$B$86:$B$161,$A35)=0,"",SUMIFS(K$86:K$161,$B$86:$B$161,$A35,$D$86:$D$161,$C35)*INDEX($B$7:$B$9,MATCH($D35&amp;$E35,$C$7:$C$9&amp;$D$7:$D$9,0)))</f>
        <v>190406.41506184216</v>
      </c>
      <c r="K35" s="34" t="str">
        <f t="array" ref="K35">IF(SUMIFS(L$86:L$161,$B$86:$B$161,$A35)=0,"",SUMIFS(L$86:L$161,$B$86:$B$161,$A35,$D$86:$D$161,$C35)*INDEX($B$7:$B$9,MATCH($D35&amp;$E35,$C$7:$C$9&amp;$D$7:$D$9,0)))</f>
        <v/>
      </c>
      <c r="L35" s="34">
        <f t="array" ref="L35">IF(SUMIFS(M$86:M$161,$B$86:$B$161,$A35)=0,"",SUMIFS(M$86:M$161,$B$86:$B$161,$A35,$D$86:$D$161,$C35)*INDEX($B$7:$B$9,MATCH($D35&amp;$E35,$C$7:$C$9&amp;$D$7:$D$9,0)))</f>
        <v>207657.84810613684</v>
      </c>
      <c r="M35" s="34" t="str">
        <f t="array" ref="M35">IF(SUMIFS(N$86:N$161,$B$86:$B$161,$A35)=0,"",SUMIFS(N$86:N$161,$B$86:$B$161,$A35,$D$86:$D$161,$C35)*INDEX($B$7:$B$9,MATCH($D35&amp;$E35,$C$7:$C$9&amp;$D$7:$D$9,0)))</f>
        <v/>
      </c>
      <c r="N35" s="34">
        <f t="array" ref="N35">IF(SUMIFS(O$86:O$161,$B$86:$B$161,$A35)=0,"",SUMIFS(O$86:O$161,$B$86:$B$161,$A35,$D$86:$D$161,$C35)*INDEX($B$7:$B$9,MATCH($D35&amp;$E35,$C$7:$C$9&amp;$D$7:$D$9,0)))</f>
        <v>226173.5691444597</v>
      </c>
      <c r="O35" s="34">
        <f t="array" ref="O35">IF(SUMIFS(P$86:P$161,$B$86:$B$161,$A35)=0,"",SUMIFS(P$86:P$161,$B$86:$B$161,$A35,$D$86:$D$161,$C35)*INDEX($B$7:$B$9,MATCH($D35&amp;$E35,$C$7:$C$9&amp;$D$7:$D$9,0)))</f>
        <v>235431.42966362115</v>
      </c>
      <c r="P35" s="34">
        <f t="array" ref="P35">IF(SUMIFS(Q$86:Q$161,$B$86:$B$161,$A35)=0,"",SUMIFS(Q$86:Q$161,$B$86:$B$161,$A35,$D$86:$D$161,$C35)*INDEX($B$7:$B$9,MATCH($D35&amp;$E35,$C$7:$C$9&amp;$D$7:$D$9,0)))</f>
        <v>244689.29018278257</v>
      </c>
      <c r="Q35" s="34">
        <f t="array" ref="Q35">IF(SUMIFS(R$86:R$161,$B$86:$B$161,$A35)=0,"",SUMIFS(R$86:R$161,$B$86:$B$161,$A35,$D$86:$D$161,$C35)*INDEX($B$7:$B$9,MATCH($D35&amp;$E35,$C$7:$C$9&amp;$D$7:$D$9,0)))</f>
        <v>253947.15070194399</v>
      </c>
      <c r="R35" s="34">
        <f t="array" ref="R35">IF(SUMIFS(S$86:S$161,$B$86:$B$161,$A35)=0,"",SUMIFS(S$86:S$161,$B$86:$B$161,$A35,$D$86:$D$161,$C35)*INDEX($B$7:$B$9,MATCH($D35&amp;$E35,$C$7:$C$9&amp;$D$7:$D$9,0)))</f>
        <v>263205.01122110541</v>
      </c>
    </row>
    <row r="36" spans="1:18" x14ac:dyDescent="0.3">
      <c r="A36" s="3" t="s">
        <v>378</v>
      </c>
      <c r="B36" s="3" t="str">
        <f>INDEX('R1. Scenario specifications'!$C$11:$C$59,MATCH($A36,'R1. Scenario specifications'!$A$11:$A$59,0))</f>
        <v>Current Policies Scenario, World Energy Outlook 2016</v>
      </c>
      <c r="C36" s="3" t="s">
        <v>255</v>
      </c>
      <c r="D36" s="3" t="str">
        <f t="array" ref="D36">INDEX($F$86:$F$161,MATCH($A36&amp;$C36,$B$86:$B$161&amp;$D$86:$D$161,0))</f>
        <v>Mtoe</v>
      </c>
      <c r="E36" s="3" t="s">
        <v>482</v>
      </c>
      <c r="F36" s="34">
        <f t="array" ref="F36">IF(SUMIFS(G$86:G$161,$B$86:$B$161,$A36)=0,"",SUMIFS(G$86:G$161,$B$86:$B$161,$A36,$D$86:$D$161,$C36)*INDEX($B$7:$B$9,MATCH($D36&amp;$E36,$C$7:$C$9&amp;$D$7:$D$9,0)))</f>
        <v>121123.52928549574</v>
      </c>
      <c r="G36" s="34" t="str">
        <f t="array" ref="G36">IF(SUMIFS(H$86:H$161,$B$86:$B$161,$A36)=0,"",SUMIFS(H$86:H$161,$B$86:$B$161,$A36,$D$86:$D$161,$C36)*INDEX($B$7:$B$9,MATCH($D36&amp;$E36,$C$7:$C$9&amp;$D$7:$D$9,0)))</f>
        <v/>
      </c>
      <c r="H36" s="34" t="str">
        <f t="array" ref="H36">IF(SUMIFS(I$86:I$161,$B$86:$B$161,$A36)=0,"",SUMIFS(I$86:I$161,$B$86:$B$161,$A36,$D$86:$D$161,$C36)*INDEX($B$7:$B$9,MATCH($D36&amp;$E36,$C$7:$C$9&amp;$D$7:$D$9,0)))</f>
        <v/>
      </c>
      <c r="I36" s="34" t="str">
        <f t="array" ref="I36">IF(SUMIFS(J$86:J$161,$B$86:$B$161,$A36)=0,"",SUMIFS(J$86:J$161,$B$86:$B$161,$A36,$D$86:$D$161,$C36)*INDEX($B$7:$B$9,MATCH($D36&amp;$E36,$C$7:$C$9&amp;$D$7:$D$9,0)))</f>
        <v/>
      </c>
      <c r="J36" s="34">
        <f t="array" ref="J36">IF(SUMIFS(K$86:K$161,$B$86:$B$161,$A36)=0,"",SUMIFS(K$86:K$161,$B$86:$B$161,$A36,$D$86:$D$161,$C36)*INDEX($B$7:$B$9,MATCH($D36&amp;$E36,$C$7:$C$9&amp;$D$7:$D$9,0)))</f>
        <v>133710.02559026584</v>
      </c>
      <c r="K36" s="34" t="str">
        <f t="array" ref="K36">IF(SUMIFS(L$86:L$161,$B$86:$B$161,$A36)=0,"",SUMIFS(L$86:L$161,$B$86:$B$161,$A36,$D$86:$D$161,$C36)*INDEX($B$7:$B$9,MATCH($D36&amp;$E36,$C$7:$C$9&amp;$D$7:$D$9,0)))</f>
        <v/>
      </c>
      <c r="L36" s="34">
        <f t="array" ref="L36">IF(SUMIFS(M$86:M$161,$B$86:$B$161,$A36)=0,"",SUMIFS(M$86:M$161,$B$86:$B$161,$A36,$D$86:$D$161,$C36)*INDEX($B$7:$B$9,MATCH($D36&amp;$E36,$C$7:$C$9&amp;$D$7:$D$9,0)))</f>
        <v>163192.84312428444</v>
      </c>
      <c r="M36" s="34" t="str">
        <f t="array" ref="M36">IF(SUMIFS(N$86:N$161,$B$86:$B$161,$A36)=0,"",SUMIFS(N$86:N$161,$B$86:$B$161,$A36,$D$86:$D$161,$C36)*INDEX($B$7:$B$9,MATCH($D36&amp;$E36,$C$7:$C$9&amp;$D$7:$D$9,0)))</f>
        <v/>
      </c>
      <c r="N36" s="34">
        <f t="array" ref="N36">IF(SUMIFS(O$86:O$161,$B$86:$B$161,$A36)=0,"",SUMIFS(O$86:O$161,$B$86:$B$161,$A36,$D$86:$D$161,$C36)*INDEX($B$7:$B$9,MATCH($D36&amp;$E36,$C$7:$C$9&amp;$D$7:$D$9,0)))</f>
        <v>197527.46265513616</v>
      </c>
      <c r="O36" s="34">
        <f t="array" ref="O36">IF(SUMIFS(P$86:P$161,$B$86:$B$161,$A36)=0,"",SUMIFS(P$86:P$161,$B$86:$B$161,$A36,$D$86:$D$161,$C36)*INDEX($B$7:$B$9,MATCH($D36&amp;$E36,$C$7:$C$9&amp;$D$7:$D$9,0)))</f>
        <v>214694.77242056202</v>
      </c>
      <c r="P36" s="34">
        <f t="array" ref="P36">IF(SUMIFS(Q$86:Q$161,$B$86:$B$161,$A36)=0,"",SUMIFS(Q$86:Q$161,$B$86:$B$161,$A36,$D$86:$D$161,$C36)*INDEX($B$7:$B$9,MATCH($D36&amp;$E36,$C$7:$C$9&amp;$D$7:$D$9,0)))</f>
        <v>231862.08218598788</v>
      </c>
      <c r="Q36" s="34">
        <f t="array" ref="Q36">IF(SUMIFS(R$86:R$161,$B$86:$B$161,$A36)=0,"",SUMIFS(R$86:R$161,$B$86:$B$161,$A36,$D$86:$D$161,$C36)*INDEX($B$7:$B$9,MATCH($D36&amp;$E36,$C$7:$C$9&amp;$D$7:$D$9,0)))</f>
        <v>249029.39195141377</v>
      </c>
      <c r="R36" s="34">
        <f t="array" ref="R36">IF(SUMIFS(S$86:S$161,$B$86:$B$161,$A36)=0,"",SUMIFS(S$86:S$161,$B$86:$B$161,$A36,$D$86:$D$161,$C36)*INDEX($B$7:$B$9,MATCH($D36&amp;$E36,$C$7:$C$9&amp;$D$7:$D$9,0)))</f>
        <v>266196.70171683963</v>
      </c>
    </row>
    <row r="37" spans="1:18" x14ac:dyDescent="0.3">
      <c r="A37" s="3" t="s">
        <v>378</v>
      </c>
      <c r="B37" s="3" t="str">
        <f>INDEX('R1. Scenario specifications'!$C$11:$C$59,MATCH($A37,'R1. Scenario specifications'!$A$11:$A$59,0))</f>
        <v>Current Policies Scenario, World Energy Outlook 2016</v>
      </c>
      <c r="C37" s="3" t="s">
        <v>257</v>
      </c>
      <c r="D37" s="3" t="str">
        <f t="array" ref="D37">INDEX($F$86:$F$161,MATCH($A37&amp;$C37,$B$86:$B$161&amp;$D$86:$D$161,0))</f>
        <v>Mtoe</v>
      </c>
      <c r="E37" s="3" t="s">
        <v>482</v>
      </c>
      <c r="F37" s="34">
        <f t="array" ref="F37">IF(SUMIFS(G$86:G$161,$B$86:$B$161,$A37)=0,"",SUMIFS(G$86:G$161,$B$86:$B$161,$A37,$D$86:$D$161,$C37)*INDEX($B$7:$B$9,MATCH($D37&amp;$E37,$C$7:$C$9&amp;$D$7:$D$9,0)))</f>
        <v>27731.382800350137</v>
      </c>
      <c r="G37" s="34" t="str">
        <f t="array" ref="G37">IF(SUMIFS(H$86:H$161,$B$86:$B$161,$A37)=0,"",SUMIFS(H$86:H$161,$B$86:$B$161,$A37,$D$86:$D$161,$C37)*INDEX($B$7:$B$9,MATCH($D37&amp;$E37,$C$7:$C$9&amp;$D$7:$D$9,0)))</f>
        <v/>
      </c>
      <c r="H37" s="34" t="str">
        <f t="array" ref="H37">IF(SUMIFS(I$86:I$161,$B$86:$B$161,$A37)=0,"",SUMIFS(I$86:I$161,$B$86:$B$161,$A37,$D$86:$D$161,$C37)*INDEX($B$7:$B$9,MATCH($D37&amp;$E37,$C$7:$C$9&amp;$D$7:$D$9,0)))</f>
        <v/>
      </c>
      <c r="I37" s="34" t="str">
        <f t="array" ref="I37">IF(SUMIFS(J$86:J$161,$B$86:$B$161,$A37)=0,"",SUMIFS(J$86:J$161,$B$86:$B$161,$A37,$D$86:$D$161,$C37)*INDEX($B$7:$B$9,MATCH($D37&amp;$E37,$C$7:$C$9&amp;$D$7:$D$9,0)))</f>
        <v/>
      </c>
      <c r="J37" s="34">
        <f t="array" ref="J37">IF(SUMIFS(K$86:K$161,$B$86:$B$161,$A37)=0,"",SUMIFS(K$86:K$161,$B$86:$B$161,$A37,$D$86:$D$161,$C37)*INDEX($B$7:$B$9,MATCH($D37&amp;$E37,$C$7:$C$9&amp;$D$7:$D$9,0)))</f>
        <v>33190.51781743607</v>
      </c>
      <c r="K37" s="34" t="str">
        <f t="array" ref="K37">IF(SUMIFS(L$86:L$161,$B$86:$B$161,$A37)=0,"",SUMIFS(L$86:L$161,$B$86:$B$161,$A37,$D$86:$D$161,$C37)*INDEX($B$7:$B$9,MATCH($D37&amp;$E37,$C$7:$C$9&amp;$D$7:$D$9,0)))</f>
        <v/>
      </c>
      <c r="L37" s="34">
        <f t="array" ref="L37">IF(SUMIFS(M$86:M$161,$B$86:$B$161,$A37)=0,"",SUMIFS(M$86:M$161,$B$86:$B$161,$A37,$D$86:$D$161,$C37)*INDEX($B$7:$B$9,MATCH($D37&amp;$E37,$C$7:$C$9&amp;$D$7:$D$9,0)))</f>
        <v>39184.282072888192</v>
      </c>
      <c r="M37" s="34" t="str">
        <f t="array" ref="M37">IF(SUMIFS(N$86:N$161,$B$86:$B$161,$A37)=0,"",SUMIFS(N$86:N$161,$B$86:$B$161,$A37,$D$86:$D$161,$C37)*INDEX($B$7:$B$9,MATCH($D37&amp;$E37,$C$7:$C$9&amp;$D$7:$D$9,0)))</f>
        <v/>
      </c>
      <c r="N37" s="34">
        <f t="array" ref="N37">IF(SUMIFS(O$86:O$161,$B$86:$B$161,$A37)=0,"",SUMIFS(O$86:O$161,$B$86:$B$161,$A37,$D$86:$D$161,$C37)*INDEX($B$7:$B$9,MATCH($D37&amp;$E37,$C$7:$C$9&amp;$D$7:$D$9,0)))</f>
        <v>43219.088666195508</v>
      </c>
      <c r="O37" s="34">
        <f t="array" ref="O37">IF(SUMIFS(P$86:P$161,$B$86:$B$161,$A37)=0,"",SUMIFS(P$86:P$161,$B$86:$B$161,$A37,$D$86:$D$161,$C37)*INDEX($B$7:$B$9,MATCH($D37&amp;$E37,$C$7:$C$9&amp;$D$7:$D$9,0)))</f>
        <v>45236.49196284917</v>
      </c>
      <c r="P37" s="34">
        <f t="array" ref="P37">IF(SUMIFS(Q$86:Q$161,$B$86:$B$161,$A37)=0,"",SUMIFS(Q$86:Q$161,$B$86:$B$161,$A37,$D$86:$D$161,$C37)*INDEX($B$7:$B$9,MATCH($D37&amp;$E37,$C$7:$C$9&amp;$D$7:$D$9,0)))</f>
        <v>47253.895259502817</v>
      </c>
      <c r="Q37" s="34">
        <f t="array" ref="Q37">IF(SUMIFS(R$86:R$161,$B$86:$B$161,$A37)=0,"",SUMIFS(R$86:R$161,$B$86:$B$161,$A37,$D$86:$D$161,$C37)*INDEX($B$7:$B$9,MATCH($D37&amp;$E37,$C$7:$C$9&amp;$D$7:$D$9,0)))</f>
        <v>49271.298556156471</v>
      </c>
      <c r="R37" s="34">
        <f t="array" ref="R37">IF(SUMIFS(S$86:S$161,$B$86:$B$161,$A37)=0,"",SUMIFS(S$86:S$161,$B$86:$B$161,$A37,$D$86:$D$161,$C37)*INDEX($B$7:$B$9,MATCH($D37&amp;$E37,$C$7:$C$9&amp;$D$7:$D$9,0)))</f>
        <v>51288.701852810133</v>
      </c>
    </row>
    <row r="38" spans="1:18" x14ac:dyDescent="0.3">
      <c r="A38" s="3" t="s">
        <v>378</v>
      </c>
      <c r="B38" s="3" t="str">
        <f>INDEX('R1. Scenario specifications'!$C$11:$C$59,MATCH($A38,'R1. Scenario specifications'!$A$11:$A$59,0))</f>
        <v>Current Policies Scenario, World Energy Outlook 2016</v>
      </c>
      <c r="C38" s="3" t="s">
        <v>256</v>
      </c>
      <c r="D38" s="3" t="str">
        <f t="array" ref="D38">INDEX($F$86:$F$161,MATCH($A38&amp;$C38,$B$86:$B$161&amp;$D$86:$D$161,0))</f>
        <v>Mtoe</v>
      </c>
      <c r="E38" s="3" t="s">
        <v>482</v>
      </c>
      <c r="F38" s="34">
        <f t="array" ref="F38">IF(SUMIFS(G$86:G$161,$B$86:$B$161,$A38)=0,"",SUMIFS(G$86:G$161,$B$86:$B$161,$A38,$D$86:$D$161,$C38)*INDEX($B$7:$B$9,MATCH($D38&amp;$E38,$C$7:$C$9&amp;$D$7:$D$9,0)))</f>
        <v>14019.60026133503</v>
      </c>
      <c r="G38" s="34" t="str">
        <f t="array" ref="G38">IF(SUMIFS(H$86:H$161,$B$86:$B$161,$A38)=0,"",SUMIFS(H$86:H$161,$B$86:$B$161,$A38,$D$86:$D$161,$C38)*INDEX($B$7:$B$9,MATCH($D38&amp;$E38,$C$7:$C$9&amp;$D$7:$D$9,0)))</f>
        <v/>
      </c>
      <c r="H38" s="34" t="str">
        <f t="array" ref="H38">IF(SUMIFS(I$86:I$161,$B$86:$B$161,$A38)=0,"",SUMIFS(I$86:I$161,$B$86:$B$161,$A38,$D$86:$D$161,$C38)*INDEX($B$7:$B$9,MATCH($D38&amp;$E38,$C$7:$C$9&amp;$D$7:$D$9,0)))</f>
        <v/>
      </c>
      <c r="I38" s="34" t="str">
        <f t="array" ref="I38">IF(SUMIFS(J$86:J$161,$B$86:$B$161,$A38)=0,"",SUMIFS(J$86:J$161,$B$86:$B$161,$A38,$D$86:$D$161,$C38)*INDEX($B$7:$B$9,MATCH($D38&amp;$E38,$C$7:$C$9&amp;$D$7:$D$9,0)))</f>
        <v/>
      </c>
      <c r="J38" s="34">
        <f t="array" ref="J38">IF(SUMIFS(K$86:K$161,$B$86:$B$161,$A38)=0,"",SUMIFS(K$86:K$161,$B$86:$B$161,$A38,$D$86:$D$161,$C38)*INDEX($B$7:$B$9,MATCH($D38&amp;$E38,$C$7:$C$9&amp;$D$7:$D$9,0)))</f>
        <v>15709.053607900159</v>
      </c>
      <c r="K38" s="34" t="str">
        <f t="array" ref="K38">IF(SUMIFS(L$86:L$161,$B$86:$B$161,$A38)=0,"",SUMIFS(L$86:L$161,$B$86:$B$161,$A38,$D$86:$D$161,$C38)*INDEX($B$7:$B$9,MATCH($D38&amp;$E38,$C$7:$C$9&amp;$D$7:$D$9,0)))</f>
        <v/>
      </c>
      <c r="L38" s="34">
        <f t="array" ref="L38">IF(SUMIFS(M$86:M$161,$B$86:$B$161,$A38)=0,"",SUMIFS(M$86:M$161,$B$86:$B$161,$A38,$D$86:$D$161,$C38)*INDEX($B$7:$B$9,MATCH($D38&amp;$E38,$C$7:$C$9&amp;$D$7:$D$9,0)))</f>
        <v>18836.639257822375</v>
      </c>
      <c r="M38" s="34" t="str">
        <f t="array" ref="M38">IF(SUMIFS(N$86:N$161,$B$86:$B$161,$A38)=0,"",SUMIFS(N$86:N$161,$B$86:$B$161,$A38,$D$86:$D$161,$C38)*INDEX($B$7:$B$9,MATCH($D38&amp;$E38,$C$7:$C$9&amp;$D$7:$D$9,0)))</f>
        <v/>
      </c>
      <c r="N38" s="34">
        <f t="array" ref="N38">IF(SUMIFS(O$86:O$161,$B$86:$B$161,$A38)=0,"",SUMIFS(O$86:O$161,$B$86:$B$161,$A38,$D$86:$D$161,$C38)*INDEX($B$7:$B$9,MATCH($D38&amp;$E38,$C$7:$C$9&amp;$D$7:$D$9,0)))</f>
        <v>21545.879852397047</v>
      </c>
      <c r="O38" s="34">
        <f t="array" ref="O38">IF(SUMIFS(P$86:P$161,$B$86:$B$161,$A38)=0,"",SUMIFS(P$86:P$161,$B$86:$B$161,$A38,$D$86:$D$161,$C38)*INDEX($B$7:$B$9,MATCH($D38&amp;$E38,$C$7:$C$9&amp;$D$7:$D$9,0)))</f>
        <v>22900.50014968438</v>
      </c>
      <c r="P38" s="34">
        <f t="array" ref="P38">IF(SUMIFS(Q$86:Q$161,$B$86:$B$161,$A38)=0,"",SUMIFS(Q$86:Q$161,$B$86:$B$161,$A38,$D$86:$D$161,$C38)*INDEX($B$7:$B$9,MATCH($D38&amp;$E38,$C$7:$C$9&amp;$D$7:$D$9,0)))</f>
        <v>24255.120446971716</v>
      </c>
      <c r="Q38" s="34">
        <f t="array" ref="Q38">IF(SUMIFS(R$86:R$161,$B$86:$B$161,$A38)=0,"",SUMIFS(R$86:R$161,$B$86:$B$161,$A38,$D$86:$D$161,$C38)*INDEX($B$7:$B$9,MATCH($D38&amp;$E38,$C$7:$C$9&amp;$D$7:$D$9,0)))</f>
        <v>25609.740744259052</v>
      </c>
      <c r="R38" s="34">
        <f t="array" ref="R38">IF(SUMIFS(S$86:S$161,$B$86:$B$161,$A38)=0,"",SUMIFS(S$86:S$161,$B$86:$B$161,$A38,$D$86:$D$161,$C38)*INDEX($B$7:$B$9,MATCH($D38&amp;$E38,$C$7:$C$9&amp;$D$7:$D$9,0)))</f>
        <v>26964.361041546385</v>
      </c>
    </row>
    <row r="39" spans="1:18" x14ac:dyDescent="0.3">
      <c r="A39" s="3" t="s">
        <v>378</v>
      </c>
      <c r="B39" s="3" t="str">
        <f>INDEX('R1. Scenario specifications'!$C$11:$C$59,MATCH($A39,'R1. Scenario specifications'!$A$11:$A$59,0))</f>
        <v>Current Policies Scenario, World Energy Outlook 2016</v>
      </c>
      <c r="C39" s="3" t="s">
        <v>253</v>
      </c>
      <c r="D39" s="3" t="str">
        <f t="array" ref="D39">INDEX($F$86:$F$161,MATCH($A39&amp;$C39,$B$86:$B$161&amp;$D$86:$D$161,0))</f>
        <v>Mtoe</v>
      </c>
      <c r="E39" s="3" t="s">
        <v>482</v>
      </c>
      <c r="F39" s="34">
        <f t="array" ref="F39">IF(SUMIFS(G$86:G$161,$B$86:$B$161,$A39)=0,"",SUMIFS(G$86:G$161,$B$86:$B$161,$A39,$D$86:$D$161,$C39)*INDEX($B$7:$B$9,MATCH($D39&amp;$E39,$C$7:$C$9&amp;$D$7:$D$9,0)))</f>
        <v>59494.884268411777</v>
      </c>
      <c r="G39" s="34" t="str">
        <f t="array" ref="G39">IF(SUMIFS(H$86:H$161,$B$86:$B$161,$A39)=0,"",SUMIFS(H$86:H$161,$B$86:$B$161,$A39,$D$86:$D$161,$C39)*INDEX($B$7:$B$9,MATCH($D39&amp;$E39,$C$7:$C$9&amp;$D$7:$D$9,0)))</f>
        <v/>
      </c>
      <c r="H39" s="34" t="str">
        <f t="array" ref="H39">IF(SUMIFS(I$86:I$161,$B$86:$B$161,$A39)=0,"",SUMIFS(I$86:I$161,$B$86:$B$161,$A39,$D$86:$D$161,$C39)*INDEX($B$7:$B$9,MATCH($D39&amp;$E39,$C$7:$C$9&amp;$D$7:$D$9,0)))</f>
        <v/>
      </c>
      <c r="I39" s="34" t="str">
        <f t="array" ref="I39">IF(SUMIFS(J$86:J$161,$B$86:$B$161,$A39)=0,"",SUMIFS(J$86:J$161,$B$86:$B$161,$A39,$D$86:$D$161,$C39)*INDEX($B$7:$B$9,MATCH($D39&amp;$E39,$C$7:$C$9&amp;$D$7:$D$9,0)))</f>
        <v/>
      </c>
      <c r="J39" s="34">
        <f t="array" ref="J39">IF(SUMIFS(K$86:K$161,$B$86:$B$161,$A39)=0,"",SUMIFS(K$86:K$161,$B$86:$B$161,$A39,$D$86:$D$161,$C39)*INDEX($B$7:$B$9,MATCH($D39&amp;$E39,$C$7:$C$9&amp;$D$7:$D$9,0)))</f>
        <v>64459.139526269522</v>
      </c>
      <c r="K39" s="34" t="str">
        <f t="array" ref="K39">IF(SUMIFS(L$86:L$161,$B$86:$B$161,$A39)=0,"",SUMIFS(L$86:L$161,$B$86:$B$161,$A39,$D$86:$D$161,$C39)*INDEX($B$7:$B$9,MATCH($D39&amp;$E39,$C$7:$C$9&amp;$D$7:$D$9,0)))</f>
        <v/>
      </c>
      <c r="L39" s="34">
        <f t="array" ref="L39">IF(SUMIFS(M$86:M$161,$B$86:$B$161,$A39)=0,"",SUMIFS(M$86:M$161,$B$86:$B$161,$A39,$D$86:$D$161,$C39)*INDEX($B$7:$B$9,MATCH($D39&amp;$E39,$C$7:$C$9&amp;$D$7:$D$9,0)))</f>
        <v>70969.969394115236</v>
      </c>
      <c r="M39" s="34" t="str">
        <f t="array" ref="M39">IF(SUMIFS(N$86:N$161,$B$86:$B$161,$A39)=0,"",SUMIFS(N$86:N$161,$B$86:$B$161,$A39,$D$86:$D$161,$C39)*INDEX($B$7:$B$9,MATCH($D39&amp;$E39,$C$7:$C$9&amp;$D$7:$D$9,0)))</f>
        <v/>
      </c>
      <c r="N39" s="34">
        <f t="array" ref="N39">IF(SUMIFS(O$86:O$161,$B$86:$B$161,$A39)=0,"",SUMIFS(O$86:O$161,$B$86:$B$161,$A39,$D$86:$D$161,$C39)*INDEX($B$7:$B$9,MATCH($D39&amp;$E39,$C$7:$C$9&amp;$D$7:$D$9,0)))</f>
        <v>76789.947955438387</v>
      </c>
      <c r="O39" s="34">
        <f t="array" ref="O39">IF(SUMIFS(P$86:P$161,$B$86:$B$161,$A39)=0,"",SUMIFS(P$86:P$161,$B$86:$B$161,$A39,$D$86:$D$161,$C39)*INDEX($B$7:$B$9,MATCH($D39&amp;$E39,$C$7:$C$9&amp;$D$7:$D$9,0)))</f>
        <v>79699.93723609997</v>
      </c>
      <c r="P39" s="34">
        <f t="array" ref="P39">IF(SUMIFS(Q$86:Q$161,$B$86:$B$161,$A39)=0,"",SUMIFS(Q$86:Q$161,$B$86:$B$161,$A39,$D$86:$D$161,$C39)*INDEX($B$7:$B$9,MATCH($D39&amp;$E39,$C$7:$C$9&amp;$D$7:$D$9,0)))</f>
        <v>82609.926516761552</v>
      </c>
      <c r="Q39" s="34">
        <f t="array" ref="Q39">IF(SUMIFS(R$86:R$161,$B$86:$B$161,$A39)=0,"",SUMIFS(R$86:R$161,$B$86:$B$161,$A39,$D$86:$D$161,$C39)*INDEX($B$7:$B$9,MATCH($D39&amp;$E39,$C$7:$C$9&amp;$D$7:$D$9,0)))</f>
        <v>85519.91579742312</v>
      </c>
      <c r="R39" s="34">
        <f t="array" ref="R39">IF(SUMIFS(S$86:S$161,$B$86:$B$161,$A39)=0,"",SUMIFS(S$86:S$161,$B$86:$B$161,$A39,$D$86:$D$161,$C39)*INDEX($B$7:$B$9,MATCH($D39&amp;$E39,$C$7:$C$9&amp;$D$7:$D$9,0)))</f>
        <v>88429.905078084703</v>
      </c>
    </row>
    <row r="40" spans="1:18" x14ac:dyDescent="0.3">
      <c r="A40" s="3" t="s">
        <v>378</v>
      </c>
      <c r="B40" s="3" t="str">
        <f>INDEX('R1. Scenario specifications'!$C$11:$C$59,MATCH($A40,'R1. Scenario specifications'!$A$11:$A$59,0))</f>
        <v>Current Policies Scenario, World Energy Outlook 2016</v>
      </c>
      <c r="C40" s="3" t="s">
        <v>461</v>
      </c>
      <c r="D40" s="3" t="str">
        <f t="array" ref="D40">INDEX($F$86:$F$161,MATCH($A40&amp;$C40,$B$86:$B$161&amp;$D$86:$D$161,0))</f>
        <v>Mtoe</v>
      </c>
      <c r="E40" s="3" t="s">
        <v>482</v>
      </c>
      <c r="F40" s="34">
        <f t="array" ref="F40">IF(SUMIFS(G$86:G$161,$B$86:$B$161,$A40)=0,"",SUMIFS(G$86:G$161,$B$86:$B$161,$A40,$D$86:$D$161,$C40)*INDEX($B$7:$B$9,MATCH($D40&amp;$E40,$C$7:$C$9&amp;$D$7:$D$9,0)))</f>
        <v>7571.9366449908075</v>
      </c>
      <c r="G40" s="34" t="str">
        <f t="array" ref="G40">IF(SUMIFS(H$86:H$161,$B$86:$B$161,$A40)=0,"",SUMIFS(H$86:H$161,$B$86:$B$161,$A40,$D$86:$D$161,$C40)*INDEX($B$7:$B$9,MATCH($D40&amp;$E40,$C$7:$C$9&amp;$D$7:$D$9,0)))</f>
        <v/>
      </c>
      <c r="H40" s="34" t="str">
        <f t="array" ref="H40">IF(SUMIFS(I$86:I$161,$B$86:$B$161,$A40)=0,"",SUMIFS(I$86:I$161,$B$86:$B$161,$A40,$D$86:$D$161,$C40)*INDEX($B$7:$B$9,MATCH($D40&amp;$E40,$C$7:$C$9&amp;$D$7:$D$9,0)))</f>
        <v/>
      </c>
      <c r="I40" s="34" t="str">
        <f t="array" ref="I40">IF(SUMIFS(J$86:J$161,$B$86:$B$161,$A40)=0,"",SUMIFS(J$86:J$161,$B$86:$B$161,$A40,$D$86:$D$161,$C40)*INDEX($B$7:$B$9,MATCH($D40&amp;$E40,$C$7:$C$9&amp;$D$7:$D$9,0)))</f>
        <v/>
      </c>
      <c r="J40" s="34">
        <f t="array" ref="J40">IF(SUMIFS(K$86:K$161,$B$86:$B$161,$A40)=0,"",SUMIFS(K$86:K$161,$B$86:$B$161,$A40,$D$86:$D$161,$C40)*INDEX($B$7:$B$9,MATCH($D40&amp;$E40,$C$7:$C$9&amp;$D$7:$D$9,0)))</f>
        <v>13336.620138800206</v>
      </c>
      <c r="K40" s="34" t="str">
        <f t="array" ref="K40">IF(SUMIFS(L$86:L$161,$B$86:$B$161,$A40)=0,"",SUMIFS(L$86:L$161,$B$86:$B$161,$A40,$D$86:$D$161,$C40)*INDEX($B$7:$B$9,MATCH($D40&amp;$E40,$C$7:$C$9&amp;$D$7:$D$9,0)))</f>
        <v/>
      </c>
      <c r="L40" s="34">
        <f t="array" ref="L40">IF(SUMIFS(M$86:M$161,$B$86:$B$161,$A40)=0,"",SUMIFS(M$86:M$161,$B$86:$B$161,$A40,$D$86:$D$161,$C40)*INDEX($B$7:$B$9,MATCH($D40&amp;$E40,$C$7:$C$9&amp;$D$7:$D$9,0)))</f>
        <v>22397.80154146839</v>
      </c>
      <c r="M40" s="34" t="str">
        <f t="array" ref="M40">IF(SUMIFS(N$86:N$161,$B$86:$B$161,$A40)=0,"",SUMIFS(N$86:N$161,$B$86:$B$161,$A40,$D$86:$D$161,$C40)*INDEX($B$7:$B$9,MATCH($D40&amp;$E40,$C$7:$C$9&amp;$D$7:$D$9,0)))</f>
        <v/>
      </c>
      <c r="N40" s="34">
        <f t="array" ref="N40">IF(SUMIFS(O$86:O$161,$B$86:$B$161,$A40)=0,"",SUMIFS(O$86:O$161,$B$86:$B$161,$A40,$D$86:$D$161,$C40)*INDEX($B$7:$B$9,MATCH($D40&amp;$E40,$C$7:$C$9&amp;$D$7:$D$9,0)))</f>
        <v>33857.462495995904</v>
      </c>
      <c r="O40" s="34">
        <f t="array" ref="O40">IF(SUMIFS(P$86:P$161,$B$86:$B$161,$A40)=0,"",SUMIFS(P$86:P$161,$B$86:$B$161,$A40,$D$86:$D$161,$C40)*INDEX($B$7:$B$9,MATCH($D40&amp;$E40,$C$7:$C$9&amp;$D$7:$D$9,0)))</f>
        <v>39587.29297325966</v>
      </c>
      <c r="P40" s="34">
        <f t="array" ref="P40">IF(SUMIFS(Q$86:Q$161,$B$86:$B$161,$A40)=0,"",SUMIFS(Q$86:Q$161,$B$86:$B$161,$A40,$D$86:$D$161,$C40)*INDEX($B$7:$B$9,MATCH($D40&amp;$E40,$C$7:$C$9&amp;$D$7:$D$9,0)))</f>
        <v>45317.123450523417</v>
      </c>
      <c r="Q40" s="34">
        <f t="array" ref="Q40">IF(SUMIFS(R$86:R$161,$B$86:$B$161,$A40)=0,"",SUMIFS(R$86:R$161,$B$86:$B$161,$A40,$D$86:$D$161,$C40)*INDEX($B$7:$B$9,MATCH($D40&amp;$E40,$C$7:$C$9&amp;$D$7:$D$9,0)))</f>
        <v>51046.953927787166</v>
      </c>
      <c r="R40" s="34">
        <f t="array" ref="R40">IF(SUMIFS(S$86:S$161,$B$86:$B$161,$A40)=0,"",SUMIFS(S$86:S$161,$B$86:$B$161,$A40,$D$86:$D$161,$C40)*INDEX($B$7:$B$9,MATCH($D40&amp;$E40,$C$7:$C$9&amp;$D$7:$D$9,0)))</f>
        <v>56776.78440505093</v>
      </c>
    </row>
    <row r="41" spans="1:18" x14ac:dyDescent="0.3">
      <c r="A41" s="3" t="s">
        <v>379</v>
      </c>
      <c r="B41" s="3" t="str">
        <f>INDEX('R1. Scenario specifications'!$C$11:$C$59,MATCH($A41,'R1. Scenario specifications'!$A$11:$A$59,0))</f>
        <v>New Policies Scenario, World Energy Outlook 2016</v>
      </c>
      <c r="C41" s="3" t="s">
        <v>254</v>
      </c>
      <c r="D41" s="3" t="str">
        <f t="array" ref="D41">INDEX($F$86:$F$161,MATCH($A41&amp;$C41,$B$86:$B$161&amp;$D$86:$D$161,0))</f>
        <v>Mtoe</v>
      </c>
      <c r="E41" s="3" t="s">
        <v>482</v>
      </c>
      <c r="F41" s="34">
        <f t="array" ref="F41">IF(SUMIFS(G$86:G$161,$B$86:$B$161,$A41)=0,"",SUMIFS(G$86:G$161,$B$86:$B$161,$A41,$D$86:$D$161,$C41)*INDEX($B$7:$B$9,MATCH($D41&amp;$E41,$C$7:$C$9&amp;$D$7:$D$9,0)))</f>
        <v>164381.98643202987</v>
      </c>
      <c r="G41" s="34" t="str">
        <f t="array" ref="G41">IF(SUMIFS(H$86:H$161,$B$86:$B$161,$A41)=0,"",SUMIFS(H$86:H$161,$B$86:$B$161,$A41,$D$86:$D$161,$C41)*INDEX($B$7:$B$9,MATCH($D41&amp;$E41,$C$7:$C$9&amp;$D$7:$D$9,0)))</f>
        <v/>
      </c>
      <c r="H41" s="34" t="str">
        <f t="array" ref="H41">IF(SUMIFS(I$86:I$161,$B$86:$B$161,$A41)=0,"",SUMIFS(I$86:I$161,$B$86:$B$161,$A41,$D$86:$D$161,$C41)*INDEX($B$7:$B$9,MATCH($D41&amp;$E41,$C$7:$C$9&amp;$D$7:$D$9,0)))</f>
        <v/>
      </c>
      <c r="I41" s="34" t="str">
        <f t="array" ref="I41">IF(SUMIFS(J$86:J$161,$B$86:$B$161,$A41)=0,"",SUMIFS(J$86:J$161,$B$86:$B$161,$A41,$D$86:$D$161,$C41)*INDEX($B$7:$B$9,MATCH($D41&amp;$E41,$C$7:$C$9&amp;$D$7:$D$9,0)))</f>
        <v/>
      </c>
      <c r="J41" s="34">
        <f t="array" ref="J41">IF(SUMIFS(K$86:K$161,$B$86:$B$161,$A41)=0,"",SUMIFS(K$86:K$161,$B$86:$B$161,$A41,$D$86:$D$161,$C41)*INDEX($B$7:$B$9,MATCH($D41&amp;$E41,$C$7:$C$9&amp;$D$7:$D$9,0)))</f>
        <v>163523.1523361693</v>
      </c>
      <c r="K41" s="34">
        <f t="array" ref="K41">IF(SUMIFS(L$86:L$161,$B$86:$B$161,$A41)=0,"",SUMIFS(L$86:L$161,$B$86:$B$161,$A41,$D$86:$D$161,$C41)*INDEX($B$7:$B$9,MATCH($D41&amp;$E41,$C$7:$C$9&amp;$D$7:$D$9,0)))</f>
        <v>165596.29659453602</v>
      </c>
      <c r="L41" s="34">
        <f t="array" ref="L41">IF(SUMIFS(M$86:M$161,$B$86:$B$161,$A41)=0,"",SUMIFS(M$86:M$161,$B$86:$B$161,$A41,$D$86:$D$161,$C41)*INDEX($B$7:$B$9,MATCH($D41&amp;$E41,$C$7:$C$9&amp;$D$7:$D$9,0)))</f>
        <v>169121.67848543782</v>
      </c>
      <c r="M41" s="34">
        <f t="array" ref="M41">IF(SUMIFS(N$86:N$161,$B$86:$B$161,$A41)=0,"",SUMIFS(N$86:N$161,$B$86:$B$161,$A41,$D$86:$D$161,$C41)*INDEX($B$7:$B$9,MATCH($D41&amp;$E41,$C$7:$C$9&amp;$D$7:$D$9,0)))</f>
        <v>171682.15370264449</v>
      </c>
      <c r="N41" s="34">
        <f t="array" ref="N41">IF(SUMIFS(O$86:O$161,$B$86:$B$161,$A41)=0,"",SUMIFS(O$86:O$161,$B$86:$B$161,$A41,$D$86:$D$161,$C41)*INDEX($B$7:$B$9,MATCH($D41&amp;$E41,$C$7:$C$9&amp;$D$7:$D$9,0)))</f>
        <v>173342.00218645579</v>
      </c>
      <c r="O41" s="34">
        <f t="array" ref="O41">IF(SUMIFS(P$86:P$161,$B$86:$B$161,$A41)=0,"",SUMIFS(P$86:P$161,$B$86:$B$161,$A41,$D$86:$D$161,$C41)*INDEX($B$7:$B$9,MATCH($D41&amp;$E41,$C$7:$C$9&amp;$D$7:$D$9,0)))</f>
        <v>175001.85067026713</v>
      </c>
      <c r="P41" s="34">
        <f t="array" ref="P41">IF(SUMIFS(Q$86:Q$161,$B$86:$B$161,$A41)=0,"",SUMIFS(Q$86:Q$161,$B$86:$B$161,$A41,$D$86:$D$161,$C41)*INDEX($B$7:$B$9,MATCH($D41&amp;$E41,$C$7:$C$9&amp;$D$7:$D$9,0)))</f>
        <v>176661.69915407844</v>
      </c>
      <c r="Q41" s="34">
        <f t="array" ref="Q41">IF(SUMIFS(R$86:R$161,$B$86:$B$161,$A41)=0,"",SUMIFS(R$86:R$161,$B$86:$B$161,$A41,$D$86:$D$161,$C41)*INDEX($B$7:$B$9,MATCH($D41&amp;$E41,$C$7:$C$9&amp;$D$7:$D$9,0)))</f>
        <v>178321.54763788974</v>
      </c>
      <c r="R41" s="34">
        <f t="array" ref="R41">IF(SUMIFS(S$86:S$161,$B$86:$B$161,$A41)=0,"",SUMIFS(S$86:S$161,$B$86:$B$161,$A41,$D$86:$D$161,$C41)*INDEX($B$7:$B$9,MATCH($D41&amp;$E41,$C$7:$C$9&amp;$D$7:$D$9,0)))</f>
        <v>179981.39612170105</v>
      </c>
    </row>
    <row r="42" spans="1:18" x14ac:dyDescent="0.3">
      <c r="A42" s="3" t="s">
        <v>379</v>
      </c>
      <c r="B42" s="3" t="str">
        <f>INDEX('R1. Scenario specifications'!$C$11:$C$59,MATCH($A42,'R1. Scenario specifications'!$A$11:$A$59,0))</f>
        <v>New Policies Scenario, World Energy Outlook 2016</v>
      </c>
      <c r="C42" s="3" t="s">
        <v>266</v>
      </c>
      <c r="D42" s="3" t="str">
        <f t="array" ref="D42">INDEX($F$86:$F$161,MATCH($A42&amp;$C42,$B$86:$B$161&amp;$D$86:$D$161,0))</f>
        <v>Mtoe</v>
      </c>
      <c r="E42" s="3" t="s">
        <v>482</v>
      </c>
      <c r="F42" s="34">
        <f t="array" ref="F42">IF(SUMIFS(G$86:G$161,$B$86:$B$161,$A42)=0,"",SUMIFS(G$86:G$161,$B$86:$B$161,$A42,$D$86:$D$161,$C42)*INDEX($B$7:$B$9,MATCH($D42&amp;$E42,$C$7:$C$9&amp;$D$7:$D$9,0)))</f>
        <v>178601.82877665258</v>
      </c>
      <c r="G42" s="34" t="str">
        <f t="array" ref="G42">IF(SUMIFS(H$86:H$161,$B$86:$B$161,$A42)=0,"",SUMIFS(H$86:H$161,$B$86:$B$161,$A42,$D$86:$D$161,$C42)*INDEX($B$7:$B$9,MATCH($D42&amp;$E42,$C$7:$C$9&amp;$D$7:$D$9,0)))</f>
        <v/>
      </c>
      <c r="H42" s="34" t="str">
        <f t="array" ref="H42">IF(SUMIFS(I$86:I$161,$B$86:$B$161,$A42)=0,"",SUMIFS(I$86:I$161,$B$86:$B$161,$A42,$D$86:$D$161,$C42)*INDEX($B$7:$B$9,MATCH($D42&amp;$E42,$C$7:$C$9&amp;$D$7:$D$9,0)))</f>
        <v/>
      </c>
      <c r="I42" s="34" t="str">
        <f t="array" ref="I42">IF(SUMIFS(J$86:J$161,$B$86:$B$161,$A42)=0,"",SUMIFS(J$86:J$161,$B$86:$B$161,$A42,$D$86:$D$161,$C42)*INDEX($B$7:$B$9,MATCH($D42&amp;$E42,$C$7:$C$9&amp;$D$7:$D$9,0)))</f>
        <v/>
      </c>
      <c r="J42" s="34">
        <f t="array" ref="J42">IF(SUMIFS(K$86:K$161,$B$86:$B$161,$A42)=0,"",SUMIFS(K$86:K$161,$B$86:$B$161,$A42,$D$86:$D$161,$C42)*INDEX($B$7:$B$9,MATCH($D42&amp;$E42,$C$7:$C$9&amp;$D$7:$D$9,0)))</f>
        <v>187313.67196146562</v>
      </c>
      <c r="K42" s="34">
        <f t="array" ref="K42">IF(SUMIFS(L$86:L$161,$B$86:$B$161,$A42)=0,"",SUMIFS(L$86:L$161,$B$86:$B$161,$A42,$D$86:$D$161,$C42)*INDEX($B$7:$B$9,MATCH($D42&amp;$E42,$C$7:$C$9&amp;$D$7:$D$9,0)))</f>
        <v>191617.93262875266</v>
      </c>
      <c r="L42" s="34">
        <f t="array" ref="L42">IF(SUMIFS(M$86:M$161,$B$86:$B$161,$A42)=0,"",SUMIFS(M$86:M$161,$B$86:$B$161,$A42,$D$86:$D$161,$C42)*INDEX($B$7:$B$9,MATCH($D42&amp;$E42,$C$7:$C$9&amp;$D$7:$D$9,0)))</f>
        <v>193866.89317924518</v>
      </c>
      <c r="M42" s="34">
        <f t="array" ref="M42">IF(SUMIFS(N$86:N$161,$B$86:$B$161,$A42)=0,"",SUMIFS(N$86:N$161,$B$86:$B$161,$A42,$D$86:$D$161,$C42)*INDEX($B$7:$B$9,MATCH($D42&amp;$E42,$C$7:$C$9&amp;$D$7:$D$9,0)))</f>
        <v>197117.62099057538</v>
      </c>
      <c r="N42" s="34">
        <f t="array" ref="N42">IF(SUMIFS(O$86:O$161,$B$86:$B$161,$A42)=0,"",SUMIFS(O$86:O$161,$B$86:$B$161,$A42,$D$86:$D$161,$C42)*INDEX($B$7:$B$9,MATCH($D42&amp;$E42,$C$7:$C$9&amp;$D$7:$D$9,0)))</f>
        <v>199934.38698258233</v>
      </c>
      <c r="O42" s="34">
        <f t="array" ref="O42">IF(SUMIFS(P$86:P$161,$B$86:$B$161,$A42)=0,"",SUMIFS(P$86:P$161,$B$86:$B$161,$A42,$D$86:$D$161,$C42)*INDEX($B$7:$B$9,MATCH($D42&amp;$E42,$C$7:$C$9&amp;$D$7:$D$9,0)))</f>
        <v>202751.1529745892</v>
      </c>
      <c r="P42" s="34">
        <f t="array" ref="P42">IF(SUMIFS(Q$86:Q$161,$B$86:$B$161,$A42)=0,"",SUMIFS(Q$86:Q$161,$B$86:$B$161,$A42,$D$86:$D$161,$C42)*INDEX($B$7:$B$9,MATCH($D42&amp;$E42,$C$7:$C$9&amp;$D$7:$D$9,0)))</f>
        <v>205567.9189665961</v>
      </c>
      <c r="Q42" s="34">
        <f t="array" ref="Q42">IF(SUMIFS(R$86:R$161,$B$86:$B$161,$A42)=0,"",SUMIFS(R$86:R$161,$B$86:$B$161,$A42,$D$86:$D$161,$C42)*INDEX($B$7:$B$9,MATCH($D42&amp;$E42,$C$7:$C$9&amp;$D$7:$D$9,0)))</f>
        <v>208384.68495860315</v>
      </c>
      <c r="R42" s="34">
        <f t="array" ref="R42">IF(SUMIFS(S$86:S$161,$B$86:$B$161,$A42)=0,"",SUMIFS(S$86:S$161,$B$86:$B$161,$A42,$D$86:$D$161,$C42)*INDEX($B$7:$B$9,MATCH($D42&amp;$E42,$C$7:$C$9&amp;$D$7:$D$9,0)))</f>
        <v>211201.45095061001</v>
      </c>
    </row>
    <row r="43" spans="1:18" x14ac:dyDescent="0.3">
      <c r="A43" s="3" t="s">
        <v>379</v>
      </c>
      <c r="B43" s="3" t="str">
        <f>INDEX('R1. Scenario specifications'!$C$11:$C$59,MATCH($A43,'R1. Scenario specifications'!$A$11:$A$59,0))</f>
        <v>New Policies Scenario, World Energy Outlook 2016</v>
      </c>
      <c r="C43" s="3" t="s">
        <v>255</v>
      </c>
      <c r="D43" s="3" t="str">
        <f t="array" ref="D43">INDEX($F$86:$F$161,MATCH($A43&amp;$C43,$B$86:$B$161&amp;$D$86:$D$161,0))</f>
        <v>Mtoe</v>
      </c>
      <c r="E43" s="3" t="s">
        <v>482</v>
      </c>
      <c r="F43" s="34">
        <f t="array" ref="F43">IF(SUMIFS(G$86:G$161,$B$86:$B$161,$A43)=0,"",SUMIFS(G$86:G$161,$B$86:$B$161,$A43,$D$86:$D$161,$C43)*INDEX($B$7:$B$9,MATCH($D43&amp;$E43,$C$7:$C$9&amp;$D$7:$D$9,0)))</f>
        <v>121123.52928549574</v>
      </c>
      <c r="G43" s="34" t="str">
        <f t="array" ref="G43">IF(SUMIFS(H$86:H$161,$B$86:$B$161,$A43)=0,"",SUMIFS(H$86:H$161,$B$86:$B$161,$A43,$D$86:$D$161,$C43)*INDEX($B$7:$B$9,MATCH($D43&amp;$E43,$C$7:$C$9&amp;$D$7:$D$9,0)))</f>
        <v/>
      </c>
      <c r="H43" s="34" t="str">
        <f t="array" ref="H43">IF(SUMIFS(I$86:I$161,$B$86:$B$161,$A43)=0,"",SUMIFS(I$86:I$161,$B$86:$B$161,$A43,$D$86:$D$161,$C43)*INDEX($B$7:$B$9,MATCH($D43&amp;$E43,$C$7:$C$9&amp;$D$7:$D$9,0)))</f>
        <v/>
      </c>
      <c r="I43" s="34" t="str">
        <f t="array" ref="I43">IF(SUMIFS(J$86:J$161,$B$86:$B$161,$A43)=0,"",SUMIFS(J$86:J$161,$B$86:$B$161,$A43,$D$86:$D$161,$C43)*INDEX($B$7:$B$9,MATCH($D43&amp;$E43,$C$7:$C$9&amp;$D$7:$D$9,0)))</f>
        <v/>
      </c>
      <c r="J43" s="34">
        <f t="array" ref="J43">IF(SUMIFS(K$86:K$161,$B$86:$B$161,$A43)=0,"",SUMIFS(K$86:K$161,$B$86:$B$161,$A43,$D$86:$D$161,$C43)*INDEX($B$7:$B$9,MATCH($D43&amp;$E43,$C$7:$C$9&amp;$D$7:$D$9,0)))</f>
        <v>131509.20905289825</v>
      </c>
      <c r="K43" s="34">
        <f t="array" ref="K43">IF(SUMIFS(L$86:L$161,$B$86:$B$161,$A43)=0,"",SUMIFS(L$86:L$161,$B$86:$B$161,$A43,$D$86:$D$161,$C43)*INDEX($B$7:$B$9,MATCH($D43&amp;$E43,$C$7:$C$9&amp;$D$7:$D$9,0)))</f>
        <v>141929.20383304721</v>
      </c>
      <c r="L43" s="34">
        <f t="array" ref="L43">IF(SUMIFS(M$86:M$161,$B$86:$B$161,$A43)=0,"",SUMIFS(M$86:M$161,$B$86:$B$161,$A43,$D$86:$D$161,$C43)*INDEX($B$7:$B$9,MATCH($D43&amp;$E43,$C$7:$C$9&amp;$D$7:$D$9,0)))</f>
        <v>154305.30925134543</v>
      </c>
      <c r="M43" s="34">
        <f t="array" ref="M43">IF(SUMIFS(N$86:N$161,$B$86:$B$161,$A43)=0,"",SUMIFS(N$86:N$161,$B$86:$B$161,$A43,$D$86:$D$161,$C43)*INDEX($B$7:$B$9,MATCH($D43&amp;$E43,$C$7:$C$9&amp;$D$7:$D$9,0)))</f>
        <v>167925.14128890395</v>
      </c>
      <c r="N43" s="34">
        <f t="array" ref="N43">IF(SUMIFS(O$86:O$161,$B$86:$B$161,$A43)=0,"",SUMIFS(O$86:O$161,$B$86:$B$161,$A43,$D$86:$D$161,$C43)*INDEX($B$7:$B$9,MATCH($D43&amp;$E43,$C$7:$C$9&amp;$D$7:$D$9,0)))</f>
        <v>180586.48083035732</v>
      </c>
      <c r="O43" s="34">
        <f t="array" ref="O43">IF(SUMIFS(P$86:P$161,$B$86:$B$161,$A43)=0,"",SUMIFS(P$86:P$161,$B$86:$B$161,$A43,$D$86:$D$161,$C43)*INDEX($B$7:$B$9,MATCH($D43&amp;$E43,$C$7:$C$9&amp;$D$7:$D$9,0)))</f>
        <v>193247.82037181067</v>
      </c>
      <c r="P43" s="34">
        <f t="array" ref="P43">IF(SUMIFS(Q$86:Q$161,$B$86:$B$161,$A43)=0,"",SUMIFS(Q$86:Q$161,$B$86:$B$161,$A43,$D$86:$D$161,$C43)*INDEX($B$7:$B$9,MATCH($D43&amp;$E43,$C$7:$C$9&amp;$D$7:$D$9,0)))</f>
        <v>205909.15991326416</v>
      </c>
      <c r="Q43" s="34">
        <f t="array" ref="Q43">IF(SUMIFS(R$86:R$161,$B$86:$B$161,$A43)=0,"",SUMIFS(R$86:R$161,$B$86:$B$161,$A43,$D$86:$D$161,$C43)*INDEX($B$7:$B$9,MATCH($D43&amp;$E43,$C$7:$C$9&amp;$D$7:$D$9,0)))</f>
        <v>218570.49945471765</v>
      </c>
      <c r="R43" s="34">
        <f t="array" ref="R43">IF(SUMIFS(S$86:S$161,$B$86:$B$161,$A43)=0,"",SUMIFS(S$86:S$161,$B$86:$B$161,$A43,$D$86:$D$161,$C43)*INDEX($B$7:$B$9,MATCH($D43&amp;$E43,$C$7:$C$9&amp;$D$7:$D$9,0)))</f>
        <v>231231.83899617111</v>
      </c>
    </row>
    <row r="44" spans="1:18" x14ac:dyDescent="0.3">
      <c r="A44" s="3" t="s">
        <v>379</v>
      </c>
      <c r="B44" s="3" t="str">
        <f>INDEX('R1. Scenario specifications'!$C$11:$C$59,MATCH($A44,'R1. Scenario specifications'!$A$11:$A$59,0))</f>
        <v>New Policies Scenario, World Energy Outlook 2016</v>
      </c>
      <c r="C44" s="3" t="s">
        <v>257</v>
      </c>
      <c r="D44" s="3" t="str">
        <f t="array" ref="D44">INDEX($F$86:$F$161,MATCH($A44&amp;$C44,$B$86:$B$161&amp;$D$86:$D$161,0))</f>
        <v>Mtoe</v>
      </c>
      <c r="E44" s="3" t="s">
        <v>482</v>
      </c>
      <c r="F44" s="34">
        <f t="array" ref="F44">IF(SUMIFS(G$86:G$161,$B$86:$B$161,$A44)=0,"",SUMIFS(G$86:G$161,$B$86:$B$161,$A44,$D$86:$D$161,$C44)*INDEX($B$7:$B$9,MATCH($D44&amp;$E44,$C$7:$C$9&amp;$D$7:$D$9,0)))</f>
        <v>27731.382800350137</v>
      </c>
      <c r="G44" s="34" t="str">
        <f t="array" ref="G44">IF(SUMIFS(H$86:H$161,$B$86:$B$161,$A44)=0,"",SUMIFS(H$86:H$161,$B$86:$B$161,$A44,$D$86:$D$161,$C44)*INDEX($B$7:$B$9,MATCH($D44&amp;$E44,$C$7:$C$9&amp;$D$7:$D$9,0)))</f>
        <v/>
      </c>
      <c r="H44" s="34" t="str">
        <f t="array" ref="H44">IF(SUMIFS(I$86:I$161,$B$86:$B$161,$A44)=0,"",SUMIFS(I$86:I$161,$B$86:$B$161,$A44,$D$86:$D$161,$C44)*INDEX($B$7:$B$9,MATCH($D44&amp;$E44,$C$7:$C$9&amp;$D$7:$D$9,0)))</f>
        <v/>
      </c>
      <c r="I44" s="34" t="str">
        <f t="array" ref="I44">IF(SUMIFS(J$86:J$161,$B$86:$B$161,$A44)=0,"",SUMIFS(J$86:J$161,$B$86:$B$161,$A44,$D$86:$D$161,$C44)*INDEX($B$7:$B$9,MATCH($D44&amp;$E44,$C$7:$C$9&amp;$D$7:$D$9,0)))</f>
        <v/>
      </c>
      <c r="J44" s="34">
        <f t="array" ref="J44">IF(SUMIFS(K$86:K$161,$B$86:$B$161,$A44)=0,"",SUMIFS(K$86:K$161,$B$86:$B$161,$A44,$D$86:$D$161,$C44)*INDEX($B$7:$B$9,MATCH($D44&amp;$E44,$C$7:$C$9&amp;$D$7:$D$9,0)))</f>
        <v>33319.881563634313</v>
      </c>
      <c r="K44" s="34">
        <f t="array" ref="K44">IF(SUMIFS(L$86:L$161,$B$86:$B$161,$A44)=0,"",SUMIFS(L$86:L$161,$B$86:$B$161,$A44,$D$86:$D$161,$C44)*INDEX($B$7:$B$9,MATCH($D44&amp;$E44,$C$7:$C$9&amp;$D$7:$D$9,0)))</f>
        <v>37165.649950436447</v>
      </c>
      <c r="L44" s="34">
        <f t="array" ref="L44">IF(SUMIFS(M$86:M$161,$B$86:$B$161,$A44)=0,"",SUMIFS(M$86:M$161,$B$86:$B$161,$A44,$D$86:$D$161,$C44)*INDEX($B$7:$B$9,MATCH($D44&amp;$E44,$C$7:$C$9&amp;$D$7:$D$9,0)))</f>
        <v>41983.777514922098</v>
      </c>
      <c r="M44" s="34">
        <f t="array" ref="M44">IF(SUMIFS(N$86:N$161,$B$86:$B$161,$A44)=0,"",SUMIFS(N$86:N$161,$B$86:$B$161,$A44,$D$86:$D$161,$C44)*INDEX($B$7:$B$9,MATCH($D44&amp;$E44,$C$7:$C$9&amp;$D$7:$D$9,0)))</f>
        <v>45892.209737226513</v>
      </c>
      <c r="N44" s="34">
        <f t="array" ref="N44">IF(SUMIFS(O$86:O$161,$B$86:$B$161,$A44)=0,"",SUMIFS(O$86:O$161,$B$86:$B$161,$A44,$D$86:$D$161,$C44)*INDEX($B$7:$B$9,MATCH($D44&amp;$E44,$C$7:$C$9&amp;$D$7:$D$9,0)))</f>
        <v>49456.595856867498</v>
      </c>
      <c r="O44" s="34">
        <f t="array" ref="O44">IF(SUMIFS(P$86:P$161,$B$86:$B$161,$A44)=0,"",SUMIFS(P$86:P$161,$B$86:$B$161,$A44,$D$86:$D$161,$C44)*INDEX($B$7:$B$9,MATCH($D44&amp;$E44,$C$7:$C$9&amp;$D$7:$D$9,0)))</f>
        <v>53020.981976508585</v>
      </c>
      <c r="P44" s="34">
        <f t="array" ref="P44">IF(SUMIFS(Q$86:Q$161,$B$86:$B$161,$A44)=0,"",SUMIFS(Q$86:Q$161,$B$86:$B$161,$A44,$D$86:$D$161,$C44)*INDEX($B$7:$B$9,MATCH($D44&amp;$E44,$C$7:$C$9&amp;$D$7:$D$9,0)))</f>
        <v>56585.368096149599</v>
      </c>
      <c r="Q44" s="34">
        <f t="array" ref="Q44">IF(SUMIFS(R$86:R$161,$B$86:$B$161,$A44)=0,"",SUMIFS(R$86:R$161,$B$86:$B$161,$A44,$D$86:$D$161,$C44)*INDEX($B$7:$B$9,MATCH($D44&amp;$E44,$C$7:$C$9&amp;$D$7:$D$9,0)))</f>
        <v>60149.754215790614</v>
      </c>
      <c r="R44" s="34">
        <f t="array" ref="R44">IF(SUMIFS(S$86:S$161,$B$86:$B$161,$A44)=0,"",SUMIFS(S$86:S$161,$B$86:$B$161,$A44,$D$86:$D$161,$C44)*INDEX($B$7:$B$9,MATCH($D44&amp;$E44,$C$7:$C$9&amp;$D$7:$D$9,0)))</f>
        <v>63714.140335431628</v>
      </c>
    </row>
    <row r="45" spans="1:18" x14ac:dyDescent="0.3">
      <c r="A45" s="3" t="s">
        <v>379</v>
      </c>
      <c r="B45" s="3" t="str">
        <f>INDEX('R1. Scenario specifications'!$C$11:$C$59,MATCH($A45,'R1. Scenario specifications'!$A$11:$A$59,0))</f>
        <v>New Policies Scenario, World Energy Outlook 2016</v>
      </c>
      <c r="C45" s="3" t="s">
        <v>256</v>
      </c>
      <c r="D45" s="3" t="str">
        <f t="array" ref="D45">INDEX($F$86:$F$161,MATCH($A45&amp;$C45,$B$86:$B$161&amp;$D$86:$D$161,0))</f>
        <v>Mtoe</v>
      </c>
      <c r="E45" s="3" t="s">
        <v>482</v>
      </c>
      <c r="F45" s="34">
        <f t="array" ref="F45">IF(SUMIFS(G$86:G$161,$B$86:$B$161,$A45)=0,"",SUMIFS(G$86:G$161,$B$86:$B$161,$A45,$D$86:$D$161,$C45)*INDEX($B$7:$B$9,MATCH($D45&amp;$E45,$C$7:$C$9&amp;$D$7:$D$9,0)))</f>
        <v>14019.60026133503</v>
      </c>
      <c r="G45" s="34" t="str">
        <f t="array" ref="G45">IF(SUMIFS(H$86:H$161,$B$86:$B$161,$A45)=0,"",SUMIFS(H$86:H$161,$B$86:$B$161,$A45,$D$86:$D$161,$C45)*INDEX($B$7:$B$9,MATCH($D45&amp;$E45,$C$7:$C$9&amp;$D$7:$D$9,0)))</f>
        <v/>
      </c>
      <c r="H45" s="34" t="str">
        <f t="array" ref="H45">IF(SUMIFS(I$86:I$161,$B$86:$B$161,$A45)=0,"",SUMIFS(I$86:I$161,$B$86:$B$161,$A45,$D$86:$D$161,$C45)*INDEX($B$7:$B$9,MATCH($D45&amp;$E45,$C$7:$C$9&amp;$D$7:$D$9,0)))</f>
        <v/>
      </c>
      <c r="I45" s="34" t="str">
        <f t="array" ref="I45">IF(SUMIFS(J$86:J$161,$B$86:$B$161,$A45)=0,"",SUMIFS(J$86:J$161,$B$86:$B$161,$A45,$D$86:$D$161,$C45)*INDEX($B$7:$B$9,MATCH($D45&amp;$E45,$C$7:$C$9&amp;$D$7:$D$9,0)))</f>
        <v/>
      </c>
      <c r="J45" s="34">
        <f t="array" ref="J45">IF(SUMIFS(K$86:K$161,$B$86:$B$161,$A45)=0,"",SUMIFS(K$86:K$161,$B$86:$B$161,$A45,$D$86:$D$161,$C45)*INDEX($B$7:$B$9,MATCH($D45&amp;$E45,$C$7:$C$9&amp;$D$7:$D$9,0)))</f>
        <v>15793.987032567697</v>
      </c>
      <c r="K45" s="34">
        <f t="array" ref="K45">IF(SUMIFS(L$86:L$161,$B$86:$B$161,$A45)=0,"",SUMIFS(L$86:L$161,$B$86:$B$161,$A45,$D$86:$D$161,$C45)*INDEX($B$7:$B$9,MATCH($D45&amp;$E45,$C$7:$C$9&amp;$D$7:$D$9,0)))</f>
        <v>17594.051448160317</v>
      </c>
      <c r="L45" s="34">
        <f t="array" ref="L45">IF(SUMIFS(M$86:M$161,$B$86:$B$161,$A45)=0,"",SUMIFS(M$86:M$161,$B$86:$B$161,$A45,$D$86:$D$161,$C45)*INDEX($B$7:$B$9,MATCH($D45&amp;$E45,$C$7:$C$9&amp;$D$7:$D$9,0)))</f>
        <v>19377.67430017858</v>
      </c>
      <c r="M45" s="34">
        <f t="array" ref="M45">IF(SUMIFS(N$86:N$161,$B$86:$B$161,$A45)=0,"",SUMIFS(N$86:N$161,$B$86:$B$161,$A45,$D$86:$D$161,$C45)*INDEX($B$7:$B$9,MATCH($D45&amp;$E45,$C$7:$C$9&amp;$D$7:$D$9,0)))</f>
        <v>21005.16719364034</v>
      </c>
      <c r="N45" s="34">
        <f t="array" ref="N45">IF(SUMIFS(O$86:O$161,$B$86:$B$161,$A45)=0,"",SUMIFS(O$86:O$161,$B$86:$B$161,$A45,$D$86:$D$161,$C45)*INDEX($B$7:$B$9,MATCH($D45&amp;$E45,$C$7:$C$9&amp;$D$7:$D$9,0)))</f>
        <v>22430.914942616746</v>
      </c>
      <c r="O45" s="34">
        <f t="array" ref="O45">IF(SUMIFS(P$86:P$161,$B$86:$B$161,$A45)=0,"",SUMIFS(P$86:P$161,$B$86:$B$161,$A45,$D$86:$D$161,$C45)*INDEX($B$7:$B$9,MATCH($D45&amp;$E45,$C$7:$C$9&amp;$D$7:$D$9,0)))</f>
        <v>23856.662691593221</v>
      </c>
      <c r="P45" s="34">
        <f t="array" ref="P45">IF(SUMIFS(Q$86:Q$161,$B$86:$B$161,$A45)=0,"",SUMIFS(Q$86:Q$161,$B$86:$B$161,$A45,$D$86:$D$161,$C45)*INDEX($B$7:$B$9,MATCH($D45&amp;$E45,$C$7:$C$9&amp;$D$7:$D$9,0)))</f>
        <v>25282.410440569576</v>
      </c>
      <c r="Q45" s="34">
        <f t="array" ref="Q45">IF(SUMIFS(R$86:R$161,$B$86:$B$161,$A45)=0,"",SUMIFS(R$86:R$161,$B$86:$B$161,$A45,$D$86:$D$161,$C45)*INDEX($B$7:$B$9,MATCH($D45&amp;$E45,$C$7:$C$9&amp;$D$7:$D$9,0)))</f>
        <v>26708.158189546008</v>
      </c>
      <c r="R45" s="34">
        <f t="array" ref="R45">IF(SUMIFS(S$86:S$161,$B$86:$B$161,$A45)=0,"",SUMIFS(S$86:S$161,$B$86:$B$161,$A45,$D$86:$D$161,$C45)*INDEX($B$7:$B$9,MATCH($D45&amp;$E45,$C$7:$C$9&amp;$D$7:$D$9,0)))</f>
        <v>28133.905938522443</v>
      </c>
    </row>
    <row r="46" spans="1:18" x14ac:dyDescent="0.3">
      <c r="A46" s="3" t="s">
        <v>379</v>
      </c>
      <c r="B46" s="3" t="str">
        <f>INDEX('R1. Scenario specifications'!$C$11:$C$59,MATCH($A46,'R1. Scenario specifications'!$A$11:$A$59,0))</f>
        <v>New Policies Scenario, World Energy Outlook 2016</v>
      </c>
      <c r="C46" s="3" t="s">
        <v>253</v>
      </c>
      <c r="D46" s="3" t="str">
        <f t="array" ref="D46">INDEX($F$86:$F$161,MATCH($A46&amp;$C46,$B$86:$B$161&amp;$D$86:$D$161,0))</f>
        <v>Mtoe</v>
      </c>
      <c r="E46" s="3" t="s">
        <v>482</v>
      </c>
      <c r="F46" s="34">
        <f t="array" ref="F46">IF(SUMIFS(G$86:G$161,$B$86:$B$161,$A46)=0,"",SUMIFS(G$86:G$161,$B$86:$B$161,$A46,$D$86:$D$161,$C46)*INDEX($B$7:$B$9,MATCH($D46&amp;$E46,$C$7:$C$9&amp;$D$7:$D$9,0)))</f>
        <v>59494.884268411777</v>
      </c>
      <c r="G46" s="34" t="str">
        <f t="array" ref="G46">IF(SUMIFS(H$86:H$161,$B$86:$B$161,$A46)=0,"",SUMIFS(H$86:H$161,$B$86:$B$161,$A46,$D$86:$D$161,$C46)*INDEX($B$7:$B$9,MATCH($D46&amp;$E46,$C$7:$C$9&amp;$D$7:$D$9,0)))</f>
        <v/>
      </c>
      <c r="H46" s="34" t="str">
        <f t="array" ref="H46">IF(SUMIFS(I$86:I$161,$B$86:$B$161,$A46)=0,"",SUMIFS(I$86:I$161,$B$86:$B$161,$A46,$D$86:$D$161,$C46)*INDEX($B$7:$B$9,MATCH($D46&amp;$E46,$C$7:$C$9&amp;$D$7:$D$9,0)))</f>
        <v/>
      </c>
      <c r="I46" s="34" t="str">
        <f t="array" ref="I46">IF(SUMIFS(J$86:J$161,$B$86:$B$161,$A46)=0,"",SUMIFS(J$86:J$161,$B$86:$B$161,$A46,$D$86:$D$161,$C46)*INDEX($B$7:$B$9,MATCH($D46&amp;$E46,$C$7:$C$9&amp;$D$7:$D$9,0)))</f>
        <v/>
      </c>
      <c r="J46" s="34">
        <f t="array" ref="J46">IF(SUMIFS(K$86:K$161,$B$86:$B$161,$A46)=0,"",SUMIFS(K$86:K$161,$B$86:$B$161,$A46,$D$86:$D$161,$C46)*INDEX($B$7:$B$9,MATCH($D46&amp;$E46,$C$7:$C$9&amp;$D$7:$D$9,0)))</f>
        <v>64608.784131636137</v>
      </c>
      <c r="K46" s="34">
        <f t="array" ref="K46">IF(SUMIFS(L$86:L$161,$B$86:$B$161,$A46)=0,"",SUMIFS(L$86:L$161,$B$86:$B$161,$A46,$D$86:$D$161,$C46)*INDEX($B$7:$B$9,MATCH($D46&amp;$E46,$C$7:$C$9&amp;$D$7:$D$9,0)))</f>
        <v>68349.773661801693</v>
      </c>
      <c r="L46" s="34">
        <f t="array" ref="L46">IF(SUMIFS(M$86:M$161,$B$86:$B$161,$A46)=0,"",SUMIFS(M$86:M$161,$B$86:$B$161,$A46,$D$86:$D$161,$C46)*INDEX($B$7:$B$9,MATCH($D46&amp;$E46,$C$7:$C$9&amp;$D$7:$D$9,0)))</f>
        <v>72050.285209630369</v>
      </c>
      <c r="M46" s="34">
        <f t="array" ref="M46">IF(SUMIFS(N$86:N$161,$B$86:$B$161,$A46)=0,"",SUMIFS(N$86:N$161,$B$86:$B$161,$A46,$D$86:$D$161,$C46)*INDEX($B$7:$B$9,MATCH($D46&amp;$E46,$C$7:$C$9&amp;$D$7:$D$9,0)))</f>
        <v>75542.072217384586</v>
      </c>
      <c r="N46" s="34">
        <f t="array" ref="N46">IF(SUMIFS(O$86:O$161,$B$86:$B$161,$A46)=0,"",SUMIFS(O$86:O$161,$B$86:$B$161,$A46,$D$86:$D$161,$C46)*INDEX($B$7:$B$9,MATCH($D46&amp;$E46,$C$7:$C$9&amp;$D$7:$D$9,0)))</f>
        <v>78845.068039833233</v>
      </c>
      <c r="O46" s="34">
        <f t="array" ref="O46">IF(SUMIFS(P$86:P$161,$B$86:$B$161,$A46)=0,"",SUMIFS(P$86:P$161,$B$86:$B$161,$A46,$D$86:$D$161,$C46)*INDEX($B$7:$B$9,MATCH($D46&amp;$E46,$C$7:$C$9&amp;$D$7:$D$9,0)))</f>
        <v>82148.063862281953</v>
      </c>
      <c r="P46" s="34">
        <f t="array" ref="P46">IF(SUMIFS(Q$86:Q$161,$B$86:$B$161,$A46)=0,"",SUMIFS(Q$86:Q$161,$B$86:$B$161,$A46,$D$86:$D$161,$C46)*INDEX($B$7:$B$9,MATCH($D46&amp;$E46,$C$7:$C$9&amp;$D$7:$D$9,0)))</f>
        <v>85451.059684730601</v>
      </c>
      <c r="Q46" s="34">
        <f t="array" ref="Q46">IF(SUMIFS(R$86:R$161,$B$86:$B$161,$A46)=0,"",SUMIFS(R$86:R$161,$B$86:$B$161,$A46,$D$86:$D$161,$C46)*INDEX($B$7:$B$9,MATCH($D46&amp;$E46,$C$7:$C$9&amp;$D$7:$D$9,0)))</f>
        <v>88754.055507179233</v>
      </c>
      <c r="R46" s="34">
        <f t="array" ref="R46">IF(SUMIFS(S$86:S$161,$B$86:$B$161,$A46)=0,"",SUMIFS(S$86:S$161,$B$86:$B$161,$A46,$D$86:$D$161,$C46)*INDEX($B$7:$B$9,MATCH($D46&amp;$E46,$C$7:$C$9&amp;$D$7:$D$9,0)))</f>
        <v>92057.05132962788</v>
      </c>
    </row>
    <row r="47" spans="1:18" x14ac:dyDescent="0.3">
      <c r="A47" s="3" t="s">
        <v>379</v>
      </c>
      <c r="B47" s="3" t="str">
        <f>INDEX('R1. Scenario specifications'!$C$11:$C$59,MATCH($A47,'R1. Scenario specifications'!$A$11:$A$59,0))</f>
        <v>New Policies Scenario, World Energy Outlook 2016</v>
      </c>
      <c r="C47" s="3" t="s">
        <v>461</v>
      </c>
      <c r="D47" s="3" t="str">
        <f t="array" ref="D47">INDEX($F$86:$F$161,MATCH($A47&amp;$C47,$B$86:$B$161&amp;$D$86:$D$161,0))</f>
        <v>Mtoe</v>
      </c>
      <c r="E47" s="3" t="s">
        <v>482</v>
      </c>
      <c r="F47" s="34">
        <f t="array" ref="F47">IF(SUMIFS(G$86:G$161,$B$86:$B$161,$A47)=0,"",SUMIFS(G$86:G$161,$B$86:$B$161,$A47,$D$86:$D$161,$C47)*INDEX($B$7:$B$9,MATCH($D47&amp;$E47,$C$7:$C$9&amp;$D$7:$D$9,0)))</f>
        <v>7571.9366449908075</v>
      </c>
      <c r="G47" s="34" t="str">
        <f t="array" ref="G47">IF(SUMIFS(H$86:H$161,$B$86:$B$161,$A47)=0,"",SUMIFS(H$86:H$161,$B$86:$B$161,$A47,$D$86:$D$161,$C47)*INDEX($B$7:$B$9,MATCH($D47&amp;$E47,$C$7:$C$9&amp;$D$7:$D$9,0)))</f>
        <v/>
      </c>
      <c r="H47" s="34" t="str">
        <f t="array" ref="H47">IF(SUMIFS(I$86:I$161,$B$86:$B$161,$A47)=0,"",SUMIFS(I$86:I$161,$B$86:$B$161,$A47,$D$86:$D$161,$C47)*INDEX($B$7:$B$9,MATCH($D47&amp;$E47,$C$7:$C$9&amp;$D$7:$D$9,0)))</f>
        <v/>
      </c>
      <c r="I47" s="34" t="str">
        <f t="array" ref="I47">IF(SUMIFS(J$86:J$161,$B$86:$B$161,$A47)=0,"",SUMIFS(J$86:J$161,$B$86:$B$161,$A47,$D$86:$D$161,$C47)*INDEX($B$7:$B$9,MATCH($D47&amp;$E47,$C$7:$C$9&amp;$D$7:$D$9,0)))</f>
        <v/>
      </c>
      <c r="J47" s="34">
        <f t="array" ref="J47">IF(SUMIFS(K$86:K$161,$B$86:$B$161,$A47)=0,"",SUMIFS(K$86:K$161,$B$86:$B$161,$A47,$D$86:$D$161,$C47)*INDEX($B$7:$B$9,MATCH($D47&amp;$E47,$C$7:$C$9&amp;$D$7:$D$9,0)))</f>
        <v>14185.029102677028</v>
      </c>
      <c r="K47" s="34">
        <f t="array" ref="K47">IF(SUMIFS(L$86:L$161,$B$86:$B$161,$A47)=0,"",SUMIFS(L$86:L$161,$B$86:$B$161,$A47,$D$86:$D$161,$C47)*INDEX($B$7:$B$9,MATCH($D47&amp;$E47,$C$7:$C$9&amp;$D$7:$D$9,0)))</f>
        <v>20017.819271980206</v>
      </c>
      <c r="L47" s="34">
        <f t="array" ref="L47">IF(SUMIFS(M$86:M$161,$B$86:$B$161,$A47)=0,"",SUMIFS(M$86:M$161,$B$86:$B$161,$A47,$D$86:$D$161,$C47)*INDEX($B$7:$B$9,MATCH($D47&amp;$E47,$C$7:$C$9&amp;$D$7:$D$9,0)))</f>
        <v>26928.769054801891</v>
      </c>
      <c r="M47" s="34">
        <f t="array" ref="M47">IF(SUMIFS(N$86:N$161,$B$86:$B$161,$A47)=0,"",SUMIFS(N$86:N$161,$B$86:$B$161,$A47,$D$86:$D$161,$C47)*INDEX($B$7:$B$9,MATCH($D47&amp;$E47,$C$7:$C$9&amp;$D$7:$D$9,0)))</f>
        <v>34973.437287055429</v>
      </c>
      <c r="N47" s="34">
        <f t="array" ref="N47">IF(SUMIFS(O$86:O$161,$B$86:$B$161,$A47)=0,"",SUMIFS(O$86:O$161,$B$86:$B$161,$A47,$D$86:$D$161,$C47)*INDEX($B$7:$B$9,MATCH($D47&amp;$E47,$C$7:$C$9&amp;$D$7:$D$9,0)))</f>
        <v>43398.400936315855</v>
      </c>
      <c r="O47" s="34">
        <f t="array" ref="O47">IF(SUMIFS(P$86:P$161,$B$86:$B$161,$A47)=0,"",SUMIFS(P$86:P$161,$B$86:$B$161,$A47,$D$86:$D$161,$C47)*INDEX($B$7:$B$9,MATCH($D47&amp;$E47,$C$7:$C$9&amp;$D$7:$D$9,0)))</f>
        <v>51823.364585575837</v>
      </c>
      <c r="P47" s="34">
        <f t="array" ref="P47">IF(SUMIFS(Q$86:Q$161,$B$86:$B$161,$A47)=0,"",SUMIFS(Q$86:Q$161,$B$86:$B$161,$A47,$D$86:$D$161,$C47)*INDEX($B$7:$B$9,MATCH($D47&amp;$E47,$C$7:$C$9&amp;$D$7:$D$9,0)))</f>
        <v>60248.32823483643</v>
      </c>
      <c r="Q47" s="34">
        <f t="array" ref="Q47">IF(SUMIFS(R$86:R$161,$B$86:$B$161,$A47)=0,"",SUMIFS(R$86:R$161,$B$86:$B$161,$A47,$D$86:$D$161,$C47)*INDEX($B$7:$B$9,MATCH($D47&amp;$E47,$C$7:$C$9&amp;$D$7:$D$9,0)))</f>
        <v>68673.291884097023</v>
      </c>
      <c r="R47" s="34">
        <f t="array" ref="R47">IF(SUMIFS(S$86:S$161,$B$86:$B$161,$A47)=0,"",SUMIFS(S$86:S$161,$B$86:$B$161,$A47,$D$86:$D$161,$C47)*INDEX($B$7:$B$9,MATCH($D47&amp;$E47,$C$7:$C$9&amp;$D$7:$D$9,0)))</f>
        <v>77098.255533357005</v>
      </c>
    </row>
    <row r="48" spans="1:18" x14ac:dyDescent="0.3">
      <c r="A48" s="3" t="s">
        <v>380</v>
      </c>
      <c r="B48" s="3" t="str">
        <f>INDEX('R1. Scenario specifications'!$C$11:$C$59,MATCH($A48,'R1. Scenario specifications'!$A$11:$A$59,0))</f>
        <v>450 Scenario, World Energy Outlook 2016</v>
      </c>
      <c r="C48" s="3" t="s">
        <v>254</v>
      </c>
      <c r="D48" s="3" t="str">
        <f t="array" ref="D48">INDEX($F$86:$F$161,MATCH($A48&amp;$C48,$B$86:$B$161&amp;$D$86:$D$161,0))</f>
        <v>Mtoe</v>
      </c>
      <c r="E48" s="3" t="s">
        <v>482</v>
      </c>
      <c r="F48" s="34">
        <f t="array" ref="F48">IF(SUMIFS(G$86:G$161,$B$86:$B$161,$A48)=0,"",SUMIFS(G$86:G$161,$B$86:$B$161,$A48,$D$86:$D$161,$C48)*INDEX($B$7:$B$9,MATCH($D48&amp;$E48,$C$7:$C$9&amp;$D$7:$D$9,0)))</f>
        <v>164381.98643202987</v>
      </c>
      <c r="G48" s="34" t="str">
        <f t="array" ref="G48">IF(SUMIFS(H$86:H$161,$B$86:$B$161,$A48)=0,"",SUMIFS(H$86:H$161,$B$86:$B$161,$A48,$D$86:$D$161,$C48)*INDEX($B$7:$B$9,MATCH($D48&amp;$E48,$C$7:$C$9&amp;$D$7:$D$9,0)))</f>
        <v/>
      </c>
      <c r="H48" s="34" t="str">
        <f t="array" ref="H48">IF(SUMIFS(I$86:I$161,$B$86:$B$161,$A48)=0,"",SUMIFS(I$86:I$161,$B$86:$B$161,$A48,$D$86:$D$161,$C48)*INDEX($B$7:$B$9,MATCH($D48&amp;$E48,$C$7:$C$9&amp;$D$7:$D$9,0)))</f>
        <v/>
      </c>
      <c r="I48" s="34" t="str">
        <f t="array" ref="I48">IF(SUMIFS(J$86:J$161,$B$86:$B$161,$A48)=0,"",SUMIFS(J$86:J$161,$B$86:$B$161,$A48,$D$86:$D$161,$C48)*INDEX($B$7:$B$9,MATCH($D48&amp;$E48,$C$7:$C$9&amp;$D$7:$D$9,0)))</f>
        <v/>
      </c>
      <c r="J48" s="34">
        <f t="array" ref="J48">IF(SUMIFS(K$86:K$161,$B$86:$B$161,$A48)=0,"",SUMIFS(K$86:K$161,$B$86:$B$161,$A48,$D$86:$D$161,$C48)*INDEX($B$7:$B$9,MATCH($D48&amp;$E48,$C$7:$C$9&amp;$D$7:$D$9,0)))</f>
        <v>151652.52346788271</v>
      </c>
      <c r="K48" s="34" t="str">
        <f t="array" ref="K48">IF(SUMIFS(L$86:L$161,$B$86:$B$161,$A48)=0,"",SUMIFS(L$86:L$161,$B$86:$B$161,$A48,$D$86:$D$161,$C48)*INDEX($B$7:$B$9,MATCH($D48&amp;$E48,$C$7:$C$9&amp;$D$7:$D$9,0)))</f>
        <v/>
      </c>
      <c r="L48" s="34">
        <f t="array" ref="L48">IF(SUMIFS(M$86:M$161,$B$86:$B$161,$A48)=0,"",SUMIFS(M$86:M$161,$B$86:$B$161,$A48,$D$86:$D$161,$C48)*INDEX($B$7:$B$9,MATCH($D48&amp;$E48,$C$7:$C$9&amp;$D$7:$D$9,0)))</f>
        <v>110955.48356855383</v>
      </c>
      <c r="M48" s="34" t="str">
        <f t="array" ref="M48">IF(SUMIFS(N$86:N$161,$B$86:$B$161,$A48)=0,"",SUMIFS(N$86:N$161,$B$86:$B$161,$A48,$D$86:$D$161,$C48)*INDEX($B$7:$B$9,MATCH($D48&amp;$E48,$C$7:$C$9&amp;$D$7:$D$9,0)))</f>
        <v/>
      </c>
      <c r="N48" s="34">
        <f t="array" ref="N48">IF(SUMIFS(O$86:O$161,$B$86:$B$161,$A48)=0,"",SUMIFS(O$86:O$161,$B$86:$B$161,$A48,$D$86:$D$161,$C48)*INDEX($B$7:$B$9,MATCH($D48&amp;$E48,$C$7:$C$9&amp;$D$7:$D$9,0)))</f>
        <v>83755.518730974902</v>
      </c>
      <c r="O48" s="34">
        <f t="array" ref="O48">IF(SUMIFS(P$86:P$161,$B$86:$B$161,$A48)=0,"",SUMIFS(P$86:P$161,$B$86:$B$161,$A48,$D$86:$D$161,$C48)*INDEX($B$7:$B$9,MATCH($D48&amp;$E48,$C$7:$C$9&amp;$D$7:$D$9,0)))</f>
        <v>70155.536312185417</v>
      </c>
      <c r="P48" s="34">
        <f t="array" ref="P48">IF(SUMIFS(Q$86:Q$161,$B$86:$B$161,$A48)=0,"",SUMIFS(Q$86:Q$161,$B$86:$B$161,$A48,$D$86:$D$161,$C48)*INDEX($B$7:$B$9,MATCH($D48&amp;$E48,$C$7:$C$9&amp;$D$7:$D$9,0)))</f>
        <v>56555.553893395954</v>
      </c>
      <c r="Q48" s="34">
        <f t="array" ref="Q48">IF(SUMIFS(R$86:R$161,$B$86:$B$161,$A48)=0,"",SUMIFS(R$86:R$161,$B$86:$B$161,$A48,$D$86:$D$161,$C48)*INDEX($B$7:$B$9,MATCH($D48&amp;$E48,$C$7:$C$9&amp;$D$7:$D$9,0)))</f>
        <v>42955.571474606491</v>
      </c>
      <c r="R48" s="34">
        <f t="array" ref="R48">IF(SUMIFS(S$86:S$161,$B$86:$B$161,$A48)=0,"",SUMIFS(S$86:S$161,$B$86:$B$161,$A48,$D$86:$D$161,$C48)*INDEX($B$7:$B$9,MATCH($D48&amp;$E48,$C$7:$C$9&amp;$D$7:$D$9,0)))</f>
        <v>29355.589055817018</v>
      </c>
    </row>
    <row r="49" spans="1:18" x14ac:dyDescent="0.3">
      <c r="A49" s="3" t="s">
        <v>380</v>
      </c>
      <c r="B49" s="3" t="str">
        <f>INDEX('R1. Scenario specifications'!$C$11:$C$59,MATCH($A49,'R1. Scenario specifications'!$A$11:$A$59,0))</f>
        <v>450 Scenario, World Energy Outlook 2016</v>
      </c>
      <c r="C49" s="3" t="s">
        <v>266</v>
      </c>
      <c r="D49" s="3" t="str">
        <f t="array" ref="D49">INDEX($F$86:$F$161,MATCH($A49&amp;$C49,$B$86:$B$161&amp;$D$86:$D$161,0))</f>
        <v>Mtoe</v>
      </c>
      <c r="E49" s="3" t="s">
        <v>482</v>
      </c>
      <c r="F49" s="34">
        <f t="array" ref="F49">IF(SUMIFS(G$86:G$161,$B$86:$B$161,$A49)=0,"",SUMIFS(G$86:G$161,$B$86:$B$161,$A49,$D$86:$D$161,$C49)*INDEX($B$7:$B$9,MATCH($D49&amp;$E49,$C$7:$C$9&amp;$D$7:$D$9,0)))</f>
        <v>178601.82877665258</v>
      </c>
      <c r="G49" s="34" t="str">
        <f t="array" ref="G49">IF(SUMIFS(H$86:H$161,$B$86:$B$161,$A49)=0,"",SUMIFS(H$86:H$161,$B$86:$B$161,$A49,$D$86:$D$161,$C49)*INDEX($B$7:$B$9,MATCH($D49&amp;$E49,$C$7:$C$9&amp;$D$7:$D$9,0)))</f>
        <v/>
      </c>
      <c r="H49" s="34" t="str">
        <f t="array" ref="H49">IF(SUMIFS(I$86:I$161,$B$86:$B$161,$A49)=0,"",SUMIFS(I$86:I$161,$B$86:$B$161,$A49,$D$86:$D$161,$C49)*INDEX($B$7:$B$9,MATCH($D49&amp;$E49,$C$7:$C$9&amp;$D$7:$D$9,0)))</f>
        <v/>
      </c>
      <c r="I49" s="34" t="str">
        <f t="array" ref="I49">IF(SUMIFS(J$86:J$161,$B$86:$B$161,$A49)=0,"",SUMIFS(J$86:J$161,$B$86:$B$161,$A49,$D$86:$D$161,$C49)*INDEX($B$7:$B$9,MATCH($D49&amp;$E49,$C$7:$C$9&amp;$D$7:$D$9,0)))</f>
        <v/>
      </c>
      <c r="J49" s="34">
        <f t="array" ref="J49">IF(SUMIFS(K$86:K$161,$B$86:$B$161,$A49)=0,"",SUMIFS(K$86:K$161,$B$86:$B$161,$A49,$D$86:$D$161,$C49)*INDEX($B$7:$B$9,MATCH($D49&amp;$E49,$C$7:$C$9&amp;$D$7:$D$9,0)))</f>
        <v>181897.32185351296</v>
      </c>
      <c r="K49" s="34" t="str">
        <f t="array" ref="K49">IF(SUMIFS(L$86:L$161,$B$86:$B$161,$A49)=0,"",SUMIFS(L$86:L$161,$B$86:$B$161,$A49,$D$86:$D$161,$C49)*INDEX($B$7:$B$9,MATCH($D49&amp;$E49,$C$7:$C$9&amp;$D$7:$D$9,0)))</f>
        <v/>
      </c>
      <c r="L49" s="34">
        <f t="array" ref="L49">IF(SUMIFS(M$86:M$161,$B$86:$B$161,$A49)=0,"",SUMIFS(M$86:M$161,$B$86:$B$161,$A49,$D$86:$D$161,$C49)*INDEX($B$7:$B$9,MATCH($D49&amp;$E49,$C$7:$C$9&amp;$D$7:$D$9,0)))</f>
        <v>162570.45018445511</v>
      </c>
      <c r="M49" s="34" t="str">
        <f t="array" ref="M49">IF(SUMIFS(N$86:N$161,$B$86:$B$161,$A49)=0,"",SUMIFS(N$86:N$161,$B$86:$B$161,$A49,$D$86:$D$161,$C49)*INDEX($B$7:$B$9,MATCH($D49&amp;$E49,$C$7:$C$9&amp;$D$7:$D$9,0)))</f>
        <v/>
      </c>
      <c r="N49" s="34">
        <f t="array" ref="N49">IF(SUMIFS(O$86:O$161,$B$86:$B$161,$A49)=0,"",SUMIFS(O$86:O$161,$B$86:$B$161,$A49,$D$86:$D$161,$C49)*INDEX($B$7:$B$9,MATCH($D49&amp;$E49,$C$7:$C$9&amp;$D$7:$D$9,0)))</f>
        <v>139255.00675441787</v>
      </c>
      <c r="O49" s="34">
        <f t="array" ref="O49">IF(SUMIFS(P$86:P$161,$B$86:$B$161,$A49)=0,"",SUMIFS(P$86:P$161,$B$86:$B$161,$A49,$D$86:$D$161,$C49)*INDEX($B$7:$B$9,MATCH($D49&amp;$E49,$C$7:$C$9&amp;$D$7:$D$9,0)))</f>
        <v>127597.28503939927</v>
      </c>
      <c r="P49" s="34">
        <f t="array" ref="P49">IF(SUMIFS(Q$86:Q$161,$B$86:$B$161,$A49)=0,"",SUMIFS(Q$86:Q$161,$B$86:$B$161,$A49,$D$86:$D$161,$C49)*INDEX($B$7:$B$9,MATCH($D49&amp;$E49,$C$7:$C$9&amp;$D$7:$D$9,0)))</f>
        <v>115939.56332438064</v>
      </c>
      <c r="Q49" s="34">
        <f t="array" ref="Q49">IF(SUMIFS(R$86:R$161,$B$86:$B$161,$A49)=0,"",SUMIFS(R$86:R$161,$B$86:$B$161,$A49,$D$86:$D$161,$C49)*INDEX($B$7:$B$9,MATCH($D49&amp;$E49,$C$7:$C$9&amp;$D$7:$D$9,0)))</f>
        <v>104281.84160936202</v>
      </c>
      <c r="R49" s="34">
        <f t="array" ref="R49">IF(SUMIFS(S$86:S$161,$B$86:$B$161,$A49)=0,"",SUMIFS(S$86:S$161,$B$86:$B$161,$A49,$D$86:$D$161,$C49)*INDEX($B$7:$B$9,MATCH($D49&amp;$E49,$C$7:$C$9&amp;$D$7:$D$9,0)))</f>
        <v>92624.119894343399</v>
      </c>
    </row>
    <row r="50" spans="1:18" x14ac:dyDescent="0.3">
      <c r="A50" s="3" t="s">
        <v>380</v>
      </c>
      <c r="B50" s="3" t="str">
        <f>INDEX('R1. Scenario specifications'!$C$11:$C$59,MATCH($A50,'R1. Scenario specifications'!$A$11:$A$59,0))</f>
        <v>450 Scenario, World Energy Outlook 2016</v>
      </c>
      <c r="C50" s="3" t="s">
        <v>255</v>
      </c>
      <c r="D50" s="3" t="str">
        <f t="array" ref="D50">INDEX($F$86:$F$161,MATCH($A50&amp;$C50,$B$86:$B$161&amp;$D$86:$D$161,0))</f>
        <v>Mtoe</v>
      </c>
      <c r="E50" s="3" t="s">
        <v>482</v>
      </c>
      <c r="F50" s="34">
        <f t="array" ref="F50">IF(SUMIFS(G$86:G$161,$B$86:$B$161,$A50)=0,"",SUMIFS(G$86:G$161,$B$86:$B$161,$A50,$D$86:$D$161,$C50)*INDEX($B$7:$B$9,MATCH($D50&amp;$E50,$C$7:$C$9&amp;$D$7:$D$9,0)))</f>
        <v>121123.52928549574</v>
      </c>
      <c r="G50" s="34" t="str">
        <f t="array" ref="G50">IF(SUMIFS(H$86:H$161,$B$86:$B$161,$A50)=0,"",SUMIFS(H$86:H$161,$B$86:$B$161,$A50,$D$86:$D$161,$C50)*INDEX($B$7:$B$9,MATCH($D50&amp;$E50,$C$7:$C$9&amp;$D$7:$D$9,0)))</f>
        <v/>
      </c>
      <c r="H50" s="34" t="str">
        <f t="array" ref="H50">IF(SUMIFS(I$86:I$161,$B$86:$B$161,$A50)=0,"",SUMIFS(I$86:I$161,$B$86:$B$161,$A50,$D$86:$D$161,$C50)*INDEX($B$7:$B$9,MATCH($D50&amp;$E50,$C$7:$C$9&amp;$D$7:$D$9,0)))</f>
        <v/>
      </c>
      <c r="I50" s="34" t="str">
        <f t="array" ref="I50">IF(SUMIFS(J$86:J$161,$B$86:$B$161,$A50)=0,"",SUMIFS(J$86:J$161,$B$86:$B$161,$A50,$D$86:$D$161,$C50)*INDEX($B$7:$B$9,MATCH($D50&amp;$E50,$C$7:$C$9&amp;$D$7:$D$9,0)))</f>
        <v/>
      </c>
      <c r="J50" s="34">
        <f t="array" ref="J50">IF(SUMIFS(K$86:K$161,$B$86:$B$161,$A50)=0,"",SUMIFS(K$86:K$161,$B$86:$B$161,$A50,$D$86:$D$161,$C50)*INDEX($B$7:$B$9,MATCH($D50&amp;$E50,$C$7:$C$9&amp;$D$7:$D$9,0)))</f>
        <v>131284.29415724901</v>
      </c>
      <c r="K50" s="34" t="str">
        <f t="array" ref="K50">IF(SUMIFS(L$86:L$161,$B$86:$B$161,$A50)=0,"",SUMIFS(L$86:L$161,$B$86:$B$161,$A50,$D$86:$D$161,$C50)*INDEX($B$7:$B$9,MATCH($D50&amp;$E50,$C$7:$C$9&amp;$D$7:$D$9,0)))</f>
        <v/>
      </c>
      <c r="L50" s="34">
        <f t="array" ref="L50">IF(SUMIFS(M$86:M$161,$B$86:$B$161,$A50)=0,"",SUMIFS(M$86:M$161,$B$86:$B$161,$A50,$D$86:$D$161,$C50)*INDEX($B$7:$B$9,MATCH($D50&amp;$E50,$C$7:$C$9&amp;$D$7:$D$9,0)))</f>
        <v>140214.93113612078</v>
      </c>
      <c r="M50" s="34" t="str">
        <f t="array" ref="M50">IF(SUMIFS(N$86:N$161,$B$86:$B$161,$A50)=0,"",SUMIFS(N$86:N$161,$B$86:$B$161,$A50,$D$86:$D$161,$C50)*INDEX($B$7:$B$9,MATCH($D50&amp;$E50,$C$7:$C$9&amp;$D$7:$D$9,0)))</f>
        <v/>
      </c>
      <c r="N50" s="34">
        <f t="array" ref="N50">IF(SUMIFS(O$86:O$161,$B$86:$B$161,$A50)=0,"",SUMIFS(O$86:O$161,$B$86:$B$161,$A50,$D$86:$D$161,$C50)*INDEX($B$7:$B$9,MATCH($D50&amp;$E50,$C$7:$C$9&amp;$D$7:$D$9,0)))</f>
        <v>138194.99691887107</v>
      </c>
      <c r="O50" s="34">
        <f t="array" ref="O50">IF(SUMIFS(P$86:P$161,$B$86:$B$161,$A50)=0,"",SUMIFS(P$86:P$161,$B$86:$B$161,$A50,$D$86:$D$161,$C50)*INDEX($B$7:$B$9,MATCH($D50&amp;$E50,$C$7:$C$9&amp;$D$7:$D$9,0)))</f>
        <v>137185.02981024623</v>
      </c>
      <c r="P50" s="34">
        <f t="array" ref="P50">IF(SUMIFS(Q$86:Q$161,$B$86:$B$161,$A50)=0,"",SUMIFS(Q$86:Q$161,$B$86:$B$161,$A50,$D$86:$D$161,$C50)*INDEX($B$7:$B$9,MATCH($D50&amp;$E50,$C$7:$C$9&amp;$D$7:$D$9,0)))</f>
        <v>136175.06270162135</v>
      </c>
      <c r="Q50" s="34">
        <f t="array" ref="Q50">IF(SUMIFS(R$86:R$161,$B$86:$B$161,$A50)=0,"",SUMIFS(R$86:R$161,$B$86:$B$161,$A50,$D$86:$D$161,$C50)*INDEX($B$7:$B$9,MATCH($D50&amp;$E50,$C$7:$C$9&amp;$D$7:$D$9,0)))</f>
        <v>135165.09559299648</v>
      </c>
      <c r="R50" s="34">
        <f t="array" ref="R50">IF(SUMIFS(S$86:S$161,$B$86:$B$161,$A50)=0,"",SUMIFS(S$86:S$161,$B$86:$B$161,$A50,$D$86:$D$161,$C50)*INDEX($B$7:$B$9,MATCH($D50&amp;$E50,$C$7:$C$9&amp;$D$7:$D$9,0)))</f>
        <v>134155.12848437164</v>
      </c>
    </row>
    <row r="51" spans="1:18" x14ac:dyDescent="0.3">
      <c r="A51" s="3" t="s">
        <v>380</v>
      </c>
      <c r="B51" s="3" t="str">
        <f>INDEX('R1. Scenario specifications'!$C$11:$C$59,MATCH($A51,'R1. Scenario specifications'!$A$11:$A$59,0))</f>
        <v>450 Scenario, World Energy Outlook 2016</v>
      </c>
      <c r="C51" s="3" t="s">
        <v>257</v>
      </c>
      <c r="D51" s="3" t="str">
        <f t="array" ref="D51">INDEX($F$86:$F$161,MATCH($A51&amp;$C51,$B$86:$B$161&amp;$D$86:$D$161,0))</f>
        <v>Mtoe</v>
      </c>
      <c r="E51" s="3" t="s">
        <v>482</v>
      </c>
      <c r="F51" s="34">
        <f t="array" ref="F51">IF(SUMIFS(G$86:G$161,$B$86:$B$161,$A51)=0,"",SUMIFS(G$86:G$161,$B$86:$B$161,$A51,$D$86:$D$161,$C51)*INDEX($B$7:$B$9,MATCH($D51&amp;$E51,$C$7:$C$9&amp;$D$7:$D$9,0)))</f>
        <v>27731.382800350137</v>
      </c>
      <c r="G51" s="34" t="str">
        <f t="array" ref="G51">IF(SUMIFS(H$86:H$161,$B$86:$B$161,$A51)=0,"",SUMIFS(H$86:H$161,$B$86:$B$161,$A51,$D$86:$D$161,$C51)*INDEX($B$7:$B$9,MATCH($D51&amp;$E51,$C$7:$C$9&amp;$D$7:$D$9,0)))</f>
        <v/>
      </c>
      <c r="H51" s="34" t="str">
        <f t="array" ref="H51">IF(SUMIFS(I$86:I$161,$B$86:$B$161,$A51)=0,"",SUMIFS(I$86:I$161,$B$86:$B$161,$A51,$D$86:$D$161,$C51)*INDEX($B$7:$B$9,MATCH($D51&amp;$E51,$C$7:$C$9&amp;$D$7:$D$9,0)))</f>
        <v/>
      </c>
      <c r="I51" s="34" t="str">
        <f t="array" ref="I51">IF(SUMIFS(J$86:J$161,$B$86:$B$161,$A51)=0,"",SUMIFS(J$86:J$161,$B$86:$B$161,$A51,$D$86:$D$161,$C51)*INDEX($B$7:$B$9,MATCH($D51&amp;$E51,$C$7:$C$9&amp;$D$7:$D$9,0)))</f>
        <v/>
      </c>
      <c r="J51" s="34">
        <f t="array" ref="J51">IF(SUMIFS(K$86:K$161,$B$86:$B$161,$A51)=0,"",SUMIFS(K$86:K$161,$B$86:$B$161,$A51,$D$86:$D$161,$C51)*INDEX($B$7:$B$9,MATCH($D51&amp;$E51,$C$7:$C$9&amp;$D$7:$D$9,0)))</f>
        <v>34137.873425558573</v>
      </c>
      <c r="K51" s="34" t="str">
        <f t="array" ref="K51">IF(SUMIFS(L$86:L$161,$B$86:$B$161,$A51)=0,"",SUMIFS(L$86:L$161,$B$86:$B$161,$A51,$D$86:$D$161,$C51)*INDEX($B$7:$B$9,MATCH($D51&amp;$E51,$C$7:$C$9&amp;$D$7:$D$9,0)))</f>
        <v/>
      </c>
      <c r="L51" s="34">
        <f t="array" ref="L51">IF(SUMIFS(M$86:M$161,$B$86:$B$161,$A51)=0,"",SUMIFS(M$86:M$161,$B$86:$B$161,$A51,$D$86:$D$161,$C51)*INDEX($B$7:$B$9,MATCH($D51&amp;$E51,$C$7:$C$9&amp;$D$7:$D$9,0)))</f>
        <v>51655.6790590378</v>
      </c>
      <c r="M51" s="34" t="str">
        <f t="array" ref="M51">IF(SUMIFS(N$86:N$161,$B$86:$B$161,$A51)=0,"",SUMIFS(N$86:N$161,$B$86:$B$161,$A51,$D$86:$D$161,$C51)*INDEX($B$7:$B$9,MATCH($D51&amp;$E51,$C$7:$C$9&amp;$D$7:$D$9,0)))</f>
        <v/>
      </c>
      <c r="N51" s="34">
        <f t="array" ref="N51">IF(SUMIFS(O$86:O$161,$B$86:$B$161,$A51)=0,"",SUMIFS(O$86:O$161,$B$86:$B$161,$A51,$D$86:$D$161,$C51)*INDEX($B$7:$B$9,MATCH($D51&amp;$E51,$C$7:$C$9&amp;$D$7:$D$9,0)))</f>
        <v>66572.765953773109</v>
      </c>
      <c r="O51" s="34">
        <f t="array" ref="O51">IF(SUMIFS(P$86:P$161,$B$86:$B$161,$A51)=0,"",SUMIFS(P$86:P$161,$B$86:$B$161,$A51,$D$86:$D$161,$C51)*INDEX($B$7:$B$9,MATCH($D51&amp;$E51,$C$7:$C$9&amp;$D$7:$D$9,0)))</f>
        <v>74031.309401140767</v>
      </c>
      <c r="P51" s="34">
        <f t="array" ref="P51">IF(SUMIFS(Q$86:Q$161,$B$86:$B$161,$A51)=0,"",SUMIFS(Q$86:Q$161,$B$86:$B$161,$A51,$D$86:$D$161,$C51)*INDEX($B$7:$B$9,MATCH($D51&amp;$E51,$C$7:$C$9&amp;$D$7:$D$9,0)))</f>
        <v>81489.852848508424</v>
      </c>
      <c r="Q51" s="34">
        <f t="array" ref="Q51">IF(SUMIFS(R$86:R$161,$B$86:$B$161,$A51)=0,"",SUMIFS(R$86:R$161,$B$86:$B$161,$A51,$D$86:$D$161,$C51)*INDEX($B$7:$B$9,MATCH($D51&amp;$E51,$C$7:$C$9&amp;$D$7:$D$9,0)))</f>
        <v>88948.396295876097</v>
      </c>
      <c r="R51" s="34">
        <f t="array" ref="R51">IF(SUMIFS(S$86:S$161,$B$86:$B$161,$A51)=0,"",SUMIFS(S$86:S$161,$B$86:$B$161,$A51,$D$86:$D$161,$C51)*INDEX($B$7:$B$9,MATCH($D51&amp;$E51,$C$7:$C$9&amp;$D$7:$D$9,0)))</f>
        <v>96406.93974324374</v>
      </c>
    </row>
    <row r="52" spans="1:18" x14ac:dyDescent="0.3">
      <c r="A52" s="3" t="s">
        <v>380</v>
      </c>
      <c r="B52" s="3" t="str">
        <f>INDEX('R1. Scenario specifications'!$C$11:$C$59,MATCH($A52,'R1. Scenario specifications'!$A$11:$A$59,0))</f>
        <v>450 Scenario, World Energy Outlook 2016</v>
      </c>
      <c r="C52" s="3" t="s">
        <v>256</v>
      </c>
      <c r="D52" s="3" t="str">
        <f t="array" ref="D52">INDEX($F$86:$F$161,MATCH($A52&amp;$C52,$B$86:$B$161&amp;$D$86:$D$161,0))</f>
        <v>Mtoe</v>
      </c>
      <c r="E52" s="3" t="s">
        <v>482</v>
      </c>
      <c r="F52" s="34">
        <f t="array" ref="F52">IF(SUMIFS(G$86:G$161,$B$86:$B$161,$A52)=0,"",SUMIFS(G$86:G$161,$B$86:$B$161,$A52,$D$86:$D$161,$C52)*INDEX($B$7:$B$9,MATCH($D52&amp;$E52,$C$7:$C$9&amp;$D$7:$D$9,0)))</f>
        <v>14019.60026133503</v>
      </c>
      <c r="G52" s="34" t="str">
        <f t="array" ref="G52">IF(SUMIFS(H$86:H$161,$B$86:$B$161,$A52)=0,"",SUMIFS(H$86:H$161,$B$86:$B$161,$A52,$D$86:$D$161,$C52)*INDEX($B$7:$B$9,MATCH($D52&amp;$E52,$C$7:$C$9&amp;$D$7:$D$9,0)))</f>
        <v/>
      </c>
      <c r="H52" s="34" t="str">
        <f t="array" ref="H52">IF(SUMIFS(I$86:I$161,$B$86:$B$161,$A52)=0,"",SUMIFS(I$86:I$161,$B$86:$B$161,$A52,$D$86:$D$161,$C52)*INDEX($B$7:$B$9,MATCH($D52&amp;$E52,$C$7:$C$9&amp;$D$7:$D$9,0)))</f>
        <v/>
      </c>
      <c r="I52" s="34" t="str">
        <f t="array" ref="I52">IF(SUMIFS(J$86:J$161,$B$86:$B$161,$A52)=0,"",SUMIFS(J$86:J$161,$B$86:$B$161,$A52,$D$86:$D$161,$C52)*INDEX($B$7:$B$9,MATCH($D52&amp;$E52,$C$7:$C$9&amp;$D$7:$D$9,0)))</f>
        <v/>
      </c>
      <c r="J52" s="34">
        <f t="array" ref="J52">IF(SUMIFS(K$86:K$161,$B$86:$B$161,$A52)=0,"",SUMIFS(K$86:K$161,$B$86:$B$161,$A52,$D$86:$D$161,$C52)*INDEX($B$7:$B$9,MATCH($D52&amp;$E52,$C$7:$C$9&amp;$D$7:$D$9,0)))</f>
        <v>15814.473044935747</v>
      </c>
      <c r="K52" s="34" t="str">
        <f t="array" ref="K52">IF(SUMIFS(L$86:L$161,$B$86:$B$161,$A52)=0,"",SUMIFS(L$86:L$161,$B$86:$B$161,$A52,$D$86:$D$161,$C52)*INDEX($B$7:$B$9,MATCH($D52&amp;$E52,$C$7:$C$9&amp;$D$7:$D$9,0)))</f>
        <v/>
      </c>
      <c r="L52" s="34">
        <f t="array" ref="L52">IF(SUMIFS(M$86:M$161,$B$86:$B$161,$A52)=0,"",SUMIFS(M$86:M$161,$B$86:$B$161,$A52,$D$86:$D$161,$C52)*INDEX($B$7:$B$9,MATCH($D52&amp;$E52,$C$7:$C$9&amp;$D$7:$D$9,0)))</f>
        <v>20361.354585044432</v>
      </c>
      <c r="M52" s="34" t="str">
        <f t="array" ref="M52">IF(SUMIFS(N$86:N$161,$B$86:$B$161,$A52)=0,"",SUMIFS(N$86:N$161,$B$86:$B$161,$A52,$D$86:$D$161,$C52)*INDEX($B$7:$B$9,MATCH($D52&amp;$E52,$C$7:$C$9&amp;$D$7:$D$9,0)))</f>
        <v/>
      </c>
      <c r="N52" s="34">
        <f t="array" ref="N52">IF(SUMIFS(O$86:O$161,$B$86:$B$161,$A52)=0,"",SUMIFS(O$86:O$161,$B$86:$B$161,$A52,$D$86:$D$161,$C52)*INDEX($B$7:$B$9,MATCH($D52&amp;$E52,$C$7:$C$9&amp;$D$7:$D$9,0)))</f>
        <v>24810.692058905246</v>
      </c>
      <c r="O52" s="34">
        <f t="array" ref="O52">IF(SUMIFS(P$86:P$161,$B$86:$B$161,$A52)=0,"",SUMIFS(P$86:P$161,$B$86:$B$161,$A52,$D$86:$D$161,$C52)*INDEX($B$7:$B$9,MATCH($D52&amp;$E52,$C$7:$C$9&amp;$D$7:$D$9,0)))</f>
        <v>27035.360795835652</v>
      </c>
      <c r="P52" s="34">
        <f t="array" ref="P52">IF(SUMIFS(Q$86:Q$161,$B$86:$B$161,$A52)=0,"",SUMIFS(Q$86:Q$161,$B$86:$B$161,$A52,$D$86:$D$161,$C52)*INDEX($B$7:$B$9,MATCH($D52&amp;$E52,$C$7:$C$9&amp;$D$7:$D$9,0)))</f>
        <v>29260.029532766061</v>
      </c>
      <c r="Q52" s="34">
        <f t="array" ref="Q52">IF(SUMIFS(R$86:R$161,$B$86:$B$161,$A52)=0,"",SUMIFS(R$86:R$161,$B$86:$B$161,$A52,$D$86:$D$161,$C52)*INDEX($B$7:$B$9,MATCH($D52&amp;$E52,$C$7:$C$9&amp;$D$7:$D$9,0)))</f>
        <v>31484.698269696462</v>
      </c>
      <c r="R52" s="34">
        <f t="array" ref="R52">IF(SUMIFS(S$86:S$161,$B$86:$B$161,$A52)=0,"",SUMIFS(S$86:S$161,$B$86:$B$161,$A52,$D$86:$D$161,$C52)*INDEX($B$7:$B$9,MATCH($D52&amp;$E52,$C$7:$C$9&amp;$D$7:$D$9,0)))</f>
        <v>33709.367006626875</v>
      </c>
    </row>
    <row r="53" spans="1:18" x14ac:dyDescent="0.3">
      <c r="A53" s="3" t="s">
        <v>380</v>
      </c>
      <c r="B53" s="3" t="str">
        <f>INDEX('R1. Scenario specifications'!$C$11:$C$59,MATCH($A53,'R1. Scenario specifications'!$A$11:$A$59,0))</f>
        <v>450 Scenario, World Energy Outlook 2016</v>
      </c>
      <c r="C53" s="3" t="s">
        <v>253</v>
      </c>
      <c r="D53" s="3" t="str">
        <f t="array" ref="D53">INDEX($F$86:$F$161,MATCH($A53&amp;$C53,$B$86:$B$161&amp;$D$86:$D$161,0))</f>
        <v>Mtoe</v>
      </c>
      <c r="E53" s="3" t="s">
        <v>482</v>
      </c>
      <c r="F53" s="34">
        <f t="array" ref="F53">IF(SUMIFS(G$86:G$161,$B$86:$B$161,$A53)=0,"",SUMIFS(G$86:G$161,$B$86:$B$161,$A53,$D$86:$D$161,$C53)*INDEX($B$7:$B$9,MATCH($D53&amp;$E53,$C$7:$C$9&amp;$D$7:$D$9,0)))</f>
        <v>59494.884268411777</v>
      </c>
      <c r="G53" s="34" t="str">
        <f t="array" ref="G53">IF(SUMIFS(H$86:H$161,$B$86:$B$161,$A53)=0,"",SUMIFS(H$86:H$161,$B$86:$B$161,$A53,$D$86:$D$161,$C53)*INDEX($B$7:$B$9,MATCH($D53&amp;$E53,$C$7:$C$9&amp;$D$7:$D$9,0)))</f>
        <v/>
      </c>
      <c r="H53" s="34" t="str">
        <f t="array" ref="H53">IF(SUMIFS(I$86:I$161,$B$86:$B$161,$A53)=0,"",SUMIFS(I$86:I$161,$B$86:$B$161,$A53,$D$86:$D$161,$C53)*INDEX($B$7:$B$9,MATCH($D53&amp;$E53,$C$7:$C$9&amp;$D$7:$D$9,0)))</f>
        <v/>
      </c>
      <c r="I53" s="34" t="str">
        <f t="array" ref="I53">IF(SUMIFS(J$86:J$161,$B$86:$B$161,$A53)=0,"",SUMIFS(J$86:J$161,$B$86:$B$161,$A53,$D$86:$D$161,$C53)*INDEX($B$7:$B$9,MATCH($D53&amp;$E53,$C$7:$C$9&amp;$D$7:$D$9,0)))</f>
        <v/>
      </c>
      <c r="J53" s="34">
        <f t="array" ref="J53">IF(SUMIFS(K$86:K$161,$B$86:$B$161,$A53)=0,"",SUMIFS(K$86:K$161,$B$86:$B$161,$A53,$D$86:$D$161,$C53)*INDEX($B$7:$B$9,MATCH($D53&amp;$E53,$C$7:$C$9&amp;$D$7:$D$9,0)))</f>
        <v>64891.71551479488</v>
      </c>
      <c r="K53" s="34" t="str">
        <f t="array" ref="K53">IF(SUMIFS(L$86:L$161,$B$86:$B$161,$A53)=0,"",SUMIFS(L$86:L$161,$B$86:$B$161,$A53,$D$86:$D$161,$C53)*INDEX($B$7:$B$9,MATCH($D53&amp;$E53,$C$7:$C$9&amp;$D$7:$D$9,0)))</f>
        <v/>
      </c>
      <c r="L53" s="34">
        <f t="array" ref="L53">IF(SUMIFS(M$86:M$161,$B$86:$B$161,$A53)=0,"",SUMIFS(M$86:M$161,$B$86:$B$161,$A53,$D$86:$D$161,$C53)*INDEX($B$7:$B$9,MATCH($D53&amp;$E53,$C$7:$C$9&amp;$D$7:$D$9,0)))</f>
        <v>80707.478094128615</v>
      </c>
      <c r="M53" s="34" t="str">
        <f t="array" ref="M53">IF(SUMIFS(N$86:N$161,$B$86:$B$161,$A53)=0,"",SUMIFS(N$86:N$161,$B$86:$B$161,$A53,$D$86:$D$161,$C53)*INDEX($B$7:$B$9,MATCH($D53&amp;$E53,$C$7:$C$9&amp;$D$7:$D$9,0)))</f>
        <v/>
      </c>
      <c r="N53" s="34">
        <f t="array" ref="N53">IF(SUMIFS(O$86:O$161,$B$86:$B$161,$A53)=0,"",SUMIFS(O$86:O$161,$B$86:$B$161,$A53,$D$86:$D$161,$C53)*INDEX($B$7:$B$9,MATCH($D53&amp;$E53,$C$7:$C$9&amp;$D$7:$D$9,0)))</f>
        <v>96712.622197566991</v>
      </c>
      <c r="O53" s="34">
        <f t="array" ref="O53">IF(SUMIFS(P$86:P$161,$B$86:$B$161,$A53)=0,"",SUMIFS(P$86:P$161,$B$86:$B$161,$A53,$D$86:$D$161,$C53)*INDEX($B$7:$B$9,MATCH($D53&amp;$E53,$C$7:$C$9&amp;$D$7:$D$9,0)))</f>
        <v>104715.19424928619</v>
      </c>
      <c r="P53" s="34">
        <f t="array" ref="P53">IF(SUMIFS(Q$86:Q$161,$B$86:$B$161,$A53)=0,"",SUMIFS(Q$86:Q$161,$B$86:$B$161,$A53,$D$86:$D$161,$C53)*INDEX($B$7:$B$9,MATCH($D53&amp;$E53,$C$7:$C$9&amp;$D$7:$D$9,0)))</f>
        <v>112717.76630100537</v>
      </c>
      <c r="Q53" s="34">
        <f t="array" ref="Q53">IF(SUMIFS(R$86:R$161,$B$86:$B$161,$A53)=0,"",SUMIFS(R$86:R$161,$B$86:$B$161,$A53,$D$86:$D$161,$C53)*INDEX($B$7:$B$9,MATCH($D53&amp;$E53,$C$7:$C$9&amp;$D$7:$D$9,0)))</f>
        <v>120720.33835272455</v>
      </c>
      <c r="R53" s="34">
        <f t="array" ref="R53">IF(SUMIFS(S$86:S$161,$B$86:$B$161,$A53)=0,"",SUMIFS(S$86:S$161,$B$86:$B$161,$A53,$D$86:$D$161,$C53)*INDEX($B$7:$B$9,MATCH($D53&amp;$E53,$C$7:$C$9&amp;$D$7:$D$9,0)))</f>
        <v>128722.91040444374</v>
      </c>
    </row>
    <row r="54" spans="1:18" x14ac:dyDescent="0.3">
      <c r="A54" s="3" t="s">
        <v>380</v>
      </c>
      <c r="B54" s="3" t="str">
        <f>INDEX('R1. Scenario specifications'!$C$11:$C$59,MATCH($A54,'R1. Scenario specifications'!$A$11:$A$59,0))</f>
        <v>450 Scenario, World Energy Outlook 2016</v>
      </c>
      <c r="C54" s="3" t="s">
        <v>461</v>
      </c>
      <c r="D54" s="3" t="str">
        <f t="array" ref="D54">INDEX($F$86:$F$161,MATCH($A54&amp;$C54,$B$86:$B$161&amp;$D$86:$D$161,0))</f>
        <v>Mtoe</v>
      </c>
      <c r="E54" s="3" t="s">
        <v>482</v>
      </c>
      <c r="F54" s="34">
        <f t="array" ref="F54">IF(SUMIFS(G$86:G$161,$B$86:$B$161,$A54)=0,"",SUMIFS(G$86:G$161,$B$86:$B$161,$A54,$D$86:$D$161,$C54)*INDEX($B$7:$B$9,MATCH($D54&amp;$E54,$C$7:$C$9&amp;$D$7:$D$9,0)))</f>
        <v>7571.9366449908075</v>
      </c>
      <c r="G54" s="34" t="str">
        <f t="array" ref="G54">IF(SUMIFS(H$86:H$161,$B$86:$B$161,$A54)=0,"",SUMIFS(H$86:H$161,$B$86:$B$161,$A54,$D$86:$D$161,$C54)*INDEX($B$7:$B$9,MATCH($D54&amp;$E54,$C$7:$C$9&amp;$D$7:$D$9,0)))</f>
        <v/>
      </c>
      <c r="H54" s="34" t="str">
        <f t="array" ref="H54">IF(SUMIFS(I$86:I$161,$B$86:$B$161,$A54)=0,"",SUMIFS(I$86:I$161,$B$86:$B$161,$A54,$D$86:$D$161,$C54)*INDEX($B$7:$B$9,MATCH($D54&amp;$E54,$C$7:$C$9&amp;$D$7:$D$9,0)))</f>
        <v/>
      </c>
      <c r="I54" s="34" t="str">
        <f t="array" ref="I54">IF(SUMIFS(J$86:J$161,$B$86:$B$161,$A54)=0,"",SUMIFS(J$86:J$161,$B$86:$B$161,$A54,$D$86:$D$161,$C54)*INDEX($B$7:$B$9,MATCH($D54&amp;$E54,$C$7:$C$9&amp;$D$7:$D$9,0)))</f>
        <v/>
      </c>
      <c r="J54" s="34">
        <f t="array" ref="J54">IF(SUMIFS(K$86:K$161,$B$86:$B$161,$A54)=0,"",SUMIFS(K$86:K$161,$B$86:$B$161,$A54,$D$86:$D$161,$C54)*INDEX($B$7:$B$9,MATCH($D54&amp;$E54,$C$7:$C$9&amp;$D$7:$D$9,0)))</f>
        <v>15017.670577778441</v>
      </c>
      <c r="K54" s="34" t="str">
        <f t="array" ref="K54">IF(SUMIFS(L$86:L$161,$B$86:$B$161,$A54)=0,"",SUMIFS(L$86:L$161,$B$86:$B$161,$A54,$D$86:$D$161,$C54)*INDEX($B$7:$B$9,MATCH($D54&amp;$E54,$C$7:$C$9&amp;$D$7:$D$9,0)))</f>
        <v/>
      </c>
      <c r="L54" s="34">
        <f t="array" ref="L54">IF(SUMIFS(M$86:M$161,$B$86:$B$161,$A54)=0,"",SUMIFS(M$86:M$161,$B$86:$B$161,$A54,$D$86:$D$161,$C54)*INDEX($B$7:$B$9,MATCH($D54&amp;$E54,$C$7:$C$9&amp;$D$7:$D$9,0)))</f>
        <v>39299.473501108543</v>
      </c>
      <c r="M54" s="34" t="str">
        <f t="array" ref="M54">IF(SUMIFS(N$86:N$161,$B$86:$B$161,$A54)=0,"",SUMIFS(N$86:N$161,$B$86:$B$161,$A54,$D$86:$D$161,$C54)*INDEX($B$7:$B$9,MATCH($D54&amp;$E54,$C$7:$C$9&amp;$D$7:$D$9,0)))</f>
        <v/>
      </c>
      <c r="N54" s="34">
        <f t="array" ref="N54">IF(SUMIFS(O$86:O$161,$B$86:$B$161,$A54)=0,"",SUMIFS(O$86:O$161,$B$86:$B$161,$A54,$D$86:$D$161,$C54)*INDEX($B$7:$B$9,MATCH($D54&amp;$E54,$C$7:$C$9&amp;$D$7:$D$9,0)))</f>
        <v>73631.137151164876</v>
      </c>
      <c r="O54" s="34">
        <f t="array" ref="O54">IF(SUMIFS(P$86:P$161,$B$86:$B$161,$A54)=0,"",SUMIFS(P$86:P$161,$B$86:$B$161,$A54,$D$86:$D$161,$C54)*INDEX($B$7:$B$9,MATCH($D54&amp;$E54,$C$7:$C$9&amp;$D$7:$D$9,0)))</f>
        <v>90796.968976193049</v>
      </c>
      <c r="P54" s="34">
        <f t="array" ref="P54">IF(SUMIFS(Q$86:Q$161,$B$86:$B$161,$A54)=0,"",SUMIFS(Q$86:Q$161,$B$86:$B$161,$A54,$D$86:$D$161,$C54)*INDEX($B$7:$B$9,MATCH($D54&amp;$E54,$C$7:$C$9&amp;$D$7:$D$9,0)))</f>
        <v>107962.80080122122</v>
      </c>
      <c r="Q54" s="34">
        <f t="array" ref="Q54">IF(SUMIFS(R$86:R$161,$B$86:$B$161,$A54)=0,"",SUMIFS(R$86:R$161,$B$86:$B$161,$A54,$D$86:$D$161,$C54)*INDEX($B$7:$B$9,MATCH($D54&amp;$E54,$C$7:$C$9&amp;$D$7:$D$9,0)))</f>
        <v>125128.6326262494</v>
      </c>
      <c r="R54" s="34">
        <f t="array" ref="R54">IF(SUMIFS(S$86:S$161,$B$86:$B$161,$A54)=0,"",SUMIFS(S$86:S$161,$B$86:$B$161,$A54,$D$86:$D$161,$C54)*INDEX($B$7:$B$9,MATCH($D54&amp;$E54,$C$7:$C$9&amp;$D$7:$D$9,0)))</f>
        <v>142294.46445127757</v>
      </c>
    </row>
    <row r="55" spans="1:18" x14ac:dyDescent="0.3">
      <c r="A55" s="3" t="s">
        <v>381</v>
      </c>
      <c r="B55" s="3" t="str">
        <f>INDEX('R1. Scenario specifications'!$C$11:$C$59,MATCH($A55,'R1. Scenario specifications'!$A$11:$A$59,0))</f>
        <v>Reference Technologies Scenario, Energy Technology Perspectives 2017</v>
      </c>
      <c r="C55" s="3" t="s">
        <v>254</v>
      </c>
      <c r="D55" s="3" t="str">
        <f t="array" ref="D55">INDEX($F$86:$F$161,MATCH($A55&amp;$C55,$B$86:$B$161&amp;$D$86:$D$161,0))</f>
        <v>PJ</v>
      </c>
      <c r="E55" s="3" t="s">
        <v>482</v>
      </c>
      <c r="F55" s="34">
        <f t="array" ref="F55">IF(SUMIFS(G$86:G$161,$B$86:$B$161,$A55)=0,"",SUMIFS(G$86:G$161,$B$86:$B$161,$A55,$D$86:$D$161,$C55)*INDEX($B$7:$B$9,MATCH($D55&amp;$E55,$C$7:$C$9&amp;$D$7:$D$9,0)))</f>
        <v>163853.62994548801</v>
      </c>
      <c r="G55" s="34" t="str">
        <f t="array" ref="G55">IF(SUMIFS(H$86:H$161,$B$86:$B$161,$A55)=0,"",SUMIFS(H$86:H$161,$B$86:$B$161,$A55,$D$86:$D$161,$C55)*INDEX($B$7:$B$9,MATCH($D55&amp;$E55,$C$7:$C$9&amp;$D$7:$D$9,0)))</f>
        <v/>
      </c>
      <c r="H55" s="34" t="str">
        <f t="array" ref="H55">IF(SUMIFS(I$86:I$161,$B$86:$B$161,$A55)=0,"",SUMIFS(I$86:I$161,$B$86:$B$161,$A55,$D$86:$D$161,$C55)*INDEX($B$7:$B$9,MATCH($D55&amp;$E55,$C$7:$C$9&amp;$D$7:$D$9,0)))</f>
        <v/>
      </c>
      <c r="I55" s="34" t="str">
        <f t="array" ref="I55">IF(SUMIFS(J$86:J$161,$B$86:$B$161,$A55)=0,"",SUMIFS(J$86:J$161,$B$86:$B$161,$A55,$D$86:$D$161,$C55)*INDEX($B$7:$B$9,MATCH($D55&amp;$E55,$C$7:$C$9&amp;$D$7:$D$9,0)))</f>
        <v/>
      </c>
      <c r="J55" s="34">
        <f t="array" ref="J55">IF(SUMIFS(K$86:K$161,$B$86:$B$161,$A55)=0,"",SUMIFS(K$86:K$161,$B$86:$B$161,$A55,$D$86:$D$161,$C55)*INDEX($B$7:$B$9,MATCH($D55&amp;$E55,$C$7:$C$9&amp;$D$7:$D$9,0)))</f>
        <v>163058.50026170598</v>
      </c>
      <c r="K55" s="34">
        <f t="array" ref="K55">IF(SUMIFS(L$86:L$161,$B$86:$B$161,$A55)=0,"",SUMIFS(L$86:L$161,$B$86:$B$161,$A55,$D$86:$D$161,$C55)*INDEX($B$7:$B$9,MATCH($D55&amp;$E55,$C$7:$C$9&amp;$D$7:$D$9,0)))</f>
        <v>162395.89219188763</v>
      </c>
      <c r="L55" s="34">
        <f t="array" ref="L55">IF(SUMIFS(M$86:M$161,$B$86:$B$161,$A55)=0,"",SUMIFS(M$86:M$161,$B$86:$B$161,$A55,$D$86:$D$161,$C55)*INDEX($B$7:$B$9,MATCH($D55&amp;$E55,$C$7:$C$9&amp;$D$7:$D$9,0)))</f>
        <v>162921.73111427567</v>
      </c>
      <c r="M55" s="34">
        <f t="array" ref="M55">IF(SUMIFS(N$86:N$161,$B$86:$B$161,$A55)=0,"",SUMIFS(N$86:N$161,$B$86:$B$161,$A55,$D$86:$D$161,$C55)*INDEX($B$7:$B$9,MATCH($D55&amp;$E55,$C$7:$C$9&amp;$D$7:$D$9,0)))</f>
        <v>164935.01521888917</v>
      </c>
      <c r="N55" s="34">
        <f t="array" ref="N55">IF(SUMIFS(O$86:O$161,$B$86:$B$161,$A55)=0,"",SUMIFS(O$86:O$161,$B$86:$B$161,$A55,$D$86:$D$161,$C55)*INDEX($B$7:$B$9,MATCH($D55&amp;$E55,$C$7:$C$9&amp;$D$7:$D$9,0)))</f>
        <v>168456.54625766998</v>
      </c>
      <c r="O55" s="34">
        <f t="array" ref="O55">IF(SUMIFS(P$86:P$161,$B$86:$B$161,$A55)=0,"",SUMIFS(P$86:P$161,$B$86:$B$161,$A55,$D$86:$D$161,$C55)*INDEX($B$7:$B$9,MATCH($D55&amp;$E55,$C$7:$C$9&amp;$D$7:$D$9,0)))</f>
        <v>167055.82520076376</v>
      </c>
      <c r="P55" s="34">
        <f t="array" ref="P55">IF(SUMIFS(Q$86:Q$161,$B$86:$B$161,$A55)=0,"",SUMIFS(Q$86:Q$161,$B$86:$B$161,$A55,$D$86:$D$161,$C55)*INDEX($B$7:$B$9,MATCH($D55&amp;$E55,$C$7:$C$9&amp;$D$7:$D$9,0)))</f>
        <v>163446.66790497277</v>
      </c>
      <c r="Q55" s="34">
        <f t="array" ref="Q55">IF(SUMIFS(R$86:R$161,$B$86:$B$161,$A55)=0,"",SUMIFS(R$86:R$161,$B$86:$B$161,$A55,$D$86:$D$161,$C55)*INDEX($B$7:$B$9,MATCH($D55&amp;$E55,$C$7:$C$9&amp;$D$7:$D$9,0)))</f>
        <v>164936.60354914173</v>
      </c>
      <c r="R55" s="34">
        <f t="array" ref="R55">IF(SUMIFS(S$86:S$161,$B$86:$B$161,$A55)=0,"",SUMIFS(S$86:S$161,$B$86:$B$161,$A55,$D$86:$D$161,$C55)*INDEX($B$7:$B$9,MATCH($D55&amp;$E55,$C$7:$C$9&amp;$D$7:$D$9,0)))</f>
        <v>163833.11722813317</v>
      </c>
    </row>
    <row r="56" spans="1:18" x14ac:dyDescent="0.3">
      <c r="A56" s="3" t="s">
        <v>381</v>
      </c>
      <c r="B56" s="3" t="str">
        <f>INDEX('R1. Scenario specifications'!$C$11:$C$59,MATCH($A56,'R1. Scenario specifications'!$A$11:$A$59,0))</f>
        <v>Reference Technologies Scenario, Energy Technology Perspectives 2017</v>
      </c>
      <c r="C56" s="3" t="s">
        <v>266</v>
      </c>
      <c r="D56" s="3" t="str">
        <f t="array" ref="D56">INDEX($F$86:$F$161,MATCH($A56&amp;$C56,$B$86:$B$161&amp;$D$86:$D$161,0))</f>
        <v>PJ</v>
      </c>
      <c r="E56" s="3" t="s">
        <v>482</v>
      </c>
      <c r="F56" s="34">
        <f t="array" ref="F56">IF(SUMIFS(G$86:G$161,$B$86:$B$161,$A56)=0,"",SUMIFS(G$86:G$161,$B$86:$B$161,$A56,$D$86:$D$161,$C56)*INDEX($B$7:$B$9,MATCH($D56&amp;$E56,$C$7:$C$9&amp;$D$7:$D$9,0)))</f>
        <v>179603.77400539213</v>
      </c>
      <c r="G56" s="34" t="str">
        <f t="array" ref="G56">IF(SUMIFS(H$86:H$161,$B$86:$B$161,$A56)=0,"",SUMIFS(H$86:H$161,$B$86:$B$161,$A56,$D$86:$D$161,$C56)*INDEX($B$7:$B$9,MATCH($D56&amp;$E56,$C$7:$C$9&amp;$D$7:$D$9,0)))</f>
        <v/>
      </c>
      <c r="H56" s="34" t="str">
        <f t="array" ref="H56">IF(SUMIFS(I$86:I$161,$B$86:$B$161,$A56)=0,"",SUMIFS(I$86:I$161,$B$86:$B$161,$A56,$D$86:$D$161,$C56)*INDEX($B$7:$B$9,MATCH($D56&amp;$E56,$C$7:$C$9&amp;$D$7:$D$9,0)))</f>
        <v/>
      </c>
      <c r="I56" s="34" t="str">
        <f t="array" ref="I56">IF(SUMIFS(J$86:J$161,$B$86:$B$161,$A56)=0,"",SUMIFS(J$86:J$161,$B$86:$B$161,$A56,$D$86:$D$161,$C56)*INDEX($B$7:$B$9,MATCH($D56&amp;$E56,$C$7:$C$9&amp;$D$7:$D$9,0)))</f>
        <v/>
      </c>
      <c r="J56" s="34">
        <f t="array" ref="J56">IF(SUMIFS(K$86:K$161,$B$86:$B$161,$A56)=0,"",SUMIFS(K$86:K$161,$B$86:$B$161,$A56,$D$86:$D$161,$C56)*INDEX($B$7:$B$9,MATCH($D56&amp;$E56,$C$7:$C$9&amp;$D$7:$D$9,0)))</f>
        <v>185822.86224654422</v>
      </c>
      <c r="K56" s="34">
        <f t="array" ref="K56">IF(SUMIFS(L$86:L$161,$B$86:$B$161,$A56)=0,"",SUMIFS(L$86:L$161,$B$86:$B$161,$A56,$D$86:$D$161,$C56)*INDEX($B$7:$B$9,MATCH($D56&amp;$E56,$C$7:$C$9&amp;$D$7:$D$9,0)))</f>
        <v>191005.43578083764</v>
      </c>
      <c r="L56" s="34">
        <f t="array" ref="L56">IF(SUMIFS(M$86:M$161,$B$86:$B$161,$A56)=0,"",SUMIFS(M$86:M$161,$B$86:$B$161,$A56,$D$86:$D$161,$C56)*INDEX($B$7:$B$9,MATCH($D56&amp;$E56,$C$7:$C$9&amp;$D$7:$D$9,0)))</f>
        <v>197406.6923135276</v>
      </c>
      <c r="M56" s="34">
        <f t="array" ref="M56">IF(SUMIFS(N$86:N$161,$B$86:$B$161,$A56)=0,"",SUMIFS(N$86:N$161,$B$86:$B$161,$A56,$D$86:$D$161,$C56)*INDEX($B$7:$B$9,MATCH($D56&amp;$E56,$C$7:$C$9&amp;$D$7:$D$9,0)))</f>
        <v>200947.73220399983</v>
      </c>
      <c r="N56" s="34">
        <f t="array" ref="N56">IF(SUMIFS(O$86:O$161,$B$86:$B$161,$A56)=0,"",SUMIFS(O$86:O$161,$B$86:$B$161,$A56,$D$86:$D$161,$C56)*INDEX($B$7:$B$9,MATCH($D56&amp;$E56,$C$7:$C$9&amp;$D$7:$D$9,0)))</f>
        <v>204742.68298506443</v>
      </c>
      <c r="O56" s="34">
        <f t="array" ref="O56">IF(SUMIFS(P$86:P$161,$B$86:$B$161,$A56)=0,"",SUMIFS(P$86:P$161,$B$86:$B$161,$A56,$D$86:$D$161,$C56)*INDEX($B$7:$B$9,MATCH($D56&amp;$E56,$C$7:$C$9&amp;$D$7:$D$9,0)))</f>
        <v>206619.49566900227</v>
      </c>
      <c r="P56" s="34">
        <f t="array" ref="P56">IF(SUMIFS(Q$86:Q$161,$B$86:$B$161,$A56)=0,"",SUMIFS(Q$86:Q$161,$B$86:$B$161,$A56,$D$86:$D$161,$C56)*INDEX($B$7:$B$9,MATCH($D56&amp;$E56,$C$7:$C$9&amp;$D$7:$D$9,0)))</f>
        <v>207960.44191028658</v>
      </c>
      <c r="Q56" s="34">
        <f t="array" ref="Q56">IF(SUMIFS(R$86:R$161,$B$86:$B$161,$A56)=0,"",SUMIFS(R$86:R$161,$B$86:$B$161,$A56,$D$86:$D$161,$C56)*INDEX($B$7:$B$9,MATCH($D56&amp;$E56,$C$7:$C$9&amp;$D$7:$D$9,0)))</f>
        <v>208564.09239051194</v>
      </c>
      <c r="R56" s="34">
        <f t="array" ref="R56">IF(SUMIFS(S$86:S$161,$B$86:$B$161,$A56)=0,"",SUMIFS(S$86:S$161,$B$86:$B$161,$A56,$D$86:$D$161,$C56)*INDEX($B$7:$B$9,MATCH($D56&amp;$E56,$C$7:$C$9&amp;$D$7:$D$9,0)))</f>
        <v>209196.40225715772</v>
      </c>
    </row>
    <row r="57" spans="1:18" x14ac:dyDescent="0.3">
      <c r="A57" s="3" t="s">
        <v>381</v>
      </c>
      <c r="B57" s="3" t="str">
        <f>INDEX('R1. Scenario specifications'!$C$11:$C$59,MATCH($A57,'R1. Scenario specifications'!$A$11:$A$59,0))</f>
        <v>Reference Technologies Scenario, Energy Technology Perspectives 2017</v>
      </c>
      <c r="C57" s="3" t="s">
        <v>255</v>
      </c>
      <c r="D57" s="3" t="str">
        <f t="array" ref="D57">INDEX($F$86:$F$161,MATCH($A57&amp;$C57,$B$86:$B$161&amp;$D$86:$D$161,0))</f>
        <v>PJ</v>
      </c>
      <c r="E57" s="3" t="s">
        <v>482</v>
      </c>
      <c r="F57" s="34">
        <f t="array" ref="F57">IF(SUMIFS(G$86:G$161,$B$86:$B$161,$A57)=0,"",SUMIFS(G$86:G$161,$B$86:$B$161,$A57,$D$86:$D$161,$C57)*INDEX($B$7:$B$9,MATCH($D57&amp;$E57,$C$7:$C$9&amp;$D$7:$D$9,0)))</f>
        <v>121441.43859937201</v>
      </c>
      <c r="G57" s="34" t="str">
        <f t="array" ref="G57">IF(SUMIFS(H$86:H$161,$B$86:$B$161,$A57)=0,"",SUMIFS(H$86:H$161,$B$86:$B$161,$A57,$D$86:$D$161,$C57)*INDEX($B$7:$B$9,MATCH($D57&amp;$E57,$C$7:$C$9&amp;$D$7:$D$9,0)))</f>
        <v/>
      </c>
      <c r="H57" s="34" t="str">
        <f t="array" ref="H57">IF(SUMIFS(I$86:I$161,$B$86:$B$161,$A57)=0,"",SUMIFS(I$86:I$161,$B$86:$B$161,$A57,$D$86:$D$161,$C57)*INDEX($B$7:$B$9,MATCH($D57&amp;$E57,$C$7:$C$9&amp;$D$7:$D$9,0)))</f>
        <v/>
      </c>
      <c r="I57" s="34" t="str">
        <f t="array" ref="I57">IF(SUMIFS(J$86:J$161,$B$86:$B$161,$A57)=0,"",SUMIFS(J$86:J$161,$B$86:$B$161,$A57,$D$86:$D$161,$C57)*INDEX($B$7:$B$9,MATCH($D57&amp;$E57,$C$7:$C$9&amp;$D$7:$D$9,0)))</f>
        <v/>
      </c>
      <c r="J57" s="34">
        <f t="array" ref="J57">IF(SUMIFS(K$86:K$161,$B$86:$B$161,$A57)=0,"",SUMIFS(K$86:K$161,$B$86:$B$161,$A57,$D$86:$D$161,$C57)*INDEX($B$7:$B$9,MATCH($D57&amp;$E57,$C$7:$C$9&amp;$D$7:$D$9,0)))</f>
        <v>134061.2469511767</v>
      </c>
      <c r="K57" s="34">
        <f t="array" ref="K57">IF(SUMIFS(L$86:L$161,$B$86:$B$161,$A57)=0,"",SUMIFS(L$86:L$161,$B$86:$B$161,$A57,$D$86:$D$161,$C57)*INDEX($B$7:$B$9,MATCH($D57&amp;$E57,$C$7:$C$9&amp;$D$7:$D$9,0)))</f>
        <v>144577.75391101392</v>
      </c>
      <c r="L57" s="34">
        <f t="array" ref="L57">IF(SUMIFS(M$86:M$161,$B$86:$B$161,$A57)=0,"",SUMIFS(M$86:M$161,$B$86:$B$161,$A57,$D$86:$D$161,$C57)*INDEX($B$7:$B$9,MATCH($D57&amp;$E57,$C$7:$C$9&amp;$D$7:$D$9,0)))</f>
        <v>157419.5286941051</v>
      </c>
      <c r="M57" s="34">
        <f t="array" ref="M57">IF(SUMIFS(N$86:N$161,$B$86:$B$161,$A57)=0,"",SUMIFS(N$86:N$161,$B$86:$B$161,$A57,$D$86:$D$161,$C57)*INDEX($B$7:$B$9,MATCH($D57&amp;$E57,$C$7:$C$9&amp;$D$7:$D$9,0)))</f>
        <v>166282.21412672359</v>
      </c>
      <c r="N57" s="34">
        <f t="array" ref="N57">IF(SUMIFS(O$86:O$161,$B$86:$B$161,$A57)=0,"",SUMIFS(O$86:O$161,$B$86:$B$161,$A57,$D$86:$D$161,$C57)*INDEX($B$7:$B$9,MATCH($D57&amp;$E57,$C$7:$C$9&amp;$D$7:$D$9,0)))</f>
        <v>173948.88848311218</v>
      </c>
      <c r="O57" s="34">
        <f t="array" ref="O57">IF(SUMIFS(P$86:P$161,$B$86:$B$161,$A57)=0,"",SUMIFS(P$86:P$161,$B$86:$B$161,$A57,$D$86:$D$161,$C57)*INDEX($B$7:$B$9,MATCH($D57&amp;$E57,$C$7:$C$9&amp;$D$7:$D$9,0)))</f>
        <v>180048.62582986552</v>
      </c>
      <c r="P57" s="34">
        <f t="array" ref="P57">IF(SUMIFS(Q$86:Q$161,$B$86:$B$161,$A57)=0,"",SUMIFS(Q$86:Q$161,$B$86:$B$161,$A57,$D$86:$D$161,$C57)*INDEX($B$7:$B$9,MATCH($D57&amp;$E57,$C$7:$C$9&amp;$D$7:$D$9,0)))</f>
        <v>183911.28735033987</v>
      </c>
      <c r="Q57" s="34">
        <f t="array" ref="Q57">IF(SUMIFS(R$86:R$161,$B$86:$B$161,$A57)=0,"",SUMIFS(R$86:R$161,$B$86:$B$161,$A57,$D$86:$D$161,$C57)*INDEX($B$7:$B$9,MATCH($D57&amp;$E57,$C$7:$C$9&amp;$D$7:$D$9,0)))</f>
        <v>187024.45700405858</v>
      </c>
      <c r="R57" s="34">
        <f t="array" ref="R57">IF(SUMIFS(S$86:S$161,$B$86:$B$161,$A57)=0,"",SUMIFS(S$86:S$161,$B$86:$B$161,$A57,$D$86:$D$161,$C57)*INDEX($B$7:$B$9,MATCH($D57&amp;$E57,$C$7:$C$9&amp;$D$7:$D$9,0)))</f>
        <v>192620.56225737816</v>
      </c>
    </row>
    <row r="58" spans="1:18" x14ac:dyDescent="0.3">
      <c r="A58" s="3" t="s">
        <v>381</v>
      </c>
      <c r="B58" s="3" t="str">
        <f>INDEX('R1. Scenario specifications'!$C$11:$C$59,MATCH($A58,'R1. Scenario specifications'!$A$11:$A$59,0))</f>
        <v>Reference Technologies Scenario, Energy Technology Perspectives 2017</v>
      </c>
      <c r="C58" s="3" t="s">
        <v>257</v>
      </c>
      <c r="D58" s="3" t="str">
        <f t="array" ref="D58">INDEX($F$86:$F$161,MATCH($A58&amp;$C58,$B$86:$B$161&amp;$D$86:$D$161,0))</f>
        <v>PJ</v>
      </c>
      <c r="E58" s="3" t="s">
        <v>482</v>
      </c>
      <c r="F58" s="34">
        <f t="array" ref="F58">IF(SUMIFS(G$86:G$161,$B$86:$B$161,$A58)=0,"",SUMIFS(G$86:G$161,$B$86:$B$161,$A58,$D$86:$D$161,$C58)*INDEX($B$7:$B$9,MATCH($D58&amp;$E58,$C$7:$C$9&amp;$D$7:$D$9,0)))</f>
        <v>27689.539085172</v>
      </c>
      <c r="G58" s="34" t="str">
        <f t="array" ref="G58">IF(SUMIFS(H$86:H$161,$B$86:$B$161,$A58)=0,"",SUMIFS(H$86:H$161,$B$86:$B$161,$A58,$D$86:$D$161,$C58)*INDEX($B$7:$B$9,MATCH($D58&amp;$E58,$C$7:$C$9&amp;$D$7:$D$9,0)))</f>
        <v/>
      </c>
      <c r="H58" s="34" t="str">
        <f t="array" ref="H58">IF(SUMIFS(I$86:I$161,$B$86:$B$161,$A58)=0,"",SUMIFS(I$86:I$161,$B$86:$B$161,$A58,$D$86:$D$161,$C58)*INDEX($B$7:$B$9,MATCH($D58&amp;$E58,$C$7:$C$9&amp;$D$7:$D$9,0)))</f>
        <v/>
      </c>
      <c r="I58" s="34" t="str">
        <f t="array" ref="I58">IF(SUMIFS(J$86:J$161,$B$86:$B$161,$A58)=0,"",SUMIFS(J$86:J$161,$B$86:$B$161,$A58,$D$86:$D$161,$C58)*INDEX($B$7:$B$9,MATCH($D58&amp;$E58,$C$7:$C$9&amp;$D$7:$D$9,0)))</f>
        <v/>
      </c>
      <c r="J58" s="34">
        <f t="array" ref="J58">IF(SUMIFS(K$86:K$161,$B$86:$B$161,$A58)=0,"",SUMIFS(K$86:K$161,$B$86:$B$161,$A58,$D$86:$D$161,$C58)*INDEX($B$7:$B$9,MATCH($D58&amp;$E58,$C$7:$C$9&amp;$D$7:$D$9,0)))</f>
        <v>31982.42759801928</v>
      </c>
      <c r="K58" s="34">
        <f t="array" ref="K58">IF(SUMIFS(L$86:L$161,$B$86:$B$161,$A58)=0,"",SUMIFS(L$86:L$161,$B$86:$B$161,$A58,$D$86:$D$161,$C58)*INDEX($B$7:$B$9,MATCH($D58&amp;$E58,$C$7:$C$9&amp;$D$7:$D$9,0)))</f>
        <v>35559.834692058677</v>
      </c>
      <c r="L58" s="34">
        <f t="array" ref="L58">IF(SUMIFS(M$86:M$161,$B$86:$B$161,$A58)=0,"",SUMIFS(M$86:M$161,$B$86:$B$161,$A58,$D$86:$D$161,$C58)*INDEX($B$7:$B$9,MATCH($D58&amp;$E58,$C$7:$C$9&amp;$D$7:$D$9,0)))</f>
        <v>40109.492771140474</v>
      </c>
      <c r="M58" s="34">
        <f t="array" ref="M58">IF(SUMIFS(N$86:N$161,$B$86:$B$161,$A58)=0,"",SUMIFS(N$86:N$161,$B$86:$B$161,$A58,$D$86:$D$161,$C58)*INDEX($B$7:$B$9,MATCH($D58&amp;$E58,$C$7:$C$9&amp;$D$7:$D$9,0)))</f>
        <v>42925.410641639719</v>
      </c>
      <c r="N58" s="34">
        <f t="array" ref="N58">IF(SUMIFS(O$86:O$161,$B$86:$B$161,$A58)=0,"",SUMIFS(O$86:O$161,$B$86:$B$161,$A58,$D$86:$D$161,$C58)*INDEX($B$7:$B$9,MATCH($D58&amp;$E58,$C$7:$C$9&amp;$D$7:$D$9,0)))</f>
        <v>46981.144447294035</v>
      </c>
      <c r="O58" s="34">
        <f t="array" ref="O58">IF(SUMIFS(P$86:P$161,$B$86:$B$161,$A58)=0,"",SUMIFS(P$86:P$161,$B$86:$B$161,$A58,$D$86:$D$161,$C58)*INDEX($B$7:$B$9,MATCH($D58&amp;$E58,$C$7:$C$9&amp;$D$7:$D$9,0)))</f>
        <v>50750.410685106501</v>
      </c>
      <c r="P58" s="34">
        <f t="array" ref="P58">IF(SUMIFS(Q$86:Q$161,$B$86:$B$161,$A58)=0,"",SUMIFS(Q$86:Q$161,$B$86:$B$161,$A58,$D$86:$D$161,$C58)*INDEX($B$7:$B$9,MATCH($D58&amp;$E58,$C$7:$C$9&amp;$D$7:$D$9,0)))</f>
        <v>53282.656124829373</v>
      </c>
      <c r="Q58" s="34">
        <f t="array" ref="Q58">IF(SUMIFS(R$86:R$161,$B$86:$B$161,$A58)=0,"",SUMIFS(R$86:R$161,$B$86:$B$161,$A58,$D$86:$D$161,$C58)*INDEX($B$7:$B$9,MATCH($D58&amp;$E58,$C$7:$C$9&amp;$D$7:$D$9,0)))</f>
        <v>55836.112650556701</v>
      </c>
      <c r="R58" s="34">
        <f t="array" ref="R58">IF(SUMIFS(S$86:S$161,$B$86:$B$161,$A58)=0,"",SUMIFS(S$86:S$161,$B$86:$B$161,$A58,$D$86:$D$161,$C58)*INDEX($B$7:$B$9,MATCH($D58&amp;$E58,$C$7:$C$9&amp;$D$7:$D$9,0)))</f>
        <v>57499.270485224159</v>
      </c>
    </row>
    <row r="59" spans="1:18" x14ac:dyDescent="0.3">
      <c r="A59" s="3" t="s">
        <v>381</v>
      </c>
      <c r="B59" s="3" t="str">
        <f>INDEX('R1. Scenario specifications'!$C$11:$C$59,MATCH($A59,'R1. Scenario specifications'!$A$11:$A$59,0))</f>
        <v>Reference Technologies Scenario, Energy Technology Perspectives 2017</v>
      </c>
      <c r="C59" s="3" t="s">
        <v>256</v>
      </c>
      <c r="D59" s="3" t="str">
        <f t="array" ref="D59">INDEX($F$86:$F$161,MATCH($A59&amp;$C59,$B$86:$B$161&amp;$D$86:$D$161,0))</f>
        <v>PJ</v>
      </c>
      <c r="E59" s="3" t="s">
        <v>482</v>
      </c>
      <c r="F59" s="34">
        <f t="array" ref="F59">IF(SUMIFS(G$86:G$161,$B$86:$B$161,$A59)=0,"",SUMIFS(G$86:G$161,$B$86:$B$161,$A59,$D$86:$D$161,$C59)*INDEX($B$7:$B$9,MATCH($D59&amp;$E59,$C$7:$C$9&amp;$D$7:$D$9,0)))</f>
        <v>14023.472570784001</v>
      </c>
      <c r="G59" s="34" t="str">
        <f t="array" ref="G59">IF(SUMIFS(H$86:H$161,$B$86:$B$161,$A59)=0,"",SUMIFS(H$86:H$161,$B$86:$B$161,$A59,$D$86:$D$161,$C59)*INDEX($B$7:$B$9,MATCH($D59&amp;$E59,$C$7:$C$9&amp;$D$7:$D$9,0)))</f>
        <v/>
      </c>
      <c r="H59" s="34" t="str">
        <f t="array" ref="H59">IF(SUMIFS(I$86:I$161,$B$86:$B$161,$A59)=0,"",SUMIFS(I$86:I$161,$B$86:$B$161,$A59,$D$86:$D$161,$C59)*INDEX($B$7:$B$9,MATCH($D59&amp;$E59,$C$7:$C$9&amp;$D$7:$D$9,0)))</f>
        <v/>
      </c>
      <c r="I59" s="34" t="str">
        <f t="array" ref="I59">IF(SUMIFS(J$86:J$161,$B$86:$B$161,$A59)=0,"",SUMIFS(J$86:J$161,$B$86:$B$161,$A59,$D$86:$D$161,$C59)*INDEX($B$7:$B$9,MATCH($D59&amp;$E59,$C$7:$C$9&amp;$D$7:$D$9,0)))</f>
        <v/>
      </c>
      <c r="J59" s="34">
        <f t="array" ref="J59">IF(SUMIFS(K$86:K$161,$B$86:$B$161,$A59)=0,"",SUMIFS(K$86:K$161,$B$86:$B$161,$A59,$D$86:$D$161,$C59)*INDEX($B$7:$B$9,MATCH($D59&amp;$E59,$C$7:$C$9&amp;$D$7:$D$9,0)))</f>
        <v>16074.749520297477</v>
      </c>
      <c r="K59" s="34">
        <f t="array" ref="K59">IF(SUMIFS(L$86:L$161,$B$86:$B$161,$A59)=0,"",SUMIFS(L$86:L$161,$B$86:$B$161,$A59,$D$86:$D$161,$C59)*INDEX($B$7:$B$9,MATCH($D59&amp;$E59,$C$7:$C$9&amp;$D$7:$D$9,0)))</f>
        <v>17784.146978225373</v>
      </c>
      <c r="L59" s="34">
        <f t="array" ref="L59">IF(SUMIFS(M$86:M$161,$B$86:$B$161,$A59)=0,"",SUMIFS(M$86:M$161,$B$86:$B$161,$A59,$D$86:$D$161,$C59)*INDEX($B$7:$B$9,MATCH($D59&amp;$E59,$C$7:$C$9&amp;$D$7:$D$9,0)))</f>
        <v>19521.346344109013</v>
      </c>
      <c r="M59" s="34">
        <f t="array" ref="M59">IF(SUMIFS(N$86:N$161,$B$86:$B$161,$A59)=0,"",SUMIFS(N$86:N$161,$B$86:$B$161,$A59,$D$86:$D$161,$C59)*INDEX($B$7:$B$9,MATCH($D59&amp;$E59,$C$7:$C$9&amp;$D$7:$D$9,0)))</f>
        <v>21125.119611584454</v>
      </c>
      <c r="N59" s="34">
        <f t="array" ref="N59">IF(SUMIFS(O$86:O$161,$B$86:$B$161,$A59)=0,"",SUMIFS(O$86:O$161,$B$86:$B$161,$A59,$D$86:$D$161,$C59)*INDEX($B$7:$B$9,MATCH($D59&amp;$E59,$C$7:$C$9&amp;$D$7:$D$9,0)))</f>
        <v>22542.7240900408</v>
      </c>
      <c r="O59" s="34">
        <f t="array" ref="O59">IF(SUMIFS(P$86:P$161,$B$86:$B$161,$A59)=0,"",SUMIFS(P$86:P$161,$B$86:$B$161,$A59,$D$86:$D$161,$C59)*INDEX($B$7:$B$9,MATCH($D59&amp;$E59,$C$7:$C$9&amp;$D$7:$D$9,0)))</f>
        <v>23937.910411058459</v>
      </c>
      <c r="P59" s="34">
        <f t="array" ref="P59">IF(SUMIFS(Q$86:Q$161,$B$86:$B$161,$A59)=0,"",SUMIFS(Q$86:Q$161,$B$86:$B$161,$A59,$D$86:$D$161,$C59)*INDEX($B$7:$B$9,MATCH($D59&amp;$E59,$C$7:$C$9&amp;$D$7:$D$9,0)))</f>
        <v>25336.098934741171</v>
      </c>
      <c r="Q59" s="34">
        <f t="array" ref="Q59">IF(SUMIFS(R$86:R$161,$B$86:$B$161,$A59)=0,"",SUMIFS(R$86:R$161,$B$86:$B$161,$A59,$D$86:$D$161,$C59)*INDEX($B$7:$B$9,MATCH($D59&amp;$E59,$C$7:$C$9&amp;$D$7:$D$9,0)))</f>
        <v>26751.550271835698</v>
      </c>
      <c r="R59" s="34">
        <f t="array" ref="R59">IF(SUMIFS(S$86:S$161,$B$86:$B$161,$A59)=0,"",SUMIFS(S$86:S$161,$B$86:$B$161,$A59,$D$86:$D$161,$C59)*INDEX($B$7:$B$9,MATCH($D59&amp;$E59,$C$7:$C$9&amp;$D$7:$D$9,0)))</f>
        <v>28212.558083921995</v>
      </c>
    </row>
    <row r="60" spans="1:18" x14ac:dyDescent="0.3">
      <c r="A60" s="3" t="s">
        <v>381</v>
      </c>
      <c r="B60" s="3" t="str">
        <f>INDEX('R1. Scenario specifications'!$C$11:$C$59,MATCH($A60,'R1. Scenario specifications'!$A$11:$A$59,0))</f>
        <v>Reference Technologies Scenario, Energy Technology Perspectives 2017</v>
      </c>
      <c r="C60" s="3" t="s">
        <v>253</v>
      </c>
      <c r="D60" s="3" t="str">
        <f t="array" ref="D60">INDEX($F$86:$F$161,MATCH($A60&amp;$C60,$B$86:$B$161&amp;$D$86:$D$161,0))</f>
        <v>PJ</v>
      </c>
      <c r="E60" s="3" t="s">
        <v>482</v>
      </c>
      <c r="F60" s="34">
        <f t="array" ref="F60">IF(SUMIFS(G$86:G$161,$B$86:$B$161,$A60)=0,"",SUMIFS(G$86:G$161,$B$86:$B$161,$A60,$D$86:$D$161,$C60)*INDEX($B$7:$B$9,MATCH($D60&amp;$E60,$C$7:$C$9&amp;$D$7:$D$9,0)))</f>
        <v>54727.207129212009</v>
      </c>
      <c r="G60" s="34" t="str">
        <f t="array" ref="G60">IF(SUMIFS(H$86:H$161,$B$86:$B$161,$A60)=0,"",SUMIFS(H$86:H$161,$B$86:$B$161,$A60,$D$86:$D$161,$C60)*INDEX($B$7:$B$9,MATCH($D60&amp;$E60,$C$7:$C$9&amp;$D$7:$D$9,0)))</f>
        <v/>
      </c>
      <c r="H60" s="34" t="str">
        <f t="array" ref="H60">IF(SUMIFS(I$86:I$161,$B$86:$B$161,$A60)=0,"",SUMIFS(I$86:I$161,$B$86:$B$161,$A60,$D$86:$D$161,$C60)*INDEX($B$7:$B$9,MATCH($D60&amp;$E60,$C$7:$C$9&amp;$D$7:$D$9,0)))</f>
        <v/>
      </c>
      <c r="I60" s="34" t="str">
        <f t="array" ref="I60">IF(SUMIFS(J$86:J$161,$B$86:$B$161,$A60)=0,"",SUMIFS(J$86:J$161,$B$86:$B$161,$A60,$D$86:$D$161,$C60)*INDEX($B$7:$B$9,MATCH($D60&amp;$E60,$C$7:$C$9&amp;$D$7:$D$9,0)))</f>
        <v/>
      </c>
      <c r="J60" s="34">
        <f t="array" ref="J60">IF(SUMIFS(K$86:K$161,$B$86:$B$161,$A60)=0,"",SUMIFS(K$86:K$161,$B$86:$B$161,$A60,$D$86:$D$161,$C60)*INDEX($B$7:$B$9,MATCH($D60&amp;$E60,$C$7:$C$9&amp;$D$7:$D$9,0)))</f>
        <v>63329.516406807663</v>
      </c>
      <c r="K60" s="34">
        <f t="array" ref="K60">IF(SUMIFS(L$86:L$161,$B$86:$B$161,$A60)=0,"",SUMIFS(L$86:L$161,$B$86:$B$161,$A60,$D$86:$D$161,$C60)*INDEX($B$7:$B$9,MATCH($D60&amp;$E60,$C$7:$C$9&amp;$D$7:$D$9,0)))</f>
        <v>70498.107471470707</v>
      </c>
      <c r="L60" s="34">
        <f t="array" ref="L60">IF(SUMIFS(M$86:M$161,$B$86:$B$161,$A60)=0,"",SUMIFS(M$86:M$161,$B$86:$B$161,$A60,$D$86:$D$161,$C60)*INDEX($B$7:$B$9,MATCH($D60&amp;$E60,$C$7:$C$9&amp;$D$7:$D$9,0)))</f>
        <v>74552.475154914529</v>
      </c>
      <c r="M60" s="34">
        <f t="array" ref="M60">IF(SUMIFS(N$86:N$161,$B$86:$B$161,$A60)=0,"",SUMIFS(N$86:N$161,$B$86:$B$161,$A60,$D$86:$D$161,$C60)*INDEX($B$7:$B$9,MATCH($D60&amp;$E60,$C$7:$C$9&amp;$D$7:$D$9,0)))</f>
        <v>79723.447504423792</v>
      </c>
      <c r="N60" s="34">
        <f t="array" ref="N60">IF(SUMIFS(O$86:O$161,$B$86:$B$161,$A60)=0,"",SUMIFS(O$86:O$161,$B$86:$B$161,$A60,$D$86:$D$161,$C60)*INDEX($B$7:$B$9,MATCH($D60&amp;$E60,$C$7:$C$9&amp;$D$7:$D$9,0)))</f>
        <v>84595.559668756963</v>
      </c>
      <c r="O60" s="34">
        <f t="array" ref="O60">IF(SUMIFS(P$86:P$161,$B$86:$B$161,$A60)=0,"",SUMIFS(P$86:P$161,$B$86:$B$161,$A60,$D$86:$D$161,$C60)*INDEX($B$7:$B$9,MATCH($D60&amp;$E60,$C$7:$C$9&amp;$D$7:$D$9,0)))</f>
        <v>88714.934143848994</v>
      </c>
      <c r="P60" s="34">
        <f t="array" ref="P60">IF(SUMIFS(Q$86:Q$161,$B$86:$B$161,$A60)=0,"",SUMIFS(Q$86:Q$161,$B$86:$B$161,$A60,$D$86:$D$161,$C60)*INDEX($B$7:$B$9,MATCH($D60&amp;$E60,$C$7:$C$9&amp;$D$7:$D$9,0)))</f>
        <v>92911.455462889993</v>
      </c>
      <c r="Q60" s="34">
        <f t="array" ref="Q60">IF(SUMIFS(R$86:R$161,$B$86:$B$161,$A60)=0,"",SUMIFS(R$86:R$161,$B$86:$B$161,$A60,$D$86:$D$161,$C60)*INDEX($B$7:$B$9,MATCH($D60&amp;$E60,$C$7:$C$9&amp;$D$7:$D$9,0)))</f>
        <v>96734.258713914533</v>
      </c>
      <c r="R60" s="34">
        <f t="array" ref="R60">IF(SUMIFS(S$86:S$161,$B$86:$B$161,$A60)=0,"",SUMIFS(S$86:S$161,$B$86:$B$161,$A60,$D$86:$D$161,$C60)*INDEX($B$7:$B$9,MATCH($D60&amp;$E60,$C$7:$C$9&amp;$D$7:$D$9,0)))</f>
        <v>98896.254567430544</v>
      </c>
    </row>
    <row r="61" spans="1:18" x14ac:dyDescent="0.3">
      <c r="A61" s="3" t="s">
        <v>381</v>
      </c>
      <c r="B61" s="3" t="str">
        <f>INDEX('R1. Scenario specifications'!$C$11:$C$59,MATCH($A61,'R1. Scenario specifications'!$A$11:$A$59,0))</f>
        <v>Reference Technologies Scenario, Energy Technology Perspectives 2017</v>
      </c>
      <c r="C61" s="3" t="s">
        <v>461</v>
      </c>
      <c r="D61" s="3" t="str">
        <f t="array" ref="D61">INDEX($F$86:$F$161,MATCH($A61&amp;$C61,$B$86:$B$161&amp;$D$86:$D$161,0))</f>
        <v>PJ</v>
      </c>
      <c r="E61" s="3" t="s">
        <v>482</v>
      </c>
      <c r="F61" s="34">
        <f t="array" ref="F61">IF(SUMIFS(G$86:G$161,$B$86:$B$161,$A61)=0,"",SUMIFS(G$86:G$161,$B$86:$B$161,$A61,$D$86:$D$161,$C61)*INDEX($B$7:$B$9,MATCH($D61&amp;$E61,$C$7:$C$9&amp;$D$7:$D$9,0)))</f>
        <v>7768.6318090440009</v>
      </c>
      <c r="G61" s="34" t="str">
        <f t="array" ref="G61">IF(SUMIFS(H$86:H$161,$B$86:$B$161,$A61)=0,"",SUMIFS(H$86:H$161,$B$86:$B$161,$A61,$D$86:$D$161,$C61)*INDEX($B$7:$B$9,MATCH($D61&amp;$E61,$C$7:$C$9&amp;$D$7:$D$9,0)))</f>
        <v/>
      </c>
      <c r="H61" s="34" t="str">
        <f t="array" ref="H61">IF(SUMIFS(I$86:I$161,$B$86:$B$161,$A61)=0,"",SUMIFS(I$86:I$161,$B$86:$B$161,$A61,$D$86:$D$161,$C61)*INDEX($B$7:$B$9,MATCH($D61&amp;$E61,$C$7:$C$9&amp;$D$7:$D$9,0)))</f>
        <v/>
      </c>
      <c r="I61" s="34" t="str">
        <f t="array" ref="I61">IF(SUMIFS(J$86:J$161,$B$86:$B$161,$A61)=0,"",SUMIFS(J$86:J$161,$B$86:$B$161,$A61,$D$86:$D$161,$C61)*INDEX($B$7:$B$9,MATCH($D61&amp;$E61,$C$7:$C$9&amp;$D$7:$D$9,0)))</f>
        <v/>
      </c>
      <c r="J61" s="34">
        <f t="array" ref="J61">IF(SUMIFS(K$86:K$161,$B$86:$B$161,$A61)=0,"",SUMIFS(K$86:K$161,$B$86:$B$161,$A61,$D$86:$D$161,$C61)*INDEX($B$7:$B$9,MATCH($D61&amp;$E61,$C$7:$C$9&amp;$D$7:$D$9,0)))</f>
        <v>15167.484074857288</v>
      </c>
      <c r="K61" s="34">
        <f t="array" ref="K61">IF(SUMIFS(L$86:L$161,$B$86:$B$161,$A61)=0,"",SUMIFS(L$86:L$161,$B$86:$B$161,$A61,$D$86:$D$161,$C61)*INDEX($B$7:$B$9,MATCH($D61&amp;$E61,$C$7:$C$9&amp;$D$7:$D$9,0)))</f>
        <v>21333.194296368361</v>
      </c>
      <c r="L61" s="34">
        <f t="array" ref="L61">IF(SUMIFS(M$86:M$161,$B$86:$B$161,$A61)=0,"",SUMIFS(M$86:M$161,$B$86:$B$161,$A61,$D$86:$D$161,$C61)*INDEX($B$7:$B$9,MATCH($D61&amp;$E61,$C$7:$C$9&amp;$D$7:$D$9,0)))</f>
        <v>28996.761728250171</v>
      </c>
      <c r="M61" s="34">
        <f t="array" ref="M61">IF(SUMIFS(N$86:N$161,$B$86:$B$161,$A61)=0,"",SUMIFS(N$86:N$161,$B$86:$B$161,$A61,$D$86:$D$161,$C61)*INDEX($B$7:$B$9,MATCH($D61&amp;$E61,$C$7:$C$9&amp;$D$7:$D$9,0)))</f>
        <v>38110.273112632582</v>
      </c>
      <c r="N61" s="34">
        <f t="array" ref="N61">IF(SUMIFS(O$86:O$161,$B$86:$B$161,$A61)=0,"",SUMIFS(O$86:O$161,$B$86:$B$161,$A61,$D$86:$D$161,$C61)*INDEX($B$7:$B$9,MATCH($D61&amp;$E61,$C$7:$C$9&amp;$D$7:$D$9,0)))</f>
        <v>47899.020655953034</v>
      </c>
      <c r="O61" s="34">
        <f t="array" ref="O61">IF(SUMIFS(P$86:P$161,$B$86:$B$161,$A61)=0,"",SUMIFS(P$86:P$161,$B$86:$B$161,$A61,$D$86:$D$161,$C61)*INDEX($B$7:$B$9,MATCH($D61&amp;$E61,$C$7:$C$9&amp;$D$7:$D$9,0)))</f>
        <v>57896.54673278574</v>
      </c>
      <c r="P61" s="34">
        <f t="array" ref="P61">IF(SUMIFS(Q$86:Q$161,$B$86:$B$161,$A61)=0,"",SUMIFS(Q$86:Q$161,$B$86:$B$161,$A61,$D$86:$D$161,$C61)*INDEX($B$7:$B$9,MATCH($D61&amp;$E61,$C$7:$C$9&amp;$D$7:$D$9,0)))</f>
        <v>69303.266971006233</v>
      </c>
      <c r="Q61" s="34">
        <f t="array" ref="Q61">IF(SUMIFS(R$86:R$161,$B$86:$B$161,$A61)=0,"",SUMIFS(R$86:R$161,$B$86:$B$161,$A61,$D$86:$D$161,$C61)*INDEX($B$7:$B$9,MATCH($D61&amp;$E61,$C$7:$C$9&amp;$D$7:$D$9,0)))</f>
        <v>81434.20416997993</v>
      </c>
      <c r="R61" s="34">
        <f t="array" ref="R61">IF(SUMIFS(S$86:S$161,$B$86:$B$161,$A61)=0,"",SUMIFS(S$86:S$161,$B$86:$B$161,$A61,$D$86:$D$161,$C61)*INDEX($B$7:$B$9,MATCH($D61&amp;$E61,$C$7:$C$9&amp;$D$7:$D$9,0)))</f>
        <v>93232.719014700997</v>
      </c>
    </row>
    <row r="62" spans="1:18" x14ac:dyDescent="0.3">
      <c r="A62" s="3" t="s">
        <v>382</v>
      </c>
      <c r="B62" s="3" t="str">
        <f>INDEX('R1. Scenario specifications'!$C$11:$C$59,MATCH($A62,'R1. Scenario specifications'!$A$11:$A$59,0))</f>
        <v>2 Degrees Scenario, Energy Technology Perspectives 2017</v>
      </c>
      <c r="C62" s="3" t="s">
        <v>254</v>
      </c>
      <c r="D62" s="3" t="str">
        <f t="array" ref="D62">INDEX($F$86:$F$161,MATCH($A62&amp;$C62,$B$86:$B$161&amp;$D$86:$D$161,0))</f>
        <v>PJ</v>
      </c>
      <c r="E62" s="3" t="s">
        <v>482</v>
      </c>
      <c r="F62" s="34">
        <f t="array" ref="F62">IF(SUMIFS(G$86:G$161,$B$86:$B$161,$A62)=0,"",SUMIFS(G$86:G$161,$B$86:$B$161,$A62,$D$86:$D$161,$C62)*INDEX($B$7:$B$9,MATCH($D62&amp;$E62,$C$7:$C$9&amp;$D$7:$D$9,0)))</f>
        <v>163853.62994548801</v>
      </c>
      <c r="G62" s="34" t="str">
        <f t="array" ref="G62">IF(SUMIFS(H$86:H$161,$B$86:$B$161,$A62)=0,"",SUMIFS(H$86:H$161,$B$86:$B$161,$A62,$D$86:$D$161,$C62)*INDEX($B$7:$B$9,MATCH($D62&amp;$E62,$C$7:$C$9&amp;$D$7:$D$9,0)))</f>
        <v/>
      </c>
      <c r="H62" s="34" t="str">
        <f t="array" ref="H62">IF(SUMIFS(I$86:I$161,$B$86:$B$161,$A62)=0,"",SUMIFS(I$86:I$161,$B$86:$B$161,$A62,$D$86:$D$161,$C62)*INDEX($B$7:$B$9,MATCH($D62&amp;$E62,$C$7:$C$9&amp;$D$7:$D$9,0)))</f>
        <v/>
      </c>
      <c r="I62" s="34" t="str">
        <f t="array" ref="I62">IF(SUMIFS(J$86:J$161,$B$86:$B$161,$A62)=0,"",SUMIFS(J$86:J$161,$B$86:$B$161,$A62,$D$86:$D$161,$C62)*INDEX($B$7:$B$9,MATCH($D62&amp;$E62,$C$7:$C$9&amp;$D$7:$D$9,0)))</f>
        <v/>
      </c>
      <c r="J62" s="34">
        <f t="array" ref="J62">IF(SUMIFS(K$86:K$161,$B$86:$B$161,$A62)=0,"",SUMIFS(K$86:K$161,$B$86:$B$161,$A62,$D$86:$D$161,$C62)*INDEX($B$7:$B$9,MATCH($D62&amp;$E62,$C$7:$C$9&amp;$D$7:$D$9,0)))</f>
        <v>141485.18798279564</v>
      </c>
      <c r="K62" s="34">
        <f t="array" ref="K62">IF(SUMIFS(L$86:L$161,$B$86:$B$161,$A62)=0,"",SUMIFS(L$86:L$161,$B$86:$B$161,$A62,$D$86:$D$161,$C62)*INDEX($B$7:$B$9,MATCH($D62&amp;$E62,$C$7:$C$9&amp;$D$7:$D$9,0)))</f>
        <v>122844.819680552</v>
      </c>
      <c r="L62" s="34">
        <f t="array" ref="L62">IF(SUMIFS(M$86:M$161,$B$86:$B$161,$A62)=0,"",SUMIFS(M$86:M$161,$B$86:$B$161,$A62,$D$86:$D$161,$C62)*INDEX($B$7:$B$9,MATCH($D62&amp;$E62,$C$7:$C$9&amp;$D$7:$D$9,0)))</f>
        <v>95650.103712068187</v>
      </c>
      <c r="M62" s="34">
        <f t="array" ref="M62">IF(SUMIFS(N$86:N$161,$B$86:$B$161,$A62)=0,"",SUMIFS(N$86:N$161,$B$86:$B$161,$A62,$D$86:$D$161,$C62)*INDEX($B$7:$B$9,MATCH($D62&amp;$E62,$C$7:$C$9&amp;$D$7:$D$9,0)))</f>
        <v>74734.938721281811</v>
      </c>
      <c r="N62" s="34">
        <f t="array" ref="N62">IF(SUMIFS(O$86:O$161,$B$86:$B$161,$A62)=0,"",SUMIFS(O$86:O$161,$B$86:$B$161,$A62,$D$86:$D$161,$C62)*INDEX($B$7:$B$9,MATCH($D62&amp;$E62,$C$7:$C$9&amp;$D$7:$D$9,0)))</f>
        <v>65415.479524564296</v>
      </c>
      <c r="O62" s="34">
        <f t="array" ref="O62">IF(SUMIFS(P$86:P$161,$B$86:$B$161,$A62)=0,"",SUMIFS(P$86:P$161,$B$86:$B$161,$A62,$D$86:$D$161,$C62)*INDEX($B$7:$B$9,MATCH($D62&amp;$E62,$C$7:$C$9&amp;$D$7:$D$9,0)))</f>
        <v>59165.461950682948</v>
      </c>
      <c r="P62" s="34">
        <f t="array" ref="P62">IF(SUMIFS(Q$86:Q$161,$B$86:$B$161,$A62)=0,"",SUMIFS(Q$86:Q$161,$B$86:$B$161,$A62,$D$86:$D$161,$C62)*INDEX($B$7:$B$9,MATCH($D62&amp;$E62,$C$7:$C$9&amp;$D$7:$D$9,0)))</f>
        <v>53245.511661229037</v>
      </c>
      <c r="Q62" s="34">
        <f t="array" ref="Q62">IF(SUMIFS(R$86:R$161,$B$86:$B$161,$A62)=0,"",SUMIFS(R$86:R$161,$B$86:$B$161,$A62,$D$86:$D$161,$C62)*INDEX($B$7:$B$9,MATCH($D62&amp;$E62,$C$7:$C$9&amp;$D$7:$D$9,0)))</f>
        <v>47716.862127264991</v>
      </c>
      <c r="R62" s="34">
        <f t="array" ref="R62">IF(SUMIFS(S$86:S$161,$B$86:$B$161,$A62)=0,"",SUMIFS(S$86:S$161,$B$86:$B$161,$A62,$D$86:$D$161,$C62)*INDEX($B$7:$B$9,MATCH($D62&amp;$E62,$C$7:$C$9&amp;$D$7:$D$9,0)))</f>
        <v>45820.557046194997</v>
      </c>
    </row>
    <row r="63" spans="1:18" x14ac:dyDescent="0.3">
      <c r="A63" s="3" t="s">
        <v>382</v>
      </c>
      <c r="B63" s="3" t="str">
        <f>INDEX('R1. Scenario specifications'!$C$11:$C$59,MATCH($A63,'R1. Scenario specifications'!$A$11:$A$59,0))</f>
        <v>2 Degrees Scenario, Energy Technology Perspectives 2017</v>
      </c>
      <c r="C63" s="3" t="s">
        <v>266</v>
      </c>
      <c r="D63" s="3" t="str">
        <f t="array" ref="D63">INDEX($F$86:$F$161,MATCH($A63&amp;$C63,$B$86:$B$161&amp;$D$86:$D$161,0))</f>
        <v>PJ</v>
      </c>
      <c r="E63" s="3" t="s">
        <v>482</v>
      </c>
      <c r="F63" s="34">
        <f t="array" ref="F63">IF(SUMIFS(G$86:G$161,$B$86:$B$161,$A63)=0,"",SUMIFS(G$86:G$161,$B$86:$B$161,$A63,$D$86:$D$161,$C63)*INDEX($B$7:$B$9,MATCH($D63&amp;$E63,$C$7:$C$9&amp;$D$7:$D$9,0)))</f>
        <v>179603.77400539213</v>
      </c>
      <c r="G63" s="34" t="str">
        <f t="array" ref="G63">IF(SUMIFS(H$86:H$161,$B$86:$B$161,$A63)=0,"",SUMIFS(H$86:H$161,$B$86:$B$161,$A63,$D$86:$D$161,$C63)*INDEX($B$7:$B$9,MATCH($D63&amp;$E63,$C$7:$C$9&amp;$D$7:$D$9,0)))</f>
        <v/>
      </c>
      <c r="H63" s="34" t="str">
        <f t="array" ref="H63">IF(SUMIFS(I$86:I$161,$B$86:$B$161,$A63)=0,"",SUMIFS(I$86:I$161,$B$86:$B$161,$A63,$D$86:$D$161,$C63)*INDEX($B$7:$B$9,MATCH($D63&amp;$E63,$C$7:$C$9&amp;$D$7:$D$9,0)))</f>
        <v/>
      </c>
      <c r="I63" s="34" t="str">
        <f t="array" ref="I63">IF(SUMIFS(J$86:J$161,$B$86:$B$161,$A63)=0,"",SUMIFS(J$86:J$161,$B$86:$B$161,$A63,$D$86:$D$161,$C63)*INDEX($B$7:$B$9,MATCH($D63&amp;$E63,$C$7:$C$9&amp;$D$7:$D$9,0)))</f>
        <v/>
      </c>
      <c r="J63" s="34">
        <f t="array" ref="J63">IF(SUMIFS(K$86:K$161,$B$86:$B$161,$A63)=0,"",SUMIFS(K$86:K$161,$B$86:$B$161,$A63,$D$86:$D$161,$C63)*INDEX($B$7:$B$9,MATCH($D63&amp;$E63,$C$7:$C$9&amp;$D$7:$D$9,0)))</f>
        <v>173200.28108051373</v>
      </c>
      <c r="K63" s="34">
        <f t="array" ref="K63">IF(SUMIFS(L$86:L$161,$B$86:$B$161,$A63)=0,"",SUMIFS(L$86:L$161,$B$86:$B$161,$A63,$D$86:$D$161,$C63)*INDEX($B$7:$B$9,MATCH($D63&amp;$E63,$C$7:$C$9&amp;$D$7:$D$9,0)))</f>
        <v>167864.03697644838</v>
      </c>
      <c r="L63" s="34">
        <f t="array" ref="L63">IF(SUMIFS(M$86:M$161,$B$86:$B$161,$A63)=0,"",SUMIFS(M$86:M$161,$B$86:$B$161,$A63,$D$86:$D$161,$C63)*INDEX($B$7:$B$9,MATCH($D63&amp;$E63,$C$7:$C$9&amp;$D$7:$D$9,0)))</f>
        <v>159317.83188446047</v>
      </c>
      <c r="M63" s="34">
        <f t="array" ref="M63">IF(SUMIFS(N$86:N$161,$B$86:$B$161,$A63)=0,"",SUMIFS(N$86:N$161,$B$86:$B$161,$A63,$D$86:$D$161,$C63)*INDEX($B$7:$B$9,MATCH($D63&amp;$E63,$C$7:$C$9&amp;$D$7:$D$9,0)))</f>
        <v>149561.8957778312</v>
      </c>
      <c r="N63" s="34">
        <f t="array" ref="N63">IF(SUMIFS(O$86:O$161,$B$86:$B$161,$A63)=0,"",SUMIFS(O$86:O$161,$B$86:$B$161,$A63,$D$86:$D$161,$C63)*INDEX($B$7:$B$9,MATCH($D63&amp;$E63,$C$7:$C$9&amp;$D$7:$D$9,0)))</f>
        <v>139519.10689064197</v>
      </c>
      <c r="O63" s="34">
        <f t="array" ref="O63">IF(SUMIFS(P$86:P$161,$B$86:$B$161,$A63)=0,"",SUMIFS(P$86:P$161,$B$86:$B$161,$A63,$D$86:$D$161,$C63)*INDEX($B$7:$B$9,MATCH($D63&amp;$E63,$C$7:$C$9&amp;$D$7:$D$9,0)))</f>
        <v>127418.18993457334</v>
      </c>
      <c r="P63" s="34">
        <f t="array" ref="P63">IF(SUMIFS(Q$86:Q$161,$B$86:$B$161,$A63)=0,"",SUMIFS(Q$86:Q$161,$B$86:$B$161,$A63,$D$86:$D$161,$C63)*INDEX($B$7:$B$9,MATCH($D63&amp;$E63,$C$7:$C$9&amp;$D$7:$D$9,0)))</f>
        <v>115684.21404773994</v>
      </c>
      <c r="Q63" s="34">
        <f t="array" ref="Q63">IF(SUMIFS(R$86:R$161,$B$86:$B$161,$A63)=0,"",SUMIFS(R$86:R$161,$B$86:$B$161,$A63,$D$86:$D$161,$C63)*INDEX($B$7:$B$9,MATCH($D63&amp;$E63,$C$7:$C$9&amp;$D$7:$D$9,0)))</f>
        <v>105528.41620285725</v>
      </c>
      <c r="R63" s="34">
        <f t="array" ref="R63">IF(SUMIFS(S$86:S$161,$B$86:$B$161,$A63)=0,"",SUMIFS(S$86:S$161,$B$86:$B$161,$A63,$D$86:$D$161,$C63)*INDEX($B$7:$B$9,MATCH($D63&amp;$E63,$C$7:$C$9&amp;$D$7:$D$9,0)))</f>
        <v>98920.465937812871</v>
      </c>
    </row>
    <row r="64" spans="1:18" x14ac:dyDescent="0.3">
      <c r="A64" s="3" t="s">
        <v>382</v>
      </c>
      <c r="B64" s="3" t="str">
        <f>INDEX('R1. Scenario specifications'!$C$11:$C$59,MATCH($A64,'R1. Scenario specifications'!$A$11:$A$59,0))</f>
        <v>2 Degrees Scenario, Energy Technology Perspectives 2017</v>
      </c>
      <c r="C64" s="3" t="s">
        <v>255</v>
      </c>
      <c r="D64" s="3" t="str">
        <f t="array" ref="D64">INDEX($F$86:$F$161,MATCH($A64&amp;$C64,$B$86:$B$161&amp;$D$86:$D$161,0))</f>
        <v>PJ</v>
      </c>
      <c r="E64" s="3" t="s">
        <v>482</v>
      </c>
      <c r="F64" s="34">
        <f t="array" ref="F64">IF(SUMIFS(G$86:G$161,$B$86:$B$161,$A64)=0,"",SUMIFS(G$86:G$161,$B$86:$B$161,$A64,$D$86:$D$161,$C64)*INDEX($B$7:$B$9,MATCH($D64&amp;$E64,$C$7:$C$9&amp;$D$7:$D$9,0)))</f>
        <v>121441.43859937201</v>
      </c>
      <c r="G64" s="34" t="str">
        <f t="array" ref="G64">IF(SUMIFS(H$86:H$161,$B$86:$B$161,$A64)=0,"",SUMIFS(H$86:H$161,$B$86:$B$161,$A64,$D$86:$D$161,$C64)*INDEX($B$7:$B$9,MATCH($D64&amp;$E64,$C$7:$C$9&amp;$D$7:$D$9,0)))</f>
        <v/>
      </c>
      <c r="H64" s="34" t="str">
        <f t="array" ref="H64">IF(SUMIFS(I$86:I$161,$B$86:$B$161,$A64)=0,"",SUMIFS(I$86:I$161,$B$86:$B$161,$A64,$D$86:$D$161,$C64)*INDEX($B$7:$B$9,MATCH($D64&amp;$E64,$C$7:$C$9&amp;$D$7:$D$9,0)))</f>
        <v/>
      </c>
      <c r="I64" s="34" t="str">
        <f t="array" ref="I64">IF(SUMIFS(J$86:J$161,$B$86:$B$161,$A64)=0,"",SUMIFS(J$86:J$161,$B$86:$B$161,$A64,$D$86:$D$161,$C64)*INDEX($B$7:$B$9,MATCH($D64&amp;$E64,$C$7:$C$9&amp;$D$7:$D$9,0)))</f>
        <v/>
      </c>
      <c r="J64" s="34">
        <f t="array" ref="J64">IF(SUMIFS(K$86:K$161,$B$86:$B$161,$A64)=0,"",SUMIFS(K$86:K$161,$B$86:$B$161,$A64,$D$86:$D$161,$C64)*INDEX($B$7:$B$9,MATCH($D64&amp;$E64,$C$7:$C$9&amp;$D$7:$D$9,0)))</f>
        <v>130428.26178044887</v>
      </c>
      <c r="K64" s="34">
        <f t="array" ref="K64">IF(SUMIFS(L$86:L$161,$B$86:$B$161,$A64)=0,"",SUMIFS(L$86:L$161,$B$86:$B$161,$A64,$D$86:$D$161,$C64)*INDEX($B$7:$B$9,MATCH($D64&amp;$E64,$C$7:$C$9&amp;$D$7:$D$9,0)))</f>
        <v>137917.28109801293</v>
      </c>
      <c r="L64" s="34">
        <f t="array" ref="L64">IF(SUMIFS(M$86:M$161,$B$86:$B$161,$A64)=0,"",SUMIFS(M$86:M$161,$B$86:$B$161,$A64,$D$86:$D$161,$C64)*INDEX($B$7:$B$9,MATCH($D64&amp;$E64,$C$7:$C$9&amp;$D$7:$D$9,0)))</f>
        <v>132421.50137990084</v>
      </c>
      <c r="M64" s="34">
        <f t="array" ref="M64">IF(SUMIFS(N$86:N$161,$B$86:$B$161,$A64)=0,"",SUMIFS(N$86:N$161,$B$86:$B$161,$A64,$D$86:$D$161,$C64)*INDEX($B$7:$B$9,MATCH($D64&amp;$E64,$C$7:$C$9&amp;$D$7:$D$9,0)))</f>
        <v>128263.13988867433</v>
      </c>
      <c r="N64" s="34">
        <f t="array" ref="N64">IF(SUMIFS(O$86:O$161,$B$86:$B$161,$A64)=0,"",SUMIFS(O$86:O$161,$B$86:$B$161,$A64,$D$86:$D$161,$C64)*INDEX($B$7:$B$9,MATCH($D64&amp;$E64,$C$7:$C$9&amp;$D$7:$D$9,0)))</f>
        <v>119025.19212680159</v>
      </c>
      <c r="O64" s="34">
        <f t="array" ref="O64">IF(SUMIFS(P$86:P$161,$B$86:$B$161,$A64)=0,"",SUMIFS(P$86:P$161,$B$86:$B$161,$A64,$D$86:$D$161,$C64)*INDEX($B$7:$B$9,MATCH($D64&amp;$E64,$C$7:$C$9&amp;$D$7:$D$9,0)))</f>
        <v>109298.67364155094</v>
      </c>
      <c r="P64" s="34">
        <f t="array" ref="P64">IF(SUMIFS(Q$86:Q$161,$B$86:$B$161,$A64)=0,"",SUMIFS(Q$86:Q$161,$B$86:$B$161,$A64,$D$86:$D$161,$C64)*INDEX($B$7:$B$9,MATCH($D64&amp;$E64,$C$7:$C$9&amp;$D$7:$D$9,0)))</f>
        <v>100303.98266473763</v>
      </c>
      <c r="Q64" s="34">
        <f t="array" ref="Q64">IF(SUMIFS(R$86:R$161,$B$86:$B$161,$A64)=0,"",SUMIFS(R$86:R$161,$B$86:$B$161,$A64,$D$86:$D$161,$C64)*INDEX($B$7:$B$9,MATCH($D64&amp;$E64,$C$7:$C$9&amp;$D$7:$D$9,0)))</f>
        <v>97401.100895329844</v>
      </c>
      <c r="R64" s="34">
        <f t="array" ref="R64">IF(SUMIFS(S$86:S$161,$B$86:$B$161,$A64)=0,"",SUMIFS(S$86:S$161,$B$86:$B$161,$A64,$D$86:$D$161,$C64)*INDEX($B$7:$B$9,MATCH($D64&amp;$E64,$C$7:$C$9&amp;$D$7:$D$9,0)))</f>
        <v>89561.589590119635</v>
      </c>
    </row>
    <row r="65" spans="1:18" x14ac:dyDescent="0.3">
      <c r="A65" s="3" t="s">
        <v>382</v>
      </c>
      <c r="B65" s="3" t="str">
        <f>INDEX('R1. Scenario specifications'!$C$11:$C$59,MATCH($A65,'R1. Scenario specifications'!$A$11:$A$59,0))</f>
        <v>2 Degrees Scenario, Energy Technology Perspectives 2017</v>
      </c>
      <c r="C65" s="3" t="s">
        <v>257</v>
      </c>
      <c r="D65" s="3" t="str">
        <f t="array" ref="D65">INDEX($F$86:$F$161,MATCH($A65&amp;$C65,$B$86:$B$161&amp;$D$86:$D$161,0))</f>
        <v>PJ</v>
      </c>
      <c r="E65" s="3" t="s">
        <v>482</v>
      </c>
      <c r="F65" s="34">
        <f t="array" ref="F65">IF(SUMIFS(G$86:G$161,$B$86:$B$161,$A65)=0,"",SUMIFS(G$86:G$161,$B$86:$B$161,$A65,$D$86:$D$161,$C65)*INDEX($B$7:$B$9,MATCH($D65&amp;$E65,$C$7:$C$9&amp;$D$7:$D$9,0)))</f>
        <v>27689.539085172</v>
      </c>
      <c r="G65" s="34" t="str">
        <f t="array" ref="G65">IF(SUMIFS(H$86:H$161,$B$86:$B$161,$A65)=0,"",SUMIFS(H$86:H$161,$B$86:$B$161,$A65,$D$86:$D$161,$C65)*INDEX($B$7:$B$9,MATCH($D65&amp;$E65,$C$7:$C$9&amp;$D$7:$D$9,0)))</f>
        <v/>
      </c>
      <c r="H65" s="34" t="str">
        <f t="array" ref="H65">IF(SUMIFS(I$86:I$161,$B$86:$B$161,$A65)=0,"",SUMIFS(I$86:I$161,$B$86:$B$161,$A65,$D$86:$D$161,$C65)*INDEX($B$7:$B$9,MATCH($D65&amp;$E65,$C$7:$C$9&amp;$D$7:$D$9,0)))</f>
        <v/>
      </c>
      <c r="I65" s="34" t="str">
        <f t="array" ref="I65">IF(SUMIFS(J$86:J$161,$B$86:$B$161,$A65)=0,"",SUMIFS(J$86:J$161,$B$86:$B$161,$A65,$D$86:$D$161,$C65)*INDEX($B$7:$B$9,MATCH($D65&amp;$E65,$C$7:$C$9&amp;$D$7:$D$9,0)))</f>
        <v/>
      </c>
      <c r="J65" s="34">
        <f t="array" ref="J65">IF(SUMIFS(K$86:K$161,$B$86:$B$161,$A65)=0,"",SUMIFS(K$86:K$161,$B$86:$B$161,$A65,$D$86:$D$161,$C65)*INDEX($B$7:$B$9,MATCH($D65&amp;$E65,$C$7:$C$9&amp;$D$7:$D$9,0)))</f>
        <v>33611.489844121767</v>
      </c>
      <c r="K65" s="34">
        <f t="array" ref="K65">IF(SUMIFS(L$86:L$161,$B$86:$B$161,$A65)=0,"",SUMIFS(L$86:L$161,$B$86:$B$161,$A65,$D$86:$D$161,$C65)*INDEX($B$7:$B$9,MATCH($D65&amp;$E65,$C$7:$C$9&amp;$D$7:$D$9,0)))</f>
        <v>38546.448809913236</v>
      </c>
      <c r="L65" s="34">
        <f t="array" ref="L65">IF(SUMIFS(M$86:M$161,$B$86:$B$161,$A65)=0,"",SUMIFS(M$86:M$161,$B$86:$B$161,$A65,$D$86:$D$161,$C65)*INDEX($B$7:$B$9,MATCH($D65&amp;$E65,$C$7:$C$9&amp;$D$7:$D$9,0)))</f>
        <v>49502.93176789557</v>
      </c>
      <c r="M65" s="34">
        <f t="array" ref="M65">IF(SUMIFS(N$86:N$161,$B$86:$B$161,$A65)=0,"",SUMIFS(N$86:N$161,$B$86:$B$161,$A65,$D$86:$D$161,$C65)*INDEX($B$7:$B$9,MATCH($D65&amp;$E65,$C$7:$C$9&amp;$D$7:$D$9,0)))</f>
        <v>57073.001358530848</v>
      </c>
      <c r="N65" s="34">
        <f t="array" ref="N65">IF(SUMIFS(O$86:O$161,$B$86:$B$161,$A65)=0,"",SUMIFS(O$86:O$161,$B$86:$B$161,$A65,$D$86:$D$161,$C65)*INDEX($B$7:$B$9,MATCH($D65&amp;$E65,$C$7:$C$9&amp;$D$7:$D$9,0)))</f>
        <v>64864.445191910199</v>
      </c>
      <c r="O65" s="34">
        <f t="array" ref="O65">IF(SUMIFS(P$86:P$161,$B$86:$B$161,$A65)=0,"",SUMIFS(P$86:P$161,$B$86:$B$161,$A65,$D$86:$D$161,$C65)*INDEX($B$7:$B$9,MATCH($D65&amp;$E65,$C$7:$C$9&amp;$D$7:$D$9,0)))</f>
        <v>71415.511127106671</v>
      </c>
      <c r="P65" s="34">
        <f t="array" ref="P65">IF(SUMIFS(Q$86:Q$161,$B$86:$B$161,$A65)=0,"",SUMIFS(Q$86:Q$161,$B$86:$B$161,$A65,$D$86:$D$161,$C65)*INDEX($B$7:$B$9,MATCH($D65&amp;$E65,$C$7:$C$9&amp;$D$7:$D$9,0)))</f>
        <v>74891.155226192335</v>
      </c>
      <c r="Q65" s="34">
        <f t="array" ref="Q65">IF(SUMIFS(R$86:R$161,$B$86:$B$161,$A65)=0,"",SUMIFS(R$86:R$161,$B$86:$B$161,$A65,$D$86:$D$161,$C65)*INDEX($B$7:$B$9,MATCH($D65&amp;$E65,$C$7:$C$9&amp;$D$7:$D$9,0)))</f>
        <v>79207.159444320409</v>
      </c>
      <c r="R65" s="34">
        <f t="array" ref="R65">IF(SUMIFS(S$86:S$161,$B$86:$B$161,$A65)=0,"",SUMIFS(S$86:S$161,$B$86:$B$161,$A65,$D$86:$D$161,$C65)*INDEX($B$7:$B$9,MATCH($D65&amp;$E65,$C$7:$C$9&amp;$D$7:$D$9,0)))</f>
        <v>82089.032242507819</v>
      </c>
    </row>
    <row r="66" spans="1:18" x14ac:dyDescent="0.3">
      <c r="A66" s="3" t="s">
        <v>382</v>
      </c>
      <c r="B66" s="3" t="str">
        <f>INDEX('R1. Scenario specifications'!$C$11:$C$59,MATCH($A66,'R1. Scenario specifications'!$A$11:$A$59,0))</f>
        <v>2 Degrees Scenario, Energy Technology Perspectives 2017</v>
      </c>
      <c r="C66" s="3" t="s">
        <v>256</v>
      </c>
      <c r="D66" s="3" t="str">
        <f t="array" ref="D66">INDEX($F$86:$F$161,MATCH($A66&amp;$C66,$B$86:$B$161&amp;$D$86:$D$161,0))</f>
        <v>PJ</v>
      </c>
      <c r="E66" s="3" t="s">
        <v>482</v>
      </c>
      <c r="F66" s="34">
        <f t="array" ref="F66">IF(SUMIFS(G$86:G$161,$B$86:$B$161,$A66)=0,"",SUMIFS(G$86:G$161,$B$86:$B$161,$A66,$D$86:$D$161,$C66)*INDEX($B$7:$B$9,MATCH($D66&amp;$E66,$C$7:$C$9&amp;$D$7:$D$9,0)))</f>
        <v>14023.472570784001</v>
      </c>
      <c r="G66" s="34" t="str">
        <f t="array" ref="G66">IF(SUMIFS(H$86:H$161,$B$86:$B$161,$A66)=0,"",SUMIFS(H$86:H$161,$B$86:$B$161,$A66,$D$86:$D$161,$C66)*INDEX($B$7:$B$9,MATCH($D66&amp;$E66,$C$7:$C$9&amp;$D$7:$D$9,0)))</f>
        <v/>
      </c>
      <c r="H66" s="34" t="str">
        <f t="array" ref="H66">IF(SUMIFS(I$86:I$161,$B$86:$B$161,$A66)=0,"",SUMIFS(I$86:I$161,$B$86:$B$161,$A66,$D$86:$D$161,$C66)*INDEX($B$7:$B$9,MATCH($D66&amp;$E66,$C$7:$C$9&amp;$D$7:$D$9,0)))</f>
        <v/>
      </c>
      <c r="I66" s="34" t="str">
        <f t="array" ref="I66">IF(SUMIFS(J$86:J$161,$B$86:$B$161,$A66)=0,"",SUMIFS(J$86:J$161,$B$86:$B$161,$A66,$D$86:$D$161,$C66)*INDEX($B$7:$B$9,MATCH($D66&amp;$E66,$C$7:$C$9&amp;$D$7:$D$9,0)))</f>
        <v/>
      </c>
      <c r="J66" s="34">
        <f t="array" ref="J66">IF(SUMIFS(K$86:K$161,$B$86:$B$161,$A66)=0,"",SUMIFS(K$86:K$161,$B$86:$B$161,$A66,$D$86:$D$161,$C66)*INDEX($B$7:$B$9,MATCH($D66&amp;$E66,$C$7:$C$9&amp;$D$7:$D$9,0)))</f>
        <v>16503.233490507846</v>
      </c>
      <c r="K66" s="34">
        <f t="array" ref="K66">IF(SUMIFS(L$86:L$161,$B$86:$B$161,$A66)=0,"",SUMIFS(L$86:L$161,$B$86:$B$161,$A66,$D$86:$D$161,$C66)*INDEX($B$7:$B$9,MATCH($D66&amp;$E66,$C$7:$C$9&amp;$D$7:$D$9,0)))</f>
        <v>18569.70092361105</v>
      </c>
      <c r="L66" s="34">
        <f t="array" ref="L66">IF(SUMIFS(M$86:M$161,$B$86:$B$161,$A66)=0,"",SUMIFS(M$86:M$161,$B$86:$B$161,$A66,$D$86:$D$161,$C66)*INDEX($B$7:$B$9,MATCH($D66&amp;$E66,$C$7:$C$9&amp;$D$7:$D$9,0)))</f>
        <v>20491.966300420339</v>
      </c>
      <c r="M66" s="34">
        <f t="array" ref="M66">IF(SUMIFS(N$86:N$161,$B$86:$B$161,$A66)=0,"",SUMIFS(N$86:N$161,$B$86:$B$161,$A66,$D$86:$D$161,$C66)*INDEX($B$7:$B$9,MATCH($D66&amp;$E66,$C$7:$C$9&amp;$D$7:$D$9,0)))</f>
        <v>21766.48505213721</v>
      </c>
      <c r="N66" s="34">
        <f t="array" ref="N66">IF(SUMIFS(O$86:O$161,$B$86:$B$161,$A66)=0,"",SUMIFS(O$86:O$161,$B$86:$B$161,$A66,$D$86:$D$161,$C66)*INDEX($B$7:$B$9,MATCH($D66&amp;$E66,$C$7:$C$9&amp;$D$7:$D$9,0)))</f>
        <v>23829.259476808154</v>
      </c>
      <c r="O66" s="34">
        <f t="array" ref="O66">IF(SUMIFS(P$86:P$161,$B$86:$B$161,$A66)=0,"",SUMIFS(P$86:P$161,$B$86:$B$161,$A66,$D$86:$D$161,$C66)*INDEX($B$7:$B$9,MATCH($D66&amp;$E66,$C$7:$C$9&amp;$D$7:$D$9,0)))</f>
        <v>25709.513480191403</v>
      </c>
      <c r="P66" s="34">
        <f t="array" ref="P66">IF(SUMIFS(Q$86:Q$161,$B$86:$B$161,$A66)=0,"",SUMIFS(Q$86:Q$161,$B$86:$B$161,$A66,$D$86:$D$161,$C66)*INDEX($B$7:$B$9,MATCH($D66&amp;$E66,$C$7:$C$9&amp;$D$7:$D$9,0)))</f>
        <v>27432.314585484259</v>
      </c>
      <c r="Q66" s="34">
        <f t="array" ref="Q66">IF(SUMIFS(R$86:R$161,$B$86:$B$161,$A66)=0,"",SUMIFS(R$86:R$161,$B$86:$B$161,$A66,$D$86:$D$161,$C66)*INDEX($B$7:$B$9,MATCH($D66&amp;$E66,$C$7:$C$9&amp;$D$7:$D$9,0)))</f>
        <v>29077.588441579246</v>
      </c>
      <c r="R66" s="34">
        <f t="array" ref="R66">IF(SUMIFS(S$86:S$161,$B$86:$B$161,$A66)=0,"",SUMIFS(S$86:S$161,$B$86:$B$161,$A66,$D$86:$D$161,$C66)*INDEX($B$7:$B$9,MATCH($D66&amp;$E66,$C$7:$C$9&amp;$D$7:$D$9,0)))</f>
        <v>30647.354149912699</v>
      </c>
    </row>
    <row r="67" spans="1:18" x14ac:dyDescent="0.3">
      <c r="A67" s="3" t="s">
        <v>382</v>
      </c>
      <c r="B67" s="3" t="str">
        <f>INDEX('R1. Scenario specifications'!$C$11:$C$59,MATCH($A67,'R1. Scenario specifications'!$A$11:$A$59,0))</f>
        <v>2 Degrees Scenario, Energy Technology Perspectives 2017</v>
      </c>
      <c r="C67" s="3" t="s">
        <v>253</v>
      </c>
      <c r="D67" s="3" t="str">
        <f t="array" ref="D67">INDEX($F$86:$F$161,MATCH($A67&amp;$C67,$B$86:$B$161&amp;$D$86:$D$161,0))</f>
        <v>PJ</v>
      </c>
      <c r="E67" s="3" t="s">
        <v>482</v>
      </c>
      <c r="F67" s="34">
        <f t="array" ref="F67">IF(SUMIFS(G$86:G$161,$B$86:$B$161,$A67)=0,"",SUMIFS(G$86:G$161,$B$86:$B$161,$A67,$D$86:$D$161,$C67)*INDEX($B$7:$B$9,MATCH($D67&amp;$E67,$C$7:$C$9&amp;$D$7:$D$9,0)))</f>
        <v>54727.207129212009</v>
      </c>
      <c r="G67" s="34" t="str">
        <f t="array" ref="G67">IF(SUMIFS(H$86:H$161,$B$86:$B$161,$A67)=0,"",SUMIFS(H$86:H$161,$B$86:$B$161,$A67,$D$86:$D$161,$C67)*INDEX($B$7:$B$9,MATCH($D67&amp;$E67,$C$7:$C$9&amp;$D$7:$D$9,0)))</f>
        <v/>
      </c>
      <c r="H67" s="34" t="str">
        <f t="array" ref="H67">IF(SUMIFS(I$86:I$161,$B$86:$B$161,$A67)=0,"",SUMIFS(I$86:I$161,$B$86:$B$161,$A67,$D$86:$D$161,$C67)*INDEX($B$7:$B$9,MATCH($D67&amp;$E67,$C$7:$C$9&amp;$D$7:$D$9,0)))</f>
        <v/>
      </c>
      <c r="I67" s="34" t="str">
        <f t="array" ref="I67">IF(SUMIFS(J$86:J$161,$B$86:$B$161,$A67)=0,"",SUMIFS(J$86:J$161,$B$86:$B$161,$A67,$D$86:$D$161,$C67)*INDEX($B$7:$B$9,MATCH($D67&amp;$E67,$C$7:$C$9&amp;$D$7:$D$9,0)))</f>
        <v/>
      </c>
      <c r="J67" s="34">
        <f t="array" ref="J67">IF(SUMIFS(K$86:K$161,$B$86:$B$161,$A67)=0,"",SUMIFS(K$86:K$161,$B$86:$B$161,$A67,$D$86:$D$161,$C67)*INDEX($B$7:$B$9,MATCH($D67&amp;$E67,$C$7:$C$9&amp;$D$7:$D$9,0)))</f>
        <v>67832.13178709698</v>
      </c>
      <c r="K67" s="34">
        <f t="array" ref="K67">IF(SUMIFS(L$86:L$161,$B$86:$B$161,$A67)=0,"",SUMIFS(L$86:L$161,$B$86:$B$161,$A67,$D$86:$D$161,$C67)*INDEX($B$7:$B$9,MATCH($D67&amp;$E67,$C$7:$C$9&amp;$D$7:$D$9,0)))</f>
        <v>78752.902335334453</v>
      </c>
      <c r="L67" s="34">
        <f t="array" ref="L67">IF(SUMIFS(M$86:M$161,$B$86:$B$161,$A67)=0,"",SUMIFS(M$86:M$161,$B$86:$B$161,$A67,$D$86:$D$161,$C67)*INDEX($B$7:$B$9,MATCH($D67&amp;$E67,$C$7:$C$9&amp;$D$7:$D$9,0)))</f>
        <v>90180.233103137376</v>
      </c>
      <c r="M67" s="34">
        <f t="array" ref="M67">IF(SUMIFS(N$86:N$161,$B$86:$B$161,$A67)=0,"",SUMIFS(N$86:N$161,$B$86:$B$161,$A67,$D$86:$D$161,$C67)*INDEX($B$7:$B$9,MATCH($D67&amp;$E67,$C$7:$C$9&amp;$D$7:$D$9,0)))</f>
        <v>103641.61969210113</v>
      </c>
      <c r="N67" s="34">
        <f t="array" ref="N67">IF(SUMIFS(O$86:O$161,$B$86:$B$161,$A67)=0,"",SUMIFS(O$86:O$161,$B$86:$B$161,$A67,$D$86:$D$161,$C67)*INDEX($B$7:$B$9,MATCH($D67&amp;$E67,$C$7:$C$9&amp;$D$7:$D$9,0)))</f>
        <v>117284.31604837345</v>
      </c>
      <c r="O67" s="34">
        <f t="array" ref="O67">IF(SUMIFS(P$86:P$161,$B$86:$B$161,$A67)=0,"",SUMIFS(P$86:P$161,$B$86:$B$161,$A67,$D$86:$D$161,$C67)*INDEX($B$7:$B$9,MATCH($D67&amp;$E67,$C$7:$C$9&amp;$D$7:$D$9,0)))</f>
        <v>130289.29620153498</v>
      </c>
      <c r="P67" s="34">
        <f t="array" ref="P67">IF(SUMIFS(Q$86:Q$161,$B$86:$B$161,$A67)=0,"",SUMIFS(Q$86:Q$161,$B$86:$B$161,$A67,$D$86:$D$161,$C67)*INDEX($B$7:$B$9,MATCH($D67&amp;$E67,$C$7:$C$9&amp;$D$7:$D$9,0)))</f>
        <v>137357.80571970274</v>
      </c>
      <c r="Q67" s="34">
        <f t="array" ref="Q67">IF(SUMIFS(R$86:R$161,$B$86:$B$161,$A67)=0,"",SUMIFS(R$86:R$161,$B$86:$B$161,$A67,$D$86:$D$161,$C67)*INDEX($B$7:$B$9,MATCH($D67&amp;$E67,$C$7:$C$9&amp;$D$7:$D$9,0)))</f>
        <v>141999.99778003673</v>
      </c>
      <c r="R67" s="34">
        <f t="array" ref="R67">IF(SUMIFS(S$86:S$161,$B$86:$B$161,$A67)=0,"",SUMIFS(S$86:S$161,$B$86:$B$161,$A67,$D$86:$D$161,$C67)*INDEX($B$7:$B$9,MATCH($D67&amp;$E67,$C$7:$C$9&amp;$D$7:$D$9,0)))</f>
        <v>143999.9992924057</v>
      </c>
    </row>
    <row r="68" spans="1:18" x14ac:dyDescent="0.3">
      <c r="A68" s="3" t="s">
        <v>382</v>
      </c>
      <c r="B68" s="3" t="str">
        <f>INDEX('R1. Scenario specifications'!$C$11:$C$59,MATCH($A68,'R1. Scenario specifications'!$A$11:$A$59,0))</f>
        <v>2 Degrees Scenario, Energy Technology Perspectives 2017</v>
      </c>
      <c r="C68" s="3" t="s">
        <v>461</v>
      </c>
      <c r="D68" s="3" t="str">
        <f t="array" ref="D68">INDEX($F$86:$F$161,MATCH($A68&amp;$C68,$B$86:$B$161&amp;$D$86:$D$161,0))</f>
        <v>PJ</v>
      </c>
      <c r="E68" s="3" t="s">
        <v>482</v>
      </c>
      <c r="F68" s="34">
        <f t="array" ref="F68">IF(SUMIFS(G$86:G$161,$B$86:$B$161,$A68)=0,"",SUMIFS(G$86:G$161,$B$86:$B$161,$A68,$D$86:$D$161,$C68)*INDEX($B$7:$B$9,MATCH($D68&amp;$E68,$C$7:$C$9&amp;$D$7:$D$9,0)))</f>
        <v>7768.6318090440009</v>
      </c>
      <c r="G68" s="34" t="str">
        <f t="array" ref="G68">IF(SUMIFS(H$86:H$161,$B$86:$B$161,$A68)=0,"",SUMIFS(H$86:H$161,$B$86:$B$161,$A68,$D$86:$D$161,$C68)*INDEX($B$7:$B$9,MATCH($D68&amp;$E68,$C$7:$C$9&amp;$D$7:$D$9,0)))</f>
        <v/>
      </c>
      <c r="H68" s="34" t="str">
        <f t="array" ref="H68">IF(SUMIFS(I$86:I$161,$B$86:$B$161,$A68)=0,"",SUMIFS(I$86:I$161,$B$86:$B$161,$A68,$D$86:$D$161,$C68)*INDEX($B$7:$B$9,MATCH($D68&amp;$E68,$C$7:$C$9&amp;$D$7:$D$9,0)))</f>
        <v/>
      </c>
      <c r="I68" s="34" t="str">
        <f t="array" ref="I68">IF(SUMIFS(J$86:J$161,$B$86:$B$161,$A68)=0,"",SUMIFS(J$86:J$161,$B$86:$B$161,$A68,$D$86:$D$161,$C68)*INDEX($B$7:$B$9,MATCH($D68&amp;$E68,$C$7:$C$9&amp;$D$7:$D$9,0)))</f>
        <v/>
      </c>
      <c r="J68" s="34">
        <f t="array" ref="J68">IF(SUMIFS(K$86:K$161,$B$86:$B$161,$A68)=0,"",SUMIFS(K$86:K$161,$B$86:$B$161,$A68,$D$86:$D$161,$C68)*INDEX($B$7:$B$9,MATCH($D68&amp;$E68,$C$7:$C$9&amp;$D$7:$D$9,0)))</f>
        <v>18710.403249704697</v>
      </c>
      <c r="K68" s="34">
        <f t="array" ref="K68">IF(SUMIFS(L$86:L$161,$B$86:$B$161,$A68)=0,"",SUMIFS(L$86:L$161,$B$86:$B$161,$A68,$D$86:$D$161,$C68)*INDEX($B$7:$B$9,MATCH($D68&amp;$E68,$C$7:$C$9&amp;$D$7:$D$9,0)))</f>
        <v>27828.546116921945</v>
      </c>
      <c r="L68" s="34">
        <f t="array" ref="L68">IF(SUMIFS(M$86:M$161,$B$86:$B$161,$A68)=0,"",SUMIFS(M$86:M$161,$B$86:$B$161,$A68,$D$86:$D$161,$C68)*INDEX($B$7:$B$9,MATCH($D68&amp;$E68,$C$7:$C$9&amp;$D$7:$D$9,0)))</f>
        <v>44730.7564804207</v>
      </c>
      <c r="M68" s="34">
        <f t="array" ref="M68">IF(SUMIFS(N$86:N$161,$B$86:$B$161,$A68)=0,"",SUMIFS(N$86:N$161,$B$86:$B$161,$A68,$D$86:$D$161,$C68)*INDEX($B$7:$B$9,MATCH($D68&amp;$E68,$C$7:$C$9&amp;$D$7:$D$9,0)))</f>
        <v>64014.696596722388</v>
      </c>
      <c r="N68" s="34">
        <f t="array" ref="N68">IF(SUMIFS(O$86:O$161,$B$86:$B$161,$A68)=0,"",SUMIFS(O$86:O$161,$B$86:$B$161,$A68,$D$86:$D$161,$C68)*INDEX($B$7:$B$9,MATCH($D68&amp;$E68,$C$7:$C$9&amp;$D$7:$D$9,0)))</f>
        <v>81212.237360962084</v>
      </c>
      <c r="O68" s="34">
        <f t="array" ref="O68">IF(SUMIFS(P$86:P$161,$B$86:$B$161,$A68)=0,"",SUMIFS(P$86:P$161,$B$86:$B$161,$A68,$D$86:$D$161,$C68)*INDEX($B$7:$B$9,MATCH($D68&amp;$E68,$C$7:$C$9&amp;$D$7:$D$9,0)))</f>
        <v>101702.7958434583</v>
      </c>
      <c r="P68" s="34">
        <f t="array" ref="P68">IF(SUMIFS(Q$86:Q$161,$B$86:$B$161,$A68)=0,"",SUMIFS(Q$86:Q$161,$B$86:$B$161,$A68,$D$86:$D$161,$C68)*INDEX($B$7:$B$9,MATCH($D68&amp;$E68,$C$7:$C$9&amp;$D$7:$D$9,0)))</f>
        <v>124158.01690898238</v>
      </c>
      <c r="Q68" s="34">
        <f t="array" ref="Q68">IF(SUMIFS(R$86:R$161,$B$86:$B$161,$A68)=0,"",SUMIFS(R$86:R$161,$B$86:$B$161,$A68,$D$86:$D$161,$C68)*INDEX($B$7:$B$9,MATCH($D68&amp;$E68,$C$7:$C$9&amp;$D$7:$D$9,0)))</f>
        <v>146603.96149440599</v>
      </c>
      <c r="R68" s="34">
        <f t="array" ref="R68">IF(SUMIFS(S$86:S$161,$B$86:$B$161,$A68)=0,"",SUMIFS(S$86:S$161,$B$86:$B$161,$A68,$D$86:$D$161,$C68)*INDEX($B$7:$B$9,MATCH($D68&amp;$E68,$C$7:$C$9&amp;$D$7:$D$9,0)))</f>
        <v>173127.84096977307</v>
      </c>
    </row>
    <row r="69" spans="1:18" x14ac:dyDescent="0.3">
      <c r="A69" s="3" t="s">
        <v>383</v>
      </c>
      <c r="B69" s="3" t="str">
        <f>INDEX('R1. Scenario specifications'!$C$11:$C$59,MATCH($A69,'R1. Scenario specifications'!$A$11:$A$59,0))</f>
        <v>Below 2 Degrees Scenario (1.75DS), Energy Technology Perspectives 2017</v>
      </c>
      <c r="C69" s="3" t="s">
        <v>254</v>
      </c>
      <c r="D69" s="3" t="str">
        <f t="array" ref="D69">INDEX($F$86:$F$161,MATCH($A69&amp;$C69,$B$86:$B$161&amp;$D$86:$D$161,0))</f>
        <v>PJ</v>
      </c>
      <c r="E69" s="3" t="s">
        <v>482</v>
      </c>
      <c r="F69" s="34">
        <f t="array" ref="F69">IF(SUMIFS(G$86:G$161,$B$86:$B$161,$A69)=0,"",SUMIFS(G$86:G$161,$B$86:$B$161,$A69,$D$86:$D$161,$C69)*INDEX($B$7:$B$9,MATCH($D69&amp;$E69,$C$7:$C$9&amp;$D$7:$D$9,0)))</f>
        <v>163853.62994548801</v>
      </c>
      <c r="G69" s="34" t="str">
        <f t="array" ref="G69">IF(SUMIFS(H$86:H$161,$B$86:$B$161,$A69)=0,"",SUMIFS(H$86:H$161,$B$86:$B$161,$A69,$D$86:$D$161,$C69)*INDEX($B$7:$B$9,MATCH($D69&amp;$E69,$C$7:$C$9&amp;$D$7:$D$9,0)))</f>
        <v/>
      </c>
      <c r="H69" s="34" t="str">
        <f t="array" ref="H69">IF(SUMIFS(I$86:I$161,$B$86:$B$161,$A69)=0,"",SUMIFS(I$86:I$161,$B$86:$B$161,$A69,$D$86:$D$161,$C69)*INDEX($B$7:$B$9,MATCH($D69&amp;$E69,$C$7:$C$9&amp;$D$7:$D$9,0)))</f>
        <v/>
      </c>
      <c r="I69" s="34" t="str">
        <f t="array" ref="I69">IF(SUMIFS(J$86:J$161,$B$86:$B$161,$A69)=0,"",SUMIFS(J$86:J$161,$B$86:$B$161,$A69,$D$86:$D$161,$C69)*INDEX($B$7:$B$9,MATCH($D69&amp;$E69,$C$7:$C$9&amp;$D$7:$D$9,0)))</f>
        <v/>
      </c>
      <c r="J69" s="34">
        <f t="array" ref="J69">IF(SUMIFS(K$86:K$161,$B$86:$B$161,$A69)=0,"",SUMIFS(K$86:K$161,$B$86:$B$161,$A69,$D$86:$D$161,$C69)*INDEX($B$7:$B$9,MATCH($D69&amp;$E69,$C$7:$C$9&amp;$D$7:$D$9,0)))</f>
        <v>129347.78387878045</v>
      </c>
      <c r="K69" s="34">
        <f t="array" ref="K69">IF(SUMIFS(L$86:L$161,$B$86:$B$161,$A69)=0,"",SUMIFS(L$86:L$161,$B$86:$B$161,$A69,$D$86:$D$161,$C69)*INDEX($B$7:$B$9,MATCH($D69&amp;$E69,$C$7:$C$9&amp;$D$7:$D$9,0)))</f>
        <v>100592.91215652415</v>
      </c>
      <c r="L69" s="34">
        <f t="array" ref="L69">IF(SUMIFS(M$86:M$161,$B$86:$B$161,$A69)=0,"",SUMIFS(M$86:M$161,$B$86:$B$161,$A69,$D$86:$D$161,$C69)*INDEX($B$7:$B$9,MATCH($D69&amp;$E69,$C$7:$C$9&amp;$D$7:$D$9,0)))</f>
        <v>74047.871659653523</v>
      </c>
      <c r="M69" s="34">
        <f t="array" ref="M69">IF(SUMIFS(N$86:N$161,$B$86:$B$161,$A69)=0,"",SUMIFS(N$86:N$161,$B$86:$B$161,$A69,$D$86:$D$161,$C69)*INDEX($B$7:$B$9,MATCH($D69&amp;$E69,$C$7:$C$9&amp;$D$7:$D$9,0)))</f>
        <v>56319.102197604021</v>
      </c>
      <c r="N69" s="34">
        <f t="array" ref="N69">IF(SUMIFS(O$86:O$161,$B$86:$B$161,$A69)=0,"",SUMIFS(O$86:O$161,$B$86:$B$161,$A69,$D$86:$D$161,$C69)*INDEX($B$7:$B$9,MATCH($D69&amp;$E69,$C$7:$C$9&amp;$D$7:$D$9,0)))</f>
        <v>51673.549600324222</v>
      </c>
      <c r="O69" s="34">
        <f t="array" ref="O69">IF(SUMIFS(P$86:P$161,$B$86:$B$161,$A69)=0,"",SUMIFS(P$86:P$161,$B$86:$B$161,$A69,$D$86:$D$161,$C69)*INDEX($B$7:$B$9,MATCH($D69&amp;$E69,$C$7:$C$9&amp;$D$7:$D$9,0)))</f>
        <v>51086.141754018259</v>
      </c>
      <c r="P69" s="34">
        <f t="array" ref="P69">IF(SUMIFS(Q$86:Q$161,$B$86:$B$161,$A69)=0,"",SUMIFS(Q$86:Q$161,$B$86:$B$161,$A69,$D$86:$D$161,$C69)*INDEX($B$7:$B$9,MATCH($D69&amp;$E69,$C$7:$C$9&amp;$D$7:$D$9,0)))</f>
        <v>42880.627736086106</v>
      </c>
      <c r="Q69" s="34">
        <f t="array" ref="Q69">IF(SUMIFS(R$86:R$161,$B$86:$B$161,$A69)=0,"",SUMIFS(R$86:R$161,$B$86:$B$161,$A69,$D$86:$D$161,$C69)*INDEX($B$7:$B$9,MATCH($D69&amp;$E69,$C$7:$C$9&amp;$D$7:$D$9,0)))</f>
        <v>38938.509464950039</v>
      </c>
      <c r="R69" s="34">
        <f t="array" ref="R69">IF(SUMIFS(S$86:S$161,$B$86:$B$161,$A69)=0,"",SUMIFS(S$86:S$161,$B$86:$B$161,$A69,$D$86:$D$161,$C69)*INDEX($B$7:$B$9,MATCH($D69&amp;$E69,$C$7:$C$9&amp;$D$7:$D$9,0)))</f>
        <v>35428.147196183352</v>
      </c>
    </row>
    <row r="70" spans="1:18" x14ac:dyDescent="0.3">
      <c r="A70" s="3" t="s">
        <v>383</v>
      </c>
      <c r="B70" s="3" t="str">
        <f>INDEX('R1. Scenario specifications'!$C$11:$C$59,MATCH($A70,'R1. Scenario specifications'!$A$11:$A$59,0))</f>
        <v>Below 2 Degrees Scenario (1.75DS), Energy Technology Perspectives 2017</v>
      </c>
      <c r="C70" s="3" t="s">
        <v>266</v>
      </c>
      <c r="D70" s="3" t="str">
        <f t="array" ref="D70">INDEX($F$86:$F$161,MATCH($A70&amp;$C70,$B$86:$B$161&amp;$D$86:$D$161,0))</f>
        <v>PJ</v>
      </c>
      <c r="E70" s="3" t="s">
        <v>482</v>
      </c>
      <c r="F70" s="34">
        <f t="array" ref="F70">IF(SUMIFS(G$86:G$161,$B$86:$B$161,$A70)=0,"",SUMIFS(G$86:G$161,$B$86:$B$161,$A70,$D$86:$D$161,$C70)*INDEX($B$7:$B$9,MATCH($D70&amp;$E70,$C$7:$C$9&amp;$D$7:$D$9,0)))</f>
        <v>179603.77400539213</v>
      </c>
      <c r="G70" s="34" t="str">
        <f t="array" ref="G70">IF(SUMIFS(H$86:H$161,$B$86:$B$161,$A70)=0,"",SUMIFS(H$86:H$161,$B$86:$B$161,$A70,$D$86:$D$161,$C70)*INDEX($B$7:$B$9,MATCH($D70&amp;$E70,$C$7:$C$9&amp;$D$7:$D$9,0)))</f>
        <v/>
      </c>
      <c r="H70" s="34" t="str">
        <f t="array" ref="H70">IF(SUMIFS(I$86:I$161,$B$86:$B$161,$A70)=0,"",SUMIFS(I$86:I$161,$B$86:$B$161,$A70,$D$86:$D$161,$C70)*INDEX($B$7:$B$9,MATCH($D70&amp;$E70,$C$7:$C$9&amp;$D$7:$D$9,0)))</f>
        <v/>
      </c>
      <c r="I70" s="34" t="str">
        <f t="array" ref="I70">IF(SUMIFS(J$86:J$161,$B$86:$B$161,$A70)=0,"",SUMIFS(J$86:J$161,$B$86:$B$161,$A70,$D$86:$D$161,$C70)*INDEX($B$7:$B$9,MATCH($D70&amp;$E70,$C$7:$C$9&amp;$D$7:$D$9,0)))</f>
        <v/>
      </c>
      <c r="J70" s="34">
        <f t="array" ref="J70">IF(SUMIFS(K$86:K$161,$B$86:$B$161,$A70)=0,"",SUMIFS(K$86:K$161,$B$86:$B$161,$A70,$D$86:$D$161,$C70)*INDEX($B$7:$B$9,MATCH($D70&amp;$E70,$C$7:$C$9&amp;$D$7:$D$9,0)))</f>
        <v>167877.1821745481</v>
      </c>
      <c r="K70" s="34">
        <f t="array" ref="K70">IF(SUMIFS(L$86:L$161,$B$86:$B$161,$A70)=0,"",SUMIFS(L$86:L$161,$B$86:$B$161,$A70,$D$86:$D$161,$C70)*INDEX($B$7:$B$9,MATCH($D70&amp;$E70,$C$7:$C$9&amp;$D$7:$D$9,0)))</f>
        <v>158105.02231551139</v>
      </c>
      <c r="L70" s="34">
        <f t="array" ref="L70">IF(SUMIFS(M$86:M$161,$B$86:$B$161,$A70)=0,"",SUMIFS(M$86:M$161,$B$86:$B$161,$A70,$D$86:$D$161,$C70)*INDEX($B$7:$B$9,MATCH($D70&amp;$E70,$C$7:$C$9&amp;$D$7:$D$9,0)))</f>
        <v>141923.54122999078</v>
      </c>
      <c r="M70" s="34">
        <f t="array" ref="M70">IF(SUMIFS(N$86:N$161,$B$86:$B$161,$A70)=0,"",SUMIFS(N$86:N$161,$B$86:$B$161,$A70,$D$86:$D$161,$C70)*INDEX($B$7:$B$9,MATCH($D70&amp;$E70,$C$7:$C$9&amp;$D$7:$D$9,0)))</f>
        <v>125338.67337585498</v>
      </c>
      <c r="N70" s="34">
        <f t="array" ref="N70">IF(SUMIFS(O$86:O$161,$B$86:$B$161,$A70)=0,"",SUMIFS(O$86:O$161,$B$86:$B$161,$A70,$D$86:$D$161,$C70)*INDEX($B$7:$B$9,MATCH($D70&amp;$E70,$C$7:$C$9&amp;$D$7:$D$9,0)))</f>
        <v>109319.17110454802</v>
      </c>
      <c r="O70" s="34">
        <f t="array" ref="O70">IF(SUMIFS(P$86:P$161,$B$86:$B$161,$A70)=0,"",SUMIFS(P$86:P$161,$B$86:$B$161,$A70,$D$86:$D$161,$C70)*INDEX($B$7:$B$9,MATCH($D70&amp;$E70,$C$7:$C$9&amp;$D$7:$D$9,0)))</f>
        <v>93987.574485020843</v>
      </c>
      <c r="P70" s="34">
        <f t="array" ref="P70">IF(SUMIFS(Q$86:Q$161,$B$86:$B$161,$A70)=0,"",SUMIFS(Q$86:Q$161,$B$86:$B$161,$A70,$D$86:$D$161,$C70)*INDEX($B$7:$B$9,MATCH($D70&amp;$E70,$C$7:$C$9&amp;$D$7:$D$9,0)))</f>
        <v>81562.191605361179</v>
      </c>
      <c r="Q70" s="34">
        <f t="array" ref="Q70">IF(SUMIFS(R$86:R$161,$B$86:$B$161,$A70)=0,"",SUMIFS(R$86:R$161,$B$86:$B$161,$A70,$D$86:$D$161,$C70)*INDEX($B$7:$B$9,MATCH($D70&amp;$E70,$C$7:$C$9&amp;$D$7:$D$9,0)))</f>
        <v>70989.837818774467</v>
      </c>
      <c r="R70" s="34">
        <f t="array" ref="R70">IF(SUMIFS(S$86:S$161,$B$86:$B$161,$A70)=0,"",SUMIFS(S$86:S$161,$B$86:$B$161,$A70,$D$86:$D$161,$C70)*INDEX($B$7:$B$9,MATCH($D70&amp;$E70,$C$7:$C$9&amp;$D$7:$D$9,0)))</f>
        <v>64391.321490216127</v>
      </c>
    </row>
    <row r="71" spans="1:18" x14ac:dyDescent="0.3">
      <c r="A71" s="3" t="s">
        <v>383</v>
      </c>
      <c r="B71" s="3" t="str">
        <f>INDEX('R1. Scenario specifications'!$C$11:$C$59,MATCH($A71,'R1. Scenario specifications'!$A$11:$A$59,0))</f>
        <v>Below 2 Degrees Scenario (1.75DS), Energy Technology Perspectives 2017</v>
      </c>
      <c r="C71" s="3" t="s">
        <v>255</v>
      </c>
      <c r="D71" s="3" t="str">
        <f t="array" ref="D71">INDEX($F$86:$F$161,MATCH($A71&amp;$C71,$B$86:$B$161&amp;$D$86:$D$161,0))</f>
        <v>PJ</v>
      </c>
      <c r="E71" s="3" t="s">
        <v>482</v>
      </c>
      <c r="F71" s="34">
        <f t="array" ref="F71">IF(SUMIFS(G$86:G$161,$B$86:$B$161,$A71)=0,"",SUMIFS(G$86:G$161,$B$86:$B$161,$A71,$D$86:$D$161,$C71)*INDEX($B$7:$B$9,MATCH($D71&amp;$E71,$C$7:$C$9&amp;$D$7:$D$9,0)))</f>
        <v>121441.43859937201</v>
      </c>
      <c r="G71" s="34" t="str">
        <f t="array" ref="G71">IF(SUMIFS(H$86:H$161,$B$86:$B$161,$A71)=0,"",SUMIFS(H$86:H$161,$B$86:$B$161,$A71,$D$86:$D$161,$C71)*INDEX($B$7:$B$9,MATCH($D71&amp;$E71,$C$7:$C$9&amp;$D$7:$D$9,0)))</f>
        <v/>
      </c>
      <c r="H71" s="34" t="str">
        <f t="array" ref="H71">IF(SUMIFS(I$86:I$161,$B$86:$B$161,$A71)=0,"",SUMIFS(I$86:I$161,$B$86:$B$161,$A71,$D$86:$D$161,$C71)*INDEX($B$7:$B$9,MATCH($D71&amp;$E71,$C$7:$C$9&amp;$D$7:$D$9,0)))</f>
        <v/>
      </c>
      <c r="I71" s="34" t="str">
        <f t="array" ref="I71">IF(SUMIFS(J$86:J$161,$B$86:$B$161,$A71)=0,"",SUMIFS(J$86:J$161,$B$86:$B$161,$A71,$D$86:$D$161,$C71)*INDEX($B$7:$B$9,MATCH($D71&amp;$E71,$C$7:$C$9&amp;$D$7:$D$9,0)))</f>
        <v/>
      </c>
      <c r="J71" s="34">
        <f t="array" ref="J71">IF(SUMIFS(K$86:K$161,$B$86:$B$161,$A71)=0,"",SUMIFS(K$86:K$161,$B$86:$B$161,$A71,$D$86:$D$161,$C71)*INDEX($B$7:$B$9,MATCH($D71&amp;$E71,$C$7:$C$9&amp;$D$7:$D$9,0)))</f>
        <v>128465.26025391271</v>
      </c>
      <c r="K71" s="34">
        <f t="array" ref="K71">IF(SUMIFS(L$86:L$161,$B$86:$B$161,$A71)=0,"",SUMIFS(L$86:L$161,$B$86:$B$161,$A71,$D$86:$D$161,$C71)*INDEX($B$7:$B$9,MATCH($D71&amp;$E71,$C$7:$C$9&amp;$D$7:$D$9,0)))</f>
        <v>134318.44496602996</v>
      </c>
      <c r="L71" s="34">
        <f t="array" ref="L71">IF(SUMIFS(M$86:M$161,$B$86:$B$161,$A71)=0,"",SUMIFS(M$86:M$161,$B$86:$B$161,$A71,$D$86:$D$161,$C71)*INDEX($B$7:$B$9,MATCH($D71&amp;$E71,$C$7:$C$9&amp;$D$7:$D$9,0)))</f>
        <v>128627.8786968661</v>
      </c>
      <c r="M71" s="34">
        <f t="array" ref="M71">IF(SUMIFS(N$86:N$161,$B$86:$B$161,$A71)=0,"",SUMIFS(N$86:N$161,$B$86:$B$161,$A71,$D$86:$D$161,$C71)*INDEX($B$7:$B$9,MATCH($D71&amp;$E71,$C$7:$C$9&amp;$D$7:$D$9,0)))</f>
        <v>120507.11710280113</v>
      </c>
      <c r="N71" s="34">
        <f t="array" ref="N71">IF(SUMIFS(O$86:O$161,$B$86:$B$161,$A71)=0,"",SUMIFS(O$86:O$161,$B$86:$B$161,$A71,$D$86:$D$161,$C71)*INDEX($B$7:$B$9,MATCH($D71&amp;$E71,$C$7:$C$9&amp;$D$7:$D$9,0)))</f>
        <v>100352.11282422053</v>
      </c>
      <c r="O71" s="34">
        <f t="array" ref="O71">IF(SUMIFS(P$86:P$161,$B$86:$B$161,$A71)=0,"",SUMIFS(P$86:P$161,$B$86:$B$161,$A71,$D$86:$D$161,$C71)*INDEX($B$7:$B$9,MATCH($D71&amp;$E71,$C$7:$C$9&amp;$D$7:$D$9,0)))</f>
        <v>78747.799000076426</v>
      </c>
      <c r="P71" s="34">
        <f t="array" ref="P71">IF(SUMIFS(Q$86:Q$161,$B$86:$B$161,$A71)=0,"",SUMIFS(Q$86:Q$161,$B$86:$B$161,$A71,$D$86:$D$161,$C71)*INDEX($B$7:$B$9,MATCH($D71&amp;$E71,$C$7:$C$9&amp;$D$7:$D$9,0)))</f>
        <v>67299.638095995033</v>
      </c>
      <c r="Q71" s="34">
        <f t="array" ref="Q71">IF(SUMIFS(R$86:R$161,$B$86:$B$161,$A71)=0,"",SUMIFS(R$86:R$161,$B$86:$B$161,$A71,$D$86:$D$161,$C71)*INDEX($B$7:$B$9,MATCH($D71&amp;$E71,$C$7:$C$9&amp;$D$7:$D$9,0)))</f>
        <v>62067.742133347179</v>
      </c>
      <c r="R71" s="34">
        <f t="array" ref="R71">IF(SUMIFS(S$86:S$161,$B$86:$B$161,$A71)=0,"",SUMIFS(S$86:S$161,$B$86:$B$161,$A71,$D$86:$D$161,$C71)*INDEX($B$7:$B$9,MATCH($D71&amp;$E71,$C$7:$C$9&amp;$D$7:$D$9,0)))</f>
        <v>63828.817854314097</v>
      </c>
    </row>
    <row r="72" spans="1:18" x14ac:dyDescent="0.3">
      <c r="A72" s="3" t="s">
        <v>383</v>
      </c>
      <c r="B72" s="3" t="str">
        <f>INDEX('R1. Scenario specifications'!$C$11:$C$59,MATCH($A72,'R1. Scenario specifications'!$A$11:$A$59,0))</f>
        <v>Below 2 Degrees Scenario (1.75DS), Energy Technology Perspectives 2017</v>
      </c>
      <c r="C72" s="3" t="s">
        <v>257</v>
      </c>
      <c r="D72" s="3" t="str">
        <f t="array" ref="D72">INDEX($F$86:$F$161,MATCH($A72&amp;$C72,$B$86:$B$161&amp;$D$86:$D$161,0))</f>
        <v>PJ</v>
      </c>
      <c r="E72" s="3" t="s">
        <v>482</v>
      </c>
      <c r="F72" s="34">
        <f t="array" ref="F72">IF(SUMIFS(G$86:G$161,$B$86:$B$161,$A72)=0,"",SUMIFS(G$86:G$161,$B$86:$B$161,$A72,$D$86:$D$161,$C72)*INDEX($B$7:$B$9,MATCH($D72&amp;$E72,$C$7:$C$9&amp;$D$7:$D$9,0)))</f>
        <v>27689.539085172</v>
      </c>
      <c r="G72" s="34" t="str">
        <f t="array" ref="G72">IF(SUMIFS(H$86:H$161,$B$86:$B$161,$A72)=0,"",SUMIFS(H$86:H$161,$B$86:$B$161,$A72,$D$86:$D$161,$C72)*INDEX($B$7:$B$9,MATCH($D72&amp;$E72,$C$7:$C$9&amp;$D$7:$D$9,0)))</f>
        <v/>
      </c>
      <c r="H72" s="34" t="str">
        <f t="array" ref="H72">IF(SUMIFS(I$86:I$161,$B$86:$B$161,$A72)=0,"",SUMIFS(I$86:I$161,$B$86:$B$161,$A72,$D$86:$D$161,$C72)*INDEX($B$7:$B$9,MATCH($D72&amp;$E72,$C$7:$C$9&amp;$D$7:$D$9,0)))</f>
        <v/>
      </c>
      <c r="I72" s="34" t="str">
        <f t="array" ref="I72">IF(SUMIFS(J$86:J$161,$B$86:$B$161,$A72)=0,"",SUMIFS(J$86:J$161,$B$86:$B$161,$A72,$D$86:$D$161,$C72)*INDEX($B$7:$B$9,MATCH($D72&amp;$E72,$C$7:$C$9&amp;$D$7:$D$9,0)))</f>
        <v/>
      </c>
      <c r="J72" s="34">
        <f t="array" ref="J72">IF(SUMIFS(K$86:K$161,$B$86:$B$161,$A72)=0,"",SUMIFS(K$86:K$161,$B$86:$B$161,$A72,$D$86:$D$161,$C72)*INDEX($B$7:$B$9,MATCH($D72&amp;$E72,$C$7:$C$9&amp;$D$7:$D$9,0)))</f>
        <v>33894.826663311454</v>
      </c>
      <c r="K72" s="34">
        <f t="array" ref="K72">IF(SUMIFS(L$86:L$161,$B$86:$B$161,$A72)=0,"",SUMIFS(L$86:L$161,$B$86:$B$161,$A72,$D$86:$D$161,$C72)*INDEX($B$7:$B$9,MATCH($D72&amp;$E72,$C$7:$C$9&amp;$D$7:$D$9,0)))</f>
        <v>39065.899645094338</v>
      </c>
      <c r="L72" s="34">
        <f t="array" ref="L72">IF(SUMIFS(M$86:M$161,$B$86:$B$161,$A72)=0,"",SUMIFS(M$86:M$161,$B$86:$B$161,$A72,$D$86:$D$161,$C72)*INDEX($B$7:$B$9,MATCH($D72&amp;$E72,$C$7:$C$9&amp;$D$7:$D$9,0)))</f>
        <v>49870.737326783659</v>
      </c>
      <c r="M72" s="34">
        <f t="array" ref="M72">IF(SUMIFS(N$86:N$161,$B$86:$B$161,$A72)=0,"",SUMIFS(N$86:N$161,$B$86:$B$161,$A72,$D$86:$D$161,$C72)*INDEX($B$7:$B$9,MATCH($D72&amp;$E72,$C$7:$C$9&amp;$D$7:$D$9,0)))</f>
        <v>57644.931537304554</v>
      </c>
      <c r="N72" s="34">
        <f t="array" ref="N72">IF(SUMIFS(O$86:O$161,$B$86:$B$161,$A72)=0,"",SUMIFS(O$86:O$161,$B$86:$B$161,$A72,$D$86:$D$161,$C72)*INDEX($B$7:$B$9,MATCH($D72&amp;$E72,$C$7:$C$9&amp;$D$7:$D$9,0)))</f>
        <v>65406.038350813542</v>
      </c>
      <c r="O72" s="34">
        <f t="array" ref="O72">IF(SUMIFS(P$86:P$161,$B$86:$B$161,$A72)=0,"",SUMIFS(P$86:P$161,$B$86:$B$161,$A72,$D$86:$D$161,$C72)*INDEX($B$7:$B$9,MATCH($D72&amp;$E72,$C$7:$C$9&amp;$D$7:$D$9,0)))</f>
        <v>72089.930907857677</v>
      </c>
      <c r="P72" s="34">
        <f t="array" ref="P72">IF(SUMIFS(Q$86:Q$161,$B$86:$B$161,$A72)=0,"",SUMIFS(Q$86:Q$161,$B$86:$B$161,$A72,$D$86:$D$161,$C72)*INDEX($B$7:$B$9,MATCH($D72&amp;$E72,$C$7:$C$9&amp;$D$7:$D$9,0)))</f>
        <v>76388.700952805651</v>
      </c>
      <c r="Q72" s="34">
        <f t="array" ref="Q72">IF(SUMIFS(R$86:R$161,$B$86:$B$161,$A72)=0,"",SUMIFS(R$86:R$161,$B$86:$B$161,$A72,$D$86:$D$161,$C72)*INDEX($B$7:$B$9,MATCH($D72&amp;$E72,$C$7:$C$9&amp;$D$7:$D$9,0)))</f>
        <v>81513.918958283859</v>
      </c>
      <c r="R72" s="34">
        <f t="array" ref="R72">IF(SUMIFS(S$86:S$161,$B$86:$B$161,$A72)=0,"",SUMIFS(S$86:S$161,$B$86:$B$161,$A72,$D$86:$D$161,$C72)*INDEX($B$7:$B$9,MATCH($D72&amp;$E72,$C$7:$C$9&amp;$D$7:$D$9,0)))</f>
        <v>85505.458919396318</v>
      </c>
    </row>
    <row r="73" spans="1:18" x14ac:dyDescent="0.3">
      <c r="A73" s="3" t="s">
        <v>383</v>
      </c>
      <c r="B73" s="3" t="str">
        <f>INDEX('R1. Scenario specifications'!$C$11:$C$59,MATCH($A73,'R1. Scenario specifications'!$A$11:$A$59,0))</f>
        <v>Below 2 Degrees Scenario (1.75DS), Energy Technology Perspectives 2017</v>
      </c>
      <c r="C73" s="3" t="s">
        <v>256</v>
      </c>
      <c r="D73" s="3" t="str">
        <f t="array" ref="D73">INDEX($F$86:$F$161,MATCH($A73&amp;$C73,$B$86:$B$161&amp;$D$86:$D$161,0))</f>
        <v>PJ</v>
      </c>
      <c r="E73" s="3" t="s">
        <v>482</v>
      </c>
      <c r="F73" s="34">
        <f t="array" ref="F73">IF(SUMIFS(G$86:G$161,$B$86:$B$161,$A73)=0,"",SUMIFS(G$86:G$161,$B$86:$B$161,$A73,$D$86:$D$161,$C73)*INDEX($B$7:$B$9,MATCH($D73&amp;$E73,$C$7:$C$9&amp;$D$7:$D$9,0)))</f>
        <v>14023.472570784001</v>
      </c>
      <c r="G73" s="34" t="str">
        <f t="array" ref="G73">IF(SUMIFS(H$86:H$161,$B$86:$B$161,$A73)=0,"",SUMIFS(H$86:H$161,$B$86:$B$161,$A73,$D$86:$D$161,$C73)*INDEX($B$7:$B$9,MATCH($D73&amp;$E73,$C$7:$C$9&amp;$D$7:$D$9,0)))</f>
        <v/>
      </c>
      <c r="H73" s="34" t="str">
        <f t="array" ref="H73">IF(SUMIFS(I$86:I$161,$B$86:$B$161,$A73)=0,"",SUMIFS(I$86:I$161,$B$86:$B$161,$A73,$D$86:$D$161,$C73)*INDEX($B$7:$B$9,MATCH($D73&amp;$E73,$C$7:$C$9&amp;$D$7:$D$9,0)))</f>
        <v/>
      </c>
      <c r="I73" s="34" t="str">
        <f t="array" ref="I73">IF(SUMIFS(J$86:J$161,$B$86:$B$161,$A73)=0,"",SUMIFS(J$86:J$161,$B$86:$B$161,$A73,$D$86:$D$161,$C73)*INDEX($B$7:$B$9,MATCH($D73&amp;$E73,$C$7:$C$9&amp;$D$7:$D$9,0)))</f>
        <v/>
      </c>
      <c r="J73" s="34">
        <f t="array" ref="J73">IF(SUMIFS(K$86:K$161,$B$86:$B$161,$A73)=0,"",SUMIFS(K$86:K$161,$B$86:$B$161,$A73,$D$86:$D$161,$C73)*INDEX($B$7:$B$9,MATCH($D73&amp;$E73,$C$7:$C$9&amp;$D$7:$D$9,0)))</f>
        <v>16506.680458921099</v>
      </c>
      <c r="K73" s="34">
        <f t="array" ref="K73">IF(SUMIFS(L$86:L$161,$B$86:$B$161,$A73)=0,"",SUMIFS(L$86:L$161,$B$86:$B$161,$A73,$D$86:$D$161,$C73)*INDEX($B$7:$B$9,MATCH($D73&amp;$E73,$C$7:$C$9&amp;$D$7:$D$9,0)))</f>
        <v>18576.020365702014</v>
      </c>
      <c r="L73" s="34">
        <f t="array" ref="L73">IF(SUMIFS(M$86:M$161,$B$86:$B$161,$A73)=0,"",SUMIFS(M$86:M$161,$B$86:$B$161,$A73,$D$86:$D$161,$C73)*INDEX($B$7:$B$9,MATCH($D73&amp;$E73,$C$7:$C$9&amp;$D$7:$D$9,0)))</f>
        <v>20572.070793485382</v>
      </c>
      <c r="M73" s="34">
        <f t="array" ref="M73">IF(SUMIFS(N$86:N$161,$B$86:$B$161,$A73)=0,"",SUMIFS(N$86:N$161,$B$86:$B$161,$A73,$D$86:$D$161,$C73)*INDEX($B$7:$B$9,MATCH($D73&amp;$E73,$C$7:$C$9&amp;$D$7:$D$9,0)))</f>
        <v>21970.882770208471</v>
      </c>
      <c r="N73" s="34">
        <f t="array" ref="N73">IF(SUMIFS(O$86:O$161,$B$86:$B$161,$A73)=0,"",SUMIFS(O$86:O$161,$B$86:$B$161,$A73,$D$86:$D$161,$C73)*INDEX($B$7:$B$9,MATCH($D73&amp;$E73,$C$7:$C$9&amp;$D$7:$D$9,0)))</f>
        <v>24291.142890585066</v>
      </c>
      <c r="O73" s="34">
        <f t="array" ref="O73">IF(SUMIFS(P$86:P$161,$B$86:$B$161,$A73)=0,"",SUMIFS(P$86:P$161,$B$86:$B$161,$A73,$D$86:$D$161,$C73)*INDEX($B$7:$B$9,MATCH($D73&amp;$E73,$C$7:$C$9&amp;$D$7:$D$9,0)))</f>
        <v>26507.189908156266</v>
      </c>
      <c r="P73" s="34">
        <f t="array" ref="P73">IF(SUMIFS(Q$86:Q$161,$B$86:$B$161,$A73)=0,"",SUMIFS(Q$86:Q$161,$B$86:$B$161,$A73,$D$86:$D$161,$C73)*INDEX($B$7:$B$9,MATCH($D73&amp;$E73,$C$7:$C$9&amp;$D$7:$D$9,0)))</f>
        <v>28676.454025313975</v>
      </c>
      <c r="Q73" s="34">
        <f t="array" ref="Q73">IF(SUMIFS(R$86:R$161,$B$86:$B$161,$A73)=0,"",SUMIFS(R$86:R$161,$B$86:$B$161,$A73,$D$86:$D$161,$C73)*INDEX($B$7:$B$9,MATCH($D73&amp;$E73,$C$7:$C$9&amp;$D$7:$D$9,0)))</f>
        <v>30897.307699167817</v>
      </c>
      <c r="R73" s="34">
        <f t="array" ref="R73">IF(SUMIFS(S$86:S$161,$B$86:$B$161,$A73)=0,"",SUMIFS(S$86:S$161,$B$86:$B$161,$A73,$D$86:$D$161,$C73)*INDEX($B$7:$B$9,MATCH($D73&amp;$E73,$C$7:$C$9&amp;$D$7:$D$9,0)))</f>
        <v>33101.084816834053</v>
      </c>
    </row>
    <row r="74" spans="1:18" x14ac:dyDescent="0.3">
      <c r="A74" s="3" t="s">
        <v>383</v>
      </c>
      <c r="B74" s="3" t="str">
        <f>INDEX('R1. Scenario specifications'!$C$11:$C$59,MATCH($A74,'R1. Scenario specifications'!$A$11:$A$59,0))</f>
        <v>Below 2 Degrees Scenario (1.75DS), Energy Technology Perspectives 2017</v>
      </c>
      <c r="C74" s="3" t="s">
        <v>253</v>
      </c>
      <c r="D74" s="3" t="str">
        <f t="array" ref="D74">INDEX($F$86:$F$161,MATCH($A74&amp;$C74,$B$86:$B$161&amp;$D$86:$D$161,0))</f>
        <v>PJ</v>
      </c>
      <c r="E74" s="3" t="s">
        <v>482</v>
      </c>
      <c r="F74" s="34">
        <f t="array" ref="F74">IF(SUMIFS(G$86:G$161,$B$86:$B$161,$A74)=0,"",SUMIFS(G$86:G$161,$B$86:$B$161,$A74,$D$86:$D$161,$C74)*INDEX($B$7:$B$9,MATCH($D74&amp;$E74,$C$7:$C$9&amp;$D$7:$D$9,0)))</f>
        <v>54727.207129212009</v>
      </c>
      <c r="G74" s="34" t="str">
        <f t="array" ref="G74">IF(SUMIFS(H$86:H$161,$B$86:$B$161,$A74)=0,"",SUMIFS(H$86:H$161,$B$86:$B$161,$A74,$D$86:$D$161,$C74)*INDEX($B$7:$B$9,MATCH($D74&amp;$E74,$C$7:$C$9&amp;$D$7:$D$9,0)))</f>
        <v/>
      </c>
      <c r="H74" s="34" t="str">
        <f t="array" ref="H74">IF(SUMIFS(I$86:I$161,$B$86:$B$161,$A74)=0,"",SUMIFS(I$86:I$161,$B$86:$B$161,$A74,$D$86:$D$161,$C74)*INDEX($B$7:$B$9,MATCH($D74&amp;$E74,$C$7:$C$9&amp;$D$7:$D$9,0)))</f>
        <v/>
      </c>
      <c r="I74" s="34" t="str">
        <f t="array" ref="I74">IF(SUMIFS(J$86:J$161,$B$86:$B$161,$A74)=0,"",SUMIFS(J$86:J$161,$B$86:$B$161,$A74,$D$86:$D$161,$C74)*INDEX($B$7:$B$9,MATCH($D74&amp;$E74,$C$7:$C$9&amp;$D$7:$D$9,0)))</f>
        <v/>
      </c>
      <c r="J74" s="34">
        <f t="array" ref="J74">IF(SUMIFS(K$86:K$161,$B$86:$B$161,$A74)=0,"",SUMIFS(K$86:K$161,$B$86:$B$161,$A74,$D$86:$D$161,$C74)*INDEX($B$7:$B$9,MATCH($D74&amp;$E74,$C$7:$C$9&amp;$D$7:$D$9,0)))</f>
        <v>69810.634367848281</v>
      </c>
      <c r="K74" s="34">
        <f t="array" ref="K74">IF(SUMIFS(L$86:L$161,$B$86:$B$161,$A74)=0,"",SUMIFS(L$86:L$161,$B$86:$B$161,$A74,$D$86:$D$161,$C74)*INDEX($B$7:$B$9,MATCH($D74&amp;$E74,$C$7:$C$9&amp;$D$7:$D$9,0)))</f>
        <v>82380.157066711836</v>
      </c>
      <c r="L74" s="34">
        <f t="array" ref="L74">IF(SUMIFS(M$86:M$161,$B$86:$B$161,$A74)=0,"",SUMIFS(M$86:M$161,$B$86:$B$161,$A74,$D$86:$D$161,$C74)*INDEX($B$7:$B$9,MATCH($D74&amp;$E74,$C$7:$C$9&amp;$D$7:$D$9,0)))</f>
        <v>93078.876024711935</v>
      </c>
      <c r="M74" s="34">
        <f t="array" ref="M74">IF(SUMIFS(N$86:N$161,$B$86:$B$161,$A74)=0,"",SUMIFS(N$86:N$161,$B$86:$B$161,$A74,$D$86:$D$161,$C74)*INDEX($B$7:$B$9,MATCH($D74&amp;$E74,$C$7:$C$9&amp;$D$7:$D$9,0)))</f>
        <v>105989.19637769531</v>
      </c>
      <c r="N74" s="34">
        <f t="array" ref="N74">IF(SUMIFS(O$86:O$161,$B$86:$B$161,$A74)=0,"",SUMIFS(O$86:O$161,$B$86:$B$161,$A74,$D$86:$D$161,$C74)*INDEX($B$7:$B$9,MATCH($D74&amp;$E74,$C$7:$C$9&amp;$D$7:$D$9,0)))</f>
        <v>121153.95449008107</v>
      </c>
      <c r="O74" s="34">
        <f t="array" ref="O74">IF(SUMIFS(P$86:P$161,$B$86:$B$161,$A74)=0,"",SUMIFS(P$86:P$161,$B$86:$B$161,$A74,$D$86:$D$161,$C74)*INDEX($B$7:$B$9,MATCH($D74&amp;$E74,$C$7:$C$9&amp;$D$7:$D$9,0)))</f>
        <v>133104.00443271748</v>
      </c>
      <c r="P74" s="34">
        <f t="array" ref="P74">IF(SUMIFS(Q$86:Q$161,$B$86:$B$161,$A74)=0,"",SUMIFS(Q$86:Q$161,$B$86:$B$161,$A74,$D$86:$D$161,$C74)*INDEX($B$7:$B$9,MATCH($D74&amp;$E74,$C$7:$C$9&amp;$D$7:$D$9,0)))</f>
        <v>140815.41789151038</v>
      </c>
      <c r="Q74" s="34">
        <f t="array" ref="Q74">IF(SUMIFS(R$86:R$161,$B$86:$B$161,$A74)=0,"",SUMIFS(R$86:R$161,$B$86:$B$161,$A74,$D$86:$D$161,$C74)*INDEX($B$7:$B$9,MATCH($D74&amp;$E74,$C$7:$C$9&amp;$D$7:$D$9,0)))</f>
        <v>146999.99893635249</v>
      </c>
      <c r="R74" s="34">
        <f t="array" ref="R74">IF(SUMIFS(S$86:S$161,$B$86:$B$161,$A74)=0,"",SUMIFS(S$86:S$161,$B$86:$B$161,$A74,$D$86:$D$161,$C74)*INDEX($B$7:$B$9,MATCH($D74&amp;$E74,$C$7:$C$9&amp;$D$7:$D$9,0)))</f>
        <v>146999.99886866164</v>
      </c>
    </row>
    <row r="75" spans="1:18" x14ac:dyDescent="0.3">
      <c r="A75" s="3" t="s">
        <v>383</v>
      </c>
      <c r="B75" s="3" t="str">
        <f>INDEX('R1. Scenario specifications'!$C$11:$C$59,MATCH($A75,'R1. Scenario specifications'!$A$11:$A$59,0))</f>
        <v>Below 2 Degrees Scenario (1.75DS), Energy Technology Perspectives 2017</v>
      </c>
      <c r="C75" s="3" t="s">
        <v>461</v>
      </c>
      <c r="D75" s="3" t="str">
        <f t="array" ref="D75">INDEX($F$86:$F$161,MATCH($A75&amp;$C75,$B$86:$B$161&amp;$D$86:$D$161,0))</f>
        <v>PJ</v>
      </c>
      <c r="E75" s="3" t="s">
        <v>482</v>
      </c>
      <c r="F75" s="34">
        <f t="array" ref="F75">IF(SUMIFS(G$86:G$161,$B$86:$B$161,$A75)=0,"",SUMIFS(G$86:G$161,$B$86:$B$161,$A75,$D$86:$D$161,$C75)*INDEX($B$7:$B$9,MATCH($D75&amp;$E75,$C$7:$C$9&amp;$D$7:$D$9,0)))</f>
        <v>7768.6318090440009</v>
      </c>
      <c r="G75" s="34" t="str">
        <f t="array" ref="G75">IF(SUMIFS(H$86:H$161,$B$86:$B$161,$A75)=0,"",SUMIFS(H$86:H$161,$B$86:$B$161,$A75,$D$86:$D$161,$C75)*INDEX($B$7:$B$9,MATCH($D75&amp;$E75,$C$7:$C$9&amp;$D$7:$D$9,0)))</f>
        <v/>
      </c>
      <c r="H75" s="34" t="str">
        <f t="array" ref="H75">IF(SUMIFS(I$86:I$161,$B$86:$B$161,$A75)=0,"",SUMIFS(I$86:I$161,$B$86:$B$161,$A75,$D$86:$D$161,$C75)*INDEX($B$7:$B$9,MATCH($D75&amp;$E75,$C$7:$C$9&amp;$D$7:$D$9,0)))</f>
        <v/>
      </c>
      <c r="I75" s="34" t="str">
        <f t="array" ref="I75">IF(SUMIFS(J$86:J$161,$B$86:$B$161,$A75)=0,"",SUMIFS(J$86:J$161,$B$86:$B$161,$A75,$D$86:$D$161,$C75)*INDEX($B$7:$B$9,MATCH($D75&amp;$E75,$C$7:$C$9&amp;$D$7:$D$9,0)))</f>
        <v/>
      </c>
      <c r="J75" s="34">
        <f t="array" ref="J75">IF(SUMIFS(K$86:K$161,$B$86:$B$161,$A75)=0,"",SUMIFS(K$86:K$161,$B$86:$B$161,$A75,$D$86:$D$161,$C75)*INDEX($B$7:$B$9,MATCH($D75&amp;$E75,$C$7:$C$9&amp;$D$7:$D$9,0)))</f>
        <v>19302.190241231612</v>
      </c>
      <c r="K75" s="34">
        <f t="array" ref="K75">IF(SUMIFS(L$86:L$161,$B$86:$B$161,$A75)=0,"",SUMIFS(L$86:L$161,$B$86:$B$161,$A75,$D$86:$D$161,$C75)*INDEX($B$7:$B$9,MATCH($D75&amp;$E75,$C$7:$C$9&amp;$D$7:$D$9,0)))</f>
        <v>28913.488934721285</v>
      </c>
      <c r="L75" s="34">
        <f t="array" ref="L75">IF(SUMIFS(M$86:M$161,$B$86:$B$161,$A75)=0,"",SUMIFS(M$86:M$161,$B$86:$B$161,$A75,$D$86:$D$161,$C75)*INDEX($B$7:$B$9,MATCH($D75&amp;$E75,$C$7:$C$9&amp;$D$7:$D$9,0)))</f>
        <v>46882.008978181555</v>
      </c>
      <c r="M75" s="34">
        <f t="array" ref="M75">IF(SUMIFS(N$86:N$161,$B$86:$B$161,$A75)=0,"",SUMIFS(N$86:N$161,$B$86:$B$161,$A75,$D$86:$D$161,$C75)*INDEX($B$7:$B$9,MATCH($D75&amp;$E75,$C$7:$C$9&amp;$D$7:$D$9,0)))</f>
        <v>69105.656442669424</v>
      </c>
      <c r="N75" s="34">
        <f t="array" ref="N75">IF(SUMIFS(O$86:O$161,$B$86:$B$161,$A75)=0,"",SUMIFS(O$86:O$161,$B$86:$B$161,$A75,$D$86:$D$161,$C75)*INDEX($B$7:$B$9,MATCH($D75&amp;$E75,$C$7:$C$9&amp;$D$7:$D$9,0)))</f>
        <v>92854.305207450074</v>
      </c>
      <c r="O75" s="34">
        <f t="array" ref="O75">IF(SUMIFS(P$86:P$161,$B$86:$B$161,$A75)=0,"",SUMIFS(P$86:P$161,$B$86:$B$161,$A75,$D$86:$D$161,$C75)*INDEX($B$7:$B$9,MATCH($D75&amp;$E75,$C$7:$C$9&amp;$D$7:$D$9,0)))</f>
        <v>117033.93168384083</v>
      </c>
      <c r="P75" s="34">
        <f t="array" ref="P75">IF(SUMIFS(Q$86:Q$161,$B$86:$B$161,$A75)=0,"",SUMIFS(Q$86:Q$161,$B$86:$B$161,$A75,$D$86:$D$161,$C75)*INDEX($B$7:$B$9,MATCH($D75&amp;$E75,$C$7:$C$9&amp;$D$7:$D$9,0)))</f>
        <v>143495.20570147157</v>
      </c>
      <c r="Q75" s="34">
        <f t="array" ref="Q75">IF(SUMIFS(R$86:R$161,$B$86:$B$161,$A75)=0,"",SUMIFS(R$86:R$161,$B$86:$B$161,$A75,$D$86:$D$161,$C75)*INDEX($B$7:$B$9,MATCH($D75&amp;$E75,$C$7:$C$9&amp;$D$7:$D$9,0)))</f>
        <v>169180.43625405381</v>
      </c>
      <c r="R75" s="34">
        <f t="array" ref="R75">IF(SUMIFS(S$86:S$161,$B$86:$B$161,$A75)=0,"",SUMIFS(S$86:S$161,$B$86:$B$161,$A75,$D$86:$D$161,$C75)*INDEX($B$7:$B$9,MATCH($D75&amp;$E75,$C$7:$C$9&amp;$D$7:$D$9,0)))</f>
        <v>194914.25686870076</v>
      </c>
    </row>
    <row r="76" spans="1:18" x14ac:dyDescent="0.3">
      <c r="A76" s="3" t="s">
        <v>384</v>
      </c>
      <c r="B76" s="3" t="str">
        <f>INDEX('R1. Scenario specifications'!$C$11:$C$59,MATCH($A76,'R1. Scenario specifications'!$A$11:$A$59,0))</f>
        <v>Sky Scenario, Royal Dutch Shell</v>
      </c>
      <c r="C76" s="3" t="s">
        <v>254</v>
      </c>
      <c r="D76" s="3" t="str">
        <f t="array" ref="D76">INDEX($F$86:$F$161,MATCH($A76&amp;$C76,$B$86:$B$161&amp;$D$86:$D$161,0))</f>
        <v>EJ</v>
      </c>
      <c r="E76" s="3" t="s">
        <v>482</v>
      </c>
      <c r="F76" s="34" t="str">
        <f t="array" ref="F76">IF(SUMIFS(G$86:G$161,$B$86:$B$161,$A76)=0,"",SUMIFS(G$86:G$161,$B$86:$B$161,$A76,$D$86:$D$161,$C76)*INDEX($B$7:$B$9,MATCH($D76&amp;$E76,$C$7:$C$9&amp;$D$7:$D$9,0)))</f>
        <v/>
      </c>
      <c r="G76" s="34">
        <f t="array" ref="G76">IF(SUMIFS(H$86:H$161,$B$86:$B$161,$A76)=0,"",SUMIFS(H$86:H$161,$B$86:$B$161,$A76,$D$86:$D$161,$C76)*INDEX($B$7:$B$9,MATCH($D76&amp;$E76,$C$7:$C$9&amp;$D$7:$D$9,0)))</f>
        <v>160886.54239427974</v>
      </c>
      <c r="H76" s="34" t="str">
        <f t="array" ref="H76">IF(SUMIFS(I$86:I$161,$B$86:$B$161,$A76)=0,"",SUMIFS(I$86:I$161,$B$86:$B$161,$A76,$D$86:$D$161,$C76)*INDEX($B$7:$B$9,MATCH($D76&amp;$E76,$C$7:$C$9&amp;$D$7:$D$9,0)))</f>
        <v/>
      </c>
      <c r="I76" s="34" t="str">
        <f t="array" ref="I76">IF(SUMIFS(J$86:J$161,$B$86:$B$161,$A76)=0,"",SUMIFS(J$86:J$161,$B$86:$B$161,$A76,$D$86:$D$161,$C76)*INDEX($B$7:$B$9,MATCH($D76&amp;$E76,$C$7:$C$9&amp;$D$7:$D$9,0)))</f>
        <v/>
      </c>
      <c r="J76" s="34">
        <f t="array" ref="J76">IF(SUMIFS(K$86:K$161,$B$86:$B$161,$A76)=0,"",SUMIFS(K$86:K$161,$B$86:$B$161,$A76,$D$86:$D$161,$C76)*INDEX($B$7:$B$9,MATCH($D76&amp;$E76,$C$7:$C$9&amp;$D$7:$D$9,0)))</f>
        <v>157387.33929015748</v>
      </c>
      <c r="K76" s="34">
        <f t="array" ref="K76">IF(SUMIFS(L$86:L$161,$B$86:$B$161,$A76)=0,"",SUMIFS(L$86:L$161,$B$86:$B$161,$A76,$D$86:$D$161,$C76)*INDEX($B$7:$B$9,MATCH($D76&amp;$E76,$C$7:$C$9&amp;$D$7:$D$9,0)))</f>
        <v>159462.97498326545</v>
      </c>
      <c r="L76" s="34">
        <f t="array" ref="L76">IF(SUMIFS(M$86:M$161,$B$86:$B$161,$A76)=0,"",SUMIFS(M$86:M$161,$B$86:$B$161,$A76,$D$86:$D$161,$C76)*INDEX($B$7:$B$9,MATCH($D76&amp;$E76,$C$7:$C$9&amp;$D$7:$D$9,0)))</f>
        <v>154400.34866233999</v>
      </c>
      <c r="M76" s="34">
        <f t="array" ref="M76">IF(SUMIFS(N$86:N$161,$B$86:$B$161,$A76)=0,"",SUMIFS(N$86:N$161,$B$86:$B$161,$A76,$D$86:$D$161,$C76)*INDEX($B$7:$B$9,MATCH($D76&amp;$E76,$C$7:$C$9&amp;$D$7:$D$9,0)))</f>
        <v>144982.41530004409</v>
      </c>
      <c r="N76" s="34">
        <f t="array" ref="N76">IF(SUMIFS(O$86:O$161,$B$86:$B$161,$A76)=0,"",SUMIFS(O$86:O$161,$B$86:$B$161,$A76,$D$86:$D$161,$C76)*INDEX($B$7:$B$9,MATCH($D76&amp;$E76,$C$7:$C$9&amp;$D$7:$D$9,0)))</f>
        <v>129852.28687079737</v>
      </c>
      <c r="O76" s="34">
        <f t="array" ref="O76">IF(SUMIFS(P$86:P$161,$B$86:$B$161,$A76)=0,"",SUMIFS(P$86:P$161,$B$86:$B$161,$A76,$D$86:$D$161,$C76)*INDEX($B$7:$B$9,MATCH($D76&amp;$E76,$C$7:$C$9&amp;$D$7:$D$9,0)))</f>
        <v>113376.27736803422</v>
      </c>
      <c r="P76" s="34">
        <f t="array" ref="P76">IF(SUMIFS(Q$86:Q$161,$B$86:$B$161,$A76)=0,"",SUMIFS(Q$86:Q$161,$B$86:$B$161,$A76,$D$86:$D$161,$C76)*INDEX($B$7:$B$9,MATCH($D76&amp;$E76,$C$7:$C$9&amp;$D$7:$D$9,0)))</f>
        <v>99745.344523724532</v>
      </c>
      <c r="Q76" s="34">
        <f t="array" ref="Q76">IF(SUMIFS(R$86:R$161,$B$86:$B$161,$A76)=0,"",SUMIFS(R$86:R$161,$B$86:$B$161,$A76,$D$86:$D$161,$C76)*INDEX($B$7:$B$9,MATCH($D76&amp;$E76,$C$7:$C$9&amp;$D$7:$D$9,0)))</f>
        <v>84505.369304364998</v>
      </c>
      <c r="R76" s="34">
        <f t="array" ref="R76">IF(SUMIFS(S$86:S$161,$B$86:$B$161,$A76)=0,"",SUMIFS(S$86:S$161,$B$86:$B$161,$A76,$D$86:$D$161,$C76)*INDEX($B$7:$B$9,MATCH($D76&amp;$E76,$C$7:$C$9&amp;$D$7:$D$9,0)))</f>
        <v>73037.442577603608</v>
      </c>
    </row>
    <row r="77" spans="1:18" x14ac:dyDescent="0.3">
      <c r="A77" s="3" t="s">
        <v>384</v>
      </c>
      <c r="B77" s="3" t="str">
        <f>INDEX('R1. Scenario specifications'!$C$11:$C$59,MATCH($A77,'R1. Scenario specifications'!$A$11:$A$59,0))</f>
        <v>Sky Scenario, Royal Dutch Shell</v>
      </c>
      <c r="C77" s="3" t="s">
        <v>266</v>
      </c>
      <c r="D77" s="3" t="str">
        <f t="array" ref="D77">INDEX($F$86:$F$161,MATCH($A77&amp;$C77,$B$86:$B$161&amp;$D$86:$D$161,0))</f>
        <v>EJ</v>
      </c>
      <c r="E77" s="3" t="s">
        <v>482</v>
      </c>
      <c r="F77" s="34" t="str">
        <f t="array" ref="F77">IF(SUMIFS(G$86:G$161,$B$86:$B$161,$A77)=0,"",SUMIFS(G$86:G$161,$B$86:$B$161,$A77,$D$86:$D$161,$C77)*INDEX($B$7:$B$9,MATCH($D77&amp;$E77,$C$7:$C$9&amp;$D$7:$D$9,0)))</f>
        <v/>
      </c>
      <c r="G77" s="34">
        <f t="array" ref="G77">IF(SUMIFS(H$86:H$161,$B$86:$B$161,$A77)=0,"",SUMIFS(H$86:H$161,$B$86:$B$161,$A77,$D$86:$D$161,$C77)*INDEX($B$7:$B$9,MATCH($D77&amp;$E77,$C$7:$C$9&amp;$D$7:$D$9,0)))</f>
        <v>182293.51959687329</v>
      </c>
      <c r="H77" s="34" t="str">
        <f t="array" ref="H77">IF(SUMIFS(I$86:I$161,$B$86:$B$161,$A77)=0,"",SUMIFS(I$86:I$161,$B$86:$B$161,$A77,$D$86:$D$161,$C77)*INDEX($B$7:$B$9,MATCH($D77&amp;$E77,$C$7:$C$9&amp;$D$7:$D$9,0)))</f>
        <v/>
      </c>
      <c r="I77" s="34" t="str">
        <f t="array" ref="I77">IF(SUMIFS(J$86:J$161,$B$86:$B$161,$A77)=0,"",SUMIFS(J$86:J$161,$B$86:$B$161,$A77,$D$86:$D$161,$C77)*INDEX($B$7:$B$9,MATCH($D77&amp;$E77,$C$7:$C$9&amp;$D$7:$D$9,0)))</f>
        <v/>
      </c>
      <c r="J77" s="34">
        <f t="array" ref="J77">IF(SUMIFS(K$86:K$161,$B$86:$B$161,$A77)=0,"",SUMIFS(K$86:K$161,$B$86:$B$161,$A77,$D$86:$D$161,$C77)*INDEX($B$7:$B$9,MATCH($D77&amp;$E77,$C$7:$C$9&amp;$D$7:$D$9,0)))</f>
        <v>195695.78966569784</v>
      </c>
      <c r="K77" s="34">
        <f t="array" ref="K77">IF(SUMIFS(L$86:L$161,$B$86:$B$161,$A77)=0,"",SUMIFS(L$86:L$161,$B$86:$B$161,$A77,$D$86:$D$161,$C77)*INDEX($B$7:$B$9,MATCH($D77&amp;$E77,$C$7:$C$9&amp;$D$7:$D$9,0)))</f>
        <v>204887.67300874641</v>
      </c>
      <c r="L77" s="34">
        <f t="array" ref="L77">IF(SUMIFS(M$86:M$161,$B$86:$B$161,$A77)=0,"",SUMIFS(M$86:M$161,$B$86:$B$161,$A77,$D$86:$D$161,$C77)*INDEX($B$7:$B$9,MATCH($D77&amp;$E77,$C$7:$C$9&amp;$D$7:$D$9,0)))</f>
        <v>196169.07002700958</v>
      </c>
      <c r="M77" s="34">
        <f t="array" ref="M77">IF(SUMIFS(N$86:N$161,$B$86:$B$161,$A77)=0,"",SUMIFS(N$86:N$161,$B$86:$B$161,$A77,$D$86:$D$161,$C77)*INDEX($B$7:$B$9,MATCH($D77&amp;$E77,$C$7:$C$9&amp;$D$7:$D$9,0)))</f>
        <v>187633.63569902972</v>
      </c>
      <c r="N77" s="34">
        <f t="array" ref="N77">IF(SUMIFS(O$86:O$161,$B$86:$B$161,$A77)=0,"",SUMIFS(O$86:O$161,$B$86:$B$161,$A77,$D$86:$D$161,$C77)*INDEX($B$7:$B$9,MATCH($D77&amp;$E77,$C$7:$C$9&amp;$D$7:$D$9,0)))</f>
        <v>179641.12383165094</v>
      </c>
      <c r="O77" s="34">
        <f t="array" ref="O77">IF(SUMIFS(P$86:P$161,$B$86:$B$161,$A77)=0,"",SUMIFS(P$86:P$161,$B$86:$B$161,$A77,$D$86:$D$161,$C77)*INDEX($B$7:$B$9,MATCH($D77&amp;$E77,$C$7:$C$9&amp;$D$7:$D$9,0)))</f>
        <v>170311.19394531831</v>
      </c>
      <c r="P77" s="34">
        <f t="array" ref="P77">IF(SUMIFS(Q$86:Q$161,$B$86:$B$161,$A77)=0,"",SUMIFS(Q$86:Q$161,$B$86:$B$161,$A77,$D$86:$D$161,$C77)*INDEX($B$7:$B$9,MATCH($D77&amp;$E77,$C$7:$C$9&amp;$D$7:$D$9,0)))</f>
        <v>159914.01279986702</v>
      </c>
      <c r="Q77" s="34">
        <f t="array" ref="Q77">IF(SUMIFS(R$86:R$161,$B$86:$B$161,$A77)=0,"",SUMIFS(R$86:R$161,$B$86:$B$161,$A77,$D$86:$D$161,$C77)*INDEX($B$7:$B$9,MATCH($D77&amp;$E77,$C$7:$C$9&amp;$D$7:$D$9,0)))</f>
        <v>146504.08322174838</v>
      </c>
      <c r="R77" s="34">
        <f t="array" ref="R77">IF(SUMIFS(S$86:S$161,$B$86:$B$161,$A77)=0,"",SUMIFS(S$86:S$161,$B$86:$B$161,$A77,$D$86:$D$161,$C77)*INDEX($B$7:$B$9,MATCH($D77&amp;$E77,$C$7:$C$9&amp;$D$7:$D$9,0)))</f>
        <v>129215.11972974897</v>
      </c>
    </row>
    <row r="78" spans="1:18" x14ac:dyDescent="0.3">
      <c r="A78" s="3" t="s">
        <v>384</v>
      </c>
      <c r="B78" s="3" t="str">
        <f>INDEX('R1. Scenario specifications'!$C$11:$C$59,MATCH($A78,'R1. Scenario specifications'!$A$11:$A$59,0))</f>
        <v>Sky Scenario, Royal Dutch Shell</v>
      </c>
      <c r="C78" s="3" t="s">
        <v>255</v>
      </c>
      <c r="D78" s="3" t="str">
        <f t="array" ref="D78">INDEX($F$86:$F$161,MATCH($A78&amp;$C78,$B$86:$B$161&amp;$D$86:$D$161,0))</f>
        <v>EJ</v>
      </c>
      <c r="E78" s="3" t="s">
        <v>482</v>
      </c>
      <c r="F78" s="34" t="str">
        <f t="array" ref="F78">IF(SUMIFS(G$86:G$161,$B$86:$B$161,$A78)=0,"",SUMIFS(G$86:G$161,$B$86:$B$161,$A78,$D$86:$D$161,$C78)*INDEX($B$7:$B$9,MATCH($D78&amp;$E78,$C$7:$C$9&amp;$D$7:$D$9,0)))</f>
        <v/>
      </c>
      <c r="G78" s="34">
        <f t="array" ref="G78">IF(SUMIFS(H$86:H$161,$B$86:$B$161,$A78)=0,"",SUMIFS(H$86:H$161,$B$86:$B$161,$A78,$D$86:$D$161,$C78)*INDEX($B$7:$B$9,MATCH($D78&amp;$E78,$C$7:$C$9&amp;$D$7:$D$9,0)))</f>
        <v>123750.28805907608</v>
      </c>
      <c r="H78" s="34" t="str">
        <f t="array" ref="H78">IF(SUMIFS(I$86:I$161,$B$86:$B$161,$A78)=0,"",SUMIFS(I$86:I$161,$B$86:$B$161,$A78,$D$86:$D$161,$C78)*INDEX($B$7:$B$9,MATCH($D78&amp;$E78,$C$7:$C$9&amp;$D$7:$D$9,0)))</f>
        <v/>
      </c>
      <c r="I78" s="34" t="str">
        <f t="array" ref="I78">IF(SUMIFS(J$86:J$161,$B$86:$B$161,$A78)=0,"",SUMIFS(J$86:J$161,$B$86:$B$161,$A78,$D$86:$D$161,$C78)*INDEX($B$7:$B$9,MATCH($D78&amp;$E78,$C$7:$C$9&amp;$D$7:$D$9,0)))</f>
        <v/>
      </c>
      <c r="J78" s="34">
        <f t="array" ref="J78">IF(SUMIFS(K$86:K$161,$B$86:$B$161,$A78)=0,"",SUMIFS(K$86:K$161,$B$86:$B$161,$A78,$D$86:$D$161,$C78)*INDEX($B$7:$B$9,MATCH($D78&amp;$E78,$C$7:$C$9&amp;$D$7:$D$9,0)))</f>
        <v>136793.67482536391</v>
      </c>
      <c r="K78" s="34">
        <f t="array" ref="K78">IF(SUMIFS(L$86:L$161,$B$86:$B$161,$A78)=0,"",SUMIFS(L$86:L$161,$B$86:$B$161,$A78,$D$86:$D$161,$C78)*INDEX($B$7:$B$9,MATCH($D78&amp;$E78,$C$7:$C$9&amp;$D$7:$D$9,0)))</f>
        <v>151605.39065069903</v>
      </c>
      <c r="L78" s="34">
        <f t="array" ref="L78">IF(SUMIFS(M$86:M$161,$B$86:$B$161,$A78)=0,"",SUMIFS(M$86:M$161,$B$86:$B$161,$A78,$D$86:$D$161,$C78)*INDEX($B$7:$B$9,MATCH($D78&amp;$E78,$C$7:$C$9&amp;$D$7:$D$9,0)))</f>
        <v>158260.05276285612</v>
      </c>
      <c r="M78" s="34">
        <f t="array" ref="M78">IF(SUMIFS(N$86:N$161,$B$86:$B$161,$A78)=0,"",SUMIFS(N$86:N$161,$B$86:$B$161,$A78,$D$86:$D$161,$C78)*INDEX($B$7:$B$9,MATCH($D78&amp;$E78,$C$7:$C$9&amp;$D$7:$D$9,0)))</f>
        <v>158542.56294734805</v>
      </c>
      <c r="N78" s="34">
        <f t="array" ref="N78">IF(SUMIFS(O$86:O$161,$B$86:$B$161,$A78)=0,"",SUMIFS(O$86:O$161,$B$86:$B$161,$A78,$D$86:$D$161,$C78)*INDEX($B$7:$B$9,MATCH($D78&amp;$E78,$C$7:$C$9&amp;$D$7:$D$9,0)))</f>
        <v>150751.92480446058</v>
      </c>
      <c r="O78" s="34">
        <f t="array" ref="O78">IF(SUMIFS(P$86:P$161,$B$86:$B$161,$A78)=0,"",SUMIFS(P$86:P$161,$B$86:$B$161,$A78,$D$86:$D$161,$C78)*INDEX($B$7:$B$9,MATCH($D78&amp;$E78,$C$7:$C$9&amp;$D$7:$D$9,0)))</f>
        <v>135381.57717177246</v>
      </c>
      <c r="P78" s="34">
        <f t="array" ref="P78">IF(SUMIFS(Q$86:Q$161,$B$86:$B$161,$A78)=0,"",SUMIFS(Q$86:Q$161,$B$86:$B$161,$A78,$D$86:$D$161,$C78)*INDEX($B$7:$B$9,MATCH($D78&amp;$E78,$C$7:$C$9&amp;$D$7:$D$9,0)))</f>
        <v>115038.96303997653</v>
      </c>
      <c r="Q78" s="34">
        <f t="array" ref="Q78">IF(SUMIFS(R$86:R$161,$B$86:$B$161,$A78)=0,"",SUMIFS(R$86:R$161,$B$86:$B$161,$A78,$D$86:$D$161,$C78)*INDEX($B$7:$B$9,MATCH($D78&amp;$E78,$C$7:$C$9&amp;$D$7:$D$9,0)))</f>
        <v>95038.687658102397</v>
      </c>
      <c r="R78" s="34">
        <f t="array" ref="R78">IF(SUMIFS(S$86:S$161,$B$86:$B$161,$A78)=0,"",SUMIFS(S$86:S$161,$B$86:$B$161,$A78,$D$86:$D$161,$C78)*INDEX($B$7:$B$9,MATCH($D78&amp;$E78,$C$7:$C$9&amp;$D$7:$D$9,0)))</f>
        <v>76695.684610420692</v>
      </c>
    </row>
    <row r="79" spans="1:18" x14ac:dyDescent="0.3">
      <c r="A79" s="3" t="s">
        <v>384</v>
      </c>
      <c r="B79" s="3" t="str">
        <f>INDEX('R1. Scenario specifications'!$C$11:$C$59,MATCH($A79,'R1. Scenario specifications'!$A$11:$A$59,0))</f>
        <v>Sky Scenario, Royal Dutch Shell</v>
      </c>
      <c r="C79" s="3" t="s">
        <v>257</v>
      </c>
      <c r="D79" s="3" t="str">
        <f t="array" ref="D79">INDEX($F$86:$F$161,MATCH($A79&amp;$C79,$B$86:$B$161&amp;$D$86:$D$161,0))</f>
        <v>EJ</v>
      </c>
      <c r="E79" s="3" t="s">
        <v>482</v>
      </c>
      <c r="F79" s="34" t="str">
        <f t="array" ref="F79">IF(SUMIFS(G$86:G$161,$B$86:$B$161,$A79)=0,"",SUMIFS(G$86:G$161,$B$86:$B$161,$A79,$D$86:$D$161,$C79)*INDEX($B$7:$B$9,MATCH($D79&amp;$E79,$C$7:$C$9&amp;$D$7:$D$9,0)))</f>
        <v/>
      </c>
      <c r="G79" s="34">
        <f t="array" ref="G79">IF(SUMIFS(H$86:H$161,$B$86:$B$161,$A79)=0,"",SUMIFS(H$86:H$161,$B$86:$B$161,$A79,$D$86:$D$161,$C79)*INDEX($B$7:$B$9,MATCH($D79&amp;$E79,$C$7:$C$9&amp;$D$7:$D$9,0)))</f>
        <v>28087.886945472645</v>
      </c>
      <c r="H79" s="34" t="str">
        <f t="array" ref="H79">IF(SUMIFS(I$86:I$161,$B$86:$B$161,$A79)=0,"",SUMIFS(I$86:I$161,$B$86:$B$161,$A79,$D$86:$D$161,$C79)*INDEX($B$7:$B$9,MATCH($D79&amp;$E79,$C$7:$C$9&amp;$D$7:$D$9,0)))</f>
        <v/>
      </c>
      <c r="I79" s="34" t="str">
        <f t="array" ref="I79">IF(SUMIFS(J$86:J$161,$B$86:$B$161,$A79)=0,"",SUMIFS(J$86:J$161,$B$86:$B$161,$A79,$D$86:$D$161,$C79)*INDEX($B$7:$B$9,MATCH($D79&amp;$E79,$C$7:$C$9&amp;$D$7:$D$9,0)))</f>
        <v/>
      </c>
      <c r="J79" s="34">
        <f t="array" ref="J79">IF(SUMIFS(K$86:K$161,$B$86:$B$161,$A79)=0,"",SUMIFS(K$86:K$161,$B$86:$B$161,$A79,$D$86:$D$161,$C79)*INDEX($B$7:$B$9,MATCH($D79&amp;$E79,$C$7:$C$9&amp;$D$7:$D$9,0)))</f>
        <v>31664.77068274844</v>
      </c>
      <c r="K79" s="34">
        <f t="array" ref="K79">IF(SUMIFS(L$86:L$161,$B$86:$B$161,$A79)=0,"",SUMIFS(L$86:L$161,$B$86:$B$161,$A79,$D$86:$D$161,$C79)*INDEX($B$7:$B$9,MATCH($D79&amp;$E79,$C$7:$C$9&amp;$D$7:$D$9,0)))</f>
        <v>36657.568078258802</v>
      </c>
      <c r="L79" s="34">
        <f t="array" ref="L79">IF(SUMIFS(M$86:M$161,$B$86:$B$161,$A79)=0,"",SUMIFS(M$86:M$161,$B$86:$B$161,$A79,$D$86:$D$161,$C79)*INDEX($B$7:$B$9,MATCH($D79&amp;$E79,$C$7:$C$9&amp;$D$7:$D$9,0)))</f>
        <v>44003.397985382275</v>
      </c>
      <c r="M79" s="34">
        <f t="array" ref="M79">IF(SUMIFS(N$86:N$161,$B$86:$B$161,$A79)=0,"",SUMIFS(N$86:N$161,$B$86:$B$161,$A79,$D$86:$D$161,$C79)*INDEX($B$7:$B$9,MATCH($D79&amp;$E79,$C$7:$C$9&amp;$D$7:$D$9,0)))</f>
        <v>54438.744923379447</v>
      </c>
      <c r="N79" s="34">
        <f t="array" ref="N79">IF(SUMIFS(O$86:O$161,$B$86:$B$161,$A79)=0,"",SUMIFS(O$86:O$161,$B$86:$B$161,$A79,$D$86:$D$161,$C79)*INDEX($B$7:$B$9,MATCH($D79&amp;$E79,$C$7:$C$9&amp;$D$7:$D$9,0)))</f>
        <v>63852.353804245045</v>
      </c>
      <c r="O79" s="34">
        <f t="array" ref="O79">IF(SUMIFS(P$86:P$161,$B$86:$B$161,$A79)=0,"",SUMIFS(P$86:P$161,$B$86:$B$161,$A79,$D$86:$D$161,$C79)*INDEX($B$7:$B$9,MATCH($D79&amp;$E79,$C$7:$C$9&amp;$D$7:$D$9,0)))</f>
        <v>72590.788079294012</v>
      </c>
      <c r="P79" s="34">
        <f t="array" ref="P79">IF(SUMIFS(Q$86:Q$161,$B$86:$B$161,$A79)=0,"",SUMIFS(Q$86:Q$161,$B$86:$B$161,$A79,$D$86:$D$161,$C79)*INDEX($B$7:$B$9,MATCH($D79&amp;$E79,$C$7:$C$9&amp;$D$7:$D$9,0)))</f>
        <v>80228.152111748466</v>
      </c>
      <c r="Q79" s="34">
        <f t="array" ref="Q79">IF(SUMIFS(R$86:R$161,$B$86:$B$161,$A79)=0,"",SUMIFS(R$86:R$161,$B$86:$B$161,$A79,$D$86:$D$161,$C79)*INDEX($B$7:$B$9,MATCH($D79&amp;$E79,$C$7:$C$9&amp;$D$7:$D$9,0)))</f>
        <v>88683.527177998229</v>
      </c>
      <c r="R79" s="34">
        <f t="array" ref="R79">IF(SUMIFS(S$86:S$161,$B$86:$B$161,$A79)=0,"",SUMIFS(S$86:S$161,$B$86:$B$161,$A79,$D$86:$D$161,$C79)*INDEX($B$7:$B$9,MATCH($D79&amp;$E79,$C$7:$C$9&amp;$D$7:$D$9,0)))</f>
        <v>96748.558816119563</v>
      </c>
    </row>
    <row r="80" spans="1:18" x14ac:dyDescent="0.3">
      <c r="A80" s="3" t="s">
        <v>384</v>
      </c>
      <c r="B80" s="3" t="str">
        <f>INDEX('R1. Scenario specifications'!$C$11:$C$59,MATCH($A80,'R1. Scenario specifications'!$A$11:$A$59,0))</f>
        <v>Sky Scenario, Royal Dutch Shell</v>
      </c>
      <c r="C80" s="3" t="s">
        <v>256</v>
      </c>
      <c r="D80" s="3" t="str">
        <f t="array" ref="D80">INDEX($F$86:$F$161,MATCH($A80&amp;$C80,$B$86:$B$161&amp;$D$86:$D$161,0))</f>
        <v>EJ</v>
      </c>
      <c r="E80" s="3" t="s">
        <v>482</v>
      </c>
      <c r="F80" s="34" t="str">
        <f t="array" ref="F80">IF(SUMIFS(G$86:G$161,$B$86:$B$161,$A80)=0,"",SUMIFS(G$86:G$161,$B$86:$B$161,$A80,$D$86:$D$161,$C80)*INDEX($B$7:$B$9,MATCH($D80&amp;$E80,$C$7:$C$9&amp;$D$7:$D$9,0)))</f>
        <v/>
      </c>
      <c r="G80" s="34">
        <f t="array" ref="G80">IF(SUMIFS(H$86:H$161,$B$86:$B$161,$A80)=0,"",SUMIFS(H$86:H$161,$B$86:$B$161,$A80,$D$86:$D$161,$C80)*INDEX($B$7:$B$9,MATCH($D80&amp;$E80,$C$7:$C$9&amp;$D$7:$D$9,0)))</f>
        <v>14027.62020848708</v>
      </c>
      <c r="H80" s="34" t="str">
        <f t="array" ref="H80">IF(SUMIFS(I$86:I$161,$B$86:$B$161,$A80)=0,"",SUMIFS(I$86:I$161,$B$86:$B$161,$A80,$D$86:$D$161,$C80)*INDEX($B$7:$B$9,MATCH($D80&amp;$E80,$C$7:$C$9&amp;$D$7:$D$9,0)))</f>
        <v/>
      </c>
      <c r="I80" s="34" t="str">
        <f t="array" ref="I80">IF(SUMIFS(J$86:J$161,$B$86:$B$161,$A80)=0,"",SUMIFS(J$86:J$161,$B$86:$B$161,$A80,$D$86:$D$161,$C80)*INDEX($B$7:$B$9,MATCH($D80&amp;$E80,$C$7:$C$9&amp;$D$7:$D$9,0)))</f>
        <v/>
      </c>
      <c r="J80" s="34">
        <f t="array" ref="J80">IF(SUMIFS(K$86:K$161,$B$86:$B$161,$A80)=0,"",SUMIFS(K$86:K$161,$B$86:$B$161,$A80,$D$86:$D$161,$C80)*INDEX($B$7:$B$9,MATCH($D80&amp;$E80,$C$7:$C$9&amp;$D$7:$D$9,0)))</f>
        <v>14198.569143761546</v>
      </c>
      <c r="K80" s="34">
        <f t="array" ref="K80">IF(SUMIFS(L$86:L$161,$B$86:$B$161,$A80)=0,"",SUMIFS(L$86:L$161,$B$86:$B$161,$A80,$D$86:$D$161,$C80)*INDEX($B$7:$B$9,MATCH($D80&amp;$E80,$C$7:$C$9&amp;$D$7:$D$9,0)))</f>
        <v>14982.546123002343</v>
      </c>
      <c r="L80" s="34">
        <f t="array" ref="L80">IF(SUMIFS(M$86:M$161,$B$86:$B$161,$A80)=0,"",SUMIFS(M$86:M$161,$B$86:$B$161,$A80,$D$86:$D$161,$C80)*INDEX($B$7:$B$9,MATCH($D80&amp;$E80,$C$7:$C$9&amp;$D$7:$D$9,0)))</f>
        <v>15654.168805931049</v>
      </c>
      <c r="M80" s="34">
        <f t="array" ref="M80">IF(SUMIFS(N$86:N$161,$B$86:$B$161,$A80)=0,"",SUMIFS(N$86:N$161,$B$86:$B$161,$A80,$D$86:$D$161,$C80)*INDEX($B$7:$B$9,MATCH($D80&amp;$E80,$C$7:$C$9&amp;$D$7:$D$9,0)))</f>
        <v>16602.918857680073</v>
      </c>
      <c r="N80" s="34">
        <f t="array" ref="N80">IF(SUMIFS(O$86:O$161,$B$86:$B$161,$A80)=0,"",SUMIFS(O$86:O$161,$B$86:$B$161,$A80,$D$86:$D$161,$C80)*INDEX($B$7:$B$9,MATCH($D80&amp;$E80,$C$7:$C$9&amp;$D$7:$D$9,0)))</f>
        <v>17545.812110545612</v>
      </c>
      <c r="O80" s="34">
        <f t="array" ref="O80">IF(SUMIFS(P$86:P$161,$B$86:$B$161,$A80)=0,"",SUMIFS(P$86:P$161,$B$86:$B$161,$A80,$D$86:$D$161,$C80)*INDEX($B$7:$B$9,MATCH($D80&amp;$E80,$C$7:$C$9&amp;$D$7:$D$9,0)))</f>
        <v>18443.187585397121</v>
      </c>
      <c r="P80" s="34">
        <f t="array" ref="P80">IF(SUMIFS(Q$86:Q$161,$B$86:$B$161,$A80)=0,"",SUMIFS(Q$86:Q$161,$B$86:$B$161,$A80,$D$86:$D$161,$C80)*INDEX($B$7:$B$9,MATCH($D80&amp;$E80,$C$7:$C$9&amp;$D$7:$D$9,0)))</f>
        <v>19356.530813995825</v>
      </c>
      <c r="Q80" s="34">
        <f t="array" ref="Q80">IF(SUMIFS(R$86:R$161,$B$86:$B$161,$A80)=0,"",SUMIFS(R$86:R$161,$B$86:$B$161,$A80,$D$86:$D$161,$C80)*INDEX($B$7:$B$9,MATCH($D80&amp;$E80,$C$7:$C$9&amp;$D$7:$D$9,0)))</f>
        <v>20274.259958812963</v>
      </c>
      <c r="R80" s="34">
        <f t="array" ref="R80">IF(SUMIFS(S$86:S$161,$B$86:$B$161,$A80)=0,"",SUMIFS(S$86:S$161,$B$86:$B$161,$A80,$D$86:$D$161,$C80)*INDEX($B$7:$B$9,MATCH($D80&amp;$E80,$C$7:$C$9&amp;$D$7:$D$9,0)))</f>
        <v>21169.350868937225</v>
      </c>
    </row>
    <row r="81" spans="1:28" x14ac:dyDescent="0.3">
      <c r="A81" s="3" t="s">
        <v>384</v>
      </c>
      <c r="B81" s="3" t="str">
        <f>INDEX('R1. Scenario specifications'!$C$11:$C$59,MATCH($A81,'R1. Scenario specifications'!$A$11:$A$59,0))</f>
        <v>Sky Scenario, Royal Dutch Shell</v>
      </c>
      <c r="C81" s="3" t="s">
        <v>253</v>
      </c>
      <c r="D81" s="3" t="str">
        <f t="array" ref="D81">INDEX($F$86:$F$161,MATCH($A81&amp;$C81,$B$86:$B$161&amp;$D$86:$D$161,0))</f>
        <v>EJ</v>
      </c>
      <c r="E81" s="3" t="s">
        <v>482</v>
      </c>
      <c r="F81" s="34" t="str">
        <f t="array" ref="F81">IF(SUMIFS(G$86:G$161,$B$86:$B$161,$A81)=0,"",SUMIFS(G$86:G$161,$B$86:$B$161,$A81,$D$86:$D$161,$C81)*INDEX($B$7:$B$9,MATCH($D81&amp;$E81,$C$7:$C$9&amp;$D$7:$D$9,0)))</f>
        <v/>
      </c>
      <c r="G81" s="34">
        <f t="array" ref="G81">IF(SUMIFS(H$86:H$161,$B$86:$B$161,$A81)=0,"",SUMIFS(H$86:H$161,$B$86:$B$161,$A81,$D$86:$D$161,$C81)*INDEX($B$7:$B$9,MATCH($D81&amp;$E81,$C$7:$C$9&amp;$D$7:$D$9,0)))</f>
        <v>56137.072244626928</v>
      </c>
      <c r="H81" s="34" t="str">
        <f t="array" ref="H81">IF(SUMIFS(I$86:I$161,$B$86:$B$161,$A81)=0,"",SUMIFS(I$86:I$161,$B$86:$B$161,$A81,$D$86:$D$161,$C81)*INDEX($B$7:$B$9,MATCH($D81&amp;$E81,$C$7:$C$9&amp;$D$7:$D$9,0)))</f>
        <v/>
      </c>
      <c r="I81" s="34" t="str">
        <f t="array" ref="I81">IF(SUMIFS(J$86:J$161,$B$86:$B$161,$A81)=0,"",SUMIFS(J$86:J$161,$B$86:$B$161,$A81,$D$86:$D$161,$C81)*INDEX($B$7:$B$9,MATCH($D81&amp;$E81,$C$7:$C$9&amp;$D$7:$D$9,0)))</f>
        <v/>
      </c>
      <c r="J81" s="34">
        <f t="array" ref="J81">IF(SUMIFS(K$86:K$161,$B$86:$B$161,$A81)=0,"",SUMIFS(K$86:K$161,$B$86:$B$161,$A81,$D$86:$D$161,$C81)*INDEX($B$7:$B$9,MATCH($D81&amp;$E81,$C$7:$C$9&amp;$D$7:$D$9,0)))</f>
        <v>60388.496843326022</v>
      </c>
      <c r="K81" s="34">
        <f t="array" ref="K81">IF(SUMIFS(L$86:L$161,$B$86:$B$161,$A81)=0,"",SUMIFS(L$86:L$161,$B$86:$B$161,$A81,$D$86:$D$161,$C81)*INDEX($B$7:$B$9,MATCH($D81&amp;$E81,$C$7:$C$9&amp;$D$7:$D$9,0)))</f>
        <v>61478.161498823829</v>
      </c>
      <c r="L81" s="34">
        <f t="array" ref="L81">IF(SUMIFS(M$86:M$161,$B$86:$B$161,$A81)=0,"",SUMIFS(M$86:M$161,$B$86:$B$161,$A81,$D$86:$D$161,$C81)*INDEX($B$7:$B$9,MATCH($D81&amp;$E81,$C$7:$C$9&amp;$D$7:$D$9,0)))</f>
        <v>63444.173372819598</v>
      </c>
      <c r="M81" s="34">
        <f t="array" ref="M81">IF(SUMIFS(N$86:N$161,$B$86:$B$161,$A81)=0,"",SUMIFS(N$86:N$161,$B$86:$B$161,$A81,$D$86:$D$161,$C81)*INDEX($B$7:$B$9,MATCH($D81&amp;$E81,$C$7:$C$9&amp;$D$7:$D$9,0)))</f>
        <v>70926.802471416901</v>
      </c>
      <c r="N81" s="34">
        <f t="array" ref="N81">IF(SUMIFS(O$86:O$161,$B$86:$B$161,$A81)=0,"",SUMIFS(O$86:O$161,$B$86:$B$161,$A81,$D$86:$D$161,$C81)*INDEX($B$7:$B$9,MATCH($D81&amp;$E81,$C$7:$C$9&amp;$D$7:$D$9,0)))</f>
        <v>83521.748857927058</v>
      </c>
      <c r="O81" s="34">
        <f t="array" ref="O81">IF(SUMIFS(P$86:P$161,$B$86:$B$161,$A81)=0,"",SUMIFS(P$86:P$161,$B$86:$B$161,$A81,$D$86:$D$161,$C81)*INDEX($B$7:$B$9,MATCH($D81&amp;$E81,$C$7:$C$9&amp;$D$7:$D$9,0)))</f>
        <v>99105.134839004197</v>
      </c>
      <c r="P81" s="34">
        <f t="array" ref="P81">IF(SUMIFS(Q$86:Q$161,$B$86:$B$161,$A81)=0,"",SUMIFS(Q$86:Q$161,$B$86:$B$161,$A81,$D$86:$D$161,$C81)*INDEX($B$7:$B$9,MATCH($D81&amp;$E81,$C$7:$C$9&amp;$D$7:$D$9,0)))</f>
        <v>109694.67755455713</v>
      </c>
      <c r="Q81" s="34">
        <f t="array" ref="Q81">IF(SUMIFS(R$86:R$161,$B$86:$B$161,$A81)=0,"",SUMIFS(R$86:R$161,$B$86:$B$161,$A81,$D$86:$D$161,$C81)*INDEX($B$7:$B$9,MATCH($D81&amp;$E81,$C$7:$C$9&amp;$D$7:$D$9,0)))</f>
        <v>123453.67963572862</v>
      </c>
      <c r="R81" s="34">
        <f t="array" ref="R81">IF(SUMIFS(S$86:S$161,$B$86:$B$161,$A81)=0,"",SUMIFS(S$86:S$161,$B$86:$B$161,$A81,$D$86:$D$161,$C81)*INDEX($B$7:$B$9,MATCH($D81&amp;$E81,$C$7:$C$9&amp;$D$7:$D$9,0)))</f>
        <v>137637.16814955033</v>
      </c>
    </row>
    <row r="82" spans="1:28" x14ac:dyDescent="0.3">
      <c r="A82" s="3" t="s">
        <v>384</v>
      </c>
      <c r="B82" s="3" t="str">
        <f>INDEX('R1. Scenario specifications'!$C$11:$C$59,MATCH($A82,'R1. Scenario specifications'!$A$11:$A$59,0))</f>
        <v>Sky Scenario, Royal Dutch Shell</v>
      </c>
      <c r="C82" s="3" t="s">
        <v>461</v>
      </c>
      <c r="D82" s="3" t="str">
        <f t="array" ref="D82">INDEX($F$86:$F$161,MATCH($A82&amp;$C82,$B$86:$B$161&amp;$D$86:$D$161,0))</f>
        <v>EJ</v>
      </c>
      <c r="E82" s="3" t="s">
        <v>482</v>
      </c>
      <c r="F82" s="34" t="str">
        <f t="array" ref="F82">IF(SUMIFS(G$86:G$161,$B$86:$B$161,$A82)=0,"",SUMIFS(G$86:G$161,$B$86:$B$161,$A82,$D$86:$D$161,$C82)*INDEX($B$7:$B$9,MATCH($D82&amp;$E82,$C$7:$C$9&amp;$D$7:$D$9,0)))</f>
        <v/>
      </c>
      <c r="G82" s="34">
        <f t="array" ref="G82">IF(SUMIFS(H$86:H$161,$B$86:$B$161,$A82)=0,"",SUMIFS(H$86:H$161,$B$86:$B$161,$A82,$D$86:$D$161,$C82)*INDEX($B$7:$B$9,MATCH($D82&amp;$E82,$C$7:$C$9&amp;$D$7:$D$9,0)))</f>
        <v>8154.2561046968985</v>
      </c>
      <c r="H82" s="34" t="str">
        <f t="array" ref="H82">IF(SUMIFS(I$86:I$161,$B$86:$B$161,$A82)=0,"",SUMIFS(I$86:I$161,$B$86:$B$161,$A82,$D$86:$D$161,$C82)*INDEX($B$7:$B$9,MATCH($D82&amp;$E82,$C$7:$C$9&amp;$D$7:$D$9,0)))</f>
        <v/>
      </c>
      <c r="I82" s="34" t="str">
        <f t="array" ref="I82">IF(SUMIFS(J$86:J$161,$B$86:$B$161,$A82)=0,"",SUMIFS(J$86:J$161,$B$86:$B$161,$A82,$D$86:$D$161,$C82)*INDEX($B$7:$B$9,MATCH($D82&amp;$E82,$C$7:$C$9&amp;$D$7:$D$9,0)))</f>
        <v/>
      </c>
      <c r="J82" s="34">
        <f t="array" ref="J82">IF(SUMIFS(K$86:K$161,$B$86:$B$161,$A82)=0,"",SUMIFS(K$86:K$161,$B$86:$B$161,$A82,$D$86:$D$161,$C82)*INDEX($B$7:$B$9,MATCH($D82&amp;$E82,$C$7:$C$9&amp;$D$7:$D$9,0)))</f>
        <v>15329.738965674655</v>
      </c>
      <c r="K82" s="34">
        <f t="array" ref="K82">IF(SUMIFS(L$86:L$161,$B$86:$B$161,$A82)=0,"",SUMIFS(L$86:L$161,$B$86:$B$161,$A82,$D$86:$D$161,$C82)*INDEX($B$7:$B$9,MATCH($D82&amp;$E82,$C$7:$C$9&amp;$D$7:$D$9,0)))</f>
        <v>27055.304736626189</v>
      </c>
      <c r="L82" s="34">
        <f t="array" ref="L82">IF(SUMIFS(M$86:M$161,$B$86:$B$161,$A82)=0,"",SUMIFS(M$86:M$161,$B$86:$B$161,$A82,$D$86:$D$161,$C82)*INDEX($B$7:$B$9,MATCH($D82&amp;$E82,$C$7:$C$9&amp;$D$7:$D$9,0)))</f>
        <v>48673.086758714984</v>
      </c>
      <c r="M82" s="34">
        <f t="array" ref="M82">IF(SUMIFS(N$86:N$161,$B$86:$B$161,$A82)=0,"",SUMIFS(N$86:N$161,$B$86:$B$161,$A82,$D$86:$D$161,$C82)*INDEX($B$7:$B$9,MATCH($D82&amp;$E82,$C$7:$C$9&amp;$D$7:$D$9,0)))</f>
        <v>82930.522844451451</v>
      </c>
      <c r="N82" s="34">
        <f t="array" ref="N82">IF(SUMIFS(O$86:O$161,$B$86:$B$161,$A82)=0,"",SUMIFS(O$86:O$161,$B$86:$B$161,$A82,$D$86:$D$161,$C82)*INDEX($B$7:$B$9,MATCH($D82&amp;$E82,$C$7:$C$9&amp;$D$7:$D$9,0)))</f>
        <v>124709.21993075828</v>
      </c>
      <c r="O82" s="34">
        <f t="array" ref="O82">IF(SUMIFS(P$86:P$161,$B$86:$B$161,$A82)=0,"",SUMIFS(P$86:P$161,$B$86:$B$161,$A82,$D$86:$D$161,$C82)*INDEX($B$7:$B$9,MATCH($D82&amp;$E82,$C$7:$C$9&amp;$D$7:$D$9,0)))</f>
        <v>178381.05742513126</v>
      </c>
      <c r="P82" s="34">
        <f t="array" ref="P82">IF(SUMIFS(Q$86:Q$161,$B$86:$B$161,$A82)=0,"",SUMIFS(Q$86:Q$161,$B$86:$B$161,$A82,$D$86:$D$161,$C82)*INDEX($B$7:$B$9,MATCH($D82&amp;$E82,$C$7:$C$9&amp;$D$7:$D$9,0)))</f>
        <v>244350.80908648201</v>
      </c>
      <c r="Q82" s="34">
        <f t="array" ref="Q82">IF(SUMIFS(R$86:R$161,$B$86:$B$161,$A82)=0,"",SUMIFS(R$86:R$161,$B$86:$B$161,$A82,$D$86:$D$161,$C82)*INDEX($B$7:$B$9,MATCH($D82&amp;$E82,$C$7:$C$9&amp;$D$7:$D$9,0)))</f>
        <v>311152.9530557025</v>
      </c>
      <c r="R82" s="34">
        <f t="array" ref="R82">IF(SUMIFS(S$86:S$161,$B$86:$B$161,$A82)=0,"",SUMIFS(S$86:S$161,$B$86:$B$161,$A82,$D$86:$D$161,$C82)*INDEX($B$7:$B$9,MATCH($D82&amp;$E82,$C$7:$C$9&amp;$D$7:$D$9,0)))</f>
        <v>375893.20129102905</v>
      </c>
    </row>
    <row r="83" spans="1:28" ht="15" thickBot="1" x14ac:dyDescent="0.35"/>
    <row r="84" spans="1:28" s="15" customFormat="1" ht="15" thickBot="1" x14ac:dyDescent="0.35">
      <c r="A84" s="15" t="s">
        <v>488</v>
      </c>
    </row>
    <row r="85" spans="1:28" x14ac:dyDescent="0.3">
      <c r="A85" s="3" t="s">
        <v>489</v>
      </c>
      <c r="B85" s="3" t="s">
        <v>8</v>
      </c>
      <c r="C85" s="3" t="s">
        <v>86</v>
      </c>
      <c r="D85" s="3" t="s">
        <v>252</v>
      </c>
      <c r="E85" s="3" t="s">
        <v>490</v>
      </c>
      <c r="F85" s="3" t="s">
        <v>430</v>
      </c>
      <c r="G85" s="3">
        <v>2014</v>
      </c>
      <c r="H85" s="3">
        <v>2015</v>
      </c>
      <c r="I85" s="3">
        <v>2016</v>
      </c>
      <c r="J85" s="3">
        <v>2017</v>
      </c>
      <c r="K85" s="3">
        <v>2020</v>
      </c>
      <c r="L85" s="3">
        <v>2025</v>
      </c>
      <c r="M85" s="3">
        <v>2030</v>
      </c>
      <c r="N85" s="3">
        <v>2035</v>
      </c>
      <c r="O85" s="3">
        <v>2040</v>
      </c>
      <c r="P85" s="3">
        <v>2045</v>
      </c>
      <c r="Q85" s="3">
        <v>2050</v>
      </c>
      <c r="R85" s="3">
        <v>2055</v>
      </c>
      <c r="S85" s="3">
        <v>2060</v>
      </c>
      <c r="AB85" s="27"/>
    </row>
    <row r="86" spans="1:28" x14ac:dyDescent="0.3">
      <c r="A86" s="3" t="s">
        <v>530</v>
      </c>
      <c r="B86" s="32" t="s">
        <v>368</v>
      </c>
      <c r="C86" s="32" t="str">
        <f>INDEX('R1. Scenario specifications'!$C$11:$C$59,MATCH($B86,'R1. Scenario specifications'!$A$11:$A$59,0))</f>
        <v>Current Policies Scenario, World Energy Outlook 2018</v>
      </c>
      <c r="D86" s="32" t="s">
        <v>254</v>
      </c>
      <c r="E86" s="32" t="s">
        <v>254</v>
      </c>
      <c r="F86" s="32" t="s">
        <v>529</v>
      </c>
      <c r="G86" s="32"/>
      <c r="H86" s="32"/>
      <c r="I86" s="33">
        <f>INDEX('R7. WEO18 Balance'!$B$13:$K$20,MATCH($E86,'R7. WEO18 Balance'!$A$13:$A$20,0),MATCH(I$85,'R7. WEO18 Balance'!$B$11:$K$11,0))</f>
        <v>3720</v>
      </c>
      <c r="J86" s="33">
        <f>INDEX('R7. WEO18 Balance'!$B$13:$K$20,MATCH($E86,'R7. WEO18 Balance'!$A$13:$A$20,0),MATCH(CONCATENATE(J$85,"e"),'R7. WEO18 Balance'!$B$11:$K$11,0))</f>
        <v>3750</v>
      </c>
      <c r="K86" s="43">
        <f>$J86+(K$85-$J$85)*($L86-$J86)/($L$85-$J$85)</f>
        <v>3843</v>
      </c>
      <c r="L86" s="33">
        <f>INDEX('R7. WEO18 Balance'!$N$13:$Q$20,MATCH($E86,'R7. WEO18 Balance'!$M$13:$M$20,0),MATCH(L$85,'R7. WEO18 Balance'!$N$11:$Q$11,0))</f>
        <v>3998</v>
      </c>
      <c r="M86" s="33">
        <f>INDEX('R7. WEO18 Balance'!$N$13:$Q$20,MATCH($E86,'R7. WEO18 Balance'!$M$13:$M$20,0),MATCH(M$85,'R7. WEO18 Balance'!$N$11:$Q$11,0))</f>
        <v>4252</v>
      </c>
      <c r="N86" s="33">
        <f>INDEX('R7. WEO18 Balance'!$N$13:$Q$20,MATCH($E86,'R7. WEO18 Balance'!$M$13:$M$20,0),MATCH(N$85,'R7. WEO18 Balance'!$N$11:$Q$11,0))</f>
        <v>4520</v>
      </c>
      <c r="O86" s="33">
        <f>INDEX('R7. WEO18 Balance'!$N$13:$Q$20,MATCH($E86,'R7. WEO18 Balance'!$M$13:$M$20,0),MATCH(O$85,'R7. WEO18 Balance'!$N$11:$Q$11,0))</f>
        <v>4769</v>
      </c>
      <c r="P86" s="43">
        <f>TREND($N86:$O86,$N$85:$O$85,P$85)</f>
        <v>5018</v>
      </c>
      <c r="Q86" s="43">
        <f t="shared" ref="Q86:S106" si="0">TREND($N86:$O86,$N$85:$O$85,Q$85)</f>
        <v>5267</v>
      </c>
      <c r="R86" s="43">
        <f t="shared" si="0"/>
        <v>5516</v>
      </c>
      <c r="S86" s="43">
        <f t="shared" si="0"/>
        <v>5765</v>
      </c>
    </row>
    <row r="87" spans="1:28" x14ac:dyDescent="0.3">
      <c r="A87" s="3" t="s">
        <v>530</v>
      </c>
      <c r="B87" s="3" t="s">
        <v>368</v>
      </c>
      <c r="C87" s="3" t="str">
        <f>INDEX('R1. Scenario specifications'!$C$11:$C$59,MATCH($B87,'R1. Scenario specifications'!$A$11:$A$59,0))</f>
        <v>Current Policies Scenario, World Energy Outlook 2018</v>
      </c>
      <c r="D87" s="3" t="s">
        <v>266</v>
      </c>
      <c r="E87" s="3" t="s">
        <v>266</v>
      </c>
      <c r="F87" s="3" t="s">
        <v>529</v>
      </c>
      <c r="I87" s="34">
        <f>INDEX('R7. WEO18 Balance'!$B$13:$K$20,MATCH($E87,'R7. WEO18 Balance'!$A$13:$A$20,0),MATCH(I$85,'R7. WEO18 Balance'!$B$11:$K$11,0))</f>
        <v>4364</v>
      </c>
      <c r="J87" s="34">
        <f>INDEX('R7. WEO18 Balance'!$B$13:$K$20,MATCH($E87,'R7. WEO18 Balance'!$A$13:$A$20,0),MATCH(CONCATENATE(J$85,"e"),'R7. WEO18 Balance'!$B$11:$K$11,0))</f>
        <v>4435</v>
      </c>
      <c r="K87" s="31">
        <f t="shared" ref="K87:K106" si="1">$J87+(K$85-$J$85)*($L87-$J87)/($L$85-$J$85)</f>
        <v>4610.125</v>
      </c>
      <c r="L87" s="34">
        <f>INDEX('R7. WEO18 Balance'!$N$13:$Q$20,MATCH($E87,'R7. WEO18 Balance'!$M$13:$M$20,0),MATCH(L$85,'R7. WEO18 Balance'!$N$11:$Q$11,0))</f>
        <v>4902</v>
      </c>
      <c r="M87" s="34">
        <f>INDEX('R7. WEO18 Balance'!$N$13:$Q$20,MATCH($E87,'R7. WEO18 Balance'!$M$13:$M$20,0),MATCH(M$85,'R7. WEO18 Balance'!$N$11:$Q$11,0))</f>
        <v>5128</v>
      </c>
      <c r="N87" s="34">
        <f>INDEX('R7. WEO18 Balance'!$N$13:$Q$20,MATCH($E87,'R7. WEO18 Balance'!$M$13:$M$20,0),MATCH(N$85,'R7. WEO18 Balance'!$N$11:$Q$11,0))</f>
        <v>5329</v>
      </c>
      <c r="O87" s="34">
        <f>INDEX('R7. WEO18 Balance'!$N$13:$Q$20,MATCH($E87,'R7. WEO18 Balance'!$M$13:$M$20,0),MATCH(O$85,'R7. WEO18 Balance'!$N$11:$Q$11,0))</f>
        <v>5570</v>
      </c>
      <c r="P87" s="31">
        <f t="shared" ref="P87:P106" si="2">TREND($N87:$O87,$N$85:$O$85,P$85)</f>
        <v>5811</v>
      </c>
      <c r="Q87" s="31">
        <f t="shared" si="0"/>
        <v>6052</v>
      </c>
      <c r="R87" s="31">
        <f t="shared" si="0"/>
        <v>6293</v>
      </c>
      <c r="S87" s="31">
        <f t="shared" si="0"/>
        <v>6534</v>
      </c>
    </row>
    <row r="88" spans="1:28" x14ac:dyDescent="0.3">
      <c r="A88" s="3" t="s">
        <v>530</v>
      </c>
      <c r="B88" s="3" t="s">
        <v>368</v>
      </c>
      <c r="C88" s="3" t="str">
        <f>INDEX('R1. Scenario specifications'!$C$11:$C$59,MATCH($B88,'R1. Scenario specifications'!$A$11:$A$59,0))</f>
        <v>Current Policies Scenario, World Energy Outlook 2018</v>
      </c>
      <c r="D88" s="3" t="s">
        <v>255</v>
      </c>
      <c r="E88" s="3" t="s">
        <v>255</v>
      </c>
      <c r="F88" s="3" t="s">
        <v>529</v>
      </c>
      <c r="I88" s="34">
        <f>INDEX('R7. WEO18 Balance'!$B$13:$K$20,MATCH($E88,'R7. WEO18 Balance'!$A$13:$A$20,0),MATCH(I$85,'R7. WEO18 Balance'!$B$11:$K$11,0))</f>
        <v>3022</v>
      </c>
      <c r="J88" s="34">
        <f>INDEX('R7. WEO18 Balance'!$B$13:$K$20,MATCH($E88,'R7. WEO18 Balance'!$A$13:$A$20,0),MATCH(CONCATENATE(J$85,"e"),'R7. WEO18 Balance'!$B$11:$K$11,0))</f>
        <v>3107</v>
      </c>
      <c r="K88" s="31">
        <f t="shared" si="1"/>
        <v>3297.875</v>
      </c>
      <c r="L88" s="34">
        <f>INDEX('R7. WEO18 Balance'!$N$13:$Q$20,MATCH($E88,'R7. WEO18 Balance'!$M$13:$M$20,0),MATCH(L$85,'R7. WEO18 Balance'!$N$11:$Q$11,0))</f>
        <v>3616</v>
      </c>
      <c r="M88" s="34">
        <f>INDEX('R7. WEO18 Balance'!$N$13:$Q$20,MATCH($E88,'R7. WEO18 Balance'!$M$13:$M$20,0),MATCH(M$85,'R7. WEO18 Balance'!$N$11:$Q$11,0))</f>
        <v>4000</v>
      </c>
      <c r="N88" s="34">
        <f>INDEX('R7. WEO18 Balance'!$N$13:$Q$20,MATCH($E88,'R7. WEO18 Balance'!$M$13:$M$20,0),MATCH(N$85,'R7. WEO18 Balance'!$N$11:$Q$11,0))</f>
        <v>4412</v>
      </c>
      <c r="O88" s="34">
        <f>INDEX('R7. WEO18 Balance'!$N$13:$Q$20,MATCH($E88,'R7. WEO18 Balance'!$M$13:$M$20,0),MATCH(O$85,'R7. WEO18 Balance'!$N$11:$Q$11,0))</f>
        <v>4804</v>
      </c>
      <c r="P88" s="31">
        <f t="shared" si="2"/>
        <v>5196</v>
      </c>
      <c r="Q88" s="31">
        <f t="shared" si="0"/>
        <v>5588</v>
      </c>
      <c r="R88" s="31">
        <f t="shared" si="0"/>
        <v>5980</v>
      </c>
      <c r="S88" s="31">
        <f t="shared" si="0"/>
        <v>6372</v>
      </c>
    </row>
    <row r="89" spans="1:28" x14ac:dyDescent="0.3">
      <c r="A89" s="3" t="s">
        <v>530</v>
      </c>
      <c r="B89" s="3" t="s">
        <v>368</v>
      </c>
      <c r="C89" s="3" t="str">
        <f>INDEX('R1. Scenario specifications'!$C$11:$C$59,MATCH($B89,'R1. Scenario specifications'!$A$11:$A$59,0))</f>
        <v>Current Policies Scenario, World Energy Outlook 2018</v>
      </c>
      <c r="D89" s="3" t="s">
        <v>257</v>
      </c>
      <c r="E89" s="3" t="s">
        <v>257</v>
      </c>
      <c r="F89" s="3" t="s">
        <v>529</v>
      </c>
      <c r="I89" s="34">
        <f>INDEX('R7. WEO18 Balance'!$B$13:$K$20,MATCH($E89,'R7. WEO18 Balance'!$A$13:$A$20,0),MATCH(I$85,'R7. WEO18 Balance'!$B$11:$K$11,0))</f>
        <v>679</v>
      </c>
      <c r="J89" s="34">
        <f>INDEX('R7. WEO18 Balance'!$B$13:$K$20,MATCH($E89,'R7. WEO18 Balance'!$A$13:$A$20,0),MATCH(CONCATENATE(J$85,"e"),'R7. WEO18 Balance'!$B$11:$K$11,0))</f>
        <v>688</v>
      </c>
      <c r="K89" s="31">
        <f t="shared" si="1"/>
        <v>731.125</v>
      </c>
      <c r="L89" s="34">
        <f>INDEX('R7. WEO18 Balance'!$N$13:$Q$20,MATCH($E89,'R7. WEO18 Balance'!$M$13:$M$20,0),MATCH(L$85,'R7. WEO18 Balance'!$N$11:$Q$11,0))</f>
        <v>803</v>
      </c>
      <c r="M89" s="34">
        <f>INDEX('R7. WEO18 Balance'!$N$13:$Q$20,MATCH($E89,'R7. WEO18 Balance'!$M$13:$M$20,0),MATCH(M$85,'R7. WEO18 Balance'!$N$11:$Q$11,0))</f>
        <v>844</v>
      </c>
      <c r="N89" s="34">
        <f>INDEX('R7. WEO18 Balance'!$N$13:$Q$20,MATCH($E89,'R7. WEO18 Balance'!$M$13:$M$20,0),MATCH(N$85,'R7. WEO18 Balance'!$N$11:$Q$11,0))</f>
        <v>889</v>
      </c>
      <c r="O89" s="34">
        <f>INDEX('R7. WEO18 Balance'!$N$13:$Q$20,MATCH($E89,'R7. WEO18 Balance'!$M$13:$M$20,0),MATCH(O$85,'R7. WEO18 Balance'!$N$11:$Q$11,0))</f>
        <v>951</v>
      </c>
      <c r="P89" s="31">
        <f t="shared" si="2"/>
        <v>1013</v>
      </c>
      <c r="Q89" s="31">
        <f t="shared" si="0"/>
        <v>1075</v>
      </c>
      <c r="R89" s="31">
        <f t="shared" si="0"/>
        <v>1137</v>
      </c>
      <c r="S89" s="31">
        <f t="shared" si="0"/>
        <v>1199</v>
      </c>
    </row>
    <row r="90" spans="1:28" x14ac:dyDescent="0.3">
      <c r="A90" s="3" t="s">
        <v>530</v>
      </c>
      <c r="B90" s="3" t="s">
        <v>368</v>
      </c>
      <c r="C90" s="3" t="str">
        <f>INDEX('R1. Scenario specifications'!$C$11:$C$59,MATCH($B90,'R1. Scenario specifications'!$A$11:$A$59,0))</f>
        <v>Current Policies Scenario, World Energy Outlook 2018</v>
      </c>
      <c r="D90" s="3" t="s">
        <v>256</v>
      </c>
      <c r="E90" s="3" t="s">
        <v>256</v>
      </c>
      <c r="F90" s="3" t="s">
        <v>529</v>
      </c>
      <c r="I90" s="34">
        <f>INDEX('R7. WEO18 Balance'!$B$13:$K$20,MATCH($E90,'R7. WEO18 Balance'!$A$13:$A$20,0),MATCH(I$85,'R7. WEO18 Balance'!$B$11:$K$11,0))</f>
        <v>348</v>
      </c>
      <c r="J90" s="34">
        <f>INDEX('R7. WEO18 Balance'!$B$13:$K$20,MATCH($E90,'R7. WEO18 Balance'!$A$13:$A$20,0),MATCH(CONCATENATE(J$85,"e"),'R7. WEO18 Balance'!$B$11:$K$11,0))</f>
        <v>353</v>
      </c>
      <c r="K90" s="31">
        <f t="shared" si="1"/>
        <v>375.5</v>
      </c>
      <c r="L90" s="34">
        <f>INDEX('R7. WEO18 Balance'!$N$13:$Q$20,MATCH($E90,'R7. WEO18 Balance'!$M$13:$M$20,0),MATCH(L$85,'R7. WEO18 Balance'!$N$11:$Q$11,0))</f>
        <v>413</v>
      </c>
      <c r="M90" s="34">
        <f>INDEX('R7. WEO18 Balance'!$N$13:$Q$20,MATCH($E90,'R7. WEO18 Balance'!$M$13:$M$20,0),MATCH(M$85,'R7. WEO18 Balance'!$N$11:$Q$11,0))</f>
        <v>449</v>
      </c>
      <c r="N90" s="34">
        <f>INDEX('R7. WEO18 Balance'!$N$13:$Q$20,MATCH($E90,'R7. WEO18 Balance'!$M$13:$M$20,0),MATCH(N$85,'R7. WEO18 Balance'!$N$11:$Q$11,0))</f>
        <v>482</v>
      </c>
      <c r="O90" s="34">
        <f>INDEX('R7. WEO18 Balance'!$N$13:$Q$20,MATCH($E90,'R7. WEO18 Balance'!$M$13:$M$20,0),MATCH(O$85,'R7. WEO18 Balance'!$N$11:$Q$11,0))</f>
        <v>514</v>
      </c>
      <c r="P90" s="31">
        <f t="shared" si="2"/>
        <v>546</v>
      </c>
      <c r="Q90" s="31">
        <f t="shared" si="0"/>
        <v>578</v>
      </c>
      <c r="R90" s="31">
        <f t="shared" si="0"/>
        <v>610</v>
      </c>
      <c r="S90" s="31">
        <f t="shared" si="0"/>
        <v>642</v>
      </c>
    </row>
    <row r="91" spans="1:28" x14ac:dyDescent="0.3">
      <c r="A91" s="3" t="s">
        <v>530</v>
      </c>
      <c r="B91" s="3" t="s">
        <v>368</v>
      </c>
      <c r="C91" s="3" t="str">
        <f>INDEX('R1. Scenario specifications'!$C$11:$C$59,MATCH($B91,'R1. Scenario specifications'!$A$11:$A$59,0))</f>
        <v>Current Policies Scenario, World Energy Outlook 2018</v>
      </c>
      <c r="D91" s="3" t="s">
        <v>253</v>
      </c>
      <c r="E91" s="3" t="s">
        <v>503</v>
      </c>
      <c r="F91" s="3" t="s">
        <v>529</v>
      </c>
      <c r="I91" s="34">
        <f>INDEX('R7. WEO18 Balance'!$B$13:$K$20,MATCH($E91,'R7. WEO18 Balance'!$A$13:$A$20,0),MATCH(I$85,'R7. WEO18 Balance'!$B$11:$K$11,0))</f>
        <v>1350</v>
      </c>
      <c r="J91" s="34">
        <f>INDEX('R7. WEO18 Balance'!$B$13:$K$20,MATCH($E91,'R7. WEO18 Balance'!$A$13:$A$20,0),MATCH(CONCATENATE(J$85,"e"),'R7. WEO18 Balance'!$B$11:$K$11,0))</f>
        <v>1384</v>
      </c>
      <c r="K91" s="31">
        <f t="shared" si="1"/>
        <v>1454.5</v>
      </c>
      <c r="L91" s="34">
        <f>INDEX('R7. WEO18 Balance'!$N$13:$Q$20,MATCH($E91,'R7. WEO18 Balance'!$M$13:$M$20,0),MATCH(L$85,'R7. WEO18 Balance'!$N$11:$Q$11,0))</f>
        <v>1572</v>
      </c>
      <c r="M91" s="34">
        <f>INDEX('R7. WEO18 Balance'!$N$13:$Q$20,MATCH($E91,'R7. WEO18 Balance'!$M$13:$M$20,0),MATCH(M$85,'R7. WEO18 Balance'!$N$11:$Q$11,0))</f>
        <v>1649</v>
      </c>
      <c r="N91" s="34">
        <f>INDEX('R7. WEO18 Balance'!$N$13:$Q$20,MATCH($E91,'R7. WEO18 Balance'!$M$13:$M$20,0),MATCH(N$85,'R7. WEO18 Balance'!$N$11:$Q$11,0))</f>
        <v>1718</v>
      </c>
      <c r="O91" s="34">
        <f>INDEX('R7. WEO18 Balance'!$N$13:$Q$20,MATCH($E91,'R7. WEO18 Balance'!$M$13:$M$20,0),MATCH(O$85,'R7. WEO18 Balance'!$N$11:$Q$11,0))</f>
        <v>1771</v>
      </c>
      <c r="P91" s="31">
        <f t="shared" si="2"/>
        <v>1824</v>
      </c>
      <c r="Q91" s="31">
        <f t="shared" si="0"/>
        <v>1877</v>
      </c>
      <c r="R91" s="31">
        <f t="shared" si="0"/>
        <v>1930</v>
      </c>
      <c r="S91" s="31">
        <f t="shared" si="0"/>
        <v>1983</v>
      </c>
    </row>
    <row r="92" spans="1:28" x14ac:dyDescent="0.3">
      <c r="A92" s="3" t="s">
        <v>530</v>
      </c>
      <c r="B92" s="3" t="s">
        <v>368</v>
      </c>
      <c r="C92" s="3" t="str">
        <f>INDEX('R1. Scenario specifications'!$C$11:$C$59,MATCH($B92,'R1. Scenario specifications'!$A$11:$A$59,0))</f>
        <v>Current Policies Scenario, World Energy Outlook 2018</v>
      </c>
      <c r="D92" s="3" t="s">
        <v>461</v>
      </c>
      <c r="E92" s="3" t="s">
        <v>461</v>
      </c>
      <c r="F92" s="3" t="s">
        <v>529</v>
      </c>
      <c r="I92" s="34">
        <f>INDEX('R7. WEO18 Balance'!$B$13:$K$20,MATCH($E92,'R7. WEO18 Balance'!$A$13:$A$20,0),MATCH(I$85,'R7. WEO18 Balance'!$B$11:$K$11,0))</f>
        <v>224</v>
      </c>
      <c r="J92" s="34">
        <f>INDEX('R7. WEO18 Balance'!$B$13:$K$20,MATCH($E92,'R7. WEO18 Balance'!$A$13:$A$20,0),MATCH(CONCATENATE(J$85,"e"),'R7. WEO18 Balance'!$B$11:$K$11,0))</f>
        <v>254</v>
      </c>
      <c r="K92" s="31">
        <f t="shared" si="1"/>
        <v>338.375</v>
      </c>
      <c r="L92" s="34">
        <f>INDEX('R7. WEO18 Balance'!$N$13:$Q$20,MATCH($E92,'R7. WEO18 Balance'!$M$13:$M$20,0),MATCH(L$85,'R7. WEO18 Balance'!$N$11:$Q$11,0))</f>
        <v>479</v>
      </c>
      <c r="M92" s="34">
        <f>INDEX('R7. WEO18 Balance'!$N$13:$Q$20,MATCH($E92,'R7. WEO18 Balance'!$M$13:$M$20,0),MATCH(M$85,'R7. WEO18 Balance'!$N$11:$Q$11,0))</f>
        <v>620</v>
      </c>
      <c r="N92" s="34">
        <f>INDEX('R7. WEO18 Balance'!$N$13:$Q$20,MATCH($E92,'R7. WEO18 Balance'!$M$13:$M$20,0),MATCH(N$85,'R7. WEO18 Balance'!$N$11:$Q$11,0))</f>
        <v>774</v>
      </c>
      <c r="O92" s="34">
        <f>INDEX('R7. WEO18 Balance'!$N$13:$Q$20,MATCH($E92,'R7. WEO18 Balance'!$M$13:$M$20,0),MATCH(O$85,'R7. WEO18 Balance'!$N$11:$Q$11,0))</f>
        <v>948</v>
      </c>
      <c r="P92" s="31">
        <f t="shared" si="2"/>
        <v>1122</v>
      </c>
      <c r="Q92" s="31">
        <f t="shared" si="0"/>
        <v>1296</v>
      </c>
      <c r="R92" s="31">
        <f t="shared" si="0"/>
        <v>1470</v>
      </c>
      <c r="S92" s="31">
        <f t="shared" si="0"/>
        <v>1644</v>
      </c>
    </row>
    <row r="93" spans="1:28" x14ac:dyDescent="0.3">
      <c r="A93" s="3" t="s">
        <v>530</v>
      </c>
      <c r="B93" s="32" t="s">
        <v>370</v>
      </c>
      <c r="C93" s="32" t="str">
        <f>INDEX('R1. Scenario specifications'!$C$11:$C$59,MATCH($B93,'R1. Scenario specifications'!$A$11:$A$59,0))</f>
        <v>New Policies Scenario, World Energy Outlook 2018</v>
      </c>
      <c r="D93" s="32" t="s">
        <v>254</v>
      </c>
      <c r="E93" s="32" t="s">
        <v>254</v>
      </c>
      <c r="F93" s="32" t="s">
        <v>529</v>
      </c>
      <c r="G93" s="32"/>
      <c r="H93" s="32"/>
      <c r="I93" s="33">
        <f>INDEX('R7. WEO18 Balance'!$B$13:$K$20,MATCH($E93,'R7. WEO18 Balance'!$A$13:$A$20,0),MATCH(I$85,'R7. WEO18 Balance'!$B$11:$K$11,0))</f>
        <v>3720</v>
      </c>
      <c r="J93" s="33">
        <f>INDEX('R7. WEO18 Balance'!$B$13:$K$20,MATCH($E93,'R7. WEO18 Balance'!$A$13:$A$20,0),MATCH(CONCATENATE(J$85,"e"),'R7. WEO18 Balance'!$B$11:$K$11,0))</f>
        <v>3750</v>
      </c>
      <c r="K93" s="43">
        <f>$J93+(K$85-$J$85)*($L93-$J93)/($L$85-$J$85)</f>
        <v>3756.75</v>
      </c>
      <c r="L93" s="33">
        <f>INDEX('R7. WEO18 Balance'!$B$13:$K$20,MATCH($E93,'R7. WEO18 Balance'!$A$13:$A$20,0),MATCH(L$85,'R7. WEO18 Balance'!$B$11:$K$11,0))</f>
        <v>3768</v>
      </c>
      <c r="M93" s="33">
        <f>INDEX('R7. WEO18 Balance'!$B$13:$K$20,MATCH($E93,'R7. WEO18 Balance'!$A$13:$A$20,0),MATCH(M$85,'R7. WEO18 Balance'!$B$11:$K$11,0))</f>
        <v>3783</v>
      </c>
      <c r="N93" s="33">
        <f>INDEX('R7. WEO18 Balance'!$B$13:$K$20,MATCH($E93,'R7. WEO18 Balance'!$A$13:$A$20,0),MATCH(N$85,'R7. WEO18 Balance'!$B$11:$K$11,0))</f>
        <v>3793</v>
      </c>
      <c r="O93" s="33">
        <f>INDEX('R7. WEO18 Balance'!$B$13:$K$20,MATCH($E93,'R7. WEO18 Balance'!$A$13:$A$20,0),MATCH(O$85,'R7. WEO18 Balance'!$B$11:$K$11,0))</f>
        <v>3809</v>
      </c>
      <c r="P93" s="53">
        <f t="shared" si="2"/>
        <v>3825</v>
      </c>
      <c r="Q93" s="53">
        <f t="shared" si="0"/>
        <v>3841</v>
      </c>
      <c r="R93" s="53">
        <f t="shared" si="0"/>
        <v>3857</v>
      </c>
      <c r="S93" s="53">
        <f t="shared" si="0"/>
        <v>3873</v>
      </c>
    </row>
    <row r="94" spans="1:28" x14ac:dyDescent="0.3">
      <c r="A94" s="3" t="s">
        <v>530</v>
      </c>
      <c r="B94" s="3" t="s">
        <v>370</v>
      </c>
      <c r="C94" s="3" t="str">
        <f>INDEX('R1. Scenario specifications'!$C$11:$C$59,MATCH($B94,'R1. Scenario specifications'!$A$11:$A$59,0))</f>
        <v>New Policies Scenario, World Energy Outlook 2018</v>
      </c>
      <c r="D94" s="3" t="s">
        <v>266</v>
      </c>
      <c r="E94" s="3" t="s">
        <v>266</v>
      </c>
      <c r="F94" s="3" t="s">
        <v>529</v>
      </c>
      <c r="I94" s="34">
        <f>INDEX('R7. WEO18 Balance'!$B$13:$K$20,MATCH($E94,'R7. WEO18 Balance'!$A$13:$A$20,0),MATCH(I$85,'R7. WEO18 Balance'!$B$11:$K$11,0))</f>
        <v>4364</v>
      </c>
      <c r="J94" s="34">
        <f>INDEX('R7. WEO18 Balance'!$B$13:$K$20,MATCH($E94,'R7. WEO18 Balance'!$A$13:$A$20,0),MATCH(CONCATENATE(J$85,"e"),'R7. WEO18 Balance'!$B$11:$K$11,0))</f>
        <v>4435</v>
      </c>
      <c r="K94" s="31">
        <f t="shared" si="1"/>
        <v>4554.625</v>
      </c>
      <c r="L94" s="34">
        <f>INDEX('R7. WEO18 Balance'!$B$13:$K$20,MATCH($E94,'R7. WEO18 Balance'!$A$13:$A$20,0),MATCH(L$85,'R7. WEO18 Balance'!$B$11:$K$11,0))</f>
        <v>4754</v>
      </c>
      <c r="M94" s="34">
        <f>INDEX('R7. WEO18 Balance'!$B$13:$K$20,MATCH($E94,'R7. WEO18 Balance'!$A$13:$A$20,0),MATCH(M$85,'R7. WEO18 Balance'!$B$11:$K$11,0))</f>
        <v>4830</v>
      </c>
      <c r="N94" s="34">
        <f>INDEX('R7. WEO18 Balance'!$B$13:$K$20,MATCH($E94,'R7. WEO18 Balance'!$A$13:$A$20,0),MATCH(N$85,'R7. WEO18 Balance'!$B$11:$K$11,0))</f>
        <v>4842</v>
      </c>
      <c r="O94" s="34">
        <f>INDEX('R7. WEO18 Balance'!$B$13:$K$20,MATCH($E94,'R7. WEO18 Balance'!$A$13:$A$20,0),MATCH(O$85,'R7. WEO18 Balance'!$B$11:$K$11,0))</f>
        <v>4894</v>
      </c>
      <c r="P94" s="17">
        <f t="shared" si="2"/>
        <v>4946</v>
      </c>
      <c r="Q94" s="17">
        <f t="shared" si="0"/>
        <v>4998</v>
      </c>
      <c r="R94" s="17">
        <f t="shared" si="0"/>
        <v>5050</v>
      </c>
      <c r="S94" s="17">
        <f t="shared" si="0"/>
        <v>5102</v>
      </c>
    </row>
    <row r="95" spans="1:28" x14ac:dyDescent="0.3">
      <c r="A95" s="3" t="s">
        <v>530</v>
      </c>
      <c r="B95" s="3" t="s">
        <v>370</v>
      </c>
      <c r="C95" s="3" t="str">
        <f>INDEX('R1. Scenario specifications'!$C$11:$C$59,MATCH($B95,'R1. Scenario specifications'!$A$11:$A$59,0))</f>
        <v>New Policies Scenario, World Energy Outlook 2018</v>
      </c>
      <c r="D95" s="3" t="s">
        <v>255</v>
      </c>
      <c r="E95" s="3" t="s">
        <v>255</v>
      </c>
      <c r="F95" s="3" t="s">
        <v>529</v>
      </c>
      <c r="I95" s="34">
        <f>INDEX('R7. WEO18 Balance'!$B$13:$K$20,MATCH($E95,'R7. WEO18 Balance'!$A$13:$A$20,0),MATCH(I$85,'R7. WEO18 Balance'!$B$11:$K$11,0))</f>
        <v>3022</v>
      </c>
      <c r="J95" s="34">
        <f>INDEX('R7. WEO18 Balance'!$B$13:$K$20,MATCH($E95,'R7. WEO18 Balance'!$A$13:$A$20,0),MATCH(CONCATENATE(J$85,"e"),'R7. WEO18 Balance'!$B$11:$K$11,0))</f>
        <v>3107</v>
      </c>
      <c r="K95" s="31">
        <f t="shared" si="1"/>
        <v>3269</v>
      </c>
      <c r="L95" s="34">
        <f>INDEX('R7. WEO18 Balance'!$B$13:$K$20,MATCH($E95,'R7. WEO18 Balance'!$A$13:$A$20,0),MATCH(L$85,'R7. WEO18 Balance'!$B$11:$K$11,0))</f>
        <v>3539</v>
      </c>
      <c r="M95" s="34">
        <f>INDEX('R7. WEO18 Balance'!$B$13:$K$20,MATCH($E95,'R7. WEO18 Balance'!$A$13:$A$20,0),MATCH(M$85,'R7. WEO18 Balance'!$B$11:$K$11,0))</f>
        <v>3820</v>
      </c>
      <c r="N95" s="34">
        <f>INDEX('R7. WEO18 Balance'!$B$13:$K$20,MATCH($E95,'R7. WEO18 Balance'!$A$13:$A$20,0),MATCH(N$85,'R7. WEO18 Balance'!$B$11:$K$11,0))</f>
        <v>4132</v>
      </c>
      <c r="O95" s="34">
        <f>INDEX('R7. WEO18 Balance'!$B$13:$K$20,MATCH($E95,'R7. WEO18 Balance'!$A$13:$A$20,0),MATCH(O$85,'R7. WEO18 Balance'!$B$11:$K$11,0))</f>
        <v>4436</v>
      </c>
      <c r="P95" s="17">
        <f t="shared" si="2"/>
        <v>4740</v>
      </c>
      <c r="Q95" s="17">
        <f t="shared" si="0"/>
        <v>5044</v>
      </c>
      <c r="R95" s="17">
        <f t="shared" si="0"/>
        <v>5348</v>
      </c>
      <c r="S95" s="17">
        <f t="shared" si="0"/>
        <v>5652</v>
      </c>
    </row>
    <row r="96" spans="1:28" x14ac:dyDescent="0.3">
      <c r="A96" s="3" t="s">
        <v>530</v>
      </c>
      <c r="B96" s="3" t="s">
        <v>370</v>
      </c>
      <c r="C96" s="3" t="str">
        <f>INDEX('R1. Scenario specifications'!$C$11:$C$59,MATCH($B96,'R1. Scenario specifications'!$A$11:$A$59,0))</f>
        <v>New Policies Scenario, World Energy Outlook 2018</v>
      </c>
      <c r="D96" s="3" t="s">
        <v>257</v>
      </c>
      <c r="E96" s="3" t="s">
        <v>257</v>
      </c>
      <c r="F96" s="3" t="s">
        <v>529</v>
      </c>
      <c r="I96" s="34">
        <f>INDEX('R7. WEO18 Balance'!$B$13:$K$20,MATCH($E96,'R7. WEO18 Balance'!$A$13:$A$20,0),MATCH(I$85,'R7. WEO18 Balance'!$B$11:$K$11,0))</f>
        <v>679</v>
      </c>
      <c r="J96" s="34">
        <f>INDEX('R7. WEO18 Balance'!$B$13:$K$20,MATCH($E96,'R7. WEO18 Balance'!$A$13:$A$20,0),MATCH(CONCATENATE(J$85,"e"),'R7. WEO18 Balance'!$B$11:$K$11,0))</f>
        <v>688</v>
      </c>
      <c r="K96" s="31">
        <f t="shared" si="1"/>
        <v>731.875</v>
      </c>
      <c r="L96" s="34">
        <f>INDEX('R7. WEO18 Balance'!$B$13:$K$20,MATCH($E96,'R7. WEO18 Balance'!$A$13:$A$20,0),MATCH(L$85,'R7. WEO18 Balance'!$B$11:$K$11,0))</f>
        <v>805</v>
      </c>
      <c r="M96" s="34">
        <f>INDEX('R7. WEO18 Balance'!$B$13:$K$20,MATCH($E96,'R7. WEO18 Balance'!$A$13:$A$20,0),MATCH(M$85,'R7. WEO18 Balance'!$B$11:$K$11,0))</f>
        <v>848</v>
      </c>
      <c r="N96" s="34">
        <f>INDEX('R7. WEO18 Balance'!$B$13:$K$20,MATCH($E96,'R7. WEO18 Balance'!$A$13:$A$20,0),MATCH(N$85,'R7. WEO18 Balance'!$B$11:$K$11,0))</f>
        <v>918</v>
      </c>
      <c r="O96" s="34">
        <f>INDEX('R7. WEO18 Balance'!$B$13:$K$20,MATCH($E96,'R7. WEO18 Balance'!$A$13:$A$20,0),MATCH(O$85,'R7. WEO18 Balance'!$B$11:$K$11,0))</f>
        <v>971</v>
      </c>
      <c r="P96" s="17">
        <f t="shared" si="2"/>
        <v>1024</v>
      </c>
      <c r="Q96" s="17">
        <f t="shared" si="0"/>
        <v>1077</v>
      </c>
      <c r="R96" s="17">
        <f t="shared" si="0"/>
        <v>1130</v>
      </c>
      <c r="S96" s="17">
        <f t="shared" si="0"/>
        <v>1183</v>
      </c>
    </row>
    <row r="97" spans="1:19" x14ac:dyDescent="0.3">
      <c r="A97" s="3" t="s">
        <v>530</v>
      </c>
      <c r="B97" s="3" t="s">
        <v>370</v>
      </c>
      <c r="C97" s="3" t="str">
        <f>INDEX('R1. Scenario specifications'!$C$11:$C$59,MATCH($B97,'R1. Scenario specifications'!$A$11:$A$59,0))</f>
        <v>New Policies Scenario, World Energy Outlook 2018</v>
      </c>
      <c r="D97" s="3" t="s">
        <v>256</v>
      </c>
      <c r="E97" s="3" t="s">
        <v>256</v>
      </c>
      <c r="F97" s="3" t="s">
        <v>529</v>
      </c>
      <c r="I97" s="34">
        <f>INDEX('R7. WEO18 Balance'!$B$13:$K$20,MATCH($E97,'R7. WEO18 Balance'!$A$13:$A$20,0),MATCH(I$85,'R7. WEO18 Balance'!$B$11:$K$11,0))</f>
        <v>348</v>
      </c>
      <c r="J97" s="34">
        <f>INDEX('R7. WEO18 Balance'!$B$13:$K$20,MATCH($E97,'R7. WEO18 Balance'!$A$13:$A$20,0),MATCH(CONCATENATE(J$85,"e"),'R7. WEO18 Balance'!$B$11:$K$11,0))</f>
        <v>353</v>
      </c>
      <c r="K97" s="31">
        <f t="shared" si="1"/>
        <v>376.25</v>
      </c>
      <c r="L97" s="34">
        <f>INDEX('R7. WEO18 Balance'!$B$13:$K$20,MATCH($E97,'R7. WEO18 Balance'!$A$13:$A$20,0),MATCH(L$85,'R7. WEO18 Balance'!$B$11:$K$11,0))</f>
        <v>415</v>
      </c>
      <c r="M97" s="34">
        <f>INDEX('R7. WEO18 Balance'!$B$13:$K$20,MATCH($E97,'R7. WEO18 Balance'!$A$13:$A$20,0),MATCH(M$85,'R7. WEO18 Balance'!$B$11:$K$11,0))</f>
        <v>458</v>
      </c>
      <c r="N97" s="34">
        <f>INDEX('R7. WEO18 Balance'!$B$13:$K$20,MATCH($E97,'R7. WEO18 Balance'!$A$13:$A$20,0),MATCH(N$85,'R7. WEO18 Balance'!$B$11:$K$11,0))</f>
        <v>496</v>
      </c>
      <c r="O97" s="34">
        <f>INDEX('R7. WEO18 Balance'!$B$13:$K$20,MATCH($E97,'R7. WEO18 Balance'!$A$13:$A$20,0),MATCH(O$85,'R7. WEO18 Balance'!$B$11:$K$11,0))</f>
        <v>531</v>
      </c>
      <c r="P97" s="17">
        <f t="shared" si="2"/>
        <v>566</v>
      </c>
      <c r="Q97" s="17">
        <f t="shared" si="0"/>
        <v>601</v>
      </c>
      <c r="R97" s="17">
        <f t="shared" si="0"/>
        <v>636</v>
      </c>
      <c r="S97" s="17">
        <f t="shared" si="0"/>
        <v>671</v>
      </c>
    </row>
    <row r="98" spans="1:19" x14ac:dyDescent="0.3">
      <c r="A98" s="3" t="s">
        <v>530</v>
      </c>
      <c r="B98" s="3" t="s">
        <v>370</v>
      </c>
      <c r="C98" s="3" t="str">
        <f>INDEX('R1. Scenario specifications'!$C$11:$C$59,MATCH($B98,'R1. Scenario specifications'!$A$11:$A$59,0))</f>
        <v>New Policies Scenario, World Energy Outlook 2018</v>
      </c>
      <c r="D98" s="3" t="s">
        <v>253</v>
      </c>
      <c r="E98" s="3" t="s">
        <v>503</v>
      </c>
      <c r="F98" s="3" t="s">
        <v>529</v>
      </c>
      <c r="I98" s="34">
        <f>INDEX('R7. WEO18 Balance'!$B$13:$K$20,MATCH($E98,'R7. WEO18 Balance'!$A$13:$A$20,0),MATCH(I$85,'R7. WEO18 Balance'!$B$11:$K$11,0))</f>
        <v>1350</v>
      </c>
      <c r="J98" s="34">
        <f>INDEX('R7. WEO18 Balance'!$B$13:$K$20,MATCH($E98,'R7. WEO18 Balance'!$A$13:$A$20,0),MATCH(CONCATENATE(J$85,"e"),'R7. WEO18 Balance'!$B$11:$K$11,0))</f>
        <v>1384</v>
      </c>
      <c r="K98" s="31">
        <f t="shared" si="1"/>
        <v>1461.25</v>
      </c>
      <c r="L98" s="34">
        <f>INDEX('R7. WEO18 Balance'!$B$13:$K$20,MATCH($E98,'R7. WEO18 Balance'!$A$13:$A$20,0),MATCH(L$85,'R7. WEO18 Balance'!$B$11:$K$11,0))</f>
        <v>1590</v>
      </c>
      <c r="M98" s="34">
        <f>INDEX('R7. WEO18 Balance'!$B$13:$K$20,MATCH($E98,'R7. WEO18 Balance'!$A$13:$A$20,0),MATCH(M$85,'R7. WEO18 Balance'!$B$11:$K$11,0))</f>
        <v>1691</v>
      </c>
      <c r="N98" s="34">
        <f>INDEX('R7. WEO18 Balance'!$B$13:$K$20,MATCH($E98,'R7. WEO18 Balance'!$A$13:$A$20,0),MATCH(N$85,'R7. WEO18 Balance'!$B$11:$K$11,0))</f>
        <v>1776</v>
      </c>
      <c r="O98" s="34">
        <f>INDEX('R7. WEO18 Balance'!$B$13:$K$20,MATCH($E98,'R7. WEO18 Balance'!$A$13:$A$20,0),MATCH(O$85,'R7. WEO18 Balance'!$B$11:$K$11,0))</f>
        <v>1851</v>
      </c>
      <c r="P98" s="17">
        <f t="shared" si="2"/>
        <v>1926</v>
      </c>
      <c r="Q98" s="17">
        <f t="shared" si="0"/>
        <v>2001</v>
      </c>
      <c r="R98" s="17">
        <f t="shared" si="0"/>
        <v>2076</v>
      </c>
      <c r="S98" s="17">
        <f t="shared" si="0"/>
        <v>2151</v>
      </c>
    </row>
    <row r="99" spans="1:19" x14ac:dyDescent="0.3">
      <c r="A99" s="3" t="s">
        <v>530</v>
      </c>
      <c r="B99" s="3" t="s">
        <v>370</v>
      </c>
      <c r="C99" s="3" t="str">
        <f>INDEX('R1. Scenario specifications'!$C$11:$C$59,MATCH($B99,'R1. Scenario specifications'!$A$11:$A$59,0))</f>
        <v>New Policies Scenario, World Energy Outlook 2018</v>
      </c>
      <c r="D99" s="3" t="s">
        <v>461</v>
      </c>
      <c r="E99" s="3" t="s">
        <v>461</v>
      </c>
      <c r="F99" s="3" t="s">
        <v>529</v>
      </c>
      <c r="I99" s="34">
        <f>INDEX('R7. WEO18 Balance'!$B$13:$K$20,MATCH($E99,'R7. WEO18 Balance'!$A$13:$A$20,0),MATCH(I$85,'R7. WEO18 Balance'!$B$11:$K$11,0))</f>
        <v>224</v>
      </c>
      <c r="J99" s="34">
        <f>INDEX('R7. WEO18 Balance'!$B$13:$K$20,MATCH($E99,'R7. WEO18 Balance'!$A$13:$A$20,0),MATCH(CONCATENATE(J$85,"e"),'R7. WEO18 Balance'!$B$11:$K$11,0))</f>
        <v>254</v>
      </c>
      <c r="K99" s="31">
        <f t="shared" si="1"/>
        <v>352.25</v>
      </c>
      <c r="L99" s="34">
        <f>INDEX('R7. WEO18 Balance'!$B$13:$K$20,MATCH($E99,'R7. WEO18 Balance'!$A$13:$A$20,0),MATCH(L$85,'R7. WEO18 Balance'!$B$11:$K$11,0))</f>
        <v>516</v>
      </c>
      <c r="M99" s="34">
        <f>INDEX('R7. WEO18 Balance'!$B$13:$K$20,MATCH($E99,'R7. WEO18 Balance'!$A$13:$A$20,0),MATCH(M$85,'R7. WEO18 Balance'!$B$11:$K$11,0))</f>
        <v>736</v>
      </c>
      <c r="N99" s="34">
        <f>INDEX('R7. WEO18 Balance'!$B$13:$K$20,MATCH($E99,'R7. WEO18 Balance'!$A$13:$A$20,0),MATCH(N$85,'R7. WEO18 Balance'!$B$11:$K$11,0))</f>
        <v>968</v>
      </c>
      <c r="O99" s="34">
        <f>INDEX('R7. WEO18 Balance'!$B$13:$K$20,MATCH($E99,'R7. WEO18 Balance'!$A$13:$A$20,0),MATCH(O$85,'R7. WEO18 Balance'!$B$11:$K$11,0))</f>
        <v>1223</v>
      </c>
      <c r="P99" s="17">
        <f t="shared" si="2"/>
        <v>1478</v>
      </c>
      <c r="Q99" s="17">
        <f t="shared" si="0"/>
        <v>1733</v>
      </c>
      <c r="R99" s="17">
        <f t="shared" si="0"/>
        <v>1988</v>
      </c>
      <c r="S99" s="17">
        <f t="shared" si="0"/>
        <v>2243</v>
      </c>
    </row>
    <row r="100" spans="1:19" x14ac:dyDescent="0.3">
      <c r="A100" s="3" t="s">
        <v>530</v>
      </c>
      <c r="B100" s="32" t="s">
        <v>372</v>
      </c>
      <c r="C100" s="32" t="str">
        <f>INDEX('R1. Scenario specifications'!$C$11:$C$59,MATCH($B100,'R1. Scenario specifications'!$A$11:$A$59,0))</f>
        <v>Sustainable Development Scenario, World Energy Outlook 2018</v>
      </c>
      <c r="D100" s="32" t="s">
        <v>254</v>
      </c>
      <c r="E100" s="32" t="s">
        <v>254</v>
      </c>
      <c r="F100" s="32" t="s">
        <v>529</v>
      </c>
      <c r="G100" s="32"/>
      <c r="H100" s="32"/>
      <c r="I100" s="33">
        <f>INDEX('R7. WEO18 Balance'!$B$13:$K$20,MATCH($E100,'R7. WEO18 Balance'!$A$13:$A$20,0),MATCH(I$85,'R7. WEO18 Balance'!$B$11:$K$11,0))</f>
        <v>3720</v>
      </c>
      <c r="J100" s="33">
        <f>INDEX('R7. WEO18 Balance'!$B$13:$K$20,MATCH($E100,'R7. WEO18 Balance'!$A$13:$A$20,0),MATCH(CONCATENATE(J$85,"e"),'R7. WEO18 Balance'!$B$11:$K$11,0))</f>
        <v>3750</v>
      </c>
      <c r="K100" s="43">
        <f t="shared" si="1"/>
        <v>3485.625</v>
      </c>
      <c r="L100" s="32">
        <f>INDEX('R7. WEO18 Balance'!$R$13:$U$20,MATCH($E100,'R7. WEO18 Balance'!$M$13:$M$20,0),MATCH(L$85,'R7. WEO18 Balance'!$R$11:$U$11,0))</f>
        <v>3045</v>
      </c>
      <c r="M100" s="32">
        <f>INDEX('R7. WEO18 Balance'!$R$13:$U$20,MATCH($E100,'R7. WEO18 Balance'!$M$13:$M$20,0),MATCH(M$85,'R7. WEO18 Balance'!$R$11:$U$11,0))</f>
        <v>2416</v>
      </c>
      <c r="N100" s="32">
        <f>INDEX('R7. WEO18 Balance'!$R$13:$U$20,MATCH($E100,'R7. WEO18 Balance'!$M$13:$M$20,0),MATCH(N$85,'R7. WEO18 Balance'!$R$11:$U$11,0))</f>
        <v>1917</v>
      </c>
      <c r="O100" s="32">
        <f>INDEX('R7. WEO18 Balance'!$R$13:$U$20,MATCH($E100,'R7. WEO18 Balance'!$M$13:$M$20,0),MATCH(O$85,'R7. WEO18 Balance'!$R$11:$U$11,0))</f>
        <v>1597</v>
      </c>
      <c r="P100" s="53">
        <f t="shared" si="2"/>
        <v>1277</v>
      </c>
      <c r="Q100" s="53">
        <f t="shared" si="0"/>
        <v>957</v>
      </c>
      <c r="R100" s="53">
        <f t="shared" si="0"/>
        <v>637</v>
      </c>
      <c r="S100" s="53">
        <f t="shared" si="0"/>
        <v>317</v>
      </c>
    </row>
    <row r="101" spans="1:19" x14ac:dyDescent="0.3">
      <c r="A101" s="3" t="s">
        <v>530</v>
      </c>
      <c r="B101" s="3" t="s">
        <v>372</v>
      </c>
      <c r="C101" s="3" t="str">
        <f>INDEX('R1. Scenario specifications'!$C$11:$C$59,MATCH($B101,'R1. Scenario specifications'!$A$11:$A$59,0))</f>
        <v>Sustainable Development Scenario, World Energy Outlook 2018</v>
      </c>
      <c r="D101" s="3" t="s">
        <v>266</v>
      </c>
      <c r="E101" s="3" t="s">
        <v>266</v>
      </c>
      <c r="F101" s="3" t="s">
        <v>529</v>
      </c>
      <c r="I101" s="34">
        <f>INDEX('R7. WEO18 Balance'!$B$13:$K$20,MATCH($E101,'R7. WEO18 Balance'!$A$13:$A$20,0),MATCH(I$85,'R7. WEO18 Balance'!$B$11:$K$11,0))</f>
        <v>4364</v>
      </c>
      <c r="J101" s="34">
        <f>INDEX('R7. WEO18 Balance'!$B$13:$K$20,MATCH($E101,'R7. WEO18 Balance'!$A$13:$A$20,0),MATCH(CONCATENATE(J$85,"e"),'R7. WEO18 Balance'!$B$11:$K$11,0))</f>
        <v>4435</v>
      </c>
      <c r="K101" s="31">
        <f t="shared" si="1"/>
        <v>4397.125</v>
      </c>
      <c r="L101" s="3">
        <f>INDEX('R7. WEO18 Balance'!$R$13:$U$20,MATCH($E101,'R7. WEO18 Balance'!$M$13:$M$20,0),MATCH(L$85,'R7. WEO18 Balance'!$R$11:$U$11,0))</f>
        <v>4334</v>
      </c>
      <c r="M101" s="3">
        <f>INDEX('R7. WEO18 Balance'!$R$13:$U$20,MATCH($E101,'R7. WEO18 Balance'!$M$13:$M$20,0),MATCH(M$85,'R7. WEO18 Balance'!$R$11:$U$11,0))</f>
        <v>3985</v>
      </c>
      <c r="N101" s="3">
        <f>INDEX('R7. WEO18 Balance'!$R$13:$U$20,MATCH($E101,'R7. WEO18 Balance'!$M$13:$M$20,0),MATCH(N$85,'R7. WEO18 Balance'!$R$11:$U$11,0))</f>
        <v>3515</v>
      </c>
      <c r="O101" s="3">
        <f>INDEX('R7. WEO18 Balance'!$R$13:$U$20,MATCH($E101,'R7. WEO18 Balance'!$M$13:$M$20,0),MATCH(O$85,'R7. WEO18 Balance'!$R$11:$U$11,0))</f>
        <v>3156</v>
      </c>
      <c r="P101" s="17">
        <f t="shared" si="2"/>
        <v>2797</v>
      </c>
      <c r="Q101" s="17">
        <f t="shared" si="0"/>
        <v>2438</v>
      </c>
      <c r="R101" s="17">
        <f t="shared" si="0"/>
        <v>2079</v>
      </c>
      <c r="S101" s="17">
        <f t="shared" si="0"/>
        <v>1720</v>
      </c>
    </row>
    <row r="102" spans="1:19" x14ac:dyDescent="0.3">
      <c r="A102" s="3" t="s">
        <v>530</v>
      </c>
      <c r="B102" s="3" t="s">
        <v>372</v>
      </c>
      <c r="C102" s="3" t="str">
        <f>INDEX('R1. Scenario specifications'!$C$11:$C$59,MATCH($B102,'R1. Scenario specifications'!$A$11:$A$59,0))</f>
        <v>Sustainable Development Scenario, World Energy Outlook 2018</v>
      </c>
      <c r="D102" s="3" t="s">
        <v>255</v>
      </c>
      <c r="E102" s="3" t="s">
        <v>255</v>
      </c>
      <c r="F102" s="3" t="s">
        <v>529</v>
      </c>
      <c r="I102" s="34">
        <f>INDEX('R7. WEO18 Balance'!$B$13:$K$20,MATCH($E102,'R7. WEO18 Balance'!$A$13:$A$20,0),MATCH(I$85,'R7. WEO18 Balance'!$B$11:$K$11,0))</f>
        <v>3022</v>
      </c>
      <c r="J102" s="34">
        <f>INDEX('R7. WEO18 Balance'!$B$13:$K$20,MATCH($E102,'R7. WEO18 Balance'!$A$13:$A$20,0),MATCH(CONCATENATE(J$85,"e"),'R7. WEO18 Balance'!$B$11:$K$11,0))</f>
        <v>3107</v>
      </c>
      <c r="K102" s="31">
        <f t="shared" si="1"/>
        <v>3237.125</v>
      </c>
      <c r="L102" s="3">
        <f>INDEX('R7. WEO18 Balance'!$R$13:$U$20,MATCH($E102,'R7. WEO18 Balance'!$M$13:$M$20,0),MATCH(L$85,'R7. WEO18 Balance'!$R$11:$U$11,0))</f>
        <v>3454</v>
      </c>
      <c r="M102" s="3">
        <f>INDEX('R7. WEO18 Balance'!$R$13:$U$20,MATCH($E102,'R7. WEO18 Balance'!$M$13:$M$20,0),MATCH(M$85,'R7. WEO18 Balance'!$R$11:$U$11,0))</f>
        <v>3554</v>
      </c>
      <c r="N102" s="3">
        <f>INDEX('R7. WEO18 Balance'!$R$13:$U$20,MATCH($E102,'R7. WEO18 Balance'!$M$13:$M$20,0),MATCH(N$85,'R7. WEO18 Balance'!$R$11:$U$11,0))</f>
        <v>3532</v>
      </c>
      <c r="O102" s="3">
        <f>INDEX('R7. WEO18 Balance'!$R$13:$U$20,MATCH($E102,'R7. WEO18 Balance'!$M$13:$M$20,0),MATCH(O$85,'R7. WEO18 Balance'!$R$11:$U$11,0))</f>
        <v>3433</v>
      </c>
      <c r="P102" s="17">
        <f t="shared" si="2"/>
        <v>3334</v>
      </c>
      <c r="Q102" s="17">
        <f t="shared" si="0"/>
        <v>3235</v>
      </c>
      <c r="R102" s="17">
        <f t="shared" si="0"/>
        <v>3136</v>
      </c>
      <c r="S102" s="17">
        <f t="shared" si="0"/>
        <v>3037</v>
      </c>
    </row>
    <row r="103" spans="1:19" x14ac:dyDescent="0.3">
      <c r="A103" s="3" t="s">
        <v>530</v>
      </c>
      <c r="B103" s="3" t="s">
        <v>372</v>
      </c>
      <c r="C103" s="3" t="str">
        <f>INDEX('R1. Scenario specifications'!$C$11:$C$59,MATCH($B103,'R1. Scenario specifications'!$A$11:$A$59,0))</f>
        <v>Sustainable Development Scenario, World Energy Outlook 2018</v>
      </c>
      <c r="D103" s="3" t="s">
        <v>257</v>
      </c>
      <c r="E103" s="3" t="s">
        <v>257</v>
      </c>
      <c r="F103" s="3" t="s">
        <v>529</v>
      </c>
      <c r="I103" s="34">
        <f>INDEX('R7. WEO18 Balance'!$B$13:$K$20,MATCH($E103,'R7. WEO18 Balance'!$A$13:$A$20,0),MATCH(I$85,'R7. WEO18 Balance'!$B$11:$K$11,0))</f>
        <v>679</v>
      </c>
      <c r="J103" s="34">
        <f>INDEX('R7. WEO18 Balance'!$B$13:$K$20,MATCH($E103,'R7. WEO18 Balance'!$A$13:$A$20,0),MATCH(CONCATENATE(J$85,"e"),'R7. WEO18 Balance'!$B$11:$K$11,0))</f>
        <v>688</v>
      </c>
      <c r="K103" s="31">
        <f t="shared" si="1"/>
        <v>752.875</v>
      </c>
      <c r="L103" s="3">
        <f>INDEX('R7. WEO18 Balance'!$R$13:$U$20,MATCH($E103,'R7. WEO18 Balance'!$M$13:$M$20,0),MATCH(L$85,'R7. WEO18 Balance'!$R$11:$U$11,0))</f>
        <v>861</v>
      </c>
      <c r="M103" s="3">
        <f>INDEX('R7. WEO18 Balance'!$R$13:$U$20,MATCH($E103,'R7. WEO18 Balance'!$M$13:$M$20,0),MATCH(M$85,'R7. WEO18 Balance'!$R$11:$U$11,0))</f>
        <v>1013</v>
      </c>
      <c r="N103" s="3">
        <f>INDEX('R7. WEO18 Balance'!$R$13:$U$20,MATCH($E103,'R7. WEO18 Balance'!$M$13:$M$20,0),MATCH(N$85,'R7. WEO18 Balance'!$R$11:$U$11,0))</f>
        <v>1182</v>
      </c>
      <c r="O103" s="3">
        <f>INDEX('R7. WEO18 Balance'!$R$13:$U$20,MATCH($E103,'R7. WEO18 Balance'!$M$13:$M$20,0),MATCH(O$85,'R7. WEO18 Balance'!$R$11:$U$11,0))</f>
        <v>1293</v>
      </c>
      <c r="P103" s="17">
        <f t="shared" si="2"/>
        <v>1404</v>
      </c>
      <c r="Q103" s="17">
        <f t="shared" si="0"/>
        <v>1515</v>
      </c>
      <c r="R103" s="17">
        <f t="shared" si="0"/>
        <v>1626</v>
      </c>
      <c r="S103" s="17">
        <f t="shared" si="0"/>
        <v>1737</v>
      </c>
    </row>
    <row r="104" spans="1:19" x14ac:dyDescent="0.3">
      <c r="A104" s="3" t="s">
        <v>530</v>
      </c>
      <c r="B104" s="3" t="s">
        <v>372</v>
      </c>
      <c r="C104" s="3" t="str">
        <f>INDEX('R1. Scenario specifications'!$C$11:$C$59,MATCH($B104,'R1. Scenario specifications'!$A$11:$A$59,0))</f>
        <v>Sustainable Development Scenario, World Energy Outlook 2018</v>
      </c>
      <c r="D104" s="3" t="s">
        <v>256</v>
      </c>
      <c r="E104" s="3" t="s">
        <v>256</v>
      </c>
      <c r="F104" s="3" t="s">
        <v>529</v>
      </c>
      <c r="I104" s="34">
        <f>INDEX('R7. WEO18 Balance'!$B$13:$K$20,MATCH($E104,'R7. WEO18 Balance'!$A$13:$A$20,0),MATCH(I$85,'R7. WEO18 Balance'!$B$11:$K$11,0))</f>
        <v>348</v>
      </c>
      <c r="J104" s="34">
        <f>INDEX('R7. WEO18 Balance'!$B$13:$K$20,MATCH($E104,'R7. WEO18 Balance'!$A$13:$A$20,0),MATCH(CONCATENATE(J$85,"e"),'R7. WEO18 Balance'!$B$11:$K$11,0))</f>
        <v>353</v>
      </c>
      <c r="K104" s="31">
        <f t="shared" si="1"/>
        <v>382.25</v>
      </c>
      <c r="L104" s="3">
        <f>INDEX('R7. WEO18 Balance'!$R$13:$U$20,MATCH($E104,'R7. WEO18 Balance'!$M$13:$M$20,0),MATCH(L$85,'R7. WEO18 Balance'!$R$11:$U$11,0))</f>
        <v>431</v>
      </c>
      <c r="M104" s="3">
        <f>INDEX('R7. WEO18 Balance'!$R$13:$U$20,MATCH($E104,'R7. WEO18 Balance'!$M$13:$M$20,0),MATCH(M$85,'R7. WEO18 Balance'!$R$11:$U$11,0))</f>
        <v>492</v>
      </c>
      <c r="N104" s="3">
        <f>INDEX('R7. WEO18 Balance'!$R$13:$U$20,MATCH($E104,'R7. WEO18 Balance'!$M$13:$M$20,0),MATCH(N$85,'R7. WEO18 Balance'!$R$11:$U$11,0))</f>
        <v>548</v>
      </c>
      <c r="O104" s="3">
        <f>INDEX('R7. WEO18 Balance'!$R$13:$U$20,MATCH($E104,'R7. WEO18 Balance'!$M$13:$M$20,0),MATCH(O$85,'R7. WEO18 Balance'!$R$11:$U$11,0))</f>
        <v>601</v>
      </c>
      <c r="P104" s="17">
        <f t="shared" si="2"/>
        <v>654</v>
      </c>
      <c r="Q104" s="17">
        <f t="shared" si="0"/>
        <v>707</v>
      </c>
      <c r="R104" s="17">
        <f t="shared" si="0"/>
        <v>760</v>
      </c>
      <c r="S104" s="17">
        <f t="shared" si="0"/>
        <v>813</v>
      </c>
    </row>
    <row r="105" spans="1:19" x14ac:dyDescent="0.3">
      <c r="A105" s="3" t="s">
        <v>530</v>
      </c>
      <c r="B105" s="3" t="s">
        <v>372</v>
      </c>
      <c r="C105" s="3" t="str">
        <f>INDEX('R1. Scenario specifications'!$C$11:$C$59,MATCH($B105,'R1. Scenario specifications'!$A$11:$A$59,0))</f>
        <v>Sustainable Development Scenario, World Energy Outlook 2018</v>
      </c>
      <c r="D105" s="3" t="s">
        <v>253</v>
      </c>
      <c r="E105" s="3" t="s">
        <v>503</v>
      </c>
      <c r="F105" s="3" t="s">
        <v>529</v>
      </c>
      <c r="I105" s="34">
        <f>INDEX('R7. WEO18 Balance'!$B$13:$K$20,MATCH($E105,'R7. WEO18 Balance'!$A$13:$A$20,0),MATCH(I$85,'R7. WEO18 Balance'!$B$11:$K$11,0))</f>
        <v>1350</v>
      </c>
      <c r="J105" s="34">
        <f>INDEX('R7. WEO18 Balance'!$B$13:$K$20,MATCH($E105,'R7. WEO18 Balance'!$A$13:$A$20,0),MATCH(CONCATENATE(J$85,"e"),'R7. WEO18 Balance'!$B$11:$K$11,0))</f>
        <v>1384</v>
      </c>
      <c r="K105" s="31">
        <f t="shared" si="1"/>
        <v>1379.875</v>
      </c>
      <c r="L105" s="3">
        <f>INDEX('R7. WEO18 Balance'!$R$13:$U$20,MATCH($E105,'R7. WEO18 Balance'!$M$13:$M$20,0),MATCH(L$85,'R7. WEO18 Balance'!$R$11:$U$11,0))</f>
        <v>1373</v>
      </c>
      <c r="M105" s="3">
        <f>INDEX('R7. WEO18 Balance'!$R$13:$U$20,MATCH($E105,'R7. WEO18 Balance'!$M$13:$M$20,0),MATCH(M$85,'R7. WEO18 Balance'!$R$11:$U$11,0))</f>
        <v>1277</v>
      </c>
      <c r="N105" s="3">
        <f>INDEX('R7. WEO18 Balance'!$R$13:$U$20,MATCH($E105,'R7. WEO18 Balance'!$M$13:$M$20,0),MATCH(N$85,'R7. WEO18 Balance'!$R$11:$U$11,0))</f>
        <v>1396</v>
      </c>
      <c r="O105" s="3">
        <f>INDEX('R7. WEO18 Balance'!$R$13:$U$20,MATCH($E105,'R7. WEO18 Balance'!$M$13:$M$20,0),MATCH(O$85,'R7. WEO18 Balance'!$R$11:$U$11,0))</f>
        <v>1504</v>
      </c>
      <c r="P105" s="17">
        <f t="shared" si="2"/>
        <v>1612</v>
      </c>
      <c r="Q105" s="17">
        <f t="shared" si="0"/>
        <v>1720</v>
      </c>
      <c r="R105" s="17">
        <f t="shared" si="0"/>
        <v>1828</v>
      </c>
      <c r="S105" s="17">
        <f t="shared" si="0"/>
        <v>1936</v>
      </c>
    </row>
    <row r="106" spans="1:19" x14ac:dyDescent="0.3">
      <c r="A106" s="39" t="s">
        <v>530</v>
      </c>
      <c r="B106" s="39" t="s">
        <v>372</v>
      </c>
      <c r="C106" s="39" t="str">
        <f>INDEX('R1. Scenario specifications'!$C$11:$C$59,MATCH($B106,'R1. Scenario specifications'!$A$11:$A$59,0))</f>
        <v>Sustainable Development Scenario, World Energy Outlook 2018</v>
      </c>
      <c r="D106" s="39" t="s">
        <v>461</v>
      </c>
      <c r="E106" s="39" t="s">
        <v>461</v>
      </c>
      <c r="F106" s="39" t="s">
        <v>529</v>
      </c>
      <c r="G106" s="39"/>
      <c r="H106" s="39"/>
      <c r="I106" s="52">
        <f>INDEX('R7. WEO18 Balance'!$B$13:$K$20,MATCH($E106,'R7. WEO18 Balance'!$A$13:$A$20,0),MATCH(I$85,'R7. WEO18 Balance'!$B$11:$K$11,0))</f>
        <v>224</v>
      </c>
      <c r="J106" s="52">
        <f>INDEX('R7. WEO18 Balance'!$B$13:$K$20,MATCH($E106,'R7. WEO18 Balance'!$A$13:$A$20,0),MATCH(CONCATENATE(J$85,"e"),'R7. WEO18 Balance'!$B$11:$K$11,0))</f>
        <v>254</v>
      </c>
      <c r="K106" s="40">
        <f t="shared" si="1"/>
        <v>401.75</v>
      </c>
      <c r="L106" s="39">
        <f>INDEX('R7. WEO18 Balance'!$R$13:$U$20,MATCH($E106,'R7. WEO18 Balance'!$M$13:$M$20,0),MATCH(L$85,'R7. WEO18 Balance'!$R$11:$U$11,0))</f>
        <v>648</v>
      </c>
      <c r="M106" s="39">
        <f>INDEX('R7. WEO18 Balance'!$R$13:$U$20,MATCH($E106,'R7. WEO18 Balance'!$M$13:$M$20,0),MATCH(M$85,'R7. WEO18 Balance'!$R$11:$U$11,0))</f>
        <v>1083</v>
      </c>
      <c r="N106" s="39">
        <f>INDEX('R7. WEO18 Balance'!$R$13:$U$20,MATCH($E106,'R7. WEO18 Balance'!$M$13:$M$20,0),MATCH(N$85,'R7. WEO18 Balance'!$R$11:$U$11,0))</f>
        <v>1598</v>
      </c>
      <c r="O106" s="39">
        <f>INDEX('R7. WEO18 Balance'!$R$13:$U$20,MATCH($E106,'R7. WEO18 Balance'!$M$13:$M$20,0),MATCH(O$85,'R7. WEO18 Balance'!$R$11:$U$11,0))</f>
        <v>2132</v>
      </c>
      <c r="P106" s="54">
        <f t="shared" si="2"/>
        <v>2666</v>
      </c>
      <c r="Q106" s="54">
        <f t="shared" si="0"/>
        <v>3200</v>
      </c>
      <c r="R106" s="54">
        <f t="shared" si="0"/>
        <v>3734</v>
      </c>
      <c r="S106" s="54">
        <f t="shared" si="0"/>
        <v>4268</v>
      </c>
    </row>
    <row r="107" spans="1:19" x14ac:dyDescent="0.3">
      <c r="A107" s="3" t="s">
        <v>531</v>
      </c>
      <c r="B107" s="3" t="s">
        <v>378</v>
      </c>
      <c r="C107" s="3" t="str">
        <f>INDEX('R1. Scenario specifications'!$C$11:$C$59,MATCH($B107,'R1. Scenario specifications'!$A$11:$A$59,0))</f>
        <v>Current Policies Scenario, World Energy Outlook 2016</v>
      </c>
      <c r="D107" s="3" t="s">
        <v>254</v>
      </c>
      <c r="E107" s="3" t="s">
        <v>254</v>
      </c>
      <c r="F107" s="3" t="s">
        <v>529</v>
      </c>
      <c r="G107" s="34">
        <f>INDEX('R8. WEO16 Balance'!$B$13:$H$20,MATCH($E107,'R8. WEO16 Balance'!$A$13:$A$20,0),MATCH(G$85,'R8. WEO16 Balance'!$B$11:$H$11,0))</f>
        <v>3926.1963000000001</v>
      </c>
      <c r="K107" s="34">
        <f>INDEX('R8. WEO16 Balance'!$N$13:$P$20,MATCH($E107,'R8. WEO16 Balance'!$M$13:$M$20,0),MATCH(K$85,'R8. WEO16 Balance'!$N$11:$P$11,0))</f>
        <v>4051.415</v>
      </c>
      <c r="L107" s="34"/>
      <c r="M107" s="34">
        <f>INDEX('R8. WEO16 Balance'!$N$13:$P$20,MATCH($E107,'R8. WEO16 Balance'!$M$13:$M$20,0),MATCH(M$85,'R8. WEO16 Balance'!$N$11:$P$11,0))</f>
        <v>4709.9769999999999</v>
      </c>
      <c r="N107" s="34"/>
      <c r="O107" s="34">
        <f>INDEX('R8. WEO16 Balance'!$N$13:$P$20,MATCH($E107,'R8. WEO16 Balance'!$M$13:$M$20,0),MATCH(O$85,'R8. WEO16 Balance'!$N$11:$P$11,0))</f>
        <v>5326.8779000000004</v>
      </c>
      <c r="P107" s="31">
        <f>$O107+(P$85-$O$85)*($O107-$M107)/($O$85-$M$85)</f>
        <v>5635.3283500000007</v>
      </c>
      <c r="Q107" s="31">
        <f t="shared" ref="Q107:S113" si="3">$O107+(Q$85-$O$85)*($O107-$M107)/($O$85-$M$85)</f>
        <v>5943.778800000001</v>
      </c>
      <c r="R107" s="31">
        <f t="shared" si="3"/>
        <v>6252.2292500000012</v>
      </c>
      <c r="S107" s="31">
        <f t="shared" si="3"/>
        <v>6560.6797000000015</v>
      </c>
    </row>
    <row r="108" spans="1:19" x14ac:dyDescent="0.3">
      <c r="A108" s="3" t="s">
        <v>531</v>
      </c>
      <c r="B108" s="3" t="s">
        <v>378</v>
      </c>
      <c r="C108" s="3" t="str">
        <f>INDEX('R1. Scenario specifications'!$C$11:$C$59,MATCH($B108,'R1. Scenario specifications'!$A$11:$A$59,0))</f>
        <v>Current Policies Scenario, World Energy Outlook 2016</v>
      </c>
      <c r="D108" s="3" t="s">
        <v>266</v>
      </c>
      <c r="E108" s="3" t="s">
        <v>266</v>
      </c>
      <c r="F108" s="3" t="s">
        <v>529</v>
      </c>
      <c r="G108" s="34">
        <f>INDEX('R8. WEO16 Balance'!$B$13:$H$20,MATCH($E108,'R8. WEO16 Balance'!$A$13:$A$20,0),MATCH(G$85,'R8. WEO16 Balance'!$B$11:$H$11,0))</f>
        <v>4265.8314</v>
      </c>
      <c r="K108" s="34">
        <f>INDEX('R8. WEO16 Balance'!$N$13:$P$20,MATCH($E108,'R8. WEO16 Balance'!$M$13:$M$20,0),MATCH(K$85,'R8. WEO16 Balance'!$N$11:$P$11,0))</f>
        <v>4547.7790999999997</v>
      </c>
      <c r="L108" s="34"/>
      <c r="M108" s="34">
        <f>INDEX('R8. WEO16 Balance'!$N$13:$P$20,MATCH($E108,'R8. WEO16 Balance'!$M$13:$M$20,0),MATCH(M$85,'R8. WEO16 Balance'!$N$11:$P$11,0))</f>
        <v>4959.8225000000002</v>
      </c>
      <c r="N108" s="34"/>
      <c r="O108" s="34">
        <f>INDEX('R8. WEO16 Balance'!$N$13:$P$20,MATCH($E108,'R8. WEO16 Balance'!$M$13:$M$20,0),MATCH(O$85,'R8. WEO16 Balance'!$N$11:$P$11,0))</f>
        <v>5402.0628999999999</v>
      </c>
      <c r="P108" s="31">
        <f t="shared" ref="P108:P113" si="4">$O108+(P$85-$O$85)*($O108-$M108)/($O$85-$M$85)</f>
        <v>5623.1831000000002</v>
      </c>
      <c r="Q108" s="31">
        <f t="shared" si="3"/>
        <v>5844.3032999999996</v>
      </c>
      <c r="R108" s="31">
        <f t="shared" si="3"/>
        <v>6065.423499999999</v>
      </c>
      <c r="S108" s="31">
        <f t="shared" si="3"/>
        <v>6286.5436999999993</v>
      </c>
    </row>
    <row r="109" spans="1:19" x14ac:dyDescent="0.3">
      <c r="A109" s="3" t="s">
        <v>531</v>
      </c>
      <c r="B109" s="3" t="s">
        <v>378</v>
      </c>
      <c r="C109" s="3" t="str">
        <f>INDEX('R1. Scenario specifications'!$C$11:$C$59,MATCH($B109,'R1. Scenario specifications'!$A$11:$A$59,0))</f>
        <v>Current Policies Scenario, World Energy Outlook 2016</v>
      </c>
      <c r="D109" s="3" t="s">
        <v>255</v>
      </c>
      <c r="E109" s="3" t="s">
        <v>255</v>
      </c>
      <c r="F109" s="3" t="s">
        <v>529</v>
      </c>
      <c r="G109" s="34">
        <f>INDEX('R8. WEO16 Balance'!$B$13:$H$20,MATCH($E109,'R8. WEO16 Balance'!$A$13:$A$20,0),MATCH(G$85,'R8. WEO16 Balance'!$B$11:$H$11,0))</f>
        <v>2892.9857999999999</v>
      </c>
      <c r="K109" s="34">
        <f>INDEX('R8. WEO16 Balance'!$N$13:$P$20,MATCH($E109,'R8. WEO16 Balance'!$M$13:$M$20,0),MATCH(K$85,'R8. WEO16 Balance'!$N$11:$P$11,0))</f>
        <v>3193.6091000000001</v>
      </c>
      <c r="L109" s="34"/>
      <c r="M109" s="34">
        <f>INDEX('R8. WEO16 Balance'!$N$13:$P$20,MATCH($E109,'R8. WEO16 Balance'!$M$13:$M$20,0),MATCH(M$85,'R8. WEO16 Balance'!$N$11:$P$11,0))</f>
        <v>3897.7941000000001</v>
      </c>
      <c r="N109" s="34"/>
      <c r="O109" s="34">
        <f>INDEX('R8. WEO16 Balance'!$N$13:$P$20,MATCH($E109,'R8. WEO16 Balance'!$M$13:$M$20,0),MATCH(O$85,'R8. WEO16 Balance'!$N$11:$P$11,0))</f>
        <v>4717.8624</v>
      </c>
      <c r="P109" s="31">
        <f t="shared" si="4"/>
        <v>5127.8965499999995</v>
      </c>
      <c r="Q109" s="31">
        <f t="shared" si="3"/>
        <v>5537.9306999999999</v>
      </c>
      <c r="R109" s="31">
        <f t="shared" si="3"/>
        <v>5947.9648500000003</v>
      </c>
      <c r="S109" s="31">
        <f t="shared" si="3"/>
        <v>6357.9989999999998</v>
      </c>
    </row>
    <row r="110" spans="1:19" x14ac:dyDescent="0.3">
      <c r="A110" s="3" t="s">
        <v>531</v>
      </c>
      <c r="B110" s="3" t="s">
        <v>378</v>
      </c>
      <c r="C110" s="3" t="str">
        <f>INDEX('R1. Scenario specifications'!$C$11:$C$59,MATCH($B110,'R1. Scenario specifications'!$A$11:$A$59,0))</f>
        <v>Current Policies Scenario, World Energy Outlook 2016</v>
      </c>
      <c r="D110" s="3" t="s">
        <v>257</v>
      </c>
      <c r="E110" s="3" t="s">
        <v>257</v>
      </c>
      <c r="F110" s="3" t="s">
        <v>529</v>
      </c>
      <c r="G110" s="34">
        <f>INDEX('R8. WEO16 Balance'!$B$13:$H$20,MATCH($E110,'R8. WEO16 Balance'!$A$13:$A$20,0),MATCH(G$85,'R8. WEO16 Balance'!$B$11:$H$11,0))</f>
        <v>662.35270000000003</v>
      </c>
      <c r="K110" s="34">
        <f>INDEX('R8. WEO16 Balance'!$N$13:$P$20,MATCH($E110,'R8. WEO16 Balance'!$M$13:$M$20,0),MATCH(K$85,'R8. WEO16 Balance'!$N$11:$P$11,0))</f>
        <v>792.74189999999999</v>
      </c>
      <c r="L110" s="34"/>
      <c r="M110" s="34">
        <f>INDEX('R8. WEO16 Balance'!$N$13:$P$20,MATCH($E110,'R8. WEO16 Balance'!$M$13:$M$20,0),MATCH(M$85,'R8. WEO16 Balance'!$N$11:$P$11,0))</f>
        <v>935.90049999999997</v>
      </c>
      <c r="N110" s="34"/>
      <c r="O110" s="34">
        <f>INDEX('R8. WEO16 Balance'!$N$13:$P$20,MATCH($E110,'R8. WEO16 Balance'!$M$13:$M$20,0),MATCH(O$85,'R8. WEO16 Balance'!$N$11:$P$11,0))</f>
        <v>1032.2701999999999</v>
      </c>
      <c r="P110" s="31">
        <f t="shared" si="4"/>
        <v>1080.45505</v>
      </c>
      <c r="Q110" s="31">
        <f t="shared" si="3"/>
        <v>1128.6398999999999</v>
      </c>
      <c r="R110" s="31">
        <f t="shared" si="3"/>
        <v>1176.8247499999998</v>
      </c>
      <c r="S110" s="31">
        <f t="shared" si="3"/>
        <v>1225.0095999999999</v>
      </c>
    </row>
    <row r="111" spans="1:19" x14ac:dyDescent="0.3">
      <c r="A111" s="3" t="s">
        <v>531</v>
      </c>
      <c r="B111" s="3" t="s">
        <v>378</v>
      </c>
      <c r="C111" s="3" t="str">
        <f>INDEX('R1. Scenario specifications'!$C$11:$C$59,MATCH($B111,'R1. Scenario specifications'!$A$11:$A$59,0))</f>
        <v>Current Policies Scenario, World Energy Outlook 2016</v>
      </c>
      <c r="D111" s="3" t="s">
        <v>256</v>
      </c>
      <c r="E111" s="3" t="s">
        <v>256</v>
      </c>
      <c r="F111" s="3" t="s">
        <v>529</v>
      </c>
      <c r="G111" s="34">
        <f>INDEX('R8. WEO16 Balance'!$B$13:$H$20,MATCH($E111,'R8. WEO16 Balance'!$A$13:$A$20,0),MATCH(G$85,'R8. WEO16 Balance'!$B$11:$H$11,0))</f>
        <v>334.85239999999999</v>
      </c>
      <c r="K111" s="34">
        <f>INDEX('R8. WEO16 Balance'!$N$13:$P$20,MATCH($E111,'R8. WEO16 Balance'!$M$13:$M$20,0),MATCH(K$85,'R8. WEO16 Balance'!$N$11:$P$11,0))</f>
        <v>375.20429999999999</v>
      </c>
      <c r="L111" s="34"/>
      <c r="M111" s="34">
        <f>INDEX('R8. WEO16 Balance'!$N$13:$P$20,MATCH($E111,'R8. WEO16 Balance'!$M$13:$M$20,0),MATCH(M$85,'R8. WEO16 Balance'!$N$11:$P$11,0))</f>
        <v>449.90539999999999</v>
      </c>
      <c r="N111" s="34"/>
      <c r="O111" s="34">
        <f>INDEX('R8. WEO16 Balance'!$N$13:$P$20,MATCH($E111,'R8. WEO16 Balance'!$M$13:$M$20,0),MATCH(O$85,'R8. WEO16 Balance'!$N$11:$P$11,0))</f>
        <v>514.61450000000002</v>
      </c>
      <c r="P111" s="31">
        <f t="shared" si="4"/>
        <v>546.96905000000004</v>
      </c>
      <c r="Q111" s="31">
        <f t="shared" si="3"/>
        <v>579.32360000000006</v>
      </c>
      <c r="R111" s="31">
        <f t="shared" si="3"/>
        <v>611.67815000000007</v>
      </c>
      <c r="S111" s="31">
        <f t="shared" si="3"/>
        <v>644.03270000000009</v>
      </c>
    </row>
    <row r="112" spans="1:19" x14ac:dyDescent="0.3">
      <c r="A112" s="3" t="s">
        <v>531</v>
      </c>
      <c r="B112" s="3" t="s">
        <v>378</v>
      </c>
      <c r="C112" s="3" t="str">
        <f>INDEX('R1. Scenario specifications'!$C$11:$C$59,MATCH($B112,'R1. Scenario specifications'!$A$11:$A$59,0))</f>
        <v>Current Policies Scenario, World Energy Outlook 2016</v>
      </c>
      <c r="D112" s="3" t="s">
        <v>253</v>
      </c>
      <c r="E112" s="3" t="s">
        <v>503</v>
      </c>
      <c r="F112" s="3" t="s">
        <v>529</v>
      </c>
      <c r="G112" s="34">
        <f>INDEX('R8. WEO16 Balance'!$B$13:$H$20,MATCH($E112,'R8. WEO16 Balance'!$A$13:$A$20,0),MATCH(G$85,'R8. WEO16 Balance'!$B$11:$H$11,0))</f>
        <v>1421.0109</v>
      </c>
      <c r="K112" s="34">
        <f>INDEX('R8. WEO16 Balance'!$N$13:$P$20,MATCH($E112,'R8. WEO16 Balance'!$M$13:$M$20,0),MATCH(K$85,'R8. WEO16 Balance'!$N$11:$P$11,0))</f>
        <v>1539.5800999999999</v>
      </c>
      <c r="L112" s="34"/>
      <c r="M112" s="34">
        <f>INDEX('R8. WEO16 Balance'!$N$13:$P$20,MATCH($E112,'R8. WEO16 Balance'!$M$13:$M$20,0),MATCH(M$85,'R8. WEO16 Balance'!$N$11:$P$11,0))</f>
        <v>1695.0886</v>
      </c>
      <c r="N112" s="34"/>
      <c r="O112" s="34">
        <f>INDEX('R8. WEO16 Balance'!$N$13:$P$20,MATCH($E112,'R8. WEO16 Balance'!$M$13:$M$20,0),MATCH(O$85,'R8. WEO16 Balance'!$N$11:$P$11,0))</f>
        <v>1834.0963999999999</v>
      </c>
      <c r="P112" s="31">
        <f t="shared" si="4"/>
        <v>1903.6002999999998</v>
      </c>
      <c r="Q112" s="31">
        <f t="shared" si="3"/>
        <v>1973.1041999999998</v>
      </c>
      <c r="R112" s="31">
        <f t="shared" si="3"/>
        <v>2042.6080999999997</v>
      </c>
      <c r="S112" s="31">
        <f t="shared" si="3"/>
        <v>2112.1119999999996</v>
      </c>
    </row>
    <row r="113" spans="1:19" x14ac:dyDescent="0.3">
      <c r="A113" s="3" t="s">
        <v>531</v>
      </c>
      <c r="B113" s="39" t="s">
        <v>378</v>
      </c>
      <c r="C113" s="39" t="str">
        <f>INDEX('R1. Scenario specifications'!$C$11:$C$59,MATCH($B113,'R1. Scenario specifications'!$A$11:$A$59,0))</f>
        <v>Current Policies Scenario, World Energy Outlook 2016</v>
      </c>
      <c r="D113" s="39" t="s">
        <v>461</v>
      </c>
      <c r="E113" s="39" t="s">
        <v>461</v>
      </c>
      <c r="F113" s="39" t="s">
        <v>529</v>
      </c>
      <c r="G113" s="52">
        <f>INDEX('R8. WEO16 Balance'!$B$13:$H$20,MATCH($E113,'R8. WEO16 Balance'!$A$13:$A$20,0),MATCH(G$85,'R8. WEO16 Balance'!$B$11:$H$11,0))</f>
        <v>180.8526</v>
      </c>
      <c r="H113" s="39"/>
      <c r="I113" s="39"/>
      <c r="J113" s="39"/>
      <c r="K113" s="52">
        <f>INDEX('R8. WEO16 Balance'!$N$13:$P$20,MATCH($E113,'R8. WEO16 Balance'!$M$13:$M$20,0),MATCH(K$85,'R8. WEO16 Balance'!$N$11:$P$11,0))</f>
        <v>318.53969999999998</v>
      </c>
      <c r="L113" s="52"/>
      <c r="M113" s="52">
        <f>INDEX('R8. WEO16 Balance'!$N$13:$P$20,MATCH($E113,'R8. WEO16 Balance'!$M$13:$M$20,0),MATCH(M$85,'R8. WEO16 Balance'!$N$11:$P$11,0))</f>
        <v>534.96230000000003</v>
      </c>
      <c r="N113" s="52"/>
      <c r="O113" s="52">
        <f>INDEX('R8. WEO16 Balance'!$N$13:$P$20,MATCH($E113,'R8. WEO16 Balance'!$M$13:$M$20,0),MATCH(O$85,'R8. WEO16 Balance'!$N$11:$P$11,0))</f>
        <v>808.67160000000001</v>
      </c>
      <c r="P113" s="40">
        <f t="shared" si="4"/>
        <v>945.52625</v>
      </c>
      <c r="Q113" s="40">
        <f t="shared" si="3"/>
        <v>1082.3809000000001</v>
      </c>
      <c r="R113" s="40">
        <f t="shared" si="3"/>
        <v>1219.2355499999999</v>
      </c>
      <c r="S113" s="40">
        <f t="shared" si="3"/>
        <v>1356.0902000000001</v>
      </c>
    </row>
    <row r="114" spans="1:19" x14ac:dyDescent="0.3">
      <c r="A114" s="3" t="s">
        <v>531</v>
      </c>
      <c r="B114" s="3" t="s">
        <v>379</v>
      </c>
      <c r="C114" s="3" t="str">
        <f>INDEX('R1. Scenario specifications'!$C$11:$C$59,MATCH($B114,'R1. Scenario specifications'!$A$11:$A$59,0))</f>
        <v>New Policies Scenario, World Energy Outlook 2016</v>
      </c>
      <c r="D114" s="3" t="s">
        <v>254</v>
      </c>
      <c r="E114" s="3" t="s">
        <v>254</v>
      </c>
      <c r="F114" s="3" t="s">
        <v>529</v>
      </c>
      <c r="G114" s="34">
        <f>INDEX('R8. WEO16 Balance'!$B$13:$H$20,MATCH($E114,'R8. WEO16 Balance'!$A$13:$A$20,0),MATCH(G$85,'R8. WEO16 Balance'!$B$11:$H$11,0))</f>
        <v>3926.1963000000001</v>
      </c>
      <c r="K114" s="34">
        <f>INDEX('R8. WEO16 Balance'!$B$13:$H$20,MATCH($E114,'R8. WEO16 Balance'!$A$13:$A$20,0),MATCH(K$85,'R8. WEO16 Balance'!$B$11:$H$11,0))</f>
        <v>3905.6833999999999</v>
      </c>
      <c r="L114" s="34">
        <f>INDEX('R8. WEO16 Balance'!$B$13:$H$20,MATCH($E114,'R8. WEO16 Balance'!$A$13:$A$20,0),MATCH(L$85,'R8. WEO16 Balance'!$B$11:$H$11,0))</f>
        <v>3955.1995999999999</v>
      </c>
      <c r="M114" s="34">
        <f>INDEX('R8. WEO16 Balance'!$B$13:$H$20,MATCH($E114,'R8. WEO16 Balance'!$A$13:$A$20,0),MATCH(M$85,'R8. WEO16 Balance'!$B$11:$H$11,0))</f>
        <v>4039.4018999999998</v>
      </c>
      <c r="N114" s="34">
        <f>INDEX('R8. WEO16 Balance'!$B$13:$H$20,MATCH($E114,'R8. WEO16 Balance'!$A$13:$A$20,0),MATCH(N$85,'R8. WEO16 Balance'!$B$11:$H$11,0))</f>
        <v>4100.5577999999996</v>
      </c>
      <c r="O114" s="34">
        <f>INDEX('R8. WEO16 Balance'!$B$13:$H$20,MATCH($E114,'R8. WEO16 Balance'!$A$13:$A$20,0),MATCH(O$85,'R8. WEO16 Balance'!$B$11:$H$11,0))</f>
        <v>4140.2025999999996</v>
      </c>
      <c r="P114" s="31">
        <f t="shared" ref="P114:S120" si="5">TREND($N114:$O114,$N$85:$O$85,P$85)</f>
        <v>4179.8474000000006</v>
      </c>
      <c r="Q114" s="31">
        <f t="shared" si="5"/>
        <v>4219.4922000000006</v>
      </c>
      <c r="R114" s="31">
        <f t="shared" si="5"/>
        <v>4259.1370000000006</v>
      </c>
      <c r="S114" s="31">
        <f t="shared" si="5"/>
        <v>4298.7818000000007</v>
      </c>
    </row>
    <row r="115" spans="1:19" x14ac:dyDescent="0.3">
      <c r="A115" s="3" t="s">
        <v>531</v>
      </c>
      <c r="B115" s="3" t="s">
        <v>379</v>
      </c>
      <c r="C115" s="3" t="str">
        <f>INDEX('R1. Scenario specifications'!$C$11:$C$59,MATCH($B115,'R1. Scenario specifications'!$A$11:$A$59,0))</f>
        <v>New Policies Scenario, World Energy Outlook 2016</v>
      </c>
      <c r="D115" s="3" t="s">
        <v>266</v>
      </c>
      <c r="E115" s="3" t="s">
        <v>266</v>
      </c>
      <c r="F115" s="3" t="s">
        <v>529</v>
      </c>
      <c r="G115" s="34">
        <f>INDEX('R8. WEO16 Balance'!$B$13:$H$20,MATCH($E115,'R8. WEO16 Balance'!$A$13:$A$20,0),MATCH(G$85,'R8. WEO16 Balance'!$B$11:$H$11,0))</f>
        <v>4265.8314</v>
      </c>
      <c r="K115" s="34">
        <f>INDEX('R8. WEO16 Balance'!$B$13:$H$20,MATCH($E115,'R8. WEO16 Balance'!$A$13:$A$20,0),MATCH(K$85,'R8. WEO16 Balance'!$B$11:$H$11,0))</f>
        <v>4473.9102000000003</v>
      </c>
      <c r="L115" s="34">
        <f>INDEX('R8. WEO16 Balance'!$B$13:$H$20,MATCH($E115,'R8. WEO16 Balance'!$A$13:$A$20,0),MATCH(L$85,'R8. WEO16 Balance'!$B$11:$H$11,0))</f>
        <v>4576.7156999999997</v>
      </c>
      <c r="M115" s="34">
        <f>INDEX('R8. WEO16 Balance'!$B$13:$H$20,MATCH($E115,'R8. WEO16 Balance'!$A$13:$A$20,0),MATCH(M$85,'R8. WEO16 Balance'!$B$11:$H$11,0))</f>
        <v>4630.4312</v>
      </c>
      <c r="N115" s="34">
        <f>INDEX('R8. WEO16 Balance'!$B$13:$H$20,MATCH($E115,'R8. WEO16 Balance'!$A$13:$A$20,0),MATCH(N$85,'R8. WEO16 Balance'!$B$11:$H$11,0))</f>
        <v>4708.0735000000004</v>
      </c>
      <c r="O115" s="34">
        <f>INDEX('R8. WEO16 Balance'!$B$13:$H$20,MATCH($E115,'R8. WEO16 Balance'!$A$13:$A$20,0),MATCH(O$85,'R8. WEO16 Balance'!$B$11:$H$11,0))</f>
        <v>4775.3508000000002</v>
      </c>
      <c r="P115" s="31">
        <f t="shared" si="5"/>
        <v>4842.6280999999981</v>
      </c>
      <c r="Q115" s="31">
        <f t="shared" si="5"/>
        <v>4909.905399999996</v>
      </c>
      <c r="R115" s="31">
        <f t="shared" si="5"/>
        <v>4977.1826999999976</v>
      </c>
      <c r="S115" s="31">
        <f t="shared" si="5"/>
        <v>5044.4599999999955</v>
      </c>
    </row>
    <row r="116" spans="1:19" x14ac:dyDescent="0.3">
      <c r="A116" s="3" t="s">
        <v>531</v>
      </c>
      <c r="B116" s="3" t="s">
        <v>379</v>
      </c>
      <c r="C116" s="3" t="str">
        <f>INDEX('R1. Scenario specifications'!$C$11:$C$59,MATCH($B116,'R1. Scenario specifications'!$A$11:$A$59,0))</f>
        <v>New Policies Scenario, World Energy Outlook 2016</v>
      </c>
      <c r="D116" s="3" t="s">
        <v>255</v>
      </c>
      <c r="E116" s="3" t="s">
        <v>255</v>
      </c>
      <c r="F116" s="3" t="s">
        <v>529</v>
      </c>
      <c r="G116" s="34">
        <f>INDEX('R8. WEO16 Balance'!$B$13:$H$20,MATCH($E116,'R8. WEO16 Balance'!$A$13:$A$20,0),MATCH(G$85,'R8. WEO16 Balance'!$B$11:$H$11,0))</f>
        <v>2892.9857999999999</v>
      </c>
      <c r="K116" s="34">
        <f>INDEX('R8. WEO16 Balance'!$B$13:$H$20,MATCH($E116,'R8. WEO16 Balance'!$A$13:$A$20,0),MATCH(K$85,'R8. WEO16 Balance'!$B$11:$H$11,0))</f>
        <v>3141.0435000000002</v>
      </c>
      <c r="L116" s="34">
        <f>INDEX('R8. WEO16 Balance'!$B$13:$H$20,MATCH($E116,'R8. WEO16 Balance'!$A$13:$A$20,0),MATCH(L$85,'R8. WEO16 Balance'!$B$11:$H$11,0))</f>
        <v>3389.9207999999999</v>
      </c>
      <c r="M116" s="34">
        <f>INDEX('R8. WEO16 Balance'!$B$13:$H$20,MATCH($E116,'R8. WEO16 Balance'!$A$13:$A$20,0),MATCH(M$85,'R8. WEO16 Balance'!$B$11:$H$11,0))</f>
        <v>3685.5189999999998</v>
      </c>
      <c r="N116" s="34">
        <f>INDEX('R8. WEO16 Balance'!$B$13:$H$20,MATCH($E116,'R8. WEO16 Balance'!$A$13:$A$20,0),MATCH(N$85,'R8. WEO16 Balance'!$B$11:$H$11,0))</f>
        <v>4010.8231000000001</v>
      </c>
      <c r="O116" s="34">
        <f>INDEX('R8. WEO16 Balance'!$B$13:$H$20,MATCH($E116,'R8. WEO16 Balance'!$A$13:$A$20,0),MATCH(O$85,'R8. WEO16 Balance'!$B$11:$H$11,0))</f>
        <v>4313.2340000000004</v>
      </c>
      <c r="P116" s="31">
        <f t="shared" si="5"/>
        <v>4615.6448999999993</v>
      </c>
      <c r="Q116" s="31">
        <f t="shared" si="5"/>
        <v>4918.0558000000019</v>
      </c>
      <c r="R116" s="31">
        <f t="shared" si="5"/>
        <v>5220.4667000000045</v>
      </c>
      <c r="S116" s="31">
        <f t="shared" si="5"/>
        <v>5522.8776000000071</v>
      </c>
    </row>
    <row r="117" spans="1:19" x14ac:dyDescent="0.3">
      <c r="A117" s="3" t="s">
        <v>531</v>
      </c>
      <c r="B117" s="3" t="s">
        <v>379</v>
      </c>
      <c r="C117" s="3" t="str">
        <f>INDEX('R1. Scenario specifications'!$C$11:$C$59,MATCH($B117,'R1. Scenario specifications'!$A$11:$A$59,0))</f>
        <v>New Policies Scenario, World Energy Outlook 2016</v>
      </c>
      <c r="D117" s="3" t="s">
        <v>257</v>
      </c>
      <c r="E117" s="3" t="s">
        <v>257</v>
      </c>
      <c r="F117" s="3" t="s">
        <v>529</v>
      </c>
      <c r="G117" s="34">
        <f>INDEX('R8. WEO16 Balance'!$B$13:$H$20,MATCH($E117,'R8. WEO16 Balance'!$A$13:$A$20,0),MATCH(G$85,'R8. WEO16 Balance'!$B$11:$H$11,0))</f>
        <v>662.35270000000003</v>
      </c>
      <c r="K117" s="34">
        <f>INDEX('R8. WEO16 Balance'!$B$13:$H$20,MATCH($E117,'R8. WEO16 Balance'!$A$13:$A$20,0),MATCH(K$85,'R8. WEO16 Balance'!$B$11:$H$11,0))</f>
        <v>795.83169999999996</v>
      </c>
      <c r="L117" s="34">
        <f>INDEX('R8. WEO16 Balance'!$B$13:$H$20,MATCH($E117,'R8. WEO16 Balance'!$A$13:$A$20,0),MATCH(L$85,'R8. WEO16 Balance'!$B$11:$H$11,0))</f>
        <v>887.68629999999996</v>
      </c>
      <c r="M117" s="34">
        <f>INDEX('R8. WEO16 Balance'!$B$13:$H$20,MATCH($E117,'R8. WEO16 Balance'!$A$13:$A$20,0),MATCH(M$85,'R8. WEO16 Balance'!$B$11:$H$11,0))</f>
        <v>1002.7653</v>
      </c>
      <c r="N117" s="34">
        <f>INDEX('R8. WEO16 Balance'!$B$13:$H$20,MATCH($E117,'R8. WEO16 Balance'!$A$13:$A$20,0),MATCH(N$85,'R8. WEO16 Balance'!$B$11:$H$11,0))</f>
        <v>1096.1166000000001</v>
      </c>
      <c r="O117" s="34">
        <f>INDEX('R8. WEO16 Balance'!$B$13:$H$20,MATCH($E117,'R8. WEO16 Balance'!$A$13:$A$20,0),MATCH(O$85,'R8. WEO16 Balance'!$B$11:$H$11,0))</f>
        <v>1181.2505000000001</v>
      </c>
      <c r="P117" s="31">
        <f t="shared" si="5"/>
        <v>1266.3844000000026</v>
      </c>
      <c r="Q117" s="31">
        <f t="shared" si="5"/>
        <v>1351.5183000000034</v>
      </c>
      <c r="R117" s="31">
        <f t="shared" si="5"/>
        <v>1436.6522000000041</v>
      </c>
      <c r="S117" s="31">
        <f t="shared" si="5"/>
        <v>1521.7861000000048</v>
      </c>
    </row>
    <row r="118" spans="1:19" x14ac:dyDescent="0.3">
      <c r="A118" s="3" t="s">
        <v>531</v>
      </c>
      <c r="B118" s="3" t="s">
        <v>379</v>
      </c>
      <c r="C118" s="3" t="str">
        <f>INDEX('R1. Scenario specifications'!$C$11:$C$59,MATCH($B118,'R1. Scenario specifications'!$A$11:$A$59,0))</f>
        <v>New Policies Scenario, World Energy Outlook 2016</v>
      </c>
      <c r="D118" s="3" t="s">
        <v>256</v>
      </c>
      <c r="E118" s="3" t="s">
        <v>256</v>
      </c>
      <c r="F118" s="3" t="s">
        <v>529</v>
      </c>
      <c r="G118" s="34">
        <f>INDEX('R8. WEO16 Balance'!$B$13:$H$20,MATCH($E118,'R8. WEO16 Balance'!$A$13:$A$20,0),MATCH(G$85,'R8. WEO16 Balance'!$B$11:$H$11,0))</f>
        <v>334.85239999999999</v>
      </c>
      <c r="K118" s="34">
        <f>INDEX('R8. WEO16 Balance'!$B$13:$H$20,MATCH($E118,'R8. WEO16 Balance'!$A$13:$A$20,0),MATCH(K$85,'R8. WEO16 Balance'!$B$11:$H$11,0))</f>
        <v>377.23289999999997</v>
      </c>
      <c r="L118" s="34">
        <f>INDEX('R8. WEO16 Balance'!$B$13:$H$20,MATCH($E118,'R8. WEO16 Balance'!$A$13:$A$20,0),MATCH(L$85,'R8. WEO16 Balance'!$B$11:$H$11,0))</f>
        <v>420.22669999999999</v>
      </c>
      <c r="M118" s="34">
        <f>INDEX('R8. WEO16 Balance'!$B$13:$H$20,MATCH($E118,'R8. WEO16 Balance'!$A$13:$A$20,0),MATCH(M$85,'R8. WEO16 Balance'!$B$11:$H$11,0))</f>
        <v>462.82780000000002</v>
      </c>
      <c r="N118" s="34">
        <f>INDEX('R8. WEO16 Balance'!$B$13:$H$20,MATCH($E118,'R8. WEO16 Balance'!$A$13:$A$20,0),MATCH(N$85,'R8. WEO16 Balance'!$B$11:$H$11,0))</f>
        <v>501.69979999999998</v>
      </c>
      <c r="O118" s="34">
        <f>INDEX('R8. WEO16 Balance'!$B$13:$H$20,MATCH($E118,'R8. WEO16 Balance'!$A$13:$A$20,0),MATCH(O$85,'R8. WEO16 Balance'!$B$11:$H$11,0))</f>
        <v>535.75319999999999</v>
      </c>
      <c r="P118" s="31">
        <f t="shared" si="5"/>
        <v>569.80660000000171</v>
      </c>
      <c r="Q118" s="31">
        <f t="shared" si="5"/>
        <v>603.86000000000058</v>
      </c>
      <c r="R118" s="31">
        <f t="shared" si="5"/>
        <v>637.91340000000127</v>
      </c>
      <c r="S118" s="31">
        <f t="shared" si="5"/>
        <v>671.96680000000197</v>
      </c>
    </row>
    <row r="119" spans="1:19" x14ac:dyDescent="0.3">
      <c r="A119" s="3" t="s">
        <v>531</v>
      </c>
      <c r="B119" s="3" t="s">
        <v>379</v>
      </c>
      <c r="C119" s="3" t="str">
        <f>INDEX('R1. Scenario specifications'!$C$11:$C$59,MATCH($B119,'R1. Scenario specifications'!$A$11:$A$59,0))</f>
        <v>New Policies Scenario, World Energy Outlook 2016</v>
      </c>
      <c r="D119" s="3" t="s">
        <v>253</v>
      </c>
      <c r="E119" s="3" t="s">
        <v>503</v>
      </c>
      <c r="F119" s="3" t="s">
        <v>529</v>
      </c>
      <c r="G119" s="34">
        <f>INDEX('R8. WEO16 Balance'!$B$13:$H$20,MATCH($E119,'R8. WEO16 Balance'!$A$13:$A$20,0),MATCH(G$85,'R8. WEO16 Balance'!$B$11:$H$11,0))</f>
        <v>1421.0109</v>
      </c>
      <c r="K119" s="34">
        <f>INDEX('R8. WEO16 Balance'!$B$13:$H$20,MATCH($E119,'R8. WEO16 Balance'!$A$13:$A$20,0),MATCH(K$85,'R8. WEO16 Balance'!$B$11:$H$11,0))</f>
        <v>1543.1542999999999</v>
      </c>
      <c r="L119" s="34">
        <f>INDEX('R8. WEO16 Balance'!$B$13:$H$20,MATCH($E119,'R8. WEO16 Balance'!$A$13:$A$20,0),MATCH(L$85,'R8. WEO16 Balance'!$B$11:$H$11,0))</f>
        <v>1632.5063</v>
      </c>
      <c r="M119" s="34">
        <f>INDEX('R8. WEO16 Balance'!$B$13:$H$20,MATCH($E119,'R8. WEO16 Balance'!$A$13:$A$20,0),MATCH(M$85,'R8. WEO16 Balance'!$B$11:$H$11,0))</f>
        <v>1720.8915</v>
      </c>
      <c r="N119" s="34">
        <f>INDEX('R8. WEO16 Balance'!$B$13:$H$20,MATCH($E119,'R8. WEO16 Balance'!$A$13:$A$20,0),MATCH(N$85,'R8. WEO16 Balance'!$B$11:$H$11,0))</f>
        <v>1804.2914000000001</v>
      </c>
      <c r="O119" s="34">
        <f>INDEX('R8. WEO16 Balance'!$B$13:$H$20,MATCH($E119,'R8. WEO16 Balance'!$A$13:$A$20,0),MATCH(O$85,'R8. WEO16 Balance'!$B$11:$H$11,0))</f>
        <v>1883.1821</v>
      </c>
      <c r="P119" s="31">
        <f t="shared" si="5"/>
        <v>1962.0728000000017</v>
      </c>
      <c r="Q119" s="31">
        <f t="shared" si="5"/>
        <v>2040.9635000000017</v>
      </c>
      <c r="R119" s="31">
        <f t="shared" si="5"/>
        <v>2119.8542000000016</v>
      </c>
      <c r="S119" s="31">
        <f t="shared" si="5"/>
        <v>2198.7449000000015</v>
      </c>
    </row>
    <row r="120" spans="1:19" x14ac:dyDescent="0.3">
      <c r="A120" s="3" t="s">
        <v>531</v>
      </c>
      <c r="B120" s="39" t="s">
        <v>379</v>
      </c>
      <c r="C120" s="39" t="str">
        <f>INDEX('R1. Scenario specifications'!$C$11:$C$59,MATCH($B120,'R1. Scenario specifications'!$A$11:$A$59,0))</f>
        <v>New Policies Scenario, World Energy Outlook 2016</v>
      </c>
      <c r="D120" s="39" t="s">
        <v>461</v>
      </c>
      <c r="E120" s="39" t="s">
        <v>461</v>
      </c>
      <c r="F120" s="39" t="s">
        <v>529</v>
      </c>
      <c r="G120" s="52">
        <f>INDEX('R8. WEO16 Balance'!$B$13:$H$20,MATCH($E120,'R8. WEO16 Balance'!$A$13:$A$20,0),MATCH(G$85,'R8. WEO16 Balance'!$B$11:$H$11,0))</f>
        <v>180.8526</v>
      </c>
      <c r="H120" s="39"/>
      <c r="I120" s="39"/>
      <c r="J120" s="39"/>
      <c r="K120" s="52">
        <f>INDEX('R8. WEO16 Balance'!$B$13:$H$20,MATCH($E120,'R8. WEO16 Balance'!$A$13:$A$20,0),MATCH(K$85,'R8. WEO16 Balance'!$B$11:$H$11,0))</f>
        <v>338.80360000000002</v>
      </c>
      <c r="L120" s="52">
        <f>INDEX('R8. WEO16 Balance'!$B$13:$H$20,MATCH($E120,'R8. WEO16 Balance'!$A$13:$A$20,0),MATCH(L$85,'R8. WEO16 Balance'!$B$11:$H$11,0))</f>
        <v>478.11739999999998</v>
      </c>
      <c r="M120" s="52">
        <f>INDEX('R8. WEO16 Balance'!$B$13:$H$20,MATCH($E120,'R8. WEO16 Balance'!$A$13:$A$20,0),MATCH(M$85,'R8. WEO16 Balance'!$B$11:$H$11,0))</f>
        <v>643.18259999999998</v>
      </c>
      <c r="N120" s="52">
        <f>INDEX('R8. WEO16 Balance'!$B$13:$H$20,MATCH($E120,'R8. WEO16 Balance'!$A$13:$A$20,0),MATCH(N$85,'R8. WEO16 Balance'!$B$11:$H$11,0))</f>
        <v>835.32619999999997</v>
      </c>
      <c r="O120" s="52">
        <f>INDEX('R8. WEO16 Balance'!$B$13:$H$20,MATCH($E120,'R8. WEO16 Balance'!$A$13:$A$20,0),MATCH(O$85,'R8. WEO16 Balance'!$B$11:$H$11,0))</f>
        <v>1036.5530000000001</v>
      </c>
      <c r="P120" s="40">
        <f t="shared" si="5"/>
        <v>1237.7797999999893</v>
      </c>
      <c r="Q120" s="40">
        <f t="shared" si="5"/>
        <v>1439.0065999999933</v>
      </c>
      <c r="R120" s="40">
        <f t="shared" si="5"/>
        <v>1640.2333999999973</v>
      </c>
      <c r="S120" s="40">
        <f t="shared" si="5"/>
        <v>1841.4601999999868</v>
      </c>
    </row>
    <row r="121" spans="1:19" x14ac:dyDescent="0.3">
      <c r="A121" s="3" t="s">
        <v>531</v>
      </c>
      <c r="B121" s="3" t="s">
        <v>380</v>
      </c>
      <c r="C121" s="3" t="str">
        <f>INDEX('R1. Scenario specifications'!$C$11:$C$59,MATCH($B121,'R1. Scenario specifications'!$A$11:$A$59,0))</f>
        <v>450 Scenario, World Energy Outlook 2016</v>
      </c>
      <c r="D121" s="3" t="s">
        <v>254</v>
      </c>
      <c r="E121" s="3" t="s">
        <v>254</v>
      </c>
      <c r="F121" s="3" t="s">
        <v>529</v>
      </c>
      <c r="G121" s="34">
        <f>INDEX('R8. WEO16 Balance'!$B$13:$H$20,MATCH($E121,'R8. WEO16 Balance'!$A$13:$A$20,0),MATCH(G$85,'R8. WEO16 Balance'!$B$11:$H$11,0))</f>
        <v>3926.1963000000001</v>
      </c>
      <c r="K121" s="34">
        <f>INDEX('R8. WEO16 Balance'!$Q$13:$S$20,MATCH($E121,'R8. WEO16 Balance'!$M$13:$M$20,0),MATCH(K$85,'R8. WEO16 Balance'!$Q$11:$S$11,0))</f>
        <v>3622.1583000000001</v>
      </c>
      <c r="L121" s="34"/>
      <c r="M121" s="34">
        <f>INDEX('R8. WEO16 Balance'!$Q$13:$S$20,MATCH($E121,'R8. WEO16 Balance'!$M$13:$M$20,0),MATCH(M$85,'R8. WEO16 Balance'!$Q$11:$S$11,0))</f>
        <v>2650.1262000000002</v>
      </c>
      <c r="N121" s="34"/>
      <c r="O121" s="34">
        <f>INDEX('R8. WEO16 Balance'!$Q$13:$S$20,MATCH($E121,'R8. WEO16 Balance'!$M$13:$M$20,0),MATCH(O$85,'R8. WEO16 Balance'!$Q$11:$S$11,0))</f>
        <v>2000.4662000000001</v>
      </c>
      <c r="P121" s="31">
        <f>$O121+(P$85-$O$85)*($O121-$M121)/($O$85-$M$85)</f>
        <v>1675.6361999999999</v>
      </c>
      <c r="Q121" s="31">
        <f t="shared" ref="Q121:S127" si="6">$O121+(Q$85-$O$85)*($O121-$M121)/($O$85-$M$85)</f>
        <v>1350.8062</v>
      </c>
      <c r="R121" s="31">
        <f t="shared" si="6"/>
        <v>1025.9762000000001</v>
      </c>
      <c r="S121" s="31">
        <f t="shared" si="6"/>
        <v>701.14619999999991</v>
      </c>
    </row>
    <row r="122" spans="1:19" x14ac:dyDescent="0.3">
      <c r="A122" s="3" t="s">
        <v>531</v>
      </c>
      <c r="B122" s="3" t="s">
        <v>380</v>
      </c>
      <c r="C122" s="3" t="str">
        <f>INDEX('R1. Scenario specifications'!$C$11:$C$59,MATCH($B122,'R1. Scenario specifications'!$A$11:$A$59,0))</f>
        <v>450 Scenario, World Energy Outlook 2016</v>
      </c>
      <c r="D122" s="3" t="s">
        <v>266</v>
      </c>
      <c r="E122" s="3" t="s">
        <v>266</v>
      </c>
      <c r="F122" s="3" t="s">
        <v>529</v>
      </c>
      <c r="G122" s="34">
        <f>INDEX('R8. WEO16 Balance'!$B$13:$H$20,MATCH($E122,'R8. WEO16 Balance'!$A$13:$A$20,0),MATCH(G$85,'R8. WEO16 Balance'!$B$11:$H$11,0))</f>
        <v>4265.8314</v>
      </c>
      <c r="K122" s="34">
        <f>INDEX('R8. WEO16 Balance'!$Q$13:$S$20,MATCH($E122,'R8. WEO16 Balance'!$M$13:$M$20,0),MATCH(K$85,'R8. WEO16 Balance'!$Q$11:$S$11,0))</f>
        <v>4344.5429000000004</v>
      </c>
      <c r="L122" s="34"/>
      <c r="M122" s="34">
        <f>INDEX('R8. WEO16 Balance'!$Q$13:$S$20,MATCH($E122,'R8. WEO16 Balance'!$M$13:$M$20,0),MATCH(M$85,'R8. WEO16 Balance'!$Q$11:$S$11,0))</f>
        <v>3882.9285</v>
      </c>
      <c r="N122" s="34"/>
      <c r="O122" s="34">
        <f>INDEX('R8. WEO16 Balance'!$Q$13:$S$20,MATCH($E122,'R8. WEO16 Balance'!$M$13:$M$20,0),MATCH(O$85,'R8. WEO16 Balance'!$Q$11:$S$11,0))</f>
        <v>3326.0486999999998</v>
      </c>
      <c r="P122" s="31">
        <f t="shared" ref="P122:P127" si="7">$O122+(P$85-$O$85)*($O122-$M122)/($O$85-$M$85)</f>
        <v>3047.6088</v>
      </c>
      <c r="Q122" s="31">
        <f t="shared" si="6"/>
        <v>2769.1688999999997</v>
      </c>
      <c r="R122" s="31">
        <f t="shared" si="6"/>
        <v>2490.7289999999994</v>
      </c>
      <c r="S122" s="31">
        <f t="shared" si="6"/>
        <v>2212.2890999999995</v>
      </c>
    </row>
    <row r="123" spans="1:19" x14ac:dyDescent="0.3">
      <c r="A123" s="3" t="s">
        <v>531</v>
      </c>
      <c r="B123" s="3" t="s">
        <v>380</v>
      </c>
      <c r="C123" s="3" t="str">
        <f>INDEX('R1. Scenario specifications'!$C$11:$C$59,MATCH($B123,'R1. Scenario specifications'!$A$11:$A$59,0))</f>
        <v>450 Scenario, World Energy Outlook 2016</v>
      </c>
      <c r="D123" s="3" t="s">
        <v>255</v>
      </c>
      <c r="E123" s="3" t="s">
        <v>255</v>
      </c>
      <c r="F123" s="3" t="s">
        <v>529</v>
      </c>
      <c r="G123" s="34">
        <f>INDEX('R8. WEO16 Balance'!$B$13:$H$20,MATCH($E123,'R8. WEO16 Balance'!$A$13:$A$20,0),MATCH(G$85,'R8. WEO16 Balance'!$B$11:$H$11,0))</f>
        <v>2892.9857999999999</v>
      </c>
      <c r="K123" s="34">
        <f>INDEX('R8. WEO16 Balance'!$Q$13:$S$20,MATCH($E123,'R8. WEO16 Balance'!$M$13:$M$20,0),MATCH(K$85,'R8. WEO16 Balance'!$Q$11:$S$11,0))</f>
        <v>3135.6714999999999</v>
      </c>
      <c r="L123" s="34"/>
      <c r="M123" s="34">
        <f>INDEX('R8. WEO16 Balance'!$Q$13:$S$20,MATCH($E123,'R8. WEO16 Balance'!$M$13:$M$20,0),MATCH(M$85,'R8. WEO16 Balance'!$Q$11:$S$11,0))</f>
        <v>3348.9760999999999</v>
      </c>
      <c r="N123" s="34"/>
      <c r="O123" s="34">
        <f>INDEX('R8. WEO16 Balance'!$Q$13:$S$20,MATCH($E123,'R8. WEO16 Balance'!$M$13:$M$20,0),MATCH(O$85,'R8. WEO16 Balance'!$Q$11:$S$11,0))</f>
        <v>3300.7307999999998</v>
      </c>
      <c r="P123" s="31">
        <f t="shared" si="7"/>
        <v>3276.60815</v>
      </c>
      <c r="Q123" s="31">
        <f t="shared" si="6"/>
        <v>3252.4854999999998</v>
      </c>
      <c r="R123" s="31">
        <f t="shared" si="6"/>
        <v>3228.3628499999995</v>
      </c>
      <c r="S123" s="31">
        <f t="shared" si="6"/>
        <v>3204.2401999999997</v>
      </c>
    </row>
    <row r="124" spans="1:19" x14ac:dyDescent="0.3">
      <c r="A124" s="3" t="s">
        <v>531</v>
      </c>
      <c r="B124" s="3" t="s">
        <v>380</v>
      </c>
      <c r="C124" s="3" t="str">
        <f>INDEX('R1. Scenario specifications'!$C$11:$C$59,MATCH($B124,'R1. Scenario specifications'!$A$11:$A$59,0))</f>
        <v>450 Scenario, World Energy Outlook 2016</v>
      </c>
      <c r="D124" s="3" t="s">
        <v>257</v>
      </c>
      <c r="E124" s="3" t="s">
        <v>257</v>
      </c>
      <c r="F124" s="3" t="s">
        <v>529</v>
      </c>
      <c r="G124" s="34">
        <f>INDEX('R8. WEO16 Balance'!$B$13:$H$20,MATCH($E124,'R8. WEO16 Balance'!$A$13:$A$20,0),MATCH(G$85,'R8. WEO16 Balance'!$B$11:$H$11,0))</f>
        <v>662.35270000000003</v>
      </c>
      <c r="K124" s="34">
        <f>INDEX('R8. WEO16 Balance'!$Q$13:$S$20,MATCH($E124,'R8. WEO16 Balance'!$M$13:$M$20,0),MATCH(K$85,'R8. WEO16 Balance'!$Q$11:$S$11,0))</f>
        <v>815.3691</v>
      </c>
      <c r="L124" s="34"/>
      <c r="M124" s="34">
        <f>INDEX('R8. WEO16 Balance'!$Q$13:$S$20,MATCH($E124,'R8. WEO16 Balance'!$M$13:$M$20,0),MATCH(M$85,'R8. WEO16 Balance'!$Q$11:$S$11,0))</f>
        <v>1233.7746999999999</v>
      </c>
      <c r="N124" s="34"/>
      <c r="O124" s="34">
        <f>INDEX('R8. WEO16 Balance'!$Q$13:$S$20,MATCH($E124,'R8. WEO16 Balance'!$M$13:$M$20,0),MATCH(O$85,'R8. WEO16 Balance'!$Q$11:$S$11,0))</f>
        <v>1590.0632000000001</v>
      </c>
      <c r="P124" s="31">
        <f t="shared" si="7"/>
        <v>1768.2074500000001</v>
      </c>
      <c r="Q124" s="31">
        <f t="shared" si="6"/>
        <v>1946.3517000000002</v>
      </c>
      <c r="R124" s="31">
        <f t="shared" si="6"/>
        <v>2124.4959500000004</v>
      </c>
      <c r="S124" s="31">
        <f t="shared" si="6"/>
        <v>2302.6402000000003</v>
      </c>
    </row>
    <row r="125" spans="1:19" x14ac:dyDescent="0.3">
      <c r="A125" s="3" t="s">
        <v>531</v>
      </c>
      <c r="B125" s="3" t="s">
        <v>380</v>
      </c>
      <c r="C125" s="3" t="str">
        <f>INDEX('R1. Scenario specifications'!$C$11:$C$59,MATCH($B125,'R1. Scenario specifications'!$A$11:$A$59,0))</f>
        <v>450 Scenario, World Energy Outlook 2016</v>
      </c>
      <c r="D125" s="3" t="s">
        <v>256</v>
      </c>
      <c r="E125" s="3" t="s">
        <v>256</v>
      </c>
      <c r="F125" s="3" t="s">
        <v>529</v>
      </c>
      <c r="G125" s="34">
        <f>INDEX('R8. WEO16 Balance'!$B$13:$H$20,MATCH($E125,'R8. WEO16 Balance'!$A$13:$A$20,0),MATCH(G$85,'R8. WEO16 Balance'!$B$11:$H$11,0))</f>
        <v>334.85239999999999</v>
      </c>
      <c r="K125" s="34">
        <f>INDEX('R8. WEO16 Balance'!$Q$13:$S$20,MATCH($E125,'R8. WEO16 Balance'!$M$13:$M$20,0),MATCH(K$85,'R8. WEO16 Balance'!$Q$11:$S$11,0))</f>
        <v>377.72219999999999</v>
      </c>
      <c r="L125" s="34"/>
      <c r="M125" s="34">
        <f>INDEX('R8. WEO16 Balance'!$Q$13:$S$20,MATCH($E125,'R8. WEO16 Balance'!$M$13:$M$20,0),MATCH(M$85,'R8. WEO16 Balance'!$Q$11:$S$11,0))</f>
        <v>486.32260000000002</v>
      </c>
      <c r="N125" s="34"/>
      <c r="O125" s="34">
        <f>INDEX('R8. WEO16 Balance'!$Q$13:$S$20,MATCH($E125,'R8. WEO16 Balance'!$M$13:$M$20,0),MATCH(O$85,'R8. WEO16 Balance'!$Q$11:$S$11,0))</f>
        <v>592.59320000000002</v>
      </c>
      <c r="P125" s="31">
        <f t="shared" si="7"/>
        <v>645.72850000000005</v>
      </c>
      <c r="Q125" s="31">
        <f t="shared" si="6"/>
        <v>698.86380000000008</v>
      </c>
      <c r="R125" s="31">
        <f t="shared" si="6"/>
        <v>751.9991</v>
      </c>
      <c r="S125" s="31">
        <f t="shared" si="6"/>
        <v>805.13440000000003</v>
      </c>
    </row>
    <row r="126" spans="1:19" x14ac:dyDescent="0.3">
      <c r="A126" s="3" t="s">
        <v>531</v>
      </c>
      <c r="B126" s="3" t="s">
        <v>380</v>
      </c>
      <c r="C126" s="3" t="str">
        <f>INDEX('R1. Scenario specifications'!$C$11:$C$59,MATCH($B126,'R1. Scenario specifications'!$A$11:$A$59,0))</f>
        <v>450 Scenario, World Energy Outlook 2016</v>
      </c>
      <c r="D126" s="3" t="s">
        <v>253</v>
      </c>
      <c r="E126" s="3" t="s">
        <v>503</v>
      </c>
      <c r="F126" s="3" t="s">
        <v>529</v>
      </c>
      <c r="G126" s="34">
        <f>INDEX('R8. WEO16 Balance'!$B$13:$H$20,MATCH($E126,'R8. WEO16 Balance'!$A$13:$A$20,0),MATCH(G$85,'R8. WEO16 Balance'!$B$11:$H$11,0))</f>
        <v>1421.0109</v>
      </c>
      <c r="K126" s="34">
        <f>INDEX('R8. WEO16 Balance'!$Q$13:$S$20,MATCH($E126,'R8. WEO16 Balance'!$M$13:$M$20,0),MATCH(K$85,'R8. WEO16 Balance'!$Q$11:$S$11,0))</f>
        <v>1549.912</v>
      </c>
      <c r="L126" s="34"/>
      <c r="M126" s="34">
        <f>INDEX('R8. WEO16 Balance'!$Q$13:$S$20,MATCH($E126,'R8. WEO16 Balance'!$M$13:$M$20,0),MATCH(M$85,'R8. WEO16 Balance'!$Q$11:$S$11,0))</f>
        <v>1927.665</v>
      </c>
      <c r="N126" s="34"/>
      <c r="O126" s="34">
        <f>INDEX('R8. WEO16 Balance'!$Q$13:$S$20,MATCH($E126,'R8. WEO16 Balance'!$M$13:$M$20,0),MATCH(O$85,'R8. WEO16 Balance'!$Q$11:$S$11,0))</f>
        <v>2309.9413</v>
      </c>
      <c r="P126" s="31">
        <f t="shared" si="7"/>
        <v>2501.0794500000002</v>
      </c>
      <c r="Q126" s="31">
        <f t="shared" si="6"/>
        <v>2692.2175999999999</v>
      </c>
      <c r="R126" s="31">
        <f t="shared" si="6"/>
        <v>2883.3557499999997</v>
      </c>
      <c r="S126" s="31">
        <f t="shared" si="6"/>
        <v>3074.4938999999999</v>
      </c>
    </row>
    <row r="127" spans="1:19" x14ac:dyDescent="0.3">
      <c r="A127" s="39" t="s">
        <v>531</v>
      </c>
      <c r="B127" s="39" t="s">
        <v>380</v>
      </c>
      <c r="C127" s="39" t="str">
        <f>INDEX('R1. Scenario specifications'!$C$11:$C$59,MATCH($B127,'R1. Scenario specifications'!$A$11:$A$59,0))</f>
        <v>450 Scenario, World Energy Outlook 2016</v>
      </c>
      <c r="D127" s="39" t="s">
        <v>461</v>
      </c>
      <c r="E127" s="39" t="s">
        <v>461</v>
      </c>
      <c r="F127" s="39" t="s">
        <v>529</v>
      </c>
      <c r="G127" s="52">
        <f>INDEX('R8. WEO16 Balance'!$B$13:$H$20,MATCH($E127,'R8. WEO16 Balance'!$A$13:$A$20,0),MATCH(G$85,'R8. WEO16 Balance'!$B$11:$H$11,0))</f>
        <v>180.8526</v>
      </c>
      <c r="H127" s="39"/>
      <c r="I127" s="39"/>
      <c r="J127" s="39"/>
      <c r="K127" s="52">
        <f>INDEX('R8. WEO16 Balance'!$Q$13:$S$20,MATCH($E127,'R8. WEO16 Balance'!$M$13:$M$20,0),MATCH(K$85,'R8. WEO16 Balance'!$Q$11:$S$11,0))</f>
        <v>358.6909</v>
      </c>
      <c r="L127" s="52"/>
      <c r="M127" s="52">
        <f>INDEX('R8. WEO16 Balance'!$Q$13:$S$20,MATCH($E127,'R8. WEO16 Balance'!$M$13:$M$20,0),MATCH(M$85,'R8. WEO16 Balance'!$Q$11:$S$11,0))</f>
        <v>938.65179999999998</v>
      </c>
      <c r="N127" s="52"/>
      <c r="O127" s="52">
        <f>INDEX('R8. WEO16 Balance'!$Q$13:$S$20,MATCH($E127,'R8. WEO16 Balance'!$M$13:$M$20,0),MATCH(O$85,'R8. WEO16 Balance'!$Q$11:$S$11,0))</f>
        <v>1758.6495</v>
      </c>
      <c r="P127" s="40">
        <f t="shared" si="7"/>
        <v>2168.6483499999999</v>
      </c>
      <c r="Q127" s="40">
        <f t="shared" si="6"/>
        <v>2578.6472000000003</v>
      </c>
      <c r="R127" s="40">
        <f t="shared" si="6"/>
        <v>2988.6460500000003</v>
      </c>
      <c r="S127" s="40">
        <f t="shared" si="6"/>
        <v>3398.6449000000002</v>
      </c>
    </row>
    <row r="128" spans="1:19" x14ac:dyDescent="0.3">
      <c r="A128" s="3" t="s">
        <v>496</v>
      </c>
      <c r="B128" s="3" t="s">
        <v>381</v>
      </c>
      <c r="C128" s="3" t="str">
        <f>INDEX('R1. Scenario specifications'!$C$11:$C$59,MATCH($B128,'R1. Scenario specifications'!$A$11:$A$59,0))</f>
        <v>Reference Technologies Scenario, Energy Technology Perspectives 2017</v>
      </c>
      <c r="D128" s="3" t="s">
        <v>254</v>
      </c>
      <c r="E128" s="3" t="s">
        <v>254</v>
      </c>
      <c r="F128" s="3" t="s">
        <v>482</v>
      </c>
      <c r="G128" s="34">
        <f>IFERROR(INDEX('R5. ETP17 Summary'!$C$12:$K$20,MATCH($E128,'R5. ETP17 Summary'!$B$12:$B$20,0),MATCH(G$85,'R5. ETP17 Summary'!$C$9:$K$9,0)),"")</f>
        <v>163853.62994548801</v>
      </c>
      <c r="H128" s="34" t="str">
        <f>IFERROR(INDEX('R5. ETP17 Summary'!$C$12:$K$20,MATCH($E128,'R5. ETP17 Summary'!$B$12:$B$20,0),MATCH(H$85,'R5. ETP17 Summary'!$C$9:$K$9,0)),"")</f>
        <v/>
      </c>
      <c r="I128" s="34" t="str">
        <f>IFERROR(INDEX('R5. ETP17 Summary'!$C$12:$K$20,MATCH($E128,'R5. ETP17 Summary'!$B$12:$B$20,0),MATCH(I$85,'R5. ETP17 Summary'!$C$9:$K$9,0)),"")</f>
        <v/>
      </c>
      <c r="J128" s="34" t="str">
        <f>IFERROR(INDEX('R5. ETP17 Summary'!$C$12:$K$20,MATCH($E128,'R5. ETP17 Summary'!$B$12:$B$20,0),MATCH(J$85,'R5. ETP17 Summary'!$C$9:$K$9,0)),"")</f>
        <v/>
      </c>
      <c r="K128" s="31">
        <f t="shared" ref="K128:K148" si="8">$G128+(K$85-$G$85)*($L128-$G128)/($L$85-$G$85)</f>
        <v>163058.50026170598</v>
      </c>
      <c r="L128" s="34">
        <f>IFERROR(INDEX('R5. ETP17 Summary'!$C$12:$K$20,MATCH($E128,'R5. ETP17 Summary'!$B$12:$B$20,0),MATCH(L$85,'R5. ETP17 Summary'!$C$9:$K$9,0)),"")</f>
        <v>162395.89219188763</v>
      </c>
      <c r="M128" s="34">
        <f>IFERROR(INDEX('R5. ETP17 Summary'!$C$12:$K$20,MATCH($E128,'R5. ETP17 Summary'!$B$12:$B$20,0),MATCH(M$85,'R5. ETP17 Summary'!$C$9:$K$9,0)),"")</f>
        <v>162921.73111427567</v>
      </c>
      <c r="N128" s="34">
        <f>IFERROR(INDEX('R5. ETP17 Summary'!$C$12:$K$20,MATCH($E128,'R5. ETP17 Summary'!$B$12:$B$20,0),MATCH(N$85,'R5. ETP17 Summary'!$C$9:$K$9,0)),"")</f>
        <v>164935.01521888917</v>
      </c>
      <c r="O128" s="34">
        <f>IFERROR(INDEX('R5. ETP17 Summary'!$C$12:$K$20,MATCH($E128,'R5. ETP17 Summary'!$B$12:$B$20,0),MATCH(O$85,'R5. ETP17 Summary'!$C$9:$K$9,0)),"")</f>
        <v>168456.54625766998</v>
      </c>
      <c r="P128" s="34">
        <f>IFERROR(INDEX('R5. ETP17 Summary'!$C$12:$K$20,MATCH($E128,'R5. ETP17 Summary'!$B$12:$B$20,0),MATCH(P$85,'R5. ETP17 Summary'!$C$9:$K$9,0)),"")</f>
        <v>167055.82520076376</v>
      </c>
      <c r="Q128" s="34">
        <f>IFERROR(INDEX('R5. ETP17 Summary'!$C$12:$K$20,MATCH($E128,'R5. ETP17 Summary'!$B$12:$B$20,0),MATCH(Q$85,'R5. ETP17 Summary'!$C$9:$K$9,0)),"")</f>
        <v>163446.66790497277</v>
      </c>
      <c r="R128" s="34">
        <f>IFERROR(INDEX('R5. ETP17 Summary'!$C$12:$K$20,MATCH($E128,'R5. ETP17 Summary'!$B$12:$B$20,0),MATCH(R$85,'R5. ETP17 Summary'!$C$9:$K$9,0)),"")</f>
        <v>164936.60354914173</v>
      </c>
      <c r="S128" s="34">
        <f>IFERROR(INDEX('R5. ETP17 Summary'!$C$12:$K$20,MATCH($E128,'R5. ETP17 Summary'!$B$12:$B$20,0),MATCH(S$85,'R5. ETP17 Summary'!$C$9:$K$9,0)),"")</f>
        <v>163833.11722813317</v>
      </c>
    </row>
    <row r="129" spans="1:19" x14ac:dyDescent="0.3">
      <c r="A129" s="3" t="s">
        <v>496</v>
      </c>
      <c r="B129" s="3" t="s">
        <v>381</v>
      </c>
      <c r="C129" s="3" t="str">
        <f>INDEX('R1. Scenario specifications'!$C$11:$C$59,MATCH($B129,'R1. Scenario specifications'!$A$11:$A$59,0))</f>
        <v>Reference Technologies Scenario, Energy Technology Perspectives 2017</v>
      </c>
      <c r="D129" s="3" t="s">
        <v>266</v>
      </c>
      <c r="E129" s="3" t="s">
        <v>266</v>
      </c>
      <c r="F129" s="3" t="s">
        <v>482</v>
      </c>
      <c r="G129" s="34">
        <f>IFERROR(INDEX('R5. ETP17 Summary'!$C$12:$K$20,MATCH($E129,'R5. ETP17 Summary'!$B$12:$B$20,0),MATCH(G$85,'R5. ETP17 Summary'!$C$9:$K$9,0)),"")</f>
        <v>179603.77400539213</v>
      </c>
      <c r="H129" s="34" t="str">
        <f>IFERROR(INDEX('R5. ETP17 Summary'!$C$12:$K$20,MATCH($E129,'R5. ETP17 Summary'!$B$12:$B$20,0),MATCH(H$85,'R5. ETP17 Summary'!$C$9:$K$9,0)),"")</f>
        <v/>
      </c>
      <c r="I129" s="34" t="str">
        <f>IFERROR(INDEX('R5. ETP17 Summary'!$C$12:$K$20,MATCH($E129,'R5. ETP17 Summary'!$B$12:$B$20,0),MATCH(I$85,'R5. ETP17 Summary'!$C$9:$K$9,0)),"")</f>
        <v/>
      </c>
      <c r="J129" s="34" t="str">
        <f>IFERROR(INDEX('R5. ETP17 Summary'!$C$12:$K$20,MATCH($E129,'R5. ETP17 Summary'!$B$12:$B$20,0),MATCH(J$85,'R5. ETP17 Summary'!$C$9:$K$9,0)),"")</f>
        <v/>
      </c>
      <c r="K129" s="31">
        <f t="shared" si="8"/>
        <v>185822.86224654422</v>
      </c>
      <c r="L129" s="34">
        <f>IFERROR(INDEX('R5. ETP17 Summary'!$C$12:$K$20,MATCH($E129,'R5. ETP17 Summary'!$B$12:$B$20,0),MATCH(L$85,'R5. ETP17 Summary'!$C$9:$K$9,0)),"")</f>
        <v>191005.43578083764</v>
      </c>
      <c r="M129" s="34">
        <f>IFERROR(INDEX('R5. ETP17 Summary'!$C$12:$K$20,MATCH($E129,'R5. ETP17 Summary'!$B$12:$B$20,0),MATCH(M$85,'R5. ETP17 Summary'!$C$9:$K$9,0)),"")</f>
        <v>197406.6923135276</v>
      </c>
      <c r="N129" s="34">
        <f>IFERROR(INDEX('R5. ETP17 Summary'!$C$12:$K$20,MATCH($E129,'R5. ETP17 Summary'!$B$12:$B$20,0),MATCH(N$85,'R5. ETP17 Summary'!$C$9:$K$9,0)),"")</f>
        <v>200947.73220399983</v>
      </c>
      <c r="O129" s="34">
        <f>IFERROR(INDEX('R5. ETP17 Summary'!$C$12:$K$20,MATCH($E129,'R5. ETP17 Summary'!$B$12:$B$20,0),MATCH(O$85,'R5. ETP17 Summary'!$C$9:$K$9,0)),"")</f>
        <v>204742.68298506443</v>
      </c>
      <c r="P129" s="34">
        <f>IFERROR(INDEX('R5. ETP17 Summary'!$C$12:$K$20,MATCH($E129,'R5. ETP17 Summary'!$B$12:$B$20,0),MATCH(P$85,'R5. ETP17 Summary'!$C$9:$K$9,0)),"")</f>
        <v>206619.49566900227</v>
      </c>
      <c r="Q129" s="34">
        <f>IFERROR(INDEX('R5. ETP17 Summary'!$C$12:$K$20,MATCH($E129,'R5. ETP17 Summary'!$B$12:$B$20,0),MATCH(Q$85,'R5. ETP17 Summary'!$C$9:$K$9,0)),"")</f>
        <v>207960.44191028658</v>
      </c>
      <c r="R129" s="34">
        <f>IFERROR(INDEX('R5. ETP17 Summary'!$C$12:$K$20,MATCH($E129,'R5. ETP17 Summary'!$B$12:$B$20,0),MATCH(R$85,'R5. ETP17 Summary'!$C$9:$K$9,0)),"")</f>
        <v>208564.09239051194</v>
      </c>
      <c r="S129" s="34">
        <f>IFERROR(INDEX('R5. ETP17 Summary'!$C$12:$K$20,MATCH($E129,'R5. ETP17 Summary'!$B$12:$B$20,0),MATCH(S$85,'R5. ETP17 Summary'!$C$9:$K$9,0)),"")</f>
        <v>209196.40225715772</v>
      </c>
    </row>
    <row r="130" spans="1:19" x14ac:dyDescent="0.3">
      <c r="A130" s="3" t="s">
        <v>496</v>
      </c>
      <c r="B130" s="3" t="s">
        <v>381</v>
      </c>
      <c r="C130" s="3" t="str">
        <f>INDEX('R1. Scenario specifications'!$C$11:$C$59,MATCH($B130,'R1. Scenario specifications'!$A$11:$A$59,0))</f>
        <v>Reference Technologies Scenario, Energy Technology Perspectives 2017</v>
      </c>
      <c r="D130" s="3" t="s">
        <v>255</v>
      </c>
      <c r="E130" s="3" t="s">
        <v>510</v>
      </c>
      <c r="F130" s="3" t="s">
        <v>482</v>
      </c>
      <c r="G130" s="34">
        <f>IFERROR(INDEX('R5. ETP17 Summary'!$C$12:$K$20,MATCH($E130,'R5. ETP17 Summary'!$B$12:$B$20,0),MATCH(G$85,'R5. ETP17 Summary'!$C$9:$K$9,0)),"")</f>
        <v>121441.43859937201</v>
      </c>
      <c r="H130" s="34" t="str">
        <f>IFERROR(INDEX('R5. ETP17 Summary'!$C$12:$K$20,MATCH($E130,'R5. ETP17 Summary'!$B$12:$B$20,0),MATCH(H$85,'R5. ETP17 Summary'!$C$9:$K$9,0)),"")</f>
        <v/>
      </c>
      <c r="I130" s="34" t="str">
        <f>IFERROR(INDEX('R5. ETP17 Summary'!$C$12:$K$20,MATCH($E130,'R5. ETP17 Summary'!$B$12:$B$20,0),MATCH(I$85,'R5. ETP17 Summary'!$C$9:$K$9,0)),"")</f>
        <v/>
      </c>
      <c r="J130" s="34" t="str">
        <f>IFERROR(INDEX('R5. ETP17 Summary'!$C$12:$K$20,MATCH($E130,'R5. ETP17 Summary'!$B$12:$B$20,0),MATCH(J$85,'R5. ETP17 Summary'!$C$9:$K$9,0)),"")</f>
        <v/>
      </c>
      <c r="K130" s="31">
        <f t="shared" si="8"/>
        <v>134061.2469511767</v>
      </c>
      <c r="L130" s="34">
        <f>IFERROR(INDEX('R5. ETP17 Summary'!$C$12:$K$20,MATCH($E130,'R5. ETP17 Summary'!$B$12:$B$20,0),MATCH(L$85,'R5. ETP17 Summary'!$C$9:$K$9,0)),"")</f>
        <v>144577.75391101392</v>
      </c>
      <c r="M130" s="34">
        <f>IFERROR(INDEX('R5. ETP17 Summary'!$C$12:$K$20,MATCH($E130,'R5. ETP17 Summary'!$B$12:$B$20,0),MATCH(M$85,'R5. ETP17 Summary'!$C$9:$K$9,0)),"")</f>
        <v>157419.5286941051</v>
      </c>
      <c r="N130" s="34">
        <f>IFERROR(INDEX('R5. ETP17 Summary'!$C$12:$K$20,MATCH($E130,'R5. ETP17 Summary'!$B$12:$B$20,0),MATCH(N$85,'R5. ETP17 Summary'!$C$9:$K$9,0)),"")</f>
        <v>166282.21412672359</v>
      </c>
      <c r="O130" s="34">
        <f>IFERROR(INDEX('R5. ETP17 Summary'!$C$12:$K$20,MATCH($E130,'R5. ETP17 Summary'!$B$12:$B$20,0),MATCH(O$85,'R5. ETP17 Summary'!$C$9:$K$9,0)),"")</f>
        <v>173948.88848311218</v>
      </c>
      <c r="P130" s="34">
        <f>IFERROR(INDEX('R5. ETP17 Summary'!$C$12:$K$20,MATCH($E130,'R5. ETP17 Summary'!$B$12:$B$20,0),MATCH(P$85,'R5. ETP17 Summary'!$C$9:$K$9,0)),"")</f>
        <v>180048.62582986552</v>
      </c>
      <c r="Q130" s="34">
        <f>IFERROR(INDEX('R5. ETP17 Summary'!$C$12:$K$20,MATCH($E130,'R5. ETP17 Summary'!$B$12:$B$20,0),MATCH(Q$85,'R5. ETP17 Summary'!$C$9:$K$9,0)),"")</f>
        <v>183911.28735033987</v>
      </c>
      <c r="R130" s="34">
        <f>IFERROR(INDEX('R5. ETP17 Summary'!$C$12:$K$20,MATCH($E130,'R5. ETP17 Summary'!$B$12:$B$20,0),MATCH(R$85,'R5. ETP17 Summary'!$C$9:$K$9,0)),"")</f>
        <v>187024.45700405858</v>
      </c>
      <c r="S130" s="34">
        <f>IFERROR(INDEX('R5. ETP17 Summary'!$C$12:$K$20,MATCH($E130,'R5. ETP17 Summary'!$B$12:$B$20,0),MATCH(S$85,'R5. ETP17 Summary'!$C$9:$K$9,0)),"")</f>
        <v>192620.56225737816</v>
      </c>
    </row>
    <row r="131" spans="1:19" x14ac:dyDescent="0.3">
      <c r="A131" s="3" t="s">
        <v>496</v>
      </c>
      <c r="B131" s="3" t="s">
        <v>381</v>
      </c>
      <c r="C131" s="3" t="str">
        <f>INDEX('R1. Scenario specifications'!$C$11:$C$59,MATCH($B131,'R1. Scenario specifications'!$A$11:$A$59,0))</f>
        <v>Reference Technologies Scenario, Energy Technology Perspectives 2017</v>
      </c>
      <c r="D131" s="3" t="s">
        <v>257</v>
      </c>
      <c r="E131" s="3" t="s">
        <v>257</v>
      </c>
      <c r="F131" s="3" t="s">
        <v>482</v>
      </c>
      <c r="G131" s="34">
        <f>IFERROR(INDEX('R5. ETP17 Summary'!$C$12:$K$20,MATCH($E131,'R5. ETP17 Summary'!$B$12:$B$20,0),MATCH(G$85,'R5. ETP17 Summary'!$C$9:$K$9,0)),"")</f>
        <v>27689.539085172</v>
      </c>
      <c r="H131" s="34" t="str">
        <f>IFERROR(INDEX('R5. ETP17 Summary'!$C$12:$K$20,MATCH($E131,'R5. ETP17 Summary'!$B$12:$B$20,0),MATCH(H$85,'R5. ETP17 Summary'!$C$9:$K$9,0)),"")</f>
        <v/>
      </c>
      <c r="I131" s="34" t="str">
        <f>IFERROR(INDEX('R5. ETP17 Summary'!$C$12:$K$20,MATCH($E131,'R5. ETP17 Summary'!$B$12:$B$20,0),MATCH(I$85,'R5. ETP17 Summary'!$C$9:$K$9,0)),"")</f>
        <v/>
      </c>
      <c r="J131" s="34" t="str">
        <f>IFERROR(INDEX('R5. ETP17 Summary'!$C$12:$K$20,MATCH($E131,'R5. ETP17 Summary'!$B$12:$B$20,0),MATCH(J$85,'R5. ETP17 Summary'!$C$9:$K$9,0)),"")</f>
        <v/>
      </c>
      <c r="K131" s="31">
        <f t="shared" si="8"/>
        <v>31982.42759801928</v>
      </c>
      <c r="L131" s="34">
        <f>IFERROR(INDEX('R5. ETP17 Summary'!$C$12:$K$20,MATCH($E131,'R5. ETP17 Summary'!$B$12:$B$20,0),MATCH(L$85,'R5. ETP17 Summary'!$C$9:$K$9,0)),"")</f>
        <v>35559.834692058677</v>
      </c>
      <c r="M131" s="34">
        <f>IFERROR(INDEX('R5. ETP17 Summary'!$C$12:$K$20,MATCH($E131,'R5. ETP17 Summary'!$B$12:$B$20,0),MATCH(M$85,'R5. ETP17 Summary'!$C$9:$K$9,0)),"")</f>
        <v>40109.492771140474</v>
      </c>
      <c r="N131" s="34">
        <f>IFERROR(INDEX('R5. ETP17 Summary'!$C$12:$K$20,MATCH($E131,'R5. ETP17 Summary'!$B$12:$B$20,0),MATCH(N$85,'R5. ETP17 Summary'!$C$9:$K$9,0)),"")</f>
        <v>42925.410641639719</v>
      </c>
      <c r="O131" s="34">
        <f>IFERROR(INDEX('R5. ETP17 Summary'!$C$12:$K$20,MATCH($E131,'R5. ETP17 Summary'!$B$12:$B$20,0),MATCH(O$85,'R5. ETP17 Summary'!$C$9:$K$9,0)),"")</f>
        <v>46981.144447294035</v>
      </c>
      <c r="P131" s="34">
        <f>IFERROR(INDEX('R5. ETP17 Summary'!$C$12:$K$20,MATCH($E131,'R5. ETP17 Summary'!$B$12:$B$20,0),MATCH(P$85,'R5. ETP17 Summary'!$C$9:$K$9,0)),"")</f>
        <v>50750.410685106501</v>
      </c>
      <c r="Q131" s="34">
        <f>IFERROR(INDEX('R5. ETP17 Summary'!$C$12:$K$20,MATCH($E131,'R5. ETP17 Summary'!$B$12:$B$20,0),MATCH(Q$85,'R5. ETP17 Summary'!$C$9:$K$9,0)),"")</f>
        <v>53282.656124829373</v>
      </c>
      <c r="R131" s="34">
        <f>IFERROR(INDEX('R5. ETP17 Summary'!$C$12:$K$20,MATCH($E131,'R5. ETP17 Summary'!$B$12:$B$20,0),MATCH(R$85,'R5. ETP17 Summary'!$C$9:$K$9,0)),"")</f>
        <v>55836.112650556701</v>
      </c>
      <c r="S131" s="34">
        <f>IFERROR(INDEX('R5. ETP17 Summary'!$C$12:$K$20,MATCH($E131,'R5. ETP17 Summary'!$B$12:$B$20,0),MATCH(S$85,'R5. ETP17 Summary'!$C$9:$K$9,0)),"")</f>
        <v>57499.270485224159</v>
      </c>
    </row>
    <row r="132" spans="1:19" x14ac:dyDescent="0.3">
      <c r="A132" s="3" t="s">
        <v>496</v>
      </c>
      <c r="B132" s="3" t="s">
        <v>381</v>
      </c>
      <c r="C132" s="3" t="str">
        <f>INDEX('R1. Scenario specifications'!$C$11:$C$59,MATCH($B132,'R1. Scenario specifications'!$A$11:$A$59,0))</f>
        <v>Reference Technologies Scenario, Energy Technology Perspectives 2017</v>
      </c>
      <c r="D132" s="3" t="s">
        <v>256</v>
      </c>
      <c r="E132" s="3" t="s">
        <v>256</v>
      </c>
      <c r="F132" s="3" t="s">
        <v>482</v>
      </c>
      <c r="G132" s="34">
        <f>IFERROR(INDEX('R5. ETP17 Summary'!$C$12:$K$20,MATCH($E132,'R5. ETP17 Summary'!$B$12:$B$20,0),MATCH(G$85,'R5. ETP17 Summary'!$C$9:$K$9,0)),"")</f>
        <v>14023.472570784001</v>
      </c>
      <c r="H132" s="34" t="str">
        <f>IFERROR(INDEX('R5. ETP17 Summary'!$C$12:$K$20,MATCH($E132,'R5. ETP17 Summary'!$B$12:$B$20,0),MATCH(H$85,'R5. ETP17 Summary'!$C$9:$K$9,0)),"")</f>
        <v/>
      </c>
      <c r="I132" s="34" t="str">
        <f>IFERROR(INDEX('R5. ETP17 Summary'!$C$12:$K$20,MATCH($E132,'R5. ETP17 Summary'!$B$12:$B$20,0),MATCH(I$85,'R5. ETP17 Summary'!$C$9:$K$9,0)),"")</f>
        <v/>
      </c>
      <c r="J132" s="34" t="str">
        <f>IFERROR(INDEX('R5. ETP17 Summary'!$C$12:$K$20,MATCH($E132,'R5. ETP17 Summary'!$B$12:$B$20,0),MATCH(J$85,'R5. ETP17 Summary'!$C$9:$K$9,0)),"")</f>
        <v/>
      </c>
      <c r="K132" s="31">
        <f t="shared" si="8"/>
        <v>16074.749520297477</v>
      </c>
      <c r="L132" s="34">
        <f>IFERROR(INDEX('R5. ETP17 Summary'!$C$12:$K$20,MATCH($E132,'R5. ETP17 Summary'!$B$12:$B$20,0),MATCH(L$85,'R5. ETP17 Summary'!$C$9:$K$9,0)),"")</f>
        <v>17784.146978225373</v>
      </c>
      <c r="M132" s="34">
        <f>IFERROR(INDEX('R5. ETP17 Summary'!$C$12:$K$20,MATCH($E132,'R5. ETP17 Summary'!$B$12:$B$20,0),MATCH(M$85,'R5. ETP17 Summary'!$C$9:$K$9,0)),"")</f>
        <v>19521.346344109013</v>
      </c>
      <c r="N132" s="34">
        <f>IFERROR(INDEX('R5. ETP17 Summary'!$C$12:$K$20,MATCH($E132,'R5. ETP17 Summary'!$B$12:$B$20,0),MATCH(N$85,'R5. ETP17 Summary'!$C$9:$K$9,0)),"")</f>
        <v>21125.119611584454</v>
      </c>
      <c r="O132" s="34">
        <f>IFERROR(INDEX('R5. ETP17 Summary'!$C$12:$K$20,MATCH($E132,'R5. ETP17 Summary'!$B$12:$B$20,0),MATCH(O$85,'R5. ETP17 Summary'!$C$9:$K$9,0)),"")</f>
        <v>22542.7240900408</v>
      </c>
      <c r="P132" s="34">
        <f>IFERROR(INDEX('R5. ETP17 Summary'!$C$12:$K$20,MATCH($E132,'R5. ETP17 Summary'!$B$12:$B$20,0),MATCH(P$85,'R5. ETP17 Summary'!$C$9:$K$9,0)),"")</f>
        <v>23937.910411058459</v>
      </c>
      <c r="Q132" s="34">
        <f>IFERROR(INDEX('R5. ETP17 Summary'!$C$12:$K$20,MATCH($E132,'R5. ETP17 Summary'!$B$12:$B$20,0),MATCH(Q$85,'R5. ETP17 Summary'!$C$9:$K$9,0)),"")</f>
        <v>25336.098934741171</v>
      </c>
      <c r="R132" s="34">
        <f>IFERROR(INDEX('R5. ETP17 Summary'!$C$12:$K$20,MATCH($E132,'R5. ETP17 Summary'!$B$12:$B$20,0),MATCH(R$85,'R5. ETP17 Summary'!$C$9:$K$9,0)),"")</f>
        <v>26751.550271835698</v>
      </c>
      <c r="S132" s="34">
        <f>IFERROR(INDEX('R5. ETP17 Summary'!$C$12:$K$20,MATCH($E132,'R5. ETP17 Summary'!$B$12:$B$20,0),MATCH(S$85,'R5. ETP17 Summary'!$C$9:$K$9,0)),"")</f>
        <v>28212.558083921995</v>
      </c>
    </row>
    <row r="133" spans="1:19" x14ac:dyDescent="0.3">
      <c r="A133" s="3" t="s">
        <v>496</v>
      </c>
      <c r="B133" s="3" t="s">
        <v>381</v>
      </c>
      <c r="C133" s="3" t="str">
        <f>INDEX('R1. Scenario specifications'!$C$11:$C$59,MATCH($B133,'R1. Scenario specifications'!$A$11:$A$59,0))</f>
        <v>Reference Technologies Scenario, Energy Technology Perspectives 2017</v>
      </c>
      <c r="D133" s="3" t="s">
        <v>253</v>
      </c>
      <c r="E133" s="3" t="s">
        <v>512</v>
      </c>
      <c r="F133" s="3" t="s">
        <v>482</v>
      </c>
      <c r="G133" s="34">
        <f>IFERROR(INDEX('R5. ETP17 Summary'!$C$12:$K$20,MATCH($E133,'R5. ETP17 Summary'!$B$12:$B$20,0),MATCH(G$85,'R5. ETP17 Summary'!$C$9:$K$9,0)),"")</f>
        <v>54727.207129212009</v>
      </c>
      <c r="H133" s="34" t="str">
        <f>IFERROR(INDEX('R5. ETP17 Summary'!$C$12:$K$20,MATCH($E133,'R5. ETP17 Summary'!$B$12:$B$20,0),MATCH(H$85,'R5. ETP17 Summary'!$C$9:$K$9,0)),"")</f>
        <v/>
      </c>
      <c r="I133" s="34" t="str">
        <f>IFERROR(INDEX('R5. ETP17 Summary'!$C$12:$K$20,MATCH($E133,'R5. ETP17 Summary'!$B$12:$B$20,0),MATCH(I$85,'R5. ETP17 Summary'!$C$9:$K$9,0)),"")</f>
        <v/>
      </c>
      <c r="J133" s="34" t="str">
        <f>IFERROR(INDEX('R5. ETP17 Summary'!$C$12:$K$20,MATCH($E133,'R5. ETP17 Summary'!$B$12:$B$20,0),MATCH(J$85,'R5. ETP17 Summary'!$C$9:$K$9,0)),"")</f>
        <v/>
      </c>
      <c r="K133" s="31">
        <f t="shared" si="8"/>
        <v>63329.516406807663</v>
      </c>
      <c r="L133" s="34">
        <f>IFERROR(INDEX('R5. ETP17 Summary'!$C$12:$K$20,MATCH($E133,'R5. ETP17 Summary'!$B$12:$B$20,0),MATCH(L$85,'R5. ETP17 Summary'!$C$9:$K$9,0)),"")</f>
        <v>70498.107471470707</v>
      </c>
      <c r="M133" s="34">
        <f>IFERROR(INDEX('R5. ETP17 Summary'!$C$12:$K$20,MATCH($E133,'R5. ETP17 Summary'!$B$12:$B$20,0),MATCH(M$85,'R5. ETP17 Summary'!$C$9:$K$9,0)),"")</f>
        <v>74552.475154914529</v>
      </c>
      <c r="N133" s="34">
        <f>IFERROR(INDEX('R5. ETP17 Summary'!$C$12:$K$20,MATCH($E133,'R5. ETP17 Summary'!$B$12:$B$20,0),MATCH(N$85,'R5. ETP17 Summary'!$C$9:$K$9,0)),"")</f>
        <v>79723.447504423792</v>
      </c>
      <c r="O133" s="34">
        <f>IFERROR(INDEX('R5. ETP17 Summary'!$C$12:$K$20,MATCH($E133,'R5. ETP17 Summary'!$B$12:$B$20,0),MATCH(O$85,'R5. ETP17 Summary'!$C$9:$K$9,0)),"")</f>
        <v>84595.559668756963</v>
      </c>
      <c r="P133" s="34">
        <f>IFERROR(INDEX('R5. ETP17 Summary'!$C$12:$K$20,MATCH($E133,'R5. ETP17 Summary'!$B$12:$B$20,0),MATCH(P$85,'R5. ETP17 Summary'!$C$9:$K$9,0)),"")</f>
        <v>88714.934143848994</v>
      </c>
      <c r="Q133" s="34">
        <f>IFERROR(INDEX('R5. ETP17 Summary'!$C$12:$K$20,MATCH($E133,'R5. ETP17 Summary'!$B$12:$B$20,0),MATCH(Q$85,'R5. ETP17 Summary'!$C$9:$K$9,0)),"")</f>
        <v>92911.455462889993</v>
      </c>
      <c r="R133" s="34">
        <f>IFERROR(INDEX('R5. ETP17 Summary'!$C$12:$K$20,MATCH($E133,'R5. ETP17 Summary'!$B$12:$B$20,0),MATCH(R$85,'R5. ETP17 Summary'!$C$9:$K$9,0)),"")</f>
        <v>96734.258713914533</v>
      </c>
      <c r="S133" s="34">
        <f>IFERROR(INDEX('R5. ETP17 Summary'!$C$12:$K$20,MATCH($E133,'R5. ETP17 Summary'!$B$12:$B$20,0),MATCH(S$85,'R5. ETP17 Summary'!$C$9:$K$9,0)),"")</f>
        <v>98896.254567430544</v>
      </c>
    </row>
    <row r="134" spans="1:19" x14ac:dyDescent="0.3">
      <c r="A134" s="3" t="s">
        <v>496</v>
      </c>
      <c r="B134" s="39" t="s">
        <v>381</v>
      </c>
      <c r="C134" s="39" t="str">
        <f>INDEX('R1. Scenario specifications'!$C$11:$C$59,MATCH($B134,'R1. Scenario specifications'!$A$11:$A$59,0))</f>
        <v>Reference Technologies Scenario, Energy Technology Perspectives 2017</v>
      </c>
      <c r="D134" s="39" t="s">
        <v>461</v>
      </c>
      <c r="E134" s="39" t="s">
        <v>258</v>
      </c>
      <c r="F134" s="39" t="s">
        <v>482</v>
      </c>
      <c r="G134" s="52">
        <f>IFERROR(INDEX('R5. ETP17 Summary'!$C$12:$K$20,MATCH($E134,'R5. ETP17 Summary'!$B$12:$B$20,0),MATCH(G$85,'R5. ETP17 Summary'!$C$9:$K$9,0)),"")</f>
        <v>7768.6318090440009</v>
      </c>
      <c r="H134" s="52" t="str">
        <f>IFERROR(INDEX('R5. ETP17 Summary'!$C$12:$K$20,MATCH($E134,'R5. ETP17 Summary'!$B$12:$B$20,0),MATCH(H$85,'R5. ETP17 Summary'!$C$9:$K$9,0)),"")</f>
        <v/>
      </c>
      <c r="I134" s="52" t="str">
        <f>IFERROR(INDEX('R5. ETP17 Summary'!$C$12:$K$20,MATCH($E134,'R5. ETP17 Summary'!$B$12:$B$20,0),MATCH(I$85,'R5. ETP17 Summary'!$C$9:$K$9,0)),"")</f>
        <v/>
      </c>
      <c r="J134" s="52" t="str">
        <f>IFERROR(INDEX('R5. ETP17 Summary'!$C$12:$K$20,MATCH($E134,'R5. ETP17 Summary'!$B$12:$B$20,0),MATCH(J$85,'R5. ETP17 Summary'!$C$9:$K$9,0)),"")</f>
        <v/>
      </c>
      <c r="K134" s="40">
        <f t="shared" si="8"/>
        <v>15167.484074857288</v>
      </c>
      <c r="L134" s="52">
        <f>IFERROR(INDEX('R5. ETP17 Summary'!$C$12:$K$20,MATCH($E134,'R5. ETP17 Summary'!$B$12:$B$20,0),MATCH(L$85,'R5. ETP17 Summary'!$C$9:$K$9,0)),"")</f>
        <v>21333.194296368361</v>
      </c>
      <c r="M134" s="52">
        <f>IFERROR(INDEX('R5. ETP17 Summary'!$C$12:$K$20,MATCH($E134,'R5. ETP17 Summary'!$B$12:$B$20,0),MATCH(M$85,'R5. ETP17 Summary'!$C$9:$K$9,0)),"")</f>
        <v>28996.761728250171</v>
      </c>
      <c r="N134" s="52">
        <f>IFERROR(INDEX('R5. ETP17 Summary'!$C$12:$K$20,MATCH($E134,'R5. ETP17 Summary'!$B$12:$B$20,0),MATCH(N$85,'R5. ETP17 Summary'!$C$9:$K$9,0)),"")</f>
        <v>38110.273112632582</v>
      </c>
      <c r="O134" s="52">
        <f>IFERROR(INDEX('R5. ETP17 Summary'!$C$12:$K$20,MATCH($E134,'R5. ETP17 Summary'!$B$12:$B$20,0),MATCH(O$85,'R5. ETP17 Summary'!$C$9:$K$9,0)),"")</f>
        <v>47899.020655953034</v>
      </c>
      <c r="P134" s="52">
        <f>IFERROR(INDEX('R5. ETP17 Summary'!$C$12:$K$20,MATCH($E134,'R5. ETP17 Summary'!$B$12:$B$20,0),MATCH(P$85,'R5. ETP17 Summary'!$C$9:$K$9,0)),"")</f>
        <v>57896.54673278574</v>
      </c>
      <c r="Q134" s="52">
        <f>IFERROR(INDEX('R5. ETP17 Summary'!$C$12:$K$20,MATCH($E134,'R5. ETP17 Summary'!$B$12:$B$20,0),MATCH(Q$85,'R5. ETP17 Summary'!$C$9:$K$9,0)),"")</f>
        <v>69303.266971006233</v>
      </c>
      <c r="R134" s="52">
        <f>IFERROR(INDEX('R5. ETP17 Summary'!$C$12:$K$20,MATCH($E134,'R5. ETP17 Summary'!$B$12:$B$20,0),MATCH(R$85,'R5. ETP17 Summary'!$C$9:$K$9,0)),"")</f>
        <v>81434.20416997993</v>
      </c>
      <c r="S134" s="52">
        <f>IFERROR(INDEX('R5. ETP17 Summary'!$C$12:$K$20,MATCH($E134,'R5. ETP17 Summary'!$B$12:$B$20,0),MATCH(S$85,'R5. ETP17 Summary'!$C$9:$K$9,0)),"")</f>
        <v>93232.719014700997</v>
      </c>
    </row>
    <row r="135" spans="1:19" x14ac:dyDescent="0.3">
      <c r="A135" s="3" t="s">
        <v>496</v>
      </c>
      <c r="B135" s="3" t="s">
        <v>382</v>
      </c>
      <c r="C135" s="3" t="str">
        <f>INDEX('R1. Scenario specifications'!$C$11:$C$59,MATCH($B135,'R1. Scenario specifications'!$A$11:$A$59,0))</f>
        <v>2 Degrees Scenario, Energy Technology Perspectives 2017</v>
      </c>
      <c r="D135" s="3" t="s">
        <v>254</v>
      </c>
      <c r="E135" s="3" t="s">
        <v>254</v>
      </c>
      <c r="F135" s="3" t="s">
        <v>482</v>
      </c>
      <c r="G135" s="34">
        <f>IFERROR(INDEX('R5. ETP17 Summary'!$P$12:$X$20,MATCH($E135,'R5. ETP17 Summary'!$O$12:$O$20,0),MATCH(G$85,'R5. ETP17 Summary'!$P$9:$X$9,0)),"")</f>
        <v>163853.62994548801</v>
      </c>
      <c r="H135" s="34" t="str">
        <f>IFERROR(INDEX('R5. ETP17 Summary'!$P$12:$X$20,MATCH($E135,'R5. ETP17 Summary'!$O$12:$O$20,0),MATCH(H$85,'R5. ETP17 Summary'!$P$9:$X$9,0)),"")</f>
        <v/>
      </c>
      <c r="I135" s="34" t="str">
        <f>IFERROR(INDEX('R5. ETP17 Summary'!$P$12:$X$20,MATCH($E135,'R5. ETP17 Summary'!$O$12:$O$20,0),MATCH(I$85,'R5. ETP17 Summary'!$P$9:$X$9,0)),"")</f>
        <v/>
      </c>
      <c r="J135" s="34" t="str">
        <f>IFERROR(INDEX('R5. ETP17 Summary'!$P$12:$X$20,MATCH($E135,'R5. ETP17 Summary'!$O$12:$O$20,0),MATCH(J$85,'R5. ETP17 Summary'!$P$9:$X$9,0)),"")</f>
        <v/>
      </c>
      <c r="K135" s="31">
        <f t="shared" si="8"/>
        <v>141485.18798279564</v>
      </c>
      <c r="L135" s="34">
        <f>IFERROR(INDEX('R5. ETP17 Summary'!$P$12:$X$20,MATCH($E135,'R5. ETP17 Summary'!$O$12:$O$20,0),MATCH(L$85,'R5. ETP17 Summary'!$P$9:$X$9,0)),"")</f>
        <v>122844.819680552</v>
      </c>
      <c r="M135" s="34">
        <f>IFERROR(INDEX('R5. ETP17 Summary'!$P$12:$X$20,MATCH($E135,'R5. ETP17 Summary'!$O$12:$O$20,0),MATCH(M$85,'R5. ETP17 Summary'!$P$9:$X$9,0)),"")</f>
        <v>95650.103712068187</v>
      </c>
      <c r="N135" s="34">
        <f>IFERROR(INDEX('R5. ETP17 Summary'!$P$12:$X$20,MATCH($E135,'R5. ETP17 Summary'!$O$12:$O$20,0),MATCH(N$85,'R5. ETP17 Summary'!$P$9:$X$9,0)),"")</f>
        <v>74734.938721281811</v>
      </c>
      <c r="O135" s="34">
        <f>IFERROR(INDEX('R5. ETP17 Summary'!$P$12:$X$20,MATCH($E135,'R5. ETP17 Summary'!$O$12:$O$20,0),MATCH(O$85,'R5. ETP17 Summary'!$P$9:$X$9,0)),"")</f>
        <v>65415.479524564296</v>
      </c>
      <c r="P135" s="34">
        <f>IFERROR(INDEX('R5. ETP17 Summary'!$P$12:$X$20,MATCH($E135,'R5. ETP17 Summary'!$O$12:$O$20,0),MATCH(P$85,'R5. ETP17 Summary'!$P$9:$X$9,0)),"")</f>
        <v>59165.461950682948</v>
      </c>
      <c r="Q135" s="34">
        <f>IFERROR(INDEX('R5. ETP17 Summary'!$P$12:$X$20,MATCH($E135,'R5. ETP17 Summary'!$O$12:$O$20,0),MATCH(Q$85,'R5. ETP17 Summary'!$P$9:$X$9,0)),"")</f>
        <v>53245.511661229037</v>
      </c>
      <c r="R135" s="34">
        <f>IFERROR(INDEX('R5. ETP17 Summary'!$P$12:$X$20,MATCH($E135,'R5. ETP17 Summary'!$O$12:$O$20,0),MATCH(R$85,'R5. ETP17 Summary'!$P$9:$X$9,0)),"")</f>
        <v>47716.862127264991</v>
      </c>
      <c r="S135" s="34">
        <f>IFERROR(INDEX('R5. ETP17 Summary'!$P$12:$X$20,MATCH($E135,'R5. ETP17 Summary'!$O$12:$O$20,0),MATCH(S$85,'R5. ETP17 Summary'!$P$9:$X$9,0)),"")</f>
        <v>45820.557046194997</v>
      </c>
    </row>
    <row r="136" spans="1:19" x14ac:dyDescent="0.3">
      <c r="A136" s="3" t="s">
        <v>496</v>
      </c>
      <c r="B136" s="3" t="s">
        <v>382</v>
      </c>
      <c r="C136" s="3" t="str">
        <f>INDEX('R1. Scenario specifications'!$C$11:$C$59,MATCH($B136,'R1. Scenario specifications'!$A$11:$A$59,0))</f>
        <v>2 Degrees Scenario, Energy Technology Perspectives 2017</v>
      </c>
      <c r="D136" s="3" t="s">
        <v>266</v>
      </c>
      <c r="E136" s="3" t="s">
        <v>266</v>
      </c>
      <c r="F136" s="3" t="s">
        <v>482</v>
      </c>
      <c r="G136" s="34">
        <f>IFERROR(INDEX('R5. ETP17 Summary'!$P$12:$X$20,MATCH($E136,'R5. ETP17 Summary'!$O$12:$O$20,0),MATCH(G$85,'R5. ETP17 Summary'!$P$9:$X$9,0)),"")</f>
        <v>179603.77400539213</v>
      </c>
      <c r="H136" s="34" t="str">
        <f>IFERROR(INDEX('R5. ETP17 Summary'!$P$12:$X$20,MATCH($E136,'R5. ETP17 Summary'!$O$12:$O$20,0),MATCH(H$85,'R5. ETP17 Summary'!$P$9:$X$9,0)),"")</f>
        <v/>
      </c>
      <c r="I136" s="34" t="str">
        <f>IFERROR(INDEX('R5. ETP17 Summary'!$P$12:$X$20,MATCH($E136,'R5. ETP17 Summary'!$O$12:$O$20,0),MATCH(I$85,'R5. ETP17 Summary'!$P$9:$X$9,0)),"")</f>
        <v/>
      </c>
      <c r="J136" s="34" t="str">
        <f>IFERROR(INDEX('R5. ETP17 Summary'!$P$12:$X$20,MATCH($E136,'R5. ETP17 Summary'!$O$12:$O$20,0),MATCH(J$85,'R5. ETP17 Summary'!$P$9:$X$9,0)),"")</f>
        <v/>
      </c>
      <c r="K136" s="31">
        <f t="shared" si="8"/>
        <v>173200.28108051373</v>
      </c>
      <c r="L136" s="34">
        <f>IFERROR(INDEX('R5. ETP17 Summary'!$P$12:$X$20,MATCH($E136,'R5. ETP17 Summary'!$O$12:$O$20,0),MATCH(L$85,'R5. ETP17 Summary'!$P$9:$X$9,0)),"")</f>
        <v>167864.03697644838</v>
      </c>
      <c r="M136" s="34">
        <f>IFERROR(INDEX('R5. ETP17 Summary'!$P$12:$X$20,MATCH($E136,'R5. ETP17 Summary'!$O$12:$O$20,0),MATCH(M$85,'R5. ETP17 Summary'!$P$9:$X$9,0)),"")</f>
        <v>159317.83188446047</v>
      </c>
      <c r="N136" s="34">
        <f>IFERROR(INDEX('R5. ETP17 Summary'!$P$12:$X$20,MATCH($E136,'R5. ETP17 Summary'!$O$12:$O$20,0),MATCH(N$85,'R5. ETP17 Summary'!$P$9:$X$9,0)),"")</f>
        <v>149561.8957778312</v>
      </c>
      <c r="O136" s="34">
        <f>IFERROR(INDEX('R5. ETP17 Summary'!$P$12:$X$20,MATCH($E136,'R5. ETP17 Summary'!$O$12:$O$20,0),MATCH(O$85,'R5. ETP17 Summary'!$P$9:$X$9,0)),"")</f>
        <v>139519.10689064197</v>
      </c>
      <c r="P136" s="34">
        <f>IFERROR(INDEX('R5. ETP17 Summary'!$P$12:$X$20,MATCH($E136,'R5. ETP17 Summary'!$O$12:$O$20,0),MATCH(P$85,'R5. ETP17 Summary'!$P$9:$X$9,0)),"")</f>
        <v>127418.18993457334</v>
      </c>
      <c r="Q136" s="34">
        <f>IFERROR(INDEX('R5. ETP17 Summary'!$P$12:$X$20,MATCH($E136,'R5. ETP17 Summary'!$O$12:$O$20,0),MATCH(Q$85,'R5. ETP17 Summary'!$P$9:$X$9,0)),"")</f>
        <v>115684.21404773994</v>
      </c>
      <c r="R136" s="34">
        <f>IFERROR(INDEX('R5. ETP17 Summary'!$P$12:$X$20,MATCH($E136,'R5. ETP17 Summary'!$O$12:$O$20,0),MATCH(R$85,'R5. ETP17 Summary'!$P$9:$X$9,0)),"")</f>
        <v>105528.41620285725</v>
      </c>
      <c r="S136" s="34">
        <f>IFERROR(INDEX('R5. ETP17 Summary'!$P$12:$X$20,MATCH($E136,'R5. ETP17 Summary'!$O$12:$O$20,0),MATCH(S$85,'R5. ETP17 Summary'!$P$9:$X$9,0)),"")</f>
        <v>98920.465937812871</v>
      </c>
    </row>
    <row r="137" spans="1:19" x14ac:dyDescent="0.3">
      <c r="A137" s="3" t="s">
        <v>496</v>
      </c>
      <c r="B137" s="3" t="s">
        <v>382</v>
      </c>
      <c r="C137" s="3" t="str">
        <f>INDEX('R1. Scenario specifications'!$C$11:$C$59,MATCH($B137,'R1. Scenario specifications'!$A$11:$A$59,0))</f>
        <v>2 Degrees Scenario, Energy Technology Perspectives 2017</v>
      </c>
      <c r="D137" s="3" t="s">
        <v>255</v>
      </c>
      <c r="E137" s="3" t="s">
        <v>510</v>
      </c>
      <c r="F137" s="3" t="s">
        <v>482</v>
      </c>
      <c r="G137" s="34">
        <f>IFERROR(INDEX('R5. ETP17 Summary'!$P$12:$X$20,MATCH($E137,'R5. ETP17 Summary'!$O$12:$O$20,0),MATCH(G$85,'R5. ETP17 Summary'!$P$9:$X$9,0)),"")</f>
        <v>121441.43859937201</v>
      </c>
      <c r="H137" s="34" t="str">
        <f>IFERROR(INDEX('R5. ETP17 Summary'!$P$12:$X$20,MATCH($E137,'R5. ETP17 Summary'!$O$12:$O$20,0),MATCH(H$85,'R5. ETP17 Summary'!$P$9:$X$9,0)),"")</f>
        <v/>
      </c>
      <c r="I137" s="34" t="str">
        <f>IFERROR(INDEX('R5. ETP17 Summary'!$P$12:$X$20,MATCH($E137,'R5. ETP17 Summary'!$O$12:$O$20,0),MATCH(I$85,'R5. ETP17 Summary'!$P$9:$X$9,0)),"")</f>
        <v/>
      </c>
      <c r="J137" s="34" t="str">
        <f>IFERROR(INDEX('R5. ETP17 Summary'!$P$12:$X$20,MATCH($E137,'R5. ETP17 Summary'!$O$12:$O$20,0),MATCH(J$85,'R5. ETP17 Summary'!$P$9:$X$9,0)),"")</f>
        <v/>
      </c>
      <c r="K137" s="31">
        <f t="shared" si="8"/>
        <v>130428.26178044887</v>
      </c>
      <c r="L137" s="34">
        <f>IFERROR(INDEX('R5. ETP17 Summary'!$P$12:$X$20,MATCH($E137,'R5. ETP17 Summary'!$O$12:$O$20,0),MATCH(L$85,'R5. ETP17 Summary'!$P$9:$X$9,0)),"")</f>
        <v>137917.28109801293</v>
      </c>
      <c r="M137" s="34">
        <f>IFERROR(INDEX('R5. ETP17 Summary'!$P$12:$X$20,MATCH($E137,'R5. ETP17 Summary'!$O$12:$O$20,0),MATCH(M$85,'R5. ETP17 Summary'!$P$9:$X$9,0)),"")</f>
        <v>132421.50137990084</v>
      </c>
      <c r="N137" s="34">
        <f>IFERROR(INDEX('R5. ETP17 Summary'!$P$12:$X$20,MATCH($E137,'R5. ETP17 Summary'!$O$12:$O$20,0),MATCH(N$85,'R5. ETP17 Summary'!$P$9:$X$9,0)),"")</f>
        <v>128263.13988867433</v>
      </c>
      <c r="O137" s="34">
        <f>IFERROR(INDEX('R5. ETP17 Summary'!$P$12:$X$20,MATCH($E137,'R5. ETP17 Summary'!$O$12:$O$20,0),MATCH(O$85,'R5. ETP17 Summary'!$P$9:$X$9,0)),"")</f>
        <v>119025.19212680159</v>
      </c>
      <c r="P137" s="34">
        <f>IFERROR(INDEX('R5. ETP17 Summary'!$P$12:$X$20,MATCH($E137,'R5. ETP17 Summary'!$O$12:$O$20,0),MATCH(P$85,'R5. ETP17 Summary'!$P$9:$X$9,0)),"")</f>
        <v>109298.67364155094</v>
      </c>
      <c r="Q137" s="34">
        <f>IFERROR(INDEX('R5. ETP17 Summary'!$P$12:$X$20,MATCH($E137,'R5. ETP17 Summary'!$O$12:$O$20,0),MATCH(Q$85,'R5. ETP17 Summary'!$P$9:$X$9,0)),"")</f>
        <v>100303.98266473763</v>
      </c>
      <c r="R137" s="34">
        <f>IFERROR(INDEX('R5. ETP17 Summary'!$P$12:$X$20,MATCH($E137,'R5. ETP17 Summary'!$O$12:$O$20,0),MATCH(R$85,'R5. ETP17 Summary'!$P$9:$X$9,0)),"")</f>
        <v>97401.100895329844</v>
      </c>
      <c r="S137" s="34">
        <f>IFERROR(INDEX('R5. ETP17 Summary'!$P$12:$X$20,MATCH($E137,'R5. ETP17 Summary'!$O$12:$O$20,0),MATCH(S$85,'R5. ETP17 Summary'!$P$9:$X$9,0)),"")</f>
        <v>89561.589590119635</v>
      </c>
    </row>
    <row r="138" spans="1:19" x14ac:dyDescent="0.3">
      <c r="A138" s="3" t="s">
        <v>496</v>
      </c>
      <c r="B138" s="3" t="s">
        <v>382</v>
      </c>
      <c r="C138" s="3" t="str">
        <f>INDEX('R1. Scenario specifications'!$C$11:$C$59,MATCH($B138,'R1. Scenario specifications'!$A$11:$A$59,0))</f>
        <v>2 Degrees Scenario, Energy Technology Perspectives 2017</v>
      </c>
      <c r="D138" s="3" t="s">
        <v>257</v>
      </c>
      <c r="E138" s="3" t="s">
        <v>257</v>
      </c>
      <c r="F138" s="3" t="s">
        <v>482</v>
      </c>
      <c r="G138" s="34">
        <f>IFERROR(INDEX('R5. ETP17 Summary'!$P$12:$X$20,MATCH($E138,'R5. ETP17 Summary'!$O$12:$O$20,0),MATCH(G$85,'R5. ETP17 Summary'!$P$9:$X$9,0)),"")</f>
        <v>27689.539085172</v>
      </c>
      <c r="H138" s="34" t="str">
        <f>IFERROR(INDEX('R5. ETP17 Summary'!$P$12:$X$20,MATCH($E138,'R5. ETP17 Summary'!$O$12:$O$20,0),MATCH(H$85,'R5. ETP17 Summary'!$P$9:$X$9,0)),"")</f>
        <v/>
      </c>
      <c r="I138" s="34" t="str">
        <f>IFERROR(INDEX('R5. ETP17 Summary'!$P$12:$X$20,MATCH($E138,'R5. ETP17 Summary'!$O$12:$O$20,0),MATCH(I$85,'R5. ETP17 Summary'!$P$9:$X$9,0)),"")</f>
        <v/>
      </c>
      <c r="J138" s="34" t="str">
        <f>IFERROR(INDEX('R5. ETP17 Summary'!$P$12:$X$20,MATCH($E138,'R5. ETP17 Summary'!$O$12:$O$20,0),MATCH(J$85,'R5. ETP17 Summary'!$P$9:$X$9,0)),"")</f>
        <v/>
      </c>
      <c r="K138" s="31">
        <f t="shared" si="8"/>
        <v>33611.489844121767</v>
      </c>
      <c r="L138" s="34">
        <f>IFERROR(INDEX('R5. ETP17 Summary'!$P$12:$X$20,MATCH($E138,'R5. ETP17 Summary'!$O$12:$O$20,0),MATCH(L$85,'R5. ETP17 Summary'!$P$9:$X$9,0)),"")</f>
        <v>38546.448809913236</v>
      </c>
      <c r="M138" s="34">
        <f>IFERROR(INDEX('R5. ETP17 Summary'!$P$12:$X$20,MATCH($E138,'R5. ETP17 Summary'!$O$12:$O$20,0),MATCH(M$85,'R5. ETP17 Summary'!$P$9:$X$9,0)),"")</f>
        <v>49502.93176789557</v>
      </c>
      <c r="N138" s="34">
        <f>IFERROR(INDEX('R5. ETP17 Summary'!$P$12:$X$20,MATCH($E138,'R5. ETP17 Summary'!$O$12:$O$20,0),MATCH(N$85,'R5. ETP17 Summary'!$P$9:$X$9,0)),"")</f>
        <v>57073.001358530848</v>
      </c>
      <c r="O138" s="34">
        <f>IFERROR(INDEX('R5. ETP17 Summary'!$P$12:$X$20,MATCH($E138,'R5. ETP17 Summary'!$O$12:$O$20,0),MATCH(O$85,'R5. ETP17 Summary'!$P$9:$X$9,0)),"")</f>
        <v>64864.445191910199</v>
      </c>
      <c r="P138" s="34">
        <f>IFERROR(INDEX('R5. ETP17 Summary'!$P$12:$X$20,MATCH($E138,'R5. ETP17 Summary'!$O$12:$O$20,0),MATCH(P$85,'R5. ETP17 Summary'!$P$9:$X$9,0)),"")</f>
        <v>71415.511127106671</v>
      </c>
      <c r="Q138" s="34">
        <f>IFERROR(INDEX('R5. ETP17 Summary'!$P$12:$X$20,MATCH($E138,'R5. ETP17 Summary'!$O$12:$O$20,0),MATCH(Q$85,'R5. ETP17 Summary'!$P$9:$X$9,0)),"")</f>
        <v>74891.155226192335</v>
      </c>
      <c r="R138" s="34">
        <f>IFERROR(INDEX('R5. ETP17 Summary'!$P$12:$X$20,MATCH($E138,'R5. ETP17 Summary'!$O$12:$O$20,0),MATCH(R$85,'R5. ETP17 Summary'!$P$9:$X$9,0)),"")</f>
        <v>79207.159444320409</v>
      </c>
      <c r="S138" s="34">
        <f>IFERROR(INDEX('R5. ETP17 Summary'!$P$12:$X$20,MATCH($E138,'R5. ETP17 Summary'!$O$12:$O$20,0),MATCH(S$85,'R5. ETP17 Summary'!$P$9:$X$9,0)),"")</f>
        <v>82089.032242507819</v>
      </c>
    </row>
    <row r="139" spans="1:19" x14ac:dyDescent="0.3">
      <c r="A139" s="3" t="s">
        <v>496</v>
      </c>
      <c r="B139" s="3" t="s">
        <v>382</v>
      </c>
      <c r="C139" s="3" t="str">
        <f>INDEX('R1. Scenario specifications'!$C$11:$C$59,MATCH($B139,'R1. Scenario specifications'!$A$11:$A$59,0))</f>
        <v>2 Degrees Scenario, Energy Technology Perspectives 2017</v>
      </c>
      <c r="D139" s="3" t="s">
        <v>256</v>
      </c>
      <c r="E139" s="3" t="s">
        <v>256</v>
      </c>
      <c r="F139" s="3" t="s">
        <v>482</v>
      </c>
      <c r="G139" s="34">
        <f>IFERROR(INDEX('R5. ETP17 Summary'!$P$12:$X$20,MATCH($E139,'R5. ETP17 Summary'!$O$12:$O$20,0),MATCH(G$85,'R5. ETP17 Summary'!$P$9:$X$9,0)),"")</f>
        <v>14023.472570784001</v>
      </c>
      <c r="H139" s="34" t="str">
        <f>IFERROR(INDEX('R5. ETP17 Summary'!$P$12:$X$20,MATCH($E139,'R5. ETP17 Summary'!$O$12:$O$20,0),MATCH(H$85,'R5. ETP17 Summary'!$P$9:$X$9,0)),"")</f>
        <v/>
      </c>
      <c r="I139" s="34" t="str">
        <f>IFERROR(INDEX('R5. ETP17 Summary'!$P$12:$X$20,MATCH($E139,'R5. ETP17 Summary'!$O$12:$O$20,0),MATCH(I$85,'R5. ETP17 Summary'!$P$9:$X$9,0)),"")</f>
        <v/>
      </c>
      <c r="J139" s="34" t="str">
        <f>IFERROR(INDEX('R5. ETP17 Summary'!$P$12:$X$20,MATCH($E139,'R5. ETP17 Summary'!$O$12:$O$20,0),MATCH(J$85,'R5. ETP17 Summary'!$P$9:$X$9,0)),"")</f>
        <v/>
      </c>
      <c r="K139" s="31">
        <f t="shared" si="8"/>
        <v>16503.233490507846</v>
      </c>
      <c r="L139" s="34">
        <f>IFERROR(INDEX('R5. ETP17 Summary'!$P$12:$X$20,MATCH($E139,'R5. ETP17 Summary'!$O$12:$O$20,0),MATCH(L$85,'R5. ETP17 Summary'!$P$9:$X$9,0)),"")</f>
        <v>18569.70092361105</v>
      </c>
      <c r="M139" s="34">
        <f>IFERROR(INDEX('R5. ETP17 Summary'!$P$12:$X$20,MATCH($E139,'R5. ETP17 Summary'!$O$12:$O$20,0),MATCH(M$85,'R5. ETP17 Summary'!$P$9:$X$9,0)),"")</f>
        <v>20491.966300420339</v>
      </c>
      <c r="N139" s="34">
        <f>IFERROR(INDEX('R5. ETP17 Summary'!$P$12:$X$20,MATCH($E139,'R5. ETP17 Summary'!$O$12:$O$20,0),MATCH(N$85,'R5. ETP17 Summary'!$P$9:$X$9,0)),"")</f>
        <v>21766.48505213721</v>
      </c>
      <c r="O139" s="34">
        <f>IFERROR(INDEX('R5. ETP17 Summary'!$P$12:$X$20,MATCH($E139,'R5. ETP17 Summary'!$O$12:$O$20,0),MATCH(O$85,'R5. ETP17 Summary'!$P$9:$X$9,0)),"")</f>
        <v>23829.259476808154</v>
      </c>
      <c r="P139" s="34">
        <f>IFERROR(INDEX('R5. ETP17 Summary'!$P$12:$X$20,MATCH($E139,'R5. ETP17 Summary'!$O$12:$O$20,0),MATCH(P$85,'R5. ETP17 Summary'!$P$9:$X$9,0)),"")</f>
        <v>25709.513480191403</v>
      </c>
      <c r="Q139" s="34">
        <f>IFERROR(INDEX('R5. ETP17 Summary'!$P$12:$X$20,MATCH($E139,'R5. ETP17 Summary'!$O$12:$O$20,0),MATCH(Q$85,'R5. ETP17 Summary'!$P$9:$X$9,0)),"")</f>
        <v>27432.314585484259</v>
      </c>
      <c r="R139" s="34">
        <f>IFERROR(INDEX('R5. ETP17 Summary'!$P$12:$X$20,MATCH($E139,'R5. ETP17 Summary'!$O$12:$O$20,0),MATCH(R$85,'R5. ETP17 Summary'!$P$9:$X$9,0)),"")</f>
        <v>29077.588441579246</v>
      </c>
      <c r="S139" s="34">
        <f>IFERROR(INDEX('R5. ETP17 Summary'!$P$12:$X$20,MATCH($E139,'R5. ETP17 Summary'!$O$12:$O$20,0),MATCH(S$85,'R5. ETP17 Summary'!$P$9:$X$9,0)),"")</f>
        <v>30647.354149912699</v>
      </c>
    </row>
    <row r="140" spans="1:19" x14ac:dyDescent="0.3">
      <c r="A140" s="3" t="s">
        <v>496</v>
      </c>
      <c r="B140" s="3" t="s">
        <v>382</v>
      </c>
      <c r="C140" s="3" t="str">
        <f>INDEX('R1. Scenario specifications'!$C$11:$C$59,MATCH($B140,'R1. Scenario specifications'!$A$11:$A$59,0))</f>
        <v>2 Degrees Scenario, Energy Technology Perspectives 2017</v>
      </c>
      <c r="D140" s="3" t="s">
        <v>253</v>
      </c>
      <c r="E140" s="3" t="s">
        <v>512</v>
      </c>
      <c r="F140" s="3" t="s">
        <v>482</v>
      </c>
      <c r="G140" s="34">
        <f>IFERROR(INDEX('R5. ETP17 Summary'!$P$12:$X$20,MATCH($E140,'R5. ETP17 Summary'!$O$12:$O$20,0),MATCH(G$85,'R5. ETP17 Summary'!$P$9:$X$9,0)),"")</f>
        <v>54727.207129212009</v>
      </c>
      <c r="H140" s="34" t="str">
        <f>IFERROR(INDEX('R5. ETP17 Summary'!$P$12:$X$20,MATCH($E140,'R5. ETP17 Summary'!$O$12:$O$20,0),MATCH(H$85,'R5. ETP17 Summary'!$P$9:$X$9,0)),"")</f>
        <v/>
      </c>
      <c r="I140" s="34" t="str">
        <f>IFERROR(INDEX('R5. ETP17 Summary'!$P$12:$X$20,MATCH($E140,'R5. ETP17 Summary'!$O$12:$O$20,0),MATCH(I$85,'R5. ETP17 Summary'!$P$9:$X$9,0)),"")</f>
        <v/>
      </c>
      <c r="J140" s="34" t="str">
        <f>IFERROR(INDEX('R5. ETP17 Summary'!$P$12:$X$20,MATCH($E140,'R5. ETP17 Summary'!$O$12:$O$20,0),MATCH(J$85,'R5. ETP17 Summary'!$P$9:$X$9,0)),"")</f>
        <v/>
      </c>
      <c r="K140" s="31">
        <f t="shared" si="8"/>
        <v>67832.13178709698</v>
      </c>
      <c r="L140" s="34">
        <f>IFERROR(INDEX('R5. ETP17 Summary'!$P$12:$X$20,MATCH($E140,'R5. ETP17 Summary'!$O$12:$O$20,0),MATCH(L$85,'R5. ETP17 Summary'!$P$9:$X$9,0)),"")</f>
        <v>78752.902335334453</v>
      </c>
      <c r="M140" s="34">
        <f>IFERROR(INDEX('R5. ETP17 Summary'!$P$12:$X$20,MATCH($E140,'R5. ETP17 Summary'!$O$12:$O$20,0),MATCH(M$85,'R5. ETP17 Summary'!$P$9:$X$9,0)),"")</f>
        <v>90180.233103137376</v>
      </c>
      <c r="N140" s="34">
        <f>IFERROR(INDEX('R5. ETP17 Summary'!$P$12:$X$20,MATCH($E140,'R5. ETP17 Summary'!$O$12:$O$20,0),MATCH(N$85,'R5. ETP17 Summary'!$P$9:$X$9,0)),"")</f>
        <v>103641.61969210113</v>
      </c>
      <c r="O140" s="34">
        <f>IFERROR(INDEX('R5. ETP17 Summary'!$P$12:$X$20,MATCH($E140,'R5. ETP17 Summary'!$O$12:$O$20,0),MATCH(O$85,'R5. ETP17 Summary'!$P$9:$X$9,0)),"")</f>
        <v>117284.31604837345</v>
      </c>
      <c r="P140" s="34">
        <f>IFERROR(INDEX('R5. ETP17 Summary'!$P$12:$X$20,MATCH($E140,'R5. ETP17 Summary'!$O$12:$O$20,0),MATCH(P$85,'R5. ETP17 Summary'!$P$9:$X$9,0)),"")</f>
        <v>130289.29620153498</v>
      </c>
      <c r="Q140" s="34">
        <f>IFERROR(INDEX('R5. ETP17 Summary'!$P$12:$X$20,MATCH($E140,'R5. ETP17 Summary'!$O$12:$O$20,0),MATCH(Q$85,'R5. ETP17 Summary'!$P$9:$X$9,0)),"")</f>
        <v>137357.80571970274</v>
      </c>
      <c r="R140" s="34">
        <f>IFERROR(INDEX('R5. ETP17 Summary'!$P$12:$X$20,MATCH($E140,'R5. ETP17 Summary'!$O$12:$O$20,0),MATCH(R$85,'R5. ETP17 Summary'!$P$9:$X$9,0)),"")</f>
        <v>141999.99778003673</v>
      </c>
      <c r="S140" s="34">
        <f>IFERROR(INDEX('R5. ETP17 Summary'!$P$12:$X$20,MATCH($E140,'R5. ETP17 Summary'!$O$12:$O$20,0),MATCH(S$85,'R5. ETP17 Summary'!$P$9:$X$9,0)),"")</f>
        <v>143999.9992924057</v>
      </c>
    </row>
    <row r="141" spans="1:19" x14ac:dyDescent="0.3">
      <c r="A141" s="3" t="s">
        <v>496</v>
      </c>
      <c r="B141" s="39" t="s">
        <v>382</v>
      </c>
      <c r="C141" s="39" t="str">
        <f>INDEX('R1. Scenario specifications'!$C$11:$C$59,MATCH($B141,'R1. Scenario specifications'!$A$11:$A$59,0))</f>
        <v>2 Degrees Scenario, Energy Technology Perspectives 2017</v>
      </c>
      <c r="D141" s="39" t="s">
        <v>461</v>
      </c>
      <c r="E141" s="39" t="s">
        <v>258</v>
      </c>
      <c r="F141" s="39" t="s">
        <v>482</v>
      </c>
      <c r="G141" s="52">
        <f>IFERROR(INDEX('R5. ETP17 Summary'!$P$12:$X$20,MATCH($E141,'R5. ETP17 Summary'!$O$12:$O$20,0),MATCH(G$85,'R5. ETP17 Summary'!$P$9:$X$9,0)),"")</f>
        <v>7768.6318090440009</v>
      </c>
      <c r="H141" s="52" t="str">
        <f>IFERROR(INDEX('R5. ETP17 Summary'!$P$12:$X$20,MATCH($E141,'R5. ETP17 Summary'!$O$12:$O$20,0),MATCH(H$85,'R5. ETP17 Summary'!$P$9:$X$9,0)),"")</f>
        <v/>
      </c>
      <c r="I141" s="52" t="str">
        <f>IFERROR(INDEX('R5. ETP17 Summary'!$P$12:$X$20,MATCH($E141,'R5. ETP17 Summary'!$O$12:$O$20,0),MATCH(I$85,'R5. ETP17 Summary'!$P$9:$X$9,0)),"")</f>
        <v/>
      </c>
      <c r="J141" s="52" t="str">
        <f>IFERROR(INDEX('R5. ETP17 Summary'!$P$12:$X$20,MATCH($E141,'R5. ETP17 Summary'!$O$12:$O$20,0),MATCH(J$85,'R5. ETP17 Summary'!$P$9:$X$9,0)),"")</f>
        <v/>
      </c>
      <c r="K141" s="40">
        <f t="shared" si="8"/>
        <v>18710.403249704697</v>
      </c>
      <c r="L141" s="52">
        <f>IFERROR(INDEX('R5. ETP17 Summary'!$P$12:$X$20,MATCH($E141,'R5. ETP17 Summary'!$O$12:$O$20,0),MATCH(L$85,'R5. ETP17 Summary'!$P$9:$X$9,0)),"")</f>
        <v>27828.546116921945</v>
      </c>
      <c r="M141" s="52">
        <f>IFERROR(INDEX('R5. ETP17 Summary'!$P$12:$X$20,MATCH($E141,'R5. ETP17 Summary'!$O$12:$O$20,0),MATCH(M$85,'R5. ETP17 Summary'!$P$9:$X$9,0)),"")</f>
        <v>44730.7564804207</v>
      </c>
      <c r="N141" s="52">
        <f>IFERROR(INDEX('R5. ETP17 Summary'!$P$12:$X$20,MATCH($E141,'R5. ETP17 Summary'!$O$12:$O$20,0),MATCH(N$85,'R5. ETP17 Summary'!$P$9:$X$9,0)),"")</f>
        <v>64014.696596722388</v>
      </c>
      <c r="O141" s="52">
        <f>IFERROR(INDEX('R5. ETP17 Summary'!$P$12:$X$20,MATCH($E141,'R5. ETP17 Summary'!$O$12:$O$20,0),MATCH(O$85,'R5. ETP17 Summary'!$P$9:$X$9,0)),"")</f>
        <v>81212.237360962084</v>
      </c>
      <c r="P141" s="52">
        <f>IFERROR(INDEX('R5. ETP17 Summary'!$P$12:$X$20,MATCH($E141,'R5. ETP17 Summary'!$O$12:$O$20,0),MATCH(P$85,'R5. ETP17 Summary'!$P$9:$X$9,0)),"")</f>
        <v>101702.7958434583</v>
      </c>
      <c r="Q141" s="52">
        <f>IFERROR(INDEX('R5. ETP17 Summary'!$P$12:$X$20,MATCH($E141,'R5. ETP17 Summary'!$O$12:$O$20,0),MATCH(Q$85,'R5. ETP17 Summary'!$P$9:$X$9,0)),"")</f>
        <v>124158.01690898238</v>
      </c>
      <c r="R141" s="52">
        <f>IFERROR(INDEX('R5. ETP17 Summary'!$P$12:$X$20,MATCH($E141,'R5. ETP17 Summary'!$O$12:$O$20,0),MATCH(R$85,'R5. ETP17 Summary'!$P$9:$X$9,0)),"")</f>
        <v>146603.96149440599</v>
      </c>
      <c r="S141" s="52">
        <f>IFERROR(INDEX('R5. ETP17 Summary'!$P$12:$X$20,MATCH($E141,'R5. ETP17 Summary'!$O$12:$O$20,0),MATCH(S$85,'R5. ETP17 Summary'!$P$9:$X$9,0)),"")</f>
        <v>173127.84096977307</v>
      </c>
    </row>
    <row r="142" spans="1:19" x14ac:dyDescent="0.3">
      <c r="A142" s="3" t="s">
        <v>496</v>
      </c>
      <c r="B142" s="3" t="s">
        <v>383</v>
      </c>
      <c r="C142" s="3" t="str">
        <f>INDEX('R1. Scenario specifications'!$C$11:$C$59,MATCH($B142,'R1. Scenario specifications'!$A$11:$A$59,0))</f>
        <v>Below 2 Degrees Scenario (1.75DS), Energy Technology Perspectives 2017</v>
      </c>
      <c r="D142" s="3" t="s">
        <v>254</v>
      </c>
      <c r="E142" s="3" t="s">
        <v>254</v>
      </c>
      <c r="F142" s="3" t="s">
        <v>482</v>
      </c>
      <c r="G142" s="34">
        <f>IFERROR(INDEX('R5. ETP17 Summary'!$AC$12:$AK$20,MATCH($E142,'R5. ETP17 Summary'!$AB$12:$AB$20,0),MATCH(G$85,'R5. ETP17 Summary'!$AC$9:$AK$9,0)),"")</f>
        <v>163853.62994548801</v>
      </c>
      <c r="H142" s="34" t="str">
        <f>IFERROR(INDEX('R5. ETP17 Summary'!$AC$12:$AK$20,MATCH($E142,'R5. ETP17 Summary'!$AB$12:$AB$20,0),MATCH(H$85,'R5. ETP17 Summary'!$AC$9:$AK$9,0)),"")</f>
        <v/>
      </c>
      <c r="I142" s="34" t="str">
        <f>IFERROR(INDEX('R5. ETP17 Summary'!$AC$12:$AK$20,MATCH($E142,'R5. ETP17 Summary'!$AB$12:$AB$20,0),MATCH(I$85,'R5. ETP17 Summary'!$AC$9:$AK$9,0)),"")</f>
        <v/>
      </c>
      <c r="J142" s="34" t="str">
        <f>IFERROR(INDEX('R5. ETP17 Summary'!$AC$12:$AK$20,MATCH($E142,'R5. ETP17 Summary'!$AB$12:$AB$20,0),MATCH(J$85,'R5. ETP17 Summary'!$AC$9:$AK$9,0)),"")</f>
        <v/>
      </c>
      <c r="K142" s="31">
        <f t="shared" si="8"/>
        <v>129347.78387878045</v>
      </c>
      <c r="L142" s="34">
        <f>IFERROR(INDEX('R5. ETP17 Summary'!$AC$12:$AK$20,MATCH($E142,'R5. ETP17 Summary'!$AB$12:$AB$20,0),MATCH(L$85,'R5. ETP17 Summary'!$AC$9:$AK$9,0)),"")</f>
        <v>100592.91215652415</v>
      </c>
      <c r="M142" s="34">
        <f>IFERROR(INDEX('R5. ETP17 Summary'!$AC$12:$AK$20,MATCH($E142,'R5. ETP17 Summary'!$AB$12:$AB$20,0),MATCH(M$85,'R5. ETP17 Summary'!$AC$9:$AK$9,0)),"")</f>
        <v>74047.871659653523</v>
      </c>
      <c r="N142" s="34">
        <f>IFERROR(INDEX('R5. ETP17 Summary'!$AC$12:$AK$20,MATCH($E142,'R5. ETP17 Summary'!$AB$12:$AB$20,0),MATCH(N$85,'R5. ETP17 Summary'!$AC$9:$AK$9,0)),"")</f>
        <v>56319.102197604021</v>
      </c>
      <c r="O142" s="34">
        <f>IFERROR(INDEX('R5. ETP17 Summary'!$AC$12:$AK$20,MATCH($E142,'R5. ETP17 Summary'!$AB$12:$AB$20,0),MATCH(O$85,'R5. ETP17 Summary'!$AC$9:$AK$9,0)),"")</f>
        <v>51673.549600324222</v>
      </c>
      <c r="P142" s="34">
        <f>IFERROR(INDEX('R5. ETP17 Summary'!$AC$12:$AK$20,MATCH($E142,'R5. ETP17 Summary'!$AB$12:$AB$20,0),MATCH(P$85,'R5. ETP17 Summary'!$AC$9:$AK$9,0)),"")</f>
        <v>51086.141754018259</v>
      </c>
      <c r="Q142" s="34">
        <f>IFERROR(INDEX('R5. ETP17 Summary'!$AC$12:$AK$20,MATCH($E142,'R5. ETP17 Summary'!$AB$12:$AB$20,0),MATCH(Q$85,'R5. ETP17 Summary'!$AC$9:$AK$9,0)),"")</f>
        <v>42880.627736086106</v>
      </c>
      <c r="R142" s="34">
        <f>IFERROR(INDEX('R5. ETP17 Summary'!$AC$12:$AK$20,MATCH($E142,'R5. ETP17 Summary'!$AB$12:$AB$20,0),MATCH(R$85,'R5. ETP17 Summary'!$AC$9:$AK$9,0)),"")</f>
        <v>38938.509464950039</v>
      </c>
      <c r="S142" s="34">
        <f>IFERROR(INDEX('R5. ETP17 Summary'!$AC$12:$AK$20,MATCH($E142,'R5. ETP17 Summary'!$AB$12:$AB$20,0),MATCH(S$85,'R5. ETP17 Summary'!$AC$9:$AK$9,0)),"")</f>
        <v>35428.147196183352</v>
      </c>
    </row>
    <row r="143" spans="1:19" x14ac:dyDescent="0.3">
      <c r="A143" s="3" t="s">
        <v>496</v>
      </c>
      <c r="B143" s="3" t="s">
        <v>383</v>
      </c>
      <c r="C143" s="3" t="str">
        <f>INDEX('R1. Scenario specifications'!$C$11:$C$59,MATCH($B143,'R1. Scenario specifications'!$A$11:$A$59,0))</f>
        <v>Below 2 Degrees Scenario (1.75DS), Energy Technology Perspectives 2017</v>
      </c>
      <c r="D143" s="3" t="s">
        <v>266</v>
      </c>
      <c r="E143" s="3" t="s">
        <v>266</v>
      </c>
      <c r="F143" s="3" t="s">
        <v>482</v>
      </c>
      <c r="G143" s="34">
        <f>IFERROR(INDEX('R5. ETP17 Summary'!$AC$12:$AK$20,MATCH($E143,'R5. ETP17 Summary'!$AB$12:$AB$20,0),MATCH(G$85,'R5. ETP17 Summary'!$AC$9:$AK$9,0)),"")</f>
        <v>179603.77400539213</v>
      </c>
      <c r="H143" s="34" t="str">
        <f>IFERROR(INDEX('R5. ETP17 Summary'!$AC$12:$AK$20,MATCH($E143,'R5. ETP17 Summary'!$AB$12:$AB$20,0),MATCH(H$85,'R5. ETP17 Summary'!$AC$9:$AK$9,0)),"")</f>
        <v/>
      </c>
      <c r="I143" s="34" t="str">
        <f>IFERROR(INDEX('R5. ETP17 Summary'!$AC$12:$AK$20,MATCH($E143,'R5. ETP17 Summary'!$AB$12:$AB$20,0),MATCH(I$85,'R5. ETP17 Summary'!$AC$9:$AK$9,0)),"")</f>
        <v/>
      </c>
      <c r="J143" s="34" t="str">
        <f>IFERROR(INDEX('R5. ETP17 Summary'!$AC$12:$AK$20,MATCH($E143,'R5. ETP17 Summary'!$AB$12:$AB$20,0),MATCH(J$85,'R5. ETP17 Summary'!$AC$9:$AK$9,0)),"")</f>
        <v/>
      </c>
      <c r="K143" s="31">
        <f t="shared" si="8"/>
        <v>167877.1821745481</v>
      </c>
      <c r="L143" s="34">
        <f>IFERROR(INDEX('R5. ETP17 Summary'!$AC$12:$AK$20,MATCH($E143,'R5. ETP17 Summary'!$AB$12:$AB$20,0),MATCH(L$85,'R5. ETP17 Summary'!$AC$9:$AK$9,0)),"")</f>
        <v>158105.02231551139</v>
      </c>
      <c r="M143" s="34">
        <f>IFERROR(INDEX('R5. ETP17 Summary'!$AC$12:$AK$20,MATCH($E143,'R5. ETP17 Summary'!$AB$12:$AB$20,0),MATCH(M$85,'R5. ETP17 Summary'!$AC$9:$AK$9,0)),"")</f>
        <v>141923.54122999078</v>
      </c>
      <c r="N143" s="34">
        <f>IFERROR(INDEX('R5. ETP17 Summary'!$AC$12:$AK$20,MATCH($E143,'R5. ETP17 Summary'!$AB$12:$AB$20,0),MATCH(N$85,'R5. ETP17 Summary'!$AC$9:$AK$9,0)),"")</f>
        <v>125338.67337585498</v>
      </c>
      <c r="O143" s="34">
        <f>IFERROR(INDEX('R5. ETP17 Summary'!$AC$12:$AK$20,MATCH($E143,'R5. ETP17 Summary'!$AB$12:$AB$20,0),MATCH(O$85,'R5. ETP17 Summary'!$AC$9:$AK$9,0)),"")</f>
        <v>109319.17110454802</v>
      </c>
      <c r="P143" s="34">
        <f>IFERROR(INDEX('R5. ETP17 Summary'!$AC$12:$AK$20,MATCH($E143,'R5. ETP17 Summary'!$AB$12:$AB$20,0),MATCH(P$85,'R5. ETP17 Summary'!$AC$9:$AK$9,0)),"")</f>
        <v>93987.574485020843</v>
      </c>
      <c r="Q143" s="34">
        <f>IFERROR(INDEX('R5. ETP17 Summary'!$AC$12:$AK$20,MATCH($E143,'R5. ETP17 Summary'!$AB$12:$AB$20,0),MATCH(Q$85,'R5. ETP17 Summary'!$AC$9:$AK$9,0)),"")</f>
        <v>81562.191605361179</v>
      </c>
      <c r="R143" s="34">
        <f>IFERROR(INDEX('R5. ETP17 Summary'!$AC$12:$AK$20,MATCH($E143,'R5. ETP17 Summary'!$AB$12:$AB$20,0),MATCH(R$85,'R5. ETP17 Summary'!$AC$9:$AK$9,0)),"")</f>
        <v>70989.837818774467</v>
      </c>
      <c r="S143" s="34">
        <f>IFERROR(INDEX('R5. ETP17 Summary'!$AC$12:$AK$20,MATCH($E143,'R5. ETP17 Summary'!$AB$12:$AB$20,0),MATCH(S$85,'R5. ETP17 Summary'!$AC$9:$AK$9,0)),"")</f>
        <v>64391.321490216127</v>
      </c>
    </row>
    <row r="144" spans="1:19" x14ac:dyDescent="0.3">
      <c r="A144" s="3" t="s">
        <v>496</v>
      </c>
      <c r="B144" s="3" t="s">
        <v>383</v>
      </c>
      <c r="C144" s="3" t="str">
        <f>INDEX('R1. Scenario specifications'!$C$11:$C$59,MATCH($B144,'R1. Scenario specifications'!$A$11:$A$59,0))</f>
        <v>Below 2 Degrees Scenario (1.75DS), Energy Technology Perspectives 2017</v>
      </c>
      <c r="D144" s="3" t="s">
        <v>255</v>
      </c>
      <c r="E144" s="3" t="s">
        <v>510</v>
      </c>
      <c r="F144" s="3" t="s">
        <v>482</v>
      </c>
      <c r="G144" s="34">
        <f>IFERROR(INDEX('R5. ETP17 Summary'!$AC$12:$AK$20,MATCH($E144,'R5. ETP17 Summary'!$AB$12:$AB$20,0),MATCH(G$85,'R5. ETP17 Summary'!$AC$9:$AK$9,0)),"")</f>
        <v>121441.43859937201</v>
      </c>
      <c r="H144" s="34" t="str">
        <f>IFERROR(INDEX('R5. ETP17 Summary'!$AC$12:$AK$20,MATCH($E144,'R5. ETP17 Summary'!$AB$12:$AB$20,0),MATCH(H$85,'R5. ETP17 Summary'!$AC$9:$AK$9,0)),"")</f>
        <v/>
      </c>
      <c r="I144" s="34" t="str">
        <f>IFERROR(INDEX('R5. ETP17 Summary'!$AC$12:$AK$20,MATCH($E144,'R5. ETP17 Summary'!$AB$12:$AB$20,0),MATCH(I$85,'R5. ETP17 Summary'!$AC$9:$AK$9,0)),"")</f>
        <v/>
      </c>
      <c r="J144" s="34" t="str">
        <f>IFERROR(INDEX('R5. ETP17 Summary'!$AC$12:$AK$20,MATCH($E144,'R5. ETP17 Summary'!$AB$12:$AB$20,0),MATCH(J$85,'R5. ETP17 Summary'!$AC$9:$AK$9,0)),"")</f>
        <v/>
      </c>
      <c r="K144" s="31">
        <f t="shared" si="8"/>
        <v>128465.26025391271</v>
      </c>
      <c r="L144" s="34">
        <f>IFERROR(INDEX('R5. ETP17 Summary'!$AC$12:$AK$20,MATCH($E144,'R5. ETP17 Summary'!$AB$12:$AB$20,0),MATCH(L$85,'R5. ETP17 Summary'!$AC$9:$AK$9,0)),"")</f>
        <v>134318.44496602996</v>
      </c>
      <c r="M144" s="34">
        <f>IFERROR(INDEX('R5. ETP17 Summary'!$AC$12:$AK$20,MATCH($E144,'R5. ETP17 Summary'!$AB$12:$AB$20,0),MATCH(M$85,'R5. ETP17 Summary'!$AC$9:$AK$9,0)),"")</f>
        <v>128627.8786968661</v>
      </c>
      <c r="N144" s="34">
        <f>IFERROR(INDEX('R5. ETP17 Summary'!$AC$12:$AK$20,MATCH($E144,'R5. ETP17 Summary'!$AB$12:$AB$20,0),MATCH(N$85,'R5. ETP17 Summary'!$AC$9:$AK$9,0)),"")</f>
        <v>120507.11710280113</v>
      </c>
      <c r="O144" s="34">
        <f>IFERROR(INDEX('R5. ETP17 Summary'!$AC$12:$AK$20,MATCH($E144,'R5. ETP17 Summary'!$AB$12:$AB$20,0),MATCH(O$85,'R5. ETP17 Summary'!$AC$9:$AK$9,0)),"")</f>
        <v>100352.11282422053</v>
      </c>
      <c r="P144" s="34">
        <f>IFERROR(INDEX('R5. ETP17 Summary'!$AC$12:$AK$20,MATCH($E144,'R5. ETP17 Summary'!$AB$12:$AB$20,0),MATCH(P$85,'R5. ETP17 Summary'!$AC$9:$AK$9,0)),"")</f>
        <v>78747.799000076426</v>
      </c>
      <c r="Q144" s="34">
        <f>IFERROR(INDEX('R5. ETP17 Summary'!$AC$12:$AK$20,MATCH($E144,'R5. ETP17 Summary'!$AB$12:$AB$20,0),MATCH(Q$85,'R5. ETP17 Summary'!$AC$9:$AK$9,0)),"")</f>
        <v>67299.638095995033</v>
      </c>
      <c r="R144" s="34">
        <f>IFERROR(INDEX('R5. ETP17 Summary'!$AC$12:$AK$20,MATCH($E144,'R5. ETP17 Summary'!$AB$12:$AB$20,0),MATCH(R$85,'R5. ETP17 Summary'!$AC$9:$AK$9,0)),"")</f>
        <v>62067.742133347179</v>
      </c>
      <c r="S144" s="34">
        <f>IFERROR(INDEX('R5. ETP17 Summary'!$AC$12:$AK$20,MATCH($E144,'R5. ETP17 Summary'!$AB$12:$AB$20,0),MATCH(S$85,'R5. ETP17 Summary'!$AC$9:$AK$9,0)),"")</f>
        <v>63828.817854314097</v>
      </c>
    </row>
    <row r="145" spans="1:19" x14ac:dyDescent="0.3">
      <c r="A145" s="3" t="s">
        <v>496</v>
      </c>
      <c r="B145" s="3" t="s">
        <v>383</v>
      </c>
      <c r="C145" s="3" t="str">
        <f>INDEX('R1. Scenario specifications'!$C$11:$C$59,MATCH($B145,'R1. Scenario specifications'!$A$11:$A$59,0))</f>
        <v>Below 2 Degrees Scenario (1.75DS), Energy Technology Perspectives 2017</v>
      </c>
      <c r="D145" s="3" t="s">
        <v>257</v>
      </c>
      <c r="E145" s="3" t="s">
        <v>257</v>
      </c>
      <c r="F145" s="3" t="s">
        <v>482</v>
      </c>
      <c r="G145" s="34">
        <f>IFERROR(INDEX('R5. ETP17 Summary'!$AC$12:$AK$20,MATCH($E145,'R5. ETP17 Summary'!$AB$12:$AB$20,0),MATCH(G$85,'R5. ETP17 Summary'!$AC$9:$AK$9,0)),"")</f>
        <v>27689.539085172</v>
      </c>
      <c r="H145" s="34" t="str">
        <f>IFERROR(INDEX('R5. ETP17 Summary'!$AC$12:$AK$20,MATCH($E145,'R5. ETP17 Summary'!$AB$12:$AB$20,0),MATCH(H$85,'R5. ETP17 Summary'!$AC$9:$AK$9,0)),"")</f>
        <v/>
      </c>
      <c r="I145" s="34" t="str">
        <f>IFERROR(INDEX('R5. ETP17 Summary'!$AC$12:$AK$20,MATCH($E145,'R5. ETP17 Summary'!$AB$12:$AB$20,0),MATCH(I$85,'R5. ETP17 Summary'!$AC$9:$AK$9,0)),"")</f>
        <v/>
      </c>
      <c r="J145" s="34" t="str">
        <f>IFERROR(INDEX('R5. ETP17 Summary'!$AC$12:$AK$20,MATCH($E145,'R5. ETP17 Summary'!$AB$12:$AB$20,0),MATCH(J$85,'R5. ETP17 Summary'!$AC$9:$AK$9,0)),"")</f>
        <v/>
      </c>
      <c r="K145" s="31">
        <f t="shared" si="8"/>
        <v>33894.826663311454</v>
      </c>
      <c r="L145" s="34">
        <f>IFERROR(INDEX('R5. ETP17 Summary'!$AC$12:$AK$20,MATCH($E145,'R5. ETP17 Summary'!$AB$12:$AB$20,0),MATCH(L$85,'R5. ETP17 Summary'!$AC$9:$AK$9,0)),"")</f>
        <v>39065.899645094338</v>
      </c>
      <c r="M145" s="34">
        <f>IFERROR(INDEX('R5. ETP17 Summary'!$AC$12:$AK$20,MATCH($E145,'R5. ETP17 Summary'!$AB$12:$AB$20,0),MATCH(M$85,'R5. ETP17 Summary'!$AC$9:$AK$9,0)),"")</f>
        <v>49870.737326783659</v>
      </c>
      <c r="N145" s="34">
        <f>IFERROR(INDEX('R5. ETP17 Summary'!$AC$12:$AK$20,MATCH($E145,'R5. ETP17 Summary'!$AB$12:$AB$20,0),MATCH(N$85,'R5. ETP17 Summary'!$AC$9:$AK$9,0)),"")</f>
        <v>57644.931537304554</v>
      </c>
      <c r="O145" s="34">
        <f>IFERROR(INDEX('R5. ETP17 Summary'!$AC$12:$AK$20,MATCH($E145,'R5. ETP17 Summary'!$AB$12:$AB$20,0),MATCH(O$85,'R5. ETP17 Summary'!$AC$9:$AK$9,0)),"")</f>
        <v>65406.038350813542</v>
      </c>
      <c r="P145" s="34">
        <f>IFERROR(INDEX('R5. ETP17 Summary'!$AC$12:$AK$20,MATCH($E145,'R5. ETP17 Summary'!$AB$12:$AB$20,0),MATCH(P$85,'R5. ETP17 Summary'!$AC$9:$AK$9,0)),"")</f>
        <v>72089.930907857677</v>
      </c>
      <c r="Q145" s="34">
        <f>IFERROR(INDEX('R5. ETP17 Summary'!$AC$12:$AK$20,MATCH($E145,'R5. ETP17 Summary'!$AB$12:$AB$20,0),MATCH(Q$85,'R5. ETP17 Summary'!$AC$9:$AK$9,0)),"")</f>
        <v>76388.700952805651</v>
      </c>
      <c r="R145" s="34">
        <f>IFERROR(INDEX('R5. ETP17 Summary'!$AC$12:$AK$20,MATCH($E145,'R5. ETP17 Summary'!$AB$12:$AB$20,0),MATCH(R$85,'R5. ETP17 Summary'!$AC$9:$AK$9,0)),"")</f>
        <v>81513.918958283859</v>
      </c>
      <c r="S145" s="34">
        <f>IFERROR(INDEX('R5. ETP17 Summary'!$AC$12:$AK$20,MATCH($E145,'R5. ETP17 Summary'!$AB$12:$AB$20,0),MATCH(S$85,'R5. ETP17 Summary'!$AC$9:$AK$9,0)),"")</f>
        <v>85505.458919396318</v>
      </c>
    </row>
    <row r="146" spans="1:19" x14ac:dyDescent="0.3">
      <c r="A146" s="3" t="s">
        <v>496</v>
      </c>
      <c r="B146" s="3" t="s">
        <v>383</v>
      </c>
      <c r="C146" s="3" t="str">
        <f>INDEX('R1. Scenario specifications'!$C$11:$C$59,MATCH($B146,'R1. Scenario specifications'!$A$11:$A$59,0))</f>
        <v>Below 2 Degrees Scenario (1.75DS), Energy Technology Perspectives 2017</v>
      </c>
      <c r="D146" s="3" t="s">
        <v>256</v>
      </c>
      <c r="E146" s="3" t="s">
        <v>256</v>
      </c>
      <c r="F146" s="3" t="s">
        <v>482</v>
      </c>
      <c r="G146" s="34">
        <f>IFERROR(INDEX('R5. ETP17 Summary'!$AC$12:$AK$20,MATCH($E146,'R5. ETP17 Summary'!$AB$12:$AB$20,0),MATCH(G$85,'R5. ETP17 Summary'!$AC$9:$AK$9,0)),"")</f>
        <v>14023.472570784001</v>
      </c>
      <c r="H146" s="34" t="str">
        <f>IFERROR(INDEX('R5. ETP17 Summary'!$AC$12:$AK$20,MATCH($E146,'R5. ETP17 Summary'!$AB$12:$AB$20,0),MATCH(H$85,'R5. ETP17 Summary'!$AC$9:$AK$9,0)),"")</f>
        <v/>
      </c>
      <c r="I146" s="34" t="str">
        <f>IFERROR(INDEX('R5. ETP17 Summary'!$AC$12:$AK$20,MATCH($E146,'R5. ETP17 Summary'!$AB$12:$AB$20,0),MATCH(I$85,'R5. ETP17 Summary'!$AC$9:$AK$9,0)),"")</f>
        <v/>
      </c>
      <c r="J146" s="34" t="str">
        <f>IFERROR(INDEX('R5. ETP17 Summary'!$AC$12:$AK$20,MATCH($E146,'R5. ETP17 Summary'!$AB$12:$AB$20,0),MATCH(J$85,'R5. ETP17 Summary'!$AC$9:$AK$9,0)),"")</f>
        <v/>
      </c>
      <c r="K146" s="31">
        <f t="shared" si="8"/>
        <v>16506.680458921099</v>
      </c>
      <c r="L146" s="34">
        <f>IFERROR(INDEX('R5. ETP17 Summary'!$AC$12:$AK$20,MATCH($E146,'R5. ETP17 Summary'!$AB$12:$AB$20,0),MATCH(L$85,'R5. ETP17 Summary'!$AC$9:$AK$9,0)),"")</f>
        <v>18576.020365702014</v>
      </c>
      <c r="M146" s="34">
        <f>IFERROR(INDEX('R5. ETP17 Summary'!$AC$12:$AK$20,MATCH($E146,'R5. ETP17 Summary'!$AB$12:$AB$20,0),MATCH(M$85,'R5. ETP17 Summary'!$AC$9:$AK$9,0)),"")</f>
        <v>20572.070793485382</v>
      </c>
      <c r="N146" s="34">
        <f>IFERROR(INDEX('R5. ETP17 Summary'!$AC$12:$AK$20,MATCH($E146,'R5. ETP17 Summary'!$AB$12:$AB$20,0),MATCH(N$85,'R5. ETP17 Summary'!$AC$9:$AK$9,0)),"")</f>
        <v>21970.882770208471</v>
      </c>
      <c r="O146" s="34">
        <f>IFERROR(INDEX('R5. ETP17 Summary'!$AC$12:$AK$20,MATCH($E146,'R5. ETP17 Summary'!$AB$12:$AB$20,0),MATCH(O$85,'R5. ETP17 Summary'!$AC$9:$AK$9,0)),"")</f>
        <v>24291.142890585066</v>
      </c>
      <c r="P146" s="34">
        <f>IFERROR(INDEX('R5. ETP17 Summary'!$AC$12:$AK$20,MATCH($E146,'R5. ETP17 Summary'!$AB$12:$AB$20,0),MATCH(P$85,'R5. ETP17 Summary'!$AC$9:$AK$9,0)),"")</f>
        <v>26507.189908156266</v>
      </c>
      <c r="Q146" s="34">
        <f>IFERROR(INDEX('R5. ETP17 Summary'!$AC$12:$AK$20,MATCH($E146,'R5. ETP17 Summary'!$AB$12:$AB$20,0),MATCH(Q$85,'R5. ETP17 Summary'!$AC$9:$AK$9,0)),"")</f>
        <v>28676.454025313975</v>
      </c>
      <c r="R146" s="34">
        <f>IFERROR(INDEX('R5. ETP17 Summary'!$AC$12:$AK$20,MATCH($E146,'R5. ETP17 Summary'!$AB$12:$AB$20,0),MATCH(R$85,'R5. ETP17 Summary'!$AC$9:$AK$9,0)),"")</f>
        <v>30897.307699167817</v>
      </c>
      <c r="S146" s="34">
        <f>IFERROR(INDEX('R5. ETP17 Summary'!$AC$12:$AK$20,MATCH($E146,'R5. ETP17 Summary'!$AB$12:$AB$20,0),MATCH(S$85,'R5. ETP17 Summary'!$AC$9:$AK$9,0)),"")</f>
        <v>33101.084816834053</v>
      </c>
    </row>
    <row r="147" spans="1:19" x14ac:dyDescent="0.3">
      <c r="A147" s="3" t="s">
        <v>496</v>
      </c>
      <c r="B147" s="3" t="s">
        <v>383</v>
      </c>
      <c r="C147" s="3" t="str">
        <f>INDEX('R1. Scenario specifications'!$C$11:$C$59,MATCH($B147,'R1. Scenario specifications'!$A$11:$A$59,0))</f>
        <v>Below 2 Degrees Scenario (1.75DS), Energy Technology Perspectives 2017</v>
      </c>
      <c r="D147" s="3" t="s">
        <v>253</v>
      </c>
      <c r="E147" s="3" t="s">
        <v>512</v>
      </c>
      <c r="F147" s="3" t="s">
        <v>482</v>
      </c>
      <c r="G147" s="34">
        <f>IFERROR(INDEX('R5. ETP17 Summary'!$AC$12:$AK$20,MATCH($E147,'R5. ETP17 Summary'!$AB$12:$AB$20,0),MATCH(G$85,'R5. ETP17 Summary'!$AC$9:$AK$9,0)),"")</f>
        <v>54727.207129212009</v>
      </c>
      <c r="H147" s="34" t="str">
        <f>IFERROR(INDEX('R5. ETP17 Summary'!$AC$12:$AK$20,MATCH($E147,'R5. ETP17 Summary'!$AB$12:$AB$20,0),MATCH(H$85,'R5. ETP17 Summary'!$AC$9:$AK$9,0)),"")</f>
        <v/>
      </c>
      <c r="I147" s="34" t="str">
        <f>IFERROR(INDEX('R5. ETP17 Summary'!$AC$12:$AK$20,MATCH($E147,'R5. ETP17 Summary'!$AB$12:$AB$20,0),MATCH(I$85,'R5. ETP17 Summary'!$AC$9:$AK$9,0)),"")</f>
        <v/>
      </c>
      <c r="J147" s="34" t="str">
        <f>IFERROR(INDEX('R5. ETP17 Summary'!$AC$12:$AK$20,MATCH($E147,'R5. ETP17 Summary'!$AB$12:$AB$20,0),MATCH(J$85,'R5. ETP17 Summary'!$AC$9:$AK$9,0)),"")</f>
        <v/>
      </c>
      <c r="K147" s="31">
        <f t="shared" si="8"/>
        <v>69810.634367848281</v>
      </c>
      <c r="L147" s="34">
        <f>IFERROR(INDEX('R5. ETP17 Summary'!$AC$12:$AK$20,MATCH($E147,'R5. ETP17 Summary'!$AB$12:$AB$20,0),MATCH(L$85,'R5. ETP17 Summary'!$AC$9:$AK$9,0)),"")</f>
        <v>82380.157066711836</v>
      </c>
      <c r="M147" s="34">
        <f>IFERROR(INDEX('R5. ETP17 Summary'!$AC$12:$AK$20,MATCH($E147,'R5. ETP17 Summary'!$AB$12:$AB$20,0),MATCH(M$85,'R5. ETP17 Summary'!$AC$9:$AK$9,0)),"")</f>
        <v>93078.876024711935</v>
      </c>
      <c r="N147" s="34">
        <f>IFERROR(INDEX('R5. ETP17 Summary'!$AC$12:$AK$20,MATCH($E147,'R5. ETP17 Summary'!$AB$12:$AB$20,0),MATCH(N$85,'R5. ETP17 Summary'!$AC$9:$AK$9,0)),"")</f>
        <v>105989.19637769531</v>
      </c>
      <c r="O147" s="34">
        <f>IFERROR(INDEX('R5. ETP17 Summary'!$AC$12:$AK$20,MATCH($E147,'R5. ETP17 Summary'!$AB$12:$AB$20,0),MATCH(O$85,'R5. ETP17 Summary'!$AC$9:$AK$9,0)),"")</f>
        <v>121153.95449008107</v>
      </c>
      <c r="P147" s="34">
        <f>IFERROR(INDEX('R5. ETP17 Summary'!$AC$12:$AK$20,MATCH($E147,'R5. ETP17 Summary'!$AB$12:$AB$20,0),MATCH(P$85,'R5. ETP17 Summary'!$AC$9:$AK$9,0)),"")</f>
        <v>133104.00443271748</v>
      </c>
      <c r="Q147" s="34">
        <f>IFERROR(INDEX('R5. ETP17 Summary'!$AC$12:$AK$20,MATCH($E147,'R5. ETP17 Summary'!$AB$12:$AB$20,0),MATCH(Q$85,'R5. ETP17 Summary'!$AC$9:$AK$9,0)),"")</f>
        <v>140815.41789151038</v>
      </c>
      <c r="R147" s="34">
        <f>IFERROR(INDEX('R5. ETP17 Summary'!$AC$12:$AK$20,MATCH($E147,'R5. ETP17 Summary'!$AB$12:$AB$20,0),MATCH(R$85,'R5. ETP17 Summary'!$AC$9:$AK$9,0)),"")</f>
        <v>146999.99893635249</v>
      </c>
      <c r="S147" s="34">
        <f>IFERROR(INDEX('R5. ETP17 Summary'!$AC$12:$AK$20,MATCH($E147,'R5. ETP17 Summary'!$AB$12:$AB$20,0),MATCH(S$85,'R5. ETP17 Summary'!$AC$9:$AK$9,0)),"")</f>
        <v>146999.99886866164</v>
      </c>
    </row>
    <row r="148" spans="1:19" x14ac:dyDescent="0.3">
      <c r="A148" s="39" t="s">
        <v>496</v>
      </c>
      <c r="B148" s="39" t="s">
        <v>383</v>
      </c>
      <c r="C148" s="39" t="str">
        <f>INDEX('R1. Scenario specifications'!$C$11:$C$59,MATCH($B148,'R1. Scenario specifications'!$A$11:$A$59,0))</f>
        <v>Below 2 Degrees Scenario (1.75DS), Energy Technology Perspectives 2017</v>
      </c>
      <c r="D148" s="39" t="s">
        <v>461</v>
      </c>
      <c r="E148" s="39" t="s">
        <v>258</v>
      </c>
      <c r="F148" s="39" t="s">
        <v>482</v>
      </c>
      <c r="G148" s="52">
        <f>IFERROR(INDEX('R5. ETP17 Summary'!$AC$12:$AK$20,MATCH($E148,'R5. ETP17 Summary'!$AB$12:$AB$20,0),MATCH(G$85,'R5. ETP17 Summary'!$AC$9:$AK$9,0)),"")</f>
        <v>7768.6318090440009</v>
      </c>
      <c r="H148" s="52" t="str">
        <f>IFERROR(INDEX('R5. ETP17 Summary'!$AC$12:$AK$20,MATCH($E148,'R5. ETP17 Summary'!$AB$12:$AB$20,0),MATCH(H$85,'R5. ETP17 Summary'!$AC$9:$AK$9,0)),"")</f>
        <v/>
      </c>
      <c r="I148" s="52" t="str">
        <f>IFERROR(INDEX('R5. ETP17 Summary'!$AC$12:$AK$20,MATCH($E148,'R5. ETP17 Summary'!$AB$12:$AB$20,0),MATCH(I$85,'R5. ETP17 Summary'!$AC$9:$AK$9,0)),"")</f>
        <v/>
      </c>
      <c r="J148" s="52" t="str">
        <f>IFERROR(INDEX('R5. ETP17 Summary'!$AC$12:$AK$20,MATCH($E148,'R5. ETP17 Summary'!$AB$12:$AB$20,0),MATCH(J$85,'R5. ETP17 Summary'!$AC$9:$AK$9,0)),"")</f>
        <v/>
      </c>
      <c r="K148" s="40">
        <f t="shared" si="8"/>
        <v>19302.190241231612</v>
      </c>
      <c r="L148" s="52">
        <f>IFERROR(INDEX('R5. ETP17 Summary'!$AC$12:$AK$20,MATCH($E148,'R5. ETP17 Summary'!$AB$12:$AB$20,0),MATCH(L$85,'R5. ETP17 Summary'!$AC$9:$AK$9,0)),"")</f>
        <v>28913.488934721285</v>
      </c>
      <c r="M148" s="52">
        <f>IFERROR(INDEX('R5. ETP17 Summary'!$AC$12:$AK$20,MATCH($E148,'R5. ETP17 Summary'!$AB$12:$AB$20,0),MATCH(M$85,'R5. ETP17 Summary'!$AC$9:$AK$9,0)),"")</f>
        <v>46882.008978181555</v>
      </c>
      <c r="N148" s="52">
        <f>IFERROR(INDEX('R5. ETP17 Summary'!$AC$12:$AK$20,MATCH($E148,'R5. ETP17 Summary'!$AB$12:$AB$20,0),MATCH(N$85,'R5. ETP17 Summary'!$AC$9:$AK$9,0)),"")</f>
        <v>69105.656442669424</v>
      </c>
      <c r="O148" s="52">
        <f>IFERROR(INDEX('R5. ETP17 Summary'!$AC$12:$AK$20,MATCH($E148,'R5. ETP17 Summary'!$AB$12:$AB$20,0),MATCH(O$85,'R5. ETP17 Summary'!$AC$9:$AK$9,0)),"")</f>
        <v>92854.305207450074</v>
      </c>
      <c r="P148" s="52">
        <f>IFERROR(INDEX('R5. ETP17 Summary'!$AC$12:$AK$20,MATCH($E148,'R5. ETP17 Summary'!$AB$12:$AB$20,0),MATCH(P$85,'R5. ETP17 Summary'!$AC$9:$AK$9,0)),"")</f>
        <v>117033.93168384083</v>
      </c>
      <c r="Q148" s="52">
        <f>IFERROR(INDEX('R5. ETP17 Summary'!$AC$12:$AK$20,MATCH($E148,'R5. ETP17 Summary'!$AB$12:$AB$20,0),MATCH(Q$85,'R5. ETP17 Summary'!$AC$9:$AK$9,0)),"")</f>
        <v>143495.20570147157</v>
      </c>
      <c r="R148" s="52">
        <f>IFERROR(INDEX('R5. ETP17 Summary'!$AC$12:$AK$20,MATCH($E148,'R5. ETP17 Summary'!$AB$12:$AB$20,0),MATCH(R$85,'R5. ETP17 Summary'!$AC$9:$AK$9,0)),"")</f>
        <v>169180.43625405381</v>
      </c>
      <c r="S148" s="52">
        <f>IFERROR(INDEX('R5. ETP17 Summary'!$AC$12:$AK$20,MATCH($E148,'R5. ETP17 Summary'!$AB$12:$AB$20,0),MATCH(S$85,'R5. ETP17 Summary'!$AC$9:$AK$9,0)),"")</f>
        <v>194914.25686870076</v>
      </c>
    </row>
    <row r="149" spans="1:19" x14ac:dyDescent="0.3">
      <c r="A149" s="3" t="s">
        <v>497</v>
      </c>
      <c r="B149" s="3" t="s">
        <v>384</v>
      </c>
      <c r="C149" s="3" t="str">
        <f>INDEX('R1. Scenario specifications'!$C$11:$C$59,MATCH($B149,'R1. Scenario specifications'!$A$11:$A$59,0))</f>
        <v>Sky Scenario, Royal Dutch Shell</v>
      </c>
      <c r="D149" s="3" t="s">
        <v>266</v>
      </c>
      <c r="E149" s="3" t="s">
        <v>266</v>
      </c>
      <c r="F149" s="3" t="s">
        <v>486</v>
      </c>
      <c r="G149" s="34" t="str">
        <f>IFERROR(INDEX('R6. Sky Summary'!$C$67:$AA$80,MATCH($E149,'R6. Sky Summary'!$B$67:$B$80,0),MATCH(G$85,'R6. Sky Summary'!$C$9:$AA$9,0)),"")</f>
        <v/>
      </c>
      <c r="H149" s="34">
        <f>IFERROR(INDEX('R6. Sky Summary'!$C$67:$AA$80,MATCH($E149,'R6. Sky Summary'!$B$67:$B$80,0),MATCH(H$85,'R6. Sky Summary'!$C$9:$AA$9,0)),"")</f>
        <v>182.2935195968733</v>
      </c>
      <c r="I149" s="34" t="str">
        <f>IFERROR(INDEX('R6. Sky Summary'!$C$67:$AA$80,MATCH($E149,'R6. Sky Summary'!$B$67:$B$80,0),MATCH(I$85,'R6. Sky Summary'!$C$9:$AA$9,0)),"")</f>
        <v/>
      </c>
      <c r="J149" s="34" t="str">
        <f>IFERROR(INDEX('R6. Sky Summary'!$C$67:$AA$80,MATCH($E149,'R6. Sky Summary'!$B$67:$B$80,0),MATCH(J$85,'R6. Sky Summary'!$C$9:$AA$9,0)),"")</f>
        <v/>
      </c>
      <c r="K149" s="34">
        <f>IFERROR(INDEX('R6. Sky Summary'!$C$67:$AA$80,MATCH($E149,'R6. Sky Summary'!$B$67:$B$80,0),MATCH(K$85,'R6. Sky Summary'!$C$9:$AA$9,0)),"")</f>
        <v>195.69578966569784</v>
      </c>
      <c r="L149" s="34">
        <f>IFERROR(INDEX('R6. Sky Summary'!$C$67:$AA$80,MATCH($E149,'R6. Sky Summary'!$B$67:$B$80,0),MATCH(L$85,'R6. Sky Summary'!$C$9:$AA$9,0)),"")</f>
        <v>204.88767300874642</v>
      </c>
      <c r="M149" s="34">
        <f>IFERROR(INDEX('R6. Sky Summary'!$C$67:$AA$80,MATCH($E149,'R6. Sky Summary'!$B$67:$B$80,0),MATCH(M$85,'R6. Sky Summary'!$C$9:$AA$9,0)),"")</f>
        <v>196.16907002700958</v>
      </c>
      <c r="N149" s="34">
        <f>IFERROR(INDEX('R6. Sky Summary'!$C$67:$AA$80,MATCH($E149,'R6. Sky Summary'!$B$67:$B$80,0),MATCH(N$85,'R6. Sky Summary'!$C$9:$AA$9,0)),"")</f>
        <v>187.63363569902972</v>
      </c>
      <c r="O149" s="34">
        <f>IFERROR(INDEX('R6. Sky Summary'!$C$67:$AA$80,MATCH($E149,'R6. Sky Summary'!$B$67:$B$80,0),MATCH(O$85,'R6. Sky Summary'!$C$9:$AA$9,0)),"")</f>
        <v>179.64112383165093</v>
      </c>
      <c r="P149" s="34">
        <f>IFERROR(INDEX('R6. Sky Summary'!$C$67:$AA$80,MATCH($E149,'R6. Sky Summary'!$B$67:$B$80,0),MATCH(P$85,'R6. Sky Summary'!$C$9:$AA$9,0)),"")</f>
        <v>170.31119394531831</v>
      </c>
      <c r="Q149" s="34">
        <f>IFERROR(INDEX('R6. Sky Summary'!$C$67:$AA$80,MATCH($E149,'R6. Sky Summary'!$B$67:$B$80,0),MATCH(Q$85,'R6. Sky Summary'!$C$9:$AA$9,0)),"")</f>
        <v>159.91401279986701</v>
      </c>
      <c r="R149" s="34">
        <f>IFERROR(INDEX('R6. Sky Summary'!$C$67:$AA$80,MATCH($E149,'R6. Sky Summary'!$B$67:$B$80,0),MATCH(R$85,'R6. Sky Summary'!$C$9:$AA$9,0)),"")</f>
        <v>146.50408322174837</v>
      </c>
      <c r="S149" s="34">
        <f>IFERROR(INDEX('R6. Sky Summary'!$C$67:$AA$80,MATCH($E149,'R6. Sky Summary'!$B$67:$B$80,0),MATCH(S$85,'R6. Sky Summary'!$C$9:$AA$9,0)),"")</f>
        <v>129.21511972974898</v>
      </c>
    </row>
    <row r="150" spans="1:19" x14ac:dyDescent="0.3">
      <c r="A150" s="3" t="s">
        <v>497</v>
      </c>
      <c r="B150" s="3" t="s">
        <v>384</v>
      </c>
      <c r="C150" s="3" t="str">
        <f>INDEX('R1. Scenario specifications'!$C$11:$C$59,MATCH($B150,'R1. Scenario specifications'!$A$11:$A$59,0))</f>
        <v>Sky Scenario, Royal Dutch Shell</v>
      </c>
      <c r="D150" s="3" t="s">
        <v>253</v>
      </c>
      <c r="E150" s="3" t="s">
        <v>253</v>
      </c>
      <c r="F150" s="3" t="s">
        <v>486</v>
      </c>
      <c r="G150" s="34" t="str">
        <f>IFERROR(INDEX('R6. Sky Summary'!$C$67:$AA$80,MATCH($E150,'R6. Sky Summary'!$B$67:$B$80,0),MATCH(G$85,'R6. Sky Summary'!$C$9:$AA$9,0)),"")</f>
        <v/>
      </c>
      <c r="H150" s="34">
        <f>IFERROR(INDEX('R6. Sky Summary'!$C$67:$AA$80,MATCH($E150,'R6. Sky Summary'!$B$67:$B$80,0),MATCH(H$85,'R6. Sky Summary'!$C$9:$AA$9,0)),"")</f>
        <v>3.3017379006876344</v>
      </c>
      <c r="I150" s="34" t="str">
        <f>IFERROR(INDEX('R6. Sky Summary'!$C$67:$AA$80,MATCH($E150,'R6. Sky Summary'!$B$67:$B$80,0),MATCH(I$85,'R6. Sky Summary'!$C$9:$AA$9,0)),"")</f>
        <v/>
      </c>
      <c r="J150" s="34" t="str">
        <f>IFERROR(INDEX('R6. Sky Summary'!$C$67:$AA$80,MATCH($E150,'R6. Sky Summary'!$B$67:$B$80,0),MATCH(J$85,'R6. Sky Summary'!$C$9:$AA$9,0)),"")</f>
        <v/>
      </c>
      <c r="K150" s="34">
        <f>IFERROR(INDEX('R6. Sky Summary'!$C$67:$AA$80,MATCH($E150,'R6. Sky Summary'!$B$67:$B$80,0),MATCH(K$85,'R6. Sky Summary'!$C$9:$AA$9,0)),"")</f>
        <v>4.1195614141907546</v>
      </c>
      <c r="L150" s="34">
        <f>IFERROR(INDEX('R6. Sky Summary'!$C$67:$AA$80,MATCH($E150,'R6. Sky Summary'!$B$67:$B$80,0),MATCH(L$85,'R6. Sky Summary'!$C$9:$AA$9,0)),"")</f>
        <v>4.6502969793384583</v>
      </c>
      <c r="M150" s="34">
        <f>IFERROR(INDEX('R6. Sky Summary'!$C$67:$AA$80,MATCH($E150,'R6. Sky Summary'!$B$67:$B$80,0),MATCH(M$85,'R6. Sky Summary'!$C$9:$AA$9,0)),"")</f>
        <v>4.9339770035453281</v>
      </c>
      <c r="N150" s="34">
        <f>IFERROR(INDEX('R6. Sky Summary'!$C$67:$AA$80,MATCH($E150,'R6. Sky Summary'!$B$67:$B$80,0),MATCH(N$85,'R6. Sky Summary'!$C$9:$AA$9,0)),"")</f>
        <v>8.7067525383537863</v>
      </c>
      <c r="O150" s="34">
        <f>IFERROR(INDEX('R6. Sky Summary'!$C$67:$AA$80,MATCH($E150,'R6. Sky Summary'!$B$67:$B$80,0),MATCH(O$85,'R6. Sky Summary'!$C$9:$AA$9,0)),"")</f>
        <v>12.327779619824192</v>
      </c>
      <c r="P150" s="34">
        <f>IFERROR(INDEX('R6. Sky Summary'!$C$67:$AA$80,MATCH($E150,'R6. Sky Summary'!$B$67:$B$80,0),MATCH(P$85,'R6. Sky Summary'!$C$9:$AA$9,0)),"")</f>
        <v>14.533254254478161</v>
      </c>
      <c r="Q150" s="34">
        <f>IFERROR(INDEX('R6. Sky Summary'!$C$67:$AA$80,MATCH($E150,'R6. Sky Summary'!$B$67:$B$80,0),MATCH(Q$85,'R6. Sky Summary'!$C$9:$AA$9,0)),"")</f>
        <v>18.822837179117368</v>
      </c>
      <c r="R150" s="34">
        <f>IFERROR(INDEX('R6. Sky Summary'!$C$67:$AA$80,MATCH($E150,'R6. Sky Summary'!$B$67:$B$80,0),MATCH(R$85,'R6. Sky Summary'!$C$9:$AA$9,0)),"")</f>
        <v>26.48179723988434</v>
      </c>
      <c r="S150" s="34">
        <f>IFERROR(INDEX('R6. Sky Summary'!$C$67:$AA$80,MATCH($E150,'R6. Sky Summary'!$B$67:$B$80,0),MATCH(S$85,'R6. Sky Summary'!$C$9:$AA$9,0)),"")</f>
        <v>36.307987406089701</v>
      </c>
    </row>
    <row r="151" spans="1:19" x14ac:dyDescent="0.3">
      <c r="A151" s="3" t="s">
        <v>497</v>
      </c>
      <c r="B151" s="3" t="s">
        <v>384</v>
      </c>
      <c r="C151" s="3" t="str">
        <f>INDEX('R1. Scenario specifications'!$C$11:$C$59,MATCH($B151,'R1. Scenario specifications'!$A$11:$A$59,0))</f>
        <v>Sky Scenario, Royal Dutch Shell</v>
      </c>
      <c r="D151" s="3" t="s">
        <v>255</v>
      </c>
      <c r="E151" s="3" t="s">
        <v>532</v>
      </c>
      <c r="F151" s="3" t="s">
        <v>486</v>
      </c>
      <c r="G151" s="34" t="str">
        <f>IFERROR(INDEX('R6. Sky Summary'!$C$67:$AA$80,MATCH($E151,'R6. Sky Summary'!$B$67:$B$80,0),MATCH(G$85,'R6. Sky Summary'!$C$9:$AA$9,0)),"")</f>
        <v/>
      </c>
      <c r="H151" s="34">
        <f>IFERROR(INDEX('R6. Sky Summary'!$C$67:$AA$80,MATCH($E151,'R6. Sky Summary'!$B$67:$B$80,0),MATCH(H$85,'R6. Sky Summary'!$C$9:$AA$9,0)),"")</f>
        <v>123.75028805907607</v>
      </c>
      <c r="I151" s="34" t="str">
        <f>IFERROR(INDEX('R6. Sky Summary'!$C$67:$AA$80,MATCH($E151,'R6. Sky Summary'!$B$67:$B$80,0),MATCH(I$85,'R6. Sky Summary'!$C$9:$AA$9,0)),"")</f>
        <v/>
      </c>
      <c r="J151" s="34" t="str">
        <f>IFERROR(INDEX('R6. Sky Summary'!$C$67:$AA$80,MATCH($E151,'R6. Sky Summary'!$B$67:$B$80,0),MATCH(J$85,'R6. Sky Summary'!$C$9:$AA$9,0)),"")</f>
        <v/>
      </c>
      <c r="K151" s="34">
        <f>IFERROR(INDEX('R6. Sky Summary'!$C$67:$AA$80,MATCH($E151,'R6. Sky Summary'!$B$67:$B$80,0),MATCH(K$85,'R6. Sky Summary'!$C$9:$AA$9,0)),"")</f>
        <v>136.79367482536392</v>
      </c>
      <c r="L151" s="34">
        <f>IFERROR(INDEX('R6. Sky Summary'!$C$67:$AA$80,MATCH($E151,'R6. Sky Summary'!$B$67:$B$80,0),MATCH(L$85,'R6. Sky Summary'!$C$9:$AA$9,0)),"")</f>
        <v>151.60539065069904</v>
      </c>
      <c r="M151" s="34">
        <f>IFERROR(INDEX('R6. Sky Summary'!$C$67:$AA$80,MATCH($E151,'R6. Sky Summary'!$B$67:$B$80,0),MATCH(M$85,'R6. Sky Summary'!$C$9:$AA$9,0)),"")</f>
        <v>158.26005276285613</v>
      </c>
      <c r="N151" s="34">
        <f>IFERROR(INDEX('R6. Sky Summary'!$C$67:$AA$80,MATCH($E151,'R6. Sky Summary'!$B$67:$B$80,0),MATCH(N$85,'R6. Sky Summary'!$C$9:$AA$9,0)),"")</f>
        <v>158.54256294734805</v>
      </c>
      <c r="O151" s="34">
        <f>IFERROR(INDEX('R6. Sky Summary'!$C$67:$AA$80,MATCH($E151,'R6. Sky Summary'!$B$67:$B$80,0),MATCH(O$85,'R6. Sky Summary'!$C$9:$AA$9,0)),"")</f>
        <v>150.75192480446057</v>
      </c>
      <c r="P151" s="34">
        <f>IFERROR(INDEX('R6. Sky Summary'!$C$67:$AA$80,MATCH($E151,'R6. Sky Summary'!$B$67:$B$80,0),MATCH(P$85,'R6. Sky Summary'!$C$9:$AA$9,0)),"")</f>
        <v>135.38157717177245</v>
      </c>
      <c r="Q151" s="34">
        <f>IFERROR(INDEX('R6. Sky Summary'!$C$67:$AA$80,MATCH($E151,'R6. Sky Summary'!$B$67:$B$80,0),MATCH(Q$85,'R6. Sky Summary'!$C$9:$AA$9,0)),"")</f>
        <v>115.03896303997654</v>
      </c>
      <c r="R151" s="34">
        <f>IFERROR(INDEX('R6. Sky Summary'!$C$67:$AA$80,MATCH($E151,'R6. Sky Summary'!$B$67:$B$80,0),MATCH(R$85,'R6. Sky Summary'!$C$9:$AA$9,0)),"")</f>
        <v>95.038687658102404</v>
      </c>
      <c r="S151" s="34">
        <f>IFERROR(INDEX('R6. Sky Summary'!$C$67:$AA$80,MATCH($E151,'R6. Sky Summary'!$B$67:$B$80,0),MATCH(S$85,'R6. Sky Summary'!$C$9:$AA$9,0)),"")</f>
        <v>76.695684610420699</v>
      </c>
    </row>
    <row r="152" spans="1:19" x14ac:dyDescent="0.3">
      <c r="A152" s="3" t="s">
        <v>497</v>
      </c>
      <c r="B152" s="3" t="s">
        <v>384</v>
      </c>
      <c r="C152" s="3" t="str">
        <f>INDEX('R1. Scenario specifications'!$C$11:$C$59,MATCH($B152,'R1. Scenario specifications'!$A$11:$A$59,0))</f>
        <v>Sky Scenario, Royal Dutch Shell</v>
      </c>
      <c r="D152" s="3" t="s">
        <v>253</v>
      </c>
      <c r="E152" s="3" t="s">
        <v>533</v>
      </c>
      <c r="F152" s="3" t="s">
        <v>486</v>
      </c>
      <c r="G152" s="34" t="str">
        <f>IFERROR(INDEX('R6. Sky Summary'!$C$67:$AA$80,MATCH($E152,'R6. Sky Summary'!$B$67:$B$80,0),MATCH(G$85,'R6. Sky Summary'!$C$9:$AA$9,0)),"")</f>
        <v/>
      </c>
      <c r="H152" s="34">
        <f>IFERROR(INDEX('R6. Sky Summary'!$C$67:$AA$80,MATCH($E152,'R6. Sky Summary'!$B$67:$B$80,0),MATCH(H$85,'R6. Sky Summary'!$C$9:$AA$9,0)),"")</f>
        <v>1.7329060397752893</v>
      </c>
      <c r="I152" s="34" t="str">
        <f>IFERROR(INDEX('R6. Sky Summary'!$C$67:$AA$80,MATCH($E152,'R6. Sky Summary'!$B$67:$B$80,0),MATCH(I$85,'R6. Sky Summary'!$C$9:$AA$9,0)),"")</f>
        <v/>
      </c>
      <c r="J152" s="34" t="str">
        <f>IFERROR(INDEX('R6. Sky Summary'!$C$67:$AA$80,MATCH($E152,'R6. Sky Summary'!$B$67:$B$80,0),MATCH(J$85,'R6. Sky Summary'!$C$9:$AA$9,0)),"")</f>
        <v/>
      </c>
      <c r="K152" s="34">
        <f>IFERROR(INDEX('R6. Sky Summary'!$C$67:$AA$80,MATCH($E152,'R6. Sky Summary'!$B$67:$B$80,0),MATCH(K$85,'R6. Sky Summary'!$C$9:$AA$9,0)),"")</f>
        <v>3.5744171099309487</v>
      </c>
      <c r="L152" s="34">
        <f>IFERROR(INDEX('R6. Sky Summary'!$C$67:$AA$80,MATCH($E152,'R6. Sky Summary'!$B$67:$B$80,0),MATCH(L$85,'R6. Sky Summary'!$C$9:$AA$9,0)),"")</f>
        <v>5.5913783697400614</v>
      </c>
      <c r="M152" s="34">
        <f>IFERROR(INDEX('R6. Sky Summary'!$C$67:$AA$80,MATCH($E152,'R6. Sky Summary'!$B$67:$B$80,0),MATCH(M$85,'R6. Sky Summary'!$C$9:$AA$9,0)),"")</f>
        <v>7.6100222643992605</v>
      </c>
      <c r="N152" s="34">
        <f>IFERROR(INDEX('R6. Sky Summary'!$C$67:$AA$80,MATCH($E152,'R6. Sky Summary'!$B$67:$B$80,0),MATCH(N$85,'R6. Sky Summary'!$C$9:$AA$9,0)),"")</f>
        <v>10.008884182578999</v>
      </c>
      <c r="O152" s="34">
        <f>IFERROR(INDEX('R6. Sky Summary'!$C$67:$AA$80,MATCH($E152,'R6. Sky Summary'!$B$67:$B$80,0),MATCH(O$85,'R6. Sky Summary'!$C$9:$AA$9,0)),"")</f>
        <v>14.453743001239474</v>
      </c>
      <c r="P152" s="34">
        <f>IFERROR(INDEX('R6. Sky Summary'!$C$67:$AA$80,MATCH($E152,'R6. Sky Summary'!$B$67:$B$80,0),MATCH(P$85,'R6. Sky Summary'!$C$9:$AA$9,0)),"")</f>
        <v>20.723384581185304</v>
      </c>
      <c r="Q152" s="34">
        <f>IFERROR(INDEX('R6. Sky Summary'!$C$67:$AA$80,MATCH($E152,'R6. Sky Summary'!$B$67:$B$80,0),MATCH(Q$85,'R6. Sky Summary'!$C$9:$AA$9,0)),"")</f>
        <v>23.548886410558652</v>
      </c>
      <c r="R152" s="34">
        <f>IFERROR(INDEX('R6. Sky Summary'!$C$67:$AA$80,MATCH($E152,'R6. Sky Summary'!$B$67:$B$80,0),MATCH(R$85,'R6. Sky Summary'!$C$9:$AA$9,0)),"")</f>
        <v>26.010703053330648</v>
      </c>
      <c r="S152" s="34">
        <f>IFERROR(INDEX('R6. Sky Summary'!$C$67:$AA$80,MATCH($E152,'R6. Sky Summary'!$B$67:$B$80,0),MATCH(S$85,'R6. Sky Summary'!$C$9:$AA$9,0)),"")</f>
        <v>27.595613405287907</v>
      </c>
    </row>
    <row r="153" spans="1:19" x14ac:dyDescent="0.3">
      <c r="A153" s="3" t="s">
        <v>497</v>
      </c>
      <c r="B153" s="3" t="s">
        <v>384</v>
      </c>
      <c r="C153" s="3" t="str">
        <f>INDEX('R1. Scenario specifications'!$C$11:$C$59,MATCH($B153,'R1. Scenario specifications'!$A$11:$A$59,0))</f>
        <v>Sky Scenario, Royal Dutch Shell</v>
      </c>
      <c r="D153" s="3" t="s">
        <v>254</v>
      </c>
      <c r="E153" s="3" t="s">
        <v>254</v>
      </c>
      <c r="F153" s="3" t="s">
        <v>486</v>
      </c>
      <c r="G153" s="34" t="str">
        <f>IFERROR(INDEX('R6. Sky Summary'!$C$67:$AA$80,MATCH($E153,'R6. Sky Summary'!$B$67:$B$80,0),MATCH(G$85,'R6. Sky Summary'!$C$9:$AA$9,0)),"")</f>
        <v/>
      </c>
      <c r="H153" s="34">
        <f>IFERROR(INDEX('R6. Sky Summary'!$C$67:$AA$80,MATCH($E153,'R6. Sky Summary'!$B$67:$B$80,0),MATCH(H$85,'R6. Sky Summary'!$C$9:$AA$9,0)),"")</f>
        <v>160.88654239427973</v>
      </c>
      <c r="I153" s="34" t="str">
        <f>IFERROR(INDEX('R6. Sky Summary'!$C$67:$AA$80,MATCH($E153,'R6. Sky Summary'!$B$67:$B$80,0),MATCH(I$85,'R6. Sky Summary'!$C$9:$AA$9,0)),"")</f>
        <v/>
      </c>
      <c r="J153" s="34" t="str">
        <f>IFERROR(INDEX('R6. Sky Summary'!$C$67:$AA$80,MATCH($E153,'R6. Sky Summary'!$B$67:$B$80,0),MATCH(J$85,'R6. Sky Summary'!$C$9:$AA$9,0)),"")</f>
        <v/>
      </c>
      <c r="K153" s="34">
        <f>IFERROR(INDEX('R6. Sky Summary'!$C$67:$AA$80,MATCH($E153,'R6. Sky Summary'!$B$67:$B$80,0),MATCH(K$85,'R6. Sky Summary'!$C$9:$AA$9,0)),"")</f>
        <v>157.38733929015748</v>
      </c>
      <c r="L153" s="34">
        <f>IFERROR(INDEX('R6. Sky Summary'!$C$67:$AA$80,MATCH($E153,'R6. Sky Summary'!$B$67:$B$80,0),MATCH(L$85,'R6. Sky Summary'!$C$9:$AA$9,0)),"")</f>
        <v>159.46297498326544</v>
      </c>
      <c r="M153" s="34">
        <f>IFERROR(INDEX('R6. Sky Summary'!$C$67:$AA$80,MATCH($E153,'R6. Sky Summary'!$B$67:$B$80,0),MATCH(M$85,'R6. Sky Summary'!$C$9:$AA$9,0)),"")</f>
        <v>154.40034866234001</v>
      </c>
      <c r="N153" s="34">
        <f>IFERROR(INDEX('R6. Sky Summary'!$C$67:$AA$80,MATCH($E153,'R6. Sky Summary'!$B$67:$B$80,0),MATCH(N$85,'R6. Sky Summary'!$C$9:$AA$9,0)),"")</f>
        <v>144.9824153000441</v>
      </c>
      <c r="O153" s="34">
        <f>IFERROR(INDEX('R6. Sky Summary'!$C$67:$AA$80,MATCH($E153,'R6. Sky Summary'!$B$67:$B$80,0),MATCH(O$85,'R6. Sky Summary'!$C$9:$AA$9,0)),"")</f>
        <v>129.85228687079737</v>
      </c>
      <c r="P153" s="34">
        <f>IFERROR(INDEX('R6. Sky Summary'!$C$67:$AA$80,MATCH($E153,'R6. Sky Summary'!$B$67:$B$80,0),MATCH(P$85,'R6. Sky Summary'!$C$9:$AA$9,0)),"")</f>
        <v>113.37627736803422</v>
      </c>
      <c r="Q153" s="34">
        <f>IFERROR(INDEX('R6. Sky Summary'!$C$67:$AA$80,MATCH($E153,'R6. Sky Summary'!$B$67:$B$80,0),MATCH(Q$85,'R6. Sky Summary'!$C$9:$AA$9,0)),"")</f>
        <v>99.745344523724526</v>
      </c>
      <c r="R153" s="34">
        <f>IFERROR(INDEX('R6. Sky Summary'!$C$67:$AA$80,MATCH($E153,'R6. Sky Summary'!$B$67:$B$80,0),MATCH(R$85,'R6. Sky Summary'!$C$9:$AA$9,0)),"")</f>
        <v>84.505369304365004</v>
      </c>
      <c r="S153" s="34">
        <f>IFERROR(INDEX('R6. Sky Summary'!$C$67:$AA$80,MATCH($E153,'R6. Sky Summary'!$B$67:$B$80,0),MATCH(S$85,'R6. Sky Summary'!$C$9:$AA$9,0)),"")</f>
        <v>73.037442577603613</v>
      </c>
    </row>
    <row r="154" spans="1:19" x14ac:dyDescent="0.3">
      <c r="A154" s="3" t="s">
        <v>497</v>
      </c>
      <c r="B154" s="3" t="s">
        <v>384</v>
      </c>
      <c r="C154" s="3" t="str">
        <f>INDEX('R1. Scenario specifications'!$C$11:$C$59,MATCH($B154,'R1. Scenario specifications'!$A$11:$A$59,0))</f>
        <v>Sky Scenario, Royal Dutch Shell</v>
      </c>
      <c r="D154" s="3" t="s">
        <v>253</v>
      </c>
      <c r="E154" s="3" t="s">
        <v>534</v>
      </c>
      <c r="F154" s="3" t="s">
        <v>486</v>
      </c>
      <c r="G154" s="34" t="str">
        <f>IFERROR(INDEX('R6. Sky Summary'!$C$67:$AA$80,MATCH($E154,'R6. Sky Summary'!$B$67:$B$80,0),MATCH(G$85,'R6. Sky Summary'!$C$9:$AA$9,0)),"")</f>
        <v/>
      </c>
      <c r="H154" s="34">
        <f>IFERROR(INDEX('R6. Sky Summary'!$C$67:$AA$80,MATCH($E154,'R6. Sky Summary'!$B$67:$B$80,0),MATCH(H$85,'R6. Sky Summary'!$C$9:$AA$9,0)),"")</f>
        <v>21.750033664474234</v>
      </c>
      <c r="I154" s="34" t="str">
        <f>IFERROR(INDEX('R6. Sky Summary'!$C$67:$AA$80,MATCH($E154,'R6. Sky Summary'!$B$67:$B$80,0),MATCH(I$85,'R6. Sky Summary'!$C$9:$AA$9,0)),"")</f>
        <v/>
      </c>
      <c r="J154" s="34" t="str">
        <f>IFERROR(INDEX('R6. Sky Summary'!$C$67:$AA$80,MATCH($E154,'R6. Sky Summary'!$B$67:$B$80,0),MATCH(J$85,'R6. Sky Summary'!$C$9:$AA$9,0)),"")</f>
        <v/>
      </c>
      <c r="K154" s="34">
        <f>IFERROR(INDEX('R6. Sky Summary'!$C$67:$AA$80,MATCH($E154,'R6. Sky Summary'!$B$67:$B$80,0),MATCH(K$85,'R6. Sky Summary'!$C$9:$AA$9,0)),"")</f>
        <v>23.918790196292591</v>
      </c>
      <c r="L154" s="34">
        <f>IFERROR(INDEX('R6. Sky Summary'!$C$67:$AA$80,MATCH($E154,'R6. Sky Summary'!$B$67:$B$80,0),MATCH(L$85,'R6. Sky Summary'!$C$9:$AA$9,0)),"")</f>
        <v>24.456404576130232</v>
      </c>
      <c r="M154" s="34">
        <f>IFERROR(INDEX('R6. Sky Summary'!$C$67:$AA$80,MATCH($E154,'R6. Sky Summary'!$B$67:$B$80,0),MATCH(M$85,'R6. Sky Summary'!$C$9:$AA$9,0)),"")</f>
        <v>26.558547970520593</v>
      </c>
      <c r="N154" s="34">
        <f>IFERROR(INDEX('R6. Sky Summary'!$C$67:$AA$80,MATCH($E154,'R6. Sky Summary'!$B$67:$B$80,0),MATCH(N$85,'R6. Sky Summary'!$C$9:$AA$9,0)),"")</f>
        <v>30.962613293978055</v>
      </c>
      <c r="O154" s="34">
        <f>IFERROR(INDEX('R6. Sky Summary'!$C$67:$AA$80,MATCH($E154,'R6. Sky Summary'!$B$67:$B$80,0),MATCH(O$85,'R6. Sky Summary'!$C$9:$AA$9,0)),"")</f>
        <v>39.621085819137498</v>
      </c>
      <c r="P154" s="34">
        <f>IFERROR(INDEX('R6. Sky Summary'!$C$67:$AA$80,MATCH($E154,'R6. Sky Summary'!$B$67:$B$80,0),MATCH(P$85,'R6. Sky Summary'!$C$9:$AA$9,0)),"")</f>
        <v>50.637855527695223</v>
      </c>
      <c r="Q154" s="34">
        <f>IFERROR(INDEX('R6. Sky Summary'!$C$67:$AA$80,MATCH($E154,'R6. Sky Summary'!$B$67:$B$80,0),MATCH(Q$85,'R6. Sky Summary'!$C$9:$AA$9,0)),"")</f>
        <v>57.917381254129026</v>
      </c>
      <c r="R154" s="34">
        <f>IFERROR(INDEX('R6. Sky Summary'!$C$67:$AA$80,MATCH($E154,'R6. Sky Summary'!$B$67:$B$80,0),MATCH(R$85,'R6. Sky Summary'!$C$9:$AA$9,0)),"")</f>
        <v>64.686779215427336</v>
      </c>
      <c r="S154" s="34">
        <f>IFERROR(INDEX('R6. Sky Summary'!$C$67:$AA$80,MATCH($E154,'R6. Sky Summary'!$B$67:$B$80,0),MATCH(S$85,'R6. Sky Summary'!$C$9:$AA$9,0)),"")</f>
        <v>69.70723899292318</v>
      </c>
    </row>
    <row r="155" spans="1:19" x14ac:dyDescent="0.3">
      <c r="A155" s="3" t="s">
        <v>497</v>
      </c>
      <c r="B155" s="3" t="s">
        <v>384</v>
      </c>
      <c r="C155" s="3" t="str">
        <f>INDEX('R1. Scenario specifications'!$C$11:$C$59,MATCH($B155,'R1. Scenario specifications'!$A$11:$A$59,0))</f>
        <v>Sky Scenario, Royal Dutch Shell</v>
      </c>
      <c r="D155" s="3" t="s">
        <v>253</v>
      </c>
      <c r="E155" s="3" t="s">
        <v>535</v>
      </c>
      <c r="F155" s="3" t="s">
        <v>486</v>
      </c>
      <c r="G155" s="34" t="str">
        <f>IFERROR(INDEX('R6. Sky Summary'!$C$67:$AA$80,MATCH($E155,'R6. Sky Summary'!$B$67:$B$80,0),MATCH(G$85,'R6. Sky Summary'!$C$9:$AA$9,0)),"")</f>
        <v/>
      </c>
      <c r="H155" s="34">
        <f>IFERROR(INDEX('R6. Sky Summary'!$C$67:$AA$80,MATCH($E155,'R6. Sky Summary'!$B$67:$B$80,0),MATCH(H$85,'R6. Sky Summary'!$C$9:$AA$9,0)),"")</f>
        <v>29.35239463968977</v>
      </c>
      <c r="I155" s="34" t="str">
        <f>IFERROR(INDEX('R6. Sky Summary'!$C$67:$AA$80,MATCH($E155,'R6. Sky Summary'!$B$67:$B$80,0),MATCH(I$85,'R6. Sky Summary'!$C$9:$AA$9,0)),"")</f>
        <v/>
      </c>
      <c r="J155" s="34" t="str">
        <f>IFERROR(INDEX('R6. Sky Summary'!$C$67:$AA$80,MATCH($E155,'R6. Sky Summary'!$B$67:$B$80,0),MATCH(J$85,'R6. Sky Summary'!$C$9:$AA$9,0)),"")</f>
        <v/>
      </c>
      <c r="K155" s="34">
        <f>IFERROR(INDEX('R6. Sky Summary'!$C$67:$AA$80,MATCH($E155,'R6. Sky Summary'!$B$67:$B$80,0),MATCH(K$85,'R6. Sky Summary'!$C$9:$AA$9,0)),"")</f>
        <v>28.775728122911726</v>
      </c>
      <c r="L155" s="34">
        <f>IFERROR(INDEX('R6. Sky Summary'!$C$67:$AA$80,MATCH($E155,'R6. Sky Summary'!$B$67:$B$80,0),MATCH(L$85,'R6. Sky Summary'!$C$9:$AA$9,0)),"")</f>
        <v>26.780081573615078</v>
      </c>
      <c r="M155" s="34">
        <f>IFERROR(INDEX('R6. Sky Summary'!$C$67:$AA$80,MATCH($E155,'R6. Sky Summary'!$B$67:$B$80,0),MATCH(M$85,'R6. Sky Summary'!$C$9:$AA$9,0)),"")</f>
        <v>24.341626134354421</v>
      </c>
      <c r="N155" s="34">
        <f>IFERROR(INDEX('R6. Sky Summary'!$C$67:$AA$80,MATCH($E155,'R6. Sky Summary'!$B$67:$B$80,0),MATCH(N$85,'R6. Sky Summary'!$C$9:$AA$9,0)),"")</f>
        <v>21.248552456506058</v>
      </c>
      <c r="O155" s="34">
        <f>IFERROR(INDEX('R6. Sky Summary'!$C$67:$AA$80,MATCH($E155,'R6. Sky Summary'!$B$67:$B$80,0),MATCH(O$85,'R6. Sky Summary'!$C$9:$AA$9,0)),"")</f>
        <v>17.119140417725884</v>
      </c>
      <c r="P155" s="34">
        <f>IFERROR(INDEX('R6. Sky Summary'!$C$67:$AA$80,MATCH($E155,'R6. Sky Summary'!$B$67:$B$80,0),MATCH(P$85,'R6. Sky Summary'!$C$9:$AA$9,0)),"")</f>
        <v>13.210640475645503</v>
      </c>
      <c r="Q155" s="34">
        <f>IFERROR(INDEX('R6. Sky Summary'!$C$67:$AA$80,MATCH($E155,'R6. Sky Summary'!$B$67:$B$80,0),MATCH(Q$85,'R6. Sky Summary'!$C$9:$AA$9,0)),"")</f>
        <v>9.4055727107520788</v>
      </c>
      <c r="R155" s="34">
        <f>IFERROR(INDEX('R6. Sky Summary'!$C$67:$AA$80,MATCH($E155,'R6. Sky Summary'!$B$67:$B$80,0),MATCH(R$85,'R6. Sky Summary'!$C$9:$AA$9,0)),"")</f>
        <v>6.274400127086297</v>
      </c>
      <c r="S155" s="34">
        <f>IFERROR(INDEX('R6. Sky Summary'!$C$67:$AA$80,MATCH($E155,'R6. Sky Summary'!$B$67:$B$80,0),MATCH(S$85,'R6. Sky Summary'!$C$9:$AA$9,0)),"")</f>
        <v>4.0263283452495298</v>
      </c>
    </row>
    <row r="156" spans="1:19" x14ac:dyDescent="0.3">
      <c r="A156" s="3" t="s">
        <v>497</v>
      </c>
      <c r="B156" s="3" t="s">
        <v>384</v>
      </c>
      <c r="C156" s="3" t="str">
        <f>INDEX('R1. Scenario specifications'!$C$11:$C$59,MATCH($B156,'R1. Scenario specifications'!$A$11:$A$59,0))</f>
        <v>Sky Scenario, Royal Dutch Shell</v>
      </c>
      <c r="D156" s="3" t="s">
        <v>257</v>
      </c>
      <c r="E156" s="3" t="s">
        <v>257</v>
      </c>
      <c r="F156" s="3" t="s">
        <v>486</v>
      </c>
      <c r="G156" s="34" t="str">
        <f>IFERROR(INDEX('R6. Sky Summary'!$C$67:$AA$80,MATCH($E156,'R6. Sky Summary'!$B$67:$B$80,0),MATCH(G$85,'R6. Sky Summary'!$C$9:$AA$9,0)),"")</f>
        <v/>
      </c>
      <c r="H156" s="34">
        <f>IFERROR(INDEX('R6. Sky Summary'!$C$67:$AA$80,MATCH($E156,'R6. Sky Summary'!$B$67:$B$80,0),MATCH(H$85,'R6. Sky Summary'!$C$9:$AA$9,0)),"")</f>
        <v>28.087886945472643</v>
      </c>
      <c r="I156" s="34" t="str">
        <f>IFERROR(INDEX('R6. Sky Summary'!$C$67:$AA$80,MATCH($E156,'R6. Sky Summary'!$B$67:$B$80,0),MATCH(I$85,'R6. Sky Summary'!$C$9:$AA$9,0)),"")</f>
        <v/>
      </c>
      <c r="J156" s="34" t="str">
        <f>IFERROR(INDEX('R6. Sky Summary'!$C$67:$AA$80,MATCH($E156,'R6. Sky Summary'!$B$67:$B$80,0),MATCH(J$85,'R6. Sky Summary'!$C$9:$AA$9,0)),"")</f>
        <v/>
      </c>
      <c r="K156" s="34">
        <f>IFERROR(INDEX('R6. Sky Summary'!$C$67:$AA$80,MATCH($E156,'R6. Sky Summary'!$B$67:$B$80,0),MATCH(K$85,'R6. Sky Summary'!$C$9:$AA$9,0)),"")</f>
        <v>31.66477068274844</v>
      </c>
      <c r="L156" s="34">
        <f>IFERROR(INDEX('R6. Sky Summary'!$C$67:$AA$80,MATCH($E156,'R6. Sky Summary'!$B$67:$B$80,0),MATCH(L$85,'R6. Sky Summary'!$C$9:$AA$9,0)),"")</f>
        <v>36.657568078258805</v>
      </c>
      <c r="M156" s="34">
        <f>IFERROR(INDEX('R6. Sky Summary'!$C$67:$AA$80,MATCH($E156,'R6. Sky Summary'!$B$67:$B$80,0),MATCH(M$85,'R6. Sky Summary'!$C$9:$AA$9,0)),"")</f>
        <v>44.003397985382271</v>
      </c>
      <c r="N156" s="34">
        <f>IFERROR(INDEX('R6. Sky Summary'!$C$67:$AA$80,MATCH($E156,'R6. Sky Summary'!$B$67:$B$80,0),MATCH(N$85,'R6. Sky Summary'!$C$9:$AA$9,0)),"")</f>
        <v>54.438744923379446</v>
      </c>
      <c r="O156" s="34">
        <f>IFERROR(INDEX('R6. Sky Summary'!$C$67:$AA$80,MATCH($E156,'R6. Sky Summary'!$B$67:$B$80,0),MATCH(O$85,'R6. Sky Summary'!$C$9:$AA$9,0)),"")</f>
        <v>63.852353804245048</v>
      </c>
      <c r="P156" s="34">
        <f>IFERROR(INDEX('R6. Sky Summary'!$C$67:$AA$80,MATCH($E156,'R6. Sky Summary'!$B$67:$B$80,0),MATCH(P$85,'R6. Sky Summary'!$C$9:$AA$9,0)),"")</f>
        <v>72.590788079294015</v>
      </c>
      <c r="Q156" s="34">
        <f>IFERROR(INDEX('R6. Sky Summary'!$C$67:$AA$80,MATCH($E156,'R6. Sky Summary'!$B$67:$B$80,0),MATCH(Q$85,'R6. Sky Summary'!$C$9:$AA$9,0)),"")</f>
        <v>80.228152111748471</v>
      </c>
      <c r="R156" s="34">
        <f>IFERROR(INDEX('R6. Sky Summary'!$C$67:$AA$80,MATCH($E156,'R6. Sky Summary'!$B$67:$B$80,0),MATCH(R$85,'R6. Sky Summary'!$C$9:$AA$9,0)),"")</f>
        <v>88.683527177998229</v>
      </c>
      <c r="S156" s="34">
        <f>IFERROR(INDEX('R6. Sky Summary'!$C$67:$AA$80,MATCH($E156,'R6. Sky Summary'!$B$67:$B$80,0),MATCH(S$85,'R6. Sky Summary'!$C$9:$AA$9,0)),"")</f>
        <v>96.748558816119569</v>
      </c>
    </row>
    <row r="157" spans="1:19" x14ac:dyDescent="0.3">
      <c r="A157" s="3" t="s">
        <v>497</v>
      </c>
      <c r="B157" s="3" t="s">
        <v>384</v>
      </c>
      <c r="C157" s="3" t="str">
        <f>INDEX('R1. Scenario specifications'!$C$11:$C$59,MATCH($B157,'R1. Scenario specifications'!$A$11:$A$59,0))</f>
        <v>Sky Scenario, Royal Dutch Shell</v>
      </c>
      <c r="D157" s="3" t="s">
        <v>256</v>
      </c>
      <c r="E157" s="3" t="s">
        <v>536</v>
      </c>
      <c r="F157" s="3" t="s">
        <v>486</v>
      </c>
      <c r="G157" s="34" t="str">
        <f>IFERROR(INDEX('R6. Sky Summary'!$C$67:$AA$80,MATCH($E157,'R6. Sky Summary'!$B$67:$B$80,0),MATCH(G$85,'R6. Sky Summary'!$C$9:$AA$9,0)),"")</f>
        <v/>
      </c>
      <c r="H157" s="34">
        <f>IFERROR(INDEX('R6. Sky Summary'!$C$67:$AA$80,MATCH($E157,'R6. Sky Summary'!$B$67:$B$80,0),MATCH(H$85,'R6. Sky Summary'!$C$9:$AA$9,0)),"")</f>
        <v>14.027620208487081</v>
      </c>
      <c r="I157" s="34" t="str">
        <f>IFERROR(INDEX('R6. Sky Summary'!$C$67:$AA$80,MATCH($E157,'R6. Sky Summary'!$B$67:$B$80,0),MATCH(I$85,'R6. Sky Summary'!$C$9:$AA$9,0)),"")</f>
        <v/>
      </c>
      <c r="J157" s="34" t="str">
        <f>IFERROR(INDEX('R6. Sky Summary'!$C$67:$AA$80,MATCH($E157,'R6. Sky Summary'!$B$67:$B$80,0),MATCH(J$85,'R6. Sky Summary'!$C$9:$AA$9,0)),"")</f>
        <v/>
      </c>
      <c r="K157" s="34">
        <f>IFERROR(INDEX('R6. Sky Summary'!$C$67:$AA$80,MATCH($E157,'R6. Sky Summary'!$B$67:$B$80,0),MATCH(K$85,'R6. Sky Summary'!$C$9:$AA$9,0)),"")</f>
        <v>14.198569143761546</v>
      </c>
      <c r="L157" s="34">
        <f>IFERROR(INDEX('R6. Sky Summary'!$C$67:$AA$80,MATCH($E157,'R6. Sky Summary'!$B$67:$B$80,0),MATCH(L$85,'R6. Sky Summary'!$C$9:$AA$9,0)),"")</f>
        <v>14.982546123002344</v>
      </c>
      <c r="M157" s="34">
        <f>IFERROR(INDEX('R6. Sky Summary'!$C$67:$AA$80,MATCH($E157,'R6. Sky Summary'!$B$67:$B$80,0),MATCH(M$85,'R6. Sky Summary'!$C$9:$AA$9,0)),"")</f>
        <v>15.654168805931048</v>
      </c>
      <c r="N157" s="34">
        <f>IFERROR(INDEX('R6. Sky Summary'!$C$67:$AA$80,MATCH($E157,'R6. Sky Summary'!$B$67:$B$80,0),MATCH(N$85,'R6. Sky Summary'!$C$9:$AA$9,0)),"")</f>
        <v>16.602918857680073</v>
      </c>
      <c r="O157" s="34">
        <f>IFERROR(INDEX('R6. Sky Summary'!$C$67:$AA$80,MATCH($E157,'R6. Sky Summary'!$B$67:$B$80,0),MATCH(O$85,'R6. Sky Summary'!$C$9:$AA$9,0)),"")</f>
        <v>17.545812110545612</v>
      </c>
      <c r="P157" s="34">
        <f>IFERROR(INDEX('R6. Sky Summary'!$C$67:$AA$80,MATCH($E157,'R6. Sky Summary'!$B$67:$B$80,0),MATCH(P$85,'R6. Sky Summary'!$C$9:$AA$9,0)),"")</f>
        <v>18.443187585397123</v>
      </c>
      <c r="Q157" s="34">
        <f>IFERROR(INDEX('R6. Sky Summary'!$C$67:$AA$80,MATCH($E157,'R6. Sky Summary'!$B$67:$B$80,0),MATCH(Q$85,'R6. Sky Summary'!$C$9:$AA$9,0)),"")</f>
        <v>19.356530813995825</v>
      </c>
      <c r="R157" s="34">
        <f>IFERROR(INDEX('R6. Sky Summary'!$C$67:$AA$80,MATCH($E157,'R6. Sky Summary'!$B$67:$B$80,0),MATCH(R$85,'R6. Sky Summary'!$C$9:$AA$9,0)),"")</f>
        <v>20.274259958812962</v>
      </c>
      <c r="S157" s="34">
        <f>IFERROR(INDEX('R6. Sky Summary'!$C$67:$AA$80,MATCH($E157,'R6. Sky Summary'!$B$67:$B$80,0),MATCH(S$85,'R6. Sky Summary'!$C$9:$AA$9,0)),"")</f>
        <v>21.169350868937226</v>
      </c>
    </row>
    <row r="158" spans="1:19" x14ac:dyDescent="0.3">
      <c r="A158" s="3" t="s">
        <v>497</v>
      </c>
      <c r="B158" s="3" t="s">
        <v>384</v>
      </c>
      <c r="C158" s="3" t="str">
        <f>INDEX('R1. Scenario specifications'!$C$11:$C$59,MATCH($B158,'R1. Scenario specifications'!$A$11:$A$59,0))</f>
        <v>Sky Scenario, Royal Dutch Shell</v>
      </c>
      <c r="D158" s="3" t="s">
        <v>461</v>
      </c>
      <c r="E158" s="3" t="s">
        <v>506</v>
      </c>
      <c r="F158" s="3" t="s">
        <v>486</v>
      </c>
      <c r="G158" s="34" t="str">
        <f>IFERROR(INDEX('R6. Sky Summary'!$C$67:$AA$80,MATCH($E158,'R6. Sky Summary'!$B$67:$B$80,0),MATCH(G$85,'R6. Sky Summary'!$C$9:$AA$9,0)),"")</f>
        <v/>
      </c>
      <c r="H158" s="34">
        <f>IFERROR(INDEX('R6. Sky Summary'!$C$67:$AA$80,MATCH($E158,'R6. Sky Summary'!$B$67:$B$80,0),MATCH(H$85,'R6. Sky Summary'!$C$9:$AA$9,0)),"")</f>
        <v>2.8596084899943528</v>
      </c>
      <c r="I158" s="34" t="str">
        <f>IFERROR(INDEX('R6. Sky Summary'!$C$67:$AA$80,MATCH($E158,'R6. Sky Summary'!$B$67:$B$80,0),MATCH(I$85,'R6. Sky Summary'!$C$9:$AA$9,0)),"")</f>
        <v/>
      </c>
      <c r="J158" s="34" t="str">
        <f>IFERROR(INDEX('R6. Sky Summary'!$C$67:$AA$80,MATCH($E158,'R6. Sky Summary'!$B$67:$B$80,0),MATCH(J$85,'R6. Sky Summary'!$C$9:$AA$9,0)),"")</f>
        <v/>
      </c>
      <c r="K158" s="34">
        <f>IFERROR(INDEX('R6. Sky Summary'!$C$67:$AA$80,MATCH($E158,'R6. Sky Summary'!$B$67:$B$80,0),MATCH(K$85,'R6. Sky Summary'!$C$9:$AA$9,0)),"")</f>
        <v>3.3480923523817139</v>
      </c>
      <c r="L158" s="34">
        <f>IFERROR(INDEX('R6. Sky Summary'!$C$67:$AA$80,MATCH($E158,'R6. Sky Summary'!$B$67:$B$80,0),MATCH(L$85,'R6. Sky Summary'!$C$9:$AA$9,0)),"")</f>
        <v>4.0222295988580852</v>
      </c>
      <c r="M158" s="34">
        <f>IFERROR(INDEX('R6. Sky Summary'!$C$67:$AA$80,MATCH($E158,'R6. Sky Summary'!$B$67:$B$80,0),MATCH(M$85,'R6. Sky Summary'!$C$9:$AA$9,0)),"")</f>
        <v>5.1160781281145864</v>
      </c>
      <c r="N158" s="34">
        <f>IFERROR(INDEX('R6. Sky Summary'!$C$67:$AA$80,MATCH($E158,'R6. Sky Summary'!$B$67:$B$80,0),MATCH(N$85,'R6. Sky Summary'!$C$9:$AA$9,0)),"")</f>
        <v>7.4101847406461907</v>
      </c>
      <c r="O158" s="34">
        <f>IFERROR(INDEX('R6. Sky Summary'!$C$67:$AA$80,MATCH($E158,'R6. Sky Summary'!$B$67:$B$80,0),MATCH(O$85,'R6. Sky Summary'!$C$9:$AA$9,0)),"")</f>
        <v>12.007321090539294</v>
      </c>
      <c r="P158" s="34">
        <f>IFERROR(INDEX('R6. Sky Summary'!$C$67:$AA$80,MATCH($E158,'R6. Sky Summary'!$B$67:$B$80,0),MATCH(P$85,'R6. Sky Summary'!$C$9:$AA$9,0)),"")</f>
        <v>19.54861399981024</v>
      </c>
      <c r="Q158" s="34">
        <f>IFERROR(INDEX('R6. Sky Summary'!$C$67:$AA$80,MATCH($E158,'R6. Sky Summary'!$B$67:$B$80,0),MATCH(Q$85,'R6. Sky Summary'!$C$9:$AA$9,0)),"")</f>
        <v>27.792879601785778</v>
      </c>
      <c r="R158" s="34">
        <f>IFERROR(INDEX('R6. Sky Summary'!$C$67:$AA$80,MATCH($E158,'R6. Sky Summary'!$B$67:$B$80,0),MATCH(R$85,'R6. Sky Summary'!$C$9:$AA$9,0)),"")</f>
        <v>34.218001809897075</v>
      </c>
      <c r="S158" s="34">
        <f>IFERROR(INDEX('R6. Sky Summary'!$C$67:$AA$80,MATCH($E158,'R6. Sky Summary'!$B$67:$B$80,0),MATCH(S$85,'R6. Sky Summary'!$C$9:$AA$9,0)),"")</f>
        <v>36.771412935188884</v>
      </c>
    </row>
    <row r="159" spans="1:19" x14ac:dyDescent="0.3">
      <c r="A159" s="3" t="s">
        <v>497</v>
      </c>
      <c r="B159" s="3" t="s">
        <v>384</v>
      </c>
      <c r="C159" s="3" t="str">
        <f>INDEX('R1. Scenario specifications'!$C$11:$C$59,MATCH($B159,'R1. Scenario specifications'!$A$11:$A$59,0))</f>
        <v>Sky Scenario, Royal Dutch Shell</v>
      </c>
      <c r="D159" s="3" t="s">
        <v>461</v>
      </c>
      <c r="E159" s="3" t="s">
        <v>259</v>
      </c>
      <c r="F159" s="3" t="s">
        <v>486</v>
      </c>
      <c r="G159" s="34" t="str">
        <f>IFERROR(INDEX('R6. Sky Summary'!$C$67:$AA$80,MATCH($E159,'R6. Sky Summary'!$B$67:$B$80,0),MATCH(G$85,'R6. Sky Summary'!$C$9:$AA$9,0)),"")</f>
        <v/>
      </c>
      <c r="H159" s="34">
        <f>IFERROR(INDEX('R6. Sky Summary'!$C$67:$AA$80,MATCH($E159,'R6. Sky Summary'!$B$67:$B$80,0),MATCH(H$85,'R6. Sky Summary'!$C$9:$AA$9,0)),"")</f>
        <v>2.2604857407714118</v>
      </c>
      <c r="I159" s="34" t="str">
        <f>IFERROR(INDEX('R6. Sky Summary'!$C$67:$AA$80,MATCH($E159,'R6. Sky Summary'!$B$67:$B$80,0),MATCH(I$85,'R6. Sky Summary'!$C$9:$AA$9,0)),"")</f>
        <v/>
      </c>
      <c r="J159" s="34" t="str">
        <f>IFERROR(INDEX('R6. Sky Summary'!$C$67:$AA$80,MATCH($E159,'R6. Sky Summary'!$B$67:$B$80,0),MATCH(J$85,'R6. Sky Summary'!$C$9:$AA$9,0)),"")</f>
        <v/>
      </c>
      <c r="K159" s="34">
        <f>IFERROR(INDEX('R6. Sky Summary'!$C$67:$AA$80,MATCH($E159,'R6. Sky Summary'!$B$67:$B$80,0),MATCH(K$85,'R6. Sky Summary'!$C$9:$AA$9,0)),"")</f>
        <v>5.9319806163814519</v>
      </c>
      <c r="L159" s="34">
        <f>IFERROR(INDEX('R6. Sky Summary'!$C$67:$AA$80,MATCH($E159,'R6. Sky Summary'!$B$67:$B$80,0),MATCH(L$85,'R6. Sky Summary'!$C$9:$AA$9,0)),"")</f>
        <v>12.62717799551344</v>
      </c>
      <c r="M159" s="34">
        <f>IFERROR(INDEX('R6. Sky Summary'!$C$67:$AA$80,MATCH($E159,'R6. Sky Summary'!$B$67:$B$80,0),MATCH(M$85,'R6. Sky Summary'!$C$9:$AA$9,0)),"")</f>
        <v>27.181400207564426</v>
      </c>
      <c r="N159" s="34">
        <f>IFERROR(INDEX('R6. Sky Summary'!$C$67:$AA$80,MATCH($E159,'R6. Sky Summary'!$B$67:$B$80,0),MATCH(N$85,'R6. Sky Summary'!$C$9:$AA$9,0)),"")</f>
        <v>47.989256980870039</v>
      </c>
      <c r="O159" s="34">
        <f>IFERROR(INDEX('R6. Sky Summary'!$C$67:$AA$80,MATCH($E159,'R6. Sky Summary'!$B$67:$B$80,0),MATCH(O$85,'R6. Sky Summary'!$C$9:$AA$9,0)),"")</f>
        <v>70.249363009898232</v>
      </c>
      <c r="P159" s="34">
        <f>IFERROR(INDEX('R6. Sky Summary'!$C$67:$AA$80,MATCH($E159,'R6. Sky Summary'!$B$67:$B$80,0),MATCH(P$85,'R6. Sky Summary'!$C$9:$AA$9,0)),"")</f>
        <v>96.566200638282822</v>
      </c>
      <c r="Q159" s="34">
        <f>IFERROR(INDEX('R6. Sky Summary'!$C$67:$AA$80,MATCH($E159,'R6. Sky Summary'!$B$67:$B$80,0),MATCH(Q$85,'R6. Sky Summary'!$C$9:$AA$9,0)),"")</f>
        <v>127.40297274398978</v>
      </c>
      <c r="R159" s="34">
        <f>IFERROR(INDEX('R6. Sky Summary'!$C$67:$AA$80,MATCH($E159,'R6. Sky Summary'!$B$67:$B$80,0),MATCH(R$85,'R6. Sky Summary'!$C$9:$AA$9,0)),"")</f>
        <v>165.81894029021427</v>
      </c>
      <c r="S159" s="34">
        <f>IFERROR(INDEX('R6. Sky Summary'!$C$67:$AA$80,MATCH($E159,'R6. Sky Summary'!$B$67:$B$80,0),MATCH(S$85,'R6. Sky Summary'!$C$9:$AA$9,0)),"")</f>
        <v>217.86043220108027</v>
      </c>
    </row>
    <row r="160" spans="1:19" x14ac:dyDescent="0.3">
      <c r="A160" s="3" t="s">
        <v>497</v>
      </c>
      <c r="B160" s="3" t="s">
        <v>384</v>
      </c>
      <c r="C160" s="3" t="str">
        <f>INDEX('R1. Scenario specifications'!$C$11:$C$59,MATCH($B160,'R1. Scenario specifications'!$A$11:$A$59,0))</f>
        <v>Sky Scenario, Royal Dutch Shell</v>
      </c>
      <c r="D160" s="3" t="s">
        <v>461</v>
      </c>
      <c r="E160" s="3" t="s">
        <v>260</v>
      </c>
      <c r="F160" s="3" t="s">
        <v>486</v>
      </c>
      <c r="G160" s="34" t="str">
        <f>IFERROR(INDEX('R6. Sky Summary'!$C$67:$AA$80,MATCH($E160,'R6. Sky Summary'!$B$67:$B$80,0),MATCH(G$85,'R6. Sky Summary'!$C$9:$AA$9,0)),"")</f>
        <v/>
      </c>
      <c r="H160" s="34">
        <f>IFERROR(INDEX('R6. Sky Summary'!$C$67:$AA$80,MATCH($E160,'R6. Sky Summary'!$B$67:$B$80,0),MATCH(H$85,'R6. Sky Summary'!$C$9:$AA$9,0)),"")</f>
        <v>3.030511438550592</v>
      </c>
      <c r="I160" s="34" t="str">
        <f>IFERROR(INDEX('R6. Sky Summary'!$C$67:$AA$80,MATCH($E160,'R6. Sky Summary'!$B$67:$B$80,0),MATCH(I$85,'R6. Sky Summary'!$C$9:$AA$9,0)),"")</f>
        <v/>
      </c>
      <c r="J160" s="34" t="str">
        <f>IFERROR(INDEX('R6. Sky Summary'!$C$67:$AA$80,MATCH($E160,'R6. Sky Summary'!$B$67:$B$80,0),MATCH(J$85,'R6. Sky Summary'!$C$9:$AA$9,0)),"")</f>
        <v/>
      </c>
      <c r="K160" s="34">
        <f>IFERROR(INDEX('R6. Sky Summary'!$C$67:$AA$80,MATCH($E160,'R6. Sky Summary'!$B$67:$B$80,0),MATCH(K$85,'R6. Sky Summary'!$C$9:$AA$9,0)),"")</f>
        <v>5.9817815348779337</v>
      </c>
      <c r="L160" s="34">
        <f>IFERROR(INDEX('R6. Sky Summary'!$C$67:$AA$80,MATCH($E160,'R6. Sky Summary'!$B$67:$B$80,0),MATCH(L$85,'R6. Sky Summary'!$C$9:$AA$9,0)),"")</f>
        <v>10.201958785559629</v>
      </c>
      <c r="M160" s="34">
        <f>IFERROR(INDEX('R6. Sky Summary'!$C$67:$AA$80,MATCH($E160,'R6. Sky Summary'!$B$67:$B$80,0),MATCH(M$85,'R6. Sky Summary'!$C$9:$AA$9,0)),"")</f>
        <v>16.038651451905018</v>
      </c>
      <c r="N160" s="34">
        <f>IFERROR(INDEX('R6. Sky Summary'!$C$67:$AA$80,MATCH($E160,'R6. Sky Summary'!$B$67:$B$80,0),MATCH(N$85,'R6. Sky Summary'!$C$9:$AA$9,0)),"")</f>
        <v>27.017859139612934</v>
      </c>
      <c r="O160" s="34">
        <f>IFERROR(INDEX('R6. Sky Summary'!$C$67:$AA$80,MATCH($E160,'R6. Sky Summary'!$B$67:$B$80,0),MATCH(O$85,'R6. Sky Summary'!$C$9:$AA$9,0)),"")</f>
        <v>41.885149235062968</v>
      </c>
      <c r="P160" s="34">
        <f>IFERROR(INDEX('R6. Sky Summary'!$C$67:$AA$80,MATCH($E160,'R6. Sky Summary'!$B$67:$B$80,0),MATCH(P$85,'R6. Sky Summary'!$C$9:$AA$9,0)),"")</f>
        <v>61.636619270738613</v>
      </c>
      <c r="Q160" s="34">
        <f>IFERROR(INDEX('R6. Sky Summary'!$C$67:$AA$80,MATCH($E160,'R6. Sky Summary'!$B$67:$B$80,0),MATCH(Q$85,'R6. Sky Summary'!$C$9:$AA$9,0)),"")</f>
        <v>88.441583248835187</v>
      </c>
      <c r="R160" s="34">
        <f>IFERROR(INDEX('R6. Sky Summary'!$C$67:$AA$80,MATCH($E160,'R6. Sky Summary'!$B$67:$B$80,0),MATCH(R$85,'R6. Sky Summary'!$C$9:$AA$9,0)),"")</f>
        <v>110.29734301785409</v>
      </c>
      <c r="S160" s="34">
        <f>IFERROR(INDEX('R6. Sky Summary'!$C$67:$AA$80,MATCH($E160,'R6. Sky Summary'!$B$67:$B$80,0),MATCH(S$85,'R6. Sky Summary'!$C$9:$AA$9,0)),"")</f>
        <v>120.3973281430151</v>
      </c>
    </row>
    <row r="161" spans="1:19" x14ac:dyDescent="0.3">
      <c r="A161" s="3" t="s">
        <v>497</v>
      </c>
      <c r="B161" s="3" t="s">
        <v>384</v>
      </c>
      <c r="C161" s="3" t="str">
        <f>INDEX('R1. Scenario specifications'!$C$11:$C$59,MATCH($B161,'R1. Scenario specifications'!$A$11:$A$59,0))</f>
        <v>Sky Scenario, Royal Dutch Shell</v>
      </c>
      <c r="D161" s="3" t="s">
        <v>461</v>
      </c>
      <c r="E161" s="3" t="s">
        <v>537</v>
      </c>
      <c r="F161" s="3" t="s">
        <v>486</v>
      </c>
      <c r="G161" s="34" t="str">
        <f>IFERROR(INDEX('R6. Sky Summary'!$C$67:$AA$80,MATCH($E161,'R6. Sky Summary'!$B$67:$B$80,0),MATCH(G$85,'R6. Sky Summary'!$C$9:$AA$9,0)),"")</f>
        <v/>
      </c>
      <c r="H161" s="34">
        <f>IFERROR(INDEX('R6. Sky Summary'!$C$67:$AA$80,MATCH($E161,'R6. Sky Summary'!$B$67:$B$80,0),MATCH(H$85,'R6. Sky Summary'!$C$9:$AA$9,0)),"")</f>
        <v>3.6504353805425411E-3</v>
      </c>
      <c r="I161" s="34" t="str">
        <f>IFERROR(INDEX('R6. Sky Summary'!$C$67:$AA$80,MATCH($E161,'R6. Sky Summary'!$B$67:$B$80,0),MATCH(I$85,'R6. Sky Summary'!$C$9:$AA$9,0)),"")</f>
        <v/>
      </c>
      <c r="J161" s="34" t="str">
        <f>IFERROR(INDEX('R6. Sky Summary'!$C$67:$AA$80,MATCH($E161,'R6. Sky Summary'!$B$67:$B$80,0),MATCH(J$85,'R6. Sky Summary'!$C$9:$AA$9,0)),"")</f>
        <v/>
      </c>
      <c r="K161" s="34">
        <f>IFERROR(INDEX('R6. Sky Summary'!$C$67:$AA$80,MATCH($E161,'R6. Sky Summary'!$B$67:$B$80,0),MATCH(K$85,'R6. Sky Summary'!$C$9:$AA$9,0)),"")</f>
        <v>6.7884462033553278E-2</v>
      </c>
      <c r="L161" s="34">
        <f>IFERROR(INDEX('R6. Sky Summary'!$C$67:$AA$80,MATCH($E161,'R6. Sky Summary'!$B$67:$B$80,0),MATCH(L$85,'R6. Sky Summary'!$C$9:$AA$9,0)),"")</f>
        <v>0.20393835669503371</v>
      </c>
      <c r="M161" s="34">
        <f>IFERROR(INDEX('R6. Sky Summary'!$C$67:$AA$80,MATCH($E161,'R6. Sky Summary'!$B$67:$B$80,0),MATCH(M$85,'R6. Sky Summary'!$C$9:$AA$9,0)),"")</f>
        <v>0.33695697113095718</v>
      </c>
      <c r="N161" s="34">
        <f>IFERROR(INDEX('R6. Sky Summary'!$C$67:$AA$80,MATCH($E161,'R6. Sky Summary'!$B$67:$B$80,0),MATCH(N$85,'R6. Sky Summary'!$C$9:$AA$9,0)),"")</f>
        <v>0.51322198332228308</v>
      </c>
      <c r="O161" s="34">
        <f>IFERROR(INDEX('R6. Sky Summary'!$C$67:$AA$80,MATCH($E161,'R6. Sky Summary'!$B$67:$B$80,0),MATCH(O$85,'R6. Sky Summary'!$C$9:$AA$9,0)),"")</f>
        <v>0.56738659525778834</v>
      </c>
      <c r="P161" s="34">
        <f>IFERROR(INDEX('R6. Sky Summary'!$C$67:$AA$80,MATCH($E161,'R6. Sky Summary'!$B$67:$B$80,0),MATCH(P$85,'R6. Sky Summary'!$C$9:$AA$9,0)),"")</f>
        <v>0.629623516299613</v>
      </c>
      <c r="Q161" s="34">
        <f>IFERROR(INDEX('R6. Sky Summary'!$C$67:$AA$80,MATCH($E161,'R6. Sky Summary'!$B$67:$B$80,0),MATCH(Q$85,'R6. Sky Summary'!$C$9:$AA$9,0)),"")</f>
        <v>0.71337349187126609</v>
      </c>
      <c r="R161" s="34">
        <f>IFERROR(INDEX('R6. Sky Summary'!$C$67:$AA$80,MATCH($E161,'R6. Sky Summary'!$B$67:$B$80,0),MATCH(R$85,'R6. Sky Summary'!$C$9:$AA$9,0)),"")</f>
        <v>0.81866793773708413</v>
      </c>
      <c r="S161" s="34">
        <f>IFERROR(INDEX('R6. Sky Summary'!$C$67:$AA$80,MATCH($E161,'R6. Sky Summary'!$B$67:$B$80,0),MATCH(S$85,'R6. Sky Summary'!$C$9:$AA$9,0)),"")</f>
        <v>0.864028011744855</v>
      </c>
    </row>
  </sheetData>
  <conditionalFormatting sqref="V85:XFD92 A272:XFD1048576 A85:A99 C85:S85 C87:J92 P93:XFD99 G93:J106 L86:S92 L100:XFD106 F107:XFD120 E121:XFD134 G135:XFD148 E149:XFD204 A83:XFD84 A12:D12 A107:C271 F205:XFD271 A1:XFD11 F12:XFD82 A13:A82 C13:D82 D86:J86">
    <cfRule type="expression" dxfId="63" priority="11">
      <formula>_xlfn.ISFORMULA(A1)</formula>
    </cfRule>
  </conditionalFormatting>
  <conditionalFormatting sqref="A100:A106">
    <cfRule type="expression" dxfId="62" priority="10">
      <formula>_xlfn.ISFORMULA(A100)</formula>
    </cfRule>
  </conditionalFormatting>
  <conditionalFormatting sqref="C93:F99">
    <cfRule type="expression" dxfId="61" priority="9">
      <formula>_xlfn.ISFORMULA(C93)</formula>
    </cfRule>
  </conditionalFormatting>
  <conditionalFormatting sqref="C100:F106">
    <cfRule type="expression" dxfId="60" priority="8">
      <formula>_xlfn.ISFORMULA(C100)</formula>
    </cfRule>
  </conditionalFormatting>
  <conditionalFormatting sqref="K86:K92">
    <cfRule type="expression" dxfId="59" priority="7">
      <formula>_xlfn.ISFORMULA(K86)</formula>
    </cfRule>
  </conditionalFormatting>
  <conditionalFormatting sqref="L93:O99">
    <cfRule type="expression" dxfId="58" priority="6">
      <formula>_xlfn.ISFORMULA(L93)</formula>
    </cfRule>
  </conditionalFormatting>
  <conditionalFormatting sqref="K93:K106">
    <cfRule type="expression" dxfId="57" priority="5">
      <formula>_xlfn.ISFORMULA(K93)</formula>
    </cfRule>
  </conditionalFormatting>
  <conditionalFormatting sqref="E135:F141">
    <cfRule type="expression" dxfId="56" priority="4">
      <formula>_xlfn.ISFORMULA(E135)</formula>
    </cfRule>
  </conditionalFormatting>
  <conditionalFormatting sqref="E142:F148">
    <cfRule type="expression" dxfId="55" priority="3">
      <formula>_xlfn.ISFORMULA(E142)</formula>
    </cfRule>
  </conditionalFormatting>
  <conditionalFormatting sqref="B13:B82">
    <cfRule type="expression" dxfId="54" priority="2">
      <formula>_xlfn.ISFORMULA(B13)</formula>
    </cfRule>
  </conditionalFormatting>
  <conditionalFormatting sqref="C86">
    <cfRule type="expression" dxfId="53" priority="1">
      <formula>_xlfn.ISFORMULA(C86)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FB3CD-45F3-44CC-BEB6-F9E7B6D4C199}">
  <sheetPr>
    <tabColor theme="5" tint="0.39997558519241921"/>
    <pageSetUpPr autoPageBreaks="0"/>
  </sheetPr>
  <dimension ref="A1:AB207"/>
  <sheetViews>
    <sheetView workbookViewId="0"/>
  </sheetViews>
  <sheetFormatPr defaultColWidth="15.77734375" defaultRowHeight="14.4" x14ac:dyDescent="0.3"/>
  <cols>
    <col min="1" max="2" width="15.77734375" style="3" customWidth="1"/>
    <col min="3" max="15" width="12.77734375" style="3" customWidth="1"/>
    <col min="16" max="16" width="15.77734375" style="3" customWidth="1"/>
    <col min="17" max="16384" width="15.77734375" style="3"/>
  </cols>
  <sheetData>
    <row r="1" spans="1:18" s="13" customFormat="1" ht="36.6" x14ac:dyDescent="0.7">
      <c r="A1" s="13" t="s">
        <v>538</v>
      </c>
    </row>
    <row r="2" spans="1:18" s="5" customFormat="1" x14ac:dyDescent="0.3">
      <c r="A2" s="5" t="s">
        <v>5</v>
      </c>
      <c r="B2" s="5" t="s">
        <v>539</v>
      </c>
    </row>
    <row r="3" spans="1:18" s="5" customFormat="1" x14ac:dyDescent="0.3">
      <c r="A3" s="5" t="s">
        <v>6</v>
      </c>
      <c r="B3" s="5" t="s">
        <v>540</v>
      </c>
    </row>
    <row r="4" spans="1:18" s="5" customFormat="1" x14ac:dyDescent="0.3">
      <c r="A4" s="5" t="s">
        <v>4</v>
      </c>
      <c r="B4" s="5" t="s">
        <v>541</v>
      </c>
    </row>
    <row r="5" spans="1:18" s="5" customFormat="1" x14ac:dyDescent="0.3">
      <c r="A5" s="5" t="s">
        <v>2</v>
      </c>
      <c r="B5" s="5" t="s">
        <v>526</v>
      </c>
    </row>
    <row r="6" spans="1:18" s="5" customFormat="1" x14ac:dyDescent="0.3">
      <c r="A6" s="5" t="s">
        <v>478</v>
      </c>
      <c r="B6" s="5" t="s">
        <v>81</v>
      </c>
    </row>
    <row r="7" spans="1:18" ht="15" thickBot="1" x14ac:dyDescent="0.35"/>
    <row r="8" spans="1:18" s="15" customFormat="1" ht="15" thickBot="1" x14ac:dyDescent="0.35">
      <c r="A8" s="15" t="s">
        <v>487</v>
      </c>
    </row>
    <row r="9" spans="1:18" x14ac:dyDescent="0.3">
      <c r="A9" s="3" t="s">
        <v>8</v>
      </c>
      <c r="B9" s="3" t="s">
        <v>86</v>
      </c>
      <c r="C9" s="3" t="s">
        <v>252</v>
      </c>
      <c r="D9" s="3" t="s">
        <v>430</v>
      </c>
      <c r="E9" s="3">
        <v>2014</v>
      </c>
      <c r="F9" s="3">
        <v>2015</v>
      </c>
      <c r="G9" s="3">
        <v>2016</v>
      </c>
      <c r="H9" s="3">
        <v>2017</v>
      </c>
      <c r="I9" s="3">
        <v>2020</v>
      </c>
      <c r="J9" s="3">
        <v>2025</v>
      </c>
      <c r="K9" s="3">
        <v>2030</v>
      </c>
      <c r="L9" s="3">
        <v>2035</v>
      </c>
      <c r="M9" s="3">
        <v>2040</v>
      </c>
      <c r="N9" s="3">
        <v>2045</v>
      </c>
      <c r="O9" s="3">
        <v>2050</v>
      </c>
      <c r="P9" s="3">
        <v>2055</v>
      </c>
      <c r="Q9" s="3">
        <v>2060</v>
      </c>
    </row>
    <row r="10" spans="1:18" x14ac:dyDescent="0.3">
      <c r="A10" s="3" t="s">
        <v>368</v>
      </c>
      <c r="B10" s="3" t="str">
        <f>INDEX('R1. Scenario specifications'!$C$11:$C$59,MATCH($A10,'R1. Scenario specifications'!$A$11:$A$59,0))</f>
        <v>Current Policies Scenario, World Energy Outlook 2018</v>
      </c>
      <c r="C10" s="3" t="s">
        <v>254</v>
      </c>
      <c r="D10" s="3" t="s">
        <v>542</v>
      </c>
      <c r="E10" s="34" t="str">
        <f>IF(SUMIFS(G$94:G$207,$B$94:$B$207,$A10)=0,"",SUMIFS(G$94:G$207,$B$94:$B$207,$A10,$D$94:$D$207,$C10))</f>
        <v/>
      </c>
      <c r="F10" s="34" t="str">
        <f t="shared" ref="F10:Q25" si="0">IF(SUMIFS(H$94:H$207,$B$94:$B$207,$A10)=0,"",SUMIFS(H$94:H$207,$B$94:$B$207,$A10,$D$94:$D$207,$C10))</f>
        <v/>
      </c>
      <c r="G10" s="34">
        <f t="shared" si="0"/>
        <v>9575</v>
      </c>
      <c r="H10" s="34">
        <f t="shared" si="0"/>
        <v>9858</v>
      </c>
      <c r="I10" s="34">
        <f t="shared" si="0"/>
        <v>10171.5</v>
      </c>
      <c r="J10" s="34">
        <f t="shared" si="0"/>
        <v>10694</v>
      </c>
      <c r="K10" s="34">
        <f t="shared" si="0"/>
        <v>11722</v>
      </c>
      <c r="L10" s="34">
        <f t="shared" si="0"/>
        <v>12834</v>
      </c>
      <c r="M10" s="34">
        <f t="shared" si="0"/>
        <v>13910</v>
      </c>
      <c r="N10" s="34">
        <f t="shared" si="0"/>
        <v>14986</v>
      </c>
      <c r="O10" s="34">
        <f t="shared" si="0"/>
        <v>16062</v>
      </c>
      <c r="P10" s="34">
        <f t="shared" si="0"/>
        <v>17138</v>
      </c>
      <c r="Q10" s="34">
        <f t="shared" si="0"/>
        <v>18214</v>
      </c>
      <c r="R10" s="34"/>
    </row>
    <row r="11" spans="1:18" x14ac:dyDescent="0.3">
      <c r="A11" s="3" t="s">
        <v>368</v>
      </c>
      <c r="B11" s="3" t="str">
        <f>INDEX('R1. Scenario specifications'!$C$11:$C$59,MATCH($A11,'R1. Scenario specifications'!$A$11:$A$59,0))</f>
        <v>Current Policies Scenario, World Energy Outlook 2018</v>
      </c>
      <c r="C11" s="3" t="s">
        <v>266</v>
      </c>
      <c r="D11" s="3" t="s">
        <v>542</v>
      </c>
      <c r="E11" s="34" t="str">
        <f t="shared" ref="E11:Q44" si="1">IF(SUMIFS(G$94:G$207,$B$94:$B$207,$A11)=0,"",SUMIFS(G$94:G$207,$B$94:$B$207,$A11,$D$94:$D$207,$C11))</f>
        <v/>
      </c>
      <c r="F11" s="34" t="str">
        <f t="shared" si="0"/>
        <v/>
      </c>
      <c r="G11" s="34">
        <f t="shared" si="0"/>
        <v>926</v>
      </c>
      <c r="H11" s="34">
        <f t="shared" si="0"/>
        <v>940</v>
      </c>
      <c r="I11" s="34">
        <f t="shared" si="0"/>
        <v>879.625</v>
      </c>
      <c r="J11" s="34">
        <f t="shared" si="0"/>
        <v>779</v>
      </c>
      <c r="K11" s="34">
        <f t="shared" si="0"/>
        <v>697</v>
      </c>
      <c r="L11" s="34">
        <f t="shared" si="0"/>
        <v>642</v>
      </c>
      <c r="M11" s="34">
        <f t="shared" si="0"/>
        <v>610</v>
      </c>
      <c r="N11" s="34">
        <f t="shared" si="0"/>
        <v>578</v>
      </c>
      <c r="O11" s="34">
        <f t="shared" si="0"/>
        <v>546</v>
      </c>
      <c r="P11" s="34">
        <f t="shared" si="0"/>
        <v>514</v>
      </c>
      <c r="Q11" s="34">
        <f t="shared" si="0"/>
        <v>482</v>
      </c>
      <c r="R11" s="34"/>
    </row>
    <row r="12" spans="1:18" x14ac:dyDescent="0.3">
      <c r="A12" s="3" t="s">
        <v>368</v>
      </c>
      <c r="B12" s="3" t="str">
        <f>INDEX('R1. Scenario specifications'!$C$11:$C$59,MATCH($A12,'R1. Scenario specifications'!$A$11:$A$59,0))</f>
        <v>Current Policies Scenario, World Energy Outlook 2018</v>
      </c>
      <c r="C12" s="3" t="s">
        <v>255</v>
      </c>
      <c r="D12" s="3" t="s">
        <v>542</v>
      </c>
      <c r="E12" s="34" t="str">
        <f t="shared" si="1"/>
        <v/>
      </c>
      <c r="F12" s="34" t="str">
        <f t="shared" si="0"/>
        <v/>
      </c>
      <c r="G12" s="34">
        <f t="shared" si="0"/>
        <v>5781</v>
      </c>
      <c r="H12" s="34">
        <f t="shared" si="0"/>
        <v>5855</v>
      </c>
      <c r="I12" s="34">
        <f t="shared" si="0"/>
        <v>6311.375</v>
      </c>
      <c r="J12" s="34">
        <f t="shared" si="0"/>
        <v>7072</v>
      </c>
      <c r="K12" s="34">
        <f t="shared" si="0"/>
        <v>8172</v>
      </c>
      <c r="L12" s="34">
        <f t="shared" si="0"/>
        <v>9262</v>
      </c>
      <c r="M12" s="34">
        <f t="shared" si="0"/>
        <v>10295</v>
      </c>
      <c r="N12" s="34">
        <f t="shared" si="0"/>
        <v>11328</v>
      </c>
      <c r="O12" s="34">
        <f t="shared" si="0"/>
        <v>12361</v>
      </c>
      <c r="P12" s="34">
        <f t="shared" si="0"/>
        <v>13394</v>
      </c>
      <c r="Q12" s="34">
        <f t="shared" si="0"/>
        <v>14427</v>
      </c>
      <c r="R12" s="34"/>
    </row>
    <row r="13" spans="1:18" x14ac:dyDescent="0.3">
      <c r="A13" s="3" t="s">
        <v>368</v>
      </c>
      <c r="B13" s="3" t="str">
        <f>INDEX('R1. Scenario specifications'!$C$11:$C$59,MATCH($A13,'R1. Scenario specifications'!$A$11:$A$59,0))</f>
        <v>Current Policies Scenario, World Energy Outlook 2018</v>
      </c>
      <c r="C13" s="3" t="s">
        <v>257</v>
      </c>
      <c r="D13" s="3" t="s">
        <v>542</v>
      </c>
      <c r="E13" s="34" t="str">
        <f t="shared" si="1"/>
        <v/>
      </c>
      <c r="F13" s="34" t="str">
        <f t="shared" si="0"/>
        <v/>
      </c>
      <c r="G13" s="34">
        <f t="shared" si="0"/>
        <v>2605</v>
      </c>
      <c r="H13" s="34">
        <f t="shared" si="0"/>
        <v>2637</v>
      </c>
      <c r="I13" s="34">
        <f t="shared" si="0"/>
        <v>2802.75</v>
      </c>
      <c r="J13" s="34">
        <f t="shared" si="0"/>
        <v>3079</v>
      </c>
      <c r="K13" s="34">
        <f t="shared" si="0"/>
        <v>3239</v>
      </c>
      <c r="L13" s="34">
        <f t="shared" si="0"/>
        <v>3410</v>
      </c>
      <c r="M13" s="34">
        <f t="shared" si="0"/>
        <v>3648</v>
      </c>
      <c r="N13" s="34">
        <f t="shared" si="0"/>
        <v>3886</v>
      </c>
      <c r="O13" s="34">
        <f t="shared" si="0"/>
        <v>4124</v>
      </c>
      <c r="P13" s="34">
        <f t="shared" si="0"/>
        <v>4362</v>
      </c>
      <c r="Q13" s="34">
        <f t="shared" si="0"/>
        <v>4600</v>
      </c>
      <c r="R13" s="34"/>
    </row>
    <row r="14" spans="1:18" x14ac:dyDescent="0.3">
      <c r="A14" s="3" t="s">
        <v>368</v>
      </c>
      <c r="B14" s="3" t="str">
        <f>INDEX('R1. Scenario specifications'!$C$11:$C$59,MATCH($A14,'R1. Scenario specifications'!$A$11:$A$59,0))</f>
        <v>Current Policies Scenario, World Energy Outlook 2018</v>
      </c>
      <c r="C14" s="3" t="s">
        <v>256</v>
      </c>
      <c r="D14" s="3" t="s">
        <v>542</v>
      </c>
      <c r="E14" s="34" t="str">
        <f t="shared" si="1"/>
        <v/>
      </c>
      <c r="F14" s="34" t="str">
        <f t="shared" si="0"/>
        <v/>
      </c>
      <c r="G14" s="34">
        <f t="shared" si="0"/>
        <v>4049</v>
      </c>
      <c r="H14" s="34">
        <f t="shared" si="0"/>
        <v>4109</v>
      </c>
      <c r="I14" s="34">
        <f t="shared" si="0"/>
        <v>4368.5</v>
      </c>
      <c r="J14" s="34">
        <f t="shared" si="0"/>
        <v>4801</v>
      </c>
      <c r="K14" s="34">
        <f t="shared" si="0"/>
        <v>5223</v>
      </c>
      <c r="L14" s="34">
        <f t="shared" si="0"/>
        <v>5605</v>
      </c>
      <c r="M14" s="34">
        <f t="shared" si="0"/>
        <v>5973</v>
      </c>
      <c r="N14" s="34">
        <f t="shared" si="0"/>
        <v>6341</v>
      </c>
      <c r="O14" s="34">
        <f t="shared" si="0"/>
        <v>6709</v>
      </c>
      <c r="P14" s="34">
        <f t="shared" si="0"/>
        <v>7077</v>
      </c>
      <c r="Q14" s="34">
        <f t="shared" si="0"/>
        <v>7445</v>
      </c>
      <c r="R14" s="34"/>
    </row>
    <row r="15" spans="1:18" x14ac:dyDescent="0.3">
      <c r="A15" s="3" t="s">
        <v>368</v>
      </c>
      <c r="B15" s="3" t="str">
        <f>INDEX('R1. Scenario specifications'!$C$11:$C$59,MATCH($A15,'R1. Scenario specifications'!$A$11:$A$59,0))</f>
        <v>Current Policies Scenario, World Energy Outlook 2018</v>
      </c>
      <c r="C15" s="3" t="s">
        <v>253</v>
      </c>
      <c r="D15" s="3" t="s">
        <v>542</v>
      </c>
      <c r="E15" s="34" t="str">
        <f t="shared" si="1"/>
        <v/>
      </c>
      <c r="F15" s="34" t="str">
        <f t="shared" si="0"/>
        <v/>
      </c>
      <c r="G15" s="34">
        <f t="shared" si="0"/>
        <v>569</v>
      </c>
      <c r="H15" s="34">
        <f t="shared" si="0"/>
        <v>623</v>
      </c>
      <c r="I15" s="34">
        <f t="shared" si="0"/>
        <v>716.75</v>
      </c>
      <c r="J15" s="34">
        <f t="shared" si="0"/>
        <v>873</v>
      </c>
      <c r="K15" s="34">
        <f t="shared" si="0"/>
        <v>992</v>
      </c>
      <c r="L15" s="34">
        <f t="shared" si="0"/>
        <v>1109</v>
      </c>
      <c r="M15" s="34">
        <f t="shared" si="0"/>
        <v>1228</v>
      </c>
      <c r="N15" s="34">
        <f t="shared" si="0"/>
        <v>1347</v>
      </c>
      <c r="O15" s="34">
        <f t="shared" si="0"/>
        <v>1466</v>
      </c>
      <c r="P15" s="34">
        <f t="shared" si="0"/>
        <v>1585</v>
      </c>
      <c r="Q15" s="34">
        <f t="shared" si="0"/>
        <v>1704</v>
      </c>
      <c r="R15" s="34"/>
    </row>
    <row r="16" spans="1:18" x14ac:dyDescent="0.3">
      <c r="A16" s="3" t="s">
        <v>368</v>
      </c>
      <c r="B16" s="3" t="str">
        <f>INDEX('R1. Scenario specifications'!$C$11:$C$59,MATCH($A16,'R1. Scenario specifications'!$A$11:$A$59,0))</f>
        <v>Current Policies Scenario, World Energy Outlook 2018</v>
      </c>
      <c r="C16" s="3" t="s">
        <v>260</v>
      </c>
      <c r="D16" s="3" t="s">
        <v>542</v>
      </c>
      <c r="E16" s="34" t="str">
        <f t="shared" si="1"/>
        <v/>
      </c>
      <c r="F16" s="34" t="str">
        <f t="shared" si="0"/>
        <v/>
      </c>
      <c r="G16" s="34">
        <f t="shared" si="0"/>
        <v>957</v>
      </c>
      <c r="H16" s="34">
        <f t="shared" si="0"/>
        <v>1085</v>
      </c>
      <c r="I16" s="34">
        <f t="shared" si="0"/>
        <v>1484.75</v>
      </c>
      <c r="J16" s="34">
        <f t="shared" si="0"/>
        <v>2151</v>
      </c>
      <c r="K16" s="34">
        <f t="shared" si="0"/>
        <v>2668</v>
      </c>
      <c r="L16" s="34">
        <f t="shared" si="0"/>
        <v>3179</v>
      </c>
      <c r="M16" s="34">
        <f t="shared" si="0"/>
        <v>3679</v>
      </c>
      <c r="N16" s="34">
        <f t="shared" si="0"/>
        <v>4179</v>
      </c>
      <c r="O16" s="34">
        <f t="shared" si="0"/>
        <v>4679</v>
      </c>
      <c r="P16" s="34">
        <f t="shared" si="0"/>
        <v>5179</v>
      </c>
      <c r="Q16" s="34">
        <f t="shared" si="0"/>
        <v>5679</v>
      </c>
      <c r="R16" s="34"/>
    </row>
    <row r="17" spans="1:18" x14ac:dyDescent="0.3">
      <c r="A17" s="3" t="s">
        <v>368</v>
      </c>
      <c r="B17" s="3" t="str">
        <f>INDEX('R1. Scenario specifications'!$C$11:$C$59,MATCH($A17,'R1. Scenario specifications'!$A$11:$A$59,0))</f>
        <v>Current Policies Scenario, World Energy Outlook 2018</v>
      </c>
      <c r="C17" s="3" t="s">
        <v>258</v>
      </c>
      <c r="D17" s="3" t="s">
        <v>542</v>
      </c>
      <c r="E17" s="34" t="str">
        <f t="shared" si="1"/>
        <v/>
      </c>
      <c r="F17" s="34" t="str">
        <f t="shared" si="0"/>
        <v/>
      </c>
      <c r="G17" s="34">
        <f t="shared" si="0"/>
        <v>83</v>
      </c>
      <c r="H17" s="34">
        <f t="shared" si="0"/>
        <v>88</v>
      </c>
      <c r="I17" s="34">
        <f t="shared" si="0"/>
        <v>102.625</v>
      </c>
      <c r="J17" s="34">
        <f t="shared" si="0"/>
        <v>127</v>
      </c>
      <c r="K17" s="34">
        <f t="shared" si="0"/>
        <v>178</v>
      </c>
      <c r="L17" s="34">
        <f t="shared" si="0"/>
        <v>239</v>
      </c>
      <c r="M17" s="34">
        <f t="shared" si="0"/>
        <v>306</v>
      </c>
      <c r="N17" s="34">
        <f t="shared" si="0"/>
        <v>373</v>
      </c>
      <c r="O17" s="34">
        <f t="shared" si="0"/>
        <v>440</v>
      </c>
      <c r="P17" s="34">
        <f t="shared" si="0"/>
        <v>507</v>
      </c>
      <c r="Q17" s="34">
        <f t="shared" si="0"/>
        <v>574</v>
      </c>
      <c r="R17" s="34"/>
    </row>
    <row r="18" spans="1:18" x14ac:dyDescent="0.3">
      <c r="A18" s="3" t="s">
        <v>368</v>
      </c>
      <c r="B18" s="3" t="str">
        <f>INDEX('R1. Scenario specifications'!$C$11:$C$59,MATCH($A18,'R1. Scenario specifications'!$A$11:$A$59,0))</f>
        <v>Current Policies Scenario, World Energy Outlook 2018</v>
      </c>
      <c r="C18" s="3" t="s">
        <v>259</v>
      </c>
      <c r="D18" s="3" t="s">
        <v>542</v>
      </c>
      <c r="E18" s="34" t="str">
        <f t="shared" si="1"/>
        <v/>
      </c>
      <c r="F18" s="34" t="str">
        <f t="shared" si="0"/>
        <v/>
      </c>
      <c r="G18" s="34">
        <f t="shared" si="0"/>
        <v>338</v>
      </c>
      <c r="H18" s="34">
        <f t="shared" si="0"/>
        <v>446</v>
      </c>
      <c r="I18" s="34">
        <f t="shared" si="0"/>
        <v>790.25</v>
      </c>
      <c r="J18" s="34">
        <f t="shared" si="0"/>
        <v>1364</v>
      </c>
      <c r="K18" s="34">
        <f t="shared" si="0"/>
        <v>1834</v>
      </c>
      <c r="L18" s="34">
        <f t="shared" si="0"/>
        <v>2371</v>
      </c>
      <c r="M18" s="34">
        <f t="shared" si="0"/>
        <v>3075</v>
      </c>
      <c r="N18" s="34">
        <f t="shared" si="0"/>
        <v>3779</v>
      </c>
      <c r="O18" s="34">
        <f t="shared" si="0"/>
        <v>4483</v>
      </c>
      <c r="P18" s="34">
        <f t="shared" si="0"/>
        <v>5187</v>
      </c>
      <c r="Q18" s="34">
        <f t="shared" si="0"/>
        <v>5891</v>
      </c>
      <c r="R18" s="34"/>
    </row>
    <row r="19" spans="1:18" x14ac:dyDescent="0.3">
      <c r="A19" s="3" t="s">
        <v>370</v>
      </c>
      <c r="B19" s="3" t="str">
        <f>INDEX('R1. Scenario specifications'!$C$11:$C$59,MATCH($A19,'R1. Scenario specifications'!$A$11:$A$59,0))</f>
        <v>New Policies Scenario, World Energy Outlook 2018</v>
      </c>
      <c r="C19" s="3" t="s">
        <v>254</v>
      </c>
      <c r="D19" s="3" t="s">
        <v>542</v>
      </c>
      <c r="E19" s="34" t="str">
        <f t="shared" si="1"/>
        <v/>
      </c>
      <c r="F19" s="34" t="str">
        <f t="shared" si="0"/>
        <v/>
      </c>
      <c r="G19" s="34">
        <f t="shared" si="0"/>
        <v>9575</v>
      </c>
      <c r="H19" s="34">
        <f t="shared" si="0"/>
        <v>9858</v>
      </c>
      <c r="I19" s="34">
        <f t="shared" si="0"/>
        <v>9872.25</v>
      </c>
      <c r="J19" s="34">
        <f t="shared" si="0"/>
        <v>9896</v>
      </c>
      <c r="K19" s="34">
        <f t="shared" si="0"/>
        <v>10016</v>
      </c>
      <c r="L19" s="34">
        <f t="shared" si="0"/>
        <v>10172</v>
      </c>
      <c r="M19" s="34">
        <f t="shared" si="0"/>
        <v>10335</v>
      </c>
      <c r="N19" s="34">
        <f t="shared" si="0"/>
        <v>10498</v>
      </c>
      <c r="O19" s="34">
        <f t="shared" si="0"/>
        <v>10661</v>
      </c>
      <c r="P19" s="34">
        <f t="shared" si="0"/>
        <v>10824</v>
      </c>
      <c r="Q19" s="34">
        <f t="shared" si="0"/>
        <v>10987</v>
      </c>
      <c r="R19" s="34"/>
    </row>
    <row r="20" spans="1:18" x14ac:dyDescent="0.3">
      <c r="A20" s="3" t="s">
        <v>370</v>
      </c>
      <c r="B20" s="3" t="str">
        <f>INDEX('R1. Scenario specifications'!$C$11:$C$59,MATCH($A20,'R1. Scenario specifications'!$A$11:$A$59,0))</f>
        <v>New Policies Scenario, World Energy Outlook 2018</v>
      </c>
      <c r="C20" s="3" t="s">
        <v>266</v>
      </c>
      <c r="D20" s="3" t="s">
        <v>542</v>
      </c>
      <c r="E20" s="34" t="str">
        <f t="shared" si="1"/>
        <v/>
      </c>
      <c r="F20" s="34" t="str">
        <f t="shared" si="0"/>
        <v/>
      </c>
      <c r="G20" s="34">
        <f t="shared" si="0"/>
        <v>926</v>
      </c>
      <c r="H20" s="34">
        <f t="shared" si="0"/>
        <v>940</v>
      </c>
      <c r="I20" s="34">
        <f t="shared" si="0"/>
        <v>873.625</v>
      </c>
      <c r="J20" s="34">
        <f t="shared" si="0"/>
        <v>763</v>
      </c>
      <c r="K20" s="34">
        <f t="shared" si="0"/>
        <v>676</v>
      </c>
      <c r="L20" s="34">
        <f t="shared" si="0"/>
        <v>597</v>
      </c>
      <c r="M20" s="34">
        <f t="shared" si="0"/>
        <v>527</v>
      </c>
      <c r="N20" s="34">
        <f t="shared" si="0"/>
        <v>457</v>
      </c>
      <c r="O20" s="34">
        <f t="shared" si="0"/>
        <v>387</v>
      </c>
      <c r="P20" s="34">
        <f t="shared" si="0"/>
        <v>317</v>
      </c>
      <c r="Q20" s="34">
        <f t="shared" si="0"/>
        <v>247</v>
      </c>
      <c r="R20" s="34"/>
    </row>
    <row r="21" spans="1:18" x14ac:dyDescent="0.3">
      <c r="A21" s="3" t="s">
        <v>370</v>
      </c>
      <c r="B21" s="3" t="str">
        <f>INDEX('R1. Scenario specifications'!$C$11:$C$59,MATCH($A21,'R1. Scenario specifications'!$A$11:$A$59,0))</f>
        <v>New Policies Scenario, World Energy Outlook 2018</v>
      </c>
      <c r="C21" s="3" t="s">
        <v>255</v>
      </c>
      <c r="D21" s="3" t="s">
        <v>542</v>
      </c>
      <c r="E21" s="34" t="str">
        <f t="shared" si="1"/>
        <v/>
      </c>
      <c r="F21" s="34" t="str">
        <f t="shared" si="0"/>
        <v/>
      </c>
      <c r="G21" s="34">
        <f t="shared" si="0"/>
        <v>5781</v>
      </c>
      <c r="H21" s="34">
        <f t="shared" si="0"/>
        <v>5855</v>
      </c>
      <c r="I21" s="34">
        <f t="shared" si="0"/>
        <v>6220.25</v>
      </c>
      <c r="J21" s="34">
        <f t="shared" si="0"/>
        <v>6829</v>
      </c>
      <c r="K21" s="34">
        <f t="shared" si="0"/>
        <v>7517</v>
      </c>
      <c r="L21" s="34">
        <f t="shared" si="0"/>
        <v>8265</v>
      </c>
      <c r="M21" s="34">
        <f t="shared" si="0"/>
        <v>9071</v>
      </c>
      <c r="N21" s="34">
        <f t="shared" si="0"/>
        <v>9877</v>
      </c>
      <c r="O21" s="34">
        <f t="shared" si="0"/>
        <v>10683</v>
      </c>
      <c r="P21" s="34">
        <f t="shared" si="0"/>
        <v>11489</v>
      </c>
      <c r="Q21" s="34">
        <f t="shared" si="0"/>
        <v>12295</v>
      </c>
      <c r="R21" s="34"/>
    </row>
    <row r="22" spans="1:18" x14ac:dyDescent="0.3">
      <c r="A22" s="3" t="s">
        <v>370</v>
      </c>
      <c r="B22" s="3" t="str">
        <f>INDEX('R1. Scenario specifications'!$C$11:$C$59,MATCH($A22,'R1. Scenario specifications'!$A$11:$A$59,0))</f>
        <v>New Policies Scenario, World Energy Outlook 2018</v>
      </c>
      <c r="C22" s="3" t="s">
        <v>257</v>
      </c>
      <c r="D22" s="3" t="s">
        <v>542</v>
      </c>
      <c r="E22" s="34" t="str">
        <f t="shared" si="1"/>
        <v/>
      </c>
      <c r="F22" s="34" t="str">
        <f t="shared" si="0"/>
        <v/>
      </c>
      <c r="G22" s="34">
        <f t="shared" si="0"/>
        <v>2605</v>
      </c>
      <c r="H22" s="34">
        <f t="shared" si="0"/>
        <v>2637</v>
      </c>
      <c r="I22" s="34">
        <f t="shared" si="0"/>
        <v>2806.5</v>
      </c>
      <c r="J22" s="34">
        <f t="shared" si="0"/>
        <v>3089</v>
      </c>
      <c r="K22" s="34">
        <f t="shared" si="0"/>
        <v>3253</v>
      </c>
      <c r="L22" s="34">
        <f t="shared" si="0"/>
        <v>3520</v>
      </c>
      <c r="M22" s="34">
        <f t="shared" si="0"/>
        <v>3726</v>
      </c>
      <c r="N22" s="34">
        <f t="shared" si="0"/>
        <v>3932</v>
      </c>
      <c r="O22" s="34">
        <f t="shared" si="0"/>
        <v>4138</v>
      </c>
      <c r="P22" s="34">
        <f t="shared" si="0"/>
        <v>4344</v>
      </c>
      <c r="Q22" s="34">
        <f t="shared" si="0"/>
        <v>4550</v>
      </c>
      <c r="R22" s="34"/>
    </row>
    <row r="23" spans="1:18" x14ac:dyDescent="0.3">
      <c r="A23" s="3" t="s">
        <v>370</v>
      </c>
      <c r="B23" s="3" t="str">
        <f>INDEX('R1. Scenario specifications'!$C$11:$C$59,MATCH($A23,'R1. Scenario specifications'!$A$11:$A$59,0))</f>
        <v>New Policies Scenario, World Energy Outlook 2018</v>
      </c>
      <c r="C23" s="3" t="s">
        <v>256</v>
      </c>
      <c r="D23" s="3" t="s">
        <v>542</v>
      </c>
      <c r="E23" s="34" t="str">
        <f t="shared" si="1"/>
        <v/>
      </c>
      <c r="F23" s="34" t="str">
        <f t="shared" si="0"/>
        <v/>
      </c>
      <c r="G23" s="34">
        <f t="shared" si="0"/>
        <v>4049</v>
      </c>
      <c r="H23" s="34">
        <f t="shared" si="0"/>
        <v>4109</v>
      </c>
      <c r="I23" s="34">
        <f t="shared" si="0"/>
        <v>4376</v>
      </c>
      <c r="J23" s="34">
        <f t="shared" si="0"/>
        <v>4821</v>
      </c>
      <c r="K23" s="34">
        <f t="shared" si="0"/>
        <v>5330</v>
      </c>
      <c r="L23" s="34">
        <f t="shared" si="0"/>
        <v>5774</v>
      </c>
      <c r="M23" s="34">
        <f t="shared" si="0"/>
        <v>6179</v>
      </c>
      <c r="N23" s="34">
        <f t="shared" si="0"/>
        <v>6584</v>
      </c>
      <c r="O23" s="34">
        <f t="shared" si="0"/>
        <v>6989</v>
      </c>
      <c r="P23" s="34">
        <f t="shared" si="0"/>
        <v>7394</v>
      </c>
      <c r="Q23" s="34">
        <f t="shared" si="0"/>
        <v>7799</v>
      </c>
      <c r="R23" s="34"/>
    </row>
    <row r="24" spans="1:18" x14ac:dyDescent="0.3">
      <c r="A24" s="3" t="s">
        <v>370</v>
      </c>
      <c r="B24" s="3" t="str">
        <f>INDEX('R1. Scenario specifications'!$C$11:$C$59,MATCH($A24,'R1. Scenario specifications'!$A$11:$A$59,0))</f>
        <v>New Policies Scenario, World Energy Outlook 2018</v>
      </c>
      <c r="C24" s="3" t="s">
        <v>253</v>
      </c>
      <c r="D24" s="3" t="s">
        <v>542</v>
      </c>
      <c r="E24" s="34" t="str">
        <f t="shared" si="1"/>
        <v/>
      </c>
      <c r="F24" s="34" t="str">
        <f t="shared" si="0"/>
        <v/>
      </c>
      <c r="G24" s="34">
        <f t="shared" si="0"/>
        <v>569</v>
      </c>
      <c r="H24" s="34">
        <f t="shared" si="0"/>
        <v>623</v>
      </c>
      <c r="I24" s="34">
        <f t="shared" si="0"/>
        <v>723.125</v>
      </c>
      <c r="J24" s="34">
        <f t="shared" si="0"/>
        <v>890</v>
      </c>
      <c r="K24" s="34">
        <f t="shared" si="0"/>
        <v>1057</v>
      </c>
      <c r="L24" s="34">
        <f t="shared" si="0"/>
        <v>1238</v>
      </c>
      <c r="M24" s="34">
        <f t="shared" si="0"/>
        <v>1427</v>
      </c>
      <c r="N24" s="34">
        <f t="shared" si="0"/>
        <v>1616</v>
      </c>
      <c r="O24" s="34">
        <f t="shared" si="0"/>
        <v>1805</v>
      </c>
      <c r="P24" s="34">
        <f t="shared" si="0"/>
        <v>1994</v>
      </c>
      <c r="Q24" s="34">
        <f t="shared" si="0"/>
        <v>2183</v>
      </c>
      <c r="R24" s="34"/>
    </row>
    <row r="25" spans="1:18" x14ac:dyDescent="0.3">
      <c r="A25" s="3" t="s">
        <v>370</v>
      </c>
      <c r="B25" s="3" t="str">
        <f>INDEX('R1. Scenario specifications'!$C$11:$C$59,MATCH($A25,'R1. Scenario specifications'!$A$11:$A$59,0))</f>
        <v>New Policies Scenario, World Energy Outlook 2018</v>
      </c>
      <c r="C25" s="3" t="s">
        <v>260</v>
      </c>
      <c r="D25" s="3" t="s">
        <v>542</v>
      </c>
      <c r="E25" s="34" t="str">
        <f t="shared" si="1"/>
        <v/>
      </c>
      <c r="F25" s="34" t="str">
        <f t="shared" si="0"/>
        <v/>
      </c>
      <c r="G25" s="34">
        <f t="shared" si="0"/>
        <v>957</v>
      </c>
      <c r="H25" s="34">
        <f t="shared" si="0"/>
        <v>1085</v>
      </c>
      <c r="I25" s="34">
        <f t="shared" si="0"/>
        <v>1542.125</v>
      </c>
      <c r="J25" s="34">
        <f t="shared" si="0"/>
        <v>2304</v>
      </c>
      <c r="K25" s="34">
        <f t="shared" si="0"/>
        <v>3157</v>
      </c>
      <c r="L25" s="34">
        <f t="shared" si="0"/>
        <v>3960</v>
      </c>
      <c r="M25" s="34">
        <f t="shared" si="0"/>
        <v>4690</v>
      </c>
      <c r="N25" s="34">
        <f t="shared" si="0"/>
        <v>5420</v>
      </c>
      <c r="O25" s="34">
        <f t="shared" si="0"/>
        <v>6150</v>
      </c>
      <c r="P25" s="34">
        <f t="shared" si="0"/>
        <v>6880</v>
      </c>
      <c r="Q25" s="34">
        <f t="shared" si="0"/>
        <v>7610</v>
      </c>
      <c r="R25" s="34"/>
    </row>
    <row r="26" spans="1:18" x14ac:dyDescent="0.3">
      <c r="A26" s="3" t="s">
        <v>370</v>
      </c>
      <c r="B26" s="3" t="str">
        <f>INDEX('R1. Scenario specifications'!$C$11:$C$59,MATCH($A26,'R1. Scenario specifications'!$A$11:$A$59,0))</f>
        <v>New Policies Scenario, World Energy Outlook 2018</v>
      </c>
      <c r="C26" s="3" t="s">
        <v>258</v>
      </c>
      <c r="D26" s="3" t="s">
        <v>542</v>
      </c>
      <c r="E26" s="34" t="str">
        <f t="shared" si="1"/>
        <v/>
      </c>
      <c r="F26" s="34" t="str">
        <f t="shared" si="1"/>
        <v/>
      </c>
      <c r="G26" s="34">
        <f t="shared" si="1"/>
        <v>83</v>
      </c>
      <c r="H26" s="34">
        <f t="shared" si="1"/>
        <v>88</v>
      </c>
      <c r="I26" s="34">
        <f t="shared" si="1"/>
        <v>104.5</v>
      </c>
      <c r="J26" s="34">
        <f t="shared" si="1"/>
        <v>132</v>
      </c>
      <c r="K26" s="34">
        <f t="shared" si="1"/>
        <v>202</v>
      </c>
      <c r="L26" s="34">
        <f t="shared" si="1"/>
        <v>288</v>
      </c>
      <c r="M26" s="34">
        <f t="shared" si="1"/>
        <v>395</v>
      </c>
      <c r="N26" s="34">
        <f t="shared" si="1"/>
        <v>502</v>
      </c>
      <c r="O26" s="34">
        <f t="shared" si="1"/>
        <v>609</v>
      </c>
      <c r="P26" s="34">
        <f t="shared" si="1"/>
        <v>716</v>
      </c>
      <c r="Q26" s="34">
        <f t="shared" si="1"/>
        <v>823</v>
      </c>
      <c r="R26" s="34"/>
    </row>
    <row r="27" spans="1:18" x14ac:dyDescent="0.3">
      <c r="A27" s="3" t="s">
        <v>370</v>
      </c>
      <c r="B27" s="3" t="str">
        <f>INDEX('R1. Scenario specifications'!$C$11:$C$59,MATCH($A27,'R1. Scenario specifications'!$A$11:$A$59,0))</f>
        <v>New Policies Scenario, World Energy Outlook 2018</v>
      </c>
      <c r="C27" s="3" t="s">
        <v>259</v>
      </c>
      <c r="D27" s="3" t="s">
        <v>542</v>
      </c>
      <c r="E27" s="34" t="str">
        <f t="shared" si="1"/>
        <v/>
      </c>
      <c r="F27" s="34" t="str">
        <f t="shared" si="1"/>
        <v/>
      </c>
      <c r="G27" s="34">
        <f t="shared" si="1"/>
        <v>338</v>
      </c>
      <c r="H27" s="34">
        <f t="shared" si="1"/>
        <v>446</v>
      </c>
      <c r="I27" s="34">
        <f t="shared" si="1"/>
        <v>840.125</v>
      </c>
      <c r="J27" s="34">
        <f t="shared" si="1"/>
        <v>1497</v>
      </c>
      <c r="K27" s="34">
        <f t="shared" si="1"/>
        <v>2272</v>
      </c>
      <c r="L27" s="34">
        <f t="shared" si="1"/>
        <v>3073</v>
      </c>
      <c r="M27" s="34">
        <f t="shared" si="1"/>
        <v>4061</v>
      </c>
      <c r="N27" s="34">
        <f t="shared" si="1"/>
        <v>5049</v>
      </c>
      <c r="O27" s="34">
        <f t="shared" si="1"/>
        <v>6037</v>
      </c>
      <c r="P27" s="34">
        <f t="shared" si="1"/>
        <v>7025</v>
      </c>
      <c r="Q27" s="34">
        <f t="shared" si="1"/>
        <v>8013</v>
      </c>
      <c r="R27" s="34"/>
    </row>
    <row r="28" spans="1:18" x14ac:dyDescent="0.3">
      <c r="A28" s="3" t="s">
        <v>372</v>
      </c>
      <c r="B28" s="3" t="str">
        <f>INDEX('R1. Scenario specifications'!$C$11:$C$59,MATCH($A28,'R1. Scenario specifications'!$A$11:$A$59,0))</f>
        <v>Sustainable Development Scenario, World Energy Outlook 2018</v>
      </c>
      <c r="C28" s="3" t="s">
        <v>254</v>
      </c>
      <c r="D28" s="3" t="s">
        <v>542</v>
      </c>
      <c r="E28" s="34" t="str">
        <f t="shared" si="1"/>
        <v/>
      </c>
      <c r="F28" s="34" t="str">
        <f t="shared" si="1"/>
        <v/>
      </c>
      <c r="G28" s="34">
        <f t="shared" si="1"/>
        <v>9575</v>
      </c>
      <c r="H28" s="34">
        <f t="shared" si="1"/>
        <v>9858</v>
      </c>
      <c r="I28" s="34">
        <f t="shared" si="1"/>
        <v>8858.625</v>
      </c>
      <c r="J28" s="34">
        <f t="shared" si="1"/>
        <v>7193</v>
      </c>
      <c r="K28" s="34">
        <f t="shared" si="1"/>
        <v>4847</v>
      </c>
      <c r="L28" s="34">
        <f t="shared" si="1"/>
        <v>3050</v>
      </c>
      <c r="M28" s="34">
        <f t="shared" si="1"/>
        <v>1982</v>
      </c>
      <c r="N28" s="34">
        <f t="shared" si="1"/>
        <v>914</v>
      </c>
      <c r="O28" s="34">
        <f t="shared" si="1"/>
        <v>0</v>
      </c>
      <c r="P28" s="34">
        <f t="shared" si="1"/>
        <v>0</v>
      </c>
      <c r="Q28" s="34">
        <f t="shared" si="1"/>
        <v>0</v>
      </c>
      <c r="R28" s="34"/>
    </row>
    <row r="29" spans="1:18" x14ac:dyDescent="0.3">
      <c r="A29" s="3" t="s">
        <v>372</v>
      </c>
      <c r="B29" s="3" t="str">
        <f>INDEX('R1. Scenario specifications'!$C$11:$C$59,MATCH($A29,'R1. Scenario specifications'!$A$11:$A$59,0))</f>
        <v>Sustainable Development Scenario, World Energy Outlook 2018</v>
      </c>
      <c r="C29" s="3" t="s">
        <v>266</v>
      </c>
      <c r="D29" s="3" t="s">
        <v>542</v>
      </c>
      <c r="E29" s="34" t="str">
        <f t="shared" si="1"/>
        <v/>
      </c>
      <c r="F29" s="34" t="str">
        <f t="shared" si="1"/>
        <v/>
      </c>
      <c r="G29" s="34">
        <f t="shared" si="1"/>
        <v>926</v>
      </c>
      <c r="H29" s="34">
        <f t="shared" si="1"/>
        <v>940</v>
      </c>
      <c r="I29" s="34">
        <f t="shared" si="1"/>
        <v>814.375</v>
      </c>
      <c r="J29" s="34">
        <f t="shared" si="1"/>
        <v>605</v>
      </c>
      <c r="K29" s="34">
        <f t="shared" si="1"/>
        <v>413</v>
      </c>
      <c r="L29" s="34">
        <f t="shared" si="1"/>
        <v>274</v>
      </c>
      <c r="M29" s="34">
        <f t="shared" si="1"/>
        <v>197</v>
      </c>
      <c r="N29" s="34">
        <f t="shared" si="1"/>
        <v>120</v>
      </c>
      <c r="O29" s="34">
        <f t="shared" si="1"/>
        <v>43</v>
      </c>
      <c r="P29" s="34">
        <f t="shared" si="1"/>
        <v>0</v>
      </c>
      <c r="Q29" s="34">
        <f t="shared" si="1"/>
        <v>0</v>
      </c>
      <c r="R29" s="34"/>
    </row>
    <row r="30" spans="1:18" x14ac:dyDescent="0.3">
      <c r="A30" s="3" t="s">
        <v>372</v>
      </c>
      <c r="B30" s="3" t="str">
        <f>INDEX('R1. Scenario specifications'!$C$11:$C$59,MATCH($A30,'R1. Scenario specifications'!$A$11:$A$59,0))</f>
        <v>Sustainable Development Scenario, World Energy Outlook 2018</v>
      </c>
      <c r="C30" s="3" t="s">
        <v>255</v>
      </c>
      <c r="D30" s="3" t="s">
        <v>542</v>
      </c>
      <c r="E30" s="34" t="str">
        <f t="shared" si="1"/>
        <v/>
      </c>
      <c r="F30" s="34" t="str">
        <f t="shared" si="1"/>
        <v/>
      </c>
      <c r="G30" s="34">
        <f t="shared" si="1"/>
        <v>5781</v>
      </c>
      <c r="H30" s="34">
        <f t="shared" si="1"/>
        <v>5855</v>
      </c>
      <c r="I30" s="34">
        <f t="shared" si="1"/>
        <v>6213.125</v>
      </c>
      <c r="J30" s="34">
        <f t="shared" si="1"/>
        <v>6810</v>
      </c>
      <c r="K30" s="34">
        <f t="shared" si="1"/>
        <v>6830</v>
      </c>
      <c r="L30" s="34">
        <f t="shared" si="1"/>
        <v>6255</v>
      </c>
      <c r="M30" s="34">
        <f t="shared" si="1"/>
        <v>5358</v>
      </c>
      <c r="N30" s="34">
        <f t="shared" si="1"/>
        <v>4461</v>
      </c>
      <c r="O30" s="34">
        <f t="shared" si="1"/>
        <v>3564</v>
      </c>
      <c r="P30" s="34">
        <f t="shared" si="1"/>
        <v>2667</v>
      </c>
      <c r="Q30" s="34">
        <f t="shared" si="1"/>
        <v>1770</v>
      </c>
      <c r="R30" s="34"/>
    </row>
    <row r="31" spans="1:18" x14ac:dyDescent="0.3">
      <c r="A31" s="3" t="s">
        <v>372</v>
      </c>
      <c r="B31" s="3" t="str">
        <f>INDEX('R1. Scenario specifications'!$C$11:$C$59,MATCH($A31,'R1. Scenario specifications'!$A$11:$A$59,0))</f>
        <v>Sustainable Development Scenario, World Energy Outlook 2018</v>
      </c>
      <c r="C31" s="3" t="s">
        <v>257</v>
      </c>
      <c r="D31" s="3" t="s">
        <v>542</v>
      </c>
      <c r="E31" s="34" t="str">
        <f t="shared" si="1"/>
        <v/>
      </c>
      <c r="F31" s="34" t="str">
        <f t="shared" si="1"/>
        <v/>
      </c>
      <c r="G31" s="34">
        <f t="shared" si="1"/>
        <v>2605</v>
      </c>
      <c r="H31" s="34">
        <f t="shared" si="1"/>
        <v>2637</v>
      </c>
      <c r="I31" s="34">
        <f t="shared" si="1"/>
        <v>2886.75</v>
      </c>
      <c r="J31" s="34">
        <f t="shared" si="1"/>
        <v>3303</v>
      </c>
      <c r="K31" s="34">
        <f t="shared" si="1"/>
        <v>3888</v>
      </c>
      <c r="L31" s="34">
        <f t="shared" si="1"/>
        <v>4534</v>
      </c>
      <c r="M31" s="34">
        <f t="shared" si="1"/>
        <v>4960</v>
      </c>
      <c r="N31" s="34">
        <f t="shared" si="1"/>
        <v>5386</v>
      </c>
      <c r="O31" s="34">
        <f t="shared" si="1"/>
        <v>5812</v>
      </c>
      <c r="P31" s="34">
        <f t="shared" si="1"/>
        <v>6238</v>
      </c>
      <c r="Q31" s="34">
        <f t="shared" si="1"/>
        <v>6664</v>
      </c>
      <c r="R31" s="34"/>
    </row>
    <row r="32" spans="1:18" x14ac:dyDescent="0.3">
      <c r="A32" s="3" t="s">
        <v>372</v>
      </c>
      <c r="B32" s="3" t="str">
        <f>INDEX('R1. Scenario specifications'!$C$11:$C$59,MATCH($A32,'R1. Scenario specifications'!$A$11:$A$59,0))</f>
        <v>Sustainable Development Scenario, World Energy Outlook 2018</v>
      </c>
      <c r="C32" s="3" t="s">
        <v>256</v>
      </c>
      <c r="D32" s="3" t="s">
        <v>542</v>
      </c>
      <c r="E32" s="34" t="str">
        <f t="shared" si="1"/>
        <v/>
      </c>
      <c r="F32" s="34" t="str">
        <f t="shared" si="1"/>
        <v/>
      </c>
      <c r="G32" s="34">
        <f t="shared" si="1"/>
        <v>4049</v>
      </c>
      <c r="H32" s="34">
        <f t="shared" si="1"/>
        <v>4109</v>
      </c>
      <c r="I32" s="34">
        <f t="shared" si="1"/>
        <v>4447.625</v>
      </c>
      <c r="J32" s="34">
        <f t="shared" si="1"/>
        <v>5012</v>
      </c>
      <c r="K32" s="34">
        <f t="shared" si="1"/>
        <v>5722</v>
      </c>
      <c r="L32" s="34">
        <f t="shared" si="1"/>
        <v>6371</v>
      </c>
      <c r="M32" s="34">
        <f t="shared" si="1"/>
        <v>6990</v>
      </c>
      <c r="N32" s="34">
        <f t="shared" si="1"/>
        <v>7609</v>
      </c>
      <c r="O32" s="34">
        <f t="shared" si="1"/>
        <v>8228</v>
      </c>
      <c r="P32" s="34">
        <f t="shared" si="1"/>
        <v>8847</v>
      </c>
      <c r="Q32" s="34">
        <f t="shared" si="1"/>
        <v>9466</v>
      </c>
      <c r="R32" s="34"/>
    </row>
    <row r="33" spans="1:18" x14ac:dyDescent="0.3">
      <c r="A33" s="3" t="s">
        <v>372</v>
      </c>
      <c r="B33" s="3" t="str">
        <f>INDEX('R1. Scenario specifications'!$C$11:$C$59,MATCH($A33,'R1. Scenario specifications'!$A$11:$A$59,0))</f>
        <v>Sustainable Development Scenario, World Energy Outlook 2018</v>
      </c>
      <c r="C33" s="3" t="s">
        <v>253</v>
      </c>
      <c r="D33" s="3" t="s">
        <v>542</v>
      </c>
      <c r="E33" s="34" t="str">
        <f t="shared" si="1"/>
        <v/>
      </c>
      <c r="F33" s="34" t="str">
        <f t="shared" si="1"/>
        <v/>
      </c>
      <c r="G33" s="34">
        <f t="shared" si="1"/>
        <v>569</v>
      </c>
      <c r="H33" s="34">
        <f t="shared" si="1"/>
        <v>623</v>
      </c>
      <c r="I33" s="34">
        <f t="shared" si="1"/>
        <v>779</v>
      </c>
      <c r="J33" s="34">
        <f t="shared" si="1"/>
        <v>1039</v>
      </c>
      <c r="K33" s="34">
        <f t="shared" si="1"/>
        <v>1325</v>
      </c>
      <c r="L33" s="34">
        <f t="shared" si="1"/>
        <v>1646</v>
      </c>
      <c r="M33" s="34">
        <f t="shared" si="1"/>
        <v>1968</v>
      </c>
      <c r="N33" s="34">
        <f t="shared" si="1"/>
        <v>2290</v>
      </c>
      <c r="O33" s="34">
        <f t="shared" si="1"/>
        <v>2612</v>
      </c>
      <c r="P33" s="34">
        <f t="shared" si="1"/>
        <v>2934</v>
      </c>
      <c r="Q33" s="34">
        <f t="shared" si="1"/>
        <v>3256</v>
      </c>
      <c r="R33" s="34"/>
    </row>
    <row r="34" spans="1:18" x14ac:dyDescent="0.3">
      <c r="A34" s="3" t="s">
        <v>372</v>
      </c>
      <c r="B34" s="3" t="str">
        <f>INDEX('R1. Scenario specifications'!$C$11:$C$59,MATCH($A34,'R1. Scenario specifications'!$A$11:$A$59,0))</f>
        <v>Sustainable Development Scenario, World Energy Outlook 2018</v>
      </c>
      <c r="C34" s="3" t="s">
        <v>260</v>
      </c>
      <c r="D34" s="3" t="s">
        <v>542</v>
      </c>
      <c r="E34" s="34" t="str">
        <f t="shared" si="1"/>
        <v/>
      </c>
      <c r="F34" s="34" t="str">
        <f t="shared" si="1"/>
        <v/>
      </c>
      <c r="G34" s="34">
        <f t="shared" si="1"/>
        <v>957</v>
      </c>
      <c r="H34" s="34">
        <f t="shared" si="1"/>
        <v>1085</v>
      </c>
      <c r="I34" s="34">
        <f t="shared" si="1"/>
        <v>1693.25</v>
      </c>
      <c r="J34" s="34">
        <f t="shared" si="1"/>
        <v>2707</v>
      </c>
      <c r="K34" s="34">
        <f t="shared" si="1"/>
        <v>4355</v>
      </c>
      <c r="L34" s="34">
        <f t="shared" si="1"/>
        <v>6113</v>
      </c>
      <c r="M34" s="34">
        <f t="shared" si="1"/>
        <v>7730</v>
      </c>
      <c r="N34" s="34">
        <f t="shared" si="1"/>
        <v>9347</v>
      </c>
      <c r="O34" s="34">
        <f t="shared" si="1"/>
        <v>10964</v>
      </c>
      <c r="P34" s="34">
        <f t="shared" si="1"/>
        <v>12581</v>
      </c>
      <c r="Q34" s="34">
        <f t="shared" si="1"/>
        <v>14198</v>
      </c>
      <c r="R34" s="34"/>
    </row>
    <row r="35" spans="1:18" x14ac:dyDescent="0.3">
      <c r="A35" s="3" t="s">
        <v>372</v>
      </c>
      <c r="B35" s="3" t="str">
        <f>INDEX('R1. Scenario specifications'!$C$11:$C$59,MATCH($A35,'R1. Scenario specifications'!$A$11:$A$59,0))</f>
        <v>Sustainable Development Scenario, World Energy Outlook 2018</v>
      </c>
      <c r="C35" s="3" t="s">
        <v>258</v>
      </c>
      <c r="D35" s="3" t="s">
        <v>542</v>
      </c>
      <c r="E35" s="34" t="str">
        <f t="shared" si="1"/>
        <v/>
      </c>
      <c r="F35" s="34" t="str">
        <f t="shared" si="1"/>
        <v/>
      </c>
      <c r="G35" s="34">
        <f t="shared" si="1"/>
        <v>83</v>
      </c>
      <c r="H35" s="34">
        <f t="shared" si="1"/>
        <v>88</v>
      </c>
      <c r="I35" s="34">
        <f t="shared" si="1"/>
        <v>117.25</v>
      </c>
      <c r="J35" s="34">
        <f t="shared" si="1"/>
        <v>166</v>
      </c>
      <c r="K35" s="34">
        <f t="shared" si="1"/>
        <v>297</v>
      </c>
      <c r="L35" s="34">
        <f t="shared" si="1"/>
        <v>458</v>
      </c>
      <c r="M35" s="34">
        <f t="shared" si="1"/>
        <v>633</v>
      </c>
      <c r="N35" s="34">
        <f t="shared" si="1"/>
        <v>808</v>
      </c>
      <c r="O35" s="34">
        <f t="shared" si="1"/>
        <v>983</v>
      </c>
      <c r="P35" s="34">
        <f t="shared" si="1"/>
        <v>1158</v>
      </c>
      <c r="Q35" s="34">
        <f t="shared" si="1"/>
        <v>1333</v>
      </c>
      <c r="R35" s="34"/>
    </row>
    <row r="36" spans="1:18" x14ac:dyDescent="0.3">
      <c r="A36" s="3" t="s">
        <v>372</v>
      </c>
      <c r="B36" s="3" t="str">
        <f>INDEX('R1. Scenario specifications'!$C$11:$C$59,MATCH($A36,'R1. Scenario specifications'!$A$11:$A$59,0))</f>
        <v>Sustainable Development Scenario, World Energy Outlook 2018</v>
      </c>
      <c r="C36" s="3" t="s">
        <v>259</v>
      </c>
      <c r="D36" s="3" t="s">
        <v>542</v>
      </c>
      <c r="E36" s="34" t="str">
        <f t="shared" si="1"/>
        <v/>
      </c>
      <c r="F36" s="34" t="str">
        <f t="shared" si="1"/>
        <v/>
      </c>
      <c r="G36" s="34">
        <f t="shared" si="1"/>
        <v>338</v>
      </c>
      <c r="H36" s="34">
        <f t="shared" si="1"/>
        <v>446</v>
      </c>
      <c r="I36" s="34">
        <f t="shared" si="1"/>
        <v>1026.5</v>
      </c>
      <c r="J36" s="34">
        <f t="shared" si="1"/>
        <v>1994</v>
      </c>
      <c r="K36" s="34">
        <f t="shared" si="1"/>
        <v>3452</v>
      </c>
      <c r="L36" s="34">
        <f t="shared" si="1"/>
        <v>5268</v>
      </c>
      <c r="M36" s="34">
        <f t="shared" si="1"/>
        <v>7264</v>
      </c>
      <c r="N36" s="34">
        <f t="shared" si="1"/>
        <v>9260</v>
      </c>
      <c r="O36" s="34">
        <f t="shared" si="1"/>
        <v>11256</v>
      </c>
      <c r="P36" s="34">
        <f t="shared" si="1"/>
        <v>13252</v>
      </c>
      <c r="Q36" s="34">
        <f t="shared" si="1"/>
        <v>15248</v>
      </c>
      <c r="R36" s="34"/>
    </row>
    <row r="37" spans="1:18" x14ac:dyDescent="0.3">
      <c r="A37" s="3" t="s">
        <v>378</v>
      </c>
      <c r="B37" s="3" t="str">
        <f>INDEX('R1. Scenario specifications'!$C$11:$C$59,MATCH($A37,'R1. Scenario specifications'!$A$11:$A$59,0))</f>
        <v>Current Policies Scenario, World Energy Outlook 2016</v>
      </c>
      <c r="C37" s="3" t="s">
        <v>254</v>
      </c>
      <c r="D37" s="3" t="s">
        <v>542</v>
      </c>
      <c r="E37" s="34">
        <f t="shared" si="1"/>
        <v>9707.2849999999999</v>
      </c>
      <c r="F37" s="34" t="str">
        <f t="shared" si="1"/>
        <v/>
      </c>
      <c r="G37" s="34" t="str">
        <f t="shared" si="1"/>
        <v/>
      </c>
      <c r="H37" s="34" t="str">
        <f t="shared" si="1"/>
        <v/>
      </c>
      <c r="I37" s="34">
        <f t="shared" si="1"/>
        <v>10275.141299999999</v>
      </c>
      <c r="J37" s="34" t="str">
        <f t="shared" si="1"/>
        <v/>
      </c>
      <c r="K37" s="34">
        <f t="shared" si="1"/>
        <v>12770.278</v>
      </c>
      <c r="L37" s="34" t="str">
        <f t="shared" si="1"/>
        <v/>
      </c>
      <c r="M37" s="34">
        <f t="shared" si="1"/>
        <v>15304.7114</v>
      </c>
      <c r="N37" s="34">
        <f t="shared" si="1"/>
        <v>16571.928100000001</v>
      </c>
      <c r="O37" s="34">
        <f t="shared" si="1"/>
        <v>17839.144800000002</v>
      </c>
      <c r="P37" s="34">
        <f t="shared" si="1"/>
        <v>19106.361499999999</v>
      </c>
      <c r="Q37" s="34">
        <f t="shared" si="1"/>
        <v>20373.5782</v>
      </c>
      <c r="R37" s="34"/>
    </row>
    <row r="38" spans="1:18" x14ac:dyDescent="0.3">
      <c r="A38" s="3" t="s">
        <v>378</v>
      </c>
      <c r="B38" s="3" t="str">
        <f>INDEX('R1. Scenario specifications'!$C$11:$C$59,MATCH($A38,'R1. Scenario specifications'!$A$11:$A$59,0))</f>
        <v>Current Policies Scenario, World Energy Outlook 2016</v>
      </c>
      <c r="C38" s="3" t="s">
        <v>266</v>
      </c>
      <c r="D38" s="3" t="s">
        <v>542</v>
      </c>
      <c r="E38" s="34">
        <f t="shared" si="1"/>
        <v>1034.6668999999999</v>
      </c>
      <c r="F38" s="34" t="str">
        <f t="shared" si="1"/>
        <v/>
      </c>
      <c r="G38" s="34" t="str">
        <f t="shared" si="1"/>
        <v/>
      </c>
      <c r="H38" s="34" t="str">
        <f t="shared" si="1"/>
        <v/>
      </c>
      <c r="I38" s="34">
        <f t="shared" si="1"/>
        <v>834.5729</v>
      </c>
      <c r="J38" s="34" t="str">
        <f t="shared" si="1"/>
        <v/>
      </c>
      <c r="K38" s="34">
        <f t="shared" si="1"/>
        <v>660.95690000000002</v>
      </c>
      <c r="L38" s="34" t="str">
        <f t="shared" si="1"/>
        <v/>
      </c>
      <c r="M38" s="34">
        <f t="shared" si="1"/>
        <v>580.31730000000005</v>
      </c>
      <c r="N38" s="34">
        <f t="shared" si="1"/>
        <v>539.99750000000006</v>
      </c>
      <c r="O38" s="34">
        <f t="shared" si="1"/>
        <v>499.67770000000007</v>
      </c>
      <c r="P38" s="34">
        <f t="shared" si="1"/>
        <v>459.35790000000009</v>
      </c>
      <c r="Q38" s="34">
        <f t="shared" si="1"/>
        <v>419.0381000000001</v>
      </c>
      <c r="R38" s="34"/>
    </row>
    <row r="39" spans="1:18" x14ac:dyDescent="0.3">
      <c r="A39" s="3" t="s">
        <v>378</v>
      </c>
      <c r="B39" s="3" t="str">
        <f>INDEX('R1. Scenario specifications'!$C$11:$C$59,MATCH($A39,'R1. Scenario specifications'!$A$11:$A$59,0))</f>
        <v>Current Policies Scenario, World Energy Outlook 2016</v>
      </c>
      <c r="C39" s="3" t="s">
        <v>255</v>
      </c>
      <c r="D39" s="3" t="s">
        <v>542</v>
      </c>
      <c r="E39" s="34">
        <f t="shared" si="1"/>
        <v>5148.4318999999996</v>
      </c>
      <c r="F39" s="34" t="str">
        <f t="shared" si="1"/>
        <v/>
      </c>
      <c r="G39" s="34" t="str">
        <f t="shared" si="1"/>
        <v/>
      </c>
      <c r="H39" s="34" t="str">
        <f t="shared" si="1"/>
        <v/>
      </c>
      <c r="I39" s="34">
        <f t="shared" si="1"/>
        <v>6013.5405000000001</v>
      </c>
      <c r="J39" s="34" t="str">
        <f t="shared" si="1"/>
        <v/>
      </c>
      <c r="K39" s="34">
        <f t="shared" si="1"/>
        <v>8092.7253000000001</v>
      </c>
      <c r="L39" s="34" t="str">
        <f t="shared" si="1"/>
        <v/>
      </c>
      <c r="M39" s="34">
        <f t="shared" si="1"/>
        <v>10361.229300000001</v>
      </c>
      <c r="N39" s="34">
        <f t="shared" si="1"/>
        <v>11495.481300000001</v>
      </c>
      <c r="O39" s="34">
        <f t="shared" si="1"/>
        <v>12629.733300000002</v>
      </c>
      <c r="P39" s="34">
        <f t="shared" si="1"/>
        <v>13763.985300000002</v>
      </c>
      <c r="Q39" s="34">
        <f t="shared" si="1"/>
        <v>14898.237300000003</v>
      </c>
      <c r="R39" s="34"/>
    </row>
    <row r="40" spans="1:18" x14ac:dyDescent="0.3">
      <c r="A40" s="3" t="s">
        <v>378</v>
      </c>
      <c r="B40" s="3" t="str">
        <f>INDEX('R1. Scenario specifications'!$C$11:$C$59,MATCH($A40,'R1. Scenario specifications'!$A$11:$A$59,0))</f>
        <v>Current Policies Scenario, World Energy Outlook 2016</v>
      </c>
      <c r="C40" s="3" t="s">
        <v>257</v>
      </c>
      <c r="D40" s="3" t="s">
        <v>542</v>
      </c>
      <c r="E40" s="34">
        <f t="shared" si="1"/>
        <v>2535.326</v>
      </c>
      <c r="F40" s="34" t="str">
        <f t="shared" si="1"/>
        <v/>
      </c>
      <c r="G40" s="34" t="str">
        <f t="shared" si="1"/>
        <v/>
      </c>
      <c r="H40" s="34" t="str">
        <f t="shared" si="1"/>
        <v/>
      </c>
      <c r="I40" s="34">
        <f t="shared" si="1"/>
        <v>3040.9061000000002</v>
      </c>
      <c r="J40" s="34" t="str">
        <f t="shared" si="1"/>
        <v/>
      </c>
      <c r="K40" s="34">
        <f t="shared" si="1"/>
        <v>3590.3856000000001</v>
      </c>
      <c r="L40" s="34" t="str">
        <f t="shared" si="1"/>
        <v/>
      </c>
      <c r="M40" s="34">
        <f t="shared" si="1"/>
        <v>3960.4515999999999</v>
      </c>
      <c r="N40" s="34">
        <f t="shared" si="1"/>
        <v>4145.4845999999998</v>
      </c>
      <c r="O40" s="34">
        <f t="shared" si="1"/>
        <v>4330.5175999999992</v>
      </c>
      <c r="P40" s="34">
        <f t="shared" si="1"/>
        <v>4515.5505999999996</v>
      </c>
      <c r="Q40" s="34">
        <f t="shared" si="1"/>
        <v>4700.5835999999999</v>
      </c>
      <c r="R40" s="34"/>
    </row>
    <row r="41" spans="1:18" x14ac:dyDescent="0.3">
      <c r="A41" s="3" t="s">
        <v>378</v>
      </c>
      <c r="B41" s="3" t="str">
        <f>INDEX('R1. Scenario specifications'!$C$11:$C$59,MATCH($A41,'R1. Scenario specifications'!$A$11:$A$59,0))</f>
        <v>Current Policies Scenario, World Energy Outlook 2016</v>
      </c>
      <c r="C41" s="3" t="s">
        <v>256</v>
      </c>
      <c r="D41" s="3" t="s">
        <v>542</v>
      </c>
      <c r="E41" s="34">
        <f t="shared" si="1"/>
        <v>3893.634</v>
      </c>
      <c r="F41" s="34" t="str">
        <f t="shared" si="1"/>
        <v/>
      </c>
      <c r="G41" s="34" t="str">
        <f t="shared" si="1"/>
        <v/>
      </c>
      <c r="H41" s="34" t="str">
        <f t="shared" si="1"/>
        <v/>
      </c>
      <c r="I41" s="34">
        <f t="shared" si="1"/>
        <v>4362.9211999999998</v>
      </c>
      <c r="J41" s="34" t="str">
        <f t="shared" si="1"/>
        <v/>
      </c>
      <c r="K41" s="34">
        <f t="shared" si="1"/>
        <v>5231.6869999999999</v>
      </c>
      <c r="L41" s="34" t="str">
        <f t="shared" si="1"/>
        <v/>
      </c>
      <c r="M41" s="34">
        <f t="shared" si="1"/>
        <v>5984.2550000000001</v>
      </c>
      <c r="N41" s="34">
        <f t="shared" si="1"/>
        <v>6360.5390000000007</v>
      </c>
      <c r="O41" s="34">
        <f t="shared" si="1"/>
        <v>6736.8230000000003</v>
      </c>
      <c r="P41" s="34">
        <f t="shared" si="1"/>
        <v>7113.107</v>
      </c>
      <c r="Q41" s="34">
        <f t="shared" si="1"/>
        <v>7489.3910000000005</v>
      </c>
      <c r="R41" s="34"/>
    </row>
    <row r="42" spans="1:18" x14ac:dyDescent="0.3">
      <c r="A42" s="3" t="s">
        <v>378</v>
      </c>
      <c r="B42" s="3" t="str">
        <f>INDEX('R1. Scenario specifications'!$C$11:$C$59,MATCH($A42,'R1. Scenario specifications'!$A$11:$A$59,0))</f>
        <v>Current Policies Scenario, World Energy Outlook 2016</v>
      </c>
      <c r="C42" s="3" t="s">
        <v>253</v>
      </c>
      <c r="D42" s="3" t="s">
        <v>542</v>
      </c>
      <c r="E42" s="34">
        <f t="shared" si="1"/>
        <v>494.91829999999999</v>
      </c>
      <c r="F42" s="34" t="str">
        <f t="shared" si="1"/>
        <v/>
      </c>
      <c r="G42" s="34" t="str">
        <f t="shared" si="1"/>
        <v/>
      </c>
      <c r="H42" s="34" t="str">
        <f t="shared" si="1"/>
        <v/>
      </c>
      <c r="I42" s="34">
        <f t="shared" si="1"/>
        <v>634.90020000000004</v>
      </c>
      <c r="J42" s="34" t="str">
        <f t="shared" si="1"/>
        <v/>
      </c>
      <c r="K42" s="34">
        <f t="shared" si="1"/>
        <v>877.76850000000002</v>
      </c>
      <c r="L42" s="34" t="str">
        <f t="shared" si="1"/>
        <v/>
      </c>
      <c r="M42" s="34">
        <f t="shared" si="1"/>
        <v>1150.6222</v>
      </c>
      <c r="N42" s="34">
        <f t="shared" si="1"/>
        <v>1287.0490500000001</v>
      </c>
      <c r="O42" s="34">
        <f t="shared" si="1"/>
        <v>1423.4758999999999</v>
      </c>
      <c r="P42" s="34">
        <f t="shared" si="1"/>
        <v>1559.90275</v>
      </c>
      <c r="Q42" s="34">
        <f t="shared" si="1"/>
        <v>1696.3296</v>
      </c>
      <c r="R42" s="34"/>
    </row>
    <row r="43" spans="1:18" x14ac:dyDescent="0.3">
      <c r="A43" s="3" t="s">
        <v>378</v>
      </c>
      <c r="B43" s="3" t="str">
        <f>INDEX('R1. Scenario specifications'!$C$11:$C$59,MATCH($A43,'R1. Scenario specifications'!$A$11:$A$59,0))</f>
        <v>Current Policies Scenario, World Energy Outlook 2016</v>
      </c>
      <c r="C43" s="3" t="s">
        <v>260</v>
      </c>
      <c r="D43" s="3" t="s">
        <v>542</v>
      </c>
      <c r="E43" s="34">
        <f t="shared" si="1"/>
        <v>717.29300000000001</v>
      </c>
      <c r="F43" s="34" t="str">
        <f t="shared" si="1"/>
        <v/>
      </c>
      <c r="G43" s="34" t="str">
        <f t="shared" si="1"/>
        <v/>
      </c>
      <c r="H43" s="34" t="str">
        <f t="shared" si="1"/>
        <v/>
      </c>
      <c r="I43" s="34">
        <f t="shared" si="1"/>
        <v>1411.1179</v>
      </c>
      <c r="J43" s="34" t="str">
        <f t="shared" si="1"/>
        <v/>
      </c>
      <c r="K43" s="34">
        <f t="shared" si="1"/>
        <v>2275.7745</v>
      </c>
      <c r="L43" s="34" t="str">
        <f t="shared" si="1"/>
        <v/>
      </c>
      <c r="M43" s="34">
        <f t="shared" si="1"/>
        <v>3132.2350000000001</v>
      </c>
      <c r="N43" s="34">
        <f t="shared" si="1"/>
        <v>3560.4652500000002</v>
      </c>
      <c r="O43" s="34">
        <f t="shared" si="1"/>
        <v>3988.6955000000003</v>
      </c>
      <c r="P43" s="34">
        <f t="shared" si="1"/>
        <v>4416.9257500000003</v>
      </c>
      <c r="Q43" s="34">
        <f t="shared" si="1"/>
        <v>4845.1560000000009</v>
      </c>
      <c r="R43" s="34"/>
    </row>
    <row r="44" spans="1:18" x14ac:dyDescent="0.3">
      <c r="A44" s="3" t="s">
        <v>378</v>
      </c>
      <c r="B44" s="3" t="str">
        <f>INDEX('R1. Scenario specifications'!$C$11:$C$59,MATCH($A44,'R1. Scenario specifications'!$A$11:$A$59,0))</f>
        <v>Current Policies Scenario, World Energy Outlook 2016</v>
      </c>
      <c r="C44" s="3" t="s">
        <v>258</v>
      </c>
      <c r="D44" s="3" t="s">
        <v>542</v>
      </c>
      <c r="E44" s="34">
        <f t="shared" si="1"/>
        <v>78.375999999999991</v>
      </c>
      <c r="F44" s="34" t="str">
        <f t="shared" si="1"/>
        <v/>
      </c>
      <c r="G44" s="34" t="str">
        <f t="shared" si="1"/>
        <v/>
      </c>
      <c r="H44" s="34" t="str">
        <f t="shared" si="1"/>
        <v/>
      </c>
      <c r="I44" s="34">
        <f t="shared" si="1"/>
        <v>110.48820000000001</v>
      </c>
      <c r="J44" s="34" t="str">
        <f t="shared" si="1"/>
        <v/>
      </c>
      <c r="K44" s="34">
        <f t="shared" ref="K44:Q80" si="2">IF(SUMIFS(M$94:M$207,$B$94:$B$207,$A44)=0,"",SUMIFS(M$94:M$207,$B$94:$B$207,$A44,$D$94:$D$207,$C44))</f>
        <v>193.35759999999999</v>
      </c>
      <c r="L44" s="34" t="str">
        <f t="shared" si="2"/>
        <v/>
      </c>
      <c r="M44" s="34">
        <f t="shared" si="2"/>
        <v>328.5616</v>
      </c>
      <c r="N44" s="34">
        <f t="shared" si="2"/>
        <v>396.16360000000003</v>
      </c>
      <c r="O44" s="34">
        <f t="shared" si="2"/>
        <v>463.76560000000001</v>
      </c>
      <c r="P44" s="34">
        <f t="shared" si="2"/>
        <v>531.36760000000004</v>
      </c>
      <c r="Q44" s="34">
        <f t="shared" si="2"/>
        <v>598.96960000000001</v>
      </c>
      <c r="R44" s="34"/>
    </row>
    <row r="45" spans="1:18" x14ac:dyDescent="0.3">
      <c r="A45" s="3" t="s">
        <v>378</v>
      </c>
      <c r="B45" s="3" t="str">
        <f>INDEX('R1. Scenario specifications'!$C$11:$C$59,MATCH($A45,'R1. Scenario specifications'!$A$11:$A$59,0))</f>
        <v>Current Policies Scenario, World Energy Outlook 2016</v>
      </c>
      <c r="C45" s="3" t="s">
        <v>259</v>
      </c>
      <c r="D45" s="3" t="s">
        <v>542</v>
      </c>
      <c r="E45" s="34">
        <f t="shared" ref="E45:M85" si="3">IF(SUMIFS(G$94:G$207,$B$94:$B$207,$A45)=0,"",SUMIFS(G$94:G$207,$B$94:$B$207,$A45,$D$94:$D$207,$C45))</f>
        <v>198.62899999999999</v>
      </c>
      <c r="F45" s="34" t="str">
        <f t="shared" si="3"/>
        <v/>
      </c>
      <c r="G45" s="34" t="str">
        <f t="shared" si="3"/>
        <v/>
      </c>
      <c r="H45" s="34" t="str">
        <f t="shared" si="3"/>
        <v/>
      </c>
      <c r="I45" s="34">
        <f t="shared" si="3"/>
        <v>559.58219999999994</v>
      </c>
      <c r="J45" s="34" t="str">
        <f t="shared" si="3"/>
        <v/>
      </c>
      <c r="K45" s="34">
        <f t="shared" si="2"/>
        <v>1073.4965</v>
      </c>
      <c r="L45" s="34" t="str">
        <f t="shared" si="2"/>
        <v/>
      </c>
      <c r="M45" s="34">
        <f t="shared" si="2"/>
        <v>1708.8807000000002</v>
      </c>
      <c r="N45" s="34">
        <f t="shared" si="2"/>
        <v>2026.5727999999999</v>
      </c>
      <c r="O45" s="34">
        <f t="shared" si="2"/>
        <v>2344.2649000000001</v>
      </c>
      <c r="P45" s="34">
        <f t="shared" si="2"/>
        <v>2661.9569999999999</v>
      </c>
      <c r="Q45" s="34">
        <f t="shared" si="2"/>
        <v>2979.6491000000001</v>
      </c>
      <c r="R45" s="34"/>
    </row>
    <row r="46" spans="1:18" x14ac:dyDescent="0.3">
      <c r="A46" s="3" t="s">
        <v>379</v>
      </c>
      <c r="B46" s="3" t="str">
        <f>INDEX('R1. Scenario specifications'!$C$11:$C$59,MATCH($A46,'R1. Scenario specifications'!$A$11:$A$59,0))</f>
        <v>New Policies Scenario, World Energy Outlook 2016</v>
      </c>
      <c r="C46" s="3" t="s">
        <v>254</v>
      </c>
      <c r="D46" s="3" t="s">
        <v>542</v>
      </c>
      <c r="E46" s="34">
        <f t="shared" si="3"/>
        <v>9707.2849999999999</v>
      </c>
      <c r="F46" s="34" t="str">
        <f t="shared" si="3"/>
        <v/>
      </c>
      <c r="G46" s="34" t="str">
        <f t="shared" si="3"/>
        <v/>
      </c>
      <c r="H46" s="34" t="str">
        <f t="shared" si="3"/>
        <v/>
      </c>
      <c r="I46" s="34">
        <f t="shared" si="3"/>
        <v>9741.0679999999993</v>
      </c>
      <c r="J46" s="34">
        <f t="shared" si="3"/>
        <v>9934.1164000000008</v>
      </c>
      <c r="K46" s="34">
        <f t="shared" si="2"/>
        <v>10245.120999999999</v>
      </c>
      <c r="L46" s="34">
        <f t="shared" si="2"/>
        <v>10547.4684</v>
      </c>
      <c r="M46" s="34">
        <f t="shared" si="2"/>
        <v>10786.3097</v>
      </c>
      <c r="N46" s="34">
        <f t="shared" si="2"/>
        <v>11025.150999999998</v>
      </c>
      <c r="O46" s="34">
        <f t="shared" si="2"/>
        <v>11263.992299999998</v>
      </c>
      <c r="P46" s="34">
        <f t="shared" si="2"/>
        <v>11502.833599999998</v>
      </c>
      <c r="Q46" s="34">
        <f t="shared" si="2"/>
        <v>11741.674899999998</v>
      </c>
      <c r="R46" s="34"/>
    </row>
    <row r="47" spans="1:18" x14ac:dyDescent="0.3">
      <c r="A47" s="3" t="s">
        <v>379</v>
      </c>
      <c r="B47" s="3" t="str">
        <f>INDEX('R1. Scenario specifications'!$C$11:$C$59,MATCH($A47,'R1. Scenario specifications'!$A$11:$A$59,0))</f>
        <v>New Policies Scenario, World Energy Outlook 2016</v>
      </c>
      <c r="C47" s="3" t="s">
        <v>266</v>
      </c>
      <c r="D47" s="3" t="s">
        <v>542</v>
      </c>
      <c r="E47" s="34">
        <f t="shared" si="3"/>
        <v>1034.6668999999999</v>
      </c>
      <c r="F47" s="34" t="str">
        <f t="shared" si="3"/>
        <v/>
      </c>
      <c r="G47" s="34" t="str">
        <f t="shared" si="3"/>
        <v/>
      </c>
      <c r="H47" s="34" t="str">
        <f t="shared" si="3"/>
        <v/>
      </c>
      <c r="I47" s="34">
        <f t="shared" si="3"/>
        <v>822.38409999999999</v>
      </c>
      <c r="J47" s="34">
        <f t="shared" si="3"/>
        <v>727.11440000000005</v>
      </c>
      <c r="K47" s="34">
        <f t="shared" si="2"/>
        <v>633.18830000000003</v>
      </c>
      <c r="L47" s="34">
        <f t="shared" si="2"/>
        <v>584.76570000000004</v>
      </c>
      <c r="M47" s="34">
        <f t="shared" si="2"/>
        <v>546.54660000000001</v>
      </c>
      <c r="N47" s="34">
        <f t="shared" si="2"/>
        <v>508.32750000000124</v>
      </c>
      <c r="O47" s="34">
        <f t="shared" si="2"/>
        <v>470.10840000000098</v>
      </c>
      <c r="P47" s="34">
        <f t="shared" si="2"/>
        <v>431.88930000000073</v>
      </c>
      <c r="Q47" s="34">
        <f t="shared" si="2"/>
        <v>393.6702000000023</v>
      </c>
      <c r="R47" s="34"/>
    </row>
    <row r="48" spans="1:18" x14ac:dyDescent="0.3">
      <c r="A48" s="3" t="s">
        <v>379</v>
      </c>
      <c r="B48" s="3" t="str">
        <f>INDEX('R1. Scenario specifications'!$C$11:$C$59,MATCH($A48,'R1. Scenario specifications'!$A$11:$A$59,0))</f>
        <v>New Policies Scenario, World Energy Outlook 2016</v>
      </c>
      <c r="C48" s="3" t="s">
        <v>255</v>
      </c>
      <c r="D48" s="3" t="s">
        <v>542</v>
      </c>
      <c r="E48" s="34">
        <f t="shared" si="3"/>
        <v>5148.4318999999996</v>
      </c>
      <c r="F48" s="34" t="str">
        <f t="shared" si="3"/>
        <v/>
      </c>
      <c r="G48" s="34" t="str">
        <f t="shared" si="3"/>
        <v/>
      </c>
      <c r="H48" s="34" t="str">
        <f t="shared" si="3"/>
        <v/>
      </c>
      <c r="I48" s="34">
        <f t="shared" si="3"/>
        <v>5803.5228999999999</v>
      </c>
      <c r="J48" s="34">
        <f t="shared" si="3"/>
        <v>6512.9975000000004</v>
      </c>
      <c r="K48" s="34">
        <f t="shared" si="2"/>
        <v>7304.6608999999999</v>
      </c>
      <c r="L48" s="34">
        <f t="shared" si="2"/>
        <v>8155.0924999999997</v>
      </c>
      <c r="M48" s="34">
        <f t="shared" si="2"/>
        <v>8908.9364999999998</v>
      </c>
      <c r="N48" s="34">
        <f t="shared" si="2"/>
        <v>9662.7804999999935</v>
      </c>
      <c r="O48" s="34">
        <f t="shared" si="2"/>
        <v>10416.624499999976</v>
      </c>
      <c r="P48" s="34">
        <f t="shared" si="2"/>
        <v>11170.468500000017</v>
      </c>
      <c r="Q48" s="34">
        <f t="shared" si="2"/>
        <v>11924.3125</v>
      </c>
      <c r="R48" s="34"/>
    </row>
    <row r="49" spans="1:18" x14ac:dyDescent="0.3">
      <c r="A49" s="3" t="s">
        <v>379</v>
      </c>
      <c r="B49" s="3" t="str">
        <f>INDEX('R1. Scenario specifications'!$C$11:$C$59,MATCH($A49,'R1. Scenario specifications'!$A$11:$A$59,0))</f>
        <v>New Policies Scenario, World Energy Outlook 2016</v>
      </c>
      <c r="C49" s="3" t="s">
        <v>257</v>
      </c>
      <c r="D49" s="3" t="s">
        <v>542</v>
      </c>
      <c r="E49" s="34">
        <f t="shared" si="3"/>
        <v>2535.326</v>
      </c>
      <c r="F49" s="34" t="str">
        <f t="shared" si="3"/>
        <v/>
      </c>
      <c r="G49" s="34" t="str">
        <f t="shared" si="3"/>
        <v/>
      </c>
      <c r="H49" s="34" t="str">
        <f t="shared" si="3"/>
        <v/>
      </c>
      <c r="I49" s="34">
        <f t="shared" si="3"/>
        <v>3052.7642999999998</v>
      </c>
      <c r="J49" s="34">
        <f t="shared" si="3"/>
        <v>3405.3524000000002</v>
      </c>
      <c r="K49" s="34">
        <f t="shared" si="2"/>
        <v>3847.0486999999998</v>
      </c>
      <c r="L49" s="34">
        <f t="shared" si="2"/>
        <v>4205.3827000000001</v>
      </c>
      <c r="M49" s="34">
        <f t="shared" si="2"/>
        <v>4532.2318999999998</v>
      </c>
      <c r="N49" s="34">
        <f t="shared" si="2"/>
        <v>4859.0810999999958</v>
      </c>
      <c r="O49" s="34">
        <f t="shared" si="2"/>
        <v>5185.9302999999927</v>
      </c>
      <c r="P49" s="34">
        <f t="shared" si="2"/>
        <v>5512.7794999999896</v>
      </c>
      <c r="Q49" s="34">
        <f t="shared" si="2"/>
        <v>5839.6286999999866</v>
      </c>
      <c r="R49" s="34"/>
    </row>
    <row r="50" spans="1:18" x14ac:dyDescent="0.3">
      <c r="A50" s="3" t="s">
        <v>379</v>
      </c>
      <c r="B50" s="3" t="str">
        <f>INDEX('R1. Scenario specifications'!$C$11:$C$59,MATCH($A50,'R1. Scenario specifications'!$A$11:$A$59,0))</f>
        <v>New Policies Scenario, World Energy Outlook 2016</v>
      </c>
      <c r="C50" s="3" t="s">
        <v>256</v>
      </c>
      <c r="D50" s="3" t="s">
        <v>542</v>
      </c>
      <c r="E50" s="34">
        <f t="shared" si="3"/>
        <v>3893.634</v>
      </c>
      <c r="F50" s="34" t="str">
        <f t="shared" si="3"/>
        <v/>
      </c>
      <c r="G50" s="34" t="str">
        <f t="shared" si="3"/>
        <v/>
      </c>
      <c r="H50" s="34" t="str">
        <f t="shared" si="3"/>
        <v/>
      </c>
      <c r="I50" s="34">
        <f t="shared" si="3"/>
        <v>4386.5087000000003</v>
      </c>
      <c r="J50" s="34">
        <f t="shared" si="3"/>
        <v>4886.5240000000003</v>
      </c>
      <c r="K50" s="34">
        <f t="shared" si="2"/>
        <v>5381.9884000000002</v>
      </c>
      <c r="L50" s="34">
        <f t="shared" si="2"/>
        <v>5834.0636000000004</v>
      </c>
      <c r="M50" s="34">
        <f t="shared" si="2"/>
        <v>6230.0949000000001</v>
      </c>
      <c r="N50" s="34">
        <f t="shared" si="2"/>
        <v>6626.1262000000279</v>
      </c>
      <c r="O50" s="34">
        <f t="shared" si="2"/>
        <v>7022.1575000000303</v>
      </c>
      <c r="P50" s="34">
        <f t="shared" si="2"/>
        <v>7418.1888000000035</v>
      </c>
      <c r="Q50" s="34">
        <f t="shared" si="2"/>
        <v>7814.2201000000059</v>
      </c>
      <c r="R50" s="34"/>
    </row>
    <row r="51" spans="1:18" x14ac:dyDescent="0.3">
      <c r="A51" s="3" t="s">
        <v>379</v>
      </c>
      <c r="B51" s="3" t="str">
        <f>INDEX('R1. Scenario specifications'!$C$11:$C$59,MATCH($A51,'R1. Scenario specifications'!$A$11:$A$59,0))</f>
        <v>New Policies Scenario, World Energy Outlook 2016</v>
      </c>
      <c r="C51" s="3" t="s">
        <v>253</v>
      </c>
      <c r="D51" s="3" t="s">
        <v>542</v>
      </c>
      <c r="E51" s="34">
        <f t="shared" si="3"/>
        <v>494.91829999999999</v>
      </c>
      <c r="F51" s="34" t="str">
        <f t="shared" si="3"/>
        <v/>
      </c>
      <c r="G51" s="34" t="str">
        <f t="shared" si="3"/>
        <v/>
      </c>
      <c r="H51" s="34" t="str">
        <f t="shared" si="3"/>
        <v/>
      </c>
      <c r="I51" s="34">
        <f t="shared" si="3"/>
        <v>641.53030000000001</v>
      </c>
      <c r="J51" s="34">
        <f t="shared" si="3"/>
        <v>785.18799999999999</v>
      </c>
      <c r="K51" s="34">
        <f t="shared" si="2"/>
        <v>954.2373</v>
      </c>
      <c r="L51" s="34">
        <f t="shared" si="2"/>
        <v>1147.4657999999999</v>
      </c>
      <c r="M51" s="34">
        <f t="shared" si="2"/>
        <v>1353.3226999999999</v>
      </c>
      <c r="N51" s="34">
        <f t="shared" si="2"/>
        <v>1559.1796000000031</v>
      </c>
      <c r="O51" s="34">
        <f t="shared" si="2"/>
        <v>1765.036500000002</v>
      </c>
      <c r="P51" s="34">
        <f t="shared" si="2"/>
        <v>1970.8934000000008</v>
      </c>
      <c r="Q51" s="34">
        <f t="shared" si="2"/>
        <v>2176.7502999999997</v>
      </c>
      <c r="R51" s="34"/>
    </row>
    <row r="52" spans="1:18" x14ac:dyDescent="0.3">
      <c r="A52" s="3" t="s">
        <v>379</v>
      </c>
      <c r="B52" s="3" t="str">
        <f>INDEX('R1. Scenario specifications'!$C$11:$C$59,MATCH($A52,'R1. Scenario specifications'!$A$11:$A$59,0))</f>
        <v>New Policies Scenario, World Energy Outlook 2016</v>
      </c>
      <c r="C52" s="3" t="s">
        <v>260</v>
      </c>
      <c r="D52" s="3" t="s">
        <v>542</v>
      </c>
      <c r="E52" s="34">
        <f t="shared" si="3"/>
        <v>717.29300000000001</v>
      </c>
      <c r="F52" s="34" t="str">
        <f t="shared" si="3"/>
        <v/>
      </c>
      <c r="G52" s="34" t="str">
        <f t="shared" si="3"/>
        <v/>
      </c>
      <c r="H52" s="34" t="str">
        <f t="shared" si="3"/>
        <v/>
      </c>
      <c r="I52" s="34">
        <f t="shared" si="3"/>
        <v>1508.0912000000001</v>
      </c>
      <c r="J52" s="34">
        <f t="shared" si="3"/>
        <v>2117.9859999999999</v>
      </c>
      <c r="K52" s="34">
        <f t="shared" si="2"/>
        <v>2705.7595000000001</v>
      </c>
      <c r="L52" s="34">
        <f t="shared" si="2"/>
        <v>3296.1653999999999</v>
      </c>
      <c r="M52" s="34">
        <f t="shared" si="2"/>
        <v>3881.3845000000001</v>
      </c>
      <c r="N52" s="34">
        <f t="shared" si="2"/>
        <v>4466.6036000000022</v>
      </c>
      <c r="O52" s="34">
        <f t="shared" si="2"/>
        <v>5051.8227000000188</v>
      </c>
      <c r="P52" s="34">
        <f t="shared" si="2"/>
        <v>5637.0418000000063</v>
      </c>
      <c r="Q52" s="34">
        <f t="shared" si="2"/>
        <v>6222.2608999999939</v>
      </c>
      <c r="R52" s="34"/>
    </row>
    <row r="53" spans="1:18" x14ac:dyDescent="0.3">
      <c r="A53" s="3" t="s">
        <v>379</v>
      </c>
      <c r="B53" s="3" t="str">
        <f>INDEX('R1. Scenario specifications'!$C$11:$C$59,MATCH($A53,'R1. Scenario specifications'!$A$11:$A$59,0))</f>
        <v>New Policies Scenario, World Energy Outlook 2016</v>
      </c>
      <c r="C53" s="3" t="s">
        <v>258</v>
      </c>
      <c r="D53" s="3" t="s">
        <v>542</v>
      </c>
      <c r="E53" s="34">
        <f t="shared" si="3"/>
        <v>78.375999999999991</v>
      </c>
      <c r="F53" s="34" t="str">
        <f t="shared" si="3"/>
        <v/>
      </c>
      <c r="G53" s="34" t="str">
        <f t="shared" si="3"/>
        <v/>
      </c>
      <c r="H53" s="34" t="str">
        <f t="shared" si="3"/>
        <v/>
      </c>
      <c r="I53" s="34">
        <f t="shared" si="3"/>
        <v>113.9473</v>
      </c>
      <c r="J53" s="34">
        <f t="shared" si="3"/>
        <v>156.22409999999999</v>
      </c>
      <c r="K53" s="34">
        <f t="shared" si="2"/>
        <v>221.61869999999999</v>
      </c>
      <c r="L53" s="34">
        <f t="shared" si="2"/>
        <v>312.51959999999997</v>
      </c>
      <c r="M53" s="34">
        <f t="shared" si="2"/>
        <v>414.6875</v>
      </c>
      <c r="N53" s="34">
        <f t="shared" si="2"/>
        <v>516.85539999999492</v>
      </c>
      <c r="O53" s="34">
        <f t="shared" si="2"/>
        <v>619.02329999999529</v>
      </c>
      <c r="P53" s="34">
        <f t="shared" si="2"/>
        <v>721.19119999999566</v>
      </c>
      <c r="Q53" s="34">
        <f t="shared" si="2"/>
        <v>823.35909999999603</v>
      </c>
      <c r="R53" s="34"/>
    </row>
    <row r="54" spans="1:18" x14ac:dyDescent="0.3">
      <c r="A54" s="3" t="s">
        <v>379</v>
      </c>
      <c r="B54" s="3" t="str">
        <f>INDEX('R1. Scenario specifications'!$C$11:$C$59,MATCH($A54,'R1. Scenario specifications'!$A$11:$A$59,0))</f>
        <v>New Policies Scenario, World Energy Outlook 2016</v>
      </c>
      <c r="C54" s="3" t="s">
        <v>259</v>
      </c>
      <c r="D54" s="3" t="s">
        <v>542</v>
      </c>
      <c r="E54" s="34">
        <f t="shared" si="3"/>
        <v>198.62899999999999</v>
      </c>
      <c r="F54" s="34" t="str">
        <f t="shared" si="3"/>
        <v/>
      </c>
      <c r="G54" s="34" t="str">
        <f t="shared" si="3"/>
        <v/>
      </c>
      <c r="H54" s="34" t="str">
        <f t="shared" si="3"/>
        <v/>
      </c>
      <c r="I54" s="34">
        <f t="shared" si="3"/>
        <v>628.65660000000003</v>
      </c>
      <c r="J54" s="34">
        <f t="shared" si="3"/>
        <v>1014.3528</v>
      </c>
      <c r="K54" s="34">
        <f t="shared" si="2"/>
        <v>1438.1190999999999</v>
      </c>
      <c r="L54" s="34">
        <f t="shared" si="2"/>
        <v>1905.7215000000001</v>
      </c>
      <c r="M54" s="34">
        <f t="shared" si="2"/>
        <v>2391.7460999999998</v>
      </c>
      <c r="N54" s="34">
        <f t="shared" si="2"/>
        <v>2877.77069999999</v>
      </c>
      <c r="O54" s="34">
        <f t="shared" si="2"/>
        <v>3363.7953000000125</v>
      </c>
      <c r="P54" s="34">
        <f t="shared" si="2"/>
        <v>3849.8199000000095</v>
      </c>
      <c r="Q54" s="34">
        <f t="shared" si="2"/>
        <v>4335.8445000000029</v>
      </c>
      <c r="R54" s="34"/>
    </row>
    <row r="55" spans="1:18" x14ac:dyDescent="0.3">
      <c r="A55" s="3" t="s">
        <v>380</v>
      </c>
      <c r="B55" s="3" t="str">
        <f>INDEX('R1. Scenario specifications'!$C$11:$C$59,MATCH($A55,'R1. Scenario specifications'!$A$11:$A$59,0))</f>
        <v>450 Scenario, World Energy Outlook 2016</v>
      </c>
      <c r="C55" s="3" t="s">
        <v>254</v>
      </c>
      <c r="D55" s="3" t="s">
        <v>542</v>
      </c>
      <c r="E55" s="34">
        <f t="shared" si="3"/>
        <v>9707.2849999999999</v>
      </c>
      <c r="F55" s="34" t="str">
        <f t="shared" si="3"/>
        <v/>
      </c>
      <c r="G55" s="34" t="str">
        <f t="shared" si="3"/>
        <v/>
      </c>
      <c r="H55" s="34" t="str">
        <f t="shared" si="3"/>
        <v/>
      </c>
      <c r="I55" s="34">
        <f t="shared" si="3"/>
        <v>8702.1226999999999</v>
      </c>
      <c r="J55" s="34" t="str">
        <f t="shared" si="3"/>
        <v/>
      </c>
      <c r="K55" s="34">
        <f t="shared" si="2"/>
        <v>4966.2015000000001</v>
      </c>
      <c r="L55" s="34" t="str">
        <f t="shared" si="2"/>
        <v/>
      </c>
      <c r="M55" s="34">
        <f t="shared" si="2"/>
        <v>2518.2707999999998</v>
      </c>
      <c r="N55" s="34">
        <f t="shared" si="2"/>
        <v>1294.3054499999996</v>
      </c>
      <c r="O55" s="34">
        <f t="shared" si="2"/>
        <v>70.340099999999438</v>
      </c>
      <c r="P55" s="34">
        <f t="shared" si="2"/>
        <v>0</v>
      </c>
      <c r="Q55" s="34">
        <f t="shared" si="2"/>
        <v>0</v>
      </c>
      <c r="R55" s="34"/>
    </row>
    <row r="56" spans="1:18" x14ac:dyDescent="0.3">
      <c r="A56" s="3" t="s">
        <v>380</v>
      </c>
      <c r="B56" s="3" t="str">
        <f>INDEX('R1. Scenario specifications'!$C$11:$C$59,MATCH($A56,'R1. Scenario specifications'!$A$11:$A$59,0))</f>
        <v>450 Scenario, World Energy Outlook 2016</v>
      </c>
      <c r="C56" s="3" t="s">
        <v>266</v>
      </c>
      <c r="D56" s="3" t="s">
        <v>542</v>
      </c>
      <c r="E56" s="34">
        <f t="shared" si="3"/>
        <v>1034.6668999999999</v>
      </c>
      <c r="F56" s="34" t="str">
        <f t="shared" si="3"/>
        <v/>
      </c>
      <c r="G56" s="34" t="str">
        <f t="shared" si="3"/>
        <v/>
      </c>
      <c r="H56" s="34" t="str">
        <f t="shared" si="3"/>
        <v/>
      </c>
      <c r="I56" s="34">
        <f t="shared" si="3"/>
        <v>783.20429999999999</v>
      </c>
      <c r="J56" s="34" t="str">
        <f t="shared" si="3"/>
        <v/>
      </c>
      <c r="K56" s="34">
        <f t="shared" si="2"/>
        <v>395.57049999999998</v>
      </c>
      <c r="L56" s="34" t="str">
        <f t="shared" si="2"/>
        <v/>
      </c>
      <c r="M56" s="34">
        <f t="shared" si="2"/>
        <v>200.33</v>
      </c>
      <c r="N56" s="34">
        <f t="shared" si="2"/>
        <v>102.70975000000003</v>
      </c>
      <c r="O56" s="34">
        <f t="shared" si="2"/>
        <v>5.0895000000000437</v>
      </c>
      <c r="P56" s="34">
        <f t="shared" si="2"/>
        <v>0</v>
      </c>
      <c r="Q56" s="34">
        <f t="shared" si="2"/>
        <v>0</v>
      </c>
      <c r="R56" s="34"/>
    </row>
    <row r="57" spans="1:18" x14ac:dyDescent="0.3">
      <c r="A57" s="3" t="s">
        <v>380</v>
      </c>
      <c r="B57" s="3" t="str">
        <f>INDEX('R1. Scenario specifications'!$C$11:$C$59,MATCH($A57,'R1. Scenario specifications'!$A$11:$A$59,0))</f>
        <v>450 Scenario, World Energy Outlook 2016</v>
      </c>
      <c r="C57" s="3" t="s">
        <v>255</v>
      </c>
      <c r="D57" s="3" t="s">
        <v>542</v>
      </c>
      <c r="E57" s="34">
        <f t="shared" si="3"/>
        <v>5148.4318999999996</v>
      </c>
      <c r="F57" s="34" t="str">
        <f t="shared" si="3"/>
        <v/>
      </c>
      <c r="G57" s="34" t="str">
        <f t="shared" si="3"/>
        <v/>
      </c>
      <c r="H57" s="34" t="str">
        <f t="shared" si="3"/>
        <v/>
      </c>
      <c r="I57" s="34">
        <f t="shared" si="3"/>
        <v>5898.0990000000002</v>
      </c>
      <c r="J57" s="34" t="str">
        <f t="shared" si="3"/>
        <v/>
      </c>
      <c r="K57" s="34">
        <f t="shared" si="2"/>
        <v>6474.5001000000002</v>
      </c>
      <c r="L57" s="34" t="str">
        <f t="shared" si="2"/>
        <v/>
      </c>
      <c r="M57" s="34">
        <f t="shared" si="2"/>
        <v>5389.0677999999998</v>
      </c>
      <c r="N57" s="34">
        <f t="shared" si="2"/>
        <v>4846.3516499999996</v>
      </c>
      <c r="O57" s="34">
        <f t="shared" si="2"/>
        <v>4303.6354999999994</v>
      </c>
      <c r="P57" s="34">
        <f t="shared" si="2"/>
        <v>3760.9193499999992</v>
      </c>
      <c r="Q57" s="34">
        <f t="shared" si="2"/>
        <v>3218.203199999999</v>
      </c>
      <c r="R57" s="34"/>
    </row>
    <row r="58" spans="1:18" x14ac:dyDescent="0.3">
      <c r="A58" s="3" t="s">
        <v>380</v>
      </c>
      <c r="B58" s="3" t="str">
        <f>INDEX('R1. Scenario specifications'!$C$11:$C$59,MATCH($A58,'R1. Scenario specifications'!$A$11:$A$59,0))</f>
        <v>450 Scenario, World Energy Outlook 2016</v>
      </c>
      <c r="C58" s="3" t="s">
        <v>257</v>
      </c>
      <c r="D58" s="3" t="s">
        <v>542</v>
      </c>
      <c r="E58" s="34">
        <f t="shared" si="3"/>
        <v>2535.326</v>
      </c>
      <c r="F58" s="34" t="str">
        <f t="shared" si="3"/>
        <v/>
      </c>
      <c r="G58" s="34" t="str">
        <f t="shared" si="3"/>
        <v/>
      </c>
      <c r="H58" s="34" t="str">
        <f t="shared" si="3"/>
        <v/>
      </c>
      <c r="I58" s="34">
        <f t="shared" si="3"/>
        <v>3127.7975999999999</v>
      </c>
      <c r="J58" s="34" t="str">
        <f t="shared" si="3"/>
        <v/>
      </c>
      <c r="K58" s="34">
        <f t="shared" si="2"/>
        <v>4733.6832000000004</v>
      </c>
      <c r="L58" s="34" t="str">
        <f t="shared" si="2"/>
        <v/>
      </c>
      <c r="M58" s="34">
        <f t="shared" si="2"/>
        <v>6101.2605999999996</v>
      </c>
      <c r="N58" s="34">
        <f t="shared" si="2"/>
        <v>6785.0492999999988</v>
      </c>
      <c r="O58" s="34">
        <f t="shared" si="2"/>
        <v>7468.8379999999988</v>
      </c>
      <c r="P58" s="34">
        <f t="shared" si="2"/>
        <v>8152.6266999999989</v>
      </c>
      <c r="Q58" s="34">
        <f t="shared" si="2"/>
        <v>8836.415399999998</v>
      </c>
      <c r="R58" s="34"/>
    </row>
    <row r="59" spans="1:18" x14ac:dyDescent="0.3">
      <c r="A59" s="3" t="s">
        <v>380</v>
      </c>
      <c r="B59" s="3" t="str">
        <f>INDEX('R1. Scenario specifications'!$C$11:$C$59,MATCH($A59,'R1. Scenario specifications'!$A$11:$A$59,0))</f>
        <v>450 Scenario, World Energy Outlook 2016</v>
      </c>
      <c r="C59" s="3" t="s">
        <v>256</v>
      </c>
      <c r="D59" s="3" t="s">
        <v>542</v>
      </c>
      <c r="E59" s="34">
        <f t="shared" si="3"/>
        <v>3893.634</v>
      </c>
      <c r="F59" s="34" t="str">
        <f t="shared" si="3"/>
        <v/>
      </c>
      <c r="G59" s="34" t="str">
        <f t="shared" si="3"/>
        <v/>
      </c>
      <c r="H59" s="34" t="str">
        <f t="shared" si="3"/>
        <v/>
      </c>
      <c r="I59" s="34">
        <f t="shared" si="3"/>
        <v>4392.1990999999998</v>
      </c>
      <c r="J59" s="34" t="str">
        <f t="shared" si="3"/>
        <v/>
      </c>
      <c r="K59" s="34">
        <f t="shared" si="2"/>
        <v>5655.2263000000003</v>
      </c>
      <c r="L59" s="34" t="str">
        <f t="shared" si="2"/>
        <v/>
      </c>
      <c r="M59" s="34">
        <f t="shared" si="2"/>
        <v>6891.1526999999996</v>
      </c>
      <c r="N59" s="34">
        <f t="shared" si="2"/>
        <v>7509.1158999999989</v>
      </c>
      <c r="O59" s="34">
        <f t="shared" si="2"/>
        <v>8127.079099999999</v>
      </c>
      <c r="P59" s="34">
        <f t="shared" si="2"/>
        <v>8745.0422999999992</v>
      </c>
      <c r="Q59" s="34">
        <f t="shared" si="2"/>
        <v>9363.0054999999993</v>
      </c>
      <c r="R59" s="34"/>
    </row>
    <row r="60" spans="1:18" x14ac:dyDescent="0.3">
      <c r="A60" s="3" t="s">
        <v>380</v>
      </c>
      <c r="B60" s="3" t="str">
        <f>INDEX('R1. Scenario specifications'!$C$11:$C$59,MATCH($A60,'R1. Scenario specifications'!$A$11:$A$59,0))</f>
        <v>450 Scenario, World Energy Outlook 2016</v>
      </c>
      <c r="C60" s="3" t="s">
        <v>253</v>
      </c>
      <c r="D60" s="3" t="s">
        <v>542</v>
      </c>
      <c r="E60" s="34">
        <f t="shared" si="3"/>
        <v>494.91829999999999</v>
      </c>
      <c r="F60" s="34" t="str">
        <f t="shared" si="3"/>
        <v/>
      </c>
      <c r="G60" s="34" t="str">
        <f t="shared" si="3"/>
        <v/>
      </c>
      <c r="H60" s="34" t="str">
        <f t="shared" si="3"/>
        <v/>
      </c>
      <c r="I60" s="34">
        <f t="shared" si="3"/>
        <v>646.17960000000005</v>
      </c>
      <c r="J60" s="34" t="str">
        <f t="shared" si="3"/>
        <v/>
      </c>
      <c r="K60" s="34">
        <f t="shared" si="2"/>
        <v>1152.7361000000001</v>
      </c>
      <c r="L60" s="34" t="str">
        <f t="shared" si="2"/>
        <v/>
      </c>
      <c r="M60" s="34">
        <f t="shared" si="2"/>
        <v>1898.588</v>
      </c>
      <c r="N60" s="34">
        <f t="shared" si="2"/>
        <v>2271.51395</v>
      </c>
      <c r="O60" s="34">
        <f t="shared" si="2"/>
        <v>2644.4398999999999</v>
      </c>
      <c r="P60" s="34">
        <f t="shared" si="2"/>
        <v>3017.3658500000001</v>
      </c>
      <c r="Q60" s="34">
        <f t="shared" si="2"/>
        <v>3390.2918</v>
      </c>
      <c r="R60" s="34"/>
    </row>
    <row r="61" spans="1:18" x14ac:dyDescent="0.3">
      <c r="A61" s="3" t="s">
        <v>380</v>
      </c>
      <c r="B61" s="3" t="str">
        <f>INDEX('R1. Scenario specifications'!$C$11:$C$59,MATCH($A61,'R1. Scenario specifications'!$A$11:$A$59,0))</f>
        <v>450 Scenario, World Energy Outlook 2016</v>
      </c>
      <c r="C61" s="3" t="s">
        <v>260</v>
      </c>
      <c r="D61" s="3" t="s">
        <v>542</v>
      </c>
      <c r="E61" s="34">
        <f t="shared" si="3"/>
        <v>717.29300000000001</v>
      </c>
      <c r="F61" s="34" t="str">
        <f t="shared" si="3"/>
        <v/>
      </c>
      <c r="G61" s="34" t="str">
        <f t="shared" si="3"/>
        <v/>
      </c>
      <c r="H61" s="34" t="str">
        <f t="shared" si="3"/>
        <v/>
      </c>
      <c r="I61" s="34">
        <f t="shared" si="3"/>
        <v>1585.2916</v>
      </c>
      <c r="J61" s="34" t="str">
        <f t="shared" si="3"/>
        <v/>
      </c>
      <c r="K61" s="34">
        <f t="shared" si="2"/>
        <v>3846.0500999999999</v>
      </c>
      <c r="L61" s="34" t="str">
        <f t="shared" si="2"/>
        <v/>
      </c>
      <c r="M61" s="34">
        <f t="shared" si="2"/>
        <v>6126.8730999999998</v>
      </c>
      <c r="N61" s="34">
        <f t="shared" si="2"/>
        <v>7267.2846</v>
      </c>
      <c r="O61" s="34">
        <f t="shared" si="2"/>
        <v>8407.6960999999992</v>
      </c>
      <c r="P61" s="34">
        <f t="shared" si="2"/>
        <v>9548.1075999999994</v>
      </c>
      <c r="Q61" s="34">
        <f t="shared" si="2"/>
        <v>10688.5191</v>
      </c>
      <c r="R61" s="34"/>
    </row>
    <row r="62" spans="1:18" x14ac:dyDescent="0.3">
      <c r="A62" s="3" t="s">
        <v>380</v>
      </c>
      <c r="B62" s="3" t="str">
        <f>INDEX('R1. Scenario specifications'!$C$11:$C$59,MATCH($A62,'R1. Scenario specifications'!$A$11:$A$59,0))</f>
        <v>450 Scenario, World Energy Outlook 2016</v>
      </c>
      <c r="C62" s="3" t="s">
        <v>258</v>
      </c>
      <c r="D62" s="3" t="s">
        <v>542</v>
      </c>
      <c r="E62" s="34">
        <f t="shared" si="3"/>
        <v>78.375999999999991</v>
      </c>
      <c r="F62" s="34" t="str">
        <f t="shared" si="3"/>
        <v/>
      </c>
      <c r="G62" s="34" t="str">
        <f t="shared" si="3"/>
        <v/>
      </c>
      <c r="H62" s="34" t="str">
        <f t="shared" si="3"/>
        <v/>
      </c>
      <c r="I62" s="34">
        <f t="shared" si="3"/>
        <v>116.4648</v>
      </c>
      <c r="J62" s="34" t="str">
        <f t="shared" si="3"/>
        <v/>
      </c>
      <c r="K62" s="34">
        <f t="shared" si="2"/>
        <v>311.48589999999996</v>
      </c>
      <c r="L62" s="34" t="str">
        <f t="shared" si="2"/>
        <v/>
      </c>
      <c r="M62" s="34">
        <f t="shared" si="2"/>
        <v>639.23270000000002</v>
      </c>
      <c r="N62" s="34">
        <f t="shared" si="2"/>
        <v>803.10609999999997</v>
      </c>
      <c r="O62" s="34">
        <f t="shared" si="2"/>
        <v>966.97950000000003</v>
      </c>
      <c r="P62" s="34">
        <f t="shared" si="2"/>
        <v>1130.8529000000001</v>
      </c>
      <c r="Q62" s="34">
        <f t="shared" si="2"/>
        <v>1294.7263</v>
      </c>
      <c r="R62" s="34"/>
    </row>
    <row r="63" spans="1:18" x14ac:dyDescent="0.3">
      <c r="A63" s="3" t="s">
        <v>380</v>
      </c>
      <c r="B63" s="3" t="str">
        <f>INDEX('R1. Scenario specifications'!$C$11:$C$59,MATCH($A63,'R1. Scenario specifications'!$A$11:$A$59,0))</f>
        <v>450 Scenario, World Energy Outlook 2016</v>
      </c>
      <c r="C63" s="3" t="s">
        <v>259</v>
      </c>
      <c r="D63" s="3" t="s">
        <v>542</v>
      </c>
      <c r="E63" s="34">
        <f t="shared" si="3"/>
        <v>198.62899999999999</v>
      </c>
      <c r="F63" s="34" t="str">
        <f t="shared" si="3"/>
        <v/>
      </c>
      <c r="G63" s="34" t="str">
        <f t="shared" si="3"/>
        <v/>
      </c>
      <c r="H63" s="34" t="str">
        <f t="shared" si="3"/>
        <v/>
      </c>
      <c r="I63" s="34">
        <f t="shared" si="3"/>
        <v>676.89490000000001</v>
      </c>
      <c r="J63" s="34" t="str">
        <f t="shared" si="3"/>
        <v/>
      </c>
      <c r="K63" s="34">
        <f t="shared" si="2"/>
        <v>2119.6624000000002</v>
      </c>
      <c r="L63" s="34" t="str">
        <f t="shared" si="2"/>
        <v/>
      </c>
      <c r="M63" s="34">
        <f t="shared" si="2"/>
        <v>4327.0095000000001</v>
      </c>
      <c r="N63" s="34">
        <f t="shared" si="2"/>
        <v>5430.6830500000005</v>
      </c>
      <c r="O63" s="34">
        <f t="shared" si="2"/>
        <v>6534.356600000001</v>
      </c>
      <c r="P63" s="34">
        <f t="shared" si="2"/>
        <v>7638.0301500000005</v>
      </c>
      <c r="Q63" s="34">
        <f t="shared" si="2"/>
        <v>8741.7037000000018</v>
      </c>
      <c r="R63" s="34"/>
    </row>
    <row r="64" spans="1:18" x14ac:dyDescent="0.3">
      <c r="A64" s="3" t="s">
        <v>381</v>
      </c>
      <c r="B64" s="3" t="str">
        <f>INDEX('R1. Scenario specifications'!$C$11:$C$59,MATCH($A64,'R1. Scenario specifications'!$A$11:$A$59,0))</f>
        <v>Reference Technologies Scenario, Energy Technology Perspectives 2017</v>
      </c>
      <c r="C64" s="3" t="s">
        <v>266</v>
      </c>
      <c r="D64" s="3" t="s">
        <v>542</v>
      </c>
      <c r="E64" s="34">
        <f t="shared" si="3"/>
        <v>1033.346</v>
      </c>
      <c r="F64" s="34" t="str">
        <f t="shared" si="3"/>
        <v/>
      </c>
      <c r="G64" s="34" t="str">
        <f t="shared" si="3"/>
        <v/>
      </c>
      <c r="H64" s="34" t="str">
        <f t="shared" si="3"/>
        <v/>
      </c>
      <c r="I64" s="34" t="str">
        <f t="shared" si="3"/>
        <v/>
      </c>
      <c r="J64" s="34">
        <f t="shared" si="3"/>
        <v>731.6395074225735</v>
      </c>
      <c r="K64" s="34">
        <f t="shared" si="2"/>
        <v>636.182015274489</v>
      </c>
      <c r="L64" s="34">
        <f t="shared" si="2"/>
        <v>592.2046341563057</v>
      </c>
      <c r="M64" s="34">
        <f t="shared" si="2"/>
        <v>547.13021911998442</v>
      </c>
      <c r="N64" s="34">
        <f t="shared" si="2"/>
        <v>501.70026522699101</v>
      </c>
      <c r="O64" s="34">
        <f t="shared" si="2"/>
        <v>443.3984203392456</v>
      </c>
      <c r="P64" s="34">
        <f t="shared" si="2"/>
        <v>407.03522270854523</v>
      </c>
      <c r="Q64" s="34">
        <f t="shared" si="2"/>
        <v>380.81049167807845</v>
      </c>
      <c r="R64" s="34"/>
    </row>
    <row r="65" spans="1:18" x14ac:dyDescent="0.3">
      <c r="A65" s="3" t="s">
        <v>381</v>
      </c>
      <c r="B65" s="3" t="str">
        <f>INDEX('R1. Scenario specifications'!$C$11:$C$59,MATCH($A65,'R1. Scenario specifications'!$A$11:$A$59,0))</f>
        <v>Reference Technologies Scenario, Energy Technology Perspectives 2017</v>
      </c>
      <c r="C65" s="3" t="s">
        <v>254</v>
      </c>
      <c r="D65" s="3" t="s">
        <v>542</v>
      </c>
      <c r="E65" s="34">
        <f t="shared" si="3"/>
        <v>9697.148000000001</v>
      </c>
      <c r="F65" s="34" t="str">
        <f t="shared" si="3"/>
        <v/>
      </c>
      <c r="G65" s="34" t="str">
        <f t="shared" si="3"/>
        <v/>
      </c>
      <c r="H65" s="34" t="str">
        <f t="shared" si="3"/>
        <v/>
      </c>
      <c r="I65" s="34" t="str">
        <f t="shared" si="3"/>
        <v/>
      </c>
      <c r="J65" s="34">
        <f t="shared" si="3"/>
        <v>10231.660644168858</v>
      </c>
      <c r="K65" s="34">
        <f t="shared" si="2"/>
        <v>10410.692239564596</v>
      </c>
      <c r="L65" s="34">
        <f t="shared" si="2"/>
        <v>10802.592660775745</v>
      </c>
      <c r="M65" s="34">
        <f t="shared" si="2"/>
        <v>11211.168668819046</v>
      </c>
      <c r="N65" s="34">
        <f t="shared" si="2"/>
        <v>11626.790356817268</v>
      </c>
      <c r="O65" s="34">
        <f t="shared" si="2"/>
        <v>11604.36995303517</v>
      </c>
      <c r="P65" s="34">
        <f t="shared" si="2"/>
        <v>11981.233212184885</v>
      </c>
      <c r="Q65" s="34">
        <f t="shared" si="2"/>
        <v>12259.461360854786</v>
      </c>
      <c r="R65" s="34"/>
    </row>
    <row r="66" spans="1:18" x14ac:dyDescent="0.3">
      <c r="A66" s="3" t="s">
        <v>381</v>
      </c>
      <c r="B66" s="3" t="str">
        <f>INDEX('R1. Scenario specifications'!$C$11:$C$59,MATCH($A66,'R1. Scenario specifications'!$A$11:$A$59,0))</f>
        <v>Reference Technologies Scenario, Energy Technology Perspectives 2017</v>
      </c>
      <c r="C66" s="3" t="s">
        <v>255</v>
      </c>
      <c r="D66" s="3" t="s">
        <v>542</v>
      </c>
      <c r="E66" s="34">
        <f t="shared" si="3"/>
        <v>5154.8270000000002</v>
      </c>
      <c r="F66" s="34" t="str">
        <f t="shared" si="3"/>
        <v/>
      </c>
      <c r="G66" s="34" t="str">
        <f t="shared" si="3"/>
        <v/>
      </c>
      <c r="H66" s="34" t="str">
        <f t="shared" si="3"/>
        <v/>
      </c>
      <c r="I66" s="34" t="str">
        <f t="shared" si="3"/>
        <v/>
      </c>
      <c r="J66" s="34">
        <f t="shared" si="3"/>
        <v>6583.3089580030128</v>
      </c>
      <c r="K66" s="34">
        <f t="shared" si="2"/>
        <v>7763.9542006164847</v>
      </c>
      <c r="L66" s="34">
        <f t="shared" si="2"/>
        <v>8695.0780110526503</v>
      </c>
      <c r="M66" s="34">
        <f t="shared" si="2"/>
        <v>9395.0741556384983</v>
      </c>
      <c r="N66" s="34">
        <f t="shared" si="2"/>
        <v>10057.540813895181</v>
      </c>
      <c r="O66" s="34">
        <f t="shared" si="2"/>
        <v>10585.977461581271</v>
      </c>
      <c r="P66" s="34">
        <f t="shared" si="2"/>
        <v>10981.319560540087</v>
      </c>
      <c r="Q66" s="34">
        <f t="shared" si="2"/>
        <v>11701.683111283668</v>
      </c>
      <c r="R66" s="34"/>
    </row>
    <row r="67" spans="1:18" x14ac:dyDescent="0.3">
      <c r="A67" s="3" t="s">
        <v>381</v>
      </c>
      <c r="B67" s="3" t="str">
        <f>INDEX('R1. Scenario specifications'!$C$11:$C$59,MATCH($A67,'R1. Scenario specifications'!$A$11:$A$59,0))</f>
        <v>Reference Technologies Scenario, Energy Technology Perspectives 2017</v>
      </c>
      <c r="C67" s="3" t="s">
        <v>257</v>
      </c>
      <c r="D67" s="3" t="s">
        <v>542</v>
      </c>
      <c r="E67" s="34">
        <f t="shared" si="3"/>
        <v>2535.326</v>
      </c>
      <c r="F67" s="34" t="str">
        <f t="shared" si="3"/>
        <v/>
      </c>
      <c r="G67" s="34" t="str">
        <f t="shared" si="3"/>
        <v/>
      </c>
      <c r="H67" s="34" t="str">
        <f t="shared" si="3"/>
        <v/>
      </c>
      <c r="I67" s="34" t="str">
        <f t="shared" si="3"/>
        <v/>
      </c>
      <c r="J67" s="34">
        <f t="shared" si="3"/>
        <v>3476.4352489146872</v>
      </c>
      <c r="K67" s="34">
        <f t="shared" si="2"/>
        <v>3858.309433592467</v>
      </c>
      <c r="L67" s="34">
        <f t="shared" si="2"/>
        <v>4110.6028575443434</v>
      </c>
      <c r="M67" s="34">
        <f t="shared" si="2"/>
        <v>4470.642667725906</v>
      </c>
      <c r="N67" s="34">
        <f t="shared" si="2"/>
        <v>4738.6049947554629</v>
      </c>
      <c r="O67" s="34">
        <f t="shared" si="2"/>
        <v>4951.3005497209251</v>
      </c>
      <c r="P67" s="34">
        <f t="shared" si="2"/>
        <v>5161.0779411879485</v>
      </c>
      <c r="Q67" s="34">
        <f t="shared" si="2"/>
        <v>5290.4398973588859</v>
      </c>
      <c r="R67" s="34"/>
    </row>
    <row r="68" spans="1:18" x14ac:dyDescent="0.3">
      <c r="A68" s="3" t="s">
        <v>381</v>
      </c>
      <c r="B68" s="3" t="str">
        <f>INDEX('R1. Scenario specifications'!$C$11:$C$59,MATCH($A68,'R1. Scenario specifications'!$A$11:$A$59,0))</f>
        <v>Reference Technologies Scenario, Energy Technology Perspectives 2017</v>
      </c>
      <c r="C68" s="3" t="s">
        <v>253</v>
      </c>
      <c r="D68" s="3" t="s">
        <v>542</v>
      </c>
      <c r="E68" s="34">
        <f t="shared" si="3"/>
        <v>495.94800000000004</v>
      </c>
      <c r="F68" s="34" t="str">
        <f t="shared" si="3"/>
        <v/>
      </c>
      <c r="G68" s="34" t="str">
        <f t="shared" si="3"/>
        <v/>
      </c>
      <c r="H68" s="34" t="str">
        <f t="shared" si="3"/>
        <v/>
      </c>
      <c r="I68" s="34" t="str">
        <f t="shared" si="3"/>
        <v/>
      </c>
      <c r="J68" s="34">
        <f t="shared" si="3"/>
        <v>1031.9215251252633</v>
      </c>
      <c r="K68" s="34">
        <f t="shared" si="2"/>
        <v>1267.4188623850657</v>
      </c>
      <c r="L68" s="34">
        <f t="shared" si="2"/>
        <v>1463.2811622450477</v>
      </c>
      <c r="M68" s="34">
        <f t="shared" si="2"/>
        <v>1695.379158774168</v>
      </c>
      <c r="N68" s="34">
        <f t="shared" si="2"/>
        <v>1900.9114188751921</v>
      </c>
      <c r="O68" s="34">
        <f t="shared" si="2"/>
        <v>2210.2801247097159</v>
      </c>
      <c r="P68" s="34">
        <f t="shared" si="2"/>
        <v>2544.9393049221903</v>
      </c>
      <c r="Q68" s="34">
        <f t="shared" si="2"/>
        <v>2775.4437373387009</v>
      </c>
      <c r="R68" s="34"/>
    </row>
    <row r="69" spans="1:18" x14ac:dyDescent="0.3">
      <c r="A69" s="3" t="s">
        <v>381</v>
      </c>
      <c r="B69" s="3" t="str">
        <f>INDEX('R1. Scenario specifications'!$C$11:$C$59,MATCH($A69,'R1. Scenario specifications'!$A$11:$A$59,0))</f>
        <v>Reference Technologies Scenario, Energy Technology Perspectives 2017</v>
      </c>
      <c r="C69" s="3" t="s">
        <v>256</v>
      </c>
      <c r="D69" s="3" t="s">
        <v>542</v>
      </c>
      <c r="E69" s="34">
        <f t="shared" si="3"/>
        <v>3894.7080000000001</v>
      </c>
      <c r="F69" s="34" t="str">
        <f t="shared" si="3"/>
        <v/>
      </c>
      <c r="G69" s="34" t="str">
        <f t="shared" si="3"/>
        <v/>
      </c>
      <c r="H69" s="34" t="str">
        <f t="shared" si="3"/>
        <v/>
      </c>
      <c r="I69" s="34" t="str">
        <f t="shared" si="3"/>
        <v/>
      </c>
      <c r="J69" s="34">
        <f t="shared" si="3"/>
        <v>4939.2864291594351</v>
      </c>
      <c r="K69" s="34">
        <f t="shared" si="2"/>
        <v>5421.8413407359367</v>
      </c>
      <c r="L69" s="34">
        <f t="shared" si="2"/>
        <v>5867.3347559816748</v>
      </c>
      <c r="M69" s="34">
        <f t="shared" si="2"/>
        <v>6261.1145726070308</v>
      </c>
      <c r="N69" s="34">
        <f t="shared" si="2"/>
        <v>6648.6687900265624</v>
      </c>
      <c r="O69" s="34">
        <f t="shared" si="2"/>
        <v>7037.0596029104772</v>
      </c>
      <c r="P69" s="34">
        <f t="shared" si="2"/>
        <v>7430.2444560580816</v>
      </c>
      <c r="Q69" s="34">
        <f t="shared" si="2"/>
        <v>7836.0845022802187</v>
      </c>
      <c r="R69" s="34"/>
    </row>
    <row r="70" spans="1:18" x14ac:dyDescent="0.3">
      <c r="A70" s="3" t="s">
        <v>381</v>
      </c>
      <c r="B70" s="3" t="str">
        <f>INDEX('R1. Scenario specifications'!$C$11:$C$59,MATCH($A70,'R1. Scenario specifications'!$A$11:$A$59,0))</f>
        <v>Reference Technologies Scenario, Energy Technology Perspectives 2017</v>
      </c>
      <c r="C70" s="3" t="s">
        <v>258</v>
      </c>
      <c r="D70" s="3" t="s">
        <v>542</v>
      </c>
      <c r="E70" s="34">
        <f t="shared" si="3"/>
        <v>92.123999999999995</v>
      </c>
      <c r="F70" s="34" t="str">
        <f t="shared" si="3"/>
        <v/>
      </c>
      <c r="G70" s="34" t="str">
        <f t="shared" si="3"/>
        <v/>
      </c>
      <c r="H70" s="34" t="str">
        <f t="shared" si="3"/>
        <v/>
      </c>
      <c r="I70" s="34" t="str">
        <f t="shared" si="3"/>
        <v/>
      </c>
      <c r="J70" s="34">
        <f t="shared" si="3"/>
        <v>180.17656344291805</v>
      </c>
      <c r="K70" s="34">
        <f t="shared" si="2"/>
        <v>250.12768040731913</v>
      </c>
      <c r="L70" s="34">
        <f t="shared" si="2"/>
        <v>344.65428011363787</v>
      </c>
      <c r="M70" s="34">
        <f t="shared" si="2"/>
        <v>461.99060349898332</v>
      </c>
      <c r="N70" s="34">
        <f t="shared" si="2"/>
        <v>587.11927340058821</v>
      </c>
      <c r="O70" s="34">
        <f t="shared" si="2"/>
        <v>717.7390505567754</v>
      </c>
      <c r="P70" s="34">
        <f t="shared" si="2"/>
        <v>848.66435461392189</v>
      </c>
      <c r="Q70" s="34">
        <f t="shared" si="2"/>
        <v>982.68563149639454</v>
      </c>
      <c r="R70" s="34"/>
    </row>
    <row r="71" spans="1:18" x14ac:dyDescent="0.3">
      <c r="A71" s="3" t="s">
        <v>381</v>
      </c>
      <c r="B71" s="3" t="str">
        <f>INDEX('R1. Scenario specifications'!$C$11:$C$59,MATCH($A71,'R1. Scenario specifications'!$A$11:$A$59,0))</f>
        <v>Reference Technologies Scenario, Energy Technology Perspectives 2017</v>
      </c>
      <c r="C71" s="3" t="s">
        <v>260</v>
      </c>
      <c r="D71" s="3" t="s">
        <v>542</v>
      </c>
      <c r="E71" s="34">
        <f t="shared" si="3"/>
        <v>717.29323599999998</v>
      </c>
      <c r="F71" s="34" t="str">
        <f t="shared" si="3"/>
        <v/>
      </c>
      <c r="G71" s="34" t="str">
        <f t="shared" si="3"/>
        <v/>
      </c>
      <c r="H71" s="34" t="str">
        <f t="shared" si="3"/>
        <v/>
      </c>
      <c r="I71" s="34" t="str">
        <f t="shared" si="3"/>
        <v/>
      </c>
      <c r="J71" s="34">
        <f t="shared" si="3"/>
        <v>2192.6304541581439</v>
      </c>
      <c r="K71" s="34">
        <f t="shared" si="2"/>
        <v>2872.5404676442381</v>
      </c>
      <c r="L71" s="34">
        <f t="shared" si="2"/>
        <v>3484.5831635277827</v>
      </c>
      <c r="M71" s="34">
        <f t="shared" si="2"/>
        <v>3996.3898111422</v>
      </c>
      <c r="N71" s="34">
        <f t="shared" si="2"/>
        <v>4531.8170164762168</v>
      </c>
      <c r="O71" s="34">
        <f t="shared" si="2"/>
        <v>5251.5036749386809</v>
      </c>
      <c r="P71" s="34">
        <f t="shared" si="2"/>
        <v>5878.1689715586608</v>
      </c>
      <c r="Q71" s="34">
        <f t="shared" si="2"/>
        <v>6485.3188595544489</v>
      </c>
      <c r="R71" s="34"/>
    </row>
    <row r="72" spans="1:18" x14ac:dyDescent="0.3">
      <c r="A72" s="3" t="s">
        <v>381</v>
      </c>
      <c r="B72" s="3" t="str">
        <f>INDEX('R1. Scenario specifications'!$C$11:$C$59,MATCH($A72,'R1. Scenario specifications'!$A$11:$A$59,0))</f>
        <v>Reference Technologies Scenario, Energy Technology Perspectives 2017</v>
      </c>
      <c r="C72" s="3" t="s">
        <v>259</v>
      </c>
      <c r="D72" s="3" t="s">
        <v>542</v>
      </c>
      <c r="E72" s="34">
        <f t="shared" si="3"/>
        <v>198.179</v>
      </c>
      <c r="F72" s="34" t="str">
        <f t="shared" si="3"/>
        <v/>
      </c>
      <c r="G72" s="34" t="str">
        <f t="shared" si="3"/>
        <v/>
      </c>
      <c r="H72" s="34" t="str">
        <f t="shared" si="3"/>
        <v/>
      </c>
      <c r="I72" s="34" t="str">
        <f t="shared" si="3"/>
        <v/>
      </c>
      <c r="J72" s="34">
        <f t="shared" si="3"/>
        <v>1047.751467506497</v>
      </c>
      <c r="K72" s="34">
        <f t="shared" si="2"/>
        <v>1517.7321799914223</v>
      </c>
      <c r="L72" s="34">
        <f t="shared" si="2"/>
        <v>2089.2316662966155</v>
      </c>
      <c r="M72" s="34">
        <f t="shared" si="2"/>
        <v>2730.3332451410579</v>
      </c>
      <c r="N72" s="34">
        <f t="shared" si="2"/>
        <v>3386.8354009619152</v>
      </c>
      <c r="O72" s="34">
        <f t="shared" si="2"/>
        <v>4142.7725709184015</v>
      </c>
      <c r="P72" s="34">
        <f t="shared" si="2"/>
        <v>4933.6452354925732</v>
      </c>
      <c r="Q72" s="34">
        <f t="shared" si="2"/>
        <v>5717.400282407928</v>
      </c>
      <c r="R72" s="34"/>
    </row>
    <row r="73" spans="1:18" x14ac:dyDescent="0.3">
      <c r="A73" s="3" t="s">
        <v>382</v>
      </c>
      <c r="B73" s="3" t="str">
        <f>INDEX('R1. Scenario specifications'!$C$11:$C$59,MATCH($A73,'R1. Scenario specifications'!$A$11:$A$59,0))</f>
        <v>2 Degrees Scenario, Energy Technology Perspectives 2017</v>
      </c>
      <c r="C73" s="3" t="s">
        <v>266</v>
      </c>
      <c r="D73" s="3" t="s">
        <v>542</v>
      </c>
      <c r="E73" s="34">
        <f t="shared" si="3"/>
        <v>1033.346</v>
      </c>
      <c r="F73" s="34" t="str">
        <f t="shared" si="3"/>
        <v/>
      </c>
      <c r="G73" s="34" t="str">
        <f t="shared" si="3"/>
        <v/>
      </c>
      <c r="H73" s="34" t="str">
        <f t="shared" si="3"/>
        <v/>
      </c>
      <c r="I73" s="34" t="str">
        <f t="shared" si="3"/>
        <v/>
      </c>
      <c r="J73" s="34">
        <f t="shared" si="3"/>
        <v>579.23910981687584</v>
      </c>
      <c r="K73" s="34">
        <f t="shared" si="2"/>
        <v>394.46039382198529</v>
      </c>
      <c r="L73" s="34">
        <f t="shared" si="2"/>
        <v>299.49948055656614</v>
      </c>
      <c r="M73" s="34">
        <f t="shared" si="2"/>
        <v>218.87477140453467</v>
      </c>
      <c r="N73" s="34">
        <f t="shared" si="2"/>
        <v>161.20958143199837</v>
      </c>
      <c r="O73" s="34">
        <f t="shared" si="2"/>
        <v>112.89470761102676</v>
      </c>
      <c r="P73" s="34">
        <f t="shared" si="2"/>
        <v>89.661282161916432</v>
      </c>
      <c r="Q73" s="34">
        <f t="shared" si="2"/>
        <v>76.038103010096734</v>
      </c>
      <c r="R73" s="34"/>
    </row>
    <row r="74" spans="1:18" x14ac:dyDescent="0.3">
      <c r="A74" s="3" t="s">
        <v>382</v>
      </c>
      <c r="B74" s="3" t="str">
        <f>INDEX('R1. Scenario specifications'!$C$11:$C$59,MATCH($A74,'R1. Scenario specifications'!$A$11:$A$59,0))</f>
        <v>2 Degrees Scenario, Energy Technology Perspectives 2017</v>
      </c>
      <c r="C74" s="3" t="s">
        <v>254</v>
      </c>
      <c r="D74" s="3" t="s">
        <v>542</v>
      </c>
      <c r="E74" s="34">
        <f t="shared" si="3"/>
        <v>9697.148000000001</v>
      </c>
      <c r="F74" s="34" t="str">
        <f t="shared" si="3"/>
        <v/>
      </c>
      <c r="G74" s="34" t="str">
        <f t="shared" si="3"/>
        <v/>
      </c>
      <c r="H74" s="34" t="str">
        <f t="shared" si="3"/>
        <v/>
      </c>
      <c r="I74" s="34" t="str">
        <f t="shared" si="3"/>
        <v/>
      </c>
      <c r="J74" s="34">
        <f t="shared" si="3"/>
        <v>7185.6946167370606</v>
      </c>
      <c r="K74" s="34">
        <f t="shared" si="2"/>
        <v>5079.5556056032901</v>
      </c>
      <c r="L74" s="34">
        <f t="shared" si="2"/>
        <v>3367.6060548924875</v>
      </c>
      <c r="M74" s="34">
        <f t="shared" si="2"/>
        <v>2752.2365395059146</v>
      </c>
      <c r="N74" s="34">
        <f t="shared" si="2"/>
        <v>2597.6669238270197</v>
      </c>
      <c r="O74" s="34">
        <f t="shared" si="2"/>
        <v>2307.6479374828568</v>
      </c>
      <c r="P74" s="34">
        <f t="shared" si="2"/>
        <v>1939.5004366893265</v>
      </c>
      <c r="Q74" s="34">
        <f t="shared" si="2"/>
        <v>1952.2458412775024</v>
      </c>
      <c r="R74" s="34"/>
    </row>
    <row r="75" spans="1:18" x14ac:dyDescent="0.3">
      <c r="A75" s="3" t="s">
        <v>382</v>
      </c>
      <c r="B75" s="3" t="str">
        <f>INDEX('R1. Scenario specifications'!$C$11:$C$59,MATCH($A75,'R1. Scenario specifications'!$A$11:$A$59,0))</f>
        <v>2 Degrees Scenario, Energy Technology Perspectives 2017</v>
      </c>
      <c r="C75" s="3" t="s">
        <v>255</v>
      </c>
      <c r="D75" s="3" t="s">
        <v>542</v>
      </c>
      <c r="E75" s="34">
        <f t="shared" si="3"/>
        <v>5154.8270000000002</v>
      </c>
      <c r="F75" s="34" t="str">
        <f t="shared" si="3"/>
        <v/>
      </c>
      <c r="G75" s="34" t="str">
        <f t="shared" si="3"/>
        <v/>
      </c>
      <c r="H75" s="34" t="str">
        <f t="shared" si="3"/>
        <v/>
      </c>
      <c r="I75" s="34" t="str">
        <f t="shared" si="3"/>
        <v/>
      </c>
      <c r="J75" s="34">
        <f t="shared" si="3"/>
        <v>6673.1771584731068</v>
      </c>
      <c r="K75" s="34">
        <f t="shared" si="2"/>
        <v>6707.8244474219046</v>
      </c>
      <c r="L75" s="34">
        <f t="shared" si="2"/>
        <v>6609.6014316020337</v>
      </c>
      <c r="M75" s="34">
        <f t="shared" si="2"/>
        <v>5873.6233991654399</v>
      </c>
      <c r="N75" s="34">
        <f t="shared" si="2"/>
        <v>4864.6949969190737</v>
      </c>
      <c r="O75" s="34">
        <f t="shared" si="2"/>
        <v>4118.9851046513013</v>
      </c>
      <c r="P75" s="34">
        <f t="shared" si="2"/>
        <v>4031.5943459114969</v>
      </c>
      <c r="Q75" s="34">
        <f t="shared" si="2"/>
        <v>3503.6055449656624</v>
      </c>
      <c r="R75" s="34"/>
    </row>
    <row r="76" spans="1:18" x14ac:dyDescent="0.3">
      <c r="A76" s="3" t="s">
        <v>382</v>
      </c>
      <c r="B76" s="3" t="str">
        <f>INDEX('R1. Scenario specifications'!$C$11:$C$59,MATCH($A76,'R1. Scenario specifications'!$A$11:$A$59,0))</f>
        <v>2 Degrees Scenario, Energy Technology Perspectives 2017</v>
      </c>
      <c r="C76" s="3" t="s">
        <v>257</v>
      </c>
      <c r="D76" s="3" t="s">
        <v>542</v>
      </c>
      <c r="E76" s="34">
        <f t="shared" si="3"/>
        <v>2535.326</v>
      </c>
      <c r="F76" s="34" t="str">
        <f t="shared" si="3"/>
        <v/>
      </c>
      <c r="G76" s="34" t="str">
        <f t="shared" si="3"/>
        <v/>
      </c>
      <c r="H76" s="34" t="str">
        <f t="shared" si="3"/>
        <v/>
      </c>
      <c r="I76" s="34" t="str">
        <f t="shared" si="3"/>
        <v/>
      </c>
      <c r="J76" s="34">
        <f t="shared" si="3"/>
        <v>3750.2082103196226</v>
      </c>
      <c r="K76" s="34">
        <f t="shared" si="2"/>
        <v>4719.3746746021179</v>
      </c>
      <c r="L76" s="34">
        <f t="shared" si="2"/>
        <v>5407.4653399235303</v>
      </c>
      <c r="M76" s="34">
        <f t="shared" si="2"/>
        <v>6109.9452374085813</v>
      </c>
      <c r="N76" s="34">
        <f t="shared" si="2"/>
        <v>6632.9058690538641</v>
      </c>
      <c r="O76" s="34">
        <f t="shared" si="2"/>
        <v>6932.0796668110124</v>
      </c>
      <c r="P76" s="34">
        <f t="shared" si="2"/>
        <v>7303.4239097660466</v>
      </c>
      <c r="Q76" s="34">
        <f t="shared" si="2"/>
        <v>7544.5015121423357</v>
      </c>
      <c r="R76" s="34"/>
    </row>
    <row r="77" spans="1:18" x14ac:dyDescent="0.3">
      <c r="A77" s="3" t="s">
        <v>382</v>
      </c>
      <c r="B77" s="3" t="str">
        <f>INDEX('R1. Scenario specifications'!$C$11:$C$59,MATCH($A77,'R1. Scenario specifications'!$A$11:$A$59,0))</f>
        <v>2 Degrees Scenario, Energy Technology Perspectives 2017</v>
      </c>
      <c r="C77" s="3" t="s">
        <v>253</v>
      </c>
      <c r="D77" s="3" t="s">
        <v>542</v>
      </c>
      <c r="E77" s="34">
        <f t="shared" si="3"/>
        <v>495.94800000000004</v>
      </c>
      <c r="F77" s="34" t="str">
        <f t="shared" si="3"/>
        <v/>
      </c>
      <c r="G77" s="34" t="str">
        <f t="shared" si="3"/>
        <v/>
      </c>
      <c r="H77" s="34" t="str">
        <f t="shared" si="3"/>
        <v/>
      </c>
      <c r="I77" s="34" t="str">
        <f t="shared" si="3"/>
        <v/>
      </c>
      <c r="J77" s="34">
        <f t="shared" si="3"/>
        <v>1345.0811922244827</v>
      </c>
      <c r="K77" s="34">
        <f t="shared" si="2"/>
        <v>1855.9687503196044</v>
      </c>
      <c r="L77" s="34">
        <f t="shared" si="2"/>
        <v>2402.635705515886</v>
      </c>
      <c r="M77" s="34">
        <f t="shared" si="2"/>
        <v>2756.1699538770217</v>
      </c>
      <c r="N77" s="34">
        <f t="shared" si="2"/>
        <v>3144.836557616366</v>
      </c>
      <c r="O77" s="34">
        <f t="shared" si="2"/>
        <v>3365.8569637631399</v>
      </c>
      <c r="P77" s="34">
        <f t="shared" si="2"/>
        <v>3289.6084226392231</v>
      </c>
      <c r="Q77" s="34">
        <f t="shared" si="2"/>
        <v>3568.5135626708102</v>
      </c>
      <c r="R77" s="34"/>
    </row>
    <row r="78" spans="1:18" x14ac:dyDescent="0.3">
      <c r="A78" s="3" t="s">
        <v>382</v>
      </c>
      <c r="B78" s="3" t="str">
        <f>INDEX('R1. Scenario specifications'!$C$11:$C$59,MATCH($A78,'R1. Scenario specifications'!$A$11:$A$59,0))</f>
        <v>2 Degrees Scenario, Energy Technology Perspectives 2017</v>
      </c>
      <c r="C78" s="3" t="s">
        <v>256</v>
      </c>
      <c r="D78" s="3" t="s">
        <v>542</v>
      </c>
      <c r="E78" s="34">
        <f t="shared" si="3"/>
        <v>3894.7080000000001</v>
      </c>
      <c r="F78" s="34" t="str">
        <f t="shared" si="3"/>
        <v/>
      </c>
      <c r="G78" s="34" t="str">
        <f t="shared" si="3"/>
        <v/>
      </c>
      <c r="H78" s="34" t="str">
        <f t="shared" si="3"/>
        <v/>
      </c>
      <c r="I78" s="34" t="str">
        <f t="shared" si="3"/>
        <v/>
      </c>
      <c r="J78" s="34">
        <f t="shared" si="3"/>
        <v>5157.495122197256</v>
      </c>
      <c r="K78" s="34">
        <f t="shared" si="2"/>
        <v>5691.457396244723</v>
      </c>
      <c r="L78" s="34">
        <f t="shared" si="2"/>
        <v>6045.4950914211513</v>
      </c>
      <c r="M78" s="34">
        <f t="shared" si="2"/>
        <v>6618.4871405593949</v>
      </c>
      <c r="N78" s="34">
        <f t="shared" si="2"/>
        <v>7140.782885501385</v>
      </c>
      <c r="O78" s="34">
        <f t="shared" si="2"/>
        <v>7619.3421636690573</v>
      </c>
      <c r="P78" s="34">
        <f t="shared" si="2"/>
        <v>8076.3666032435867</v>
      </c>
      <c r="Q78" s="34">
        <f t="shared" si="2"/>
        <v>8512.4306404255731</v>
      </c>
      <c r="R78" s="34"/>
    </row>
    <row r="79" spans="1:18" x14ac:dyDescent="0.3">
      <c r="A79" s="3" t="s">
        <v>382</v>
      </c>
      <c r="B79" s="3" t="str">
        <f>INDEX('R1. Scenario specifications'!$C$11:$C$59,MATCH($A79,'R1. Scenario specifications'!$A$11:$A$59,0))</f>
        <v>2 Degrees Scenario, Energy Technology Perspectives 2017</v>
      </c>
      <c r="C79" s="3" t="s">
        <v>258</v>
      </c>
      <c r="D79" s="3" t="s">
        <v>542</v>
      </c>
      <c r="E79" s="34">
        <f t="shared" si="3"/>
        <v>92.123999999999995</v>
      </c>
      <c r="F79" s="34" t="str">
        <f t="shared" si="3"/>
        <v/>
      </c>
      <c r="G79" s="34" t="str">
        <f t="shared" si="3"/>
        <v/>
      </c>
      <c r="H79" s="34" t="str">
        <f t="shared" si="3"/>
        <v/>
      </c>
      <c r="I79" s="34" t="str">
        <f t="shared" si="3"/>
        <v/>
      </c>
      <c r="J79" s="34">
        <f t="shared" si="3"/>
        <v>230.35570296143084</v>
      </c>
      <c r="K79" s="34">
        <f t="shared" si="2"/>
        <v>357.09673246840231</v>
      </c>
      <c r="L79" s="34">
        <f t="shared" si="2"/>
        <v>534.18386501074679</v>
      </c>
      <c r="M79" s="34">
        <f t="shared" si="2"/>
        <v>739.56955736093005</v>
      </c>
      <c r="N79" s="34">
        <f t="shared" si="2"/>
        <v>1033.5197585358353</v>
      </c>
      <c r="O79" s="34">
        <f t="shared" si="2"/>
        <v>1409.2539101926004</v>
      </c>
      <c r="P79" s="34">
        <f t="shared" si="2"/>
        <v>1788.2539833876176</v>
      </c>
      <c r="Q79" s="34">
        <f t="shared" si="2"/>
        <v>2105.5909658286323</v>
      </c>
      <c r="R79" s="34"/>
    </row>
    <row r="80" spans="1:18" x14ac:dyDescent="0.3">
      <c r="A80" s="3" t="s">
        <v>382</v>
      </c>
      <c r="B80" s="3" t="str">
        <f>INDEX('R1. Scenario specifications'!$C$11:$C$59,MATCH($A80,'R1. Scenario specifications'!$A$11:$A$59,0))</f>
        <v>2 Degrees Scenario, Energy Technology Perspectives 2017</v>
      </c>
      <c r="C80" s="3" t="s">
        <v>260</v>
      </c>
      <c r="D80" s="3" t="s">
        <v>542</v>
      </c>
      <c r="E80" s="34">
        <f t="shared" si="3"/>
        <v>717.29323599999998</v>
      </c>
      <c r="F80" s="34" t="str">
        <f t="shared" si="3"/>
        <v/>
      </c>
      <c r="G80" s="34" t="str">
        <f t="shared" si="3"/>
        <v/>
      </c>
      <c r="H80" s="34" t="str">
        <f t="shared" si="3"/>
        <v/>
      </c>
      <c r="I80" s="34" t="str">
        <f t="shared" si="3"/>
        <v/>
      </c>
      <c r="J80" s="34">
        <f t="shared" si="3"/>
        <v>2705.6377944963506</v>
      </c>
      <c r="K80" s="34">
        <f t="shared" si="2"/>
        <v>4314.4859481300837</v>
      </c>
      <c r="L80" s="34">
        <f t="shared" si="2"/>
        <v>5594.0524244823573</v>
      </c>
      <c r="M80" s="34">
        <f t="shared" si="2"/>
        <v>6482.5669238772589</v>
      </c>
      <c r="N80" s="34">
        <f t="shared" ref="N80:Q90" si="4">IF(SUMIFS(P$94:P$207,$B$94:$B$207,$A80)=0,"",SUMIFS(P$94:P$207,$B$94:$B$207,$A80,$D$94:$D$207,$C80))</f>
        <v>7248.0828731761867</v>
      </c>
      <c r="O80" s="34">
        <f t="shared" si="4"/>
        <v>8178.8009866793545</v>
      </c>
      <c r="P80" s="34">
        <f t="shared" si="4"/>
        <v>9096.9740650221502</v>
      </c>
      <c r="Q80" s="34">
        <f t="shared" si="4"/>
        <v>10135.293998811785</v>
      </c>
      <c r="R80" s="34"/>
    </row>
    <row r="81" spans="1:28" x14ac:dyDescent="0.3">
      <c r="A81" s="3" t="s">
        <v>382</v>
      </c>
      <c r="B81" s="3" t="str">
        <f>INDEX('R1. Scenario specifications'!$C$11:$C$59,MATCH($A81,'R1. Scenario specifications'!$A$11:$A$59,0))</f>
        <v>2 Degrees Scenario, Energy Technology Perspectives 2017</v>
      </c>
      <c r="C81" s="3" t="s">
        <v>259</v>
      </c>
      <c r="D81" s="3" t="s">
        <v>542</v>
      </c>
      <c r="E81" s="34">
        <f t="shared" si="3"/>
        <v>198.179</v>
      </c>
      <c r="F81" s="34" t="str">
        <f t="shared" si="3"/>
        <v/>
      </c>
      <c r="G81" s="34" t="str">
        <f t="shared" si="3"/>
        <v/>
      </c>
      <c r="H81" s="34" t="str">
        <f t="shared" si="3"/>
        <v/>
      </c>
      <c r="I81" s="34" t="str">
        <f t="shared" si="3"/>
        <v/>
      </c>
      <c r="J81" s="34">
        <f t="shared" si="3"/>
        <v>1286.1210827095242</v>
      </c>
      <c r="K81" s="34">
        <f t="shared" si="3"/>
        <v>2320.4950837543201</v>
      </c>
      <c r="L81" s="34">
        <f t="shared" si="3"/>
        <v>3628.7584819849658</v>
      </c>
      <c r="M81" s="34">
        <f t="shared" si="3"/>
        <v>4826.2897366303541</v>
      </c>
      <c r="N81" s="34">
        <f t="shared" si="4"/>
        <v>6597.3600560183768</v>
      </c>
      <c r="O81" s="34">
        <f t="shared" si="4"/>
        <v>8501.0279887656616</v>
      </c>
      <c r="P81" s="34">
        <f t="shared" si="4"/>
        <v>10536.720682075498</v>
      </c>
      <c r="Q81" s="34">
        <f t="shared" si="4"/>
        <v>13263.455911004366</v>
      </c>
      <c r="R81" s="34"/>
    </row>
    <row r="82" spans="1:28" x14ac:dyDescent="0.3">
      <c r="A82" s="3" t="s">
        <v>383</v>
      </c>
      <c r="B82" s="3" t="str">
        <f>INDEX('R1. Scenario specifications'!$C$11:$C$59,MATCH($A82,'R1. Scenario specifications'!$A$11:$A$59,0))</f>
        <v>Below 2 Degrees Scenario (1.75DS), Energy Technology Perspectives 2017</v>
      </c>
      <c r="C82" s="3" t="s">
        <v>266</v>
      </c>
      <c r="D82" s="3" t="s">
        <v>542</v>
      </c>
      <c r="E82" s="34">
        <f t="shared" si="3"/>
        <v>1033.346</v>
      </c>
      <c r="F82" s="34" t="str">
        <f t="shared" si="3"/>
        <v/>
      </c>
      <c r="G82" s="34" t="str">
        <f t="shared" si="3"/>
        <v/>
      </c>
      <c r="H82" s="34" t="str">
        <f t="shared" si="3"/>
        <v/>
      </c>
      <c r="I82" s="34" t="str">
        <f t="shared" si="3"/>
        <v/>
      </c>
      <c r="J82" s="34">
        <f t="shared" si="3"/>
        <v>582.43304484154021</v>
      </c>
      <c r="K82" s="34">
        <f t="shared" si="3"/>
        <v>413.52667336047296</v>
      </c>
      <c r="L82" s="34">
        <f t="shared" si="3"/>
        <v>284.47916697392691</v>
      </c>
      <c r="M82" s="34">
        <f t="shared" si="3"/>
        <v>215.47025326481779</v>
      </c>
      <c r="N82" s="34">
        <f t="shared" si="4"/>
        <v>151.68590833947215</v>
      </c>
      <c r="O82" s="34">
        <f t="shared" si="4"/>
        <v>90.7571719787597</v>
      </c>
      <c r="P82" s="34">
        <f t="shared" si="4"/>
        <v>54.203293702919346</v>
      </c>
      <c r="Q82" s="34">
        <f t="shared" si="4"/>
        <v>14.598272868617316</v>
      </c>
      <c r="R82" s="34"/>
    </row>
    <row r="83" spans="1:28" x14ac:dyDescent="0.3">
      <c r="A83" s="3" t="s">
        <v>383</v>
      </c>
      <c r="B83" s="3" t="str">
        <f>INDEX('R1. Scenario specifications'!$C$11:$C$59,MATCH($A83,'R1. Scenario specifications'!$A$11:$A$59,0))</f>
        <v>Below 2 Degrees Scenario (1.75DS), Energy Technology Perspectives 2017</v>
      </c>
      <c r="C83" s="3" t="s">
        <v>254</v>
      </c>
      <c r="D83" s="3" t="s">
        <v>542</v>
      </c>
      <c r="E83" s="34">
        <f t="shared" si="3"/>
        <v>9697.148000000001</v>
      </c>
      <c r="F83" s="34" t="str">
        <f t="shared" si="3"/>
        <v/>
      </c>
      <c r="G83" s="34" t="str">
        <f t="shared" si="3"/>
        <v/>
      </c>
      <c r="H83" s="34" t="str">
        <f t="shared" si="3"/>
        <v/>
      </c>
      <c r="I83" s="34" t="str">
        <f t="shared" si="3"/>
        <v/>
      </c>
      <c r="J83" s="34">
        <f t="shared" si="3"/>
        <v>5774.137172236271</v>
      </c>
      <c r="K83" s="34">
        <f t="shared" si="3"/>
        <v>3800.9852160625819</v>
      </c>
      <c r="L83" s="34">
        <f t="shared" si="3"/>
        <v>2242.5519699786391</v>
      </c>
      <c r="M83" s="34">
        <f t="shared" si="3"/>
        <v>2015.1900008872935</v>
      </c>
      <c r="N83" s="34">
        <f t="shared" si="4"/>
        <v>2319.8976804216604</v>
      </c>
      <c r="O83" s="34">
        <f t="shared" si="4"/>
        <v>1814.4625082917883</v>
      </c>
      <c r="P83" s="34">
        <f t="shared" si="4"/>
        <v>1607.9606443029986</v>
      </c>
      <c r="Q83" s="34">
        <f t="shared" si="4"/>
        <v>1493.2342231314185</v>
      </c>
      <c r="R83" s="34"/>
    </row>
    <row r="84" spans="1:28" x14ac:dyDescent="0.3">
      <c r="A84" s="3" t="s">
        <v>383</v>
      </c>
      <c r="B84" s="3" t="str">
        <f>INDEX('R1. Scenario specifications'!$C$11:$C$59,MATCH($A84,'R1. Scenario specifications'!$A$11:$A$59,0))</f>
        <v>Below 2 Degrees Scenario (1.75DS), Energy Technology Perspectives 2017</v>
      </c>
      <c r="C84" s="3" t="s">
        <v>255</v>
      </c>
      <c r="D84" s="3" t="s">
        <v>542</v>
      </c>
      <c r="E84" s="34">
        <f t="shared" si="3"/>
        <v>5154.8270000000002</v>
      </c>
      <c r="F84" s="34" t="str">
        <f t="shared" si="3"/>
        <v/>
      </c>
      <c r="G84" s="34" t="str">
        <f t="shared" si="3"/>
        <v/>
      </c>
      <c r="H84" s="34" t="str">
        <f t="shared" si="3"/>
        <v/>
      </c>
      <c r="I84" s="34" t="str">
        <f t="shared" si="3"/>
        <v/>
      </c>
      <c r="J84" s="34">
        <f t="shared" si="3"/>
        <v>7300.391296124847</v>
      </c>
      <c r="K84" s="34">
        <f t="shared" si="3"/>
        <v>7524.9477349325725</v>
      </c>
      <c r="L84" s="34">
        <f t="shared" si="3"/>
        <v>7364.3053417780602</v>
      </c>
      <c r="M84" s="34">
        <f t="shared" si="3"/>
        <v>5490.1401647314487</v>
      </c>
      <c r="N84" s="34">
        <f t="shared" si="4"/>
        <v>3354.8154114395857</v>
      </c>
      <c r="O84" s="34">
        <f t="shared" si="4"/>
        <v>2401.5030388608793</v>
      </c>
      <c r="P84" s="34">
        <f t="shared" si="4"/>
        <v>1918.9476302926837</v>
      </c>
      <c r="Q84" s="34">
        <f t="shared" si="4"/>
        <v>2289.6867452496917</v>
      </c>
      <c r="R84" s="34"/>
    </row>
    <row r="85" spans="1:28" x14ac:dyDescent="0.3">
      <c r="A85" s="3" t="s">
        <v>383</v>
      </c>
      <c r="B85" s="3" t="str">
        <f>INDEX('R1. Scenario specifications'!$C$11:$C$59,MATCH($A85,'R1. Scenario specifications'!$A$11:$A$59,0))</f>
        <v>Below 2 Degrees Scenario (1.75DS), Energy Technology Perspectives 2017</v>
      </c>
      <c r="C85" s="3" t="s">
        <v>257</v>
      </c>
      <c r="D85" s="3" t="s">
        <v>542</v>
      </c>
      <c r="E85" s="34">
        <f t="shared" si="3"/>
        <v>2535.326</v>
      </c>
      <c r="F85" s="34" t="str">
        <f t="shared" si="3"/>
        <v/>
      </c>
      <c r="G85" s="34" t="str">
        <f t="shared" si="3"/>
        <v/>
      </c>
      <c r="H85" s="34" t="str">
        <f t="shared" ref="H85:M90" si="5">IF(SUMIFS(J$94:J$207,$B$94:$B$207,$A85)=0,"",SUMIFS(J$94:J$207,$B$94:$B$207,$A85,$D$94:$D$207,$C85))</f>
        <v/>
      </c>
      <c r="I85" s="34" t="str">
        <f t="shared" si="5"/>
        <v/>
      </c>
      <c r="J85" s="34">
        <f t="shared" si="5"/>
        <v>3797.8245369547517</v>
      </c>
      <c r="K85" s="34">
        <f t="shared" si="5"/>
        <v>4753.0901845248936</v>
      </c>
      <c r="L85" s="34">
        <f t="shared" si="5"/>
        <v>5459.8922657168641</v>
      </c>
      <c r="M85" s="34">
        <f t="shared" si="5"/>
        <v>6159.5912754522024</v>
      </c>
      <c r="N85" s="34">
        <f t="shared" si="4"/>
        <v>6694.7276786941375</v>
      </c>
      <c r="O85" s="34">
        <f t="shared" si="4"/>
        <v>7069.3546887434977</v>
      </c>
      <c r="P85" s="34">
        <f t="shared" si="4"/>
        <v>7514.876982674612</v>
      </c>
      <c r="Q85" s="34">
        <f t="shared" si="4"/>
        <v>7857.6739637223955</v>
      </c>
      <c r="R85" s="34"/>
    </row>
    <row r="86" spans="1:28" x14ac:dyDescent="0.3">
      <c r="A86" s="3" t="s">
        <v>383</v>
      </c>
      <c r="B86" s="3" t="str">
        <f>INDEX('R1. Scenario specifications'!$C$11:$C$59,MATCH($A86,'R1. Scenario specifications'!$A$11:$A$59,0))</f>
        <v>Below 2 Degrees Scenario (1.75DS), Energy Technology Perspectives 2017</v>
      </c>
      <c r="C86" s="3" t="s">
        <v>253</v>
      </c>
      <c r="D86" s="3" t="s">
        <v>542</v>
      </c>
      <c r="E86" s="34">
        <f t="shared" ref="E86:G90" si="6">IF(SUMIFS(G$94:G$207,$B$94:$B$207,$A86)=0,"",SUMIFS(G$94:G$207,$B$94:$B$207,$A86,$D$94:$D$207,$C86))</f>
        <v>495.94800000000004</v>
      </c>
      <c r="F86" s="34" t="str">
        <f t="shared" si="6"/>
        <v/>
      </c>
      <c r="G86" s="34" t="str">
        <f t="shared" si="6"/>
        <v/>
      </c>
      <c r="H86" s="34" t="str">
        <f t="shared" si="5"/>
        <v/>
      </c>
      <c r="I86" s="34" t="str">
        <f t="shared" si="5"/>
        <v/>
      </c>
      <c r="J86" s="34">
        <f t="shared" si="5"/>
        <v>1492.0693642993754</v>
      </c>
      <c r="K86" s="34">
        <f t="shared" si="5"/>
        <v>1950.7755240963497</v>
      </c>
      <c r="L86" s="34">
        <f t="shared" si="5"/>
        <v>2553.5472702212742</v>
      </c>
      <c r="M86" s="34">
        <f t="shared" si="5"/>
        <v>3329.2346851010711</v>
      </c>
      <c r="N86" s="34">
        <f t="shared" si="4"/>
        <v>4174.6514888439451</v>
      </c>
      <c r="O86" s="34">
        <f t="shared" si="4"/>
        <v>4762.5132129858657</v>
      </c>
      <c r="P86" s="34">
        <f t="shared" si="4"/>
        <v>4979.9211323465997</v>
      </c>
      <c r="Q86" s="34">
        <f t="shared" si="4"/>
        <v>4685.7824308931777</v>
      </c>
      <c r="R86" s="34"/>
    </row>
    <row r="87" spans="1:28" x14ac:dyDescent="0.3">
      <c r="A87" s="3" t="s">
        <v>383</v>
      </c>
      <c r="B87" s="3" t="str">
        <f>INDEX('R1. Scenario specifications'!$C$11:$C$59,MATCH($A87,'R1. Scenario specifications'!$A$11:$A$59,0))</f>
        <v>Below 2 Degrees Scenario (1.75DS), Energy Technology Perspectives 2017</v>
      </c>
      <c r="C87" s="3" t="s">
        <v>256</v>
      </c>
      <c r="D87" s="3" t="s">
        <v>542</v>
      </c>
      <c r="E87" s="34">
        <f t="shared" si="6"/>
        <v>3894.7080000000001</v>
      </c>
      <c r="F87" s="34" t="str">
        <f t="shared" si="6"/>
        <v/>
      </c>
      <c r="G87" s="34" t="str">
        <f t="shared" si="6"/>
        <v/>
      </c>
      <c r="H87" s="34" t="str">
        <f t="shared" si="5"/>
        <v/>
      </c>
      <c r="I87" s="34" t="str">
        <f t="shared" si="5"/>
        <v/>
      </c>
      <c r="J87" s="34">
        <f t="shared" si="5"/>
        <v>5159.2504762681683</v>
      </c>
      <c r="K87" s="34">
        <f t="shared" si="5"/>
        <v>5713.7086533450283</v>
      </c>
      <c r="L87" s="34">
        <f t="shared" si="5"/>
        <v>6102.270844518167</v>
      </c>
      <c r="M87" s="34">
        <f t="shared" si="5"/>
        <v>6746.7868103090632</v>
      </c>
      <c r="N87" s="34">
        <f t="shared" si="4"/>
        <v>7362.3572617812524</v>
      </c>
      <c r="O87" s="34">
        <f t="shared" si="4"/>
        <v>7964.9360111745673</v>
      </c>
      <c r="P87" s="34">
        <f t="shared" si="4"/>
        <v>8581.8450144875023</v>
      </c>
      <c r="Q87" s="34">
        <f t="shared" si="4"/>
        <v>9194.0300709084968</v>
      </c>
      <c r="R87" s="34"/>
    </row>
    <row r="88" spans="1:28" x14ac:dyDescent="0.3">
      <c r="A88" s="3" t="s">
        <v>383</v>
      </c>
      <c r="B88" s="3" t="str">
        <f>INDEX('R1. Scenario specifications'!$C$11:$C$59,MATCH($A88,'R1. Scenario specifications'!$A$11:$A$59,0))</f>
        <v>Below 2 Degrees Scenario (1.75DS), Energy Technology Perspectives 2017</v>
      </c>
      <c r="C88" s="3" t="s">
        <v>258</v>
      </c>
      <c r="D88" s="3" t="s">
        <v>542</v>
      </c>
      <c r="E88" s="34">
        <f t="shared" si="6"/>
        <v>92.123999999999995</v>
      </c>
      <c r="F88" s="34" t="str">
        <f t="shared" si="6"/>
        <v/>
      </c>
      <c r="G88" s="34" t="str">
        <f t="shared" si="6"/>
        <v/>
      </c>
      <c r="H88" s="34" t="str">
        <f t="shared" si="5"/>
        <v/>
      </c>
      <c r="I88" s="34" t="str">
        <f t="shared" si="5"/>
        <v/>
      </c>
      <c r="J88" s="34">
        <f t="shared" si="5"/>
        <v>232.00538229158715</v>
      </c>
      <c r="K88" s="34">
        <f t="shared" si="5"/>
        <v>363.93353200869905</v>
      </c>
      <c r="L88" s="34">
        <f t="shared" si="5"/>
        <v>548.45028229661239</v>
      </c>
      <c r="M88" s="34">
        <f t="shared" si="5"/>
        <v>775.55902034971393</v>
      </c>
      <c r="N88" s="34">
        <f t="shared" si="4"/>
        <v>1106.5642658385982</v>
      </c>
      <c r="O88" s="34">
        <f t="shared" si="4"/>
        <v>1572.3354880473862</v>
      </c>
      <c r="P88" s="34">
        <f t="shared" si="4"/>
        <v>2033.7530338366569</v>
      </c>
      <c r="Q88" s="34">
        <f t="shared" si="4"/>
        <v>2419.6821910970675</v>
      </c>
      <c r="R88" s="34"/>
    </row>
    <row r="89" spans="1:28" x14ac:dyDescent="0.3">
      <c r="A89" s="3" t="s">
        <v>383</v>
      </c>
      <c r="B89" s="3" t="str">
        <f>INDEX('R1. Scenario specifications'!$C$11:$C$59,MATCH($A89,'R1. Scenario specifications'!$A$11:$A$59,0))</f>
        <v>Below 2 Degrees Scenario (1.75DS), Energy Technology Perspectives 2017</v>
      </c>
      <c r="C89" s="3" t="s">
        <v>260</v>
      </c>
      <c r="D89" s="3" t="s">
        <v>542</v>
      </c>
      <c r="E89" s="34">
        <f t="shared" si="6"/>
        <v>717.29323599999998</v>
      </c>
      <c r="F89" s="34" t="str">
        <f t="shared" si="6"/>
        <v/>
      </c>
      <c r="G89" s="34" t="str">
        <f t="shared" si="6"/>
        <v/>
      </c>
      <c r="H89" s="34" t="str">
        <f t="shared" si="5"/>
        <v/>
      </c>
      <c r="I89" s="34" t="str">
        <f t="shared" si="5"/>
        <v/>
      </c>
      <c r="J89" s="34">
        <f t="shared" si="5"/>
        <v>2786.3675560494503</v>
      </c>
      <c r="K89" s="34">
        <f t="shared" si="5"/>
        <v>4183.3275105533876</v>
      </c>
      <c r="L89" s="34">
        <f t="shared" si="5"/>
        <v>5415.1034562634295</v>
      </c>
      <c r="M89" s="34">
        <f t="shared" si="5"/>
        <v>6530.000281446597</v>
      </c>
      <c r="N89" s="34">
        <f t="shared" si="4"/>
        <v>7487.0157705240772</v>
      </c>
      <c r="O89" s="34">
        <f t="shared" si="4"/>
        <v>8652.4667043075733</v>
      </c>
      <c r="P89" s="34">
        <f t="shared" si="4"/>
        <v>9640.5913793771779</v>
      </c>
      <c r="Q89" s="34">
        <f t="shared" si="4"/>
        <v>10515.134500123273</v>
      </c>
      <c r="R89" s="34"/>
    </row>
    <row r="90" spans="1:28" x14ac:dyDescent="0.3">
      <c r="A90" s="3" t="s">
        <v>383</v>
      </c>
      <c r="B90" s="3" t="str">
        <f>INDEX('R1. Scenario specifications'!$C$11:$C$59,MATCH($A90,'R1. Scenario specifications'!$A$11:$A$59,0))</f>
        <v>Below 2 Degrees Scenario (1.75DS), Energy Technology Perspectives 2017</v>
      </c>
      <c r="C90" s="3" t="s">
        <v>259</v>
      </c>
      <c r="D90" s="3" t="s">
        <v>542</v>
      </c>
      <c r="E90" s="34">
        <f t="shared" si="6"/>
        <v>198.179</v>
      </c>
      <c r="F90" s="34" t="str">
        <f t="shared" si="6"/>
        <v/>
      </c>
      <c r="G90" s="34" t="str">
        <f t="shared" si="6"/>
        <v/>
      </c>
      <c r="H90" s="34" t="str">
        <f t="shared" si="5"/>
        <v/>
      </c>
      <c r="I90" s="34" t="str">
        <f t="shared" si="5"/>
        <v/>
      </c>
      <c r="J90" s="34">
        <f t="shared" si="5"/>
        <v>1252.3806699304882</v>
      </c>
      <c r="K90" s="34">
        <f t="shared" si="5"/>
        <v>2254.9995036790078</v>
      </c>
      <c r="L90" s="34">
        <f t="shared" si="5"/>
        <v>3854.2159998392799</v>
      </c>
      <c r="M90" s="34">
        <f t="shared" si="5"/>
        <v>5753.3626224760428</v>
      </c>
      <c r="N90" s="34">
        <f t="shared" si="4"/>
        <v>7829.5870182588551</v>
      </c>
      <c r="O90" s="34">
        <f t="shared" si="4"/>
        <v>9992.3940444936634</v>
      </c>
      <c r="P90" s="34">
        <f t="shared" si="4"/>
        <v>12268.334387010287</v>
      </c>
      <c r="Q90" s="34">
        <f t="shared" si="4"/>
        <v>14652.744288130511</v>
      </c>
      <c r="R90" s="34"/>
    </row>
    <row r="91" spans="1:28" ht="15" thickBot="1" x14ac:dyDescent="0.35"/>
    <row r="92" spans="1:28" s="15" customFormat="1" ht="15" thickBot="1" x14ac:dyDescent="0.35">
      <c r="A92" s="15" t="s">
        <v>488</v>
      </c>
    </row>
    <row r="93" spans="1:28" x14ac:dyDescent="0.3">
      <c r="A93" s="3" t="s">
        <v>489</v>
      </c>
      <c r="B93" s="3" t="s">
        <v>8</v>
      </c>
      <c r="C93" s="3" t="s">
        <v>86</v>
      </c>
      <c r="D93" s="3" t="s">
        <v>252</v>
      </c>
      <c r="E93" s="3" t="s">
        <v>490</v>
      </c>
      <c r="F93" s="3" t="s">
        <v>430</v>
      </c>
      <c r="G93" s="3">
        <v>2014</v>
      </c>
      <c r="H93" s="3">
        <v>2015</v>
      </c>
      <c r="I93" s="3">
        <v>2016</v>
      </c>
      <c r="J93" s="3">
        <v>2017</v>
      </c>
      <c r="K93" s="3">
        <v>2020</v>
      </c>
      <c r="L93" s="3">
        <v>2025</v>
      </c>
      <c r="M93" s="3">
        <v>2030</v>
      </c>
      <c r="N93" s="3">
        <v>2035</v>
      </c>
      <c r="O93" s="3">
        <v>2040</v>
      </c>
      <c r="P93" s="3">
        <v>2045</v>
      </c>
      <c r="Q93" s="3">
        <v>2050</v>
      </c>
      <c r="R93" s="3">
        <v>2055</v>
      </c>
      <c r="S93" s="3">
        <v>2060</v>
      </c>
      <c r="AB93" s="27"/>
    </row>
    <row r="94" spans="1:28" x14ac:dyDescent="0.3">
      <c r="A94" s="3" t="s">
        <v>502</v>
      </c>
      <c r="B94" s="32" t="s">
        <v>368</v>
      </c>
      <c r="C94" s="32" t="str">
        <f>INDEX('R1. Scenario specifications'!$C$11:$C$59,MATCH($B94,'R1. Scenario specifications'!$A$11:$A$59,0))</f>
        <v>Current Policies Scenario, World Energy Outlook 2018</v>
      </c>
      <c r="D94" s="32" t="s">
        <v>254</v>
      </c>
      <c r="E94" s="32" t="s">
        <v>254</v>
      </c>
      <c r="F94" s="32" t="s">
        <v>542</v>
      </c>
      <c r="G94" s="33"/>
      <c r="H94" s="33"/>
      <c r="I94" s="33">
        <f>INDEX('R9. WEO18 Electricity'!$B$13:$K$25,MATCH($E94,'R9. WEO18 Electricity'!$A$13:$A$25,0),MATCH(I$93,'R9. WEO18 Electricity'!$B$11:$K$11,0))</f>
        <v>9575</v>
      </c>
      <c r="J94" s="33">
        <f>INDEX('R9. WEO18 Electricity'!$B$13:$K$25,MATCH($E94,'R9. WEO18 Electricity'!$A$13:$A$25,0),MATCH(CONCATENATE(J$93,"e"),'R9. WEO18 Electricity'!$B$11:$K$11,0))</f>
        <v>9858</v>
      </c>
      <c r="K94" s="43">
        <f t="shared" ref="K94:K126" si="7">$J94+(K$93-$J$93)*($L94-$J94)/($L$93-$J$93)</f>
        <v>10171.5</v>
      </c>
      <c r="L94" s="33">
        <f>INDEX('R9. WEO18 Electricity'!$N$13:$Q$25,MATCH($E94,'R9. WEO18 Electricity'!$M$13:$M$25,0),MATCH(L$93,'R9. WEO18 Electricity'!$N$11:$Q$11,0))</f>
        <v>10694</v>
      </c>
      <c r="M94" s="33">
        <f>INDEX('R9. WEO18 Electricity'!$N$13:$Q$25,MATCH($E94,'R9. WEO18 Electricity'!$M$13:$M$25,0),MATCH(M$93,'R9. WEO18 Electricity'!$N$11:$Q$11,0))</f>
        <v>11722</v>
      </c>
      <c r="N94" s="33">
        <f>INDEX('R9. WEO18 Electricity'!$N$13:$Q$25,MATCH($E94,'R9. WEO18 Electricity'!$M$13:$M$25,0),MATCH(N$93,'R9. WEO18 Electricity'!$N$11:$Q$11,0))</f>
        <v>12834</v>
      </c>
      <c r="O94" s="33">
        <f>INDEX('R9. WEO18 Electricity'!$N$13:$Q$25,MATCH($E94,'R9. WEO18 Electricity'!$M$13:$M$25,0),MATCH(O$93,'R9. WEO18 Electricity'!$N$11:$Q$11,0))</f>
        <v>13910</v>
      </c>
      <c r="P94" s="43">
        <f>IF(TREND($N94:$O94,$N$93:$O$93,P$93)&lt;0,0,TREND($N94:$O94,$N$93:$O$93,P$93))</f>
        <v>14986</v>
      </c>
      <c r="Q94" s="43">
        <f t="shared" ref="Q94:S109" si="8">IF(TREND($N94:$O94,$N$93:$O$93,Q$93)&lt;0,0,TREND($N94:$O94,$N$93:$O$93,Q$93))</f>
        <v>16062</v>
      </c>
      <c r="R94" s="43">
        <f t="shared" si="8"/>
        <v>17138</v>
      </c>
      <c r="S94" s="43">
        <f t="shared" si="8"/>
        <v>18214</v>
      </c>
    </row>
    <row r="95" spans="1:28" x14ac:dyDescent="0.3">
      <c r="A95" s="3" t="s">
        <v>502</v>
      </c>
      <c r="B95" s="3" t="s">
        <v>368</v>
      </c>
      <c r="C95" s="3" t="str">
        <f>INDEX('R1. Scenario specifications'!$C$11:$C$59,MATCH($B95,'R1. Scenario specifications'!$A$11:$A$59,0))</f>
        <v>Current Policies Scenario, World Energy Outlook 2018</v>
      </c>
      <c r="D95" s="3" t="s">
        <v>266</v>
      </c>
      <c r="E95" s="3" t="s">
        <v>266</v>
      </c>
      <c r="F95" s="3" t="s">
        <v>542</v>
      </c>
      <c r="G95" s="34"/>
      <c r="H95" s="34"/>
      <c r="I95" s="34">
        <f>INDEX('R9. WEO18 Electricity'!$B$13:$K$25,MATCH($E95,'R9. WEO18 Electricity'!$A$13:$A$25,0),MATCH(I$93,'R9. WEO18 Electricity'!$B$11:$K$11,0))</f>
        <v>926</v>
      </c>
      <c r="J95" s="34">
        <f>INDEX('R9. WEO18 Electricity'!$B$13:$K$25,MATCH($E95,'R9. WEO18 Electricity'!$A$13:$A$25,0),MATCH(CONCATENATE(J$93,"e"),'R9. WEO18 Electricity'!$B$11:$K$11,0))</f>
        <v>940</v>
      </c>
      <c r="K95" s="31">
        <f t="shared" si="7"/>
        <v>879.625</v>
      </c>
      <c r="L95" s="34">
        <f>INDEX('R9. WEO18 Electricity'!$N$13:$Q$25,MATCH($E95,'R9. WEO18 Electricity'!$M$13:$M$25,0),MATCH(L$93,'R9. WEO18 Electricity'!$N$11:$Q$11,0))</f>
        <v>779</v>
      </c>
      <c r="M95" s="34">
        <f>INDEX('R9. WEO18 Electricity'!$N$13:$Q$25,MATCH($E95,'R9. WEO18 Electricity'!$M$13:$M$25,0),MATCH(M$93,'R9. WEO18 Electricity'!$N$11:$Q$11,0))</f>
        <v>697</v>
      </c>
      <c r="N95" s="34">
        <f>INDEX('R9. WEO18 Electricity'!$N$13:$Q$25,MATCH($E95,'R9. WEO18 Electricity'!$M$13:$M$25,0),MATCH(N$93,'R9. WEO18 Electricity'!$N$11:$Q$11,0))</f>
        <v>642</v>
      </c>
      <c r="O95" s="34">
        <f>INDEX('R9. WEO18 Electricity'!$N$13:$Q$25,MATCH($E95,'R9. WEO18 Electricity'!$M$13:$M$25,0),MATCH(O$93,'R9. WEO18 Electricity'!$N$11:$Q$11,0))</f>
        <v>610</v>
      </c>
      <c r="P95" s="31">
        <f t="shared" ref="P95:S110" si="9">IF(TREND($N95:$O95,$N$93:$O$93,P$93)&lt;0,0,TREND($N95:$O95,$N$93:$O$93,P$93))</f>
        <v>578</v>
      </c>
      <c r="Q95" s="31">
        <f t="shared" si="8"/>
        <v>546</v>
      </c>
      <c r="R95" s="31">
        <f t="shared" si="8"/>
        <v>514</v>
      </c>
      <c r="S95" s="31">
        <f t="shared" si="8"/>
        <v>482</v>
      </c>
    </row>
    <row r="96" spans="1:28" x14ac:dyDescent="0.3">
      <c r="A96" s="3" t="s">
        <v>502</v>
      </c>
      <c r="B96" s="3" t="s">
        <v>368</v>
      </c>
      <c r="C96" s="3" t="str">
        <f>INDEX('R1. Scenario specifications'!$C$11:$C$59,MATCH($B96,'R1. Scenario specifications'!$A$11:$A$59,0))</f>
        <v>Current Policies Scenario, World Energy Outlook 2018</v>
      </c>
      <c r="D96" s="3" t="s">
        <v>255</v>
      </c>
      <c r="E96" s="3" t="s">
        <v>255</v>
      </c>
      <c r="F96" s="3" t="s">
        <v>542</v>
      </c>
      <c r="G96" s="34"/>
      <c r="H96" s="34"/>
      <c r="I96" s="34">
        <f>INDEX('R9. WEO18 Electricity'!$B$13:$K$25,MATCH($E96,'R9. WEO18 Electricity'!$A$13:$A$25,0),MATCH(I$93,'R9. WEO18 Electricity'!$B$11:$K$11,0))</f>
        <v>5781</v>
      </c>
      <c r="J96" s="34">
        <f>INDEX('R9. WEO18 Electricity'!$B$13:$K$25,MATCH($E96,'R9. WEO18 Electricity'!$A$13:$A$25,0),MATCH(CONCATENATE(J$93,"e"),'R9. WEO18 Electricity'!$B$11:$K$11,0))</f>
        <v>5855</v>
      </c>
      <c r="K96" s="31">
        <f t="shared" si="7"/>
        <v>6311.375</v>
      </c>
      <c r="L96" s="34">
        <f>INDEX('R9. WEO18 Electricity'!$N$13:$Q$25,MATCH($E96,'R9. WEO18 Electricity'!$M$13:$M$25,0),MATCH(L$93,'R9. WEO18 Electricity'!$N$11:$Q$11,0))</f>
        <v>7072</v>
      </c>
      <c r="M96" s="34">
        <f>INDEX('R9. WEO18 Electricity'!$N$13:$Q$25,MATCH($E96,'R9. WEO18 Electricity'!$M$13:$M$25,0),MATCH(M$93,'R9. WEO18 Electricity'!$N$11:$Q$11,0))</f>
        <v>8172</v>
      </c>
      <c r="N96" s="34">
        <f>INDEX('R9. WEO18 Electricity'!$N$13:$Q$25,MATCH($E96,'R9. WEO18 Electricity'!$M$13:$M$25,0),MATCH(N$93,'R9. WEO18 Electricity'!$N$11:$Q$11,0))</f>
        <v>9262</v>
      </c>
      <c r="O96" s="34">
        <f>INDEX('R9. WEO18 Electricity'!$N$13:$Q$25,MATCH($E96,'R9. WEO18 Electricity'!$M$13:$M$25,0),MATCH(O$93,'R9. WEO18 Electricity'!$N$11:$Q$11,0))</f>
        <v>10295</v>
      </c>
      <c r="P96" s="31">
        <f t="shared" si="9"/>
        <v>11328</v>
      </c>
      <c r="Q96" s="31">
        <f t="shared" si="8"/>
        <v>12361</v>
      </c>
      <c r="R96" s="31">
        <f t="shared" si="8"/>
        <v>13394</v>
      </c>
      <c r="S96" s="31">
        <f t="shared" si="8"/>
        <v>14427</v>
      </c>
    </row>
    <row r="97" spans="1:19" x14ac:dyDescent="0.3">
      <c r="A97" s="3" t="s">
        <v>502</v>
      </c>
      <c r="B97" s="3" t="s">
        <v>368</v>
      </c>
      <c r="C97" s="3" t="str">
        <f>INDEX('R1. Scenario specifications'!$C$11:$C$59,MATCH($B97,'R1. Scenario specifications'!$A$11:$A$59,0))</f>
        <v>Current Policies Scenario, World Energy Outlook 2018</v>
      </c>
      <c r="D97" s="3" t="s">
        <v>257</v>
      </c>
      <c r="E97" s="3" t="s">
        <v>257</v>
      </c>
      <c r="F97" s="3" t="s">
        <v>542</v>
      </c>
      <c r="G97" s="34"/>
      <c r="H97" s="34"/>
      <c r="I97" s="34">
        <f>INDEX('R9. WEO18 Electricity'!$B$13:$K$25,MATCH($E97,'R9. WEO18 Electricity'!$A$13:$A$25,0),MATCH(I$93,'R9. WEO18 Electricity'!$B$11:$K$11,0))</f>
        <v>2605</v>
      </c>
      <c r="J97" s="34">
        <f>INDEX('R9. WEO18 Electricity'!$B$13:$K$25,MATCH($E97,'R9. WEO18 Electricity'!$A$13:$A$25,0),MATCH(CONCATENATE(J$93,"e"),'R9. WEO18 Electricity'!$B$11:$K$11,0))</f>
        <v>2637</v>
      </c>
      <c r="K97" s="31">
        <f t="shared" si="7"/>
        <v>2802.75</v>
      </c>
      <c r="L97" s="34">
        <f>INDEX('R9. WEO18 Electricity'!$N$13:$Q$25,MATCH($E97,'R9. WEO18 Electricity'!$M$13:$M$25,0),MATCH(L$93,'R9. WEO18 Electricity'!$N$11:$Q$11,0))</f>
        <v>3079</v>
      </c>
      <c r="M97" s="34">
        <f>INDEX('R9. WEO18 Electricity'!$N$13:$Q$25,MATCH($E97,'R9. WEO18 Electricity'!$M$13:$M$25,0),MATCH(M$93,'R9. WEO18 Electricity'!$N$11:$Q$11,0))</f>
        <v>3239</v>
      </c>
      <c r="N97" s="34">
        <f>INDEX('R9. WEO18 Electricity'!$N$13:$Q$25,MATCH($E97,'R9. WEO18 Electricity'!$M$13:$M$25,0),MATCH(N$93,'R9. WEO18 Electricity'!$N$11:$Q$11,0))</f>
        <v>3410</v>
      </c>
      <c r="O97" s="34">
        <f>INDEX('R9. WEO18 Electricity'!$N$13:$Q$25,MATCH($E97,'R9. WEO18 Electricity'!$M$13:$M$25,0),MATCH(O$93,'R9. WEO18 Electricity'!$N$11:$Q$11,0))</f>
        <v>3648</v>
      </c>
      <c r="P97" s="31">
        <f t="shared" si="9"/>
        <v>3886</v>
      </c>
      <c r="Q97" s="31">
        <f t="shared" si="8"/>
        <v>4124</v>
      </c>
      <c r="R97" s="31">
        <f t="shared" si="8"/>
        <v>4362</v>
      </c>
      <c r="S97" s="31">
        <f t="shared" si="8"/>
        <v>4600</v>
      </c>
    </row>
    <row r="98" spans="1:19" x14ac:dyDescent="0.3">
      <c r="A98" s="3" t="s">
        <v>502</v>
      </c>
      <c r="B98" s="3" t="s">
        <v>368</v>
      </c>
      <c r="C98" s="3" t="str">
        <f>INDEX('R1. Scenario specifications'!$C$11:$C$59,MATCH($B98,'R1. Scenario specifications'!$A$11:$A$59,0))</f>
        <v>Current Policies Scenario, World Energy Outlook 2018</v>
      </c>
      <c r="D98" s="3" t="s">
        <v>256</v>
      </c>
      <c r="E98" s="3" t="s">
        <v>256</v>
      </c>
      <c r="F98" s="3" t="s">
        <v>542</v>
      </c>
      <c r="G98" s="34"/>
      <c r="H98" s="34"/>
      <c r="I98" s="34">
        <f>INDEX('R9. WEO18 Electricity'!$B$13:$K$25,MATCH($E98,'R9. WEO18 Electricity'!$A$13:$A$25,0),MATCH(I$93,'R9. WEO18 Electricity'!$B$11:$K$11,0))</f>
        <v>4049</v>
      </c>
      <c r="J98" s="34">
        <f>INDEX('R9. WEO18 Electricity'!$B$13:$K$25,MATCH($E98,'R9. WEO18 Electricity'!$A$13:$A$25,0),MATCH(CONCATENATE(J$93,"e"),'R9. WEO18 Electricity'!$B$11:$K$11,0))</f>
        <v>4109</v>
      </c>
      <c r="K98" s="31">
        <f t="shared" si="7"/>
        <v>4368.5</v>
      </c>
      <c r="L98" s="34">
        <f>INDEX('R9. WEO18 Electricity'!$N$13:$Q$25,MATCH($E98,'R9. WEO18 Electricity'!$M$13:$M$25,0),MATCH(L$93,'R9. WEO18 Electricity'!$N$11:$Q$11,0))</f>
        <v>4801</v>
      </c>
      <c r="M98" s="34">
        <f>INDEX('R9. WEO18 Electricity'!$N$13:$Q$25,MATCH($E98,'R9. WEO18 Electricity'!$M$13:$M$25,0),MATCH(M$93,'R9. WEO18 Electricity'!$N$11:$Q$11,0))</f>
        <v>5223</v>
      </c>
      <c r="N98" s="34">
        <f>INDEX('R9. WEO18 Electricity'!$N$13:$Q$25,MATCH($E98,'R9. WEO18 Electricity'!$M$13:$M$25,0),MATCH(N$93,'R9. WEO18 Electricity'!$N$11:$Q$11,0))</f>
        <v>5605</v>
      </c>
      <c r="O98" s="34">
        <f>INDEX('R9. WEO18 Electricity'!$N$13:$Q$25,MATCH($E98,'R9. WEO18 Electricity'!$M$13:$M$25,0),MATCH(O$93,'R9. WEO18 Electricity'!$N$11:$Q$11,0))</f>
        <v>5973</v>
      </c>
      <c r="P98" s="31">
        <f t="shared" si="9"/>
        <v>6341</v>
      </c>
      <c r="Q98" s="31">
        <f t="shared" si="8"/>
        <v>6709</v>
      </c>
      <c r="R98" s="31">
        <f t="shared" si="8"/>
        <v>7077</v>
      </c>
      <c r="S98" s="31">
        <f t="shared" si="8"/>
        <v>7445</v>
      </c>
    </row>
    <row r="99" spans="1:19" x14ac:dyDescent="0.3">
      <c r="A99" s="3" t="s">
        <v>502</v>
      </c>
      <c r="B99" s="3" t="s">
        <v>368</v>
      </c>
      <c r="C99" s="3" t="str">
        <f>INDEX('R1. Scenario specifications'!$C$11:$C$59,MATCH($B99,'R1. Scenario specifications'!$A$11:$A$59,0))</f>
        <v>Current Policies Scenario, World Energy Outlook 2018</v>
      </c>
      <c r="D99" s="3" t="s">
        <v>253</v>
      </c>
      <c r="E99" s="3" t="s">
        <v>503</v>
      </c>
      <c r="F99" s="3" t="s">
        <v>542</v>
      </c>
      <c r="G99" s="34"/>
      <c r="H99" s="34"/>
      <c r="I99" s="34">
        <f>INDEX('R9. WEO18 Electricity'!$B$13:$K$25,MATCH($E99,'R9. WEO18 Electricity'!$A$13:$A$25,0),MATCH(I$93,'R9. WEO18 Electricity'!$B$11:$K$11,0))</f>
        <v>569</v>
      </c>
      <c r="J99" s="34">
        <f>INDEX('R9. WEO18 Electricity'!$B$13:$K$25,MATCH($E99,'R9. WEO18 Electricity'!$A$13:$A$25,0),MATCH(CONCATENATE(J$93,"e"),'R9. WEO18 Electricity'!$B$11:$K$11,0))</f>
        <v>623</v>
      </c>
      <c r="K99" s="31">
        <f t="shared" si="7"/>
        <v>716.75</v>
      </c>
      <c r="L99" s="34">
        <f>INDEX('R9. WEO18 Electricity'!$N$13:$Q$25,MATCH($E99,'R9. WEO18 Electricity'!$M$13:$M$25,0),MATCH(L$93,'R9. WEO18 Electricity'!$N$11:$Q$11,0))</f>
        <v>873</v>
      </c>
      <c r="M99" s="34">
        <f>INDEX('R9. WEO18 Electricity'!$N$13:$Q$25,MATCH($E99,'R9. WEO18 Electricity'!$M$13:$M$25,0),MATCH(M$93,'R9. WEO18 Electricity'!$N$11:$Q$11,0))</f>
        <v>992</v>
      </c>
      <c r="N99" s="34">
        <f>INDEX('R9. WEO18 Electricity'!$N$13:$Q$25,MATCH($E99,'R9. WEO18 Electricity'!$M$13:$M$25,0),MATCH(N$93,'R9. WEO18 Electricity'!$N$11:$Q$11,0))</f>
        <v>1109</v>
      </c>
      <c r="O99" s="34">
        <f>INDEX('R9. WEO18 Electricity'!$N$13:$Q$25,MATCH($E99,'R9. WEO18 Electricity'!$M$13:$M$25,0),MATCH(O$93,'R9. WEO18 Electricity'!$N$11:$Q$11,0))</f>
        <v>1228</v>
      </c>
      <c r="P99" s="31">
        <f t="shared" si="9"/>
        <v>1347</v>
      </c>
      <c r="Q99" s="31">
        <f t="shared" si="8"/>
        <v>1466</v>
      </c>
      <c r="R99" s="31">
        <f t="shared" si="8"/>
        <v>1585</v>
      </c>
      <c r="S99" s="31">
        <f t="shared" si="8"/>
        <v>1704</v>
      </c>
    </row>
    <row r="100" spans="1:19" x14ac:dyDescent="0.3">
      <c r="A100" s="3" t="s">
        <v>502</v>
      </c>
      <c r="B100" s="3" t="s">
        <v>368</v>
      </c>
      <c r="C100" s="3" t="str">
        <f>INDEX('R1. Scenario specifications'!$C$11:$C$59,MATCH($B100,'R1. Scenario specifications'!$A$11:$A$59,0))</f>
        <v>Current Policies Scenario, World Energy Outlook 2018</v>
      </c>
      <c r="D100" s="3" t="s">
        <v>260</v>
      </c>
      <c r="E100" s="3" t="s">
        <v>260</v>
      </c>
      <c r="F100" s="3" t="s">
        <v>542</v>
      </c>
      <c r="G100" s="34"/>
      <c r="H100" s="34"/>
      <c r="I100" s="34">
        <f>INDEX('R9. WEO18 Electricity'!$B$13:$K$25,MATCH($E100,'R9. WEO18 Electricity'!$A$13:$A$25,0),MATCH(I$93,'R9. WEO18 Electricity'!$B$11:$K$11,0))</f>
        <v>957</v>
      </c>
      <c r="J100" s="34">
        <f>INDEX('R9. WEO18 Electricity'!$B$13:$K$25,MATCH($E100,'R9. WEO18 Electricity'!$A$13:$A$25,0),MATCH(CONCATENATE(J$93,"e"),'R9. WEO18 Electricity'!$B$11:$K$11,0))</f>
        <v>1085</v>
      </c>
      <c r="K100" s="31">
        <f t="shared" si="7"/>
        <v>1484.75</v>
      </c>
      <c r="L100" s="34">
        <f>INDEX('R9. WEO18 Electricity'!$N$13:$Q$25,MATCH($E100,'R9. WEO18 Electricity'!$M$13:$M$25,0),MATCH(L$93,'R9. WEO18 Electricity'!$N$11:$Q$11,0))</f>
        <v>2151</v>
      </c>
      <c r="M100" s="34">
        <f>INDEX('R9. WEO18 Electricity'!$N$13:$Q$25,MATCH($E100,'R9. WEO18 Electricity'!$M$13:$M$25,0),MATCH(M$93,'R9. WEO18 Electricity'!$N$11:$Q$11,0))</f>
        <v>2668</v>
      </c>
      <c r="N100" s="34">
        <f>INDEX('R9. WEO18 Electricity'!$N$13:$Q$25,MATCH($E100,'R9. WEO18 Electricity'!$M$13:$M$25,0),MATCH(N$93,'R9. WEO18 Electricity'!$N$11:$Q$11,0))</f>
        <v>3179</v>
      </c>
      <c r="O100" s="34">
        <f>INDEX('R9. WEO18 Electricity'!$N$13:$Q$25,MATCH($E100,'R9. WEO18 Electricity'!$M$13:$M$25,0),MATCH(O$93,'R9. WEO18 Electricity'!$N$11:$Q$11,0))</f>
        <v>3679</v>
      </c>
      <c r="P100" s="31">
        <f t="shared" si="9"/>
        <v>4179</v>
      </c>
      <c r="Q100" s="31">
        <f t="shared" si="8"/>
        <v>4679</v>
      </c>
      <c r="R100" s="31">
        <f t="shared" si="8"/>
        <v>5179</v>
      </c>
      <c r="S100" s="31">
        <f t="shared" si="8"/>
        <v>5679</v>
      </c>
    </row>
    <row r="101" spans="1:19" x14ac:dyDescent="0.3">
      <c r="A101" s="3" t="s">
        <v>502</v>
      </c>
      <c r="B101" s="3" t="s">
        <v>368</v>
      </c>
      <c r="C101" s="3" t="str">
        <f>INDEX('R1. Scenario specifications'!$C$11:$C$59,MATCH($B101,'R1. Scenario specifications'!$A$11:$A$59,0))</f>
        <v>Current Policies Scenario, World Energy Outlook 2018</v>
      </c>
      <c r="D101" s="3" t="s">
        <v>258</v>
      </c>
      <c r="E101" s="3" t="s">
        <v>506</v>
      </c>
      <c r="F101" s="3" t="s">
        <v>542</v>
      </c>
      <c r="G101" s="34"/>
      <c r="H101" s="34"/>
      <c r="I101" s="34">
        <f>INDEX('R9. WEO18 Electricity'!$B$13:$K$25,MATCH($E101,'R9. WEO18 Electricity'!$A$13:$A$25,0),MATCH(I$93,'R9. WEO18 Electricity'!$B$11:$K$11,0))</f>
        <v>82</v>
      </c>
      <c r="J101" s="34">
        <f>INDEX('R9. WEO18 Electricity'!$B$13:$K$25,MATCH($E101,'R9. WEO18 Electricity'!$A$13:$A$25,0),MATCH(CONCATENATE(J$93,"e"),'R9. WEO18 Electricity'!$B$11:$K$11,0))</f>
        <v>87</v>
      </c>
      <c r="K101" s="31">
        <f t="shared" si="7"/>
        <v>101.25</v>
      </c>
      <c r="L101" s="34">
        <f>INDEX('R9. WEO18 Electricity'!$N$13:$Q$25,MATCH($E101,'R9. WEO18 Electricity'!$M$13:$M$25,0),MATCH(L$93,'R9. WEO18 Electricity'!$N$11:$Q$11,0))</f>
        <v>125</v>
      </c>
      <c r="M101" s="34">
        <f>INDEX('R9. WEO18 Electricity'!$N$13:$Q$25,MATCH($E101,'R9. WEO18 Electricity'!$M$13:$M$25,0),MATCH(M$93,'R9. WEO18 Electricity'!$N$11:$Q$11,0))</f>
        <v>170</v>
      </c>
      <c r="N101" s="34">
        <f>INDEX('R9. WEO18 Electricity'!$N$13:$Q$25,MATCH($E101,'R9. WEO18 Electricity'!$M$13:$M$25,0),MATCH(N$93,'R9. WEO18 Electricity'!$N$11:$Q$11,0))</f>
        <v>222</v>
      </c>
      <c r="O101" s="34">
        <f>INDEX('R9. WEO18 Electricity'!$N$13:$Q$25,MATCH($E101,'R9. WEO18 Electricity'!$M$13:$M$25,0),MATCH(O$93,'R9. WEO18 Electricity'!$N$11:$Q$11,0))</f>
        <v>277</v>
      </c>
      <c r="P101" s="31">
        <f t="shared" si="9"/>
        <v>332</v>
      </c>
      <c r="Q101" s="31">
        <f t="shared" si="8"/>
        <v>387</v>
      </c>
      <c r="R101" s="31">
        <f t="shared" si="8"/>
        <v>442</v>
      </c>
      <c r="S101" s="31">
        <f t="shared" si="8"/>
        <v>497</v>
      </c>
    </row>
    <row r="102" spans="1:19" x14ac:dyDescent="0.3">
      <c r="A102" s="3" t="s">
        <v>502</v>
      </c>
      <c r="B102" s="3" t="s">
        <v>368</v>
      </c>
      <c r="C102" s="3" t="str">
        <f>INDEX('R1. Scenario specifications'!$C$11:$C$59,MATCH($B102,'R1. Scenario specifications'!$A$11:$A$59,0))</f>
        <v>Current Policies Scenario, World Energy Outlook 2018</v>
      </c>
      <c r="D102" s="3" t="s">
        <v>259</v>
      </c>
      <c r="E102" s="3" t="s">
        <v>504</v>
      </c>
      <c r="F102" s="3" t="s">
        <v>542</v>
      </c>
      <c r="G102" s="34"/>
      <c r="H102" s="34"/>
      <c r="I102" s="34">
        <f>INDEX('R9. WEO18 Electricity'!$B$13:$K$25,MATCH($E102,'R9. WEO18 Electricity'!$A$13:$A$25,0),MATCH(I$93,'R9. WEO18 Electricity'!$B$11:$K$11,0))</f>
        <v>328</v>
      </c>
      <c r="J102" s="34">
        <f>INDEX('R9. WEO18 Electricity'!$B$13:$K$25,MATCH($E102,'R9. WEO18 Electricity'!$A$13:$A$25,0),MATCH(CONCATENATE(J$93,"e"),'R9. WEO18 Electricity'!$B$11:$K$11,0))</f>
        <v>435</v>
      </c>
      <c r="K102" s="31">
        <f t="shared" si="7"/>
        <v>772.125</v>
      </c>
      <c r="L102" s="34">
        <f>INDEX('R9. WEO18 Electricity'!$N$13:$Q$25,MATCH($E102,'R9. WEO18 Electricity'!$M$13:$M$25,0),MATCH(L$93,'R9. WEO18 Electricity'!$N$11:$Q$11,0))</f>
        <v>1334</v>
      </c>
      <c r="M102" s="34">
        <f>INDEX('R9. WEO18 Electricity'!$N$13:$Q$25,MATCH($E102,'R9. WEO18 Electricity'!$M$13:$M$25,0),MATCH(M$93,'R9. WEO18 Electricity'!$N$11:$Q$11,0))</f>
        <v>1782</v>
      </c>
      <c r="N102" s="34">
        <f>INDEX('R9. WEO18 Electricity'!$N$13:$Q$25,MATCH($E102,'R9. WEO18 Electricity'!$M$13:$M$25,0),MATCH(N$93,'R9. WEO18 Electricity'!$N$11:$Q$11,0))</f>
        <v>2291</v>
      </c>
      <c r="O102" s="34">
        <f>INDEX('R9. WEO18 Electricity'!$N$13:$Q$25,MATCH($E102,'R9. WEO18 Electricity'!$M$13:$M$25,0),MATCH(O$93,'R9. WEO18 Electricity'!$N$11:$Q$11,0))</f>
        <v>2956</v>
      </c>
      <c r="P102" s="31">
        <f t="shared" si="9"/>
        <v>3621</v>
      </c>
      <c r="Q102" s="31">
        <f t="shared" si="8"/>
        <v>4286</v>
      </c>
      <c r="R102" s="31">
        <f t="shared" si="8"/>
        <v>4951</v>
      </c>
      <c r="S102" s="31">
        <f t="shared" si="8"/>
        <v>5616</v>
      </c>
    </row>
    <row r="103" spans="1:19" x14ac:dyDescent="0.3">
      <c r="A103" s="3" t="s">
        <v>502</v>
      </c>
      <c r="B103" s="3" t="s">
        <v>368</v>
      </c>
      <c r="C103" s="3" t="str">
        <f>INDEX('R1. Scenario specifications'!$C$11:$C$59,MATCH($B103,'R1. Scenario specifications'!$A$11:$A$59,0))</f>
        <v>Current Policies Scenario, World Energy Outlook 2018</v>
      </c>
      <c r="D103" s="3" t="s">
        <v>259</v>
      </c>
      <c r="E103" s="3" t="s">
        <v>505</v>
      </c>
      <c r="F103" s="3" t="s">
        <v>542</v>
      </c>
      <c r="G103" s="34"/>
      <c r="H103" s="34"/>
      <c r="I103" s="34">
        <f>INDEX('R9. WEO18 Electricity'!$B$13:$K$25,MATCH($E103,'R9. WEO18 Electricity'!$A$13:$A$25,0),MATCH(I$93,'R9. WEO18 Electricity'!$B$11:$K$11,0))</f>
        <v>10</v>
      </c>
      <c r="J103" s="34">
        <f>INDEX('R9. WEO18 Electricity'!$B$13:$K$25,MATCH($E103,'R9. WEO18 Electricity'!$A$13:$A$25,0),MATCH(CONCATENATE(J$93,"e"),'R9. WEO18 Electricity'!$B$11:$K$11,0))</f>
        <v>11</v>
      </c>
      <c r="K103" s="31">
        <f t="shared" si="7"/>
        <v>18.125</v>
      </c>
      <c r="L103" s="34">
        <f>INDEX('R9. WEO18 Electricity'!$N$13:$Q$25,MATCH($E103,'R9. WEO18 Electricity'!$M$13:$M$25,0),MATCH(L$93,'R9. WEO18 Electricity'!$N$11:$Q$11,0))</f>
        <v>30</v>
      </c>
      <c r="M103" s="34">
        <f>INDEX('R9. WEO18 Electricity'!$N$13:$Q$25,MATCH($E103,'R9. WEO18 Electricity'!$M$13:$M$25,0),MATCH(M$93,'R9. WEO18 Electricity'!$N$11:$Q$11,0))</f>
        <v>52</v>
      </c>
      <c r="N103" s="34">
        <f>INDEX('R9. WEO18 Electricity'!$N$13:$Q$25,MATCH($E103,'R9. WEO18 Electricity'!$M$13:$M$25,0),MATCH(N$93,'R9. WEO18 Electricity'!$N$11:$Q$11,0))</f>
        <v>80</v>
      </c>
      <c r="O103" s="34">
        <f>INDEX('R9. WEO18 Electricity'!$N$13:$Q$25,MATCH($E103,'R9. WEO18 Electricity'!$M$13:$M$25,0),MATCH(O$93,'R9. WEO18 Electricity'!$N$11:$Q$11,0))</f>
        <v>119</v>
      </c>
      <c r="P103" s="31">
        <f t="shared" si="9"/>
        <v>158</v>
      </c>
      <c r="Q103" s="31">
        <f t="shared" si="8"/>
        <v>197</v>
      </c>
      <c r="R103" s="31">
        <f t="shared" si="8"/>
        <v>236</v>
      </c>
      <c r="S103" s="31">
        <f t="shared" si="8"/>
        <v>275</v>
      </c>
    </row>
    <row r="104" spans="1:19" x14ac:dyDescent="0.3">
      <c r="A104" s="3" t="s">
        <v>502</v>
      </c>
      <c r="B104" s="3" t="s">
        <v>368</v>
      </c>
      <c r="C104" s="3" t="str">
        <f>INDEX('R1. Scenario specifications'!$C$11:$C$59,MATCH($B104,'R1. Scenario specifications'!$A$11:$A$59,0))</f>
        <v>Current Policies Scenario, World Energy Outlook 2018</v>
      </c>
      <c r="D104" s="3" t="s">
        <v>258</v>
      </c>
      <c r="E104" s="3" t="s">
        <v>507</v>
      </c>
      <c r="F104" s="39" t="s">
        <v>542</v>
      </c>
      <c r="G104" s="52"/>
      <c r="H104" s="52"/>
      <c r="I104" s="52">
        <f>INDEX('R9. WEO18 Electricity'!$B$13:$K$25,MATCH($E104,'R9. WEO18 Electricity'!$A$13:$A$25,0),MATCH(I$93,'R9. WEO18 Electricity'!$B$11:$K$11,0))</f>
        <v>1</v>
      </c>
      <c r="J104" s="52">
        <f>INDEX('R9. WEO18 Electricity'!$B$13:$K$25,MATCH($E104,'R9. WEO18 Electricity'!$A$13:$A$25,0),MATCH(CONCATENATE(J$93,"e"),'R9. WEO18 Electricity'!$B$11:$K$11,0))</f>
        <v>1</v>
      </c>
      <c r="K104" s="40">
        <f t="shared" si="7"/>
        <v>1.375</v>
      </c>
      <c r="L104" s="52">
        <f>INDEX('R9. WEO18 Electricity'!$N$13:$Q$25,MATCH($E104,'R9. WEO18 Electricity'!$M$13:$M$25,0),MATCH(L$93,'R9. WEO18 Electricity'!$N$11:$Q$11,0))</f>
        <v>2</v>
      </c>
      <c r="M104" s="52">
        <f>INDEX('R9. WEO18 Electricity'!$N$13:$Q$25,MATCH($E104,'R9. WEO18 Electricity'!$M$13:$M$25,0),MATCH(M$93,'R9. WEO18 Electricity'!$N$11:$Q$11,0))</f>
        <v>8</v>
      </c>
      <c r="N104" s="52">
        <f>INDEX('R9. WEO18 Electricity'!$N$13:$Q$25,MATCH($E104,'R9. WEO18 Electricity'!$M$13:$M$25,0),MATCH(N$93,'R9. WEO18 Electricity'!$N$11:$Q$11,0))</f>
        <v>17</v>
      </c>
      <c r="O104" s="52">
        <f>INDEX('R9. WEO18 Electricity'!$N$13:$Q$25,MATCH($E104,'R9. WEO18 Electricity'!$M$13:$M$25,0),MATCH(O$93,'R9. WEO18 Electricity'!$N$11:$Q$11,0))</f>
        <v>29</v>
      </c>
      <c r="P104" s="40">
        <f t="shared" si="9"/>
        <v>41</v>
      </c>
      <c r="Q104" s="40">
        <f t="shared" si="8"/>
        <v>53</v>
      </c>
      <c r="R104" s="40">
        <f t="shared" si="8"/>
        <v>65</v>
      </c>
      <c r="S104" s="40">
        <f t="shared" si="8"/>
        <v>77</v>
      </c>
    </row>
    <row r="105" spans="1:19" x14ac:dyDescent="0.3">
      <c r="A105" s="3" t="s">
        <v>502</v>
      </c>
      <c r="B105" s="32" t="s">
        <v>370</v>
      </c>
      <c r="C105" s="32" t="str">
        <f>INDEX('R1. Scenario specifications'!$C$11:$C$59,MATCH($B105,'R1. Scenario specifications'!$A$11:$A$59,0))</f>
        <v>New Policies Scenario, World Energy Outlook 2018</v>
      </c>
      <c r="D105" s="32" t="s">
        <v>254</v>
      </c>
      <c r="E105" s="32" t="s">
        <v>254</v>
      </c>
      <c r="F105" s="3" t="s">
        <v>542</v>
      </c>
      <c r="G105" s="34"/>
      <c r="H105" s="34"/>
      <c r="I105" s="33">
        <f>INDEX('R9. WEO18 Electricity'!$B$13:$K$25,MATCH($E105,'R9. WEO18 Electricity'!$A$13:$A$25,0),MATCH(I$93,'R9. WEO18 Electricity'!$B$11:$K$11,0))</f>
        <v>9575</v>
      </c>
      <c r="J105" s="33">
        <f>INDEX('R9. WEO18 Electricity'!$B$13:$K$25,MATCH($E105,'R9. WEO18 Electricity'!$A$13:$A$25,0),MATCH(CONCATENATE(J$93,"e"),'R9. WEO18 Electricity'!$B$11:$K$11,0))</f>
        <v>9858</v>
      </c>
      <c r="K105" s="43">
        <f t="shared" si="7"/>
        <v>9872.25</v>
      </c>
      <c r="L105" s="33">
        <f>INDEX('R9. WEO18 Electricity'!$B$13:$K$25,MATCH($E105,'R9. WEO18 Electricity'!$A$13:$A$25,0),MATCH(L$93,'R9. WEO18 Electricity'!$B$11:$K$11,0))</f>
        <v>9896</v>
      </c>
      <c r="M105" s="33">
        <f>INDEX('R9. WEO18 Electricity'!$B$13:$K$25,MATCH($E105,'R9. WEO18 Electricity'!$A$13:$A$25,0),MATCH(M$93,'R9. WEO18 Electricity'!$B$11:$K$11,0))</f>
        <v>10016</v>
      </c>
      <c r="N105" s="33">
        <f>INDEX('R9. WEO18 Electricity'!$B$13:$K$25,MATCH($E105,'R9. WEO18 Electricity'!$A$13:$A$25,0),MATCH(N$93,'R9. WEO18 Electricity'!$B$11:$K$11,0))</f>
        <v>10172</v>
      </c>
      <c r="O105" s="33">
        <f>INDEX('R9. WEO18 Electricity'!$B$13:$K$25,MATCH($E105,'R9. WEO18 Electricity'!$A$13:$A$25,0),MATCH(O$93,'R9. WEO18 Electricity'!$B$11:$K$11,0))</f>
        <v>10335</v>
      </c>
      <c r="P105" s="31">
        <f t="shared" si="9"/>
        <v>10498</v>
      </c>
      <c r="Q105" s="31">
        <f t="shared" si="8"/>
        <v>10661</v>
      </c>
      <c r="R105" s="31">
        <f t="shared" si="8"/>
        <v>10824</v>
      </c>
      <c r="S105" s="31">
        <f t="shared" si="8"/>
        <v>10987</v>
      </c>
    </row>
    <row r="106" spans="1:19" x14ac:dyDescent="0.3">
      <c r="A106" s="3" t="s">
        <v>502</v>
      </c>
      <c r="B106" s="3" t="s">
        <v>370</v>
      </c>
      <c r="C106" s="3" t="str">
        <f>INDEX('R1. Scenario specifications'!$C$11:$C$59,MATCH($B106,'R1. Scenario specifications'!$A$11:$A$59,0))</f>
        <v>New Policies Scenario, World Energy Outlook 2018</v>
      </c>
      <c r="D106" s="3" t="s">
        <v>266</v>
      </c>
      <c r="E106" s="3" t="s">
        <v>266</v>
      </c>
      <c r="F106" s="3" t="s">
        <v>542</v>
      </c>
      <c r="G106" s="34"/>
      <c r="H106" s="34"/>
      <c r="I106" s="34">
        <f>INDEX('R9. WEO18 Electricity'!$B$13:$K$25,MATCH($E106,'R9. WEO18 Electricity'!$A$13:$A$25,0),MATCH(I$93,'R9. WEO18 Electricity'!$B$11:$K$11,0))</f>
        <v>926</v>
      </c>
      <c r="J106" s="34">
        <f>INDEX('R9. WEO18 Electricity'!$B$13:$K$25,MATCH($E106,'R9. WEO18 Electricity'!$A$13:$A$25,0),MATCH(CONCATENATE(J$93,"e"),'R9. WEO18 Electricity'!$B$11:$K$11,0))</f>
        <v>940</v>
      </c>
      <c r="K106" s="31">
        <f t="shared" si="7"/>
        <v>873.625</v>
      </c>
      <c r="L106" s="34">
        <f>INDEX('R9. WEO18 Electricity'!$B$13:$K$25,MATCH($E106,'R9. WEO18 Electricity'!$A$13:$A$25,0),MATCH(L$93,'R9. WEO18 Electricity'!$B$11:$K$11,0))</f>
        <v>763</v>
      </c>
      <c r="M106" s="34">
        <f>INDEX('R9. WEO18 Electricity'!$B$13:$K$25,MATCH($E106,'R9. WEO18 Electricity'!$A$13:$A$25,0),MATCH(M$93,'R9. WEO18 Electricity'!$B$11:$K$11,0))</f>
        <v>676</v>
      </c>
      <c r="N106" s="34">
        <f>INDEX('R9. WEO18 Electricity'!$B$13:$K$25,MATCH($E106,'R9. WEO18 Electricity'!$A$13:$A$25,0),MATCH(N$93,'R9. WEO18 Electricity'!$B$11:$K$11,0))</f>
        <v>597</v>
      </c>
      <c r="O106" s="34">
        <f>INDEX('R9. WEO18 Electricity'!$B$13:$K$25,MATCH($E106,'R9. WEO18 Electricity'!$A$13:$A$25,0),MATCH(O$93,'R9. WEO18 Electricity'!$B$11:$K$11,0))</f>
        <v>527</v>
      </c>
      <c r="P106" s="31">
        <f t="shared" si="9"/>
        <v>457</v>
      </c>
      <c r="Q106" s="31">
        <f t="shared" si="8"/>
        <v>387</v>
      </c>
      <c r="R106" s="31">
        <f t="shared" si="8"/>
        <v>317</v>
      </c>
      <c r="S106" s="31">
        <f t="shared" si="8"/>
        <v>247</v>
      </c>
    </row>
    <row r="107" spans="1:19" x14ac:dyDescent="0.3">
      <c r="A107" s="3" t="s">
        <v>502</v>
      </c>
      <c r="B107" s="3" t="s">
        <v>370</v>
      </c>
      <c r="C107" s="3" t="str">
        <f>INDEX('R1. Scenario specifications'!$C$11:$C$59,MATCH($B107,'R1. Scenario specifications'!$A$11:$A$59,0))</f>
        <v>New Policies Scenario, World Energy Outlook 2018</v>
      </c>
      <c r="D107" s="3" t="s">
        <v>255</v>
      </c>
      <c r="E107" s="3" t="s">
        <v>255</v>
      </c>
      <c r="F107" s="3" t="s">
        <v>542</v>
      </c>
      <c r="G107" s="34"/>
      <c r="H107" s="34"/>
      <c r="I107" s="34">
        <f>INDEX('R9. WEO18 Electricity'!$B$13:$K$25,MATCH($E107,'R9. WEO18 Electricity'!$A$13:$A$25,0),MATCH(I$93,'R9. WEO18 Electricity'!$B$11:$K$11,0))</f>
        <v>5781</v>
      </c>
      <c r="J107" s="34">
        <f>INDEX('R9. WEO18 Electricity'!$B$13:$K$25,MATCH($E107,'R9. WEO18 Electricity'!$A$13:$A$25,0),MATCH(CONCATENATE(J$93,"e"),'R9. WEO18 Electricity'!$B$11:$K$11,0))</f>
        <v>5855</v>
      </c>
      <c r="K107" s="31">
        <f t="shared" si="7"/>
        <v>6220.25</v>
      </c>
      <c r="L107" s="34">
        <f>INDEX('R9. WEO18 Electricity'!$B$13:$K$25,MATCH($E107,'R9. WEO18 Electricity'!$A$13:$A$25,0),MATCH(L$93,'R9. WEO18 Electricity'!$B$11:$K$11,0))</f>
        <v>6829</v>
      </c>
      <c r="M107" s="34">
        <f>INDEX('R9. WEO18 Electricity'!$B$13:$K$25,MATCH($E107,'R9. WEO18 Electricity'!$A$13:$A$25,0),MATCH(M$93,'R9. WEO18 Electricity'!$B$11:$K$11,0))</f>
        <v>7517</v>
      </c>
      <c r="N107" s="34">
        <f>INDEX('R9. WEO18 Electricity'!$B$13:$K$25,MATCH($E107,'R9. WEO18 Electricity'!$A$13:$A$25,0),MATCH(N$93,'R9. WEO18 Electricity'!$B$11:$K$11,0))</f>
        <v>8265</v>
      </c>
      <c r="O107" s="34">
        <f>INDEX('R9. WEO18 Electricity'!$B$13:$K$25,MATCH($E107,'R9. WEO18 Electricity'!$A$13:$A$25,0),MATCH(O$93,'R9. WEO18 Electricity'!$B$11:$K$11,0))</f>
        <v>9071</v>
      </c>
      <c r="P107" s="31">
        <f t="shared" si="9"/>
        <v>9877</v>
      </c>
      <c r="Q107" s="31">
        <f t="shared" si="8"/>
        <v>10683</v>
      </c>
      <c r="R107" s="31">
        <f t="shared" si="8"/>
        <v>11489</v>
      </c>
      <c r="S107" s="31">
        <f t="shared" si="8"/>
        <v>12295</v>
      </c>
    </row>
    <row r="108" spans="1:19" x14ac:dyDescent="0.3">
      <c r="A108" s="3" t="s">
        <v>502</v>
      </c>
      <c r="B108" s="3" t="s">
        <v>370</v>
      </c>
      <c r="C108" s="3" t="str">
        <f>INDEX('R1. Scenario specifications'!$C$11:$C$59,MATCH($B108,'R1. Scenario specifications'!$A$11:$A$59,0))</f>
        <v>New Policies Scenario, World Energy Outlook 2018</v>
      </c>
      <c r="D108" s="3" t="s">
        <v>257</v>
      </c>
      <c r="E108" s="3" t="s">
        <v>257</v>
      </c>
      <c r="F108" s="3" t="s">
        <v>542</v>
      </c>
      <c r="G108" s="34"/>
      <c r="H108" s="34"/>
      <c r="I108" s="34">
        <f>INDEX('R9. WEO18 Electricity'!$B$13:$K$25,MATCH($E108,'R9. WEO18 Electricity'!$A$13:$A$25,0),MATCH(I$93,'R9. WEO18 Electricity'!$B$11:$K$11,0))</f>
        <v>2605</v>
      </c>
      <c r="J108" s="34">
        <f>INDEX('R9. WEO18 Electricity'!$B$13:$K$25,MATCH($E108,'R9. WEO18 Electricity'!$A$13:$A$25,0),MATCH(CONCATENATE(J$93,"e"),'R9. WEO18 Electricity'!$B$11:$K$11,0))</f>
        <v>2637</v>
      </c>
      <c r="K108" s="31">
        <f t="shared" si="7"/>
        <v>2806.5</v>
      </c>
      <c r="L108" s="34">
        <f>INDEX('R9. WEO18 Electricity'!$B$13:$K$25,MATCH($E108,'R9. WEO18 Electricity'!$A$13:$A$25,0),MATCH(L$93,'R9. WEO18 Electricity'!$B$11:$K$11,0))</f>
        <v>3089</v>
      </c>
      <c r="M108" s="34">
        <f>INDEX('R9. WEO18 Electricity'!$B$13:$K$25,MATCH($E108,'R9. WEO18 Electricity'!$A$13:$A$25,0),MATCH(M$93,'R9. WEO18 Electricity'!$B$11:$K$11,0))</f>
        <v>3253</v>
      </c>
      <c r="N108" s="34">
        <f>INDEX('R9. WEO18 Electricity'!$B$13:$K$25,MATCH($E108,'R9. WEO18 Electricity'!$A$13:$A$25,0),MATCH(N$93,'R9. WEO18 Electricity'!$B$11:$K$11,0))</f>
        <v>3520</v>
      </c>
      <c r="O108" s="34">
        <f>INDEX('R9. WEO18 Electricity'!$B$13:$K$25,MATCH($E108,'R9. WEO18 Electricity'!$A$13:$A$25,0),MATCH(O$93,'R9. WEO18 Electricity'!$B$11:$K$11,0))</f>
        <v>3726</v>
      </c>
      <c r="P108" s="31">
        <f t="shared" si="9"/>
        <v>3932</v>
      </c>
      <c r="Q108" s="31">
        <f t="shared" si="8"/>
        <v>4138</v>
      </c>
      <c r="R108" s="31">
        <f t="shared" si="8"/>
        <v>4344</v>
      </c>
      <c r="S108" s="31">
        <f t="shared" si="8"/>
        <v>4550</v>
      </c>
    </row>
    <row r="109" spans="1:19" x14ac:dyDescent="0.3">
      <c r="A109" s="3" t="s">
        <v>502</v>
      </c>
      <c r="B109" s="3" t="s">
        <v>370</v>
      </c>
      <c r="C109" s="3" t="str">
        <f>INDEX('R1. Scenario specifications'!$C$11:$C$59,MATCH($B109,'R1. Scenario specifications'!$A$11:$A$59,0))</f>
        <v>New Policies Scenario, World Energy Outlook 2018</v>
      </c>
      <c r="D109" s="3" t="s">
        <v>256</v>
      </c>
      <c r="E109" s="3" t="s">
        <v>256</v>
      </c>
      <c r="F109" s="3" t="s">
        <v>542</v>
      </c>
      <c r="G109" s="34"/>
      <c r="H109" s="34"/>
      <c r="I109" s="34">
        <f>INDEX('R9. WEO18 Electricity'!$B$13:$K$25,MATCH($E109,'R9. WEO18 Electricity'!$A$13:$A$25,0),MATCH(I$93,'R9. WEO18 Electricity'!$B$11:$K$11,0))</f>
        <v>4049</v>
      </c>
      <c r="J109" s="34">
        <f>INDEX('R9. WEO18 Electricity'!$B$13:$K$25,MATCH($E109,'R9. WEO18 Electricity'!$A$13:$A$25,0),MATCH(CONCATENATE(J$93,"e"),'R9. WEO18 Electricity'!$B$11:$K$11,0))</f>
        <v>4109</v>
      </c>
      <c r="K109" s="31">
        <f t="shared" si="7"/>
        <v>4376</v>
      </c>
      <c r="L109" s="34">
        <f>INDEX('R9. WEO18 Electricity'!$B$13:$K$25,MATCH($E109,'R9. WEO18 Electricity'!$A$13:$A$25,0),MATCH(L$93,'R9. WEO18 Electricity'!$B$11:$K$11,0))</f>
        <v>4821</v>
      </c>
      <c r="M109" s="34">
        <f>INDEX('R9. WEO18 Electricity'!$B$13:$K$25,MATCH($E109,'R9. WEO18 Electricity'!$A$13:$A$25,0),MATCH(M$93,'R9. WEO18 Electricity'!$B$11:$K$11,0))</f>
        <v>5330</v>
      </c>
      <c r="N109" s="34">
        <f>INDEX('R9. WEO18 Electricity'!$B$13:$K$25,MATCH($E109,'R9. WEO18 Electricity'!$A$13:$A$25,0),MATCH(N$93,'R9. WEO18 Electricity'!$B$11:$K$11,0))</f>
        <v>5774</v>
      </c>
      <c r="O109" s="34">
        <f>INDEX('R9. WEO18 Electricity'!$B$13:$K$25,MATCH($E109,'R9. WEO18 Electricity'!$A$13:$A$25,0),MATCH(O$93,'R9. WEO18 Electricity'!$B$11:$K$11,0))</f>
        <v>6179</v>
      </c>
      <c r="P109" s="31">
        <f t="shared" si="9"/>
        <v>6584</v>
      </c>
      <c r="Q109" s="31">
        <f t="shared" si="8"/>
        <v>6989</v>
      </c>
      <c r="R109" s="31">
        <f t="shared" si="8"/>
        <v>7394</v>
      </c>
      <c r="S109" s="31">
        <f t="shared" si="8"/>
        <v>7799</v>
      </c>
    </row>
    <row r="110" spans="1:19" x14ac:dyDescent="0.3">
      <c r="A110" s="3" t="s">
        <v>502</v>
      </c>
      <c r="B110" s="3" t="s">
        <v>370</v>
      </c>
      <c r="C110" s="3" t="str">
        <f>INDEX('R1. Scenario specifications'!$C$11:$C$59,MATCH($B110,'R1. Scenario specifications'!$A$11:$A$59,0))</f>
        <v>New Policies Scenario, World Energy Outlook 2018</v>
      </c>
      <c r="D110" s="3" t="s">
        <v>253</v>
      </c>
      <c r="E110" s="3" t="s">
        <v>503</v>
      </c>
      <c r="F110" s="3" t="s">
        <v>542</v>
      </c>
      <c r="G110" s="34"/>
      <c r="H110" s="34"/>
      <c r="I110" s="34">
        <f>INDEX('R9. WEO18 Electricity'!$B$13:$K$25,MATCH($E110,'R9. WEO18 Electricity'!$A$13:$A$25,0),MATCH(I$93,'R9. WEO18 Electricity'!$B$11:$K$11,0))</f>
        <v>569</v>
      </c>
      <c r="J110" s="34">
        <f>INDEX('R9. WEO18 Electricity'!$B$13:$K$25,MATCH($E110,'R9. WEO18 Electricity'!$A$13:$A$25,0),MATCH(CONCATENATE(J$93,"e"),'R9. WEO18 Electricity'!$B$11:$K$11,0))</f>
        <v>623</v>
      </c>
      <c r="K110" s="31">
        <f t="shared" si="7"/>
        <v>723.125</v>
      </c>
      <c r="L110" s="34">
        <f>INDEX('R9. WEO18 Electricity'!$B$13:$K$25,MATCH($E110,'R9. WEO18 Electricity'!$A$13:$A$25,0),MATCH(L$93,'R9. WEO18 Electricity'!$B$11:$K$11,0))</f>
        <v>890</v>
      </c>
      <c r="M110" s="34">
        <f>INDEX('R9. WEO18 Electricity'!$B$13:$K$25,MATCH($E110,'R9. WEO18 Electricity'!$A$13:$A$25,0),MATCH(M$93,'R9. WEO18 Electricity'!$B$11:$K$11,0))</f>
        <v>1057</v>
      </c>
      <c r="N110" s="34">
        <f>INDEX('R9. WEO18 Electricity'!$B$13:$K$25,MATCH($E110,'R9. WEO18 Electricity'!$A$13:$A$25,0),MATCH(N$93,'R9. WEO18 Electricity'!$B$11:$K$11,0))</f>
        <v>1238</v>
      </c>
      <c r="O110" s="34">
        <f>INDEX('R9. WEO18 Electricity'!$B$13:$K$25,MATCH($E110,'R9. WEO18 Electricity'!$A$13:$A$25,0),MATCH(O$93,'R9. WEO18 Electricity'!$B$11:$K$11,0))</f>
        <v>1427</v>
      </c>
      <c r="P110" s="31">
        <f t="shared" si="9"/>
        <v>1616</v>
      </c>
      <c r="Q110" s="31">
        <f t="shared" si="9"/>
        <v>1805</v>
      </c>
      <c r="R110" s="31">
        <f t="shared" si="9"/>
        <v>1994</v>
      </c>
      <c r="S110" s="31">
        <f t="shared" si="9"/>
        <v>2183</v>
      </c>
    </row>
    <row r="111" spans="1:19" x14ac:dyDescent="0.3">
      <c r="A111" s="3" t="s">
        <v>502</v>
      </c>
      <c r="B111" s="3" t="s">
        <v>370</v>
      </c>
      <c r="C111" s="3" t="str">
        <f>INDEX('R1. Scenario specifications'!$C$11:$C$59,MATCH($B111,'R1. Scenario specifications'!$A$11:$A$59,0))</f>
        <v>New Policies Scenario, World Energy Outlook 2018</v>
      </c>
      <c r="D111" s="3" t="s">
        <v>260</v>
      </c>
      <c r="E111" s="3" t="s">
        <v>260</v>
      </c>
      <c r="F111" s="3" t="s">
        <v>542</v>
      </c>
      <c r="G111" s="34"/>
      <c r="H111" s="34"/>
      <c r="I111" s="34">
        <f>INDEX('R9. WEO18 Electricity'!$B$13:$K$25,MATCH($E111,'R9. WEO18 Electricity'!$A$13:$A$25,0),MATCH(I$93,'R9. WEO18 Electricity'!$B$11:$K$11,0))</f>
        <v>957</v>
      </c>
      <c r="J111" s="34">
        <f>INDEX('R9. WEO18 Electricity'!$B$13:$K$25,MATCH($E111,'R9. WEO18 Electricity'!$A$13:$A$25,0),MATCH(CONCATENATE(J$93,"e"),'R9. WEO18 Electricity'!$B$11:$K$11,0))</f>
        <v>1085</v>
      </c>
      <c r="K111" s="31">
        <f t="shared" si="7"/>
        <v>1542.125</v>
      </c>
      <c r="L111" s="34">
        <f>INDEX('R9. WEO18 Electricity'!$B$13:$K$25,MATCH($E111,'R9. WEO18 Electricity'!$A$13:$A$25,0),MATCH(L$93,'R9. WEO18 Electricity'!$B$11:$K$11,0))</f>
        <v>2304</v>
      </c>
      <c r="M111" s="34">
        <f>INDEX('R9. WEO18 Electricity'!$B$13:$K$25,MATCH($E111,'R9. WEO18 Electricity'!$A$13:$A$25,0),MATCH(M$93,'R9. WEO18 Electricity'!$B$11:$K$11,0))</f>
        <v>3157</v>
      </c>
      <c r="N111" s="34">
        <f>INDEX('R9. WEO18 Electricity'!$B$13:$K$25,MATCH($E111,'R9. WEO18 Electricity'!$A$13:$A$25,0),MATCH(N$93,'R9. WEO18 Electricity'!$B$11:$K$11,0))</f>
        <v>3960</v>
      </c>
      <c r="O111" s="34">
        <f>INDEX('R9. WEO18 Electricity'!$B$13:$K$25,MATCH($E111,'R9. WEO18 Electricity'!$A$13:$A$25,0),MATCH(O$93,'R9. WEO18 Electricity'!$B$11:$K$11,0))</f>
        <v>4690</v>
      </c>
      <c r="P111" s="31">
        <f t="shared" ref="P111:S126" si="10">IF(TREND($N111:$O111,$N$93:$O$93,P$93)&lt;0,0,TREND($N111:$O111,$N$93:$O$93,P$93))</f>
        <v>5420</v>
      </c>
      <c r="Q111" s="31">
        <f t="shared" si="10"/>
        <v>6150</v>
      </c>
      <c r="R111" s="31">
        <f t="shared" si="10"/>
        <v>6880</v>
      </c>
      <c r="S111" s="31">
        <f t="shared" si="10"/>
        <v>7610</v>
      </c>
    </row>
    <row r="112" spans="1:19" x14ac:dyDescent="0.3">
      <c r="A112" s="3" t="s">
        <v>502</v>
      </c>
      <c r="B112" s="3" t="s">
        <v>370</v>
      </c>
      <c r="C112" s="3" t="str">
        <f>INDEX('R1. Scenario specifications'!$C$11:$C$59,MATCH($B112,'R1. Scenario specifications'!$A$11:$A$59,0))</f>
        <v>New Policies Scenario, World Energy Outlook 2018</v>
      </c>
      <c r="D112" s="3" t="s">
        <v>258</v>
      </c>
      <c r="E112" s="3" t="s">
        <v>506</v>
      </c>
      <c r="F112" s="3" t="s">
        <v>542</v>
      </c>
      <c r="G112" s="34"/>
      <c r="H112" s="34"/>
      <c r="I112" s="34">
        <f>INDEX('R9. WEO18 Electricity'!$B$13:$K$25,MATCH($E112,'R9. WEO18 Electricity'!$A$13:$A$25,0),MATCH(I$93,'R9. WEO18 Electricity'!$B$11:$K$11,0))</f>
        <v>82</v>
      </c>
      <c r="J112" s="34">
        <f>INDEX('R9. WEO18 Electricity'!$B$13:$K$25,MATCH($E112,'R9. WEO18 Electricity'!$A$13:$A$25,0),MATCH(CONCATENATE(J$93,"e"),'R9. WEO18 Electricity'!$B$11:$K$11,0))</f>
        <v>87</v>
      </c>
      <c r="K112" s="31">
        <f t="shared" si="7"/>
        <v>102.75</v>
      </c>
      <c r="L112" s="34">
        <f>INDEX('R9. WEO18 Electricity'!$B$13:$K$25,MATCH($E112,'R9. WEO18 Electricity'!$A$13:$A$25,0),MATCH(L$93,'R9. WEO18 Electricity'!$B$11:$K$11,0))</f>
        <v>129</v>
      </c>
      <c r="M112" s="34">
        <f>INDEX('R9. WEO18 Electricity'!$B$13:$K$25,MATCH($E112,'R9. WEO18 Electricity'!$A$13:$A$25,0),MATCH(M$93,'R9. WEO18 Electricity'!$B$11:$K$11,0))</f>
        <v>190</v>
      </c>
      <c r="N112" s="34">
        <f>INDEX('R9. WEO18 Electricity'!$B$13:$K$25,MATCH($E112,'R9. WEO18 Electricity'!$A$13:$A$25,0),MATCH(N$93,'R9. WEO18 Electricity'!$B$11:$K$11,0))</f>
        <v>261</v>
      </c>
      <c r="O112" s="34">
        <f>INDEX('R9. WEO18 Electricity'!$B$13:$K$25,MATCH($E112,'R9. WEO18 Electricity'!$A$13:$A$25,0),MATCH(O$93,'R9. WEO18 Electricity'!$B$11:$K$11,0))</f>
        <v>343</v>
      </c>
      <c r="P112" s="31">
        <f t="shared" si="10"/>
        <v>425</v>
      </c>
      <c r="Q112" s="31">
        <f t="shared" si="10"/>
        <v>507</v>
      </c>
      <c r="R112" s="31">
        <f t="shared" si="10"/>
        <v>589</v>
      </c>
      <c r="S112" s="31">
        <f t="shared" si="10"/>
        <v>671</v>
      </c>
    </row>
    <row r="113" spans="1:19" x14ac:dyDescent="0.3">
      <c r="A113" s="3" t="s">
        <v>502</v>
      </c>
      <c r="B113" s="3" t="s">
        <v>370</v>
      </c>
      <c r="C113" s="3" t="str">
        <f>INDEX('R1. Scenario specifications'!$C$11:$C$59,MATCH($B113,'R1. Scenario specifications'!$A$11:$A$59,0))</f>
        <v>New Policies Scenario, World Energy Outlook 2018</v>
      </c>
      <c r="D113" s="3" t="s">
        <v>259</v>
      </c>
      <c r="E113" s="3" t="s">
        <v>504</v>
      </c>
      <c r="F113" s="3" t="s">
        <v>542</v>
      </c>
      <c r="G113" s="34"/>
      <c r="H113" s="34"/>
      <c r="I113" s="34">
        <f>INDEX('R9. WEO18 Electricity'!$B$13:$K$25,MATCH($E113,'R9. WEO18 Electricity'!$A$13:$A$25,0),MATCH(I$93,'R9. WEO18 Electricity'!$B$11:$K$11,0))</f>
        <v>328</v>
      </c>
      <c r="J113" s="34">
        <f>INDEX('R9. WEO18 Electricity'!$B$13:$K$25,MATCH($E113,'R9. WEO18 Electricity'!$A$13:$A$25,0),MATCH(CONCATENATE(J$93,"e"),'R9. WEO18 Electricity'!$B$11:$K$11,0))</f>
        <v>435</v>
      </c>
      <c r="K113" s="31">
        <f t="shared" si="7"/>
        <v>820.5</v>
      </c>
      <c r="L113" s="34">
        <f>INDEX('R9. WEO18 Electricity'!$B$13:$K$25,MATCH($E113,'R9. WEO18 Electricity'!$A$13:$A$25,0),MATCH(L$93,'R9. WEO18 Electricity'!$B$11:$K$11,0))</f>
        <v>1463</v>
      </c>
      <c r="M113" s="34">
        <f>INDEX('R9. WEO18 Electricity'!$B$13:$K$25,MATCH($E113,'R9. WEO18 Electricity'!$A$13:$A$25,0),MATCH(M$93,'R9. WEO18 Electricity'!$B$11:$K$11,0))</f>
        <v>2197</v>
      </c>
      <c r="N113" s="34">
        <f>INDEX('R9. WEO18 Electricity'!$B$13:$K$25,MATCH($E113,'R9. WEO18 Electricity'!$A$13:$A$25,0),MATCH(N$93,'R9. WEO18 Electricity'!$B$11:$K$11,0))</f>
        <v>2935</v>
      </c>
      <c r="O113" s="34">
        <f>INDEX('R9. WEO18 Electricity'!$B$13:$K$25,MATCH($E113,'R9. WEO18 Electricity'!$A$13:$A$25,0),MATCH(O$93,'R9. WEO18 Electricity'!$B$11:$K$11,0))</f>
        <v>3839</v>
      </c>
      <c r="P113" s="31">
        <f t="shared" si="10"/>
        <v>4743</v>
      </c>
      <c r="Q113" s="31">
        <f t="shared" si="10"/>
        <v>5647</v>
      </c>
      <c r="R113" s="31">
        <f t="shared" si="10"/>
        <v>6551</v>
      </c>
      <c r="S113" s="31">
        <f t="shared" si="10"/>
        <v>7455</v>
      </c>
    </row>
    <row r="114" spans="1:19" x14ac:dyDescent="0.3">
      <c r="A114" s="3" t="s">
        <v>502</v>
      </c>
      <c r="B114" s="3" t="s">
        <v>370</v>
      </c>
      <c r="C114" s="3" t="str">
        <f>INDEX('R1. Scenario specifications'!$C$11:$C$59,MATCH($B114,'R1. Scenario specifications'!$A$11:$A$59,0))</f>
        <v>New Policies Scenario, World Energy Outlook 2018</v>
      </c>
      <c r="D114" s="3" t="s">
        <v>259</v>
      </c>
      <c r="E114" s="3" t="s">
        <v>505</v>
      </c>
      <c r="F114" s="3" t="s">
        <v>542</v>
      </c>
      <c r="G114" s="34"/>
      <c r="H114" s="34"/>
      <c r="I114" s="34">
        <f>INDEX('R9. WEO18 Electricity'!$B$13:$K$25,MATCH($E114,'R9. WEO18 Electricity'!$A$13:$A$25,0),MATCH(I$93,'R9. WEO18 Electricity'!$B$11:$K$11,0))</f>
        <v>10</v>
      </c>
      <c r="J114" s="34">
        <f>INDEX('R9. WEO18 Electricity'!$B$13:$K$25,MATCH($E114,'R9. WEO18 Electricity'!$A$13:$A$25,0),MATCH(CONCATENATE(J$93,"e"),'R9. WEO18 Electricity'!$B$11:$K$11,0))</f>
        <v>11</v>
      </c>
      <c r="K114" s="31">
        <f t="shared" si="7"/>
        <v>19.625</v>
      </c>
      <c r="L114" s="34">
        <f>INDEX('R9. WEO18 Electricity'!$B$13:$K$25,MATCH($E114,'R9. WEO18 Electricity'!$A$13:$A$25,0),MATCH(L$93,'R9. WEO18 Electricity'!$B$11:$K$11,0))</f>
        <v>34</v>
      </c>
      <c r="M114" s="34">
        <f>INDEX('R9. WEO18 Electricity'!$B$13:$K$25,MATCH($E114,'R9. WEO18 Electricity'!$A$13:$A$25,0),MATCH(M$93,'R9. WEO18 Electricity'!$B$11:$K$11,0))</f>
        <v>75</v>
      </c>
      <c r="N114" s="34">
        <f>INDEX('R9. WEO18 Electricity'!$B$13:$K$25,MATCH($E114,'R9. WEO18 Electricity'!$A$13:$A$25,0),MATCH(N$93,'R9. WEO18 Electricity'!$B$11:$K$11,0))</f>
        <v>138</v>
      </c>
      <c r="O114" s="34">
        <f>INDEX('R9. WEO18 Electricity'!$B$13:$K$25,MATCH($E114,'R9. WEO18 Electricity'!$A$13:$A$25,0),MATCH(O$93,'R9. WEO18 Electricity'!$B$11:$K$11,0))</f>
        <v>222</v>
      </c>
      <c r="P114" s="31">
        <f t="shared" si="10"/>
        <v>306</v>
      </c>
      <c r="Q114" s="31">
        <f t="shared" si="10"/>
        <v>390</v>
      </c>
      <c r="R114" s="31">
        <f t="shared" si="10"/>
        <v>474</v>
      </c>
      <c r="S114" s="31">
        <f t="shared" si="10"/>
        <v>558</v>
      </c>
    </row>
    <row r="115" spans="1:19" x14ac:dyDescent="0.3">
      <c r="A115" s="3" t="s">
        <v>502</v>
      </c>
      <c r="B115" s="3" t="s">
        <v>370</v>
      </c>
      <c r="C115" s="3" t="str">
        <f>INDEX('R1. Scenario specifications'!$C$11:$C$59,MATCH($B115,'R1. Scenario specifications'!$A$11:$A$59,0))</f>
        <v>New Policies Scenario, World Energy Outlook 2018</v>
      </c>
      <c r="D115" s="3" t="s">
        <v>258</v>
      </c>
      <c r="E115" s="39" t="s">
        <v>507</v>
      </c>
      <c r="F115" s="39" t="s">
        <v>542</v>
      </c>
      <c r="G115" s="52"/>
      <c r="H115" s="52"/>
      <c r="I115" s="52">
        <f>INDEX('R9. WEO18 Electricity'!$B$13:$K$25,MATCH($E115,'R9. WEO18 Electricity'!$A$13:$A$25,0),MATCH(I$93,'R9. WEO18 Electricity'!$B$11:$K$11,0))</f>
        <v>1</v>
      </c>
      <c r="J115" s="52">
        <f>INDEX('R9. WEO18 Electricity'!$B$13:$K$25,MATCH($E115,'R9. WEO18 Electricity'!$A$13:$A$25,0),MATCH(CONCATENATE(J$93,"e"),'R9. WEO18 Electricity'!$B$11:$K$11,0))</f>
        <v>1</v>
      </c>
      <c r="K115" s="40">
        <f t="shared" si="7"/>
        <v>1.75</v>
      </c>
      <c r="L115" s="52">
        <f>INDEX('R9. WEO18 Electricity'!$B$13:$K$25,MATCH($E115,'R9. WEO18 Electricity'!$A$13:$A$25,0),MATCH(L$93,'R9. WEO18 Electricity'!$B$11:$K$11,0))</f>
        <v>3</v>
      </c>
      <c r="M115" s="52">
        <f>INDEX('R9. WEO18 Electricity'!$B$13:$K$25,MATCH($E115,'R9. WEO18 Electricity'!$A$13:$A$25,0),MATCH(M$93,'R9. WEO18 Electricity'!$B$11:$K$11,0))</f>
        <v>12</v>
      </c>
      <c r="N115" s="52">
        <f>INDEX('R9. WEO18 Electricity'!$B$13:$K$25,MATCH($E115,'R9. WEO18 Electricity'!$A$13:$A$25,0),MATCH(N$93,'R9. WEO18 Electricity'!$B$11:$K$11,0))</f>
        <v>27</v>
      </c>
      <c r="O115" s="52">
        <f>INDEX('R9. WEO18 Electricity'!$B$13:$K$25,MATCH($E115,'R9. WEO18 Electricity'!$A$13:$A$25,0),MATCH(O$93,'R9. WEO18 Electricity'!$B$11:$K$11,0))</f>
        <v>52</v>
      </c>
      <c r="P115" s="40">
        <f t="shared" si="10"/>
        <v>77</v>
      </c>
      <c r="Q115" s="40">
        <f t="shared" si="10"/>
        <v>102</v>
      </c>
      <c r="R115" s="40">
        <f t="shared" si="10"/>
        <v>127</v>
      </c>
      <c r="S115" s="40">
        <f t="shared" si="10"/>
        <v>152</v>
      </c>
    </row>
    <row r="116" spans="1:19" x14ac:dyDescent="0.3">
      <c r="A116" s="3" t="s">
        <v>502</v>
      </c>
      <c r="B116" s="32" t="s">
        <v>372</v>
      </c>
      <c r="C116" s="32" t="str">
        <f>INDEX('R1. Scenario specifications'!$C$11:$C$59,MATCH($B116,'R1. Scenario specifications'!$A$11:$A$59,0))</f>
        <v>Sustainable Development Scenario, World Energy Outlook 2018</v>
      </c>
      <c r="D116" s="32" t="s">
        <v>254</v>
      </c>
      <c r="E116" s="3" t="s">
        <v>254</v>
      </c>
      <c r="F116" s="3" t="s">
        <v>542</v>
      </c>
      <c r="G116" s="34"/>
      <c r="H116" s="34"/>
      <c r="I116" s="33">
        <f>INDEX('R9. WEO18 Electricity'!$B$13:$K$25,MATCH($E116,'R9. WEO18 Electricity'!$A$13:$A$25,0),MATCH(I$93,'R9. WEO18 Electricity'!$B$11:$K$11,0))</f>
        <v>9575</v>
      </c>
      <c r="J116" s="33">
        <f>INDEX('R9. WEO18 Electricity'!$B$13:$K$25,MATCH($E116,'R9. WEO18 Electricity'!$A$13:$A$25,0),MATCH(CONCATENATE(J$93,"e"),'R9. WEO18 Electricity'!$B$11:$K$11,0))</f>
        <v>9858</v>
      </c>
      <c r="K116" s="43">
        <f t="shared" si="7"/>
        <v>8858.625</v>
      </c>
      <c r="L116" s="34">
        <f>INDEX('R9. WEO18 Electricity'!$R$13:$U$25,MATCH($E116,'R9. WEO18 Electricity'!$M$13:$M$25,0),MATCH(L$93,'R9. WEO18 Electricity'!$R$11:$U$11,0))</f>
        <v>7193</v>
      </c>
      <c r="M116" s="34">
        <f>INDEX('R9. WEO18 Electricity'!$R$13:$U$25,MATCH($E116,'R9. WEO18 Electricity'!$M$13:$M$25,0),MATCH(M$93,'R9. WEO18 Electricity'!$R$11:$U$11,0))</f>
        <v>4847</v>
      </c>
      <c r="N116" s="34">
        <f>INDEX('R9. WEO18 Electricity'!$R$13:$U$25,MATCH($E116,'R9. WEO18 Electricity'!$M$13:$M$25,0),MATCH(N$93,'R9. WEO18 Electricity'!$R$11:$U$11,0))</f>
        <v>3050</v>
      </c>
      <c r="O116" s="34">
        <f>INDEX('R9. WEO18 Electricity'!$R$13:$U$25,MATCH($E116,'R9. WEO18 Electricity'!$M$13:$M$25,0),MATCH(O$93,'R9. WEO18 Electricity'!$R$11:$U$11,0))</f>
        <v>1982</v>
      </c>
      <c r="P116" s="31">
        <f t="shared" si="10"/>
        <v>914</v>
      </c>
      <c r="Q116" s="31">
        <f t="shared" si="10"/>
        <v>0</v>
      </c>
      <c r="R116" s="31">
        <f t="shared" si="10"/>
        <v>0</v>
      </c>
      <c r="S116" s="31">
        <f t="shared" si="10"/>
        <v>0</v>
      </c>
    </row>
    <row r="117" spans="1:19" x14ac:dyDescent="0.3">
      <c r="A117" s="3" t="s">
        <v>502</v>
      </c>
      <c r="B117" s="3" t="s">
        <v>372</v>
      </c>
      <c r="C117" s="3" t="str">
        <f>INDEX('R1. Scenario specifications'!$C$11:$C$59,MATCH($B117,'R1. Scenario specifications'!$A$11:$A$59,0))</f>
        <v>Sustainable Development Scenario, World Energy Outlook 2018</v>
      </c>
      <c r="D117" s="3" t="s">
        <v>266</v>
      </c>
      <c r="E117" s="3" t="s">
        <v>266</v>
      </c>
      <c r="F117" s="3" t="s">
        <v>542</v>
      </c>
      <c r="G117" s="34"/>
      <c r="H117" s="34"/>
      <c r="I117" s="34">
        <f>INDEX('R9. WEO18 Electricity'!$B$13:$K$25,MATCH($E117,'R9. WEO18 Electricity'!$A$13:$A$25,0),MATCH(I$93,'R9. WEO18 Electricity'!$B$11:$K$11,0))</f>
        <v>926</v>
      </c>
      <c r="J117" s="34">
        <f>INDEX('R9. WEO18 Electricity'!$B$13:$K$25,MATCH($E117,'R9. WEO18 Electricity'!$A$13:$A$25,0),MATCH(CONCATENATE(J$93,"e"),'R9. WEO18 Electricity'!$B$11:$K$11,0))</f>
        <v>940</v>
      </c>
      <c r="K117" s="31">
        <f t="shared" si="7"/>
        <v>814.375</v>
      </c>
      <c r="L117" s="34">
        <f>INDEX('R9. WEO18 Electricity'!$R$13:$U$25,MATCH($E117,'R9. WEO18 Electricity'!$M$13:$M$25,0),MATCH(L$93,'R9. WEO18 Electricity'!$R$11:$U$11,0))</f>
        <v>605</v>
      </c>
      <c r="M117" s="34">
        <f>INDEX('R9. WEO18 Electricity'!$R$13:$U$25,MATCH($E117,'R9. WEO18 Electricity'!$M$13:$M$25,0),MATCH(M$93,'R9. WEO18 Electricity'!$R$11:$U$11,0))</f>
        <v>413</v>
      </c>
      <c r="N117" s="34">
        <f>INDEX('R9. WEO18 Electricity'!$R$13:$U$25,MATCH($E117,'R9. WEO18 Electricity'!$M$13:$M$25,0),MATCH(N$93,'R9. WEO18 Electricity'!$R$11:$U$11,0))</f>
        <v>274</v>
      </c>
      <c r="O117" s="34">
        <f>INDEX('R9. WEO18 Electricity'!$R$13:$U$25,MATCH($E117,'R9. WEO18 Electricity'!$M$13:$M$25,0),MATCH(O$93,'R9. WEO18 Electricity'!$R$11:$U$11,0))</f>
        <v>197</v>
      </c>
      <c r="P117" s="31">
        <f t="shared" si="10"/>
        <v>120</v>
      </c>
      <c r="Q117" s="31">
        <f t="shared" si="10"/>
        <v>43</v>
      </c>
      <c r="R117" s="31">
        <f t="shared" si="10"/>
        <v>0</v>
      </c>
      <c r="S117" s="31">
        <f t="shared" si="10"/>
        <v>0</v>
      </c>
    </row>
    <row r="118" spans="1:19" x14ac:dyDescent="0.3">
      <c r="A118" s="3" t="s">
        <v>502</v>
      </c>
      <c r="B118" s="3" t="s">
        <v>372</v>
      </c>
      <c r="C118" s="3" t="str">
        <f>INDEX('R1. Scenario specifications'!$C$11:$C$59,MATCH($B118,'R1. Scenario specifications'!$A$11:$A$59,0))</f>
        <v>Sustainable Development Scenario, World Energy Outlook 2018</v>
      </c>
      <c r="D118" s="3" t="s">
        <v>255</v>
      </c>
      <c r="E118" s="3" t="s">
        <v>255</v>
      </c>
      <c r="F118" s="3" t="s">
        <v>542</v>
      </c>
      <c r="G118" s="34"/>
      <c r="H118" s="34"/>
      <c r="I118" s="34">
        <f>INDEX('R9. WEO18 Electricity'!$B$13:$K$25,MATCH($E118,'R9. WEO18 Electricity'!$A$13:$A$25,0),MATCH(I$93,'R9. WEO18 Electricity'!$B$11:$K$11,0))</f>
        <v>5781</v>
      </c>
      <c r="J118" s="34">
        <f>INDEX('R9. WEO18 Electricity'!$B$13:$K$25,MATCH($E118,'R9. WEO18 Electricity'!$A$13:$A$25,0),MATCH(CONCATENATE(J$93,"e"),'R9. WEO18 Electricity'!$B$11:$K$11,0))</f>
        <v>5855</v>
      </c>
      <c r="K118" s="31">
        <f t="shared" si="7"/>
        <v>6213.125</v>
      </c>
      <c r="L118" s="34">
        <f>INDEX('R9. WEO18 Electricity'!$R$13:$U$25,MATCH($E118,'R9. WEO18 Electricity'!$M$13:$M$25,0),MATCH(L$93,'R9. WEO18 Electricity'!$R$11:$U$11,0))</f>
        <v>6810</v>
      </c>
      <c r="M118" s="34">
        <f>INDEX('R9. WEO18 Electricity'!$R$13:$U$25,MATCH($E118,'R9. WEO18 Electricity'!$M$13:$M$25,0),MATCH(M$93,'R9. WEO18 Electricity'!$R$11:$U$11,0))</f>
        <v>6830</v>
      </c>
      <c r="N118" s="34">
        <f>INDEX('R9. WEO18 Electricity'!$R$13:$U$25,MATCH($E118,'R9. WEO18 Electricity'!$M$13:$M$25,0),MATCH(N$93,'R9. WEO18 Electricity'!$R$11:$U$11,0))</f>
        <v>6255</v>
      </c>
      <c r="O118" s="34">
        <f>INDEX('R9. WEO18 Electricity'!$R$13:$U$25,MATCH($E118,'R9. WEO18 Electricity'!$M$13:$M$25,0),MATCH(O$93,'R9. WEO18 Electricity'!$R$11:$U$11,0))</f>
        <v>5358</v>
      </c>
      <c r="P118" s="31">
        <f t="shared" si="10"/>
        <v>4461</v>
      </c>
      <c r="Q118" s="31">
        <f t="shared" si="10"/>
        <v>3564</v>
      </c>
      <c r="R118" s="31">
        <f t="shared" si="10"/>
        <v>2667</v>
      </c>
      <c r="S118" s="31">
        <f t="shared" si="10"/>
        <v>1770</v>
      </c>
    </row>
    <row r="119" spans="1:19" x14ac:dyDescent="0.3">
      <c r="A119" s="3" t="s">
        <v>502</v>
      </c>
      <c r="B119" s="3" t="s">
        <v>372</v>
      </c>
      <c r="C119" s="3" t="str">
        <f>INDEX('R1. Scenario specifications'!$C$11:$C$59,MATCH($B119,'R1. Scenario specifications'!$A$11:$A$59,0))</f>
        <v>Sustainable Development Scenario, World Energy Outlook 2018</v>
      </c>
      <c r="D119" s="3" t="s">
        <v>257</v>
      </c>
      <c r="E119" s="3" t="s">
        <v>257</v>
      </c>
      <c r="F119" s="3" t="s">
        <v>542</v>
      </c>
      <c r="G119" s="34"/>
      <c r="H119" s="34"/>
      <c r="I119" s="34">
        <f>INDEX('R9. WEO18 Electricity'!$B$13:$K$25,MATCH($E119,'R9. WEO18 Electricity'!$A$13:$A$25,0),MATCH(I$93,'R9. WEO18 Electricity'!$B$11:$K$11,0))</f>
        <v>2605</v>
      </c>
      <c r="J119" s="34">
        <f>INDEX('R9. WEO18 Electricity'!$B$13:$K$25,MATCH($E119,'R9. WEO18 Electricity'!$A$13:$A$25,0),MATCH(CONCATENATE(J$93,"e"),'R9. WEO18 Electricity'!$B$11:$K$11,0))</f>
        <v>2637</v>
      </c>
      <c r="K119" s="31">
        <f t="shared" si="7"/>
        <v>2886.75</v>
      </c>
      <c r="L119" s="34">
        <f>INDEX('R9. WEO18 Electricity'!$R$13:$U$25,MATCH($E119,'R9. WEO18 Electricity'!$M$13:$M$25,0),MATCH(L$93,'R9. WEO18 Electricity'!$R$11:$U$11,0))</f>
        <v>3303</v>
      </c>
      <c r="M119" s="34">
        <f>INDEX('R9. WEO18 Electricity'!$R$13:$U$25,MATCH($E119,'R9. WEO18 Electricity'!$M$13:$M$25,0),MATCH(M$93,'R9. WEO18 Electricity'!$R$11:$U$11,0))</f>
        <v>3888</v>
      </c>
      <c r="N119" s="34">
        <f>INDEX('R9. WEO18 Electricity'!$R$13:$U$25,MATCH($E119,'R9. WEO18 Electricity'!$M$13:$M$25,0),MATCH(N$93,'R9. WEO18 Electricity'!$R$11:$U$11,0))</f>
        <v>4534</v>
      </c>
      <c r="O119" s="34">
        <f>INDEX('R9. WEO18 Electricity'!$R$13:$U$25,MATCH($E119,'R9. WEO18 Electricity'!$M$13:$M$25,0),MATCH(O$93,'R9. WEO18 Electricity'!$R$11:$U$11,0))</f>
        <v>4960</v>
      </c>
      <c r="P119" s="31">
        <f t="shared" si="10"/>
        <v>5386</v>
      </c>
      <c r="Q119" s="31">
        <f t="shared" si="10"/>
        <v>5812</v>
      </c>
      <c r="R119" s="31">
        <f t="shared" si="10"/>
        <v>6238</v>
      </c>
      <c r="S119" s="31">
        <f t="shared" si="10"/>
        <v>6664</v>
      </c>
    </row>
    <row r="120" spans="1:19" x14ac:dyDescent="0.3">
      <c r="A120" s="3" t="s">
        <v>502</v>
      </c>
      <c r="B120" s="3" t="s">
        <v>372</v>
      </c>
      <c r="C120" s="3" t="str">
        <f>INDEX('R1. Scenario specifications'!$C$11:$C$59,MATCH($B120,'R1. Scenario specifications'!$A$11:$A$59,0))</f>
        <v>Sustainable Development Scenario, World Energy Outlook 2018</v>
      </c>
      <c r="D120" s="3" t="s">
        <v>256</v>
      </c>
      <c r="E120" s="3" t="s">
        <v>256</v>
      </c>
      <c r="F120" s="3" t="s">
        <v>542</v>
      </c>
      <c r="G120" s="34"/>
      <c r="H120" s="34"/>
      <c r="I120" s="34">
        <f>INDEX('R9. WEO18 Electricity'!$B$13:$K$25,MATCH($E120,'R9. WEO18 Electricity'!$A$13:$A$25,0),MATCH(I$93,'R9. WEO18 Electricity'!$B$11:$K$11,0))</f>
        <v>4049</v>
      </c>
      <c r="J120" s="34">
        <f>INDEX('R9. WEO18 Electricity'!$B$13:$K$25,MATCH($E120,'R9. WEO18 Electricity'!$A$13:$A$25,0),MATCH(CONCATENATE(J$93,"e"),'R9. WEO18 Electricity'!$B$11:$K$11,0))</f>
        <v>4109</v>
      </c>
      <c r="K120" s="31">
        <f t="shared" si="7"/>
        <v>4447.625</v>
      </c>
      <c r="L120" s="34">
        <f>INDEX('R9. WEO18 Electricity'!$R$13:$U$25,MATCH($E120,'R9. WEO18 Electricity'!$M$13:$M$25,0),MATCH(L$93,'R9. WEO18 Electricity'!$R$11:$U$11,0))</f>
        <v>5012</v>
      </c>
      <c r="M120" s="34">
        <f>INDEX('R9. WEO18 Electricity'!$R$13:$U$25,MATCH($E120,'R9. WEO18 Electricity'!$M$13:$M$25,0),MATCH(M$93,'R9. WEO18 Electricity'!$R$11:$U$11,0))</f>
        <v>5722</v>
      </c>
      <c r="N120" s="34">
        <f>INDEX('R9. WEO18 Electricity'!$R$13:$U$25,MATCH($E120,'R9. WEO18 Electricity'!$M$13:$M$25,0),MATCH(N$93,'R9. WEO18 Electricity'!$R$11:$U$11,0))</f>
        <v>6371</v>
      </c>
      <c r="O120" s="34">
        <f>INDEX('R9. WEO18 Electricity'!$R$13:$U$25,MATCH($E120,'R9. WEO18 Electricity'!$M$13:$M$25,0),MATCH(O$93,'R9. WEO18 Electricity'!$R$11:$U$11,0))</f>
        <v>6990</v>
      </c>
      <c r="P120" s="31">
        <f t="shared" si="10"/>
        <v>7609</v>
      </c>
      <c r="Q120" s="31">
        <f t="shared" si="10"/>
        <v>8228</v>
      </c>
      <c r="R120" s="31">
        <f t="shared" si="10"/>
        <v>8847</v>
      </c>
      <c r="S120" s="31">
        <f t="shared" si="10"/>
        <v>9466</v>
      </c>
    </row>
    <row r="121" spans="1:19" x14ac:dyDescent="0.3">
      <c r="A121" s="3" t="s">
        <v>502</v>
      </c>
      <c r="B121" s="3" t="s">
        <v>372</v>
      </c>
      <c r="C121" s="3" t="str">
        <f>INDEX('R1. Scenario specifications'!$C$11:$C$59,MATCH($B121,'R1. Scenario specifications'!$A$11:$A$59,0))</f>
        <v>Sustainable Development Scenario, World Energy Outlook 2018</v>
      </c>
      <c r="D121" s="3" t="s">
        <v>253</v>
      </c>
      <c r="E121" s="3" t="s">
        <v>503</v>
      </c>
      <c r="F121" s="3" t="s">
        <v>542</v>
      </c>
      <c r="G121" s="34"/>
      <c r="H121" s="34"/>
      <c r="I121" s="34">
        <f>INDEX('R9. WEO18 Electricity'!$B$13:$K$25,MATCH($E121,'R9. WEO18 Electricity'!$A$13:$A$25,0),MATCH(I$93,'R9. WEO18 Electricity'!$B$11:$K$11,0))</f>
        <v>569</v>
      </c>
      <c r="J121" s="34">
        <f>INDEX('R9. WEO18 Electricity'!$B$13:$K$25,MATCH($E121,'R9. WEO18 Electricity'!$A$13:$A$25,0),MATCH(CONCATENATE(J$93,"e"),'R9. WEO18 Electricity'!$B$11:$K$11,0))</f>
        <v>623</v>
      </c>
      <c r="K121" s="31">
        <f t="shared" si="7"/>
        <v>779</v>
      </c>
      <c r="L121" s="34">
        <f>INDEX('R9. WEO18 Electricity'!$R$13:$U$25,MATCH($E121,'R9. WEO18 Electricity'!$M$13:$M$25,0),MATCH(L$93,'R9. WEO18 Electricity'!$R$11:$U$11,0))</f>
        <v>1039</v>
      </c>
      <c r="M121" s="34">
        <f>INDEX('R9. WEO18 Electricity'!$R$13:$U$25,MATCH($E121,'R9. WEO18 Electricity'!$M$13:$M$25,0),MATCH(M$93,'R9. WEO18 Electricity'!$R$11:$U$11,0))</f>
        <v>1325</v>
      </c>
      <c r="N121" s="34">
        <f>INDEX('R9. WEO18 Electricity'!$R$13:$U$25,MATCH($E121,'R9. WEO18 Electricity'!$M$13:$M$25,0),MATCH(N$93,'R9. WEO18 Electricity'!$R$11:$U$11,0))</f>
        <v>1646</v>
      </c>
      <c r="O121" s="34">
        <f>INDEX('R9. WEO18 Electricity'!$R$13:$U$25,MATCH($E121,'R9. WEO18 Electricity'!$M$13:$M$25,0),MATCH(O$93,'R9. WEO18 Electricity'!$R$11:$U$11,0))</f>
        <v>1968</v>
      </c>
      <c r="P121" s="31">
        <f t="shared" si="10"/>
        <v>2290</v>
      </c>
      <c r="Q121" s="31">
        <f t="shared" si="10"/>
        <v>2612</v>
      </c>
      <c r="R121" s="31">
        <f t="shared" si="10"/>
        <v>2934</v>
      </c>
      <c r="S121" s="31">
        <f t="shared" si="10"/>
        <v>3256</v>
      </c>
    </row>
    <row r="122" spans="1:19" x14ac:dyDescent="0.3">
      <c r="A122" s="3" t="s">
        <v>502</v>
      </c>
      <c r="B122" s="3" t="s">
        <v>372</v>
      </c>
      <c r="C122" s="3" t="str">
        <f>INDEX('R1. Scenario specifications'!$C$11:$C$59,MATCH($B122,'R1. Scenario specifications'!$A$11:$A$59,0))</f>
        <v>Sustainable Development Scenario, World Energy Outlook 2018</v>
      </c>
      <c r="D122" s="3" t="s">
        <v>260</v>
      </c>
      <c r="E122" s="3" t="s">
        <v>260</v>
      </c>
      <c r="F122" s="3" t="s">
        <v>542</v>
      </c>
      <c r="G122" s="34"/>
      <c r="H122" s="34"/>
      <c r="I122" s="34">
        <f>INDEX('R9. WEO18 Electricity'!$B$13:$K$25,MATCH($E122,'R9. WEO18 Electricity'!$A$13:$A$25,0),MATCH(I$93,'R9. WEO18 Electricity'!$B$11:$K$11,0))</f>
        <v>957</v>
      </c>
      <c r="J122" s="34">
        <f>INDEX('R9. WEO18 Electricity'!$B$13:$K$25,MATCH($E122,'R9. WEO18 Electricity'!$A$13:$A$25,0),MATCH(CONCATENATE(J$93,"e"),'R9. WEO18 Electricity'!$B$11:$K$11,0))</f>
        <v>1085</v>
      </c>
      <c r="K122" s="31">
        <f t="shared" si="7"/>
        <v>1693.25</v>
      </c>
      <c r="L122" s="34">
        <f>INDEX('R9. WEO18 Electricity'!$R$13:$U$25,MATCH($E122,'R9. WEO18 Electricity'!$M$13:$M$25,0),MATCH(L$93,'R9. WEO18 Electricity'!$R$11:$U$11,0))</f>
        <v>2707</v>
      </c>
      <c r="M122" s="34">
        <f>INDEX('R9. WEO18 Electricity'!$R$13:$U$25,MATCH($E122,'R9. WEO18 Electricity'!$M$13:$M$25,0),MATCH(M$93,'R9. WEO18 Electricity'!$R$11:$U$11,0))</f>
        <v>4355</v>
      </c>
      <c r="N122" s="34">
        <f>INDEX('R9. WEO18 Electricity'!$R$13:$U$25,MATCH($E122,'R9. WEO18 Electricity'!$M$13:$M$25,0),MATCH(N$93,'R9. WEO18 Electricity'!$R$11:$U$11,0))</f>
        <v>6113</v>
      </c>
      <c r="O122" s="34">
        <f>INDEX('R9. WEO18 Electricity'!$R$13:$U$25,MATCH($E122,'R9. WEO18 Electricity'!$M$13:$M$25,0),MATCH(O$93,'R9. WEO18 Electricity'!$R$11:$U$11,0))</f>
        <v>7730</v>
      </c>
      <c r="P122" s="31">
        <f t="shared" si="10"/>
        <v>9347</v>
      </c>
      <c r="Q122" s="31">
        <f t="shared" si="10"/>
        <v>10964</v>
      </c>
      <c r="R122" s="31">
        <f t="shared" si="10"/>
        <v>12581</v>
      </c>
      <c r="S122" s="31">
        <f t="shared" si="10"/>
        <v>14198</v>
      </c>
    </row>
    <row r="123" spans="1:19" x14ac:dyDescent="0.3">
      <c r="A123" s="3" t="s">
        <v>502</v>
      </c>
      <c r="B123" s="3" t="s">
        <v>372</v>
      </c>
      <c r="C123" s="3" t="str">
        <f>INDEX('R1. Scenario specifications'!$C$11:$C$59,MATCH($B123,'R1. Scenario specifications'!$A$11:$A$59,0))</f>
        <v>Sustainable Development Scenario, World Energy Outlook 2018</v>
      </c>
      <c r="D123" s="3" t="s">
        <v>258</v>
      </c>
      <c r="E123" s="3" t="s">
        <v>506</v>
      </c>
      <c r="F123" s="3" t="s">
        <v>542</v>
      </c>
      <c r="G123" s="34"/>
      <c r="H123" s="34"/>
      <c r="I123" s="34">
        <f>INDEX('R9. WEO18 Electricity'!$B$13:$K$25,MATCH($E123,'R9. WEO18 Electricity'!$A$13:$A$25,0),MATCH(I$93,'R9. WEO18 Electricity'!$B$11:$K$11,0))</f>
        <v>82</v>
      </c>
      <c r="J123" s="34">
        <f>INDEX('R9. WEO18 Electricity'!$B$13:$K$25,MATCH($E123,'R9. WEO18 Electricity'!$A$13:$A$25,0),MATCH(CONCATENATE(J$93,"e"),'R9. WEO18 Electricity'!$B$11:$K$11,0))</f>
        <v>87</v>
      </c>
      <c r="K123" s="31">
        <f t="shared" si="7"/>
        <v>115.125</v>
      </c>
      <c r="L123" s="34">
        <f>INDEX('R9. WEO18 Electricity'!$R$13:$U$25,MATCH($E123,'R9. WEO18 Electricity'!$M$13:$M$25,0),MATCH(L$93,'R9. WEO18 Electricity'!$R$11:$U$11,0))</f>
        <v>162</v>
      </c>
      <c r="M123" s="34">
        <f>INDEX('R9. WEO18 Electricity'!$R$13:$U$25,MATCH($E123,'R9. WEO18 Electricity'!$M$13:$M$25,0),MATCH(M$93,'R9. WEO18 Electricity'!$R$11:$U$11,0))</f>
        <v>282</v>
      </c>
      <c r="N123" s="34">
        <f>INDEX('R9. WEO18 Electricity'!$R$13:$U$25,MATCH($E123,'R9. WEO18 Electricity'!$M$13:$M$25,0),MATCH(N$93,'R9. WEO18 Electricity'!$R$11:$U$11,0))</f>
        <v>420</v>
      </c>
      <c r="O123" s="34">
        <f>INDEX('R9. WEO18 Electricity'!$R$13:$U$25,MATCH($E123,'R9. WEO18 Electricity'!$M$13:$M$25,0),MATCH(O$93,'R9. WEO18 Electricity'!$R$11:$U$11,0))</f>
        <v>555</v>
      </c>
      <c r="P123" s="31">
        <f t="shared" si="10"/>
        <v>690</v>
      </c>
      <c r="Q123" s="31">
        <f t="shared" si="10"/>
        <v>825</v>
      </c>
      <c r="R123" s="31">
        <f t="shared" si="10"/>
        <v>960</v>
      </c>
      <c r="S123" s="31">
        <f t="shared" si="10"/>
        <v>1095</v>
      </c>
    </row>
    <row r="124" spans="1:19" x14ac:dyDescent="0.3">
      <c r="A124" s="3" t="s">
        <v>502</v>
      </c>
      <c r="B124" s="3" t="s">
        <v>372</v>
      </c>
      <c r="C124" s="3" t="str">
        <f>INDEX('R1. Scenario specifications'!$C$11:$C$59,MATCH($B124,'R1. Scenario specifications'!$A$11:$A$59,0))</f>
        <v>Sustainable Development Scenario, World Energy Outlook 2018</v>
      </c>
      <c r="D124" s="3" t="s">
        <v>259</v>
      </c>
      <c r="E124" s="3" t="s">
        <v>504</v>
      </c>
      <c r="F124" s="3" t="s">
        <v>542</v>
      </c>
      <c r="G124" s="34"/>
      <c r="H124" s="34"/>
      <c r="I124" s="34">
        <f>INDEX('R9. WEO18 Electricity'!$B$13:$K$25,MATCH($E124,'R9. WEO18 Electricity'!$A$13:$A$25,0),MATCH(I$93,'R9. WEO18 Electricity'!$B$11:$K$11,0))</f>
        <v>328</v>
      </c>
      <c r="J124" s="34">
        <f>INDEX('R9. WEO18 Electricity'!$B$13:$K$25,MATCH($E124,'R9. WEO18 Electricity'!$A$13:$A$25,0),MATCH(CONCATENATE(J$93,"e"),'R9. WEO18 Electricity'!$B$11:$K$11,0))</f>
        <v>435</v>
      </c>
      <c r="K124" s="31">
        <f t="shared" si="7"/>
        <v>999.375</v>
      </c>
      <c r="L124" s="34">
        <f>INDEX('R9. WEO18 Electricity'!$R$13:$U$25,MATCH($E124,'R9. WEO18 Electricity'!$M$13:$M$25,0),MATCH(L$93,'R9. WEO18 Electricity'!$R$11:$U$11,0))</f>
        <v>1940</v>
      </c>
      <c r="M124" s="34">
        <f>INDEX('R9. WEO18 Electricity'!$R$13:$U$25,MATCH($E124,'R9. WEO18 Electricity'!$M$13:$M$25,0),MATCH(M$93,'R9. WEO18 Electricity'!$R$11:$U$11,0))</f>
        <v>3268</v>
      </c>
      <c r="N124" s="34">
        <f>INDEX('R9. WEO18 Electricity'!$R$13:$U$25,MATCH($E124,'R9. WEO18 Electricity'!$M$13:$M$25,0),MATCH(N$93,'R9. WEO18 Electricity'!$R$11:$U$11,0))</f>
        <v>4806</v>
      </c>
      <c r="O124" s="34">
        <f>INDEX('R9. WEO18 Electricity'!$R$13:$U$25,MATCH($E124,'R9. WEO18 Electricity'!$M$13:$M$25,0),MATCH(O$93,'R9. WEO18 Electricity'!$R$11:$U$11,0))</f>
        <v>6409</v>
      </c>
      <c r="P124" s="31">
        <f t="shared" si="10"/>
        <v>8012</v>
      </c>
      <c r="Q124" s="31">
        <f t="shared" si="10"/>
        <v>9615</v>
      </c>
      <c r="R124" s="31">
        <f t="shared" si="10"/>
        <v>11218</v>
      </c>
      <c r="S124" s="31">
        <f t="shared" si="10"/>
        <v>12821</v>
      </c>
    </row>
    <row r="125" spans="1:19" x14ac:dyDescent="0.3">
      <c r="A125" s="3" t="s">
        <v>502</v>
      </c>
      <c r="B125" s="3" t="s">
        <v>372</v>
      </c>
      <c r="C125" s="3" t="str">
        <f>INDEX('R1. Scenario specifications'!$C$11:$C$59,MATCH($B125,'R1. Scenario specifications'!$A$11:$A$59,0))</f>
        <v>Sustainable Development Scenario, World Energy Outlook 2018</v>
      </c>
      <c r="D125" s="3" t="s">
        <v>259</v>
      </c>
      <c r="E125" s="3" t="s">
        <v>505</v>
      </c>
      <c r="F125" s="3" t="s">
        <v>542</v>
      </c>
      <c r="G125" s="34"/>
      <c r="H125" s="34"/>
      <c r="I125" s="34">
        <f>INDEX('R9. WEO18 Electricity'!$B$13:$K$25,MATCH($E125,'R9. WEO18 Electricity'!$A$13:$A$25,0),MATCH(I$93,'R9. WEO18 Electricity'!$B$11:$K$11,0))</f>
        <v>10</v>
      </c>
      <c r="J125" s="34">
        <f>INDEX('R9. WEO18 Electricity'!$B$13:$K$25,MATCH($E125,'R9. WEO18 Electricity'!$A$13:$A$25,0),MATCH(CONCATENATE(J$93,"e"),'R9. WEO18 Electricity'!$B$11:$K$11,0))</f>
        <v>11</v>
      </c>
      <c r="K125" s="31">
        <f t="shared" si="7"/>
        <v>27.125</v>
      </c>
      <c r="L125" s="34">
        <f>INDEX('R9. WEO18 Electricity'!$R$13:$U$25,MATCH($E125,'R9. WEO18 Electricity'!$M$13:$M$25,0),MATCH(L$93,'R9. WEO18 Electricity'!$R$11:$U$11,0))</f>
        <v>54</v>
      </c>
      <c r="M125" s="34">
        <f>INDEX('R9. WEO18 Electricity'!$R$13:$U$25,MATCH($E125,'R9. WEO18 Electricity'!$M$13:$M$25,0),MATCH(M$93,'R9. WEO18 Electricity'!$R$11:$U$11,0))</f>
        <v>184</v>
      </c>
      <c r="N125" s="34">
        <f>INDEX('R9. WEO18 Electricity'!$R$13:$U$25,MATCH($E125,'R9. WEO18 Electricity'!$M$13:$M$25,0),MATCH(N$93,'R9. WEO18 Electricity'!$R$11:$U$11,0))</f>
        <v>462</v>
      </c>
      <c r="O125" s="34">
        <f>INDEX('R9. WEO18 Electricity'!$R$13:$U$25,MATCH($E125,'R9. WEO18 Electricity'!$M$13:$M$25,0),MATCH(O$93,'R9. WEO18 Electricity'!$R$11:$U$11,0))</f>
        <v>855</v>
      </c>
      <c r="P125" s="31">
        <f t="shared" si="10"/>
        <v>1248</v>
      </c>
      <c r="Q125" s="31">
        <f t="shared" si="10"/>
        <v>1641</v>
      </c>
      <c r="R125" s="31">
        <f t="shared" si="10"/>
        <v>2034</v>
      </c>
      <c r="S125" s="31">
        <f t="shared" si="10"/>
        <v>2427</v>
      </c>
    </row>
    <row r="126" spans="1:19" x14ac:dyDescent="0.3">
      <c r="A126" s="3" t="s">
        <v>502</v>
      </c>
      <c r="B126" s="3" t="s">
        <v>372</v>
      </c>
      <c r="C126" s="3" t="str">
        <f>INDEX('R1. Scenario specifications'!$C$11:$C$59,MATCH($B126,'R1. Scenario specifications'!$A$11:$A$59,0))</f>
        <v>Sustainable Development Scenario, World Energy Outlook 2018</v>
      </c>
      <c r="D126" s="3" t="s">
        <v>258</v>
      </c>
      <c r="E126" s="39" t="s">
        <v>507</v>
      </c>
      <c r="F126" s="39" t="s">
        <v>542</v>
      </c>
      <c r="G126" s="52"/>
      <c r="H126" s="52"/>
      <c r="I126" s="52">
        <f>INDEX('R9. WEO18 Electricity'!$B$13:$K$25,MATCH($E126,'R9. WEO18 Electricity'!$A$13:$A$25,0),MATCH(I$93,'R9. WEO18 Electricity'!$B$11:$K$11,0))</f>
        <v>1</v>
      </c>
      <c r="J126" s="52">
        <f>INDEX('R9. WEO18 Electricity'!$B$13:$K$25,MATCH($E126,'R9. WEO18 Electricity'!$A$13:$A$25,0),MATCH(CONCATENATE(J$93,"e"),'R9. WEO18 Electricity'!$B$11:$K$11,0))</f>
        <v>1</v>
      </c>
      <c r="K126" s="40">
        <f t="shared" si="7"/>
        <v>2.125</v>
      </c>
      <c r="L126" s="52">
        <f>INDEX('R9. WEO18 Electricity'!$R$13:$U$25,MATCH($E126,'R9. WEO18 Electricity'!$M$13:$M$25,0),MATCH(L$93,'R9. WEO18 Electricity'!$R$11:$U$11,0))</f>
        <v>4</v>
      </c>
      <c r="M126" s="52">
        <f>INDEX('R9. WEO18 Electricity'!$R$13:$U$25,MATCH($E126,'R9. WEO18 Electricity'!$M$13:$M$25,0),MATCH(M$93,'R9. WEO18 Electricity'!$R$11:$U$11,0))</f>
        <v>15</v>
      </c>
      <c r="N126" s="52">
        <f>INDEX('R9. WEO18 Electricity'!$R$13:$U$25,MATCH($E126,'R9. WEO18 Electricity'!$M$13:$M$25,0),MATCH(N$93,'R9. WEO18 Electricity'!$R$11:$U$11,0))</f>
        <v>38</v>
      </c>
      <c r="O126" s="52">
        <f>INDEX('R9. WEO18 Electricity'!$R$13:$U$25,MATCH($E126,'R9. WEO18 Electricity'!$M$13:$M$25,0),MATCH(O$93,'R9. WEO18 Electricity'!$R$11:$U$11,0))</f>
        <v>78</v>
      </c>
      <c r="P126" s="40">
        <f t="shared" si="10"/>
        <v>118</v>
      </c>
      <c r="Q126" s="40">
        <f t="shared" si="10"/>
        <v>158</v>
      </c>
      <c r="R126" s="40">
        <f t="shared" si="10"/>
        <v>198</v>
      </c>
      <c r="S126" s="40">
        <f t="shared" si="10"/>
        <v>238</v>
      </c>
    </row>
    <row r="127" spans="1:19" x14ac:dyDescent="0.3">
      <c r="A127" s="32" t="s">
        <v>508</v>
      </c>
      <c r="B127" s="32" t="s">
        <v>378</v>
      </c>
      <c r="C127" s="32" t="str">
        <f>INDEX('R1. Scenario specifications'!$C$11:$C$59,MATCH($B127,'R1. Scenario specifications'!$A$11:$A$59,0))</f>
        <v>Current Policies Scenario, World Energy Outlook 2016</v>
      </c>
      <c r="D127" s="32" t="s">
        <v>254</v>
      </c>
      <c r="E127" s="3" t="s">
        <v>254</v>
      </c>
      <c r="F127" s="3" t="s">
        <v>542</v>
      </c>
      <c r="G127" s="34">
        <f>INDEX('R10. WEO16 Electricity'!$B$13:$K$24,MATCH($E127,'R10. WEO16 Electricity'!$A$13:$A$24,0),MATCH(G$93,'R10. WEO16 Electricity'!$B$11:$K$11,0))</f>
        <v>9707.2849999999999</v>
      </c>
      <c r="H127" s="34"/>
      <c r="I127" s="34"/>
      <c r="J127" s="34"/>
      <c r="K127" s="34">
        <f>INDEX('R10. WEO16 Electricity'!$N$13:$P$24,MATCH($E127,'R10. WEO16 Electricity'!$M$13:$M$24,0),MATCH(K$93,'R10. WEO16 Electricity'!$N$11:$P$11,0))</f>
        <v>10275.141299999999</v>
      </c>
      <c r="L127" s="34"/>
      <c r="M127" s="34">
        <f>INDEX('R10. WEO16 Electricity'!$N$13:$P$24,MATCH($E127,'R10. WEO16 Electricity'!$M$13:$M$24,0),MATCH(M$93,'R10. WEO16 Electricity'!$N$11:$P$11,0))</f>
        <v>12770.278</v>
      </c>
      <c r="N127" s="34"/>
      <c r="O127" s="34">
        <f>INDEX('R10. WEO16 Electricity'!$N$13:$P$24,MATCH($E127,'R10. WEO16 Electricity'!$M$13:$M$24,0),MATCH(O$93,'R10. WEO16 Electricity'!$N$11:$P$11,0))</f>
        <v>15304.7114</v>
      </c>
      <c r="P127" s="31">
        <f>IF($O127+(P$93-$O$93)*($O127-$M127)/($O$93-$M$93)&lt;0,0,$O127+(P$93-$O$93)*($O127-$M127)/($O$93-$M$93))</f>
        <v>16571.928100000001</v>
      </c>
      <c r="Q127" s="31">
        <f t="shared" ref="Q127:S137" si="11">IF($O127+(Q$93-$O$93)*($O127-$M127)/($O$93-$M$93)&lt;0,0,$O127+(Q$93-$O$93)*($O127-$M127)/($O$93-$M$93))</f>
        <v>17839.144800000002</v>
      </c>
      <c r="R127" s="31">
        <f t="shared" si="11"/>
        <v>19106.361499999999</v>
      </c>
      <c r="S127" s="31">
        <f t="shared" si="11"/>
        <v>20373.5782</v>
      </c>
    </row>
    <row r="128" spans="1:19" x14ac:dyDescent="0.3">
      <c r="A128" s="3" t="s">
        <v>508</v>
      </c>
      <c r="B128" s="3" t="s">
        <v>378</v>
      </c>
      <c r="C128" s="3" t="str">
        <f>INDEX('R1. Scenario specifications'!$C$11:$C$59,MATCH($B128,'R1. Scenario specifications'!$A$11:$A$59,0))</f>
        <v>Current Policies Scenario, World Energy Outlook 2016</v>
      </c>
      <c r="D128" s="3" t="s">
        <v>266</v>
      </c>
      <c r="E128" s="3" t="s">
        <v>266</v>
      </c>
      <c r="F128" s="3" t="s">
        <v>542</v>
      </c>
      <c r="G128" s="34">
        <f>INDEX('R10. WEO16 Electricity'!$B$13:$K$24,MATCH($E128,'R10. WEO16 Electricity'!$A$13:$A$24,0),MATCH(G$93,'R10. WEO16 Electricity'!$B$11:$K$11,0))</f>
        <v>1034.6668999999999</v>
      </c>
      <c r="H128" s="34"/>
      <c r="I128" s="34"/>
      <c r="J128" s="34"/>
      <c r="K128" s="34">
        <f>INDEX('R10. WEO16 Electricity'!$N$13:$P$24,MATCH($E128,'R10. WEO16 Electricity'!$M$13:$M$24,0),MATCH(K$93,'R10. WEO16 Electricity'!$N$11:$P$11,0))</f>
        <v>834.5729</v>
      </c>
      <c r="L128" s="34"/>
      <c r="M128" s="34">
        <f>INDEX('R10. WEO16 Electricity'!$N$13:$P$24,MATCH($E128,'R10. WEO16 Electricity'!$M$13:$M$24,0),MATCH(M$93,'R10. WEO16 Electricity'!$N$11:$P$11,0))</f>
        <v>660.95690000000002</v>
      </c>
      <c r="N128" s="34"/>
      <c r="O128" s="34">
        <f>INDEX('R10. WEO16 Electricity'!$N$13:$P$24,MATCH($E128,'R10. WEO16 Electricity'!$M$13:$M$24,0),MATCH(O$93,'R10. WEO16 Electricity'!$N$11:$P$11,0))</f>
        <v>580.31730000000005</v>
      </c>
      <c r="P128" s="31">
        <f t="shared" ref="P128:P137" si="12">IF($O128+(P$93-$O$93)*($O128-$M128)/($O$93-$M$93)&lt;0,0,$O128+(P$93-$O$93)*($O128-$M128)/($O$93-$M$93))</f>
        <v>539.99750000000006</v>
      </c>
      <c r="Q128" s="31">
        <f t="shared" si="11"/>
        <v>499.67770000000007</v>
      </c>
      <c r="R128" s="31">
        <f t="shared" si="11"/>
        <v>459.35790000000009</v>
      </c>
      <c r="S128" s="31">
        <f t="shared" si="11"/>
        <v>419.0381000000001</v>
      </c>
    </row>
    <row r="129" spans="1:19" x14ac:dyDescent="0.3">
      <c r="A129" s="3" t="s">
        <v>508</v>
      </c>
      <c r="B129" s="3" t="s">
        <v>378</v>
      </c>
      <c r="C129" s="3" t="str">
        <f>INDEX('R1. Scenario specifications'!$C$11:$C$59,MATCH($B129,'R1. Scenario specifications'!$A$11:$A$59,0))</f>
        <v>Current Policies Scenario, World Energy Outlook 2016</v>
      </c>
      <c r="D129" s="3" t="s">
        <v>255</v>
      </c>
      <c r="E129" s="3" t="s">
        <v>255</v>
      </c>
      <c r="F129" s="3" t="s">
        <v>542</v>
      </c>
      <c r="G129" s="34">
        <f>INDEX('R10. WEO16 Electricity'!$B$13:$K$24,MATCH($E129,'R10. WEO16 Electricity'!$A$13:$A$24,0),MATCH(G$93,'R10. WEO16 Electricity'!$B$11:$K$11,0))</f>
        <v>5148.4318999999996</v>
      </c>
      <c r="H129" s="34"/>
      <c r="I129" s="34"/>
      <c r="J129" s="34"/>
      <c r="K129" s="34">
        <f>INDEX('R10. WEO16 Electricity'!$N$13:$P$24,MATCH($E129,'R10. WEO16 Electricity'!$M$13:$M$24,0),MATCH(K$93,'R10. WEO16 Electricity'!$N$11:$P$11,0))</f>
        <v>6013.5405000000001</v>
      </c>
      <c r="L129" s="34"/>
      <c r="M129" s="34">
        <f>INDEX('R10. WEO16 Electricity'!$N$13:$P$24,MATCH($E129,'R10. WEO16 Electricity'!$M$13:$M$24,0),MATCH(M$93,'R10. WEO16 Electricity'!$N$11:$P$11,0))</f>
        <v>8092.7253000000001</v>
      </c>
      <c r="N129" s="34"/>
      <c r="O129" s="34">
        <f>INDEX('R10. WEO16 Electricity'!$N$13:$P$24,MATCH($E129,'R10. WEO16 Electricity'!$M$13:$M$24,0),MATCH(O$93,'R10. WEO16 Electricity'!$N$11:$P$11,0))</f>
        <v>10361.229300000001</v>
      </c>
      <c r="P129" s="31">
        <f t="shared" si="12"/>
        <v>11495.481300000001</v>
      </c>
      <c r="Q129" s="31">
        <f t="shared" si="11"/>
        <v>12629.733300000002</v>
      </c>
      <c r="R129" s="31">
        <f t="shared" si="11"/>
        <v>13763.985300000002</v>
      </c>
      <c r="S129" s="31">
        <f t="shared" si="11"/>
        <v>14898.237300000003</v>
      </c>
    </row>
    <row r="130" spans="1:19" x14ac:dyDescent="0.3">
      <c r="A130" s="3" t="s">
        <v>508</v>
      </c>
      <c r="B130" s="3" t="s">
        <v>378</v>
      </c>
      <c r="C130" s="3" t="str">
        <f>INDEX('R1. Scenario specifications'!$C$11:$C$59,MATCH($B130,'R1. Scenario specifications'!$A$11:$A$59,0))</f>
        <v>Current Policies Scenario, World Energy Outlook 2016</v>
      </c>
      <c r="D130" s="3" t="s">
        <v>257</v>
      </c>
      <c r="E130" s="3" t="s">
        <v>257</v>
      </c>
      <c r="F130" s="3" t="s">
        <v>542</v>
      </c>
      <c r="G130" s="34">
        <f>INDEX('R10. WEO16 Electricity'!$B$13:$K$24,MATCH($E130,'R10. WEO16 Electricity'!$A$13:$A$24,0),MATCH(G$93,'R10. WEO16 Electricity'!$B$11:$K$11,0))</f>
        <v>2535.326</v>
      </c>
      <c r="H130" s="34"/>
      <c r="I130" s="34"/>
      <c r="J130" s="34"/>
      <c r="K130" s="34">
        <f>INDEX('R10. WEO16 Electricity'!$N$13:$P$24,MATCH($E130,'R10. WEO16 Electricity'!$M$13:$M$24,0),MATCH(K$93,'R10. WEO16 Electricity'!$N$11:$P$11,0))</f>
        <v>3040.9061000000002</v>
      </c>
      <c r="L130" s="34"/>
      <c r="M130" s="34">
        <f>INDEX('R10. WEO16 Electricity'!$N$13:$P$24,MATCH($E130,'R10. WEO16 Electricity'!$M$13:$M$24,0),MATCH(M$93,'R10. WEO16 Electricity'!$N$11:$P$11,0))</f>
        <v>3590.3856000000001</v>
      </c>
      <c r="N130" s="34"/>
      <c r="O130" s="34">
        <f>INDEX('R10. WEO16 Electricity'!$N$13:$P$24,MATCH($E130,'R10. WEO16 Electricity'!$M$13:$M$24,0),MATCH(O$93,'R10. WEO16 Electricity'!$N$11:$P$11,0))</f>
        <v>3960.4515999999999</v>
      </c>
      <c r="P130" s="31">
        <f t="shared" si="12"/>
        <v>4145.4845999999998</v>
      </c>
      <c r="Q130" s="31">
        <f t="shared" si="11"/>
        <v>4330.5175999999992</v>
      </c>
      <c r="R130" s="31">
        <f t="shared" si="11"/>
        <v>4515.5505999999996</v>
      </c>
      <c r="S130" s="31">
        <f t="shared" si="11"/>
        <v>4700.5835999999999</v>
      </c>
    </row>
    <row r="131" spans="1:19" x14ac:dyDescent="0.3">
      <c r="A131" s="3" t="s">
        <v>508</v>
      </c>
      <c r="B131" s="3" t="s">
        <v>378</v>
      </c>
      <c r="C131" s="3" t="str">
        <f>INDEX('R1. Scenario specifications'!$C$11:$C$59,MATCH($B131,'R1. Scenario specifications'!$A$11:$A$59,0))</f>
        <v>Current Policies Scenario, World Energy Outlook 2016</v>
      </c>
      <c r="D131" s="3" t="s">
        <v>256</v>
      </c>
      <c r="E131" s="3" t="s">
        <v>256</v>
      </c>
      <c r="F131" s="3" t="s">
        <v>542</v>
      </c>
      <c r="G131" s="34">
        <f>INDEX('R10. WEO16 Electricity'!$B$13:$K$24,MATCH($E131,'R10. WEO16 Electricity'!$A$13:$A$24,0),MATCH(G$93,'R10. WEO16 Electricity'!$B$11:$K$11,0))</f>
        <v>3893.634</v>
      </c>
      <c r="H131" s="34"/>
      <c r="I131" s="34"/>
      <c r="J131" s="34"/>
      <c r="K131" s="34">
        <f>INDEX('R10. WEO16 Electricity'!$N$13:$P$24,MATCH($E131,'R10. WEO16 Electricity'!$M$13:$M$24,0),MATCH(K$93,'R10. WEO16 Electricity'!$N$11:$P$11,0))</f>
        <v>4362.9211999999998</v>
      </c>
      <c r="L131" s="34"/>
      <c r="M131" s="34">
        <f>INDEX('R10. WEO16 Electricity'!$N$13:$P$24,MATCH($E131,'R10. WEO16 Electricity'!$M$13:$M$24,0),MATCH(M$93,'R10. WEO16 Electricity'!$N$11:$P$11,0))</f>
        <v>5231.6869999999999</v>
      </c>
      <c r="N131" s="34"/>
      <c r="O131" s="34">
        <f>INDEX('R10. WEO16 Electricity'!$N$13:$P$24,MATCH($E131,'R10. WEO16 Electricity'!$M$13:$M$24,0),MATCH(O$93,'R10. WEO16 Electricity'!$N$11:$P$11,0))</f>
        <v>5984.2550000000001</v>
      </c>
      <c r="P131" s="31">
        <f t="shared" si="12"/>
        <v>6360.5390000000007</v>
      </c>
      <c r="Q131" s="31">
        <f t="shared" si="11"/>
        <v>6736.8230000000003</v>
      </c>
      <c r="R131" s="31">
        <f t="shared" si="11"/>
        <v>7113.107</v>
      </c>
      <c r="S131" s="31">
        <f t="shared" si="11"/>
        <v>7489.3910000000005</v>
      </c>
    </row>
    <row r="132" spans="1:19" x14ac:dyDescent="0.3">
      <c r="A132" s="3" t="s">
        <v>508</v>
      </c>
      <c r="B132" s="3" t="s">
        <v>378</v>
      </c>
      <c r="C132" s="3" t="str">
        <f>INDEX('R1. Scenario specifications'!$C$11:$C$59,MATCH($B132,'R1. Scenario specifications'!$A$11:$A$59,0))</f>
        <v>Current Policies Scenario, World Energy Outlook 2016</v>
      </c>
      <c r="D132" s="3" t="s">
        <v>253</v>
      </c>
      <c r="E132" s="3" t="s">
        <v>503</v>
      </c>
      <c r="F132" s="3" t="s">
        <v>542</v>
      </c>
      <c r="G132" s="34">
        <f>INDEX('R10. WEO16 Electricity'!$B$13:$K$24,MATCH($E132,'R10. WEO16 Electricity'!$A$13:$A$24,0),MATCH(G$93,'R10. WEO16 Electricity'!$B$11:$K$11,0))</f>
        <v>494.91829999999999</v>
      </c>
      <c r="H132" s="34"/>
      <c r="I132" s="34"/>
      <c r="J132" s="34"/>
      <c r="K132" s="34">
        <f>INDEX('R10. WEO16 Electricity'!$N$13:$P$24,MATCH($E132,'R10. WEO16 Electricity'!$M$13:$M$24,0),MATCH(K$93,'R10. WEO16 Electricity'!$N$11:$P$11,0))</f>
        <v>634.90020000000004</v>
      </c>
      <c r="L132" s="34"/>
      <c r="M132" s="34">
        <f>INDEX('R10. WEO16 Electricity'!$N$13:$P$24,MATCH($E132,'R10. WEO16 Electricity'!$M$13:$M$24,0),MATCH(M$93,'R10. WEO16 Electricity'!$N$11:$P$11,0))</f>
        <v>877.76850000000002</v>
      </c>
      <c r="N132" s="34"/>
      <c r="O132" s="34">
        <f>INDEX('R10. WEO16 Electricity'!$N$13:$P$24,MATCH($E132,'R10. WEO16 Electricity'!$M$13:$M$24,0),MATCH(O$93,'R10. WEO16 Electricity'!$N$11:$P$11,0))</f>
        <v>1150.6222</v>
      </c>
      <c r="P132" s="31">
        <f t="shared" si="12"/>
        <v>1287.0490500000001</v>
      </c>
      <c r="Q132" s="31">
        <f t="shared" si="11"/>
        <v>1423.4758999999999</v>
      </c>
      <c r="R132" s="31">
        <f t="shared" si="11"/>
        <v>1559.90275</v>
      </c>
      <c r="S132" s="31">
        <f t="shared" si="11"/>
        <v>1696.3296</v>
      </c>
    </row>
    <row r="133" spans="1:19" x14ac:dyDescent="0.3">
      <c r="A133" s="3" t="s">
        <v>508</v>
      </c>
      <c r="B133" s="3" t="s">
        <v>378</v>
      </c>
      <c r="C133" s="3" t="str">
        <f>INDEX('R1. Scenario specifications'!$C$11:$C$59,MATCH($B133,'R1. Scenario specifications'!$A$11:$A$59,0))</f>
        <v>Current Policies Scenario, World Energy Outlook 2016</v>
      </c>
      <c r="D133" s="3" t="s">
        <v>260</v>
      </c>
      <c r="E133" s="3" t="s">
        <v>260</v>
      </c>
      <c r="F133" s="3" t="s">
        <v>542</v>
      </c>
      <c r="G133" s="34">
        <f>INDEX('R10. WEO16 Electricity'!$B$13:$K$24,MATCH($E133,'R10. WEO16 Electricity'!$A$13:$A$24,0),MATCH(G$93,'R10. WEO16 Electricity'!$B$11:$K$11,0))</f>
        <v>717.29300000000001</v>
      </c>
      <c r="H133" s="34"/>
      <c r="I133" s="34"/>
      <c r="J133" s="34"/>
      <c r="K133" s="34">
        <f>INDEX('R10. WEO16 Electricity'!$N$13:$P$24,MATCH($E133,'R10. WEO16 Electricity'!$M$13:$M$24,0),MATCH(K$93,'R10. WEO16 Electricity'!$N$11:$P$11,0))</f>
        <v>1411.1179</v>
      </c>
      <c r="L133" s="34"/>
      <c r="M133" s="34">
        <f>INDEX('R10. WEO16 Electricity'!$N$13:$P$24,MATCH($E133,'R10. WEO16 Electricity'!$M$13:$M$24,0),MATCH(M$93,'R10. WEO16 Electricity'!$N$11:$P$11,0))</f>
        <v>2275.7745</v>
      </c>
      <c r="N133" s="34"/>
      <c r="O133" s="34">
        <f>INDEX('R10. WEO16 Electricity'!$N$13:$P$24,MATCH($E133,'R10. WEO16 Electricity'!$M$13:$M$24,0),MATCH(O$93,'R10. WEO16 Electricity'!$N$11:$P$11,0))</f>
        <v>3132.2350000000001</v>
      </c>
      <c r="P133" s="31">
        <f t="shared" si="12"/>
        <v>3560.4652500000002</v>
      </c>
      <c r="Q133" s="31">
        <f t="shared" si="11"/>
        <v>3988.6955000000003</v>
      </c>
      <c r="R133" s="31">
        <f t="shared" si="11"/>
        <v>4416.9257500000003</v>
      </c>
      <c r="S133" s="31">
        <f t="shared" si="11"/>
        <v>4845.1560000000009</v>
      </c>
    </row>
    <row r="134" spans="1:19" x14ac:dyDescent="0.3">
      <c r="A134" s="3" t="s">
        <v>508</v>
      </c>
      <c r="B134" s="3" t="s">
        <v>378</v>
      </c>
      <c r="C134" s="3" t="str">
        <f>INDEX('R1. Scenario specifications'!$C$11:$C$59,MATCH($B134,'R1. Scenario specifications'!$A$11:$A$59,0))</f>
        <v>Current Policies Scenario, World Energy Outlook 2016</v>
      </c>
      <c r="D134" s="3" t="s">
        <v>258</v>
      </c>
      <c r="E134" s="3" t="s">
        <v>506</v>
      </c>
      <c r="F134" s="3" t="s">
        <v>542</v>
      </c>
      <c r="G134" s="34">
        <f>INDEX('R10. WEO16 Electricity'!$B$13:$K$24,MATCH($E134,'R10. WEO16 Electricity'!$A$13:$A$24,0),MATCH(G$93,'R10. WEO16 Electricity'!$B$11:$K$11,0))</f>
        <v>77.376999999999995</v>
      </c>
      <c r="H134" s="34"/>
      <c r="I134" s="34"/>
      <c r="J134" s="34"/>
      <c r="K134" s="34">
        <f>INDEX('R10. WEO16 Electricity'!$N$13:$P$24,MATCH($E134,'R10. WEO16 Electricity'!$M$13:$M$24,0),MATCH(K$93,'R10. WEO16 Electricity'!$N$11:$P$11,0))</f>
        <v>108.4636</v>
      </c>
      <c r="L134" s="34"/>
      <c r="M134" s="34">
        <f>INDEX('R10. WEO16 Electricity'!$N$13:$P$24,MATCH($E134,'R10. WEO16 Electricity'!$M$13:$M$24,0),MATCH(M$93,'R10. WEO16 Electricity'!$N$11:$P$11,0))</f>
        <v>185.20249999999999</v>
      </c>
      <c r="N134" s="34"/>
      <c r="O134" s="34">
        <f>INDEX('R10. WEO16 Electricity'!$N$13:$P$24,MATCH($E134,'R10. WEO16 Electricity'!$M$13:$M$24,0),MATCH(O$93,'R10. WEO16 Electricity'!$N$11:$P$11,0))</f>
        <v>298.8913</v>
      </c>
      <c r="P134" s="31">
        <f t="shared" si="12"/>
        <v>355.73570000000001</v>
      </c>
      <c r="Q134" s="31">
        <f t="shared" si="11"/>
        <v>412.58010000000002</v>
      </c>
      <c r="R134" s="31">
        <f t="shared" si="11"/>
        <v>469.42450000000002</v>
      </c>
      <c r="S134" s="31">
        <f t="shared" si="11"/>
        <v>526.26890000000003</v>
      </c>
    </row>
    <row r="135" spans="1:19" x14ac:dyDescent="0.3">
      <c r="A135" s="3" t="s">
        <v>508</v>
      </c>
      <c r="B135" s="3" t="s">
        <v>378</v>
      </c>
      <c r="C135" s="3" t="str">
        <f>INDEX('R1. Scenario specifications'!$C$11:$C$59,MATCH($B135,'R1. Scenario specifications'!$A$11:$A$59,0))</f>
        <v>Current Policies Scenario, World Energy Outlook 2016</v>
      </c>
      <c r="D135" s="3" t="s">
        <v>259</v>
      </c>
      <c r="E135" s="3" t="s">
        <v>504</v>
      </c>
      <c r="F135" s="3" t="s">
        <v>542</v>
      </c>
      <c r="G135" s="34">
        <f>INDEX('R10. WEO16 Electricity'!$B$13:$K$24,MATCH($E135,'R10. WEO16 Electricity'!$A$13:$A$24,0),MATCH(G$93,'R10. WEO16 Electricity'!$B$11:$K$11,0))</f>
        <v>189.68899999999999</v>
      </c>
      <c r="H135" s="34"/>
      <c r="I135" s="34"/>
      <c r="J135" s="34"/>
      <c r="K135" s="34">
        <f>INDEX('R10. WEO16 Electricity'!$N$13:$P$24,MATCH($E135,'R10. WEO16 Electricity'!$M$13:$M$24,0),MATCH(K$93,'R10. WEO16 Electricity'!$N$11:$P$11,0))</f>
        <v>532.52959999999996</v>
      </c>
      <c r="L135" s="34"/>
      <c r="M135" s="34">
        <f>INDEX('R10. WEO16 Electricity'!$N$13:$P$24,MATCH($E135,'R10. WEO16 Electricity'!$M$13:$M$24,0),MATCH(M$93,'R10. WEO16 Electricity'!$N$11:$P$11,0))</f>
        <v>996.05409999999995</v>
      </c>
      <c r="N135" s="34"/>
      <c r="O135" s="34">
        <f>INDEX('R10. WEO16 Electricity'!$N$13:$P$24,MATCH($E135,'R10. WEO16 Electricity'!$M$13:$M$24,0),MATCH(O$93,'R10. WEO16 Electricity'!$N$11:$P$11,0))</f>
        <v>1538.5215000000001</v>
      </c>
      <c r="P135" s="31">
        <f t="shared" si="12"/>
        <v>1809.7552000000001</v>
      </c>
      <c r="Q135" s="31">
        <f t="shared" si="11"/>
        <v>2080.9889000000003</v>
      </c>
      <c r="R135" s="31">
        <f t="shared" si="11"/>
        <v>2352.2226000000001</v>
      </c>
      <c r="S135" s="31">
        <f t="shared" si="11"/>
        <v>2623.4563000000003</v>
      </c>
    </row>
    <row r="136" spans="1:19" x14ac:dyDescent="0.3">
      <c r="A136" s="3" t="s">
        <v>508</v>
      </c>
      <c r="B136" s="3" t="s">
        <v>378</v>
      </c>
      <c r="C136" s="3" t="str">
        <f>INDEX('R1. Scenario specifications'!$C$11:$C$59,MATCH($B136,'R1. Scenario specifications'!$A$11:$A$59,0))</f>
        <v>Current Policies Scenario, World Energy Outlook 2016</v>
      </c>
      <c r="D136" s="3" t="s">
        <v>259</v>
      </c>
      <c r="E136" s="3" t="s">
        <v>505</v>
      </c>
      <c r="F136" s="3" t="s">
        <v>542</v>
      </c>
      <c r="G136" s="34">
        <f>INDEX('R10. WEO16 Electricity'!$B$13:$K$24,MATCH($E136,'R10. WEO16 Electricity'!$A$13:$A$24,0),MATCH(G$93,'R10. WEO16 Electricity'!$B$11:$K$11,0))</f>
        <v>8.94</v>
      </c>
      <c r="H136" s="34"/>
      <c r="I136" s="34"/>
      <c r="J136" s="34"/>
      <c r="K136" s="34">
        <f>INDEX('R10. WEO16 Electricity'!$N$13:$P$24,MATCH($E136,'R10. WEO16 Electricity'!$M$13:$M$24,0),MATCH(K$93,'R10. WEO16 Electricity'!$N$11:$P$11,0))</f>
        <v>27.052600000000002</v>
      </c>
      <c r="L136" s="34"/>
      <c r="M136" s="34">
        <f>INDEX('R10. WEO16 Electricity'!$N$13:$P$24,MATCH($E136,'R10. WEO16 Electricity'!$M$13:$M$24,0),MATCH(M$93,'R10. WEO16 Electricity'!$N$11:$P$11,0))</f>
        <v>77.442400000000006</v>
      </c>
      <c r="N136" s="34"/>
      <c r="O136" s="34">
        <f>INDEX('R10. WEO16 Electricity'!$N$13:$P$24,MATCH($E136,'R10. WEO16 Electricity'!$M$13:$M$24,0),MATCH(O$93,'R10. WEO16 Electricity'!$N$11:$P$11,0))</f>
        <v>170.35919999999999</v>
      </c>
      <c r="P136" s="31">
        <f t="shared" si="12"/>
        <v>216.81759999999997</v>
      </c>
      <c r="Q136" s="31">
        <f t="shared" si="11"/>
        <v>263.27599999999995</v>
      </c>
      <c r="R136" s="31">
        <f t="shared" si="11"/>
        <v>309.73439999999994</v>
      </c>
      <c r="S136" s="31">
        <f t="shared" si="11"/>
        <v>356.19279999999992</v>
      </c>
    </row>
    <row r="137" spans="1:19" x14ac:dyDescent="0.3">
      <c r="A137" s="3" t="s">
        <v>508</v>
      </c>
      <c r="B137" s="3" t="s">
        <v>378</v>
      </c>
      <c r="C137" s="3" t="str">
        <f>INDEX('R1. Scenario specifications'!$C$11:$C$59,MATCH($B137,'R1. Scenario specifications'!$A$11:$A$59,0))</f>
        <v>Current Policies Scenario, World Energy Outlook 2016</v>
      </c>
      <c r="D137" s="3" t="s">
        <v>258</v>
      </c>
      <c r="E137" s="39" t="s">
        <v>507</v>
      </c>
      <c r="F137" s="39" t="s">
        <v>542</v>
      </c>
      <c r="G137" s="52">
        <f>INDEX('R10. WEO16 Electricity'!$B$13:$K$24,MATCH($E137,'R10. WEO16 Electricity'!$A$13:$A$24,0),MATCH(G$93,'R10. WEO16 Electricity'!$B$11:$K$11,0))</f>
        <v>0.999</v>
      </c>
      <c r="H137" s="52"/>
      <c r="I137" s="52"/>
      <c r="J137" s="52"/>
      <c r="K137" s="52">
        <f>INDEX('R10. WEO16 Electricity'!$N$13:$P$24,MATCH($E137,'R10. WEO16 Electricity'!$M$13:$M$24,0),MATCH(K$93,'R10. WEO16 Electricity'!$N$11:$P$11,0))</f>
        <v>2.0246</v>
      </c>
      <c r="L137" s="52"/>
      <c r="M137" s="52">
        <f>INDEX('R10. WEO16 Electricity'!$N$13:$P$24,MATCH($E137,'R10. WEO16 Electricity'!$M$13:$M$24,0),MATCH(M$93,'R10. WEO16 Electricity'!$N$11:$P$11,0))</f>
        <v>8.1550999999999991</v>
      </c>
      <c r="N137" s="52"/>
      <c r="O137" s="52">
        <f>INDEX('R10. WEO16 Electricity'!$N$13:$P$24,MATCH($E137,'R10. WEO16 Electricity'!$M$13:$M$24,0),MATCH(O$93,'R10. WEO16 Electricity'!$N$11:$P$11,0))</f>
        <v>29.670300000000001</v>
      </c>
      <c r="P137" s="40">
        <f t="shared" si="12"/>
        <v>40.427900000000001</v>
      </c>
      <c r="Q137" s="40">
        <f t="shared" si="11"/>
        <v>51.185500000000005</v>
      </c>
      <c r="R137" s="40">
        <f t="shared" si="11"/>
        <v>61.943100000000001</v>
      </c>
      <c r="S137" s="40">
        <f t="shared" si="11"/>
        <v>72.700699999999998</v>
      </c>
    </row>
    <row r="138" spans="1:19" x14ac:dyDescent="0.3">
      <c r="A138" s="3" t="s">
        <v>508</v>
      </c>
      <c r="B138" s="32" t="s">
        <v>379</v>
      </c>
      <c r="C138" s="32" t="str">
        <f>INDEX('R1. Scenario specifications'!$C$11:$C$59,MATCH($B138,'R1. Scenario specifications'!$A$11:$A$59,0))</f>
        <v>New Policies Scenario, World Energy Outlook 2016</v>
      </c>
      <c r="D138" s="32" t="s">
        <v>254</v>
      </c>
      <c r="E138" s="3" t="s">
        <v>254</v>
      </c>
      <c r="F138" s="3" t="s">
        <v>542</v>
      </c>
      <c r="G138" s="34">
        <f>INDEX('R10. WEO16 Electricity'!$B$13:$K$24,MATCH($E138,'R10. WEO16 Electricity'!$A$13:$A$24,0),MATCH(G$93,'R10. WEO16 Electricity'!$B$11:$K$11,0))</f>
        <v>9707.2849999999999</v>
      </c>
      <c r="H138" s="34"/>
      <c r="I138" s="34"/>
      <c r="J138" s="34"/>
      <c r="K138" s="34">
        <f>INDEX('R10. WEO16 Electricity'!$B$13:$K$24,MATCH($E138,'R10. WEO16 Electricity'!$A$13:$A$24,0),MATCH(K$93,'R10. WEO16 Electricity'!$B$11:$K$11,0))</f>
        <v>9741.0679999999993</v>
      </c>
      <c r="L138" s="34">
        <f>INDEX('R10. WEO16 Electricity'!$B$13:$K$24,MATCH($E138,'R10. WEO16 Electricity'!$A$13:$A$24,0),MATCH(L$93,'R10. WEO16 Electricity'!$B$11:$K$11,0))</f>
        <v>9934.1164000000008</v>
      </c>
      <c r="M138" s="34">
        <f>INDEX('R10. WEO16 Electricity'!$B$13:$K$24,MATCH($E138,'R10. WEO16 Electricity'!$A$13:$A$24,0),MATCH(M$93,'R10. WEO16 Electricity'!$B$11:$K$11,0))</f>
        <v>10245.120999999999</v>
      </c>
      <c r="N138" s="34">
        <f>INDEX('R10. WEO16 Electricity'!$B$13:$K$24,MATCH($E138,'R10. WEO16 Electricity'!$A$13:$A$24,0),MATCH(N$93,'R10. WEO16 Electricity'!$B$11:$K$11,0))</f>
        <v>10547.4684</v>
      </c>
      <c r="O138" s="34">
        <f>INDEX('R10. WEO16 Electricity'!$B$13:$K$24,MATCH($E138,'R10. WEO16 Electricity'!$A$13:$A$24,0),MATCH(O$93,'R10. WEO16 Electricity'!$B$11:$K$11,0))</f>
        <v>10786.3097</v>
      </c>
      <c r="P138" s="31">
        <f>IF(TREND($N138:$O138,$N$93:$O$93,P$93)&lt;0,0,TREND($N138:$O138,$N$93:$O$93,P$93))</f>
        <v>11025.150999999998</v>
      </c>
      <c r="Q138" s="31">
        <f t="shared" ref="Q138:S148" si="13">IF(TREND($N138:$O138,$N$93:$O$93,Q$93)&lt;0,0,TREND($N138:$O138,$N$93:$O$93,Q$93))</f>
        <v>11263.992299999998</v>
      </c>
      <c r="R138" s="31">
        <f t="shared" si="13"/>
        <v>11502.833599999998</v>
      </c>
      <c r="S138" s="31">
        <f t="shared" si="13"/>
        <v>11741.674899999998</v>
      </c>
    </row>
    <row r="139" spans="1:19" x14ac:dyDescent="0.3">
      <c r="A139" s="3" t="s">
        <v>508</v>
      </c>
      <c r="B139" s="3" t="s">
        <v>379</v>
      </c>
      <c r="C139" s="3" t="str">
        <f>INDEX('R1. Scenario specifications'!$C$11:$C$59,MATCH($B139,'R1. Scenario specifications'!$A$11:$A$59,0))</f>
        <v>New Policies Scenario, World Energy Outlook 2016</v>
      </c>
      <c r="D139" s="3" t="s">
        <v>266</v>
      </c>
      <c r="E139" s="3" t="s">
        <v>266</v>
      </c>
      <c r="F139" s="3" t="s">
        <v>542</v>
      </c>
      <c r="G139" s="34">
        <f>INDEX('R10. WEO16 Electricity'!$B$13:$K$24,MATCH($E139,'R10. WEO16 Electricity'!$A$13:$A$24,0),MATCH(G$93,'R10. WEO16 Electricity'!$B$11:$K$11,0))</f>
        <v>1034.6668999999999</v>
      </c>
      <c r="H139" s="34"/>
      <c r="I139" s="34"/>
      <c r="J139" s="34"/>
      <c r="K139" s="34">
        <f>INDEX('R10. WEO16 Electricity'!$B$13:$K$24,MATCH($E139,'R10. WEO16 Electricity'!$A$13:$A$24,0),MATCH(K$93,'R10. WEO16 Electricity'!$B$11:$K$11,0))</f>
        <v>822.38409999999999</v>
      </c>
      <c r="L139" s="34">
        <f>INDEX('R10. WEO16 Electricity'!$B$13:$K$24,MATCH($E139,'R10. WEO16 Electricity'!$A$13:$A$24,0),MATCH(L$93,'R10. WEO16 Electricity'!$B$11:$K$11,0))</f>
        <v>727.11440000000005</v>
      </c>
      <c r="M139" s="34">
        <f>INDEX('R10. WEO16 Electricity'!$B$13:$K$24,MATCH($E139,'R10. WEO16 Electricity'!$A$13:$A$24,0),MATCH(M$93,'R10. WEO16 Electricity'!$B$11:$K$11,0))</f>
        <v>633.18830000000003</v>
      </c>
      <c r="N139" s="34">
        <f>INDEX('R10. WEO16 Electricity'!$B$13:$K$24,MATCH($E139,'R10. WEO16 Electricity'!$A$13:$A$24,0),MATCH(N$93,'R10. WEO16 Electricity'!$B$11:$K$11,0))</f>
        <v>584.76570000000004</v>
      </c>
      <c r="O139" s="34">
        <f>INDEX('R10. WEO16 Electricity'!$B$13:$K$24,MATCH($E139,'R10. WEO16 Electricity'!$A$13:$A$24,0),MATCH(O$93,'R10. WEO16 Electricity'!$B$11:$K$11,0))</f>
        <v>546.54660000000001</v>
      </c>
      <c r="P139" s="31">
        <f t="shared" ref="P139:P148" si="14">IF(TREND($N139:$O139,$N$93:$O$93,P$93)&lt;0,0,TREND($N139:$O139,$N$93:$O$93,P$93))</f>
        <v>508.32750000000124</v>
      </c>
      <c r="Q139" s="31">
        <f t="shared" si="13"/>
        <v>470.10840000000098</v>
      </c>
      <c r="R139" s="31">
        <f t="shared" si="13"/>
        <v>431.88930000000073</v>
      </c>
      <c r="S139" s="31">
        <f t="shared" si="13"/>
        <v>393.6702000000023</v>
      </c>
    </row>
    <row r="140" spans="1:19" x14ac:dyDescent="0.3">
      <c r="A140" s="3" t="s">
        <v>508</v>
      </c>
      <c r="B140" s="3" t="s">
        <v>379</v>
      </c>
      <c r="C140" s="3" t="str">
        <f>INDEX('R1. Scenario specifications'!$C$11:$C$59,MATCH($B140,'R1. Scenario specifications'!$A$11:$A$59,0))</f>
        <v>New Policies Scenario, World Energy Outlook 2016</v>
      </c>
      <c r="D140" s="3" t="s">
        <v>255</v>
      </c>
      <c r="E140" s="3" t="s">
        <v>255</v>
      </c>
      <c r="F140" s="3" t="s">
        <v>542</v>
      </c>
      <c r="G140" s="34">
        <f>INDEX('R10. WEO16 Electricity'!$B$13:$K$24,MATCH($E140,'R10. WEO16 Electricity'!$A$13:$A$24,0),MATCH(G$93,'R10. WEO16 Electricity'!$B$11:$K$11,0))</f>
        <v>5148.4318999999996</v>
      </c>
      <c r="H140" s="34"/>
      <c r="I140" s="34"/>
      <c r="J140" s="34"/>
      <c r="K140" s="34">
        <f>INDEX('R10. WEO16 Electricity'!$B$13:$K$24,MATCH($E140,'R10. WEO16 Electricity'!$A$13:$A$24,0),MATCH(K$93,'R10. WEO16 Electricity'!$B$11:$K$11,0))</f>
        <v>5803.5228999999999</v>
      </c>
      <c r="L140" s="34">
        <f>INDEX('R10. WEO16 Electricity'!$B$13:$K$24,MATCH($E140,'R10. WEO16 Electricity'!$A$13:$A$24,0),MATCH(L$93,'R10. WEO16 Electricity'!$B$11:$K$11,0))</f>
        <v>6512.9975000000004</v>
      </c>
      <c r="M140" s="34">
        <f>INDEX('R10. WEO16 Electricity'!$B$13:$K$24,MATCH($E140,'R10. WEO16 Electricity'!$A$13:$A$24,0),MATCH(M$93,'R10. WEO16 Electricity'!$B$11:$K$11,0))</f>
        <v>7304.6608999999999</v>
      </c>
      <c r="N140" s="34">
        <f>INDEX('R10. WEO16 Electricity'!$B$13:$K$24,MATCH($E140,'R10. WEO16 Electricity'!$A$13:$A$24,0),MATCH(N$93,'R10. WEO16 Electricity'!$B$11:$K$11,0))</f>
        <v>8155.0924999999997</v>
      </c>
      <c r="O140" s="34">
        <f>INDEX('R10. WEO16 Electricity'!$B$13:$K$24,MATCH($E140,'R10. WEO16 Electricity'!$A$13:$A$24,0),MATCH(O$93,'R10. WEO16 Electricity'!$B$11:$K$11,0))</f>
        <v>8908.9364999999998</v>
      </c>
      <c r="P140" s="31">
        <f t="shared" si="14"/>
        <v>9662.7804999999935</v>
      </c>
      <c r="Q140" s="31">
        <f t="shared" si="13"/>
        <v>10416.624499999976</v>
      </c>
      <c r="R140" s="31">
        <f t="shared" si="13"/>
        <v>11170.468500000017</v>
      </c>
      <c r="S140" s="31">
        <f t="shared" si="13"/>
        <v>11924.3125</v>
      </c>
    </row>
    <row r="141" spans="1:19" x14ac:dyDescent="0.3">
      <c r="A141" s="3" t="s">
        <v>508</v>
      </c>
      <c r="B141" s="3" t="s">
        <v>379</v>
      </c>
      <c r="C141" s="3" t="str">
        <f>INDEX('R1. Scenario specifications'!$C$11:$C$59,MATCH($B141,'R1. Scenario specifications'!$A$11:$A$59,0))</f>
        <v>New Policies Scenario, World Energy Outlook 2016</v>
      </c>
      <c r="D141" s="3" t="s">
        <v>257</v>
      </c>
      <c r="E141" s="3" t="s">
        <v>257</v>
      </c>
      <c r="F141" s="3" t="s">
        <v>542</v>
      </c>
      <c r="G141" s="34">
        <f>INDEX('R10. WEO16 Electricity'!$B$13:$K$24,MATCH($E141,'R10. WEO16 Electricity'!$A$13:$A$24,0),MATCH(G$93,'R10. WEO16 Electricity'!$B$11:$K$11,0))</f>
        <v>2535.326</v>
      </c>
      <c r="H141" s="34"/>
      <c r="I141" s="34"/>
      <c r="J141" s="34"/>
      <c r="K141" s="34">
        <f>INDEX('R10. WEO16 Electricity'!$B$13:$K$24,MATCH($E141,'R10. WEO16 Electricity'!$A$13:$A$24,0),MATCH(K$93,'R10. WEO16 Electricity'!$B$11:$K$11,0))</f>
        <v>3052.7642999999998</v>
      </c>
      <c r="L141" s="34">
        <f>INDEX('R10. WEO16 Electricity'!$B$13:$K$24,MATCH($E141,'R10. WEO16 Electricity'!$A$13:$A$24,0),MATCH(L$93,'R10. WEO16 Electricity'!$B$11:$K$11,0))</f>
        <v>3405.3524000000002</v>
      </c>
      <c r="M141" s="34">
        <f>INDEX('R10. WEO16 Electricity'!$B$13:$K$24,MATCH($E141,'R10. WEO16 Electricity'!$A$13:$A$24,0),MATCH(M$93,'R10. WEO16 Electricity'!$B$11:$K$11,0))</f>
        <v>3847.0486999999998</v>
      </c>
      <c r="N141" s="34">
        <f>INDEX('R10. WEO16 Electricity'!$B$13:$K$24,MATCH($E141,'R10. WEO16 Electricity'!$A$13:$A$24,0),MATCH(N$93,'R10. WEO16 Electricity'!$B$11:$K$11,0))</f>
        <v>4205.3827000000001</v>
      </c>
      <c r="O141" s="34">
        <f>INDEX('R10. WEO16 Electricity'!$B$13:$K$24,MATCH($E141,'R10. WEO16 Electricity'!$A$13:$A$24,0),MATCH(O$93,'R10. WEO16 Electricity'!$B$11:$K$11,0))</f>
        <v>4532.2318999999998</v>
      </c>
      <c r="P141" s="31">
        <f t="shared" si="14"/>
        <v>4859.0810999999958</v>
      </c>
      <c r="Q141" s="31">
        <f t="shared" si="13"/>
        <v>5185.9302999999927</v>
      </c>
      <c r="R141" s="31">
        <f t="shared" si="13"/>
        <v>5512.7794999999896</v>
      </c>
      <c r="S141" s="31">
        <f t="shared" si="13"/>
        <v>5839.6286999999866</v>
      </c>
    </row>
    <row r="142" spans="1:19" x14ac:dyDescent="0.3">
      <c r="A142" s="3" t="s">
        <v>508</v>
      </c>
      <c r="B142" s="3" t="s">
        <v>379</v>
      </c>
      <c r="C142" s="3" t="str">
        <f>INDEX('R1. Scenario specifications'!$C$11:$C$59,MATCH($B142,'R1. Scenario specifications'!$A$11:$A$59,0))</f>
        <v>New Policies Scenario, World Energy Outlook 2016</v>
      </c>
      <c r="D142" s="3" t="s">
        <v>256</v>
      </c>
      <c r="E142" s="3" t="s">
        <v>256</v>
      </c>
      <c r="F142" s="3" t="s">
        <v>542</v>
      </c>
      <c r="G142" s="34">
        <f>INDEX('R10. WEO16 Electricity'!$B$13:$K$24,MATCH($E142,'R10. WEO16 Electricity'!$A$13:$A$24,0),MATCH(G$93,'R10. WEO16 Electricity'!$B$11:$K$11,0))</f>
        <v>3893.634</v>
      </c>
      <c r="H142" s="34"/>
      <c r="I142" s="34"/>
      <c r="J142" s="34"/>
      <c r="K142" s="34">
        <f>INDEX('R10. WEO16 Electricity'!$B$13:$K$24,MATCH($E142,'R10. WEO16 Electricity'!$A$13:$A$24,0),MATCH(K$93,'R10. WEO16 Electricity'!$B$11:$K$11,0))</f>
        <v>4386.5087000000003</v>
      </c>
      <c r="L142" s="34">
        <f>INDEX('R10. WEO16 Electricity'!$B$13:$K$24,MATCH($E142,'R10. WEO16 Electricity'!$A$13:$A$24,0),MATCH(L$93,'R10. WEO16 Electricity'!$B$11:$K$11,0))</f>
        <v>4886.5240000000003</v>
      </c>
      <c r="M142" s="34">
        <f>INDEX('R10. WEO16 Electricity'!$B$13:$K$24,MATCH($E142,'R10. WEO16 Electricity'!$A$13:$A$24,0),MATCH(M$93,'R10. WEO16 Electricity'!$B$11:$K$11,0))</f>
        <v>5381.9884000000002</v>
      </c>
      <c r="N142" s="34">
        <f>INDEX('R10. WEO16 Electricity'!$B$13:$K$24,MATCH($E142,'R10. WEO16 Electricity'!$A$13:$A$24,0),MATCH(N$93,'R10. WEO16 Electricity'!$B$11:$K$11,0))</f>
        <v>5834.0636000000004</v>
      </c>
      <c r="O142" s="34">
        <f>INDEX('R10. WEO16 Electricity'!$B$13:$K$24,MATCH($E142,'R10. WEO16 Electricity'!$A$13:$A$24,0),MATCH(O$93,'R10. WEO16 Electricity'!$B$11:$K$11,0))</f>
        <v>6230.0949000000001</v>
      </c>
      <c r="P142" s="31">
        <f t="shared" si="14"/>
        <v>6626.1262000000279</v>
      </c>
      <c r="Q142" s="31">
        <f t="shared" si="13"/>
        <v>7022.1575000000303</v>
      </c>
      <c r="R142" s="31">
        <f t="shared" si="13"/>
        <v>7418.1888000000035</v>
      </c>
      <c r="S142" s="31">
        <f t="shared" si="13"/>
        <v>7814.2201000000059</v>
      </c>
    </row>
    <row r="143" spans="1:19" x14ac:dyDescent="0.3">
      <c r="A143" s="3" t="s">
        <v>508</v>
      </c>
      <c r="B143" s="3" t="s">
        <v>379</v>
      </c>
      <c r="C143" s="3" t="str">
        <f>INDEX('R1. Scenario specifications'!$C$11:$C$59,MATCH($B143,'R1. Scenario specifications'!$A$11:$A$59,0))</f>
        <v>New Policies Scenario, World Energy Outlook 2016</v>
      </c>
      <c r="D143" s="3" t="s">
        <v>253</v>
      </c>
      <c r="E143" s="3" t="s">
        <v>503</v>
      </c>
      <c r="F143" s="3" t="s">
        <v>542</v>
      </c>
      <c r="G143" s="34">
        <f>INDEX('R10. WEO16 Electricity'!$B$13:$K$24,MATCH($E143,'R10. WEO16 Electricity'!$A$13:$A$24,0),MATCH(G$93,'R10. WEO16 Electricity'!$B$11:$K$11,0))</f>
        <v>494.91829999999999</v>
      </c>
      <c r="H143" s="34"/>
      <c r="I143" s="34"/>
      <c r="J143" s="34"/>
      <c r="K143" s="34">
        <f>INDEX('R10. WEO16 Electricity'!$B$13:$K$24,MATCH($E143,'R10. WEO16 Electricity'!$A$13:$A$24,0),MATCH(K$93,'R10. WEO16 Electricity'!$B$11:$K$11,0))</f>
        <v>641.53030000000001</v>
      </c>
      <c r="L143" s="34">
        <f>INDEX('R10. WEO16 Electricity'!$B$13:$K$24,MATCH($E143,'R10. WEO16 Electricity'!$A$13:$A$24,0),MATCH(L$93,'R10. WEO16 Electricity'!$B$11:$K$11,0))</f>
        <v>785.18799999999999</v>
      </c>
      <c r="M143" s="34">
        <f>INDEX('R10. WEO16 Electricity'!$B$13:$K$24,MATCH($E143,'R10. WEO16 Electricity'!$A$13:$A$24,0),MATCH(M$93,'R10. WEO16 Electricity'!$B$11:$K$11,0))</f>
        <v>954.2373</v>
      </c>
      <c r="N143" s="34">
        <f>INDEX('R10. WEO16 Electricity'!$B$13:$K$24,MATCH($E143,'R10. WEO16 Electricity'!$A$13:$A$24,0),MATCH(N$93,'R10. WEO16 Electricity'!$B$11:$K$11,0))</f>
        <v>1147.4657999999999</v>
      </c>
      <c r="O143" s="34">
        <f>INDEX('R10. WEO16 Electricity'!$B$13:$K$24,MATCH($E143,'R10. WEO16 Electricity'!$A$13:$A$24,0),MATCH(O$93,'R10. WEO16 Electricity'!$B$11:$K$11,0))</f>
        <v>1353.3226999999999</v>
      </c>
      <c r="P143" s="31">
        <f t="shared" si="14"/>
        <v>1559.1796000000031</v>
      </c>
      <c r="Q143" s="31">
        <f t="shared" si="13"/>
        <v>1765.036500000002</v>
      </c>
      <c r="R143" s="31">
        <f t="shared" si="13"/>
        <v>1970.8934000000008</v>
      </c>
      <c r="S143" s="31">
        <f t="shared" si="13"/>
        <v>2176.7502999999997</v>
      </c>
    </row>
    <row r="144" spans="1:19" x14ac:dyDescent="0.3">
      <c r="A144" s="3" t="s">
        <v>508</v>
      </c>
      <c r="B144" s="3" t="s">
        <v>379</v>
      </c>
      <c r="C144" s="3" t="str">
        <f>INDEX('R1. Scenario specifications'!$C$11:$C$59,MATCH($B144,'R1. Scenario specifications'!$A$11:$A$59,0))</f>
        <v>New Policies Scenario, World Energy Outlook 2016</v>
      </c>
      <c r="D144" s="3" t="s">
        <v>260</v>
      </c>
      <c r="E144" s="3" t="s">
        <v>260</v>
      </c>
      <c r="F144" s="3" t="s">
        <v>542</v>
      </c>
      <c r="G144" s="34">
        <f>INDEX('R10. WEO16 Electricity'!$B$13:$K$24,MATCH($E144,'R10. WEO16 Electricity'!$A$13:$A$24,0),MATCH(G$93,'R10. WEO16 Electricity'!$B$11:$K$11,0))</f>
        <v>717.29300000000001</v>
      </c>
      <c r="H144" s="34"/>
      <c r="I144" s="34"/>
      <c r="J144" s="34"/>
      <c r="K144" s="34">
        <f>INDEX('R10. WEO16 Electricity'!$B$13:$K$24,MATCH($E144,'R10. WEO16 Electricity'!$A$13:$A$24,0),MATCH(K$93,'R10. WEO16 Electricity'!$B$11:$K$11,0))</f>
        <v>1508.0912000000001</v>
      </c>
      <c r="L144" s="34">
        <f>INDEX('R10. WEO16 Electricity'!$B$13:$K$24,MATCH($E144,'R10. WEO16 Electricity'!$A$13:$A$24,0),MATCH(L$93,'R10. WEO16 Electricity'!$B$11:$K$11,0))</f>
        <v>2117.9859999999999</v>
      </c>
      <c r="M144" s="34">
        <f>INDEX('R10. WEO16 Electricity'!$B$13:$K$24,MATCH($E144,'R10. WEO16 Electricity'!$A$13:$A$24,0),MATCH(M$93,'R10. WEO16 Electricity'!$B$11:$K$11,0))</f>
        <v>2705.7595000000001</v>
      </c>
      <c r="N144" s="34">
        <f>INDEX('R10. WEO16 Electricity'!$B$13:$K$24,MATCH($E144,'R10. WEO16 Electricity'!$A$13:$A$24,0),MATCH(N$93,'R10. WEO16 Electricity'!$B$11:$K$11,0))</f>
        <v>3296.1653999999999</v>
      </c>
      <c r="O144" s="34">
        <f>INDEX('R10. WEO16 Electricity'!$B$13:$K$24,MATCH($E144,'R10. WEO16 Electricity'!$A$13:$A$24,0),MATCH(O$93,'R10. WEO16 Electricity'!$B$11:$K$11,0))</f>
        <v>3881.3845000000001</v>
      </c>
      <c r="P144" s="31">
        <f t="shared" si="14"/>
        <v>4466.6036000000022</v>
      </c>
      <c r="Q144" s="31">
        <f t="shared" si="13"/>
        <v>5051.8227000000188</v>
      </c>
      <c r="R144" s="31">
        <f t="shared" si="13"/>
        <v>5637.0418000000063</v>
      </c>
      <c r="S144" s="31">
        <f t="shared" si="13"/>
        <v>6222.2608999999939</v>
      </c>
    </row>
    <row r="145" spans="1:19" x14ac:dyDescent="0.3">
      <c r="A145" s="3" t="s">
        <v>508</v>
      </c>
      <c r="B145" s="3" t="s">
        <v>379</v>
      </c>
      <c r="C145" s="3" t="str">
        <f>INDEX('R1. Scenario specifications'!$C$11:$C$59,MATCH($B145,'R1. Scenario specifications'!$A$11:$A$59,0))</f>
        <v>New Policies Scenario, World Energy Outlook 2016</v>
      </c>
      <c r="D145" s="3" t="s">
        <v>258</v>
      </c>
      <c r="E145" s="3" t="s">
        <v>506</v>
      </c>
      <c r="F145" s="3" t="s">
        <v>542</v>
      </c>
      <c r="G145" s="34">
        <f>INDEX('R10. WEO16 Electricity'!$B$13:$K$24,MATCH($E145,'R10. WEO16 Electricity'!$A$13:$A$24,0),MATCH(G$93,'R10. WEO16 Electricity'!$B$11:$K$11,0))</f>
        <v>77.376999999999995</v>
      </c>
      <c r="H145" s="34"/>
      <c r="I145" s="34"/>
      <c r="J145" s="34"/>
      <c r="K145" s="34">
        <f>INDEX('R10. WEO16 Electricity'!$B$13:$K$24,MATCH($E145,'R10. WEO16 Electricity'!$A$13:$A$24,0),MATCH(K$93,'R10. WEO16 Electricity'!$B$11:$K$11,0))</f>
        <v>111.3267</v>
      </c>
      <c r="L145" s="34">
        <f>INDEX('R10. WEO16 Electricity'!$B$13:$K$24,MATCH($E145,'R10. WEO16 Electricity'!$A$13:$A$24,0),MATCH(L$93,'R10. WEO16 Electricity'!$B$11:$K$11,0))</f>
        <v>150.09469999999999</v>
      </c>
      <c r="M145" s="34">
        <f>INDEX('R10. WEO16 Electricity'!$B$13:$K$24,MATCH($E145,'R10. WEO16 Electricity'!$A$13:$A$24,0),MATCH(M$93,'R10. WEO16 Electricity'!$B$11:$K$11,0))</f>
        <v>207.08449999999999</v>
      </c>
      <c r="N145" s="34">
        <f>INDEX('R10. WEO16 Electricity'!$B$13:$K$24,MATCH($E145,'R10. WEO16 Electricity'!$A$13:$A$24,0),MATCH(N$93,'R10. WEO16 Electricity'!$B$11:$K$11,0))</f>
        <v>282.79059999999998</v>
      </c>
      <c r="O145" s="34">
        <f>INDEX('R10. WEO16 Electricity'!$B$13:$K$24,MATCH($E145,'R10. WEO16 Electricity'!$A$13:$A$24,0),MATCH(O$93,'R10. WEO16 Electricity'!$B$11:$K$11,0))</f>
        <v>360.92149999999998</v>
      </c>
      <c r="P145" s="31">
        <f t="shared" si="14"/>
        <v>439.05239999999685</v>
      </c>
      <c r="Q145" s="31">
        <f t="shared" si="13"/>
        <v>517.18329999999696</v>
      </c>
      <c r="R145" s="31">
        <f t="shared" si="13"/>
        <v>595.31419999999707</v>
      </c>
      <c r="S145" s="31">
        <f t="shared" si="13"/>
        <v>673.44509999999718</v>
      </c>
    </row>
    <row r="146" spans="1:19" x14ac:dyDescent="0.3">
      <c r="A146" s="3" t="s">
        <v>508</v>
      </c>
      <c r="B146" s="3" t="s">
        <v>379</v>
      </c>
      <c r="C146" s="3" t="str">
        <f>INDEX('R1. Scenario specifications'!$C$11:$C$59,MATCH($B146,'R1. Scenario specifications'!$A$11:$A$59,0))</f>
        <v>New Policies Scenario, World Energy Outlook 2016</v>
      </c>
      <c r="D146" s="3" t="s">
        <v>259</v>
      </c>
      <c r="E146" s="3" t="s">
        <v>504</v>
      </c>
      <c r="F146" s="3" t="s">
        <v>542</v>
      </c>
      <c r="G146" s="34">
        <f>INDEX('R10. WEO16 Electricity'!$B$13:$K$24,MATCH($E146,'R10. WEO16 Electricity'!$A$13:$A$24,0),MATCH(G$93,'R10. WEO16 Electricity'!$B$11:$K$11,0))</f>
        <v>189.68899999999999</v>
      </c>
      <c r="H146" s="34"/>
      <c r="I146" s="34"/>
      <c r="J146" s="34"/>
      <c r="K146" s="34">
        <f>INDEX('R10. WEO16 Electricity'!$B$13:$K$24,MATCH($E146,'R10. WEO16 Electricity'!$A$13:$A$24,0),MATCH(K$93,'R10. WEO16 Electricity'!$B$11:$K$11,0))</f>
        <v>598.56029999999998</v>
      </c>
      <c r="L146" s="34">
        <f>INDEX('R10. WEO16 Electricity'!$B$13:$K$24,MATCH($E146,'R10. WEO16 Electricity'!$A$13:$A$24,0),MATCH(L$93,'R10. WEO16 Electricity'!$B$11:$K$11,0))</f>
        <v>953.42960000000005</v>
      </c>
      <c r="M146" s="34">
        <f>INDEX('R10. WEO16 Electricity'!$B$13:$K$24,MATCH($E146,'R10. WEO16 Electricity'!$A$13:$A$24,0),MATCH(M$93,'R10. WEO16 Electricity'!$B$11:$K$11,0))</f>
        <v>1329.2692</v>
      </c>
      <c r="N146" s="34">
        <f>INDEX('R10. WEO16 Electricity'!$B$13:$K$24,MATCH($E146,'R10. WEO16 Electricity'!$A$13:$A$24,0),MATCH(N$93,'R10. WEO16 Electricity'!$B$11:$K$11,0))</f>
        <v>1730.6619000000001</v>
      </c>
      <c r="O146" s="34">
        <f>INDEX('R10. WEO16 Electricity'!$B$13:$K$24,MATCH($E146,'R10. WEO16 Electricity'!$A$13:$A$24,0),MATCH(O$93,'R10. WEO16 Electricity'!$B$11:$K$11,0))</f>
        <v>2137.3602999999998</v>
      </c>
      <c r="P146" s="31">
        <f t="shared" si="14"/>
        <v>2544.0586999999941</v>
      </c>
      <c r="Q146" s="31">
        <f t="shared" si="13"/>
        <v>2950.7571000000171</v>
      </c>
      <c r="R146" s="31">
        <f t="shared" si="13"/>
        <v>3357.4555000000109</v>
      </c>
      <c r="S146" s="31">
        <f t="shared" si="13"/>
        <v>3764.1539000000048</v>
      </c>
    </row>
    <row r="147" spans="1:19" x14ac:dyDescent="0.3">
      <c r="A147" s="3" t="s">
        <v>508</v>
      </c>
      <c r="B147" s="3" t="s">
        <v>379</v>
      </c>
      <c r="C147" s="3" t="str">
        <f>INDEX('R1. Scenario specifications'!$C$11:$C$59,MATCH($B147,'R1. Scenario specifications'!$A$11:$A$59,0))</f>
        <v>New Policies Scenario, World Energy Outlook 2016</v>
      </c>
      <c r="D147" s="3" t="s">
        <v>259</v>
      </c>
      <c r="E147" s="3" t="s">
        <v>505</v>
      </c>
      <c r="F147" s="3" t="s">
        <v>542</v>
      </c>
      <c r="G147" s="34">
        <f>INDEX('R10. WEO16 Electricity'!$B$13:$K$24,MATCH($E147,'R10. WEO16 Electricity'!$A$13:$A$24,0),MATCH(G$93,'R10. WEO16 Electricity'!$B$11:$K$11,0))</f>
        <v>8.94</v>
      </c>
      <c r="H147" s="34"/>
      <c r="I147" s="34"/>
      <c r="J147" s="34"/>
      <c r="K147" s="34">
        <f>INDEX('R10. WEO16 Electricity'!$B$13:$K$24,MATCH($E147,'R10. WEO16 Electricity'!$A$13:$A$24,0),MATCH(K$93,'R10. WEO16 Electricity'!$B$11:$K$11,0))</f>
        <v>30.096299999999999</v>
      </c>
      <c r="L147" s="34">
        <f>INDEX('R10. WEO16 Electricity'!$B$13:$K$24,MATCH($E147,'R10. WEO16 Electricity'!$A$13:$A$24,0),MATCH(L$93,'R10. WEO16 Electricity'!$B$11:$K$11,0))</f>
        <v>60.923200000000001</v>
      </c>
      <c r="M147" s="34">
        <f>INDEX('R10. WEO16 Electricity'!$B$13:$K$24,MATCH($E147,'R10. WEO16 Electricity'!$A$13:$A$24,0),MATCH(M$93,'R10. WEO16 Electricity'!$B$11:$K$11,0))</f>
        <v>108.84990000000001</v>
      </c>
      <c r="N147" s="34">
        <f>INDEX('R10. WEO16 Electricity'!$B$13:$K$24,MATCH($E147,'R10. WEO16 Electricity'!$A$13:$A$24,0),MATCH(N$93,'R10. WEO16 Electricity'!$B$11:$K$11,0))</f>
        <v>175.05959999999999</v>
      </c>
      <c r="O147" s="34">
        <f>INDEX('R10. WEO16 Electricity'!$B$13:$K$24,MATCH($E147,'R10. WEO16 Electricity'!$A$13:$A$24,0),MATCH(O$93,'R10. WEO16 Electricity'!$B$11:$K$11,0))</f>
        <v>254.38579999999999</v>
      </c>
      <c r="P147" s="31">
        <f t="shared" si="14"/>
        <v>333.7119999999959</v>
      </c>
      <c r="Q147" s="31">
        <f t="shared" si="13"/>
        <v>413.03819999999541</v>
      </c>
      <c r="R147" s="31">
        <f t="shared" si="13"/>
        <v>492.36439999999857</v>
      </c>
      <c r="S147" s="31">
        <f t="shared" si="13"/>
        <v>571.69059999999808</v>
      </c>
    </row>
    <row r="148" spans="1:19" x14ac:dyDescent="0.3">
      <c r="A148" s="3" t="s">
        <v>508</v>
      </c>
      <c r="B148" s="3" t="s">
        <v>379</v>
      </c>
      <c r="C148" s="3" t="str">
        <f>INDEX('R1. Scenario specifications'!$C$11:$C$59,MATCH($B148,'R1. Scenario specifications'!$A$11:$A$59,0))</f>
        <v>New Policies Scenario, World Energy Outlook 2016</v>
      </c>
      <c r="D148" s="3" t="s">
        <v>258</v>
      </c>
      <c r="E148" s="39" t="s">
        <v>507</v>
      </c>
      <c r="F148" s="39" t="s">
        <v>542</v>
      </c>
      <c r="G148" s="52">
        <f>INDEX('R10. WEO16 Electricity'!$B$13:$K$24,MATCH($E148,'R10. WEO16 Electricity'!$A$13:$A$24,0),MATCH(G$93,'R10. WEO16 Electricity'!$B$11:$K$11,0))</f>
        <v>0.999</v>
      </c>
      <c r="H148" s="52"/>
      <c r="I148" s="52"/>
      <c r="J148" s="52"/>
      <c r="K148" s="52">
        <f>INDEX('R10. WEO16 Electricity'!$B$13:$K$24,MATCH($E148,'R10. WEO16 Electricity'!$A$13:$A$24,0),MATCH(K$93,'R10. WEO16 Electricity'!$B$11:$K$11,0))</f>
        <v>2.6206</v>
      </c>
      <c r="L148" s="52">
        <f>INDEX('R10. WEO16 Electricity'!$B$13:$K$24,MATCH($E148,'R10. WEO16 Electricity'!$A$13:$A$24,0),MATCH(L$93,'R10. WEO16 Electricity'!$B$11:$K$11,0))</f>
        <v>6.1294000000000004</v>
      </c>
      <c r="M148" s="52">
        <f>INDEX('R10. WEO16 Electricity'!$B$13:$K$24,MATCH($E148,'R10. WEO16 Electricity'!$A$13:$A$24,0),MATCH(M$93,'R10. WEO16 Electricity'!$B$11:$K$11,0))</f>
        <v>14.5342</v>
      </c>
      <c r="N148" s="52">
        <f>INDEX('R10. WEO16 Electricity'!$B$13:$K$24,MATCH($E148,'R10. WEO16 Electricity'!$A$13:$A$24,0),MATCH(N$93,'R10. WEO16 Electricity'!$B$11:$K$11,0))</f>
        <v>29.728999999999999</v>
      </c>
      <c r="O148" s="52">
        <f>INDEX('R10. WEO16 Electricity'!$B$13:$K$24,MATCH($E148,'R10. WEO16 Electricity'!$A$13:$A$24,0),MATCH(O$93,'R10. WEO16 Electricity'!$B$11:$K$11,0))</f>
        <v>53.765999999999998</v>
      </c>
      <c r="P148" s="40">
        <f t="shared" si="14"/>
        <v>77.802999999998065</v>
      </c>
      <c r="Q148" s="40">
        <f t="shared" si="13"/>
        <v>101.83999999999833</v>
      </c>
      <c r="R148" s="40">
        <f t="shared" si="13"/>
        <v>125.87699999999859</v>
      </c>
      <c r="S148" s="40">
        <f t="shared" si="13"/>
        <v>149.91399999999885</v>
      </c>
    </row>
    <row r="149" spans="1:19" x14ac:dyDescent="0.3">
      <c r="A149" s="3" t="s">
        <v>508</v>
      </c>
      <c r="B149" s="32" t="s">
        <v>380</v>
      </c>
      <c r="C149" s="32" t="str">
        <f>INDEX('R1. Scenario specifications'!$C$11:$C$59,MATCH($B149,'R1. Scenario specifications'!$A$11:$A$59,0))</f>
        <v>450 Scenario, World Energy Outlook 2016</v>
      </c>
      <c r="D149" s="32" t="s">
        <v>254</v>
      </c>
      <c r="E149" s="3" t="s">
        <v>254</v>
      </c>
      <c r="F149" s="3" t="s">
        <v>542</v>
      </c>
      <c r="G149" s="34">
        <f>INDEX('R10. WEO16 Electricity'!$B$13:$K$24,MATCH($E149,'R10. WEO16 Electricity'!$A$13:$A$24,0),MATCH(G$93,'R10. WEO16 Electricity'!$B$11:$K$11,0))</f>
        <v>9707.2849999999999</v>
      </c>
      <c r="H149" s="34"/>
      <c r="I149" s="34"/>
      <c r="J149" s="34"/>
      <c r="K149" s="34">
        <f>INDEX('R10. WEO16 Electricity'!$Q$13:$S$24,MATCH($E149,'R10. WEO16 Electricity'!$M$13:$M$24,0),MATCH(K$93,'R10. WEO16 Electricity'!$Q$11:$S$11,0))</f>
        <v>8702.1226999999999</v>
      </c>
      <c r="L149" s="34"/>
      <c r="M149" s="34">
        <f>INDEX('R10. WEO16 Electricity'!$Q$13:$S$24,MATCH($E149,'R10. WEO16 Electricity'!$M$13:$M$24,0),MATCH(M$93,'R10. WEO16 Electricity'!$Q$11:$S$11,0))</f>
        <v>4966.2015000000001</v>
      </c>
      <c r="N149" s="34"/>
      <c r="O149" s="34">
        <f>INDEX('R10. WEO16 Electricity'!$Q$13:$S$24,MATCH($E149,'R10. WEO16 Electricity'!$M$13:$M$24,0),MATCH(O$93,'R10. WEO16 Electricity'!$Q$11:$S$11,0))</f>
        <v>2518.2707999999998</v>
      </c>
      <c r="P149" s="31">
        <f>IF($O149+(P$93-$O$93)*($O149-$M149)/($O$93-$M$93)&lt;0,0,$O149+(P$93-$O$93)*($O149-$M149)/($O$93-$M$93))</f>
        <v>1294.3054499999996</v>
      </c>
      <c r="Q149" s="31">
        <f t="shared" ref="Q149:S159" si="15">IF($O149+(Q$93-$O$93)*($O149-$M149)/($O$93-$M$93)&lt;0,0,$O149+(Q$93-$O$93)*($O149-$M149)/($O$93-$M$93))</f>
        <v>70.340099999999438</v>
      </c>
      <c r="R149" s="31">
        <f t="shared" si="15"/>
        <v>0</v>
      </c>
      <c r="S149" s="31">
        <f t="shared" si="15"/>
        <v>0</v>
      </c>
    </row>
    <row r="150" spans="1:19" x14ac:dyDescent="0.3">
      <c r="A150" s="3" t="s">
        <v>508</v>
      </c>
      <c r="B150" s="3" t="s">
        <v>380</v>
      </c>
      <c r="C150" s="3" t="str">
        <f>INDEX('R1. Scenario specifications'!$C$11:$C$59,MATCH($B150,'R1. Scenario specifications'!$A$11:$A$59,0))</f>
        <v>450 Scenario, World Energy Outlook 2016</v>
      </c>
      <c r="D150" s="3" t="s">
        <v>266</v>
      </c>
      <c r="E150" s="3" t="s">
        <v>266</v>
      </c>
      <c r="F150" s="3" t="s">
        <v>542</v>
      </c>
      <c r="G150" s="34">
        <f>INDEX('R10. WEO16 Electricity'!$B$13:$K$24,MATCH($E150,'R10. WEO16 Electricity'!$A$13:$A$24,0),MATCH(G$93,'R10. WEO16 Electricity'!$B$11:$K$11,0))</f>
        <v>1034.6668999999999</v>
      </c>
      <c r="H150" s="34"/>
      <c r="I150" s="34"/>
      <c r="J150" s="34"/>
      <c r="K150" s="34">
        <f>INDEX('R10. WEO16 Electricity'!$Q$13:$S$24,MATCH($E150,'R10. WEO16 Electricity'!$M$13:$M$24,0),MATCH(K$93,'R10. WEO16 Electricity'!$Q$11:$S$11,0))</f>
        <v>783.20429999999999</v>
      </c>
      <c r="L150" s="34"/>
      <c r="M150" s="34">
        <f>INDEX('R10. WEO16 Electricity'!$Q$13:$S$24,MATCH($E150,'R10. WEO16 Electricity'!$M$13:$M$24,0),MATCH(M$93,'R10. WEO16 Electricity'!$Q$11:$S$11,0))</f>
        <v>395.57049999999998</v>
      </c>
      <c r="N150" s="34"/>
      <c r="O150" s="34">
        <f>INDEX('R10. WEO16 Electricity'!$Q$13:$S$24,MATCH($E150,'R10. WEO16 Electricity'!$M$13:$M$24,0),MATCH(O$93,'R10. WEO16 Electricity'!$Q$11:$S$11,0))</f>
        <v>200.33</v>
      </c>
      <c r="P150" s="31">
        <f t="shared" ref="P150:P159" si="16">IF($O150+(P$93-$O$93)*($O150-$M150)/($O$93-$M$93)&lt;0,0,$O150+(P$93-$O$93)*($O150-$M150)/($O$93-$M$93))</f>
        <v>102.70975000000003</v>
      </c>
      <c r="Q150" s="31">
        <f t="shared" si="15"/>
        <v>5.0895000000000437</v>
      </c>
      <c r="R150" s="31">
        <f t="shared" si="15"/>
        <v>0</v>
      </c>
      <c r="S150" s="31">
        <f t="shared" si="15"/>
        <v>0</v>
      </c>
    </row>
    <row r="151" spans="1:19" x14ac:dyDescent="0.3">
      <c r="A151" s="3" t="s">
        <v>508</v>
      </c>
      <c r="B151" s="3" t="s">
        <v>380</v>
      </c>
      <c r="C151" s="3" t="str">
        <f>INDEX('R1. Scenario specifications'!$C$11:$C$59,MATCH($B151,'R1. Scenario specifications'!$A$11:$A$59,0))</f>
        <v>450 Scenario, World Energy Outlook 2016</v>
      </c>
      <c r="D151" s="3" t="s">
        <v>255</v>
      </c>
      <c r="E151" s="3" t="s">
        <v>255</v>
      </c>
      <c r="F151" s="3" t="s">
        <v>542</v>
      </c>
      <c r="G151" s="34">
        <f>INDEX('R10. WEO16 Electricity'!$B$13:$K$24,MATCH($E151,'R10. WEO16 Electricity'!$A$13:$A$24,0),MATCH(G$93,'R10. WEO16 Electricity'!$B$11:$K$11,0))</f>
        <v>5148.4318999999996</v>
      </c>
      <c r="H151" s="34"/>
      <c r="I151" s="34"/>
      <c r="J151" s="34"/>
      <c r="K151" s="34">
        <f>INDEX('R10. WEO16 Electricity'!$Q$13:$S$24,MATCH($E151,'R10. WEO16 Electricity'!$M$13:$M$24,0),MATCH(K$93,'R10. WEO16 Electricity'!$Q$11:$S$11,0))</f>
        <v>5898.0990000000002</v>
      </c>
      <c r="L151" s="34"/>
      <c r="M151" s="34">
        <f>INDEX('R10. WEO16 Electricity'!$Q$13:$S$24,MATCH($E151,'R10. WEO16 Electricity'!$M$13:$M$24,0),MATCH(M$93,'R10. WEO16 Electricity'!$Q$11:$S$11,0))</f>
        <v>6474.5001000000002</v>
      </c>
      <c r="N151" s="34"/>
      <c r="O151" s="34">
        <f>INDEX('R10. WEO16 Electricity'!$Q$13:$S$24,MATCH($E151,'R10. WEO16 Electricity'!$M$13:$M$24,0),MATCH(O$93,'R10. WEO16 Electricity'!$Q$11:$S$11,0))</f>
        <v>5389.0677999999998</v>
      </c>
      <c r="P151" s="31">
        <f t="shared" si="16"/>
        <v>4846.3516499999996</v>
      </c>
      <c r="Q151" s="31">
        <f t="shared" si="15"/>
        <v>4303.6354999999994</v>
      </c>
      <c r="R151" s="31">
        <f t="shared" si="15"/>
        <v>3760.9193499999992</v>
      </c>
      <c r="S151" s="31">
        <f t="shared" si="15"/>
        <v>3218.203199999999</v>
      </c>
    </row>
    <row r="152" spans="1:19" x14ac:dyDescent="0.3">
      <c r="A152" s="3" t="s">
        <v>508</v>
      </c>
      <c r="B152" s="3" t="s">
        <v>380</v>
      </c>
      <c r="C152" s="3" t="str">
        <f>INDEX('R1. Scenario specifications'!$C$11:$C$59,MATCH($B152,'R1. Scenario specifications'!$A$11:$A$59,0))</f>
        <v>450 Scenario, World Energy Outlook 2016</v>
      </c>
      <c r="D152" s="3" t="s">
        <v>257</v>
      </c>
      <c r="E152" s="3" t="s">
        <v>257</v>
      </c>
      <c r="F152" s="3" t="s">
        <v>542</v>
      </c>
      <c r="G152" s="34">
        <f>INDEX('R10. WEO16 Electricity'!$B$13:$K$24,MATCH($E152,'R10. WEO16 Electricity'!$A$13:$A$24,0),MATCH(G$93,'R10. WEO16 Electricity'!$B$11:$K$11,0))</f>
        <v>2535.326</v>
      </c>
      <c r="H152" s="34"/>
      <c r="I152" s="34"/>
      <c r="J152" s="34"/>
      <c r="K152" s="34">
        <f>INDEX('R10. WEO16 Electricity'!$Q$13:$S$24,MATCH($E152,'R10. WEO16 Electricity'!$M$13:$M$24,0),MATCH(K$93,'R10. WEO16 Electricity'!$Q$11:$S$11,0))</f>
        <v>3127.7975999999999</v>
      </c>
      <c r="L152" s="34"/>
      <c r="M152" s="34">
        <f>INDEX('R10. WEO16 Electricity'!$Q$13:$S$24,MATCH($E152,'R10. WEO16 Electricity'!$M$13:$M$24,0),MATCH(M$93,'R10. WEO16 Electricity'!$Q$11:$S$11,0))</f>
        <v>4733.6832000000004</v>
      </c>
      <c r="N152" s="34"/>
      <c r="O152" s="34">
        <f>INDEX('R10. WEO16 Electricity'!$Q$13:$S$24,MATCH($E152,'R10. WEO16 Electricity'!$M$13:$M$24,0),MATCH(O$93,'R10. WEO16 Electricity'!$Q$11:$S$11,0))</f>
        <v>6101.2605999999996</v>
      </c>
      <c r="P152" s="31">
        <f t="shared" si="16"/>
        <v>6785.0492999999988</v>
      </c>
      <c r="Q152" s="31">
        <f t="shared" si="15"/>
        <v>7468.8379999999988</v>
      </c>
      <c r="R152" s="31">
        <f t="shared" si="15"/>
        <v>8152.6266999999989</v>
      </c>
      <c r="S152" s="31">
        <f t="shared" si="15"/>
        <v>8836.415399999998</v>
      </c>
    </row>
    <row r="153" spans="1:19" x14ac:dyDescent="0.3">
      <c r="A153" s="3" t="s">
        <v>508</v>
      </c>
      <c r="B153" s="3" t="s">
        <v>380</v>
      </c>
      <c r="C153" s="3" t="str">
        <f>INDEX('R1. Scenario specifications'!$C$11:$C$59,MATCH($B153,'R1. Scenario specifications'!$A$11:$A$59,0))</f>
        <v>450 Scenario, World Energy Outlook 2016</v>
      </c>
      <c r="D153" s="3" t="s">
        <v>256</v>
      </c>
      <c r="E153" s="3" t="s">
        <v>256</v>
      </c>
      <c r="F153" s="3" t="s">
        <v>542</v>
      </c>
      <c r="G153" s="34">
        <f>INDEX('R10. WEO16 Electricity'!$B$13:$K$24,MATCH($E153,'R10. WEO16 Electricity'!$A$13:$A$24,0),MATCH(G$93,'R10. WEO16 Electricity'!$B$11:$K$11,0))</f>
        <v>3893.634</v>
      </c>
      <c r="H153" s="34"/>
      <c r="I153" s="34"/>
      <c r="J153" s="34"/>
      <c r="K153" s="34">
        <f>INDEX('R10. WEO16 Electricity'!$Q$13:$S$24,MATCH($E153,'R10. WEO16 Electricity'!$M$13:$M$24,0),MATCH(K$93,'R10. WEO16 Electricity'!$Q$11:$S$11,0))</f>
        <v>4392.1990999999998</v>
      </c>
      <c r="L153" s="34"/>
      <c r="M153" s="34">
        <f>INDEX('R10. WEO16 Electricity'!$Q$13:$S$24,MATCH($E153,'R10. WEO16 Electricity'!$M$13:$M$24,0),MATCH(M$93,'R10. WEO16 Electricity'!$Q$11:$S$11,0))</f>
        <v>5655.2263000000003</v>
      </c>
      <c r="N153" s="34"/>
      <c r="O153" s="34">
        <f>INDEX('R10. WEO16 Electricity'!$Q$13:$S$24,MATCH($E153,'R10. WEO16 Electricity'!$M$13:$M$24,0),MATCH(O$93,'R10. WEO16 Electricity'!$Q$11:$S$11,0))</f>
        <v>6891.1526999999996</v>
      </c>
      <c r="P153" s="31">
        <f t="shared" si="16"/>
        <v>7509.1158999999989</v>
      </c>
      <c r="Q153" s="31">
        <f t="shared" si="15"/>
        <v>8127.079099999999</v>
      </c>
      <c r="R153" s="31">
        <f t="shared" si="15"/>
        <v>8745.0422999999992</v>
      </c>
      <c r="S153" s="31">
        <f t="shared" si="15"/>
        <v>9363.0054999999993</v>
      </c>
    </row>
    <row r="154" spans="1:19" x14ac:dyDescent="0.3">
      <c r="A154" s="3" t="s">
        <v>508</v>
      </c>
      <c r="B154" s="3" t="s">
        <v>380</v>
      </c>
      <c r="C154" s="3" t="str">
        <f>INDEX('R1. Scenario specifications'!$C$11:$C$59,MATCH($B154,'R1. Scenario specifications'!$A$11:$A$59,0))</f>
        <v>450 Scenario, World Energy Outlook 2016</v>
      </c>
      <c r="D154" s="3" t="s">
        <v>253</v>
      </c>
      <c r="E154" s="3" t="s">
        <v>503</v>
      </c>
      <c r="F154" s="3" t="s">
        <v>542</v>
      </c>
      <c r="G154" s="34">
        <f>INDEX('R10. WEO16 Electricity'!$B$13:$K$24,MATCH($E154,'R10. WEO16 Electricity'!$A$13:$A$24,0),MATCH(G$93,'R10. WEO16 Electricity'!$B$11:$K$11,0))</f>
        <v>494.91829999999999</v>
      </c>
      <c r="H154" s="34"/>
      <c r="I154" s="34"/>
      <c r="J154" s="34"/>
      <c r="K154" s="34">
        <f>INDEX('R10. WEO16 Electricity'!$Q$13:$S$24,MATCH($E154,'R10. WEO16 Electricity'!$M$13:$M$24,0),MATCH(K$93,'R10. WEO16 Electricity'!$Q$11:$S$11,0))</f>
        <v>646.17960000000005</v>
      </c>
      <c r="L154" s="34"/>
      <c r="M154" s="34">
        <f>INDEX('R10. WEO16 Electricity'!$Q$13:$S$24,MATCH($E154,'R10. WEO16 Electricity'!$M$13:$M$24,0),MATCH(M$93,'R10. WEO16 Electricity'!$Q$11:$S$11,0))</f>
        <v>1152.7361000000001</v>
      </c>
      <c r="N154" s="34"/>
      <c r="O154" s="34">
        <f>INDEX('R10. WEO16 Electricity'!$Q$13:$S$24,MATCH($E154,'R10. WEO16 Electricity'!$M$13:$M$24,0),MATCH(O$93,'R10. WEO16 Electricity'!$Q$11:$S$11,0))</f>
        <v>1898.588</v>
      </c>
      <c r="P154" s="31">
        <f t="shared" si="16"/>
        <v>2271.51395</v>
      </c>
      <c r="Q154" s="31">
        <f t="shared" si="15"/>
        <v>2644.4398999999999</v>
      </c>
      <c r="R154" s="31">
        <f t="shared" si="15"/>
        <v>3017.3658500000001</v>
      </c>
      <c r="S154" s="31">
        <f t="shared" si="15"/>
        <v>3390.2918</v>
      </c>
    </row>
    <row r="155" spans="1:19" x14ac:dyDescent="0.3">
      <c r="A155" s="3" t="s">
        <v>508</v>
      </c>
      <c r="B155" s="3" t="s">
        <v>380</v>
      </c>
      <c r="C155" s="3" t="str">
        <f>INDEX('R1. Scenario specifications'!$C$11:$C$59,MATCH($B155,'R1. Scenario specifications'!$A$11:$A$59,0))</f>
        <v>450 Scenario, World Energy Outlook 2016</v>
      </c>
      <c r="D155" s="3" t="s">
        <v>260</v>
      </c>
      <c r="E155" s="3" t="s">
        <v>260</v>
      </c>
      <c r="F155" s="3" t="s">
        <v>542</v>
      </c>
      <c r="G155" s="34">
        <f>INDEX('R10. WEO16 Electricity'!$B$13:$K$24,MATCH($E155,'R10. WEO16 Electricity'!$A$13:$A$24,0),MATCH(G$93,'R10. WEO16 Electricity'!$B$11:$K$11,0))</f>
        <v>717.29300000000001</v>
      </c>
      <c r="H155" s="34"/>
      <c r="I155" s="34"/>
      <c r="J155" s="34"/>
      <c r="K155" s="34">
        <f>INDEX('R10. WEO16 Electricity'!$Q$13:$S$24,MATCH($E155,'R10. WEO16 Electricity'!$M$13:$M$24,0),MATCH(K$93,'R10. WEO16 Electricity'!$Q$11:$S$11,0))</f>
        <v>1585.2916</v>
      </c>
      <c r="L155" s="34"/>
      <c r="M155" s="34">
        <f>INDEX('R10. WEO16 Electricity'!$Q$13:$S$24,MATCH($E155,'R10. WEO16 Electricity'!$M$13:$M$24,0),MATCH(M$93,'R10. WEO16 Electricity'!$Q$11:$S$11,0))</f>
        <v>3846.0500999999999</v>
      </c>
      <c r="N155" s="34"/>
      <c r="O155" s="34">
        <f>INDEX('R10. WEO16 Electricity'!$Q$13:$S$24,MATCH($E155,'R10. WEO16 Electricity'!$M$13:$M$24,0),MATCH(O$93,'R10. WEO16 Electricity'!$Q$11:$S$11,0))</f>
        <v>6126.8730999999998</v>
      </c>
      <c r="P155" s="31">
        <f t="shared" si="16"/>
        <v>7267.2846</v>
      </c>
      <c r="Q155" s="31">
        <f t="shared" si="15"/>
        <v>8407.6960999999992</v>
      </c>
      <c r="R155" s="31">
        <f t="shared" si="15"/>
        <v>9548.1075999999994</v>
      </c>
      <c r="S155" s="31">
        <f t="shared" si="15"/>
        <v>10688.5191</v>
      </c>
    </row>
    <row r="156" spans="1:19" x14ac:dyDescent="0.3">
      <c r="A156" s="3" t="s">
        <v>508</v>
      </c>
      <c r="B156" s="3" t="s">
        <v>380</v>
      </c>
      <c r="C156" s="3" t="str">
        <f>INDEX('R1. Scenario specifications'!$C$11:$C$59,MATCH($B156,'R1. Scenario specifications'!$A$11:$A$59,0))</f>
        <v>450 Scenario, World Energy Outlook 2016</v>
      </c>
      <c r="D156" s="3" t="s">
        <v>258</v>
      </c>
      <c r="E156" s="3" t="s">
        <v>506</v>
      </c>
      <c r="F156" s="3" t="s">
        <v>542</v>
      </c>
      <c r="G156" s="34">
        <f>INDEX('R10. WEO16 Electricity'!$B$13:$K$24,MATCH($E156,'R10. WEO16 Electricity'!$A$13:$A$24,0),MATCH(G$93,'R10. WEO16 Electricity'!$B$11:$K$11,0))</f>
        <v>77.376999999999995</v>
      </c>
      <c r="H156" s="34"/>
      <c r="I156" s="34"/>
      <c r="J156" s="34"/>
      <c r="K156" s="34">
        <f>INDEX('R10. WEO16 Electricity'!$Q$13:$S$24,MATCH($E156,'R10. WEO16 Electricity'!$M$13:$M$24,0),MATCH(K$93,'R10. WEO16 Electricity'!$Q$11:$S$11,0))</f>
        <v>113.8442</v>
      </c>
      <c r="L156" s="34"/>
      <c r="M156" s="34">
        <f>INDEX('R10. WEO16 Electricity'!$Q$13:$S$24,MATCH($E156,'R10. WEO16 Electricity'!$M$13:$M$24,0),MATCH(M$93,'R10. WEO16 Electricity'!$Q$11:$S$11,0))</f>
        <v>292.16219999999998</v>
      </c>
      <c r="N156" s="34"/>
      <c r="O156" s="34">
        <f>INDEX('R10. WEO16 Electricity'!$Q$13:$S$24,MATCH($E156,'R10. WEO16 Electricity'!$M$13:$M$24,0),MATCH(O$93,'R10. WEO16 Electricity'!$Q$11:$S$11,0))</f>
        <v>547.67930000000001</v>
      </c>
      <c r="P156" s="31">
        <f t="shared" si="16"/>
        <v>675.43785000000003</v>
      </c>
      <c r="Q156" s="31">
        <f t="shared" si="15"/>
        <v>803.19640000000004</v>
      </c>
      <c r="R156" s="31">
        <f t="shared" si="15"/>
        <v>930.95495000000005</v>
      </c>
      <c r="S156" s="31">
        <f t="shared" si="15"/>
        <v>1058.7135000000001</v>
      </c>
    </row>
    <row r="157" spans="1:19" x14ac:dyDescent="0.3">
      <c r="A157" s="3" t="s">
        <v>508</v>
      </c>
      <c r="B157" s="3" t="s">
        <v>380</v>
      </c>
      <c r="C157" s="3" t="str">
        <f>INDEX('R1. Scenario specifications'!$C$11:$C$59,MATCH($B157,'R1. Scenario specifications'!$A$11:$A$59,0))</f>
        <v>450 Scenario, World Energy Outlook 2016</v>
      </c>
      <c r="D157" s="3" t="s">
        <v>259</v>
      </c>
      <c r="E157" s="3" t="s">
        <v>504</v>
      </c>
      <c r="F157" s="3" t="s">
        <v>542</v>
      </c>
      <c r="G157" s="34">
        <f>INDEX('R10. WEO16 Electricity'!$B$13:$K$24,MATCH($E157,'R10. WEO16 Electricity'!$A$13:$A$24,0),MATCH(G$93,'R10. WEO16 Electricity'!$B$11:$K$11,0))</f>
        <v>189.68899999999999</v>
      </c>
      <c r="H157" s="34"/>
      <c r="I157" s="34"/>
      <c r="J157" s="34"/>
      <c r="K157" s="34">
        <f>INDEX('R10. WEO16 Electricity'!$Q$13:$S$24,MATCH($E157,'R10. WEO16 Electricity'!$M$13:$M$24,0),MATCH(K$93,'R10. WEO16 Electricity'!$Q$11:$S$11,0))</f>
        <v>638.39300000000003</v>
      </c>
      <c r="L157" s="34"/>
      <c r="M157" s="34">
        <f>INDEX('R10. WEO16 Electricity'!$Q$13:$S$24,MATCH($E157,'R10. WEO16 Electricity'!$M$13:$M$24,0),MATCH(M$93,'R10. WEO16 Electricity'!$Q$11:$S$11,0))</f>
        <v>1794.2394999999999</v>
      </c>
      <c r="N157" s="34"/>
      <c r="O157" s="34">
        <f>INDEX('R10. WEO16 Electricity'!$Q$13:$S$24,MATCH($E157,'R10. WEO16 Electricity'!$M$13:$M$24,0),MATCH(O$93,'R10. WEO16 Electricity'!$Q$11:$S$11,0))</f>
        <v>3208.6916000000001</v>
      </c>
      <c r="P157" s="31">
        <f t="shared" si="16"/>
        <v>3915.9176500000003</v>
      </c>
      <c r="Q157" s="31">
        <f t="shared" si="15"/>
        <v>4623.1437000000005</v>
      </c>
      <c r="R157" s="31">
        <f t="shared" si="15"/>
        <v>5330.3697500000007</v>
      </c>
      <c r="S157" s="31">
        <f t="shared" si="15"/>
        <v>6037.595800000001</v>
      </c>
    </row>
    <row r="158" spans="1:19" x14ac:dyDescent="0.3">
      <c r="A158" s="3" t="s">
        <v>508</v>
      </c>
      <c r="B158" s="3" t="s">
        <v>380</v>
      </c>
      <c r="C158" s="3" t="str">
        <f>INDEX('R1. Scenario specifications'!$C$11:$C$59,MATCH($B158,'R1. Scenario specifications'!$A$11:$A$59,0))</f>
        <v>450 Scenario, World Energy Outlook 2016</v>
      </c>
      <c r="D158" s="3" t="s">
        <v>259</v>
      </c>
      <c r="E158" s="3" t="s">
        <v>505</v>
      </c>
      <c r="F158" s="3" t="s">
        <v>542</v>
      </c>
      <c r="G158" s="34">
        <f>INDEX('R10. WEO16 Electricity'!$B$13:$K$24,MATCH($E158,'R10. WEO16 Electricity'!$A$13:$A$24,0),MATCH(G$93,'R10. WEO16 Electricity'!$B$11:$K$11,0))</f>
        <v>8.94</v>
      </c>
      <c r="H158" s="34"/>
      <c r="I158" s="34"/>
      <c r="J158" s="34"/>
      <c r="K158" s="34">
        <f>INDEX('R10. WEO16 Electricity'!$Q$13:$S$24,MATCH($E158,'R10. WEO16 Electricity'!$M$13:$M$24,0),MATCH(K$93,'R10. WEO16 Electricity'!$Q$11:$S$11,0))</f>
        <v>38.501899999999999</v>
      </c>
      <c r="L158" s="34"/>
      <c r="M158" s="34">
        <f>INDEX('R10. WEO16 Electricity'!$Q$13:$S$24,MATCH($E158,'R10. WEO16 Electricity'!$M$13:$M$24,0),MATCH(M$93,'R10. WEO16 Electricity'!$Q$11:$S$11,0))</f>
        <v>325.42290000000003</v>
      </c>
      <c r="N158" s="34"/>
      <c r="O158" s="34">
        <f>INDEX('R10. WEO16 Electricity'!$Q$13:$S$24,MATCH($E158,'R10. WEO16 Electricity'!$M$13:$M$24,0),MATCH(O$93,'R10. WEO16 Electricity'!$Q$11:$S$11,0))</f>
        <v>1118.3179</v>
      </c>
      <c r="P158" s="31">
        <f t="shared" si="16"/>
        <v>1514.7654</v>
      </c>
      <c r="Q158" s="31">
        <f t="shared" si="15"/>
        <v>1911.2129</v>
      </c>
      <c r="R158" s="31">
        <f t="shared" si="15"/>
        <v>2307.6603999999998</v>
      </c>
      <c r="S158" s="31">
        <f t="shared" si="15"/>
        <v>2704.1079</v>
      </c>
    </row>
    <row r="159" spans="1:19" x14ac:dyDescent="0.3">
      <c r="A159" s="39" t="s">
        <v>508</v>
      </c>
      <c r="B159" s="39" t="s">
        <v>380</v>
      </c>
      <c r="C159" s="39" t="str">
        <f>INDEX('R1. Scenario specifications'!$C$11:$C$59,MATCH($B159,'R1. Scenario specifications'!$A$11:$A$59,0))</f>
        <v>450 Scenario, World Energy Outlook 2016</v>
      </c>
      <c r="D159" s="39" t="s">
        <v>258</v>
      </c>
      <c r="E159" s="39" t="s">
        <v>507</v>
      </c>
      <c r="F159" s="39" t="s">
        <v>542</v>
      </c>
      <c r="G159" s="52">
        <f>INDEX('R10. WEO16 Electricity'!$B$13:$K$24,MATCH($E159,'R10. WEO16 Electricity'!$A$13:$A$24,0),MATCH(G$93,'R10. WEO16 Electricity'!$B$11:$K$11,0))</f>
        <v>0.999</v>
      </c>
      <c r="H159" s="52"/>
      <c r="I159" s="52"/>
      <c r="J159" s="52"/>
      <c r="K159" s="52">
        <f>INDEX('R10. WEO16 Electricity'!$Q$13:$S$24,MATCH($E159,'R10. WEO16 Electricity'!$M$13:$M$24,0),MATCH(K$93,'R10. WEO16 Electricity'!$Q$11:$S$11,0))</f>
        <v>2.6206</v>
      </c>
      <c r="L159" s="52"/>
      <c r="M159" s="52">
        <f>INDEX('R10. WEO16 Electricity'!$Q$13:$S$24,MATCH($E159,'R10. WEO16 Electricity'!$M$13:$M$24,0),MATCH(M$93,'R10. WEO16 Electricity'!$Q$11:$S$11,0))</f>
        <v>19.323699999999999</v>
      </c>
      <c r="N159" s="52"/>
      <c r="O159" s="52">
        <f>INDEX('R10. WEO16 Electricity'!$Q$13:$S$24,MATCH($E159,'R10. WEO16 Electricity'!$M$13:$M$24,0),MATCH(O$93,'R10. WEO16 Electricity'!$Q$11:$S$11,0))</f>
        <v>91.553399999999996</v>
      </c>
      <c r="P159" s="40">
        <f t="shared" si="16"/>
        <v>127.66825</v>
      </c>
      <c r="Q159" s="40">
        <f t="shared" si="15"/>
        <v>163.78309999999999</v>
      </c>
      <c r="R159" s="40">
        <f t="shared" si="15"/>
        <v>199.89794999999998</v>
      </c>
      <c r="S159" s="40">
        <f t="shared" si="15"/>
        <v>236.01279999999997</v>
      </c>
    </row>
    <row r="160" spans="1:19" x14ac:dyDescent="0.3">
      <c r="A160" s="3" t="s">
        <v>496</v>
      </c>
      <c r="B160" s="3" t="s">
        <v>381</v>
      </c>
      <c r="C160" s="3" t="str">
        <f>INDEX('R1. Scenario specifications'!$C$11:$C$59,MATCH($B160,'R1. Scenario specifications'!$A$11:$A$59,0))</f>
        <v>Reference Technologies Scenario, Energy Technology Perspectives 2017</v>
      </c>
      <c r="D160" s="3" t="s">
        <v>266</v>
      </c>
      <c r="E160" s="3" t="s">
        <v>266</v>
      </c>
      <c r="G160" s="34">
        <f>IFERROR(INDEX('R5. ETP17 Summary'!$C$106:$K$122,MATCH($E160,'R5. ETP17 Summary'!$B$106:$B$122,0),MATCH(G$93,'R5. ETP17 Summary'!$C$9:$K$9,0)),"")</f>
        <v>1033.346</v>
      </c>
      <c r="H160" s="34" t="str">
        <f>IFERROR(INDEX('R5. ETP17 Summary'!$C$106:$K$122,MATCH($E160,'R5. ETP17 Summary'!$B$106:$B$122,0),MATCH(H$93,'R5. ETP17 Summary'!$C$9:$K$9,0)),"")</f>
        <v/>
      </c>
      <c r="I160" s="34" t="str">
        <f>IFERROR(INDEX('R5. ETP17 Summary'!$C$106:$K$122,MATCH($E160,'R5. ETP17 Summary'!$B$106:$B$122,0),MATCH(I$93,'R5. ETP17 Summary'!$C$9:$K$9,0)),"")</f>
        <v/>
      </c>
      <c r="J160" s="34" t="str">
        <f>IFERROR(INDEX('R5. ETP17 Summary'!$C$106:$K$122,MATCH($E160,'R5. ETP17 Summary'!$B$106:$B$122,0),MATCH(J$93,'R5. ETP17 Summary'!$C$9:$K$9,0)),"")</f>
        <v/>
      </c>
      <c r="K160" s="34" t="str">
        <f>IFERROR(INDEX('R5. ETP17 Summary'!$C$106:$K$122,MATCH($E160,'R5. ETP17 Summary'!$B$106:$B$122,0),MATCH(K$93,'R5. ETP17 Summary'!$C$9:$K$9,0)),"")</f>
        <v/>
      </c>
      <c r="L160" s="34">
        <f>IFERROR(INDEX('R5. ETP17 Summary'!$C$106:$K$122,MATCH($E160,'R5. ETP17 Summary'!$B$106:$B$122,0),MATCH(L$93,'R5. ETP17 Summary'!$C$9:$K$9,0)),"")</f>
        <v>731.6395074225735</v>
      </c>
      <c r="M160" s="34">
        <f>IFERROR(INDEX('R5. ETP17 Summary'!$C$106:$K$122,MATCH($E160,'R5. ETP17 Summary'!$B$106:$B$122,0),MATCH(M$93,'R5. ETP17 Summary'!$C$9:$K$9,0)),"")</f>
        <v>636.182015274489</v>
      </c>
      <c r="N160" s="34">
        <f>IFERROR(INDEX('R5. ETP17 Summary'!$C$106:$K$122,MATCH($E160,'R5. ETP17 Summary'!$B$106:$B$122,0),MATCH(N$93,'R5. ETP17 Summary'!$C$9:$K$9,0)),"")</f>
        <v>592.2046341563057</v>
      </c>
      <c r="O160" s="34">
        <f>IFERROR(INDEX('R5. ETP17 Summary'!$C$106:$K$122,MATCH($E160,'R5. ETP17 Summary'!$B$106:$B$122,0),MATCH(O$93,'R5. ETP17 Summary'!$C$9:$K$9,0)),"")</f>
        <v>547.13021911998442</v>
      </c>
      <c r="P160" s="34">
        <f>IFERROR(INDEX('R5. ETP17 Summary'!$C$106:$K$122,MATCH($E160,'R5. ETP17 Summary'!$B$106:$B$122,0),MATCH(P$93,'R5. ETP17 Summary'!$C$9:$K$9,0)),"")</f>
        <v>501.70026522699101</v>
      </c>
      <c r="Q160" s="34">
        <f>IFERROR(INDEX('R5. ETP17 Summary'!$C$106:$K$122,MATCH($E160,'R5. ETP17 Summary'!$B$106:$B$122,0),MATCH(Q$93,'R5. ETP17 Summary'!$C$9:$K$9,0)),"")</f>
        <v>443.3984203392456</v>
      </c>
      <c r="R160" s="34">
        <f>IFERROR(INDEX('R5. ETP17 Summary'!$C$106:$K$122,MATCH($E160,'R5. ETP17 Summary'!$B$106:$B$122,0),MATCH(R$93,'R5. ETP17 Summary'!$C$9:$K$9,0)),"")</f>
        <v>407.03522270854523</v>
      </c>
      <c r="S160" s="34">
        <f>IFERROR(INDEX('R5. ETP17 Summary'!$C$106:$K$122,MATCH($E160,'R5. ETP17 Summary'!$B$106:$B$122,0),MATCH(S$93,'R5. ETP17 Summary'!$C$9:$K$9,0)),"")</f>
        <v>380.81049167807845</v>
      </c>
    </row>
    <row r="161" spans="1:19" x14ac:dyDescent="0.3">
      <c r="A161" s="3" t="s">
        <v>496</v>
      </c>
      <c r="B161" s="3" t="s">
        <v>381</v>
      </c>
      <c r="C161" s="3" t="str">
        <f>INDEX('R1. Scenario specifications'!$C$11:$C$59,MATCH($B161,'R1. Scenario specifications'!$A$11:$A$59,0))</f>
        <v>Reference Technologies Scenario, Energy Technology Perspectives 2017</v>
      </c>
      <c r="D161" s="3" t="s">
        <v>254</v>
      </c>
      <c r="E161" s="3" t="s">
        <v>254</v>
      </c>
      <c r="G161" s="34">
        <f>IFERROR(INDEX('R5. ETP17 Summary'!$C$106:$K$122,MATCH($E161,'R5. ETP17 Summary'!$B$106:$B$122,0),MATCH(G$93,'R5. ETP17 Summary'!$C$9:$K$9,0)),"")</f>
        <v>9697.148000000001</v>
      </c>
      <c r="H161" s="34" t="str">
        <f>IFERROR(INDEX('R5. ETP17 Summary'!$C$106:$K$122,MATCH($E161,'R5. ETP17 Summary'!$B$106:$B$122,0),MATCH(H$93,'R5. ETP17 Summary'!$C$9:$K$9,0)),"")</f>
        <v/>
      </c>
      <c r="I161" s="34" t="str">
        <f>IFERROR(INDEX('R5. ETP17 Summary'!$C$106:$K$122,MATCH($E161,'R5. ETP17 Summary'!$B$106:$B$122,0),MATCH(I$93,'R5. ETP17 Summary'!$C$9:$K$9,0)),"")</f>
        <v/>
      </c>
      <c r="J161" s="34" t="str">
        <f>IFERROR(INDEX('R5. ETP17 Summary'!$C$106:$K$122,MATCH($E161,'R5. ETP17 Summary'!$B$106:$B$122,0),MATCH(J$93,'R5. ETP17 Summary'!$C$9:$K$9,0)),"")</f>
        <v/>
      </c>
      <c r="K161" s="34" t="str">
        <f>IFERROR(INDEX('R5. ETP17 Summary'!$C$106:$K$122,MATCH($E161,'R5. ETP17 Summary'!$B$106:$B$122,0),MATCH(K$93,'R5. ETP17 Summary'!$C$9:$K$9,0)),"")</f>
        <v/>
      </c>
      <c r="L161" s="34">
        <f>IFERROR(INDEX('R5. ETP17 Summary'!$C$106:$K$122,MATCH($E161,'R5. ETP17 Summary'!$B$106:$B$122,0),MATCH(L$93,'R5. ETP17 Summary'!$C$9:$K$9,0)),"")</f>
        <v>10224.331976909791</v>
      </c>
      <c r="M161" s="34">
        <f>IFERROR(INDEX('R5. ETP17 Summary'!$C$106:$K$122,MATCH($E161,'R5. ETP17 Summary'!$B$106:$B$122,0),MATCH(M$93,'R5. ETP17 Summary'!$C$9:$K$9,0)),"")</f>
        <v>10399.385794522841</v>
      </c>
      <c r="N161" s="34">
        <f>IFERROR(INDEX('R5. ETP17 Summary'!$C$106:$K$122,MATCH($E161,'R5. ETP17 Summary'!$B$106:$B$122,0),MATCH(N$93,'R5. ETP17 Summary'!$C$9:$K$9,0)),"")</f>
        <v>10765.576690224972</v>
      </c>
      <c r="O161" s="34">
        <f>IFERROR(INDEX('R5. ETP17 Summary'!$C$106:$K$122,MATCH($E161,'R5. ETP17 Summary'!$B$106:$B$122,0),MATCH(O$93,'R5. ETP17 Summary'!$C$9:$K$9,0)),"")</f>
        <v>11129.281988298022</v>
      </c>
      <c r="P161" s="34">
        <f>IFERROR(INDEX('R5. ETP17 Summary'!$C$106:$K$122,MATCH($E161,'R5. ETP17 Summary'!$B$106:$B$122,0),MATCH(P$93,'R5. ETP17 Summary'!$C$9:$K$9,0)),"")</f>
        <v>11511.428555090468</v>
      </c>
      <c r="Q161" s="34">
        <f>IFERROR(INDEX('R5. ETP17 Summary'!$C$106:$K$122,MATCH($E161,'R5. ETP17 Summary'!$B$106:$B$122,0),MATCH(Q$93,'R5. ETP17 Summary'!$C$9:$K$9,0)),"")</f>
        <v>11448.663515556824</v>
      </c>
      <c r="R161" s="34">
        <f>IFERROR(INDEX('R5. ETP17 Summary'!$C$106:$K$122,MATCH($E161,'R5. ETP17 Summary'!$B$106:$B$122,0),MATCH(R$93,'R5. ETP17 Summary'!$C$9:$K$9,0)),"")</f>
        <v>11724.780115575504</v>
      </c>
      <c r="S161" s="34">
        <f>IFERROR(INDEX('R5. ETP17 Summary'!$C$106:$K$122,MATCH($E161,'R5. ETP17 Summary'!$B$106:$B$122,0),MATCH(S$93,'R5. ETP17 Summary'!$C$9:$K$9,0)),"")</f>
        <v>11865.168796870825</v>
      </c>
    </row>
    <row r="162" spans="1:19" x14ac:dyDescent="0.3">
      <c r="A162" s="3" t="s">
        <v>496</v>
      </c>
      <c r="B162" s="3" t="s">
        <v>381</v>
      </c>
      <c r="C162" s="3" t="str">
        <f>INDEX('R1. Scenario specifications'!$C$11:$C$59,MATCH($B162,'R1. Scenario specifications'!$A$11:$A$59,0))</f>
        <v>Reference Technologies Scenario, Energy Technology Perspectives 2017</v>
      </c>
      <c r="D162" s="3" t="s">
        <v>254</v>
      </c>
      <c r="E162" s="3" t="s">
        <v>509</v>
      </c>
      <c r="G162" s="34">
        <f>IFERROR(INDEX('R5. ETP17 Summary'!$C$106:$K$122,MATCH($E162,'R5. ETP17 Summary'!$B$106:$B$122,0),MATCH(G$93,'R5. ETP17 Summary'!$C$9:$K$9,0)),"")</f>
        <v>0</v>
      </c>
      <c r="H162" s="34" t="str">
        <f>IFERROR(INDEX('R5. ETP17 Summary'!$C$106:$K$122,MATCH($E162,'R5. ETP17 Summary'!$B$106:$B$122,0),MATCH(H$93,'R5. ETP17 Summary'!$C$9:$K$9,0)),"")</f>
        <v/>
      </c>
      <c r="I162" s="34" t="str">
        <f>IFERROR(INDEX('R5. ETP17 Summary'!$C$106:$K$122,MATCH($E162,'R5. ETP17 Summary'!$B$106:$B$122,0),MATCH(I$93,'R5. ETP17 Summary'!$C$9:$K$9,0)),"")</f>
        <v/>
      </c>
      <c r="J162" s="34" t="str">
        <f>IFERROR(INDEX('R5. ETP17 Summary'!$C$106:$K$122,MATCH($E162,'R5. ETP17 Summary'!$B$106:$B$122,0),MATCH(J$93,'R5. ETP17 Summary'!$C$9:$K$9,0)),"")</f>
        <v/>
      </c>
      <c r="K162" s="34" t="str">
        <f>IFERROR(INDEX('R5. ETP17 Summary'!$C$106:$K$122,MATCH($E162,'R5. ETP17 Summary'!$B$106:$B$122,0),MATCH(K$93,'R5. ETP17 Summary'!$C$9:$K$9,0)),"")</f>
        <v/>
      </c>
      <c r="L162" s="34">
        <f>IFERROR(INDEX('R5. ETP17 Summary'!$C$106:$K$122,MATCH($E162,'R5. ETP17 Summary'!$B$106:$B$122,0),MATCH(L$93,'R5. ETP17 Summary'!$C$9:$K$9,0)),"")</f>
        <v>7.328667259068129</v>
      </c>
      <c r="M162" s="34">
        <f>IFERROR(INDEX('R5. ETP17 Summary'!$C$106:$K$122,MATCH($E162,'R5. ETP17 Summary'!$B$106:$B$122,0),MATCH(M$93,'R5. ETP17 Summary'!$C$9:$K$9,0)),"")</f>
        <v>11.306445041755779</v>
      </c>
      <c r="N162" s="34">
        <f>IFERROR(INDEX('R5. ETP17 Summary'!$C$106:$K$122,MATCH($E162,'R5. ETP17 Summary'!$B$106:$B$122,0),MATCH(N$93,'R5. ETP17 Summary'!$C$9:$K$9,0)),"")</f>
        <v>37.015970550771598</v>
      </c>
      <c r="O162" s="34">
        <f>IFERROR(INDEX('R5. ETP17 Summary'!$C$106:$K$122,MATCH($E162,'R5. ETP17 Summary'!$B$106:$B$122,0),MATCH(O$93,'R5. ETP17 Summary'!$C$9:$K$9,0)),"")</f>
        <v>81.88668052102409</v>
      </c>
      <c r="P162" s="34">
        <f>IFERROR(INDEX('R5. ETP17 Summary'!$C$106:$K$122,MATCH($E162,'R5. ETP17 Summary'!$B$106:$B$122,0),MATCH(P$93,'R5. ETP17 Summary'!$C$9:$K$9,0)),"")</f>
        <v>115.36180172680058</v>
      </c>
      <c r="Q162" s="34">
        <f>IFERROR(INDEX('R5. ETP17 Summary'!$C$106:$K$122,MATCH($E162,'R5. ETP17 Summary'!$B$106:$B$122,0),MATCH(Q$93,'R5. ETP17 Summary'!$C$9:$K$9,0)),"")</f>
        <v>155.70643747834674</v>
      </c>
      <c r="R162" s="34">
        <f>IFERROR(INDEX('R5. ETP17 Summary'!$C$106:$K$122,MATCH($E162,'R5. ETP17 Summary'!$B$106:$B$122,0),MATCH(R$93,'R5. ETP17 Summary'!$C$9:$K$9,0)),"")</f>
        <v>256.45309660938108</v>
      </c>
      <c r="S162" s="34">
        <f>IFERROR(INDEX('R5. ETP17 Summary'!$C$106:$K$122,MATCH($E162,'R5. ETP17 Summary'!$B$106:$B$122,0),MATCH(S$93,'R5. ETP17 Summary'!$C$9:$K$9,0)),"")</f>
        <v>394.29256398396149</v>
      </c>
    </row>
    <row r="163" spans="1:19" x14ac:dyDescent="0.3">
      <c r="A163" s="3" t="s">
        <v>496</v>
      </c>
      <c r="B163" s="3" t="s">
        <v>381</v>
      </c>
      <c r="C163" s="3" t="str">
        <f>INDEX('R1. Scenario specifications'!$C$11:$C$59,MATCH($B163,'R1. Scenario specifications'!$A$11:$A$59,0))</f>
        <v>Reference Technologies Scenario, Energy Technology Perspectives 2017</v>
      </c>
      <c r="D163" s="3" t="s">
        <v>255</v>
      </c>
      <c r="E163" s="3" t="s">
        <v>510</v>
      </c>
      <c r="G163" s="34">
        <f>IFERROR(INDEX('R5. ETP17 Summary'!$C$106:$K$122,MATCH($E163,'R5. ETP17 Summary'!$B$106:$B$122,0),MATCH(G$93,'R5. ETP17 Summary'!$C$9:$K$9,0)),"")</f>
        <v>5154.8270000000002</v>
      </c>
      <c r="H163" s="34" t="str">
        <f>IFERROR(INDEX('R5. ETP17 Summary'!$C$106:$K$122,MATCH($E163,'R5. ETP17 Summary'!$B$106:$B$122,0),MATCH(H$93,'R5. ETP17 Summary'!$C$9:$K$9,0)),"")</f>
        <v/>
      </c>
      <c r="I163" s="34" t="str">
        <f>IFERROR(INDEX('R5. ETP17 Summary'!$C$106:$K$122,MATCH($E163,'R5. ETP17 Summary'!$B$106:$B$122,0),MATCH(I$93,'R5. ETP17 Summary'!$C$9:$K$9,0)),"")</f>
        <v/>
      </c>
      <c r="J163" s="34" t="str">
        <f>IFERROR(INDEX('R5. ETP17 Summary'!$C$106:$K$122,MATCH($E163,'R5. ETP17 Summary'!$B$106:$B$122,0),MATCH(J$93,'R5. ETP17 Summary'!$C$9:$K$9,0)),"")</f>
        <v/>
      </c>
      <c r="K163" s="34" t="str">
        <f>IFERROR(INDEX('R5. ETP17 Summary'!$C$106:$K$122,MATCH($E163,'R5. ETP17 Summary'!$B$106:$B$122,0),MATCH(K$93,'R5. ETP17 Summary'!$C$9:$K$9,0)),"")</f>
        <v/>
      </c>
      <c r="L163" s="34">
        <f>IFERROR(INDEX('R5. ETP17 Summary'!$C$106:$K$122,MATCH($E163,'R5. ETP17 Summary'!$B$106:$B$122,0),MATCH(L$93,'R5. ETP17 Summary'!$C$9:$K$9,0)),"")</f>
        <v>6583.3089580030128</v>
      </c>
      <c r="M163" s="34">
        <f>IFERROR(INDEX('R5. ETP17 Summary'!$C$106:$K$122,MATCH($E163,'R5. ETP17 Summary'!$B$106:$B$122,0),MATCH(M$93,'R5. ETP17 Summary'!$C$9:$K$9,0)),"")</f>
        <v>7763.9542006164847</v>
      </c>
      <c r="N163" s="34">
        <f>IFERROR(INDEX('R5. ETP17 Summary'!$C$106:$K$122,MATCH($E163,'R5. ETP17 Summary'!$B$106:$B$122,0),MATCH(N$93,'R5. ETP17 Summary'!$C$9:$K$9,0)),"")</f>
        <v>8695.0780110526503</v>
      </c>
      <c r="O163" s="34">
        <f>IFERROR(INDEX('R5. ETP17 Summary'!$C$106:$K$122,MATCH($E163,'R5. ETP17 Summary'!$B$106:$B$122,0),MATCH(O$93,'R5. ETP17 Summary'!$C$9:$K$9,0)),"")</f>
        <v>9395.0741556384983</v>
      </c>
      <c r="P163" s="34">
        <f>IFERROR(INDEX('R5. ETP17 Summary'!$C$106:$K$122,MATCH($E163,'R5. ETP17 Summary'!$B$106:$B$122,0),MATCH(P$93,'R5. ETP17 Summary'!$C$9:$K$9,0)),"")</f>
        <v>10057.540813895181</v>
      </c>
      <c r="Q163" s="34">
        <f>IFERROR(INDEX('R5. ETP17 Summary'!$C$106:$K$122,MATCH($E163,'R5. ETP17 Summary'!$B$106:$B$122,0),MATCH(Q$93,'R5. ETP17 Summary'!$C$9:$K$9,0)),"")</f>
        <v>10585.977461581271</v>
      </c>
      <c r="R163" s="34">
        <f>IFERROR(INDEX('R5. ETP17 Summary'!$C$106:$K$122,MATCH($E163,'R5. ETP17 Summary'!$B$106:$B$122,0),MATCH(R$93,'R5. ETP17 Summary'!$C$9:$K$9,0)),"")</f>
        <v>10981.319560540087</v>
      </c>
      <c r="S163" s="34">
        <f>IFERROR(INDEX('R5. ETP17 Summary'!$C$106:$K$122,MATCH($E163,'R5. ETP17 Summary'!$B$106:$B$122,0),MATCH(S$93,'R5. ETP17 Summary'!$C$9:$K$9,0)),"")</f>
        <v>11701.683111283668</v>
      </c>
    </row>
    <row r="164" spans="1:19" x14ac:dyDescent="0.3">
      <c r="A164" s="3" t="s">
        <v>496</v>
      </c>
      <c r="B164" s="3" t="s">
        <v>381</v>
      </c>
      <c r="C164" s="3" t="str">
        <f>INDEX('R1. Scenario specifications'!$C$11:$C$59,MATCH($B164,'R1. Scenario specifications'!$A$11:$A$59,0))</f>
        <v>Reference Technologies Scenario, Energy Technology Perspectives 2017</v>
      </c>
      <c r="D164" s="3" t="s">
        <v>255</v>
      </c>
      <c r="E164" s="3" t="s">
        <v>511</v>
      </c>
      <c r="G164" s="34">
        <f>IFERROR(INDEX('R5. ETP17 Summary'!$C$106:$K$122,MATCH($E164,'R5. ETP17 Summary'!$B$106:$B$122,0),MATCH(G$93,'R5. ETP17 Summary'!$C$9:$K$9,0)),"")</f>
        <v>0</v>
      </c>
      <c r="H164" s="34" t="str">
        <f>IFERROR(INDEX('R5. ETP17 Summary'!$C$106:$K$122,MATCH($E164,'R5. ETP17 Summary'!$B$106:$B$122,0),MATCH(H$93,'R5. ETP17 Summary'!$C$9:$K$9,0)),"")</f>
        <v/>
      </c>
      <c r="I164" s="34" t="str">
        <f>IFERROR(INDEX('R5. ETP17 Summary'!$C$106:$K$122,MATCH($E164,'R5. ETP17 Summary'!$B$106:$B$122,0),MATCH(I$93,'R5. ETP17 Summary'!$C$9:$K$9,0)),"")</f>
        <v/>
      </c>
      <c r="J164" s="34" t="str">
        <f>IFERROR(INDEX('R5. ETP17 Summary'!$C$106:$K$122,MATCH($E164,'R5. ETP17 Summary'!$B$106:$B$122,0),MATCH(J$93,'R5. ETP17 Summary'!$C$9:$K$9,0)),"")</f>
        <v/>
      </c>
      <c r="K164" s="34" t="str">
        <f>IFERROR(INDEX('R5. ETP17 Summary'!$C$106:$K$122,MATCH($E164,'R5. ETP17 Summary'!$B$106:$B$122,0),MATCH(K$93,'R5. ETP17 Summary'!$C$9:$K$9,0)),"")</f>
        <v/>
      </c>
      <c r="L164" s="34">
        <f>IFERROR(INDEX('R5. ETP17 Summary'!$C$106:$K$122,MATCH($E164,'R5. ETP17 Summary'!$B$106:$B$122,0),MATCH(L$93,'R5. ETP17 Summary'!$C$9:$K$9,0)),"")</f>
        <v>0</v>
      </c>
      <c r="M164" s="34">
        <f>IFERROR(INDEX('R5. ETP17 Summary'!$C$106:$K$122,MATCH($E164,'R5. ETP17 Summary'!$B$106:$B$122,0),MATCH(M$93,'R5. ETP17 Summary'!$C$9:$K$9,0)),"")</f>
        <v>0</v>
      </c>
      <c r="N164" s="34">
        <f>IFERROR(INDEX('R5. ETP17 Summary'!$C$106:$K$122,MATCH($E164,'R5. ETP17 Summary'!$B$106:$B$122,0),MATCH(N$93,'R5. ETP17 Summary'!$C$9:$K$9,0)),"")</f>
        <v>0</v>
      </c>
      <c r="O164" s="34">
        <f>IFERROR(INDEX('R5. ETP17 Summary'!$C$106:$K$122,MATCH($E164,'R5. ETP17 Summary'!$B$106:$B$122,0),MATCH(O$93,'R5. ETP17 Summary'!$C$9:$K$9,0)),"")</f>
        <v>0</v>
      </c>
      <c r="P164" s="34">
        <f>IFERROR(INDEX('R5. ETP17 Summary'!$C$106:$K$122,MATCH($E164,'R5. ETP17 Summary'!$B$106:$B$122,0),MATCH(P$93,'R5. ETP17 Summary'!$C$9:$K$9,0)),"")</f>
        <v>0</v>
      </c>
      <c r="Q164" s="34">
        <f>IFERROR(INDEX('R5. ETP17 Summary'!$C$106:$K$122,MATCH($E164,'R5. ETP17 Summary'!$B$106:$B$122,0),MATCH(Q$93,'R5. ETP17 Summary'!$C$9:$K$9,0)),"")</f>
        <v>0</v>
      </c>
      <c r="R164" s="34">
        <f>IFERROR(INDEX('R5. ETP17 Summary'!$C$106:$K$122,MATCH($E164,'R5. ETP17 Summary'!$B$106:$B$122,0),MATCH(R$93,'R5. ETP17 Summary'!$C$9:$K$9,0)),"")</f>
        <v>0</v>
      </c>
      <c r="S164" s="34">
        <f>IFERROR(INDEX('R5. ETP17 Summary'!$C$106:$K$122,MATCH($E164,'R5. ETP17 Summary'!$B$106:$B$122,0),MATCH(S$93,'R5. ETP17 Summary'!$C$9:$K$9,0)),"")</f>
        <v>0</v>
      </c>
    </row>
    <row r="165" spans="1:19" x14ac:dyDescent="0.3">
      <c r="A165" s="3" t="s">
        <v>496</v>
      </c>
      <c r="B165" s="3" t="s">
        <v>381</v>
      </c>
      <c r="C165" s="3" t="str">
        <f>INDEX('R1. Scenario specifications'!$C$11:$C$59,MATCH($B165,'R1. Scenario specifications'!$A$11:$A$59,0))</f>
        <v>Reference Technologies Scenario, Energy Technology Perspectives 2017</v>
      </c>
      <c r="D165" s="3" t="s">
        <v>257</v>
      </c>
      <c r="E165" s="3" t="s">
        <v>257</v>
      </c>
      <c r="G165" s="34">
        <f>IFERROR(INDEX('R5. ETP17 Summary'!$C$106:$K$122,MATCH($E165,'R5. ETP17 Summary'!$B$106:$B$122,0),MATCH(G$93,'R5. ETP17 Summary'!$C$9:$K$9,0)),"")</f>
        <v>2535.326</v>
      </c>
      <c r="H165" s="34" t="str">
        <f>IFERROR(INDEX('R5. ETP17 Summary'!$C$106:$K$122,MATCH($E165,'R5. ETP17 Summary'!$B$106:$B$122,0),MATCH(H$93,'R5. ETP17 Summary'!$C$9:$K$9,0)),"")</f>
        <v/>
      </c>
      <c r="I165" s="34" t="str">
        <f>IFERROR(INDEX('R5. ETP17 Summary'!$C$106:$K$122,MATCH($E165,'R5. ETP17 Summary'!$B$106:$B$122,0),MATCH(I$93,'R5. ETP17 Summary'!$C$9:$K$9,0)),"")</f>
        <v/>
      </c>
      <c r="J165" s="34" t="str">
        <f>IFERROR(INDEX('R5. ETP17 Summary'!$C$106:$K$122,MATCH($E165,'R5. ETP17 Summary'!$B$106:$B$122,0),MATCH(J$93,'R5. ETP17 Summary'!$C$9:$K$9,0)),"")</f>
        <v/>
      </c>
      <c r="K165" s="34" t="str">
        <f>IFERROR(INDEX('R5. ETP17 Summary'!$C$106:$K$122,MATCH($E165,'R5. ETP17 Summary'!$B$106:$B$122,0),MATCH(K$93,'R5. ETP17 Summary'!$C$9:$K$9,0)),"")</f>
        <v/>
      </c>
      <c r="L165" s="34">
        <f>IFERROR(INDEX('R5. ETP17 Summary'!$C$106:$K$122,MATCH($E165,'R5. ETP17 Summary'!$B$106:$B$122,0),MATCH(L$93,'R5. ETP17 Summary'!$C$9:$K$9,0)),"")</f>
        <v>3476.4352489146872</v>
      </c>
      <c r="M165" s="34">
        <f>IFERROR(INDEX('R5. ETP17 Summary'!$C$106:$K$122,MATCH($E165,'R5. ETP17 Summary'!$B$106:$B$122,0),MATCH(M$93,'R5. ETP17 Summary'!$C$9:$K$9,0)),"")</f>
        <v>3858.309433592467</v>
      </c>
      <c r="N165" s="34">
        <f>IFERROR(INDEX('R5. ETP17 Summary'!$C$106:$K$122,MATCH($E165,'R5. ETP17 Summary'!$B$106:$B$122,0),MATCH(N$93,'R5. ETP17 Summary'!$C$9:$K$9,0)),"")</f>
        <v>4110.6028575443434</v>
      </c>
      <c r="O165" s="34">
        <f>IFERROR(INDEX('R5. ETP17 Summary'!$C$106:$K$122,MATCH($E165,'R5. ETP17 Summary'!$B$106:$B$122,0),MATCH(O$93,'R5. ETP17 Summary'!$C$9:$K$9,0)),"")</f>
        <v>4470.642667725906</v>
      </c>
      <c r="P165" s="34">
        <f>IFERROR(INDEX('R5. ETP17 Summary'!$C$106:$K$122,MATCH($E165,'R5. ETP17 Summary'!$B$106:$B$122,0),MATCH(P$93,'R5. ETP17 Summary'!$C$9:$K$9,0)),"")</f>
        <v>4738.6049947554629</v>
      </c>
      <c r="Q165" s="34">
        <f>IFERROR(INDEX('R5. ETP17 Summary'!$C$106:$K$122,MATCH($E165,'R5. ETP17 Summary'!$B$106:$B$122,0),MATCH(Q$93,'R5. ETP17 Summary'!$C$9:$K$9,0)),"")</f>
        <v>4951.3005497209251</v>
      </c>
      <c r="R165" s="34">
        <f>IFERROR(INDEX('R5. ETP17 Summary'!$C$106:$K$122,MATCH($E165,'R5. ETP17 Summary'!$B$106:$B$122,0),MATCH(R$93,'R5. ETP17 Summary'!$C$9:$K$9,0)),"")</f>
        <v>5161.0779411879485</v>
      </c>
      <c r="S165" s="34">
        <f>IFERROR(INDEX('R5. ETP17 Summary'!$C$106:$K$122,MATCH($E165,'R5. ETP17 Summary'!$B$106:$B$122,0),MATCH(S$93,'R5. ETP17 Summary'!$C$9:$K$9,0)),"")</f>
        <v>5290.4398973588859</v>
      </c>
    </row>
    <row r="166" spans="1:19" x14ac:dyDescent="0.3">
      <c r="A166" s="3" t="s">
        <v>496</v>
      </c>
      <c r="B166" s="3" t="s">
        <v>381</v>
      </c>
      <c r="C166" s="3" t="str">
        <f>INDEX('R1. Scenario specifications'!$C$11:$C$59,MATCH($B166,'R1. Scenario specifications'!$A$11:$A$59,0))</f>
        <v>Reference Technologies Scenario, Energy Technology Perspectives 2017</v>
      </c>
      <c r="D166" s="3" t="s">
        <v>253</v>
      </c>
      <c r="E166" s="3" t="s">
        <v>512</v>
      </c>
      <c r="G166" s="34">
        <f>IFERROR(INDEX('R5. ETP17 Summary'!$C$106:$K$122,MATCH($E166,'R5. ETP17 Summary'!$B$106:$B$122,0),MATCH(G$93,'R5. ETP17 Summary'!$C$9:$K$9,0)),"")</f>
        <v>495.94800000000004</v>
      </c>
      <c r="H166" s="34" t="str">
        <f>IFERROR(INDEX('R5. ETP17 Summary'!$C$106:$K$122,MATCH($E166,'R5. ETP17 Summary'!$B$106:$B$122,0),MATCH(H$93,'R5. ETP17 Summary'!$C$9:$K$9,0)),"")</f>
        <v/>
      </c>
      <c r="I166" s="34" t="str">
        <f>IFERROR(INDEX('R5. ETP17 Summary'!$C$106:$K$122,MATCH($E166,'R5. ETP17 Summary'!$B$106:$B$122,0),MATCH(I$93,'R5. ETP17 Summary'!$C$9:$K$9,0)),"")</f>
        <v/>
      </c>
      <c r="J166" s="34" t="str">
        <f>IFERROR(INDEX('R5. ETP17 Summary'!$C$106:$K$122,MATCH($E166,'R5. ETP17 Summary'!$B$106:$B$122,0),MATCH(J$93,'R5. ETP17 Summary'!$C$9:$K$9,0)),"")</f>
        <v/>
      </c>
      <c r="K166" s="34" t="str">
        <f>IFERROR(INDEX('R5. ETP17 Summary'!$C$106:$K$122,MATCH($E166,'R5. ETP17 Summary'!$B$106:$B$122,0),MATCH(K$93,'R5. ETP17 Summary'!$C$9:$K$9,0)),"")</f>
        <v/>
      </c>
      <c r="L166" s="34">
        <f>IFERROR(INDEX('R5. ETP17 Summary'!$C$106:$K$122,MATCH($E166,'R5. ETP17 Summary'!$B$106:$B$122,0),MATCH(L$93,'R5. ETP17 Summary'!$C$9:$K$9,0)),"")</f>
        <v>1031.9215251252633</v>
      </c>
      <c r="M166" s="34">
        <f>IFERROR(INDEX('R5. ETP17 Summary'!$C$106:$K$122,MATCH($E166,'R5. ETP17 Summary'!$B$106:$B$122,0),MATCH(M$93,'R5. ETP17 Summary'!$C$9:$K$9,0)),"")</f>
        <v>1267.4188623850657</v>
      </c>
      <c r="N166" s="34">
        <f>IFERROR(INDEX('R5. ETP17 Summary'!$C$106:$K$122,MATCH($E166,'R5. ETP17 Summary'!$B$106:$B$122,0),MATCH(N$93,'R5. ETP17 Summary'!$C$9:$K$9,0)),"")</f>
        <v>1463.2811622450477</v>
      </c>
      <c r="O166" s="34">
        <f>IFERROR(INDEX('R5. ETP17 Summary'!$C$106:$K$122,MATCH($E166,'R5. ETP17 Summary'!$B$106:$B$122,0),MATCH(O$93,'R5. ETP17 Summary'!$C$9:$K$9,0)),"")</f>
        <v>1692.7129640688756</v>
      </c>
      <c r="P166" s="34">
        <f>IFERROR(INDEX('R5. ETP17 Summary'!$C$106:$K$122,MATCH($E166,'R5. ETP17 Summary'!$B$106:$B$122,0),MATCH(P$93,'R5. ETP17 Summary'!$C$9:$K$9,0)),"")</f>
        <v>1893.8729089952822</v>
      </c>
      <c r="Q166" s="34">
        <f>IFERROR(INDEX('R5. ETP17 Summary'!$C$106:$K$122,MATCH($E166,'R5. ETP17 Summary'!$B$106:$B$122,0),MATCH(Q$93,'R5. ETP17 Summary'!$C$9:$K$9,0)),"")</f>
        <v>2197.8779723738462</v>
      </c>
      <c r="R166" s="34">
        <f>IFERROR(INDEX('R5. ETP17 Summary'!$C$106:$K$122,MATCH($E166,'R5. ETP17 Summary'!$B$106:$B$122,0),MATCH(R$93,'R5. ETP17 Summary'!$C$9:$K$9,0)),"")</f>
        <v>2522.0628215103143</v>
      </c>
      <c r="S166" s="34">
        <f>IFERROR(INDEX('R5. ETP17 Summary'!$C$106:$K$122,MATCH($E166,'R5. ETP17 Summary'!$B$106:$B$122,0),MATCH(S$93,'R5. ETP17 Summary'!$C$9:$K$9,0)),"")</f>
        <v>2731.1723470139859</v>
      </c>
    </row>
    <row r="167" spans="1:19" x14ac:dyDescent="0.3">
      <c r="A167" s="3" t="s">
        <v>496</v>
      </c>
      <c r="B167" s="3" t="s">
        <v>381</v>
      </c>
      <c r="C167" s="3" t="str">
        <f>INDEX('R1. Scenario specifications'!$C$11:$C$59,MATCH($B167,'R1. Scenario specifications'!$A$11:$A$59,0))</f>
        <v>Reference Technologies Scenario, Energy Technology Perspectives 2017</v>
      </c>
      <c r="D167" s="3" t="s">
        <v>253</v>
      </c>
      <c r="E167" s="3" t="s">
        <v>513</v>
      </c>
      <c r="G167" s="34">
        <f>IFERROR(INDEX('R5. ETP17 Summary'!$C$106:$K$122,MATCH($E167,'R5. ETP17 Summary'!$B$106:$B$122,0),MATCH(G$93,'R5. ETP17 Summary'!$C$9:$K$9,0)),"")</f>
        <v>0</v>
      </c>
      <c r="H167" s="34" t="str">
        <f>IFERROR(INDEX('R5. ETP17 Summary'!$C$106:$K$122,MATCH($E167,'R5. ETP17 Summary'!$B$106:$B$122,0),MATCH(H$93,'R5. ETP17 Summary'!$C$9:$K$9,0)),"")</f>
        <v/>
      </c>
      <c r="I167" s="34" t="str">
        <f>IFERROR(INDEX('R5. ETP17 Summary'!$C$106:$K$122,MATCH($E167,'R5. ETP17 Summary'!$B$106:$B$122,0),MATCH(I$93,'R5. ETP17 Summary'!$C$9:$K$9,0)),"")</f>
        <v/>
      </c>
      <c r="J167" s="34" t="str">
        <f>IFERROR(INDEX('R5. ETP17 Summary'!$C$106:$K$122,MATCH($E167,'R5. ETP17 Summary'!$B$106:$B$122,0),MATCH(J$93,'R5. ETP17 Summary'!$C$9:$K$9,0)),"")</f>
        <v/>
      </c>
      <c r="K167" s="34" t="str">
        <f>IFERROR(INDEX('R5. ETP17 Summary'!$C$106:$K$122,MATCH($E167,'R5. ETP17 Summary'!$B$106:$B$122,0),MATCH(K$93,'R5. ETP17 Summary'!$C$9:$K$9,0)),"")</f>
        <v/>
      </c>
      <c r="L167" s="34">
        <f>IFERROR(INDEX('R5. ETP17 Summary'!$C$106:$K$122,MATCH($E167,'R5. ETP17 Summary'!$B$106:$B$122,0),MATCH(L$93,'R5. ETP17 Summary'!$C$9:$K$9,0)),"")</f>
        <v>0</v>
      </c>
      <c r="M167" s="34">
        <f>IFERROR(INDEX('R5. ETP17 Summary'!$C$106:$K$122,MATCH($E167,'R5. ETP17 Summary'!$B$106:$B$122,0),MATCH(M$93,'R5. ETP17 Summary'!$C$9:$K$9,0)),"")</f>
        <v>0</v>
      </c>
      <c r="N167" s="34">
        <f>IFERROR(INDEX('R5. ETP17 Summary'!$C$106:$K$122,MATCH($E167,'R5. ETP17 Summary'!$B$106:$B$122,0),MATCH(N$93,'R5. ETP17 Summary'!$C$9:$K$9,0)),"")</f>
        <v>0</v>
      </c>
      <c r="O167" s="34">
        <f>IFERROR(INDEX('R5. ETP17 Summary'!$C$106:$K$122,MATCH($E167,'R5. ETP17 Summary'!$B$106:$B$122,0),MATCH(O$93,'R5. ETP17 Summary'!$C$9:$K$9,0)),"")</f>
        <v>2.6661947052923547</v>
      </c>
      <c r="P167" s="34">
        <f>IFERROR(INDEX('R5. ETP17 Summary'!$C$106:$K$122,MATCH($E167,'R5. ETP17 Summary'!$B$106:$B$122,0),MATCH(P$93,'R5. ETP17 Summary'!$C$9:$K$9,0)),"")</f>
        <v>7.0385098799098555</v>
      </c>
      <c r="Q167" s="34">
        <f>IFERROR(INDEX('R5. ETP17 Summary'!$C$106:$K$122,MATCH($E167,'R5. ETP17 Summary'!$B$106:$B$122,0),MATCH(Q$93,'R5. ETP17 Summary'!$C$9:$K$9,0)),"")</f>
        <v>12.4021523358698</v>
      </c>
      <c r="R167" s="34">
        <f>IFERROR(INDEX('R5. ETP17 Summary'!$C$106:$K$122,MATCH($E167,'R5. ETP17 Summary'!$B$106:$B$122,0),MATCH(R$93,'R5. ETP17 Summary'!$C$9:$K$9,0)),"")</f>
        <v>22.876483411876062</v>
      </c>
      <c r="S167" s="34">
        <f>IFERROR(INDEX('R5. ETP17 Summary'!$C$106:$K$122,MATCH($E167,'R5. ETP17 Summary'!$B$106:$B$122,0),MATCH(S$93,'R5. ETP17 Summary'!$C$9:$K$9,0)),"")</f>
        <v>44.271390324714844</v>
      </c>
    </row>
    <row r="168" spans="1:19" x14ac:dyDescent="0.3">
      <c r="A168" s="3" t="s">
        <v>496</v>
      </c>
      <c r="B168" s="3" t="s">
        <v>381</v>
      </c>
      <c r="C168" s="3" t="str">
        <f>INDEX('R1. Scenario specifications'!$C$11:$C$59,MATCH($B168,'R1. Scenario specifications'!$A$11:$A$59,0))</f>
        <v>Reference Technologies Scenario, Energy Technology Perspectives 2017</v>
      </c>
      <c r="D168" s="3" t="s">
        <v>256</v>
      </c>
      <c r="E168" s="3" t="s">
        <v>514</v>
      </c>
      <c r="G168" s="34">
        <f>IFERROR(INDEX('R5. ETP17 Summary'!$C$106:$K$122,MATCH($E168,'R5. ETP17 Summary'!$B$106:$B$122,0),MATCH(G$93,'R5. ETP17 Summary'!$C$9:$K$9,0)),"")</f>
        <v>3894.7080000000001</v>
      </c>
      <c r="H168" s="34" t="str">
        <f>IFERROR(INDEX('R5. ETP17 Summary'!$C$106:$K$122,MATCH($E168,'R5. ETP17 Summary'!$B$106:$B$122,0),MATCH(H$93,'R5. ETP17 Summary'!$C$9:$K$9,0)),"")</f>
        <v/>
      </c>
      <c r="I168" s="34" t="str">
        <f>IFERROR(INDEX('R5. ETP17 Summary'!$C$106:$K$122,MATCH($E168,'R5. ETP17 Summary'!$B$106:$B$122,0),MATCH(I$93,'R5. ETP17 Summary'!$C$9:$K$9,0)),"")</f>
        <v/>
      </c>
      <c r="J168" s="34" t="str">
        <f>IFERROR(INDEX('R5. ETP17 Summary'!$C$106:$K$122,MATCH($E168,'R5. ETP17 Summary'!$B$106:$B$122,0),MATCH(J$93,'R5. ETP17 Summary'!$C$9:$K$9,0)),"")</f>
        <v/>
      </c>
      <c r="K168" s="34" t="str">
        <f>IFERROR(INDEX('R5. ETP17 Summary'!$C$106:$K$122,MATCH($E168,'R5. ETP17 Summary'!$B$106:$B$122,0),MATCH(K$93,'R5. ETP17 Summary'!$C$9:$K$9,0)),"")</f>
        <v/>
      </c>
      <c r="L168" s="34">
        <f>IFERROR(INDEX('R5. ETP17 Summary'!$C$106:$K$122,MATCH($E168,'R5. ETP17 Summary'!$B$106:$B$122,0),MATCH(L$93,'R5. ETP17 Summary'!$C$9:$K$9,0)),"")</f>
        <v>4939.2864291594351</v>
      </c>
      <c r="M168" s="34">
        <f>IFERROR(INDEX('R5. ETP17 Summary'!$C$106:$K$122,MATCH($E168,'R5. ETP17 Summary'!$B$106:$B$122,0),MATCH(M$93,'R5. ETP17 Summary'!$C$9:$K$9,0)),"")</f>
        <v>5421.8413407359367</v>
      </c>
      <c r="N168" s="34">
        <f>IFERROR(INDEX('R5. ETP17 Summary'!$C$106:$K$122,MATCH($E168,'R5. ETP17 Summary'!$B$106:$B$122,0),MATCH(N$93,'R5. ETP17 Summary'!$C$9:$K$9,0)),"")</f>
        <v>5867.3347559816748</v>
      </c>
      <c r="O168" s="34">
        <f>IFERROR(INDEX('R5. ETP17 Summary'!$C$106:$K$122,MATCH($E168,'R5. ETP17 Summary'!$B$106:$B$122,0),MATCH(O$93,'R5. ETP17 Summary'!$C$9:$K$9,0)),"")</f>
        <v>6261.1145726070308</v>
      </c>
      <c r="P168" s="34">
        <f>IFERROR(INDEX('R5. ETP17 Summary'!$C$106:$K$122,MATCH($E168,'R5. ETP17 Summary'!$B$106:$B$122,0),MATCH(P$93,'R5. ETP17 Summary'!$C$9:$K$9,0)),"")</f>
        <v>6648.6687900265624</v>
      </c>
      <c r="Q168" s="34">
        <f>IFERROR(INDEX('R5. ETP17 Summary'!$C$106:$K$122,MATCH($E168,'R5. ETP17 Summary'!$B$106:$B$122,0),MATCH(Q$93,'R5. ETP17 Summary'!$C$9:$K$9,0)),"")</f>
        <v>7037.0596029104772</v>
      </c>
      <c r="R168" s="34">
        <f>IFERROR(INDEX('R5. ETP17 Summary'!$C$106:$K$122,MATCH($E168,'R5. ETP17 Summary'!$B$106:$B$122,0),MATCH(R$93,'R5. ETP17 Summary'!$C$9:$K$9,0)),"")</f>
        <v>7430.2444560580816</v>
      </c>
      <c r="S168" s="34">
        <f>IFERROR(INDEX('R5. ETP17 Summary'!$C$106:$K$122,MATCH($E168,'R5. ETP17 Summary'!$B$106:$B$122,0),MATCH(S$93,'R5. ETP17 Summary'!$C$9:$K$9,0)),"")</f>
        <v>7836.0845022802187</v>
      </c>
    </row>
    <row r="169" spans="1:19" x14ac:dyDescent="0.3">
      <c r="A169" s="3" t="s">
        <v>496</v>
      </c>
      <c r="B169" s="3" t="s">
        <v>381</v>
      </c>
      <c r="C169" s="3" t="str">
        <f>INDEX('R1. Scenario specifications'!$C$11:$C$59,MATCH($B169,'R1. Scenario specifications'!$A$11:$A$59,0))</f>
        <v>Reference Technologies Scenario, Energy Technology Perspectives 2017</v>
      </c>
      <c r="D169" s="3" t="s">
        <v>258</v>
      </c>
      <c r="E169" s="3" t="s">
        <v>506</v>
      </c>
      <c r="G169" s="34">
        <f>IFERROR(INDEX('R5. ETP17 Summary'!$C$106:$K$122,MATCH($E169,'R5. ETP17 Summary'!$B$106:$B$122,0),MATCH(G$93,'R5. ETP17 Summary'!$C$9:$K$9,0)),"")</f>
        <v>77.376999999999995</v>
      </c>
      <c r="H169" s="34" t="str">
        <f>IFERROR(INDEX('R5. ETP17 Summary'!$C$106:$K$122,MATCH($E169,'R5. ETP17 Summary'!$B$106:$B$122,0),MATCH(H$93,'R5. ETP17 Summary'!$C$9:$K$9,0)),"")</f>
        <v/>
      </c>
      <c r="I169" s="34" t="str">
        <f>IFERROR(INDEX('R5. ETP17 Summary'!$C$106:$K$122,MATCH($E169,'R5. ETP17 Summary'!$B$106:$B$122,0),MATCH(I$93,'R5. ETP17 Summary'!$C$9:$K$9,0)),"")</f>
        <v/>
      </c>
      <c r="J169" s="34" t="str">
        <f>IFERROR(INDEX('R5. ETP17 Summary'!$C$106:$K$122,MATCH($E169,'R5. ETP17 Summary'!$B$106:$B$122,0),MATCH(J$93,'R5. ETP17 Summary'!$C$9:$K$9,0)),"")</f>
        <v/>
      </c>
      <c r="K169" s="34" t="str">
        <f>IFERROR(INDEX('R5. ETP17 Summary'!$C$106:$K$122,MATCH($E169,'R5. ETP17 Summary'!$B$106:$B$122,0),MATCH(K$93,'R5. ETP17 Summary'!$C$9:$K$9,0)),"")</f>
        <v/>
      </c>
      <c r="L169" s="34">
        <f>IFERROR(INDEX('R5. ETP17 Summary'!$C$106:$K$122,MATCH($E169,'R5. ETP17 Summary'!$B$106:$B$122,0),MATCH(L$93,'R5. ETP17 Summary'!$C$9:$K$9,0)),"")</f>
        <v>173.87445333030885</v>
      </c>
      <c r="M169" s="34">
        <f>IFERROR(INDEX('R5. ETP17 Summary'!$C$106:$K$122,MATCH($E169,'R5. ETP17 Summary'!$B$106:$B$122,0),MATCH(M$93,'R5. ETP17 Summary'!$C$9:$K$9,0)),"")</f>
        <v>234.004778963175</v>
      </c>
      <c r="N169" s="34">
        <f>IFERROR(INDEX('R5. ETP17 Summary'!$C$106:$K$122,MATCH($E169,'R5. ETP17 Summary'!$B$106:$B$122,0),MATCH(N$93,'R5. ETP17 Summary'!$C$9:$K$9,0)),"")</f>
        <v>313.87381015697315</v>
      </c>
      <c r="O169" s="34">
        <f>IFERROR(INDEX('R5. ETP17 Summary'!$C$106:$K$122,MATCH($E169,'R5. ETP17 Summary'!$B$106:$B$122,0),MATCH(O$93,'R5. ETP17 Summary'!$C$9:$K$9,0)),"")</f>
        <v>407.41063769257062</v>
      </c>
      <c r="P169" s="34">
        <f>IFERROR(INDEX('R5. ETP17 Summary'!$C$106:$K$122,MATCH($E169,'R5. ETP17 Summary'!$B$106:$B$122,0),MATCH(P$93,'R5. ETP17 Summary'!$C$9:$K$9,0)),"")</f>
        <v>511.58313482880709</v>
      </c>
      <c r="Q169" s="34">
        <f>IFERROR(INDEX('R5. ETP17 Summary'!$C$106:$K$122,MATCH($E169,'R5. ETP17 Summary'!$B$106:$B$122,0),MATCH(Q$93,'R5. ETP17 Summary'!$C$9:$K$9,0)),"")</f>
        <v>620.74288416612228</v>
      </c>
      <c r="R169" s="34">
        <f>IFERROR(INDEX('R5. ETP17 Summary'!$C$106:$K$122,MATCH($E169,'R5. ETP17 Summary'!$B$106:$B$122,0),MATCH(R$93,'R5. ETP17 Summary'!$C$9:$K$9,0)),"")</f>
        <v>727.5549873229138</v>
      </c>
      <c r="S169" s="34">
        <f>IFERROR(INDEX('R5. ETP17 Summary'!$C$106:$K$122,MATCH($E169,'R5. ETP17 Summary'!$B$106:$B$122,0),MATCH(S$93,'R5. ETP17 Summary'!$C$9:$K$9,0)),"")</f>
        <v>839.03933998829234</v>
      </c>
    </row>
    <row r="170" spans="1:19" x14ac:dyDescent="0.3">
      <c r="A170" s="3" t="s">
        <v>496</v>
      </c>
      <c r="B170" s="3" t="s">
        <v>381</v>
      </c>
      <c r="C170" s="3" t="str">
        <f>INDEX('R1. Scenario specifications'!$C$11:$C$59,MATCH($B170,'R1. Scenario specifications'!$A$11:$A$59,0))</f>
        <v>Reference Technologies Scenario, Energy Technology Perspectives 2017</v>
      </c>
      <c r="D170" s="3" t="s">
        <v>260</v>
      </c>
      <c r="E170" s="3" t="s">
        <v>515</v>
      </c>
      <c r="G170" s="34">
        <f>IFERROR(INDEX('R5. ETP17 Summary'!$C$106:$K$122,MATCH($E170,'R5. ETP17 Summary'!$B$106:$B$122,0),MATCH(G$93,'R5. ETP17 Summary'!$C$9:$K$9,0)),"")</f>
        <v>692.12371787999996</v>
      </c>
      <c r="H170" s="34" t="str">
        <f>IFERROR(INDEX('R5. ETP17 Summary'!$C$106:$K$122,MATCH($E170,'R5. ETP17 Summary'!$B$106:$B$122,0),MATCH(H$93,'R5. ETP17 Summary'!$C$9:$K$9,0)),"")</f>
        <v/>
      </c>
      <c r="I170" s="34" t="str">
        <f>IFERROR(INDEX('R5. ETP17 Summary'!$C$106:$K$122,MATCH($E170,'R5. ETP17 Summary'!$B$106:$B$122,0),MATCH(I$93,'R5. ETP17 Summary'!$C$9:$K$9,0)),"")</f>
        <v/>
      </c>
      <c r="J170" s="34" t="str">
        <f>IFERROR(INDEX('R5. ETP17 Summary'!$C$106:$K$122,MATCH($E170,'R5. ETP17 Summary'!$B$106:$B$122,0),MATCH(J$93,'R5. ETP17 Summary'!$C$9:$K$9,0)),"")</f>
        <v/>
      </c>
      <c r="K170" s="34" t="str">
        <f>IFERROR(INDEX('R5. ETP17 Summary'!$C$106:$K$122,MATCH($E170,'R5. ETP17 Summary'!$B$106:$B$122,0),MATCH(K$93,'R5. ETP17 Summary'!$C$9:$K$9,0)),"")</f>
        <v/>
      </c>
      <c r="L170" s="34">
        <f>IFERROR(INDEX('R5. ETP17 Summary'!$C$106:$K$122,MATCH($E170,'R5. ETP17 Summary'!$B$106:$B$122,0),MATCH(L$93,'R5. ETP17 Summary'!$C$9:$K$9,0)),"")</f>
        <v>2111.5128888490908</v>
      </c>
      <c r="M170" s="34">
        <f>IFERROR(INDEX('R5. ETP17 Summary'!$C$106:$K$122,MATCH($E170,'R5. ETP17 Summary'!$B$106:$B$122,0),MATCH(M$93,'R5. ETP17 Summary'!$C$9:$K$9,0)),"")</f>
        <v>2735.5918940803613</v>
      </c>
      <c r="N170" s="34">
        <f>IFERROR(INDEX('R5. ETP17 Summary'!$C$106:$K$122,MATCH($E170,'R5. ETP17 Summary'!$B$106:$B$122,0),MATCH(N$93,'R5. ETP17 Summary'!$C$9:$K$9,0)),"")</f>
        <v>3279.3961339638399</v>
      </c>
      <c r="O170" s="34">
        <f>IFERROR(INDEX('R5. ETP17 Summary'!$C$106:$K$122,MATCH($E170,'R5. ETP17 Summary'!$B$106:$B$122,0),MATCH(O$93,'R5. ETP17 Summary'!$C$9:$K$9,0)),"")</f>
        <v>3702.5045868342222</v>
      </c>
      <c r="P170" s="34">
        <f>IFERROR(INDEX('R5. ETP17 Summary'!$C$106:$K$122,MATCH($E170,'R5. ETP17 Summary'!$B$106:$B$122,0),MATCH(P$93,'R5. ETP17 Summary'!$C$9:$K$9,0)),"")</f>
        <v>4115.5519676446957</v>
      </c>
      <c r="Q170" s="34">
        <f>IFERROR(INDEX('R5. ETP17 Summary'!$C$106:$K$122,MATCH($E170,'R5. ETP17 Summary'!$B$106:$B$122,0),MATCH(Q$93,'R5. ETP17 Summary'!$C$9:$K$9,0)),"")</f>
        <v>4678.0110335836871</v>
      </c>
      <c r="R170" s="34">
        <f>IFERROR(INDEX('R5. ETP17 Summary'!$C$106:$K$122,MATCH($E170,'R5. ETP17 Summary'!$B$106:$B$122,0),MATCH(R$93,'R5. ETP17 Summary'!$C$9:$K$9,0)),"")</f>
        <v>5094.6863218475009</v>
      </c>
      <c r="S170" s="34">
        <f>IFERROR(INDEX('R5. ETP17 Summary'!$C$106:$K$122,MATCH($E170,'R5. ETP17 Summary'!$B$106:$B$122,0),MATCH(S$93,'R5. ETP17 Summary'!$C$9:$K$9,0)),"")</f>
        <v>5416.3603228242528</v>
      </c>
    </row>
    <row r="171" spans="1:19" x14ac:dyDescent="0.3">
      <c r="A171" s="3" t="s">
        <v>496</v>
      </c>
      <c r="B171" s="3" t="s">
        <v>381</v>
      </c>
      <c r="C171" s="3" t="str">
        <f>INDEX('R1. Scenario specifications'!$C$11:$C$59,MATCH($B171,'R1. Scenario specifications'!$A$11:$A$59,0))</f>
        <v>Reference Technologies Scenario, Energy Technology Perspectives 2017</v>
      </c>
      <c r="D171" s="3" t="s">
        <v>260</v>
      </c>
      <c r="E171" s="3" t="s">
        <v>516</v>
      </c>
      <c r="G171" s="34">
        <f>IFERROR(INDEX('R5. ETP17 Summary'!$C$106:$K$122,MATCH($E171,'R5. ETP17 Summary'!$B$106:$B$122,0),MATCH(G$93,'R5. ETP17 Summary'!$C$9:$K$9,0)),"")</f>
        <v>25.169518119999996</v>
      </c>
      <c r="H171" s="34" t="str">
        <f>IFERROR(INDEX('R5. ETP17 Summary'!$C$106:$K$122,MATCH($E171,'R5. ETP17 Summary'!$B$106:$B$122,0),MATCH(H$93,'R5. ETP17 Summary'!$C$9:$K$9,0)),"")</f>
        <v/>
      </c>
      <c r="I171" s="34" t="str">
        <f>IFERROR(INDEX('R5. ETP17 Summary'!$C$106:$K$122,MATCH($E171,'R5. ETP17 Summary'!$B$106:$B$122,0),MATCH(I$93,'R5. ETP17 Summary'!$C$9:$K$9,0)),"")</f>
        <v/>
      </c>
      <c r="J171" s="34" t="str">
        <f>IFERROR(INDEX('R5. ETP17 Summary'!$C$106:$K$122,MATCH($E171,'R5. ETP17 Summary'!$B$106:$B$122,0),MATCH(J$93,'R5. ETP17 Summary'!$C$9:$K$9,0)),"")</f>
        <v/>
      </c>
      <c r="K171" s="34" t="str">
        <f>IFERROR(INDEX('R5. ETP17 Summary'!$C$106:$K$122,MATCH($E171,'R5. ETP17 Summary'!$B$106:$B$122,0),MATCH(K$93,'R5. ETP17 Summary'!$C$9:$K$9,0)),"")</f>
        <v/>
      </c>
      <c r="L171" s="34">
        <f>IFERROR(INDEX('R5. ETP17 Summary'!$C$106:$K$122,MATCH($E171,'R5. ETP17 Summary'!$B$106:$B$122,0),MATCH(L$93,'R5. ETP17 Summary'!$C$9:$K$9,0)),"")</f>
        <v>81.117565309053333</v>
      </c>
      <c r="M171" s="34">
        <f>IFERROR(INDEX('R5. ETP17 Summary'!$C$106:$K$122,MATCH($E171,'R5. ETP17 Summary'!$B$106:$B$122,0),MATCH(M$93,'R5. ETP17 Summary'!$C$9:$K$9,0)),"")</f>
        <v>136.94857356387686</v>
      </c>
      <c r="N171" s="34">
        <f>IFERROR(INDEX('R5. ETP17 Summary'!$C$106:$K$122,MATCH($E171,'R5. ETP17 Summary'!$B$106:$B$122,0),MATCH(N$93,'R5. ETP17 Summary'!$C$9:$K$9,0)),"")</f>
        <v>205.18702956394299</v>
      </c>
      <c r="O171" s="34">
        <f>IFERROR(INDEX('R5. ETP17 Summary'!$C$106:$K$122,MATCH($E171,'R5. ETP17 Summary'!$B$106:$B$122,0),MATCH(O$93,'R5. ETP17 Summary'!$C$9:$K$9,0)),"")</f>
        <v>293.88522430797775</v>
      </c>
      <c r="P171" s="34">
        <f>IFERROR(INDEX('R5. ETP17 Summary'!$C$106:$K$122,MATCH($E171,'R5. ETP17 Summary'!$B$106:$B$122,0),MATCH(P$93,'R5. ETP17 Summary'!$C$9:$K$9,0)),"")</f>
        <v>416.26504883152143</v>
      </c>
      <c r="Q171" s="34">
        <f>IFERROR(INDEX('R5. ETP17 Summary'!$C$106:$K$122,MATCH($E171,'R5. ETP17 Summary'!$B$106:$B$122,0),MATCH(Q$93,'R5. ETP17 Summary'!$C$9:$K$9,0)),"")</f>
        <v>573.49264135499402</v>
      </c>
      <c r="R171" s="34">
        <f>IFERROR(INDEX('R5. ETP17 Summary'!$C$106:$K$122,MATCH($E171,'R5. ETP17 Summary'!$B$106:$B$122,0),MATCH(R$93,'R5. ETP17 Summary'!$C$9:$K$9,0)),"")</f>
        <v>783.48264971116009</v>
      </c>
      <c r="S171" s="34">
        <f>IFERROR(INDEX('R5. ETP17 Summary'!$C$106:$K$122,MATCH($E171,'R5. ETP17 Summary'!$B$106:$B$122,0),MATCH(S$93,'R5. ETP17 Summary'!$C$9:$K$9,0)),"")</f>
        <v>1068.9585367301961</v>
      </c>
    </row>
    <row r="172" spans="1:19" x14ac:dyDescent="0.3">
      <c r="A172" s="3" t="s">
        <v>496</v>
      </c>
      <c r="B172" s="3" t="s">
        <v>381</v>
      </c>
      <c r="C172" s="3" t="str">
        <f>INDEX('R1. Scenario specifications'!$C$11:$C$59,MATCH($B172,'R1. Scenario specifications'!$A$11:$A$59,0))</f>
        <v>Reference Technologies Scenario, Energy Technology Perspectives 2017</v>
      </c>
      <c r="D172" s="3" t="s">
        <v>259</v>
      </c>
      <c r="E172" s="3" t="s">
        <v>504</v>
      </c>
      <c r="G172" s="34">
        <f>IFERROR(INDEX('R5. ETP17 Summary'!$C$106:$K$122,MATCH($E172,'R5. ETP17 Summary'!$B$106:$B$122,0),MATCH(G$93,'R5. ETP17 Summary'!$C$9:$K$9,0)),"")</f>
        <v>189.68899999999999</v>
      </c>
      <c r="H172" s="34" t="str">
        <f>IFERROR(INDEX('R5. ETP17 Summary'!$C$106:$K$122,MATCH($E172,'R5. ETP17 Summary'!$B$106:$B$122,0),MATCH(H$93,'R5. ETP17 Summary'!$C$9:$K$9,0)),"")</f>
        <v/>
      </c>
      <c r="I172" s="34" t="str">
        <f>IFERROR(INDEX('R5. ETP17 Summary'!$C$106:$K$122,MATCH($E172,'R5. ETP17 Summary'!$B$106:$B$122,0),MATCH(I$93,'R5. ETP17 Summary'!$C$9:$K$9,0)),"")</f>
        <v/>
      </c>
      <c r="J172" s="34" t="str">
        <f>IFERROR(INDEX('R5. ETP17 Summary'!$C$106:$K$122,MATCH($E172,'R5. ETP17 Summary'!$B$106:$B$122,0),MATCH(J$93,'R5. ETP17 Summary'!$C$9:$K$9,0)),"")</f>
        <v/>
      </c>
      <c r="K172" s="34" t="str">
        <f>IFERROR(INDEX('R5. ETP17 Summary'!$C$106:$K$122,MATCH($E172,'R5. ETP17 Summary'!$B$106:$B$122,0),MATCH(K$93,'R5. ETP17 Summary'!$C$9:$K$9,0)),"")</f>
        <v/>
      </c>
      <c r="L172" s="34">
        <f>IFERROR(INDEX('R5. ETP17 Summary'!$C$106:$K$122,MATCH($E172,'R5. ETP17 Summary'!$B$106:$B$122,0),MATCH(L$93,'R5. ETP17 Summary'!$C$9:$K$9,0)),"")</f>
        <v>982.11399161281508</v>
      </c>
      <c r="M172" s="34">
        <f>IFERROR(INDEX('R5. ETP17 Summary'!$C$106:$K$122,MATCH($E172,'R5. ETP17 Summary'!$B$106:$B$122,0),MATCH(M$93,'R5. ETP17 Summary'!$C$9:$K$9,0)),"")</f>
        <v>1402.090776068967</v>
      </c>
      <c r="N172" s="34">
        <f>IFERROR(INDEX('R5. ETP17 Summary'!$C$106:$K$122,MATCH($E172,'R5. ETP17 Summary'!$B$106:$B$122,0),MATCH(N$93,'R5. ETP17 Summary'!$C$9:$K$9,0)),"")</f>
        <v>1830.2536160433738</v>
      </c>
      <c r="O172" s="34">
        <f>IFERROR(INDEX('R5. ETP17 Summary'!$C$106:$K$122,MATCH($E172,'R5. ETP17 Summary'!$B$106:$B$122,0),MATCH(O$93,'R5. ETP17 Summary'!$C$9:$K$9,0)),"")</f>
        <v>2298.2931273896111</v>
      </c>
      <c r="P172" s="34">
        <f>IFERROR(INDEX('R5. ETP17 Summary'!$C$106:$K$122,MATCH($E172,'R5. ETP17 Summary'!$B$106:$B$122,0),MATCH(P$93,'R5. ETP17 Summary'!$C$9:$K$9,0)),"")</f>
        <v>2809.3637794694155</v>
      </c>
      <c r="Q172" s="34">
        <f>IFERROR(INDEX('R5. ETP17 Summary'!$C$106:$K$122,MATCH($E172,'R5. ETP17 Summary'!$B$106:$B$122,0),MATCH(Q$93,'R5. ETP17 Summary'!$C$9:$K$9,0)),"")</f>
        <v>3344.9658360069461</v>
      </c>
      <c r="R172" s="34">
        <f>IFERROR(INDEX('R5. ETP17 Summary'!$C$106:$K$122,MATCH($E172,'R5. ETP17 Summary'!$B$106:$B$122,0),MATCH(R$93,'R5. ETP17 Summary'!$C$9:$K$9,0)),"")</f>
        <v>3753.4493577511944</v>
      </c>
      <c r="S172" s="34">
        <f>IFERROR(INDEX('R5. ETP17 Summary'!$C$106:$K$122,MATCH($E172,'R5. ETP17 Summary'!$B$106:$B$122,0),MATCH(S$93,'R5. ETP17 Summary'!$C$9:$K$9,0)),"")</f>
        <v>4167.4269018450977</v>
      </c>
    </row>
    <row r="173" spans="1:19" x14ac:dyDescent="0.3">
      <c r="A173" s="3" t="s">
        <v>496</v>
      </c>
      <c r="B173" s="3" t="s">
        <v>381</v>
      </c>
      <c r="C173" s="3" t="str">
        <f>INDEX('R1. Scenario specifications'!$C$11:$C$59,MATCH($B173,'R1. Scenario specifications'!$A$11:$A$59,0))</f>
        <v>Reference Technologies Scenario, Energy Technology Perspectives 2017</v>
      </c>
      <c r="D173" s="3" t="s">
        <v>259</v>
      </c>
      <c r="E173" s="3" t="s">
        <v>517</v>
      </c>
      <c r="G173" s="34">
        <f>IFERROR(INDEX('R5. ETP17 Summary'!$C$106:$K$122,MATCH($E173,'R5. ETP17 Summary'!$B$106:$B$122,0),MATCH(G$93,'R5. ETP17 Summary'!$C$9:$K$9,0)),"")</f>
        <v>8.49</v>
      </c>
      <c r="H173" s="34" t="str">
        <f>IFERROR(INDEX('R5. ETP17 Summary'!$C$106:$K$122,MATCH($E173,'R5. ETP17 Summary'!$B$106:$B$122,0),MATCH(H$93,'R5. ETP17 Summary'!$C$9:$K$9,0)),"")</f>
        <v/>
      </c>
      <c r="I173" s="34" t="str">
        <f>IFERROR(INDEX('R5. ETP17 Summary'!$C$106:$K$122,MATCH($E173,'R5. ETP17 Summary'!$B$106:$B$122,0),MATCH(I$93,'R5. ETP17 Summary'!$C$9:$K$9,0)),"")</f>
        <v/>
      </c>
      <c r="J173" s="34" t="str">
        <f>IFERROR(INDEX('R5. ETP17 Summary'!$C$106:$K$122,MATCH($E173,'R5. ETP17 Summary'!$B$106:$B$122,0),MATCH(J$93,'R5. ETP17 Summary'!$C$9:$K$9,0)),"")</f>
        <v/>
      </c>
      <c r="K173" s="34" t="str">
        <f>IFERROR(INDEX('R5. ETP17 Summary'!$C$106:$K$122,MATCH($E173,'R5. ETP17 Summary'!$B$106:$B$122,0),MATCH(K$93,'R5. ETP17 Summary'!$C$9:$K$9,0)),"")</f>
        <v/>
      </c>
      <c r="L173" s="34">
        <f>IFERROR(INDEX('R5. ETP17 Summary'!$C$106:$K$122,MATCH($E173,'R5. ETP17 Summary'!$B$106:$B$122,0),MATCH(L$93,'R5. ETP17 Summary'!$C$9:$K$9,0)),"")</f>
        <v>65.637475893681824</v>
      </c>
      <c r="M173" s="34">
        <f>IFERROR(INDEX('R5. ETP17 Summary'!$C$106:$K$122,MATCH($E173,'R5. ETP17 Summary'!$B$106:$B$122,0),MATCH(M$93,'R5. ETP17 Summary'!$C$9:$K$9,0)),"")</f>
        <v>115.6414039224553</v>
      </c>
      <c r="N173" s="34">
        <f>IFERROR(INDEX('R5. ETP17 Summary'!$C$106:$K$122,MATCH($E173,'R5. ETP17 Summary'!$B$106:$B$122,0),MATCH(N$93,'R5. ETP17 Summary'!$C$9:$K$9,0)),"")</f>
        <v>258.97805025324158</v>
      </c>
      <c r="O173" s="34">
        <f>IFERROR(INDEX('R5. ETP17 Summary'!$C$106:$K$122,MATCH($E173,'R5. ETP17 Summary'!$B$106:$B$122,0),MATCH(O$93,'R5. ETP17 Summary'!$C$9:$K$9,0)),"")</f>
        <v>432.04011775144664</v>
      </c>
      <c r="P173" s="34">
        <f>IFERROR(INDEX('R5. ETP17 Summary'!$C$106:$K$122,MATCH($E173,'R5. ETP17 Summary'!$B$106:$B$122,0),MATCH(P$93,'R5. ETP17 Summary'!$C$9:$K$9,0)),"")</f>
        <v>577.47162149249948</v>
      </c>
      <c r="Q173" s="34">
        <f>IFERROR(INDEX('R5. ETP17 Summary'!$C$106:$K$122,MATCH($E173,'R5. ETP17 Summary'!$B$106:$B$122,0),MATCH(Q$93,'R5. ETP17 Summary'!$C$9:$K$9,0)),"")</f>
        <v>797.80673491145581</v>
      </c>
      <c r="R173" s="34">
        <f>IFERROR(INDEX('R5. ETP17 Summary'!$C$106:$K$122,MATCH($E173,'R5. ETP17 Summary'!$B$106:$B$122,0),MATCH(R$93,'R5. ETP17 Summary'!$C$9:$K$9,0)),"")</f>
        <v>1180.1958777413784</v>
      </c>
      <c r="S173" s="34">
        <f>IFERROR(INDEX('R5. ETP17 Summary'!$C$106:$K$122,MATCH($E173,'R5. ETP17 Summary'!$B$106:$B$122,0),MATCH(S$93,'R5. ETP17 Summary'!$C$9:$K$9,0)),"")</f>
        <v>1549.9733805628302</v>
      </c>
    </row>
    <row r="174" spans="1:19" x14ac:dyDescent="0.3">
      <c r="A174" s="3" t="s">
        <v>496</v>
      </c>
      <c r="B174" s="3" t="s">
        <v>381</v>
      </c>
      <c r="C174" s="3" t="str">
        <f>INDEX('R1. Scenario specifications'!$C$11:$C$59,MATCH($B174,'R1. Scenario specifications'!$A$11:$A$59,0))</f>
        <v>Reference Technologies Scenario, Energy Technology Perspectives 2017</v>
      </c>
      <c r="D174" s="3" t="s">
        <v>258</v>
      </c>
      <c r="E174" s="3" t="s">
        <v>518</v>
      </c>
      <c r="G174" s="34">
        <f>IFERROR(INDEX('R5. ETP17 Summary'!$C$106:$K$122,MATCH($E174,'R5. ETP17 Summary'!$B$106:$B$122,0),MATCH(G$93,'R5. ETP17 Summary'!$C$9:$K$9,0)),"")</f>
        <v>0.999</v>
      </c>
      <c r="H174" s="34" t="str">
        <f>IFERROR(INDEX('R5. ETP17 Summary'!$C$106:$K$122,MATCH($E174,'R5. ETP17 Summary'!$B$106:$B$122,0),MATCH(H$93,'R5. ETP17 Summary'!$C$9:$K$9,0)),"")</f>
        <v/>
      </c>
      <c r="I174" s="34" t="str">
        <f>IFERROR(INDEX('R5. ETP17 Summary'!$C$106:$K$122,MATCH($E174,'R5. ETP17 Summary'!$B$106:$B$122,0),MATCH(I$93,'R5. ETP17 Summary'!$C$9:$K$9,0)),"")</f>
        <v/>
      </c>
      <c r="J174" s="34" t="str">
        <f>IFERROR(INDEX('R5. ETP17 Summary'!$C$106:$K$122,MATCH($E174,'R5. ETP17 Summary'!$B$106:$B$122,0),MATCH(J$93,'R5. ETP17 Summary'!$C$9:$K$9,0)),"")</f>
        <v/>
      </c>
      <c r="K174" s="34" t="str">
        <f>IFERROR(INDEX('R5. ETP17 Summary'!$C$106:$K$122,MATCH($E174,'R5. ETP17 Summary'!$B$106:$B$122,0),MATCH(K$93,'R5. ETP17 Summary'!$C$9:$K$9,0)),"")</f>
        <v/>
      </c>
      <c r="L174" s="34">
        <f>IFERROR(INDEX('R5. ETP17 Summary'!$C$106:$K$122,MATCH($E174,'R5. ETP17 Summary'!$B$106:$B$122,0),MATCH(L$93,'R5. ETP17 Summary'!$C$9:$K$9,0)),"")</f>
        <v>6.3021101126092027</v>
      </c>
      <c r="M174" s="34">
        <f>IFERROR(INDEX('R5. ETP17 Summary'!$C$106:$K$122,MATCH($E174,'R5. ETP17 Summary'!$B$106:$B$122,0),MATCH(M$93,'R5. ETP17 Summary'!$C$9:$K$9,0)),"")</f>
        <v>16.122901444144141</v>
      </c>
      <c r="N174" s="34">
        <f>IFERROR(INDEX('R5. ETP17 Summary'!$C$106:$K$122,MATCH($E174,'R5. ETP17 Summary'!$B$106:$B$122,0),MATCH(N$93,'R5. ETP17 Summary'!$C$9:$K$9,0)),"")</f>
        <v>30.780469956664721</v>
      </c>
      <c r="O174" s="34">
        <f>IFERROR(INDEX('R5. ETP17 Summary'!$C$106:$K$122,MATCH($E174,'R5. ETP17 Summary'!$B$106:$B$122,0),MATCH(O$93,'R5. ETP17 Summary'!$C$9:$K$9,0)),"")</f>
        <v>54.579965806412687</v>
      </c>
      <c r="P174" s="34">
        <f>IFERROR(INDEX('R5. ETP17 Summary'!$C$106:$K$122,MATCH($E174,'R5. ETP17 Summary'!$B$106:$B$122,0),MATCH(P$93,'R5. ETP17 Summary'!$C$9:$K$9,0)),"")</f>
        <v>75.536138571781166</v>
      </c>
      <c r="Q174" s="34">
        <f>IFERROR(INDEX('R5. ETP17 Summary'!$C$106:$K$122,MATCH($E174,'R5. ETP17 Summary'!$B$106:$B$122,0),MATCH(Q$93,'R5. ETP17 Summary'!$C$9:$K$9,0)),"")</f>
        <v>96.996166390653144</v>
      </c>
      <c r="R174" s="34">
        <f>IFERROR(INDEX('R5. ETP17 Summary'!$C$106:$K$122,MATCH($E174,'R5. ETP17 Summary'!$B$106:$B$122,0),MATCH(R$93,'R5. ETP17 Summary'!$C$9:$K$9,0)),"")</f>
        <v>121.1093672910081</v>
      </c>
      <c r="S174" s="34">
        <f>IFERROR(INDEX('R5. ETP17 Summary'!$C$106:$K$122,MATCH($E174,'R5. ETP17 Summary'!$B$106:$B$122,0),MATCH(S$93,'R5. ETP17 Summary'!$C$9:$K$9,0)),"")</f>
        <v>143.64629150810222</v>
      </c>
    </row>
    <row r="175" spans="1:19" x14ac:dyDescent="0.3">
      <c r="A175" s="3" t="s">
        <v>496</v>
      </c>
      <c r="B175" s="3" t="s">
        <v>381</v>
      </c>
      <c r="C175" s="3" t="str">
        <f>INDEX('R1. Scenario specifications'!$C$11:$C$59,MATCH($B175,'R1. Scenario specifications'!$A$11:$A$59,0))</f>
        <v>Reference Technologies Scenario, Energy Technology Perspectives 2017</v>
      </c>
      <c r="D175" s="3" t="s">
        <v>258</v>
      </c>
      <c r="E175" s="39" t="s">
        <v>258</v>
      </c>
      <c r="F175" s="39"/>
      <c r="G175" s="52">
        <f>IFERROR(INDEX('R5. ETP17 Summary'!$C$106:$K$122,MATCH($E175,'R5. ETP17 Summary'!$B$106:$B$122,0),MATCH(G$93,'R5. ETP17 Summary'!$C$9:$K$9,0)),"")</f>
        <v>13.747999999999999</v>
      </c>
      <c r="H175" s="52" t="str">
        <f>IFERROR(INDEX('R5. ETP17 Summary'!$C$106:$K$122,MATCH($E175,'R5. ETP17 Summary'!$B$106:$B$122,0),MATCH(H$93,'R5. ETP17 Summary'!$C$9:$K$9,0)),"")</f>
        <v/>
      </c>
      <c r="I175" s="52" t="str">
        <f>IFERROR(INDEX('R5. ETP17 Summary'!$C$106:$K$122,MATCH($E175,'R5. ETP17 Summary'!$B$106:$B$122,0),MATCH(I$93,'R5. ETP17 Summary'!$C$9:$K$9,0)),"")</f>
        <v/>
      </c>
      <c r="J175" s="52" t="str">
        <f>IFERROR(INDEX('R5. ETP17 Summary'!$C$106:$K$122,MATCH($E175,'R5. ETP17 Summary'!$B$106:$B$122,0),MATCH(J$93,'R5. ETP17 Summary'!$C$9:$K$9,0)),"")</f>
        <v/>
      </c>
      <c r="K175" s="52" t="str">
        <f>IFERROR(INDEX('R5. ETP17 Summary'!$C$106:$K$122,MATCH($E175,'R5. ETP17 Summary'!$B$106:$B$122,0),MATCH(K$93,'R5. ETP17 Summary'!$C$9:$K$9,0)),"")</f>
        <v/>
      </c>
      <c r="L175" s="52">
        <f>IFERROR(INDEX('R5. ETP17 Summary'!$C$106:$K$122,MATCH($E175,'R5. ETP17 Summary'!$B$106:$B$122,0),MATCH(L$93,'R5. ETP17 Summary'!$C$9:$K$9,0)),"")</f>
        <v>0</v>
      </c>
      <c r="M175" s="52">
        <f>IFERROR(INDEX('R5. ETP17 Summary'!$C$106:$K$122,MATCH($E175,'R5. ETP17 Summary'!$B$106:$B$122,0),MATCH(M$93,'R5. ETP17 Summary'!$C$9:$K$9,0)),"")</f>
        <v>0</v>
      </c>
      <c r="N175" s="52">
        <f>IFERROR(INDEX('R5. ETP17 Summary'!$C$106:$K$122,MATCH($E175,'R5. ETP17 Summary'!$B$106:$B$122,0),MATCH(N$93,'R5. ETP17 Summary'!$C$9:$K$9,0)),"")</f>
        <v>0</v>
      </c>
      <c r="O175" s="52">
        <f>IFERROR(INDEX('R5. ETP17 Summary'!$C$106:$K$122,MATCH($E175,'R5. ETP17 Summary'!$B$106:$B$122,0),MATCH(O$93,'R5. ETP17 Summary'!$C$9:$K$9,0)),"")</f>
        <v>0</v>
      </c>
      <c r="P175" s="52">
        <f>IFERROR(INDEX('R5. ETP17 Summary'!$C$106:$K$122,MATCH($E175,'R5. ETP17 Summary'!$B$106:$B$122,0),MATCH(P$93,'R5. ETP17 Summary'!$C$9:$K$9,0)),"")</f>
        <v>0</v>
      </c>
      <c r="Q175" s="52">
        <f>IFERROR(INDEX('R5. ETP17 Summary'!$C$106:$K$122,MATCH($E175,'R5. ETP17 Summary'!$B$106:$B$122,0),MATCH(Q$93,'R5. ETP17 Summary'!$C$9:$K$9,0)),"")</f>
        <v>0</v>
      </c>
      <c r="R175" s="52">
        <f>IFERROR(INDEX('R5. ETP17 Summary'!$C$106:$K$122,MATCH($E175,'R5. ETP17 Summary'!$B$106:$B$122,0),MATCH(R$93,'R5. ETP17 Summary'!$C$9:$K$9,0)),"")</f>
        <v>0</v>
      </c>
      <c r="S175" s="52">
        <f>IFERROR(INDEX('R5. ETP17 Summary'!$C$106:$K$122,MATCH($E175,'R5. ETP17 Summary'!$B$106:$B$122,0),MATCH(S$93,'R5. ETP17 Summary'!$C$9:$K$9,0)),"")</f>
        <v>0</v>
      </c>
    </row>
    <row r="176" spans="1:19" x14ac:dyDescent="0.3">
      <c r="A176" s="3" t="s">
        <v>496</v>
      </c>
      <c r="B176" s="32" t="s">
        <v>382</v>
      </c>
      <c r="C176" s="32" t="str">
        <f>INDEX('R1. Scenario specifications'!$C$11:$C$59,MATCH($B176,'R1. Scenario specifications'!$A$11:$A$59,0))</f>
        <v>2 Degrees Scenario, Energy Technology Perspectives 2017</v>
      </c>
      <c r="D176" s="32" t="s">
        <v>266</v>
      </c>
      <c r="E176" s="3" t="s">
        <v>266</v>
      </c>
      <c r="G176" s="34">
        <f>IFERROR(INDEX('R5. ETP17 Summary'!$P$106:$X$122,MATCH($E176,'R5. ETP17 Summary'!$O$106:$O$122,0),MATCH(G$93,'R5. ETP17 Summary'!$P$9:$X$9,0)),"")</f>
        <v>1033.346</v>
      </c>
      <c r="H176" s="34" t="str">
        <f>IFERROR(INDEX('R5. ETP17 Summary'!$P$106:$X$122,MATCH($E176,'R5. ETP17 Summary'!$O$106:$O$122,0),MATCH(H$93,'R5. ETP17 Summary'!$P$9:$X$9,0)),"")</f>
        <v/>
      </c>
      <c r="I176" s="34" t="str">
        <f>IFERROR(INDEX('R5. ETP17 Summary'!$P$106:$X$122,MATCH($E176,'R5. ETP17 Summary'!$O$106:$O$122,0),MATCH(I$93,'R5. ETP17 Summary'!$P$9:$X$9,0)),"")</f>
        <v/>
      </c>
      <c r="J176" s="34" t="str">
        <f>IFERROR(INDEX('R5. ETP17 Summary'!$P$106:$X$122,MATCH($E176,'R5. ETP17 Summary'!$O$106:$O$122,0),MATCH(J$93,'R5. ETP17 Summary'!$P$9:$X$9,0)),"")</f>
        <v/>
      </c>
      <c r="K176" s="34" t="str">
        <f>IFERROR(INDEX('R5. ETP17 Summary'!$P$106:$X$122,MATCH($E176,'R5. ETP17 Summary'!$O$106:$O$122,0),MATCH(K$93,'R5. ETP17 Summary'!$P$9:$X$9,0)),"")</f>
        <v/>
      </c>
      <c r="L176" s="34">
        <f>IFERROR(INDEX('R5. ETP17 Summary'!$P$106:$X$122,MATCH($E176,'R5. ETP17 Summary'!$O$106:$O$122,0),MATCH(L$93,'R5. ETP17 Summary'!$P$9:$X$9,0)),"")</f>
        <v>579.23910981687584</v>
      </c>
      <c r="M176" s="34">
        <f>IFERROR(INDEX('R5. ETP17 Summary'!$P$106:$X$122,MATCH($E176,'R5. ETP17 Summary'!$O$106:$O$122,0),MATCH(M$93,'R5. ETP17 Summary'!$P$9:$X$9,0)),"")</f>
        <v>394.46039382198529</v>
      </c>
      <c r="N176" s="34">
        <f>IFERROR(INDEX('R5. ETP17 Summary'!$P$106:$X$122,MATCH($E176,'R5. ETP17 Summary'!$O$106:$O$122,0),MATCH(N$93,'R5. ETP17 Summary'!$P$9:$X$9,0)),"")</f>
        <v>299.49948055656614</v>
      </c>
      <c r="O176" s="34">
        <f>IFERROR(INDEX('R5. ETP17 Summary'!$P$106:$X$122,MATCH($E176,'R5. ETP17 Summary'!$O$106:$O$122,0),MATCH(O$93,'R5. ETP17 Summary'!$P$9:$X$9,0)),"")</f>
        <v>218.87477140453467</v>
      </c>
      <c r="P176" s="34">
        <f>IFERROR(INDEX('R5. ETP17 Summary'!$P$106:$X$122,MATCH($E176,'R5. ETP17 Summary'!$O$106:$O$122,0),MATCH(P$93,'R5. ETP17 Summary'!$P$9:$X$9,0)),"")</f>
        <v>161.20958143199837</v>
      </c>
      <c r="Q176" s="34">
        <f>IFERROR(INDEX('R5. ETP17 Summary'!$P$106:$X$122,MATCH($E176,'R5. ETP17 Summary'!$O$106:$O$122,0),MATCH(Q$93,'R5. ETP17 Summary'!$P$9:$X$9,0)),"")</f>
        <v>112.89470761102676</v>
      </c>
      <c r="R176" s="34">
        <f>IFERROR(INDEX('R5. ETP17 Summary'!$P$106:$X$122,MATCH($E176,'R5. ETP17 Summary'!$O$106:$O$122,0),MATCH(R$93,'R5. ETP17 Summary'!$P$9:$X$9,0)),"")</f>
        <v>89.661282161916432</v>
      </c>
      <c r="S176" s="34">
        <f>IFERROR(INDEX('R5. ETP17 Summary'!$P$106:$X$122,MATCH($E176,'R5. ETP17 Summary'!$O$106:$O$122,0),MATCH(S$93,'R5. ETP17 Summary'!$P$9:$X$9,0)),"")</f>
        <v>76.038103010096734</v>
      </c>
    </row>
    <row r="177" spans="1:19" x14ac:dyDescent="0.3">
      <c r="A177" s="3" t="s">
        <v>496</v>
      </c>
      <c r="B177" s="3" t="s">
        <v>382</v>
      </c>
      <c r="C177" s="3" t="str">
        <f>INDEX('R1. Scenario specifications'!$C$11:$C$59,MATCH($B177,'R1. Scenario specifications'!$A$11:$A$59,0))</f>
        <v>2 Degrees Scenario, Energy Technology Perspectives 2017</v>
      </c>
      <c r="D177" s="3" t="s">
        <v>254</v>
      </c>
      <c r="E177" s="3" t="s">
        <v>254</v>
      </c>
      <c r="G177" s="34">
        <f>IFERROR(INDEX('R5. ETP17 Summary'!$P$106:$X$122,MATCH($E177,'R5. ETP17 Summary'!$O$106:$O$122,0),MATCH(G$93,'R5. ETP17 Summary'!$P$9:$X$9,0)),"")</f>
        <v>9697.148000000001</v>
      </c>
      <c r="H177" s="34" t="str">
        <f>IFERROR(INDEX('R5. ETP17 Summary'!$P$106:$X$122,MATCH($E177,'R5. ETP17 Summary'!$O$106:$O$122,0),MATCH(H$93,'R5. ETP17 Summary'!$P$9:$X$9,0)),"")</f>
        <v/>
      </c>
      <c r="I177" s="34" t="str">
        <f>IFERROR(INDEX('R5. ETP17 Summary'!$P$106:$X$122,MATCH($E177,'R5. ETP17 Summary'!$O$106:$O$122,0),MATCH(I$93,'R5. ETP17 Summary'!$P$9:$X$9,0)),"")</f>
        <v/>
      </c>
      <c r="J177" s="34" t="str">
        <f>IFERROR(INDEX('R5. ETP17 Summary'!$P$106:$X$122,MATCH($E177,'R5. ETP17 Summary'!$O$106:$O$122,0),MATCH(J$93,'R5. ETP17 Summary'!$P$9:$X$9,0)),"")</f>
        <v/>
      </c>
      <c r="K177" s="34" t="str">
        <f>IFERROR(INDEX('R5. ETP17 Summary'!$P$106:$X$122,MATCH($E177,'R5. ETP17 Summary'!$O$106:$O$122,0),MATCH(K$93,'R5. ETP17 Summary'!$P$9:$X$9,0)),"")</f>
        <v/>
      </c>
      <c r="L177" s="34">
        <f>IFERROR(INDEX('R5. ETP17 Summary'!$P$106:$X$122,MATCH($E177,'R5. ETP17 Summary'!$O$106:$O$122,0),MATCH(L$93,'R5. ETP17 Summary'!$P$9:$X$9,0)),"")</f>
        <v>7135.0608147792636</v>
      </c>
      <c r="M177" s="34">
        <f>IFERROR(INDEX('R5. ETP17 Summary'!$P$106:$X$122,MATCH($E177,'R5. ETP17 Summary'!$O$106:$O$122,0),MATCH(M$93,'R5. ETP17 Summary'!$P$9:$X$9,0)),"")</f>
        <v>4682.2510021362314</v>
      </c>
      <c r="N177" s="34">
        <f>IFERROR(INDEX('R5. ETP17 Summary'!$P$106:$X$122,MATCH($E177,'R5. ETP17 Summary'!$O$106:$O$122,0),MATCH(N$93,'R5. ETP17 Summary'!$P$9:$X$9,0)),"")</f>
        <v>2192.3764701041514</v>
      </c>
      <c r="O177" s="34">
        <f>IFERROR(INDEX('R5. ETP17 Summary'!$P$106:$X$122,MATCH($E177,'R5. ETP17 Summary'!$O$106:$O$122,0),MATCH(O$93,'R5. ETP17 Summary'!$P$9:$X$9,0)),"")</f>
        <v>726.94099597121249</v>
      </c>
      <c r="P177" s="34">
        <f>IFERROR(INDEX('R5. ETP17 Summary'!$P$106:$X$122,MATCH($E177,'R5. ETP17 Summary'!$O$106:$O$122,0),MATCH(P$93,'R5. ETP17 Summary'!$P$9:$X$9,0)),"")</f>
        <v>52.590322029155764</v>
      </c>
      <c r="Q177" s="34">
        <f>IFERROR(INDEX('R5. ETP17 Summary'!$P$106:$X$122,MATCH($E177,'R5. ETP17 Summary'!$O$106:$O$122,0),MATCH(Q$93,'R5. ETP17 Summary'!$P$9:$X$9,0)),"")</f>
        <v>34.308213247593763</v>
      </c>
      <c r="R177" s="34">
        <f>IFERROR(INDEX('R5. ETP17 Summary'!$P$106:$X$122,MATCH($E177,'R5. ETP17 Summary'!$O$106:$O$122,0),MATCH(R$93,'R5. ETP17 Summary'!$P$9:$X$9,0)),"")</f>
        <v>22.632465232008084</v>
      </c>
      <c r="S177" s="34">
        <f>IFERROR(INDEX('R5. ETP17 Summary'!$P$106:$X$122,MATCH($E177,'R5. ETP17 Summary'!$O$106:$O$122,0),MATCH(S$93,'R5. ETP17 Summary'!$P$9:$X$9,0)),"")</f>
        <v>7.9112207293965513</v>
      </c>
    </row>
    <row r="178" spans="1:19" x14ac:dyDescent="0.3">
      <c r="A178" s="3" t="s">
        <v>496</v>
      </c>
      <c r="B178" s="3" t="s">
        <v>382</v>
      </c>
      <c r="C178" s="3" t="str">
        <f>INDEX('R1. Scenario specifications'!$C$11:$C$59,MATCH($B178,'R1. Scenario specifications'!$A$11:$A$59,0))</f>
        <v>2 Degrees Scenario, Energy Technology Perspectives 2017</v>
      </c>
      <c r="D178" s="3" t="s">
        <v>254</v>
      </c>
      <c r="E178" s="3" t="s">
        <v>509</v>
      </c>
      <c r="G178" s="34">
        <f>IFERROR(INDEX('R5. ETP17 Summary'!$P$106:$X$122,MATCH($E178,'R5. ETP17 Summary'!$O$106:$O$122,0),MATCH(G$93,'R5. ETP17 Summary'!$P$9:$X$9,0)),"")</f>
        <v>0</v>
      </c>
      <c r="H178" s="34" t="str">
        <f>IFERROR(INDEX('R5. ETP17 Summary'!$P$106:$X$122,MATCH($E178,'R5. ETP17 Summary'!$O$106:$O$122,0),MATCH(H$93,'R5. ETP17 Summary'!$P$9:$X$9,0)),"")</f>
        <v/>
      </c>
      <c r="I178" s="34" t="str">
        <f>IFERROR(INDEX('R5. ETP17 Summary'!$P$106:$X$122,MATCH($E178,'R5. ETP17 Summary'!$O$106:$O$122,0),MATCH(I$93,'R5. ETP17 Summary'!$P$9:$X$9,0)),"")</f>
        <v/>
      </c>
      <c r="J178" s="34" t="str">
        <f>IFERROR(INDEX('R5. ETP17 Summary'!$P$106:$X$122,MATCH($E178,'R5. ETP17 Summary'!$O$106:$O$122,0),MATCH(J$93,'R5. ETP17 Summary'!$P$9:$X$9,0)),"")</f>
        <v/>
      </c>
      <c r="K178" s="34" t="str">
        <f>IFERROR(INDEX('R5. ETP17 Summary'!$P$106:$X$122,MATCH($E178,'R5. ETP17 Summary'!$O$106:$O$122,0),MATCH(K$93,'R5. ETP17 Summary'!$P$9:$X$9,0)),"")</f>
        <v/>
      </c>
      <c r="L178" s="34">
        <f>IFERROR(INDEX('R5. ETP17 Summary'!$P$106:$X$122,MATCH($E178,'R5. ETP17 Summary'!$O$106:$O$122,0),MATCH(L$93,'R5. ETP17 Summary'!$P$9:$X$9,0)),"")</f>
        <v>50.633801957797303</v>
      </c>
      <c r="M178" s="34">
        <f>IFERROR(INDEX('R5. ETP17 Summary'!$P$106:$X$122,MATCH($E178,'R5. ETP17 Summary'!$O$106:$O$122,0),MATCH(M$93,'R5. ETP17 Summary'!$P$9:$X$9,0)),"")</f>
        <v>397.30460346705877</v>
      </c>
      <c r="N178" s="34">
        <f>IFERROR(INDEX('R5. ETP17 Summary'!$P$106:$X$122,MATCH($E178,'R5. ETP17 Summary'!$O$106:$O$122,0),MATCH(N$93,'R5. ETP17 Summary'!$P$9:$X$9,0)),"")</f>
        <v>1175.2295847883361</v>
      </c>
      <c r="O178" s="34">
        <f>IFERROR(INDEX('R5. ETP17 Summary'!$P$106:$X$122,MATCH($E178,'R5. ETP17 Summary'!$O$106:$O$122,0),MATCH(O$93,'R5. ETP17 Summary'!$P$9:$X$9,0)),"")</f>
        <v>2025.2955435347021</v>
      </c>
      <c r="P178" s="34">
        <f>IFERROR(INDEX('R5. ETP17 Summary'!$P$106:$X$122,MATCH($E178,'R5. ETP17 Summary'!$O$106:$O$122,0),MATCH(P$93,'R5. ETP17 Summary'!$P$9:$X$9,0)),"")</f>
        <v>2545.076601797864</v>
      </c>
      <c r="Q178" s="34">
        <f>IFERROR(INDEX('R5. ETP17 Summary'!$P$106:$X$122,MATCH($E178,'R5. ETP17 Summary'!$O$106:$O$122,0),MATCH(Q$93,'R5. ETP17 Summary'!$P$9:$X$9,0)),"")</f>
        <v>2273.339724235263</v>
      </c>
      <c r="R178" s="34">
        <f>IFERROR(INDEX('R5. ETP17 Summary'!$P$106:$X$122,MATCH($E178,'R5. ETP17 Summary'!$O$106:$O$122,0),MATCH(R$93,'R5. ETP17 Summary'!$P$9:$X$9,0)),"")</f>
        <v>1916.8679714573184</v>
      </c>
      <c r="S178" s="34">
        <f>IFERROR(INDEX('R5. ETP17 Summary'!$P$106:$X$122,MATCH($E178,'R5. ETP17 Summary'!$O$106:$O$122,0),MATCH(S$93,'R5. ETP17 Summary'!$P$9:$X$9,0)),"")</f>
        <v>1944.3346205481059</v>
      </c>
    </row>
    <row r="179" spans="1:19" x14ac:dyDescent="0.3">
      <c r="A179" s="3" t="s">
        <v>496</v>
      </c>
      <c r="B179" s="3" t="s">
        <v>382</v>
      </c>
      <c r="C179" s="3" t="str">
        <f>INDEX('R1. Scenario specifications'!$C$11:$C$59,MATCH($B179,'R1. Scenario specifications'!$A$11:$A$59,0))</f>
        <v>2 Degrees Scenario, Energy Technology Perspectives 2017</v>
      </c>
      <c r="D179" s="3" t="s">
        <v>255</v>
      </c>
      <c r="E179" s="3" t="s">
        <v>510</v>
      </c>
      <c r="G179" s="34">
        <f>IFERROR(INDEX('R5. ETP17 Summary'!$P$106:$X$122,MATCH($E179,'R5. ETP17 Summary'!$O$106:$O$122,0),MATCH(G$93,'R5. ETP17 Summary'!$P$9:$X$9,0)),"")</f>
        <v>5154.8270000000002</v>
      </c>
      <c r="H179" s="34" t="str">
        <f>IFERROR(INDEX('R5. ETP17 Summary'!$P$106:$X$122,MATCH($E179,'R5. ETP17 Summary'!$O$106:$O$122,0),MATCH(H$93,'R5. ETP17 Summary'!$P$9:$X$9,0)),"")</f>
        <v/>
      </c>
      <c r="I179" s="34" t="str">
        <f>IFERROR(INDEX('R5. ETP17 Summary'!$P$106:$X$122,MATCH($E179,'R5. ETP17 Summary'!$O$106:$O$122,0),MATCH(I$93,'R5. ETP17 Summary'!$P$9:$X$9,0)),"")</f>
        <v/>
      </c>
      <c r="J179" s="34" t="str">
        <f>IFERROR(INDEX('R5. ETP17 Summary'!$P$106:$X$122,MATCH($E179,'R5. ETP17 Summary'!$O$106:$O$122,0),MATCH(J$93,'R5. ETP17 Summary'!$P$9:$X$9,0)),"")</f>
        <v/>
      </c>
      <c r="K179" s="34" t="str">
        <f>IFERROR(INDEX('R5. ETP17 Summary'!$P$106:$X$122,MATCH($E179,'R5. ETP17 Summary'!$O$106:$O$122,0),MATCH(K$93,'R5. ETP17 Summary'!$P$9:$X$9,0)),"")</f>
        <v/>
      </c>
      <c r="L179" s="34">
        <f>IFERROR(INDEX('R5. ETP17 Summary'!$P$106:$X$122,MATCH($E179,'R5. ETP17 Summary'!$O$106:$O$122,0),MATCH(L$93,'R5. ETP17 Summary'!$P$9:$X$9,0)),"")</f>
        <v>6669.0351096133854</v>
      </c>
      <c r="M179" s="34">
        <f>IFERROR(INDEX('R5. ETP17 Summary'!$P$106:$X$122,MATCH($E179,'R5. ETP17 Summary'!$O$106:$O$122,0),MATCH(M$93,'R5. ETP17 Summary'!$P$9:$X$9,0)),"")</f>
        <v>6596.4333296443137</v>
      </c>
      <c r="N179" s="34">
        <f>IFERROR(INDEX('R5. ETP17 Summary'!$P$106:$X$122,MATCH($E179,'R5. ETP17 Summary'!$O$106:$O$122,0),MATCH(N$93,'R5. ETP17 Summary'!$P$9:$X$9,0)),"")</f>
        <v>6148.1110101372833</v>
      </c>
      <c r="O179" s="34">
        <f>IFERROR(INDEX('R5. ETP17 Summary'!$P$106:$X$122,MATCH($E179,'R5. ETP17 Summary'!$O$106:$O$122,0),MATCH(O$93,'R5. ETP17 Summary'!$P$9:$X$9,0)),"")</f>
        <v>5094.9928274436725</v>
      </c>
      <c r="P179" s="34">
        <f>IFERROR(INDEX('R5. ETP17 Summary'!$P$106:$X$122,MATCH($E179,'R5. ETP17 Summary'!$O$106:$O$122,0),MATCH(P$93,'R5. ETP17 Summary'!$P$9:$X$9,0)),"")</f>
        <v>3521.0391452269255</v>
      </c>
      <c r="Q179" s="34">
        <f>IFERROR(INDEX('R5. ETP17 Summary'!$P$106:$X$122,MATCH($E179,'R5. ETP17 Summary'!$O$106:$O$122,0),MATCH(Q$93,'R5. ETP17 Summary'!$P$9:$X$9,0)),"")</f>
        <v>2570.4004182087033</v>
      </c>
      <c r="R179" s="34">
        <f>IFERROR(INDEX('R5. ETP17 Summary'!$P$106:$X$122,MATCH($E179,'R5. ETP17 Summary'!$O$106:$O$122,0),MATCH(R$93,'R5. ETP17 Summary'!$P$9:$X$9,0)),"")</f>
        <v>2348.3521302059944</v>
      </c>
      <c r="S179" s="34">
        <f>IFERROR(INDEX('R5. ETP17 Summary'!$P$106:$X$122,MATCH($E179,'R5. ETP17 Summary'!$O$106:$O$122,0),MATCH(S$93,'R5. ETP17 Summary'!$P$9:$X$9,0)),"")</f>
        <v>2066.5071781216016</v>
      </c>
    </row>
    <row r="180" spans="1:19" x14ac:dyDescent="0.3">
      <c r="A180" s="3" t="s">
        <v>496</v>
      </c>
      <c r="B180" s="3" t="s">
        <v>382</v>
      </c>
      <c r="C180" s="3" t="str">
        <f>INDEX('R1. Scenario specifications'!$C$11:$C$59,MATCH($B180,'R1. Scenario specifications'!$A$11:$A$59,0))</f>
        <v>2 Degrees Scenario, Energy Technology Perspectives 2017</v>
      </c>
      <c r="D180" s="3" t="s">
        <v>255</v>
      </c>
      <c r="E180" s="3" t="s">
        <v>511</v>
      </c>
      <c r="G180" s="34">
        <f>IFERROR(INDEX('R5. ETP17 Summary'!$P$106:$X$122,MATCH($E180,'R5. ETP17 Summary'!$O$106:$O$122,0),MATCH(G$93,'R5. ETP17 Summary'!$P$9:$X$9,0)),"")</f>
        <v>0</v>
      </c>
      <c r="H180" s="34" t="str">
        <f>IFERROR(INDEX('R5. ETP17 Summary'!$P$106:$X$122,MATCH($E180,'R5. ETP17 Summary'!$O$106:$O$122,0),MATCH(H$93,'R5. ETP17 Summary'!$P$9:$X$9,0)),"")</f>
        <v/>
      </c>
      <c r="I180" s="34" t="str">
        <f>IFERROR(INDEX('R5. ETP17 Summary'!$P$106:$X$122,MATCH($E180,'R5. ETP17 Summary'!$O$106:$O$122,0),MATCH(I$93,'R5. ETP17 Summary'!$P$9:$X$9,0)),"")</f>
        <v/>
      </c>
      <c r="J180" s="34" t="str">
        <f>IFERROR(INDEX('R5. ETP17 Summary'!$P$106:$X$122,MATCH($E180,'R5. ETP17 Summary'!$O$106:$O$122,0),MATCH(J$93,'R5. ETP17 Summary'!$P$9:$X$9,0)),"")</f>
        <v/>
      </c>
      <c r="K180" s="34" t="str">
        <f>IFERROR(INDEX('R5. ETP17 Summary'!$P$106:$X$122,MATCH($E180,'R5. ETP17 Summary'!$O$106:$O$122,0),MATCH(K$93,'R5. ETP17 Summary'!$P$9:$X$9,0)),"")</f>
        <v/>
      </c>
      <c r="L180" s="34">
        <f>IFERROR(INDEX('R5. ETP17 Summary'!$P$106:$X$122,MATCH($E180,'R5. ETP17 Summary'!$O$106:$O$122,0),MATCH(L$93,'R5. ETP17 Summary'!$P$9:$X$9,0)),"")</f>
        <v>4.1420488597211271</v>
      </c>
      <c r="M180" s="34">
        <f>IFERROR(INDEX('R5. ETP17 Summary'!$P$106:$X$122,MATCH($E180,'R5. ETP17 Summary'!$O$106:$O$122,0),MATCH(M$93,'R5. ETP17 Summary'!$P$9:$X$9,0)),"")</f>
        <v>111.39111777759055</v>
      </c>
      <c r="N180" s="34">
        <f>IFERROR(INDEX('R5. ETP17 Summary'!$P$106:$X$122,MATCH($E180,'R5. ETP17 Summary'!$O$106:$O$122,0),MATCH(N$93,'R5. ETP17 Summary'!$P$9:$X$9,0)),"")</f>
        <v>461.49042146475068</v>
      </c>
      <c r="O180" s="34">
        <f>IFERROR(INDEX('R5. ETP17 Summary'!$P$106:$X$122,MATCH($E180,'R5. ETP17 Summary'!$O$106:$O$122,0),MATCH(O$93,'R5. ETP17 Summary'!$P$9:$X$9,0)),"")</f>
        <v>778.63057172176775</v>
      </c>
      <c r="P180" s="34">
        <f>IFERROR(INDEX('R5. ETP17 Summary'!$P$106:$X$122,MATCH($E180,'R5. ETP17 Summary'!$O$106:$O$122,0),MATCH(P$93,'R5. ETP17 Summary'!$P$9:$X$9,0)),"")</f>
        <v>1343.6558516921477</v>
      </c>
      <c r="Q180" s="34">
        <f>IFERROR(INDEX('R5. ETP17 Summary'!$P$106:$X$122,MATCH($E180,'R5. ETP17 Summary'!$O$106:$O$122,0),MATCH(Q$93,'R5. ETP17 Summary'!$P$9:$X$9,0)),"")</f>
        <v>1548.5846864425976</v>
      </c>
      <c r="R180" s="34">
        <f>IFERROR(INDEX('R5. ETP17 Summary'!$P$106:$X$122,MATCH($E180,'R5. ETP17 Summary'!$O$106:$O$122,0),MATCH(R$93,'R5. ETP17 Summary'!$P$9:$X$9,0)),"")</f>
        <v>1683.2422157055023</v>
      </c>
      <c r="S180" s="34">
        <f>IFERROR(INDEX('R5. ETP17 Summary'!$P$106:$X$122,MATCH($E180,'R5. ETP17 Summary'!$O$106:$O$122,0),MATCH(S$93,'R5. ETP17 Summary'!$P$9:$X$9,0)),"")</f>
        <v>1437.0983668440606</v>
      </c>
    </row>
    <row r="181" spans="1:19" x14ac:dyDescent="0.3">
      <c r="A181" s="3" t="s">
        <v>496</v>
      </c>
      <c r="B181" s="3" t="s">
        <v>382</v>
      </c>
      <c r="C181" s="3" t="str">
        <f>INDEX('R1. Scenario specifications'!$C$11:$C$59,MATCH($B181,'R1. Scenario specifications'!$A$11:$A$59,0))</f>
        <v>2 Degrees Scenario, Energy Technology Perspectives 2017</v>
      </c>
      <c r="D181" s="3" t="s">
        <v>257</v>
      </c>
      <c r="E181" s="3" t="s">
        <v>257</v>
      </c>
      <c r="G181" s="34">
        <f>IFERROR(INDEX('R5. ETP17 Summary'!$P$106:$X$122,MATCH($E181,'R5. ETP17 Summary'!$O$106:$O$122,0),MATCH(G$93,'R5. ETP17 Summary'!$P$9:$X$9,0)),"")</f>
        <v>2535.326</v>
      </c>
      <c r="H181" s="34" t="str">
        <f>IFERROR(INDEX('R5. ETP17 Summary'!$P$106:$X$122,MATCH($E181,'R5. ETP17 Summary'!$O$106:$O$122,0),MATCH(H$93,'R5. ETP17 Summary'!$P$9:$X$9,0)),"")</f>
        <v/>
      </c>
      <c r="I181" s="34" t="str">
        <f>IFERROR(INDEX('R5. ETP17 Summary'!$P$106:$X$122,MATCH($E181,'R5. ETP17 Summary'!$O$106:$O$122,0),MATCH(I$93,'R5. ETP17 Summary'!$P$9:$X$9,0)),"")</f>
        <v/>
      </c>
      <c r="J181" s="34" t="str">
        <f>IFERROR(INDEX('R5. ETP17 Summary'!$P$106:$X$122,MATCH($E181,'R5. ETP17 Summary'!$O$106:$O$122,0),MATCH(J$93,'R5. ETP17 Summary'!$P$9:$X$9,0)),"")</f>
        <v/>
      </c>
      <c r="K181" s="34" t="str">
        <f>IFERROR(INDEX('R5. ETP17 Summary'!$P$106:$X$122,MATCH($E181,'R5. ETP17 Summary'!$O$106:$O$122,0),MATCH(K$93,'R5. ETP17 Summary'!$P$9:$X$9,0)),"")</f>
        <v/>
      </c>
      <c r="L181" s="34">
        <f>IFERROR(INDEX('R5. ETP17 Summary'!$P$106:$X$122,MATCH($E181,'R5. ETP17 Summary'!$O$106:$O$122,0),MATCH(L$93,'R5. ETP17 Summary'!$P$9:$X$9,0)),"")</f>
        <v>3750.2082103196226</v>
      </c>
      <c r="M181" s="34">
        <f>IFERROR(INDEX('R5. ETP17 Summary'!$P$106:$X$122,MATCH($E181,'R5. ETP17 Summary'!$O$106:$O$122,0),MATCH(M$93,'R5. ETP17 Summary'!$P$9:$X$9,0)),"")</f>
        <v>4719.3746746021179</v>
      </c>
      <c r="N181" s="34">
        <f>IFERROR(INDEX('R5. ETP17 Summary'!$P$106:$X$122,MATCH($E181,'R5. ETP17 Summary'!$O$106:$O$122,0),MATCH(N$93,'R5. ETP17 Summary'!$P$9:$X$9,0)),"")</f>
        <v>5407.4653399235303</v>
      </c>
      <c r="O181" s="34">
        <f>IFERROR(INDEX('R5. ETP17 Summary'!$P$106:$X$122,MATCH($E181,'R5. ETP17 Summary'!$O$106:$O$122,0),MATCH(O$93,'R5. ETP17 Summary'!$P$9:$X$9,0)),"")</f>
        <v>6109.9452374085813</v>
      </c>
      <c r="P181" s="34">
        <f>IFERROR(INDEX('R5. ETP17 Summary'!$P$106:$X$122,MATCH($E181,'R5. ETP17 Summary'!$O$106:$O$122,0),MATCH(P$93,'R5. ETP17 Summary'!$P$9:$X$9,0)),"")</f>
        <v>6632.9058690538641</v>
      </c>
      <c r="Q181" s="34">
        <f>IFERROR(INDEX('R5. ETP17 Summary'!$P$106:$X$122,MATCH($E181,'R5. ETP17 Summary'!$O$106:$O$122,0),MATCH(Q$93,'R5. ETP17 Summary'!$P$9:$X$9,0)),"")</f>
        <v>6932.0796668110124</v>
      </c>
      <c r="R181" s="34">
        <f>IFERROR(INDEX('R5. ETP17 Summary'!$P$106:$X$122,MATCH($E181,'R5. ETP17 Summary'!$O$106:$O$122,0),MATCH(R$93,'R5. ETP17 Summary'!$P$9:$X$9,0)),"")</f>
        <v>7303.4239097660466</v>
      </c>
      <c r="S181" s="34">
        <f>IFERROR(INDEX('R5. ETP17 Summary'!$P$106:$X$122,MATCH($E181,'R5. ETP17 Summary'!$O$106:$O$122,0),MATCH(S$93,'R5. ETP17 Summary'!$P$9:$X$9,0)),"")</f>
        <v>7544.5015121423357</v>
      </c>
    </row>
    <row r="182" spans="1:19" x14ac:dyDescent="0.3">
      <c r="A182" s="3" t="s">
        <v>496</v>
      </c>
      <c r="B182" s="3" t="s">
        <v>382</v>
      </c>
      <c r="C182" s="3" t="str">
        <f>INDEX('R1. Scenario specifications'!$C$11:$C$59,MATCH($B182,'R1. Scenario specifications'!$A$11:$A$59,0))</f>
        <v>2 Degrees Scenario, Energy Technology Perspectives 2017</v>
      </c>
      <c r="D182" s="3" t="s">
        <v>253</v>
      </c>
      <c r="E182" s="3" t="s">
        <v>512</v>
      </c>
      <c r="G182" s="34">
        <f>IFERROR(INDEX('R5. ETP17 Summary'!$P$106:$X$122,MATCH($E182,'R5. ETP17 Summary'!$O$106:$O$122,0),MATCH(G$93,'R5. ETP17 Summary'!$P$9:$X$9,0)),"")</f>
        <v>495.94800000000004</v>
      </c>
      <c r="H182" s="34" t="str">
        <f>IFERROR(INDEX('R5. ETP17 Summary'!$P$106:$X$122,MATCH($E182,'R5. ETP17 Summary'!$O$106:$O$122,0),MATCH(H$93,'R5. ETP17 Summary'!$P$9:$X$9,0)),"")</f>
        <v/>
      </c>
      <c r="I182" s="34" t="str">
        <f>IFERROR(INDEX('R5. ETP17 Summary'!$P$106:$X$122,MATCH($E182,'R5. ETP17 Summary'!$O$106:$O$122,0),MATCH(I$93,'R5. ETP17 Summary'!$P$9:$X$9,0)),"")</f>
        <v/>
      </c>
      <c r="J182" s="34" t="str">
        <f>IFERROR(INDEX('R5. ETP17 Summary'!$P$106:$X$122,MATCH($E182,'R5. ETP17 Summary'!$O$106:$O$122,0),MATCH(J$93,'R5. ETP17 Summary'!$P$9:$X$9,0)),"")</f>
        <v/>
      </c>
      <c r="K182" s="34" t="str">
        <f>IFERROR(INDEX('R5. ETP17 Summary'!$P$106:$X$122,MATCH($E182,'R5. ETP17 Summary'!$O$106:$O$122,0),MATCH(K$93,'R5. ETP17 Summary'!$P$9:$X$9,0)),"")</f>
        <v/>
      </c>
      <c r="L182" s="34">
        <f>IFERROR(INDEX('R5. ETP17 Summary'!$P$106:$X$122,MATCH($E182,'R5. ETP17 Summary'!$O$106:$O$122,0),MATCH(L$93,'R5. ETP17 Summary'!$P$9:$X$9,0)),"")</f>
        <v>1341.3165054371525</v>
      </c>
      <c r="M182" s="34">
        <f>IFERROR(INDEX('R5. ETP17 Summary'!$P$106:$X$122,MATCH($E182,'R5. ETP17 Summary'!$O$106:$O$122,0),MATCH(M$93,'R5. ETP17 Summary'!$P$9:$X$9,0)),"")</f>
        <v>1836.1060590865332</v>
      </c>
      <c r="N182" s="34">
        <f>IFERROR(INDEX('R5. ETP17 Summary'!$P$106:$X$122,MATCH($E182,'R5. ETP17 Summary'!$O$106:$O$122,0),MATCH(N$93,'R5. ETP17 Summary'!$P$9:$X$9,0)),"")</f>
        <v>2323.0163754186906</v>
      </c>
      <c r="O182" s="34">
        <f>IFERROR(INDEX('R5. ETP17 Summary'!$P$106:$X$122,MATCH($E182,'R5. ETP17 Summary'!$O$106:$O$122,0),MATCH(O$93,'R5. ETP17 Summary'!$P$9:$X$9,0)),"")</f>
        <v>2575.3238915773322</v>
      </c>
      <c r="P182" s="34">
        <f>IFERROR(INDEX('R5. ETP17 Summary'!$P$106:$X$122,MATCH($E182,'R5. ETP17 Summary'!$O$106:$O$122,0),MATCH(P$93,'R5. ETP17 Summary'!$P$9:$X$9,0)),"")</f>
        <v>2826.887658782186</v>
      </c>
      <c r="Q182" s="34">
        <f>IFERROR(INDEX('R5. ETP17 Summary'!$P$106:$X$122,MATCH($E182,'R5. ETP17 Summary'!$O$106:$O$122,0),MATCH(Q$93,'R5. ETP17 Summary'!$P$9:$X$9,0)),"")</f>
        <v>2938.7902340545397</v>
      </c>
      <c r="R182" s="34">
        <f>IFERROR(INDEX('R5. ETP17 Summary'!$P$106:$X$122,MATCH($E182,'R5. ETP17 Summary'!$O$106:$O$122,0),MATCH(R$93,'R5. ETP17 Summary'!$P$9:$X$9,0)),"")</f>
        <v>2631.2218962384968</v>
      </c>
      <c r="S182" s="34">
        <f>IFERROR(INDEX('R5. ETP17 Summary'!$P$106:$X$122,MATCH($E182,'R5. ETP17 Summary'!$O$106:$O$122,0),MATCH(S$93,'R5. ETP17 Summary'!$P$9:$X$9,0)),"")</f>
        <v>2538.2663122134445</v>
      </c>
    </row>
    <row r="183" spans="1:19" x14ac:dyDescent="0.3">
      <c r="A183" s="3" t="s">
        <v>496</v>
      </c>
      <c r="B183" s="3" t="s">
        <v>382</v>
      </c>
      <c r="C183" s="3" t="str">
        <f>INDEX('R1. Scenario specifications'!$C$11:$C$59,MATCH($B183,'R1. Scenario specifications'!$A$11:$A$59,0))</f>
        <v>2 Degrees Scenario, Energy Technology Perspectives 2017</v>
      </c>
      <c r="D183" s="3" t="s">
        <v>253</v>
      </c>
      <c r="E183" s="3" t="s">
        <v>513</v>
      </c>
      <c r="G183" s="34">
        <f>IFERROR(INDEX('R5. ETP17 Summary'!$P$106:$X$122,MATCH($E183,'R5. ETP17 Summary'!$O$106:$O$122,0),MATCH(G$93,'R5. ETP17 Summary'!$P$9:$X$9,0)),"")</f>
        <v>0</v>
      </c>
      <c r="H183" s="34" t="str">
        <f>IFERROR(INDEX('R5. ETP17 Summary'!$P$106:$X$122,MATCH($E183,'R5. ETP17 Summary'!$O$106:$O$122,0),MATCH(H$93,'R5. ETP17 Summary'!$P$9:$X$9,0)),"")</f>
        <v/>
      </c>
      <c r="I183" s="34" t="str">
        <f>IFERROR(INDEX('R5. ETP17 Summary'!$P$106:$X$122,MATCH($E183,'R5. ETP17 Summary'!$O$106:$O$122,0),MATCH(I$93,'R5. ETP17 Summary'!$P$9:$X$9,0)),"")</f>
        <v/>
      </c>
      <c r="J183" s="34" t="str">
        <f>IFERROR(INDEX('R5. ETP17 Summary'!$P$106:$X$122,MATCH($E183,'R5. ETP17 Summary'!$O$106:$O$122,0),MATCH(J$93,'R5. ETP17 Summary'!$P$9:$X$9,0)),"")</f>
        <v/>
      </c>
      <c r="K183" s="34" t="str">
        <f>IFERROR(INDEX('R5. ETP17 Summary'!$P$106:$X$122,MATCH($E183,'R5. ETP17 Summary'!$O$106:$O$122,0),MATCH(K$93,'R5. ETP17 Summary'!$P$9:$X$9,0)),"")</f>
        <v/>
      </c>
      <c r="L183" s="34">
        <f>IFERROR(INDEX('R5. ETP17 Summary'!$P$106:$X$122,MATCH($E183,'R5. ETP17 Summary'!$O$106:$O$122,0),MATCH(L$93,'R5. ETP17 Summary'!$P$9:$X$9,0)),"")</f>
        <v>3.7646867873302181</v>
      </c>
      <c r="M183" s="34">
        <f>IFERROR(INDEX('R5. ETP17 Summary'!$P$106:$X$122,MATCH($E183,'R5. ETP17 Summary'!$O$106:$O$122,0),MATCH(M$93,'R5. ETP17 Summary'!$P$9:$X$9,0)),"")</f>
        <v>19.862691233071295</v>
      </c>
      <c r="N183" s="34">
        <f>IFERROR(INDEX('R5. ETP17 Summary'!$P$106:$X$122,MATCH($E183,'R5. ETP17 Summary'!$O$106:$O$122,0),MATCH(N$93,'R5. ETP17 Summary'!$P$9:$X$9,0)),"")</f>
        <v>79.619330097195402</v>
      </c>
      <c r="O183" s="34">
        <f>IFERROR(INDEX('R5. ETP17 Summary'!$P$106:$X$122,MATCH($E183,'R5. ETP17 Summary'!$O$106:$O$122,0),MATCH(O$93,'R5. ETP17 Summary'!$P$9:$X$9,0)),"")</f>
        <v>180.84606229968946</v>
      </c>
      <c r="P183" s="34">
        <f>IFERROR(INDEX('R5. ETP17 Summary'!$P$106:$X$122,MATCH($E183,'R5. ETP17 Summary'!$O$106:$O$122,0),MATCH(P$93,'R5. ETP17 Summary'!$P$9:$X$9,0)),"")</f>
        <v>317.94889883418</v>
      </c>
      <c r="Q183" s="34">
        <f>IFERROR(INDEX('R5. ETP17 Summary'!$P$106:$X$122,MATCH($E183,'R5. ETP17 Summary'!$O$106:$O$122,0),MATCH(Q$93,'R5. ETP17 Summary'!$P$9:$X$9,0)),"")</f>
        <v>427.06672970860012</v>
      </c>
      <c r="R183" s="34">
        <f>IFERROR(INDEX('R5. ETP17 Summary'!$P$106:$X$122,MATCH($E183,'R5. ETP17 Summary'!$O$106:$O$122,0),MATCH(R$93,'R5. ETP17 Summary'!$P$9:$X$9,0)),"")</f>
        <v>658.3865264007261</v>
      </c>
      <c r="S183" s="34">
        <f>IFERROR(INDEX('R5. ETP17 Summary'!$P$106:$X$122,MATCH($E183,'R5. ETP17 Summary'!$O$106:$O$122,0),MATCH(S$93,'R5. ETP17 Summary'!$P$9:$X$9,0)),"")</f>
        <v>1030.2472504573657</v>
      </c>
    </row>
    <row r="184" spans="1:19" x14ac:dyDescent="0.3">
      <c r="A184" s="3" t="s">
        <v>496</v>
      </c>
      <c r="B184" s="3" t="s">
        <v>382</v>
      </c>
      <c r="C184" s="3" t="str">
        <f>INDEX('R1. Scenario specifications'!$C$11:$C$59,MATCH($B184,'R1. Scenario specifications'!$A$11:$A$59,0))</f>
        <v>2 Degrees Scenario, Energy Technology Perspectives 2017</v>
      </c>
      <c r="D184" s="3" t="s">
        <v>256</v>
      </c>
      <c r="E184" s="3" t="s">
        <v>514</v>
      </c>
      <c r="G184" s="34">
        <f>IFERROR(INDEX('R5. ETP17 Summary'!$P$106:$X$122,MATCH($E184,'R5. ETP17 Summary'!$O$106:$O$122,0),MATCH(G$93,'R5. ETP17 Summary'!$P$9:$X$9,0)),"")</f>
        <v>3894.7080000000001</v>
      </c>
      <c r="H184" s="34" t="str">
        <f>IFERROR(INDEX('R5. ETP17 Summary'!$P$106:$X$122,MATCH($E184,'R5. ETP17 Summary'!$O$106:$O$122,0),MATCH(H$93,'R5. ETP17 Summary'!$P$9:$X$9,0)),"")</f>
        <v/>
      </c>
      <c r="I184" s="34" t="str">
        <f>IFERROR(INDEX('R5. ETP17 Summary'!$P$106:$X$122,MATCH($E184,'R5. ETP17 Summary'!$O$106:$O$122,0),MATCH(I$93,'R5. ETP17 Summary'!$P$9:$X$9,0)),"")</f>
        <v/>
      </c>
      <c r="J184" s="34" t="str">
        <f>IFERROR(INDEX('R5. ETP17 Summary'!$P$106:$X$122,MATCH($E184,'R5. ETP17 Summary'!$O$106:$O$122,0),MATCH(J$93,'R5. ETP17 Summary'!$P$9:$X$9,0)),"")</f>
        <v/>
      </c>
      <c r="K184" s="34" t="str">
        <f>IFERROR(INDEX('R5. ETP17 Summary'!$P$106:$X$122,MATCH($E184,'R5. ETP17 Summary'!$O$106:$O$122,0),MATCH(K$93,'R5. ETP17 Summary'!$P$9:$X$9,0)),"")</f>
        <v/>
      </c>
      <c r="L184" s="34">
        <f>IFERROR(INDEX('R5. ETP17 Summary'!$P$106:$X$122,MATCH($E184,'R5. ETP17 Summary'!$O$106:$O$122,0),MATCH(L$93,'R5. ETP17 Summary'!$P$9:$X$9,0)),"")</f>
        <v>5157.495122197256</v>
      </c>
      <c r="M184" s="34">
        <f>IFERROR(INDEX('R5. ETP17 Summary'!$P$106:$X$122,MATCH($E184,'R5. ETP17 Summary'!$O$106:$O$122,0),MATCH(M$93,'R5. ETP17 Summary'!$P$9:$X$9,0)),"")</f>
        <v>5691.457396244723</v>
      </c>
      <c r="N184" s="34">
        <f>IFERROR(INDEX('R5. ETP17 Summary'!$P$106:$X$122,MATCH($E184,'R5. ETP17 Summary'!$O$106:$O$122,0),MATCH(N$93,'R5. ETP17 Summary'!$P$9:$X$9,0)),"")</f>
        <v>6045.4950914211513</v>
      </c>
      <c r="O184" s="34">
        <f>IFERROR(INDEX('R5. ETP17 Summary'!$P$106:$X$122,MATCH($E184,'R5. ETP17 Summary'!$O$106:$O$122,0),MATCH(O$93,'R5. ETP17 Summary'!$P$9:$X$9,0)),"")</f>
        <v>6618.4871405593949</v>
      </c>
      <c r="P184" s="34">
        <f>IFERROR(INDEX('R5. ETP17 Summary'!$P$106:$X$122,MATCH($E184,'R5. ETP17 Summary'!$O$106:$O$122,0),MATCH(P$93,'R5. ETP17 Summary'!$P$9:$X$9,0)),"")</f>
        <v>7140.782885501385</v>
      </c>
      <c r="Q184" s="34">
        <f>IFERROR(INDEX('R5. ETP17 Summary'!$P$106:$X$122,MATCH($E184,'R5. ETP17 Summary'!$O$106:$O$122,0),MATCH(Q$93,'R5. ETP17 Summary'!$P$9:$X$9,0)),"")</f>
        <v>7619.3421636690573</v>
      </c>
      <c r="R184" s="34">
        <f>IFERROR(INDEX('R5. ETP17 Summary'!$P$106:$X$122,MATCH($E184,'R5. ETP17 Summary'!$O$106:$O$122,0),MATCH(R$93,'R5. ETP17 Summary'!$P$9:$X$9,0)),"")</f>
        <v>8076.3666032435867</v>
      </c>
      <c r="S184" s="34">
        <f>IFERROR(INDEX('R5. ETP17 Summary'!$P$106:$X$122,MATCH($E184,'R5. ETP17 Summary'!$O$106:$O$122,0),MATCH(S$93,'R5. ETP17 Summary'!$P$9:$X$9,0)),"")</f>
        <v>8512.4306404255731</v>
      </c>
    </row>
    <row r="185" spans="1:19" x14ac:dyDescent="0.3">
      <c r="A185" s="3" t="s">
        <v>496</v>
      </c>
      <c r="B185" s="3" t="s">
        <v>382</v>
      </c>
      <c r="C185" s="3" t="str">
        <f>INDEX('R1. Scenario specifications'!$C$11:$C$59,MATCH($B185,'R1. Scenario specifications'!$A$11:$A$59,0))</f>
        <v>2 Degrees Scenario, Energy Technology Perspectives 2017</v>
      </c>
      <c r="D185" s="3" t="s">
        <v>258</v>
      </c>
      <c r="E185" s="3" t="s">
        <v>506</v>
      </c>
      <c r="G185" s="34">
        <f>IFERROR(INDEX('R5. ETP17 Summary'!$P$106:$X$122,MATCH($E185,'R5. ETP17 Summary'!$O$106:$O$122,0),MATCH(G$93,'R5. ETP17 Summary'!$P$9:$X$9,0)),"")</f>
        <v>77.376999999999995</v>
      </c>
      <c r="H185" s="34" t="str">
        <f>IFERROR(INDEX('R5. ETP17 Summary'!$P$106:$X$122,MATCH($E185,'R5. ETP17 Summary'!$O$106:$O$122,0),MATCH(H$93,'R5. ETP17 Summary'!$P$9:$X$9,0)),"")</f>
        <v/>
      </c>
      <c r="I185" s="34" t="str">
        <f>IFERROR(INDEX('R5. ETP17 Summary'!$P$106:$X$122,MATCH($E185,'R5. ETP17 Summary'!$O$106:$O$122,0),MATCH(I$93,'R5. ETP17 Summary'!$P$9:$X$9,0)),"")</f>
        <v/>
      </c>
      <c r="J185" s="34" t="str">
        <f>IFERROR(INDEX('R5. ETP17 Summary'!$P$106:$X$122,MATCH($E185,'R5. ETP17 Summary'!$O$106:$O$122,0),MATCH(J$93,'R5. ETP17 Summary'!$P$9:$X$9,0)),"")</f>
        <v/>
      </c>
      <c r="K185" s="34" t="str">
        <f>IFERROR(INDEX('R5. ETP17 Summary'!$P$106:$X$122,MATCH($E185,'R5. ETP17 Summary'!$O$106:$O$122,0),MATCH(K$93,'R5. ETP17 Summary'!$P$9:$X$9,0)),"")</f>
        <v/>
      </c>
      <c r="L185" s="34">
        <f>IFERROR(INDEX('R5. ETP17 Summary'!$P$106:$X$122,MATCH($E185,'R5. ETP17 Summary'!$O$106:$O$122,0),MATCH(L$93,'R5. ETP17 Summary'!$P$9:$X$9,0)),"")</f>
        <v>223.05875320662588</v>
      </c>
      <c r="M185" s="34">
        <f>IFERROR(INDEX('R5. ETP17 Summary'!$P$106:$X$122,MATCH($E185,'R5. ETP17 Summary'!$O$106:$O$122,0),MATCH(M$93,'R5. ETP17 Summary'!$P$9:$X$9,0)),"")</f>
        <v>336.32237681838785</v>
      </c>
      <c r="N185" s="34">
        <f>IFERROR(INDEX('R5. ETP17 Summary'!$P$106:$X$122,MATCH($E185,'R5. ETP17 Summary'!$O$106:$O$122,0),MATCH(N$93,'R5. ETP17 Summary'!$P$9:$X$9,0)),"")</f>
        <v>475.69327308601879</v>
      </c>
      <c r="O185" s="34">
        <f>IFERROR(INDEX('R5. ETP17 Summary'!$P$106:$X$122,MATCH($E185,'R5. ETP17 Summary'!$O$106:$O$122,0),MATCH(O$93,'R5. ETP17 Summary'!$P$9:$X$9,0)),"")</f>
        <v>618.95690086972763</v>
      </c>
      <c r="P185" s="34">
        <f>IFERROR(INDEX('R5. ETP17 Summary'!$P$106:$X$122,MATCH($E185,'R5. ETP17 Summary'!$O$106:$O$122,0),MATCH(P$93,'R5. ETP17 Summary'!$P$9:$X$9,0)),"")</f>
        <v>775.11938764904789</v>
      </c>
      <c r="Q185" s="34">
        <f>IFERROR(INDEX('R5. ETP17 Summary'!$P$106:$X$122,MATCH($E185,'R5. ETP17 Summary'!$O$106:$O$122,0),MATCH(Q$93,'R5. ETP17 Summary'!$P$9:$X$9,0)),"")</f>
        <v>931.46467698757056</v>
      </c>
      <c r="R185" s="34">
        <f>IFERROR(INDEX('R5. ETP17 Summary'!$P$106:$X$122,MATCH($E185,'R5. ETP17 Summary'!$O$106:$O$122,0),MATCH(R$93,'R5. ETP17 Summary'!$P$9:$X$9,0)),"")</f>
        <v>1081.0625674961591</v>
      </c>
      <c r="S185" s="34">
        <f>IFERROR(INDEX('R5. ETP17 Summary'!$P$106:$X$122,MATCH($E185,'R5. ETP17 Summary'!$O$106:$O$122,0),MATCH(S$93,'R5. ETP17 Summary'!$P$9:$X$9,0)),"")</f>
        <v>1229.2722341370356</v>
      </c>
    </row>
    <row r="186" spans="1:19" x14ac:dyDescent="0.3">
      <c r="A186" s="3" t="s">
        <v>496</v>
      </c>
      <c r="B186" s="3" t="s">
        <v>382</v>
      </c>
      <c r="C186" s="3" t="str">
        <f>INDEX('R1. Scenario specifications'!$C$11:$C$59,MATCH($B186,'R1. Scenario specifications'!$A$11:$A$59,0))</f>
        <v>2 Degrees Scenario, Energy Technology Perspectives 2017</v>
      </c>
      <c r="D186" s="3" t="s">
        <v>260</v>
      </c>
      <c r="E186" s="3" t="s">
        <v>515</v>
      </c>
      <c r="G186" s="34">
        <f>IFERROR(INDEX('R5. ETP17 Summary'!$P$106:$X$122,MATCH($E186,'R5. ETP17 Summary'!$O$106:$O$122,0),MATCH(G$93,'R5. ETP17 Summary'!$P$9:$X$9,0)),"")</f>
        <v>692.12371787999996</v>
      </c>
      <c r="H186" s="34" t="str">
        <f>IFERROR(INDEX('R5. ETP17 Summary'!$P$106:$X$122,MATCH($E186,'R5. ETP17 Summary'!$O$106:$O$122,0),MATCH(H$93,'R5. ETP17 Summary'!$P$9:$X$9,0)),"")</f>
        <v/>
      </c>
      <c r="I186" s="34" t="str">
        <f>IFERROR(INDEX('R5. ETP17 Summary'!$P$106:$X$122,MATCH($E186,'R5. ETP17 Summary'!$O$106:$O$122,0),MATCH(I$93,'R5. ETP17 Summary'!$P$9:$X$9,0)),"")</f>
        <v/>
      </c>
      <c r="J186" s="34" t="str">
        <f>IFERROR(INDEX('R5. ETP17 Summary'!$P$106:$X$122,MATCH($E186,'R5. ETP17 Summary'!$O$106:$O$122,0),MATCH(J$93,'R5. ETP17 Summary'!$P$9:$X$9,0)),"")</f>
        <v/>
      </c>
      <c r="K186" s="34" t="str">
        <f>IFERROR(INDEX('R5. ETP17 Summary'!$P$106:$X$122,MATCH($E186,'R5. ETP17 Summary'!$O$106:$O$122,0),MATCH(K$93,'R5. ETP17 Summary'!$P$9:$X$9,0)),"")</f>
        <v/>
      </c>
      <c r="L186" s="34">
        <f>IFERROR(INDEX('R5. ETP17 Summary'!$P$106:$X$122,MATCH($E186,'R5. ETP17 Summary'!$O$106:$O$122,0),MATCH(L$93,'R5. ETP17 Summary'!$P$9:$X$9,0)),"")</f>
        <v>2483.8560216318983</v>
      </c>
      <c r="M186" s="34">
        <f>IFERROR(INDEX('R5. ETP17 Summary'!$P$106:$X$122,MATCH($E186,'R5. ETP17 Summary'!$O$106:$O$122,0),MATCH(M$93,'R5. ETP17 Summary'!$P$9:$X$9,0)),"")</f>
        <v>3841.5457435384405</v>
      </c>
      <c r="N186" s="34">
        <f>IFERROR(INDEX('R5. ETP17 Summary'!$P$106:$X$122,MATCH($E186,'R5. ETP17 Summary'!$O$106:$O$122,0),MATCH(N$93,'R5. ETP17 Summary'!$P$9:$X$9,0)),"")</f>
        <v>4833.7369228036123</v>
      </c>
      <c r="O186" s="34">
        <f>IFERROR(INDEX('R5. ETP17 Summary'!$P$106:$X$122,MATCH($E186,'R5. ETP17 Summary'!$O$106:$O$122,0),MATCH(O$93,'R5. ETP17 Summary'!$P$9:$X$9,0)),"")</f>
        <v>5430.7191696638347</v>
      </c>
      <c r="P186" s="34">
        <f>IFERROR(INDEX('R5. ETP17 Summary'!$P$106:$X$122,MATCH($E186,'R5. ETP17 Summary'!$O$106:$O$122,0),MATCH(P$93,'R5. ETP17 Summary'!$P$9:$X$9,0)),"")</f>
        <v>5885.6907653753569</v>
      </c>
      <c r="Q186" s="34">
        <f>IFERROR(INDEX('R5. ETP17 Summary'!$P$106:$X$122,MATCH($E186,'R5. ETP17 Summary'!$O$106:$O$122,0),MATCH(Q$93,'R5. ETP17 Summary'!$P$9:$X$9,0)),"")</f>
        <v>6485.5515795750653</v>
      </c>
      <c r="R186" s="34">
        <f>IFERROR(INDEX('R5. ETP17 Summary'!$P$106:$X$122,MATCH($E186,'R5. ETP17 Summary'!$O$106:$O$122,0),MATCH(R$93,'R5. ETP17 Summary'!$P$9:$X$9,0)),"")</f>
        <v>6973.8846717838951</v>
      </c>
      <c r="S186" s="34">
        <f>IFERROR(INDEX('R5. ETP17 Summary'!$P$106:$X$122,MATCH($E186,'R5. ETP17 Summary'!$O$106:$O$122,0),MATCH(S$93,'R5. ETP17 Summary'!$P$9:$X$9,0)),"")</f>
        <v>7457.5960710370937</v>
      </c>
    </row>
    <row r="187" spans="1:19" x14ac:dyDescent="0.3">
      <c r="A187" s="3" t="s">
        <v>496</v>
      </c>
      <c r="B187" s="3" t="s">
        <v>382</v>
      </c>
      <c r="C187" s="3" t="str">
        <f>INDEX('R1. Scenario specifications'!$C$11:$C$59,MATCH($B187,'R1. Scenario specifications'!$A$11:$A$59,0))</f>
        <v>2 Degrees Scenario, Energy Technology Perspectives 2017</v>
      </c>
      <c r="D187" s="3" t="s">
        <v>260</v>
      </c>
      <c r="E187" s="3" t="s">
        <v>516</v>
      </c>
      <c r="G187" s="34">
        <f>IFERROR(INDEX('R5. ETP17 Summary'!$P$106:$X$122,MATCH($E187,'R5. ETP17 Summary'!$O$106:$O$122,0),MATCH(G$93,'R5. ETP17 Summary'!$P$9:$X$9,0)),"")</f>
        <v>25.169518119999996</v>
      </c>
      <c r="H187" s="34" t="str">
        <f>IFERROR(INDEX('R5. ETP17 Summary'!$P$106:$X$122,MATCH($E187,'R5. ETP17 Summary'!$O$106:$O$122,0),MATCH(H$93,'R5. ETP17 Summary'!$P$9:$X$9,0)),"")</f>
        <v/>
      </c>
      <c r="I187" s="34" t="str">
        <f>IFERROR(INDEX('R5. ETP17 Summary'!$P$106:$X$122,MATCH($E187,'R5. ETP17 Summary'!$O$106:$O$122,0),MATCH(I$93,'R5. ETP17 Summary'!$P$9:$X$9,0)),"")</f>
        <v/>
      </c>
      <c r="J187" s="34" t="str">
        <f>IFERROR(INDEX('R5. ETP17 Summary'!$P$106:$X$122,MATCH($E187,'R5. ETP17 Summary'!$O$106:$O$122,0),MATCH(J$93,'R5. ETP17 Summary'!$P$9:$X$9,0)),"")</f>
        <v/>
      </c>
      <c r="K187" s="34" t="str">
        <f>IFERROR(INDEX('R5. ETP17 Summary'!$P$106:$X$122,MATCH($E187,'R5. ETP17 Summary'!$O$106:$O$122,0),MATCH(K$93,'R5. ETP17 Summary'!$P$9:$X$9,0)),"")</f>
        <v/>
      </c>
      <c r="L187" s="34">
        <f>IFERROR(INDEX('R5. ETP17 Summary'!$P$106:$X$122,MATCH($E187,'R5. ETP17 Summary'!$O$106:$O$122,0),MATCH(L$93,'R5. ETP17 Summary'!$P$9:$X$9,0)),"")</f>
        <v>221.78177286445234</v>
      </c>
      <c r="M187" s="34">
        <f>IFERROR(INDEX('R5. ETP17 Summary'!$P$106:$X$122,MATCH($E187,'R5. ETP17 Summary'!$O$106:$O$122,0),MATCH(M$93,'R5. ETP17 Summary'!$P$9:$X$9,0)),"")</f>
        <v>472.94020459164329</v>
      </c>
      <c r="N187" s="34">
        <f>IFERROR(INDEX('R5. ETP17 Summary'!$P$106:$X$122,MATCH($E187,'R5. ETP17 Summary'!$O$106:$O$122,0),MATCH(N$93,'R5. ETP17 Summary'!$P$9:$X$9,0)),"")</f>
        <v>760.31550167874548</v>
      </c>
      <c r="O187" s="34">
        <f>IFERROR(INDEX('R5. ETP17 Summary'!$P$106:$X$122,MATCH($E187,'R5. ETP17 Summary'!$O$106:$O$122,0),MATCH(O$93,'R5. ETP17 Summary'!$P$9:$X$9,0)),"")</f>
        <v>1051.8477542134247</v>
      </c>
      <c r="P187" s="34">
        <f>IFERROR(INDEX('R5. ETP17 Summary'!$P$106:$X$122,MATCH($E187,'R5. ETP17 Summary'!$O$106:$O$122,0),MATCH(P$93,'R5. ETP17 Summary'!$P$9:$X$9,0)),"")</f>
        <v>1362.3921078008293</v>
      </c>
      <c r="Q187" s="34">
        <f>IFERROR(INDEX('R5. ETP17 Summary'!$P$106:$X$122,MATCH($E187,'R5. ETP17 Summary'!$O$106:$O$122,0),MATCH(Q$93,'R5. ETP17 Summary'!$P$9:$X$9,0)),"")</f>
        <v>1693.2494071042897</v>
      </c>
      <c r="R187" s="34">
        <f>IFERROR(INDEX('R5. ETP17 Summary'!$P$106:$X$122,MATCH($E187,'R5. ETP17 Summary'!$O$106:$O$122,0),MATCH(R$93,'R5. ETP17 Summary'!$P$9:$X$9,0)),"")</f>
        <v>2123.0893932382542</v>
      </c>
      <c r="S187" s="34">
        <f>IFERROR(INDEX('R5. ETP17 Summary'!$P$106:$X$122,MATCH($E187,'R5. ETP17 Summary'!$O$106:$O$122,0),MATCH(S$93,'R5. ETP17 Summary'!$P$9:$X$9,0)),"")</f>
        <v>2677.6979277746914</v>
      </c>
    </row>
    <row r="188" spans="1:19" x14ac:dyDescent="0.3">
      <c r="A188" s="3" t="s">
        <v>496</v>
      </c>
      <c r="B188" s="3" t="s">
        <v>382</v>
      </c>
      <c r="C188" s="3" t="str">
        <f>INDEX('R1. Scenario specifications'!$C$11:$C$59,MATCH($B188,'R1. Scenario specifications'!$A$11:$A$59,0))</f>
        <v>2 Degrees Scenario, Energy Technology Perspectives 2017</v>
      </c>
      <c r="D188" s="3" t="s">
        <v>259</v>
      </c>
      <c r="E188" s="3" t="s">
        <v>504</v>
      </c>
      <c r="G188" s="34">
        <f>IFERROR(INDEX('R5. ETP17 Summary'!$P$106:$X$122,MATCH($E188,'R5. ETP17 Summary'!$O$106:$O$122,0),MATCH(G$93,'R5. ETP17 Summary'!$P$9:$X$9,0)),"")</f>
        <v>189.68899999999999</v>
      </c>
      <c r="H188" s="34" t="str">
        <f>IFERROR(INDEX('R5. ETP17 Summary'!$P$106:$X$122,MATCH($E188,'R5. ETP17 Summary'!$O$106:$O$122,0),MATCH(H$93,'R5. ETP17 Summary'!$P$9:$X$9,0)),"")</f>
        <v/>
      </c>
      <c r="I188" s="34" t="str">
        <f>IFERROR(INDEX('R5. ETP17 Summary'!$P$106:$X$122,MATCH($E188,'R5. ETP17 Summary'!$O$106:$O$122,0),MATCH(I$93,'R5. ETP17 Summary'!$P$9:$X$9,0)),"")</f>
        <v/>
      </c>
      <c r="J188" s="34" t="str">
        <f>IFERROR(INDEX('R5. ETP17 Summary'!$P$106:$X$122,MATCH($E188,'R5. ETP17 Summary'!$O$106:$O$122,0),MATCH(J$93,'R5. ETP17 Summary'!$P$9:$X$9,0)),"")</f>
        <v/>
      </c>
      <c r="K188" s="34" t="str">
        <f>IFERROR(INDEX('R5. ETP17 Summary'!$P$106:$X$122,MATCH($E188,'R5. ETP17 Summary'!$O$106:$O$122,0),MATCH(K$93,'R5. ETP17 Summary'!$P$9:$X$9,0)),"")</f>
        <v/>
      </c>
      <c r="L188" s="34">
        <f>IFERROR(INDEX('R5. ETP17 Summary'!$P$106:$X$122,MATCH($E188,'R5. ETP17 Summary'!$O$106:$O$122,0),MATCH(L$93,'R5. ETP17 Summary'!$P$9:$X$9,0)),"")</f>
        <v>1139.8421198521276</v>
      </c>
      <c r="M188" s="34">
        <f>IFERROR(INDEX('R5. ETP17 Summary'!$P$106:$X$122,MATCH($E188,'R5. ETP17 Summary'!$O$106:$O$122,0),MATCH(M$93,'R5. ETP17 Summary'!$P$9:$X$9,0)),"")</f>
        <v>1757.250558802725</v>
      </c>
      <c r="N188" s="34">
        <f>IFERROR(INDEX('R5. ETP17 Summary'!$P$106:$X$122,MATCH($E188,'R5. ETP17 Summary'!$O$106:$O$122,0),MATCH(N$93,'R5. ETP17 Summary'!$P$9:$X$9,0)),"")</f>
        <v>2528.629660241289</v>
      </c>
      <c r="O188" s="34">
        <f>IFERROR(INDEX('R5. ETP17 Summary'!$P$106:$X$122,MATCH($E188,'R5. ETP17 Summary'!$O$106:$O$122,0),MATCH(O$93,'R5. ETP17 Summary'!$P$9:$X$9,0)),"")</f>
        <v>3254.3987602971297</v>
      </c>
      <c r="P188" s="34">
        <f>IFERROR(INDEX('R5. ETP17 Summary'!$P$106:$X$122,MATCH($E188,'R5. ETP17 Summary'!$O$106:$O$122,0),MATCH(P$93,'R5. ETP17 Summary'!$P$9:$X$9,0)),"")</f>
        <v>4402.7980218990251</v>
      </c>
      <c r="Q188" s="34">
        <f>IFERROR(INDEX('R5. ETP17 Summary'!$P$106:$X$122,MATCH($E188,'R5. ETP17 Summary'!$O$106:$O$122,0),MATCH(Q$93,'R5. ETP17 Summary'!$P$9:$X$9,0)),"")</f>
        <v>5549.8447806324975</v>
      </c>
      <c r="R188" s="34">
        <f>IFERROR(INDEX('R5. ETP17 Summary'!$P$106:$X$122,MATCH($E188,'R5. ETP17 Summary'!$O$106:$O$122,0),MATCH(R$93,'R5. ETP17 Summary'!$P$9:$X$9,0)),"")</f>
        <v>6885.3337773418525</v>
      </c>
      <c r="S188" s="34">
        <f>IFERROR(INDEX('R5. ETP17 Summary'!$P$106:$X$122,MATCH($E188,'R5. ETP17 Summary'!$O$106:$O$122,0),MATCH(S$93,'R5. ETP17 Summary'!$P$9:$X$9,0)),"")</f>
        <v>8736.1227520699904</v>
      </c>
    </row>
    <row r="189" spans="1:19" x14ac:dyDescent="0.3">
      <c r="A189" s="3" t="s">
        <v>496</v>
      </c>
      <c r="B189" s="3" t="s">
        <v>382</v>
      </c>
      <c r="C189" s="3" t="str">
        <f>INDEX('R1. Scenario specifications'!$C$11:$C$59,MATCH($B189,'R1. Scenario specifications'!$A$11:$A$59,0))</f>
        <v>2 Degrees Scenario, Energy Technology Perspectives 2017</v>
      </c>
      <c r="D189" s="3" t="s">
        <v>259</v>
      </c>
      <c r="E189" s="3" t="s">
        <v>517</v>
      </c>
      <c r="G189" s="34">
        <f>IFERROR(INDEX('R5. ETP17 Summary'!$P$106:$X$122,MATCH($E189,'R5. ETP17 Summary'!$O$106:$O$122,0),MATCH(G$93,'R5. ETP17 Summary'!$P$9:$X$9,0)),"")</f>
        <v>8.49</v>
      </c>
      <c r="H189" s="34" t="str">
        <f>IFERROR(INDEX('R5. ETP17 Summary'!$P$106:$X$122,MATCH($E189,'R5. ETP17 Summary'!$O$106:$O$122,0),MATCH(H$93,'R5. ETP17 Summary'!$P$9:$X$9,0)),"")</f>
        <v/>
      </c>
      <c r="I189" s="34" t="str">
        <f>IFERROR(INDEX('R5. ETP17 Summary'!$P$106:$X$122,MATCH($E189,'R5. ETP17 Summary'!$O$106:$O$122,0),MATCH(I$93,'R5. ETP17 Summary'!$P$9:$X$9,0)),"")</f>
        <v/>
      </c>
      <c r="J189" s="34" t="str">
        <f>IFERROR(INDEX('R5. ETP17 Summary'!$P$106:$X$122,MATCH($E189,'R5. ETP17 Summary'!$O$106:$O$122,0),MATCH(J$93,'R5. ETP17 Summary'!$P$9:$X$9,0)),"")</f>
        <v/>
      </c>
      <c r="K189" s="34" t="str">
        <f>IFERROR(INDEX('R5. ETP17 Summary'!$P$106:$X$122,MATCH($E189,'R5. ETP17 Summary'!$O$106:$O$122,0),MATCH(K$93,'R5. ETP17 Summary'!$P$9:$X$9,0)),"")</f>
        <v/>
      </c>
      <c r="L189" s="34">
        <f>IFERROR(INDEX('R5. ETP17 Summary'!$P$106:$X$122,MATCH($E189,'R5. ETP17 Summary'!$O$106:$O$122,0),MATCH(L$93,'R5. ETP17 Summary'!$P$9:$X$9,0)),"")</f>
        <v>146.27896285739675</v>
      </c>
      <c r="M189" s="34">
        <f>IFERROR(INDEX('R5. ETP17 Summary'!$P$106:$X$122,MATCH($E189,'R5. ETP17 Summary'!$O$106:$O$122,0),MATCH(M$93,'R5. ETP17 Summary'!$P$9:$X$9,0)),"")</f>
        <v>563.24452495159539</v>
      </c>
      <c r="N189" s="34">
        <f>IFERROR(INDEX('R5. ETP17 Summary'!$P$106:$X$122,MATCH($E189,'R5. ETP17 Summary'!$O$106:$O$122,0),MATCH(N$93,'R5. ETP17 Summary'!$P$9:$X$9,0)),"")</f>
        <v>1100.1288217436768</v>
      </c>
      <c r="O189" s="34">
        <f>IFERROR(INDEX('R5. ETP17 Summary'!$P$106:$X$122,MATCH($E189,'R5. ETP17 Summary'!$O$106:$O$122,0),MATCH(O$93,'R5. ETP17 Summary'!$P$9:$X$9,0)),"")</f>
        <v>1571.8909763332242</v>
      </c>
      <c r="P189" s="34">
        <f>IFERROR(INDEX('R5. ETP17 Summary'!$P$106:$X$122,MATCH($E189,'R5. ETP17 Summary'!$O$106:$O$122,0),MATCH(P$93,'R5. ETP17 Summary'!$P$9:$X$9,0)),"")</f>
        <v>2194.5620341193521</v>
      </c>
      <c r="Q189" s="34">
        <f>IFERROR(INDEX('R5. ETP17 Summary'!$P$106:$X$122,MATCH($E189,'R5. ETP17 Summary'!$O$106:$O$122,0),MATCH(Q$93,'R5. ETP17 Summary'!$P$9:$X$9,0)),"")</f>
        <v>2951.1832081331636</v>
      </c>
      <c r="R189" s="34">
        <f>IFERROR(INDEX('R5. ETP17 Summary'!$P$106:$X$122,MATCH($E189,'R5. ETP17 Summary'!$O$106:$O$122,0),MATCH(R$93,'R5. ETP17 Summary'!$P$9:$X$9,0)),"")</f>
        <v>3651.3869047336452</v>
      </c>
      <c r="S189" s="34">
        <f>IFERROR(INDEX('R5. ETP17 Summary'!$P$106:$X$122,MATCH($E189,'R5. ETP17 Summary'!$O$106:$O$122,0),MATCH(S$93,'R5. ETP17 Summary'!$P$9:$X$9,0)),"")</f>
        <v>4527.3331589343761</v>
      </c>
    </row>
    <row r="190" spans="1:19" x14ac:dyDescent="0.3">
      <c r="A190" s="3" t="s">
        <v>496</v>
      </c>
      <c r="B190" s="3" t="s">
        <v>382</v>
      </c>
      <c r="C190" s="3" t="str">
        <f>INDEX('R1. Scenario specifications'!$C$11:$C$59,MATCH($B190,'R1. Scenario specifications'!$A$11:$A$59,0))</f>
        <v>2 Degrees Scenario, Energy Technology Perspectives 2017</v>
      </c>
      <c r="D190" s="3" t="s">
        <v>258</v>
      </c>
      <c r="E190" s="3" t="s">
        <v>518</v>
      </c>
      <c r="G190" s="34">
        <f>IFERROR(INDEX('R5. ETP17 Summary'!$P$106:$X$122,MATCH($E190,'R5. ETP17 Summary'!$O$106:$O$122,0),MATCH(G$93,'R5. ETP17 Summary'!$P$9:$X$9,0)),"")</f>
        <v>0.999</v>
      </c>
      <c r="H190" s="34" t="str">
        <f>IFERROR(INDEX('R5. ETP17 Summary'!$P$106:$X$122,MATCH($E190,'R5. ETP17 Summary'!$O$106:$O$122,0),MATCH(H$93,'R5. ETP17 Summary'!$P$9:$X$9,0)),"")</f>
        <v/>
      </c>
      <c r="I190" s="34" t="str">
        <f>IFERROR(INDEX('R5. ETP17 Summary'!$P$106:$X$122,MATCH($E190,'R5. ETP17 Summary'!$O$106:$O$122,0),MATCH(I$93,'R5. ETP17 Summary'!$P$9:$X$9,0)),"")</f>
        <v/>
      </c>
      <c r="J190" s="34" t="str">
        <f>IFERROR(INDEX('R5. ETP17 Summary'!$P$106:$X$122,MATCH($E190,'R5. ETP17 Summary'!$O$106:$O$122,0),MATCH(J$93,'R5. ETP17 Summary'!$P$9:$X$9,0)),"")</f>
        <v/>
      </c>
      <c r="K190" s="34" t="str">
        <f>IFERROR(INDEX('R5. ETP17 Summary'!$P$106:$X$122,MATCH($E190,'R5. ETP17 Summary'!$O$106:$O$122,0),MATCH(K$93,'R5. ETP17 Summary'!$P$9:$X$9,0)),"")</f>
        <v/>
      </c>
      <c r="L190" s="34">
        <f>IFERROR(INDEX('R5. ETP17 Summary'!$P$106:$X$122,MATCH($E190,'R5. ETP17 Summary'!$O$106:$O$122,0),MATCH(L$93,'R5. ETP17 Summary'!$P$9:$X$9,0)),"")</f>
        <v>7.2969497548049507</v>
      </c>
      <c r="M190" s="34">
        <f>IFERROR(INDEX('R5. ETP17 Summary'!$P$106:$X$122,MATCH($E190,'R5. ETP17 Summary'!$O$106:$O$122,0),MATCH(M$93,'R5. ETP17 Summary'!$P$9:$X$9,0)),"")</f>
        <v>20.77435565001446</v>
      </c>
      <c r="N190" s="34">
        <f>IFERROR(INDEX('R5. ETP17 Summary'!$P$106:$X$122,MATCH($E190,'R5. ETP17 Summary'!$O$106:$O$122,0),MATCH(N$93,'R5. ETP17 Summary'!$P$9:$X$9,0)),"")</f>
        <v>58.490591924727973</v>
      </c>
      <c r="O190" s="34">
        <f>IFERROR(INDEX('R5. ETP17 Summary'!$P$106:$X$122,MATCH($E190,'R5. ETP17 Summary'!$O$106:$O$122,0),MATCH(O$93,'R5. ETP17 Summary'!$P$9:$X$9,0)),"")</f>
        <v>120.61265649120239</v>
      </c>
      <c r="P190" s="34">
        <f>IFERROR(INDEX('R5. ETP17 Summary'!$P$106:$X$122,MATCH($E190,'R5. ETP17 Summary'!$O$106:$O$122,0),MATCH(P$93,'R5. ETP17 Summary'!$P$9:$X$9,0)),"")</f>
        <v>258.40037088678747</v>
      </c>
      <c r="Q190" s="34">
        <f>IFERROR(INDEX('R5. ETP17 Summary'!$P$106:$X$122,MATCH($E190,'R5. ETP17 Summary'!$O$106:$O$122,0),MATCH(Q$93,'R5. ETP17 Summary'!$P$9:$X$9,0)),"")</f>
        <v>477.78923320502986</v>
      </c>
      <c r="R190" s="34">
        <f>IFERROR(INDEX('R5. ETP17 Summary'!$P$106:$X$122,MATCH($E190,'R5. ETP17 Summary'!$O$106:$O$122,0),MATCH(R$93,'R5. ETP17 Summary'!$P$9:$X$9,0)),"")</f>
        <v>707.19141589145852</v>
      </c>
      <c r="S190" s="34">
        <f>IFERROR(INDEX('R5. ETP17 Summary'!$P$106:$X$122,MATCH($E190,'R5. ETP17 Summary'!$O$106:$O$122,0),MATCH(S$93,'R5. ETP17 Summary'!$P$9:$X$9,0)),"")</f>
        <v>876.31873169159667</v>
      </c>
    </row>
    <row r="191" spans="1:19" x14ac:dyDescent="0.3">
      <c r="A191" s="3" t="s">
        <v>496</v>
      </c>
      <c r="B191" s="3" t="s">
        <v>382</v>
      </c>
      <c r="C191" s="3" t="str">
        <f>INDEX('R1. Scenario specifications'!$C$11:$C$59,MATCH($B191,'R1. Scenario specifications'!$A$11:$A$59,0))</f>
        <v>2 Degrees Scenario, Energy Technology Perspectives 2017</v>
      </c>
      <c r="D191" s="3" t="s">
        <v>258</v>
      </c>
      <c r="E191" s="39" t="s">
        <v>258</v>
      </c>
      <c r="F191" s="39"/>
      <c r="G191" s="52">
        <f>IFERROR(INDEX('R5. ETP17 Summary'!$P$106:$X$122,MATCH($E191,'R5. ETP17 Summary'!$O$106:$O$122,0),MATCH(G$93,'R5. ETP17 Summary'!$P$9:$X$9,0)),"")</f>
        <v>13.747999999999999</v>
      </c>
      <c r="H191" s="52" t="str">
        <f>IFERROR(INDEX('R5. ETP17 Summary'!$P$106:$X$122,MATCH($E191,'R5. ETP17 Summary'!$O$106:$O$122,0),MATCH(H$93,'R5. ETP17 Summary'!$P$9:$X$9,0)),"")</f>
        <v/>
      </c>
      <c r="I191" s="52" t="str">
        <f>IFERROR(INDEX('R5. ETP17 Summary'!$P$106:$X$122,MATCH($E191,'R5. ETP17 Summary'!$O$106:$O$122,0),MATCH(I$93,'R5. ETP17 Summary'!$P$9:$X$9,0)),"")</f>
        <v/>
      </c>
      <c r="J191" s="52" t="str">
        <f>IFERROR(INDEX('R5. ETP17 Summary'!$P$106:$X$122,MATCH($E191,'R5. ETP17 Summary'!$O$106:$O$122,0),MATCH(J$93,'R5. ETP17 Summary'!$P$9:$X$9,0)),"")</f>
        <v/>
      </c>
      <c r="K191" s="52" t="str">
        <f>IFERROR(INDEX('R5. ETP17 Summary'!$P$106:$X$122,MATCH($E191,'R5. ETP17 Summary'!$O$106:$O$122,0),MATCH(K$93,'R5. ETP17 Summary'!$P$9:$X$9,0)),"")</f>
        <v/>
      </c>
      <c r="L191" s="52">
        <f>IFERROR(INDEX('R5. ETP17 Summary'!$P$106:$X$122,MATCH($E191,'R5. ETP17 Summary'!$O$106:$O$122,0),MATCH(L$93,'R5. ETP17 Summary'!$P$9:$X$9,0)),"")</f>
        <v>0</v>
      </c>
      <c r="M191" s="52">
        <f>IFERROR(INDEX('R5. ETP17 Summary'!$P$106:$X$122,MATCH($E191,'R5. ETP17 Summary'!$O$106:$O$122,0),MATCH(M$93,'R5. ETP17 Summary'!$P$9:$X$9,0)),"")</f>
        <v>0</v>
      </c>
      <c r="N191" s="52">
        <f>IFERROR(INDEX('R5. ETP17 Summary'!$P$106:$X$122,MATCH($E191,'R5. ETP17 Summary'!$O$106:$O$122,0),MATCH(N$93,'R5. ETP17 Summary'!$P$9:$X$9,0)),"")</f>
        <v>0</v>
      </c>
      <c r="O191" s="52">
        <f>IFERROR(INDEX('R5. ETP17 Summary'!$P$106:$X$122,MATCH($E191,'R5. ETP17 Summary'!$O$106:$O$122,0),MATCH(O$93,'R5. ETP17 Summary'!$P$9:$X$9,0)),"")</f>
        <v>0</v>
      </c>
      <c r="P191" s="52">
        <f>IFERROR(INDEX('R5. ETP17 Summary'!$P$106:$X$122,MATCH($E191,'R5. ETP17 Summary'!$O$106:$O$122,0),MATCH(P$93,'R5. ETP17 Summary'!$P$9:$X$9,0)),"")</f>
        <v>0</v>
      </c>
      <c r="Q191" s="52">
        <f>IFERROR(INDEX('R5. ETP17 Summary'!$P$106:$X$122,MATCH($E191,'R5. ETP17 Summary'!$O$106:$O$122,0),MATCH(Q$93,'R5. ETP17 Summary'!$P$9:$X$9,0)),"")</f>
        <v>0</v>
      </c>
      <c r="R191" s="52">
        <f>IFERROR(INDEX('R5. ETP17 Summary'!$P$106:$X$122,MATCH($E191,'R5. ETP17 Summary'!$O$106:$O$122,0),MATCH(R$93,'R5. ETP17 Summary'!$P$9:$X$9,0)),"")</f>
        <v>0</v>
      </c>
      <c r="S191" s="52">
        <f>IFERROR(INDEX('R5. ETP17 Summary'!$P$106:$X$122,MATCH($E191,'R5. ETP17 Summary'!$O$106:$O$122,0),MATCH(S$93,'R5. ETP17 Summary'!$P$9:$X$9,0)),"")</f>
        <v>0</v>
      </c>
    </row>
    <row r="192" spans="1:19" x14ac:dyDescent="0.3">
      <c r="A192" s="3" t="s">
        <v>496</v>
      </c>
      <c r="B192" s="32" t="s">
        <v>383</v>
      </c>
      <c r="C192" s="32" t="str">
        <f>INDEX('R1. Scenario specifications'!$C$11:$C$59,MATCH($B192,'R1. Scenario specifications'!$A$11:$A$59,0))</f>
        <v>Below 2 Degrees Scenario (1.75DS), Energy Technology Perspectives 2017</v>
      </c>
      <c r="D192" s="32" t="s">
        <v>266</v>
      </c>
      <c r="E192" s="3" t="s">
        <v>266</v>
      </c>
      <c r="G192" s="34">
        <f>IFERROR(INDEX('R5. ETP17 Summary'!$AC$106:$AK$122,MATCH($E192,'R5. ETP17 Summary'!$AB$106:$AB$122,0),MATCH(G$93,'R5. ETP17 Summary'!$AC$9:$AK$9,0)),"")</f>
        <v>1033.346</v>
      </c>
      <c r="H192" s="34" t="str">
        <f>IFERROR(INDEX('R5. ETP17 Summary'!$AC$106:$AK$122,MATCH($E192,'R5. ETP17 Summary'!$AB$106:$AB$122,0),MATCH(H$93,'R5. ETP17 Summary'!$AC$9:$AK$9,0)),"")</f>
        <v/>
      </c>
      <c r="I192" s="34" t="str">
        <f>IFERROR(INDEX('R5. ETP17 Summary'!$AC$106:$AK$122,MATCH($E192,'R5. ETP17 Summary'!$AB$106:$AB$122,0),MATCH(I$93,'R5. ETP17 Summary'!$AC$9:$AK$9,0)),"")</f>
        <v/>
      </c>
      <c r="J192" s="34" t="str">
        <f>IFERROR(INDEX('R5. ETP17 Summary'!$AC$106:$AK$122,MATCH($E192,'R5. ETP17 Summary'!$AB$106:$AB$122,0),MATCH(J$93,'R5. ETP17 Summary'!$AC$9:$AK$9,0)),"")</f>
        <v/>
      </c>
      <c r="K192" s="34" t="str">
        <f>IFERROR(INDEX('R5. ETP17 Summary'!$AC$106:$AK$122,MATCH($E192,'R5. ETP17 Summary'!$AB$106:$AB$122,0),MATCH(K$93,'R5. ETP17 Summary'!$AC$9:$AK$9,0)),"")</f>
        <v/>
      </c>
      <c r="L192" s="34">
        <f>IFERROR(INDEX('R5. ETP17 Summary'!$AC$106:$AK$122,MATCH($E192,'R5. ETP17 Summary'!$AB$106:$AB$122,0),MATCH(L$93,'R5. ETP17 Summary'!$AC$9:$AK$9,0)),"")</f>
        <v>582.43304484154021</v>
      </c>
      <c r="M192" s="34">
        <f>IFERROR(INDEX('R5. ETP17 Summary'!$AC$106:$AK$122,MATCH($E192,'R5. ETP17 Summary'!$AB$106:$AB$122,0),MATCH(M$93,'R5. ETP17 Summary'!$AC$9:$AK$9,0)),"")</f>
        <v>413.52667336047296</v>
      </c>
      <c r="N192" s="34">
        <f>IFERROR(INDEX('R5. ETP17 Summary'!$AC$106:$AK$122,MATCH($E192,'R5. ETP17 Summary'!$AB$106:$AB$122,0),MATCH(N$93,'R5. ETP17 Summary'!$AC$9:$AK$9,0)),"")</f>
        <v>284.47916697392691</v>
      </c>
      <c r="O192" s="34">
        <f>IFERROR(INDEX('R5. ETP17 Summary'!$AC$106:$AK$122,MATCH($E192,'R5. ETP17 Summary'!$AB$106:$AB$122,0),MATCH(O$93,'R5. ETP17 Summary'!$AC$9:$AK$9,0)),"")</f>
        <v>215.47025326481779</v>
      </c>
      <c r="P192" s="34">
        <f>IFERROR(INDEX('R5. ETP17 Summary'!$AC$106:$AK$122,MATCH($E192,'R5. ETP17 Summary'!$AB$106:$AB$122,0),MATCH(P$93,'R5. ETP17 Summary'!$AC$9:$AK$9,0)),"")</f>
        <v>151.68590833947215</v>
      </c>
      <c r="Q192" s="34">
        <f>IFERROR(INDEX('R5. ETP17 Summary'!$AC$106:$AK$122,MATCH($E192,'R5. ETP17 Summary'!$AB$106:$AB$122,0),MATCH(Q$93,'R5. ETP17 Summary'!$AC$9:$AK$9,0)),"")</f>
        <v>90.7571719787597</v>
      </c>
      <c r="R192" s="34">
        <f>IFERROR(INDEX('R5. ETP17 Summary'!$AC$106:$AK$122,MATCH($E192,'R5. ETP17 Summary'!$AB$106:$AB$122,0),MATCH(R$93,'R5. ETP17 Summary'!$AC$9:$AK$9,0)),"")</f>
        <v>54.203293702919346</v>
      </c>
      <c r="S192" s="34">
        <f>IFERROR(INDEX('R5. ETP17 Summary'!$AC$106:$AK$122,MATCH($E192,'R5. ETP17 Summary'!$AB$106:$AB$122,0),MATCH(S$93,'R5. ETP17 Summary'!$AC$9:$AK$9,0)),"")</f>
        <v>14.598272868617316</v>
      </c>
    </row>
    <row r="193" spans="1:19" x14ac:dyDescent="0.3">
      <c r="A193" s="3" t="s">
        <v>496</v>
      </c>
      <c r="B193" s="3" t="s">
        <v>383</v>
      </c>
      <c r="C193" s="3" t="str">
        <f>INDEX('R1. Scenario specifications'!$C$11:$C$59,MATCH($B193,'R1. Scenario specifications'!$A$11:$A$59,0))</f>
        <v>Below 2 Degrees Scenario (1.75DS), Energy Technology Perspectives 2017</v>
      </c>
      <c r="D193" s="3" t="s">
        <v>254</v>
      </c>
      <c r="E193" s="3" t="s">
        <v>254</v>
      </c>
      <c r="G193" s="34">
        <f>IFERROR(INDEX('R5. ETP17 Summary'!$AC$106:$AK$122,MATCH($E193,'R5. ETP17 Summary'!$AB$106:$AB$122,0),MATCH(G$93,'R5. ETP17 Summary'!$AC$9:$AK$9,0)),"")</f>
        <v>9697.148000000001</v>
      </c>
      <c r="H193" s="34" t="str">
        <f>IFERROR(INDEX('R5. ETP17 Summary'!$AC$106:$AK$122,MATCH($E193,'R5. ETP17 Summary'!$AB$106:$AB$122,0),MATCH(H$93,'R5. ETP17 Summary'!$AC$9:$AK$9,0)),"")</f>
        <v/>
      </c>
      <c r="I193" s="34" t="str">
        <f>IFERROR(INDEX('R5. ETP17 Summary'!$AC$106:$AK$122,MATCH($E193,'R5. ETP17 Summary'!$AB$106:$AB$122,0),MATCH(I$93,'R5. ETP17 Summary'!$AC$9:$AK$9,0)),"")</f>
        <v/>
      </c>
      <c r="J193" s="34" t="str">
        <f>IFERROR(INDEX('R5. ETP17 Summary'!$AC$106:$AK$122,MATCH($E193,'R5. ETP17 Summary'!$AB$106:$AB$122,0),MATCH(J$93,'R5. ETP17 Summary'!$AC$9:$AK$9,0)),"")</f>
        <v/>
      </c>
      <c r="K193" s="34" t="str">
        <f>IFERROR(INDEX('R5. ETP17 Summary'!$AC$106:$AK$122,MATCH($E193,'R5. ETP17 Summary'!$AB$106:$AB$122,0),MATCH(K$93,'R5. ETP17 Summary'!$AC$9:$AK$9,0)),"")</f>
        <v/>
      </c>
      <c r="L193" s="34">
        <f>IFERROR(INDEX('R5. ETP17 Summary'!$AC$106:$AK$122,MATCH($E193,'R5. ETP17 Summary'!$AB$106:$AB$122,0),MATCH(L$93,'R5. ETP17 Summary'!$AC$9:$AK$9,0)),"")</f>
        <v>5733.6023266979537</v>
      </c>
      <c r="M193" s="34">
        <f>IFERROR(INDEX('R5. ETP17 Summary'!$AC$106:$AK$122,MATCH($E193,'R5. ETP17 Summary'!$AB$106:$AB$122,0),MATCH(M$93,'R5. ETP17 Summary'!$AC$9:$AK$9,0)),"")</f>
        <v>3496.4892297199813</v>
      </c>
      <c r="N193" s="34">
        <f>IFERROR(INDEX('R5. ETP17 Summary'!$AC$106:$AK$122,MATCH($E193,'R5. ETP17 Summary'!$AB$106:$AB$122,0),MATCH(N$93,'R5. ETP17 Summary'!$AC$9:$AK$9,0)),"")</f>
        <v>1272.4154469830535</v>
      </c>
      <c r="O193" s="34">
        <f>IFERROR(INDEX('R5. ETP17 Summary'!$AC$106:$AK$122,MATCH($E193,'R5. ETP17 Summary'!$AB$106:$AB$122,0),MATCH(O$93,'R5. ETP17 Summary'!$AC$9:$AK$9,0)),"")</f>
        <v>82.168286035892777</v>
      </c>
      <c r="P193" s="34">
        <f>IFERROR(INDEX('R5. ETP17 Summary'!$AC$106:$AK$122,MATCH($E193,'R5. ETP17 Summary'!$AB$106:$AB$122,0),MATCH(P$93,'R5. ETP17 Summary'!$AC$9:$AK$9,0)),"")</f>
        <v>40.160433231033878</v>
      </c>
      <c r="Q193" s="34">
        <f>IFERROR(INDEX('R5. ETP17 Summary'!$AC$106:$AK$122,MATCH($E193,'R5. ETP17 Summary'!$AB$106:$AB$122,0),MATCH(Q$93,'R5. ETP17 Summary'!$AC$9:$AK$9,0)),"")</f>
        <v>18.832441897686685</v>
      </c>
      <c r="R193" s="34">
        <f>IFERROR(INDEX('R5. ETP17 Summary'!$AC$106:$AK$122,MATCH($E193,'R5. ETP17 Summary'!$AB$106:$AB$122,0),MATCH(R$93,'R5. ETP17 Summary'!$AC$9:$AK$9,0)),"")</f>
        <v>16.227800027037812</v>
      </c>
      <c r="S193" s="34">
        <f>IFERROR(INDEX('R5. ETP17 Summary'!$AC$106:$AK$122,MATCH($E193,'R5. ETP17 Summary'!$AB$106:$AB$122,0),MATCH(S$93,'R5. ETP17 Summary'!$AC$9:$AK$9,0)),"")</f>
        <v>7.9112194809746113</v>
      </c>
    </row>
    <row r="194" spans="1:19" x14ac:dyDescent="0.3">
      <c r="A194" s="3" t="s">
        <v>496</v>
      </c>
      <c r="B194" s="3" t="s">
        <v>383</v>
      </c>
      <c r="C194" s="3" t="str">
        <f>INDEX('R1. Scenario specifications'!$C$11:$C$59,MATCH($B194,'R1. Scenario specifications'!$A$11:$A$59,0))</f>
        <v>Below 2 Degrees Scenario (1.75DS), Energy Technology Perspectives 2017</v>
      </c>
      <c r="D194" s="3" t="s">
        <v>254</v>
      </c>
      <c r="E194" s="3" t="s">
        <v>509</v>
      </c>
      <c r="G194" s="34">
        <f>IFERROR(INDEX('R5. ETP17 Summary'!$AC$106:$AK$122,MATCH($E194,'R5. ETP17 Summary'!$AB$106:$AB$122,0),MATCH(G$93,'R5. ETP17 Summary'!$AC$9:$AK$9,0)),"")</f>
        <v>0</v>
      </c>
      <c r="H194" s="34" t="str">
        <f>IFERROR(INDEX('R5. ETP17 Summary'!$AC$106:$AK$122,MATCH($E194,'R5. ETP17 Summary'!$AB$106:$AB$122,0),MATCH(H$93,'R5. ETP17 Summary'!$AC$9:$AK$9,0)),"")</f>
        <v/>
      </c>
      <c r="I194" s="34" t="str">
        <f>IFERROR(INDEX('R5. ETP17 Summary'!$AC$106:$AK$122,MATCH($E194,'R5. ETP17 Summary'!$AB$106:$AB$122,0),MATCH(I$93,'R5. ETP17 Summary'!$AC$9:$AK$9,0)),"")</f>
        <v/>
      </c>
      <c r="J194" s="34" t="str">
        <f>IFERROR(INDEX('R5. ETP17 Summary'!$AC$106:$AK$122,MATCH($E194,'R5. ETP17 Summary'!$AB$106:$AB$122,0),MATCH(J$93,'R5. ETP17 Summary'!$AC$9:$AK$9,0)),"")</f>
        <v/>
      </c>
      <c r="K194" s="34" t="str">
        <f>IFERROR(INDEX('R5. ETP17 Summary'!$AC$106:$AK$122,MATCH($E194,'R5. ETP17 Summary'!$AB$106:$AB$122,0),MATCH(K$93,'R5. ETP17 Summary'!$AC$9:$AK$9,0)),"")</f>
        <v/>
      </c>
      <c r="L194" s="34">
        <f>IFERROR(INDEX('R5. ETP17 Summary'!$AC$106:$AK$122,MATCH($E194,'R5. ETP17 Summary'!$AB$106:$AB$122,0),MATCH(L$93,'R5. ETP17 Summary'!$AC$9:$AK$9,0)),"")</f>
        <v>40.534845538317178</v>
      </c>
      <c r="M194" s="34">
        <f>IFERROR(INDEX('R5. ETP17 Summary'!$AC$106:$AK$122,MATCH($E194,'R5. ETP17 Summary'!$AB$106:$AB$122,0),MATCH(M$93,'R5. ETP17 Summary'!$AC$9:$AK$9,0)),"")</f>
        <v>304.4959863426007</v>
      </c>
      <c r="N194" s="34">
        <f>IFERROR(INDEX('R5. ETP17 Summary'!$AC$106:$AK$122,MATCH($E194,'R5. ETP17 Summary'!$AB$106:$AB$122,0),MATCH(N$93,'R5. ETP17 Summary'!$AC$9:$AK$9,0)),"")</f>
        <v>970.13652299558566</v>
      </c>
      <c r="O194" s="34">
        <f>IFERROR(INDEX('R5. ETP17 Summary'!$AC$106:$AK$122,MATCH($E194,'R5. ETP17 Summary'!$AB$106:$AB$122,0),MATCH(O$93,'R5. ETP17 Summary'!$AC$9:$AK$9,0)),"")</f>
        <v>1933.0217148514007</v>
      </c>
      <c r="P194" s="34">
        <f>IFERROR(INDEX('R5. ETP17 Summary'!$AC$106:$AK$122,MATCH($E194,'R5. ETP17 Summary'!$AB$106:$AB$122,0),MATCH(P$93,'R5. ETP17 Summary'!$AC$9:$AK$9,0)),"")</f>
        <v>2279.7372471906265</v>
      </c>
      <c r="Q194" s="34">
        <f>IFERROR(INDEX('R5. ETP17 Summary'!$AC$106:$AK$122,MATCH($E194,'R5. ETP17 Summary'!$AB$106:$AB$122,0),MATCH(Q$93,'R5. ETP17 Summary'!$AC$9:$AK$9,0)),"")</f>
        <v>1795.6300663941015</v>
      </c>
      <c r="R194" s="34">
        <f>IFERROR(INDEX('R5. ETP17 Summary'!$AC$106:$AK$122,MATCH($E194,'R5. ETP17 Summary'!$AB$106:$AB$122,0),MATCH(R$93,'R5. ETP17 Summary'!$AC$9:$AK$9,0)),"")</f>
        <v>1591.7328442759608</v>
      </c>
      <c r="S194" s="34">
        <f>IFERROR(INDEX('R5. ETP17 Summary'!$AC$106:$AK$122,MATCH($E194,'R5. ETP17 Summary'!$AB$106:$AB$122,0),MATCH(S$93,'R5. ETP17 Summary'!$AC$9:$AK$9,0)),"")</f>
        <v>1485.323003650444</v>
      </c>
    </row>
    <row r="195" spans="1:19" x14ac:dyDescent="0.3">
      <c r="A195" s="3" t="s">
        <v>496</v>
      </c>
      <c r="B195" s="3" t="s">
        <v>383</v>
      </c>
      <c r="C195" s="3" t="str">
        <f>INDEX('R1. Scenario specifications'!$C$11:$C$59,MATCH($B195,'R1. Scenario specifications'!$A$11:$A$59,0))</f>
        <v>Below 2 Degrees Scenario (1.75DS), Energy Technology Perspectives 2017</v>
      </c>
      <c r="D195" s="3" t="s">
        <v>255</v>
      </c>
      <c r="E195" s="3" t="s">
        <v>510</v>
      </c>
      <c r="G195" s="34">
        <f>IFERROR(INDEX('R5. ETP17 Summary'!$AC$106:$AK$122,MATCH($E195,'R5. ETP17 Summary'!$AB$106:$AB$122,0),MATCH(G$93,'R5. ETP17 Summary'!$AC$9:$AK$9,0)),"")</f>
        <v>5154.8270000000002</v>
      </c>
      <c r="H195" s="34" t="str">
        <f>IFERROR(INDEX('R5. ETP17 Summary'!$AC$106:$AK$122,MATCH($E195,'R5. ETP17 Summary'!$AB$106:$AB$122,0),MATCH(H$93,'R5. ETP17 Summary'!$AC$9:$AK$9,0)),"")</f>
        <v/>
      </c>
      <c r="I195" s="34" t="str">
        <f>IFERROR(INDEX('R5. ETP17 Summary'!$AC$106:$AK$122,MATCH($E195,'R5. ETP17 Summary'!$AB$106:$AB$122,0),MATCH(I$93,'R5. ETP17 Summary'!$AC$9:$AK$9,0)),"")</f>
        <v/>
      </c>
      <c r="J195" s="34" t="str">
        <f>IFERROR(INDEX('R5. ETP17 Summary'!$AC$106:$AK$122,MATCH($E195,'R5. ETP17 Summary'!$AB$106:$AB$122,0),MATCH(J$93,'R5. ETP17 Summary'!$AC$9:$AK$9,0)),"")</f>
        <v/>
      </c>
      <c r="K195" s="34" t="str">
        <f>IFERROR(INDEX('R5. ETP17 Summary'!$AC$106:$AK$122,MATCH($E195,'R5. ETP17 Summary'!$AB$106:$AB$122,0),MATCH(K$93,'R5. ETP17 Summary'!$AC$9:$AK$9,0)),"")</f>
        <v/>
      </c>
      <c r="L195" s="34">
        <f>IFERROR(INDEX('R5. ETP17 Summary'!$AC$106:$AK$122,MATCH($E195,'R5. ETP17 Summary'!$AB$106:$AB$122,0),MATCH(L$93,'R5. ETP17 Summary'!$AC$9:$AK$9,0)),"")</f>
        <v>7287.9937141385826</v>
      </c>
      <c r="M195" s="34">
        <f>IFERROR(INDEX('R5. ETP17 Summary'!$AC$106:$AK$122,MATCH($E195,'R5. ETP17 Summary'!$AB$106:$AB$122,0),MATCH(M$93,'R5. ETP17 Summary'!$AC$9:$AK$9,0)),"")</f>
        <v>7372.5162215541641</v>
      </c>
      <c r="N195" s="34">
        <f>IFERROR(INDEX('R5. ETP17 Summary'!$AC$106:$AK$122,MATCH($E195,'R5. ETP17 Summary'!$AB$106:$AB$122,0),MATCH(N$93,'R5. ETP17 Summary'!$AC$9:$AK$9,0)),"")</f>
        <v>6863.2945828533875</v>
      </c>
      <c r="O195" s="34">
        <f>IFERROR(INDEX('R5. ETP17 Summary'!$AC$106:$AK$122,MATCH($E195,'R5. ETP17 Summary'!$AB$106:$AB$122,0),MATCH(O$93,'R5. ETP17 Summary'!$AC$9:$AK$9,0)),"")</f>
        <v>4459.0967861335857</v>
      </c>
      <c r="P195" s="34">
        <f>IFERROR(INDEX('R5. ETP17 Summary'!$AC$106:$AK$122,MATCH($E195,'R5. ETP17 Summary'!$AB$106:$AB$122,0),MATCH(P$93,'R5. ETP17 Summary'!$AC$9:$AK$9,0)),"")</f>
        <v>1727.4445126796841</v>
      </c>
      <c r="Q195" s="34">
        <f>IFERROR(INDEX('R5. ETP17 Summary'!$AC$106:$AK$122,MATCH($E195,'R5. ETP17 Summary'!$AB$106:$AB$122,0),MATCH(Q$93,'R5. ETP17 Summary'!$AC$9:$AK$9,0)),"")</f>
        <v>667.76722756631136</v>
      </c>
      <c r="R195" s="34">
        <f>IFERROR(INDEX('R5. ETP17 Summary'!$AC$106:$AK$122,MATCH($E195,'R5. ETP17 Summary'!$AB$106:$AB$122,0),MATCH(R$93,'R5. ETP17 Summary'!$AC$9:$AK$9,0)),"")</f>
        <v>320.01850198590216</v>
      </c>
      <c r="S195" s="34">
        <f>IFERROR(INDEX('R5. ETP17 Summary'!$AC$106:$AK$122,MATCH($E195,'R5. ETP17 Summary'!$AB$106:$AB$122,0),MATCH(S$93,'R5. ETP17 Summary'!$AC$9:$AK$9,0)),"")</f>
        <v>240.34278990192982</v>
      </c>
    </row>
    <row r="196" spans="1:19" x14ac:dyDescent="0.3">
      <c r="A196" s="3" t="s">
        <v>496</v>
      </c>
      <c r="B196" s="3" t="s">
        <v>383</v>
      </c>
      <c r="C196" s="3" t="str">
        <f>INDEX('R1. Scenario specifications'!$C$11:$C$59,MATCH($B196,'R1. Scenario specifications'!$A$11:$A$59,0))</f>
        <v>Below 2 Degrees Scenario (1.75DS), Energy Technology Perspectives 2017</v>
      </c>
      <c r="D196" s="3" t="s">
        <v>255</v>
      </c>
      <c r="E196" s="3" t="s">
        <v>511</v>
      </c>
      <c r="G196" s="34">
        <f>IFERROR(INDEX('R5. ETP17 Summary'!$AC$106:$AK$122,MATCH($E196,'R5. ETP17 Summary'!$AB$106:$AB$122,0),MATCH(G$93,'R5. ETP17 Summary'!$AC$9:$AK$9,0)),"")</f>
        <v>0</v>
      </c>
      <c r="H196" s="34" t="str">
        <f>IFERROR(INDEX('R5. ETP17 Summary'!$AC$106:$AK$122,MATCH($E196,'R5. ETP17 Summary'!$AB$106:$AB$122,0),MATCH(H$93,'R5. ETP17 Summary'!$AC$9:$AK$9,0)),"")</f>
        <v/>
      </c>
      <c r="I196" s="34" t="str">
        <f>IFERROR(INDEX('R5. ETP17 Summary'!$AC$106:$AK$122,MATCH($E196,'R5. ETP17 Summary'!$AB$106:$AB$122,0),MATCH(I$93,'R5. ETP17 Summary'!$AC$9:$AK$9,0)),"")</f>
        <v/>
      </c>
      <c r="J196" s="34" t="str">
        <f>IFERROR(INDEX('R5. ETP17 Summary'!$AC$106:$AK$122,MATCH($E196,'R5. ETP17 Summary'!$AB$106:$AB$122,0),MATCH(J$93,'R5. ETP17 Summary'!$AC$9:$AK$9,0)),"")</f>
        <v/>
      </c>
      <c r="K196" s="34" t="str">
        <f>IFERROR(INDEX('R5. ETP17 Summary'!$AC$106:$AK$122,MATCH($E196,'R5. ETP17 Summary'!$AB$106:$AB$122,0),MATCH(K$93,'R5. ETP17 Summary'!$AC$9:$AK$9,0)),"")</f>
        <v/>
      </c>
      <c r="L196" s="34">
        <f>IFERROR(INDEX('R5. ETP17 Summary'!$AC$106:$AK$122,MATCH($E196,'R5. ETP17 Summary'!$AB$106:$AB$122,0),MATCH(L$93,'R5. ETP17 Summary'!$AC$9:$AK$9,0)),"")</f>
        <v>12.397581986264719</v>
      </c>
      <c r="M196" s="34">
        <f>IFERROR(INDEX('R5. ETP17 Summary'!$AC$106:$AK$122,MATCH($E196,'R5. ETP17 Summary'!$AB$106:$AB$122,0),MATCH(M$93,'R5. ETP17 Summary'!$AC$9:$AK$9,0)),"")</f>
        <v>152.43151337840857</v>
      </c>
      <c r="N196" s="34">
        <f>IFERROR(INDEX('R5. ETP17 Summary'!$AC$106:$AK$122,MATCH($E196,'R5. ETP17 Summary'!$AB$106:$AB$122,0),MATCH(N$93,'R5. ETP17 Summary'!$AC$9:$AK$9,0)),"")</f>
        <v>501.01075892467247</v>
      </c>
      <c r="O196" s="34">
        <f>IFERROR(INDEX('R5. ETP17 Summary'!$AC$106:$AK$122,MATCH($E196,'R5. ETP17 Summary'!$AB$106:$AB$122,0),MATCH(O$93,'R5. ETP17 Summary'!$AC$9:$AK$9,0)),"")</f>
        <v>1031.043378597863</v>
      </c>
      <c r="P196" s="34">
        <f>IFERROR(INDEX('R5. ETP17 Summary'!$AC$106:$AK$122,MATCH($E196,'R5. ETP17 Summary'!$AB$106:$AB$122,0),MATCH(P$93,'R5. ETP17 Summary'!$AC$9:$AK$9,0)),"")</f>
        <v>1627.3708987599016</v>
      </c>
      <c r="Q196" s="34">
        <f>IFERROR(INDEX('R5. ETP17 Summary'!$AC$106:$AK$122,MATCH($E196,'R5. ETP17 Summary'!$AB$106:$AB$122,0),MATCH(Q$93,'R5. ETP17 Summary'!$AC$9:$AK$9,0)),"")</f>
        <v>1733.7358112945678</v>
      </c>
      <c r="R196" s="34">
        <f>IFERROR(INDEX('R5. ETP17 Summary'!$AC$106:$AK$122,MATCH($E196,'R5. ETP17 Summary'!$AB$106:$AB$122,0),MATCH(R$93,'R5. ETP17 Summary'!$AC$9:$AK$9,0)),"")</f>
        <v>1598.9291283067816</v>
      </c>
      <c r="S196" s="34">
        <f>IFERROR(INDEX('R5. ETP17 Summary'!$AC$106:$AK$122,MATCH($E196,'R5. ETP17 Summary'!$AB$106:$AB$122,0),MATCH(S$93,'R5. ETP17 Summary'!$AC$9:$AK$9,0)),"")</f>
        <v>2049.3439553477619</v>
      </c>
    </row>
    <row r="197" spans="1:19" x14ac:dyDescent="0.3">
      <c r="A197" s="3" t="s">
        <v>496</v>
      </c>
      <c r="B197" s="3" t="s">
        <v>383</v>
      </c>
      <c r="C197" s="3" t="str">
        <f>INDEX('R1. Scenario specifications'!$C$11:$C$59,MATCH($B197,'R1. Scenario specifications'!$A$11:$A$59,0))</f>
        <v>Below 2 Degrees Scenario (1.75DS), Energy Technology Perspectives 2017</v>
      </c>
      <c r="D197" s="3" t="s">
        <v>257</v>
      </c>
      <c r="E197" s="3" t="s">
        <v>257</v>
      </c>
      <c r="G197" s="34">
        <f>IFERROR(INDEX('R5. ETP17 Summary'!$AC$106:$AK$122,MATCH($E197,'R5. ETP17 Summary'!$AB$106:$AB$122,0),MATCH(G$93,'R5. ETP17 Summary'!$AC$9:$AK$9,0)),"")</f>
        <v>2535.326</v>
      </c>
      <c r="H197" s="34" t="str">
        <f>IFERROR(INDEX('R5. ETP17 Summary'!$AC$106:$AK$122,MATCH($E197,'R5. ETP17 Summary'!$AB$106:$AB$122,0),MATCH(H$93,'R5. ETP17 Summary'!$AC$9:$AK$9,0)),"")</f>
        <v/>
      </c>
      <c r="I197" s="34" t="str">
        <f>IFERROR(INDEX('R5. ETP17 Summary'!$AC$106:$AK$122,MATCH($E197,'R5. ETP17 Summary'!$AB$106:$AB$122,0),MATCH(I$93,'R5. ETP17 Summary'!$AC$9:$AK$9,0)),"")</f>
        <v/>
      </c>
      <c r="J197" s="34" t="str">
        <f>IFERROR(INDEX('R5. ETP17 Summary'!$AC$106:$AK$122,MATCH($E197,'R5. ETP17 Summary'!$AB$106:$AB$122,0),MATCH(J$93,'R5. ETP17 Summary'!$AC$9:$AK$9,0)),"")</f>
        <v/>
      </c>
      <c r="K197" s="34" t="str">
        <f>IFERROR(INDEX('R5. ETP17 Summary'!$AC$106:$AK$122,MATCH($E197,'R5. ETP17 Summary'!$AB$106:$AB$122,0),MATCH(K$93,'R5. ETP17 Summary'!$AC$9:$AK$9,0)),"")</f>
        <v/>
      </c>
      <c r="L197" s="34">
        <f>IFERROR(INDEX('R5. ETP17 Summary'!$AC$106:$AK$122,MATCH($E197,'R5. ETP17 Summary'!$AB$106:$AB$122,0),MATCH(L$93,'R5. ETP17 Summary'!$AC$9:$AK$9,0)),"")</f>
        <v>3797.8245369547517</v>
      </c>
      <c r="M197" s="34">
        <f>IFERROR(INDEX('R5. ETP17 Summary'!$AC$106:$AK$122,MATCH($E197,'R5. ETP17 Summary'!$AB$106:$AB$122,0),MATCH(M$93,'R5. ETP17 Summary'!$AC$9:$AK$9,0)),"")</f>
        <v>4753.0901845248936</v>
      </c>
      <c r="N197" s="34">
        <f>IFERROR(INDEX('R5. ETP17 Summary'!$AC$106:$AK$122,MATCH($E197,'R5. ETP17 Summary'!$AB$106:$AB$122,0),MATCH(N$93,'R5. ETP17 Summary'!$AC$9:$AK$9,0)),"")</f>
        <v>5459.8922657168641</v>
      </c>
      <c r="O197" s="34">
        <f>IFERROR(INDEX('R5. ETP17 Summary'!$AC$106:$AK$122,MATCH($E197,'R5. ETP17 Summary'!$AB$106:$AB$122,0),MATCH(O$93,'R5. ETP17 Summary'!$AC$9:$AK$9,0)),"")</f>
        <v>6159.5912754522024</v>
      </c>
      <c r="P197" s="34">
        <f>IFERROR(INDEX('R5. ETP17 Summary'!$AC$106:$AK$122,MATCH($E197,'R5. ETP17 Summary'!$AB$106:$AB$122,0),MATCH(P$93,'R5. ETP17 Summary'!$AC$9:$AK$9,0)),"")</f>
        <v>6694.7276786941375</v>
      </c>
      <c r="Q197" s="34">
        <f>IFERROR(INDEX('R5. ETP17 Summary'!$AC$106:$AK$122,MATCH($E197,'R5. ETP17 Summary'!$AB$106:$AB$122,0),MATCH(Q$93,'R5. ETP17 Summary'!$AC$9:$AK$9,0)),"")</f>
        <v>7069.3546887434977</v>
      </c>
      <c r="R197" s="34">
        <f>IFERROR(INDEX('R5. ETP17 Summary'!$AC$106:$AK$122,MATCH($E197,'R5. ETP17 Summary'!$AB$106:$AB$122,0),MATCH(R$93,'R5. ETP17 Summary'!$AC$9:$AK$9,0)),"")</f>
        <v>7514.876982674612</v>
      </c>
      <c r="S197" s="34">
        <f>IFERROR(INDEX('R5. ETP17 Summary'!$AC$106:$AK$122,MATCH($E197,'R5. ETP17 Summary'!$AB$106:$AB$122,0),MATCH(S$93,'R5. ETP17 Summary'!$AC$9:$AK$9,0)),"")</f>
        <v>7857.6739637223955</v>
      </c>
    </row>
    <row r="198" spans="1:19" x14ac:dyDescent="0.3">
      <c r="A198" s="3" t="s">
        <v>496</v>
      </c>
      <c r="B198" s="3" t="s">
        <v>383</v>
      </c>
      <c r="C198" s="3" t="str">
        <f>INDEX('R1. Scenario specifications'!$C$11:$C$59,MATCH($B198,'R1. Scenario specifications'!$A$11:$A$59,0))</f>
        <v>Below 2 Degrees Scenario (1.75DS), Energy Technology Perspectives 2017</v>
      </c>
      <c r="D198" s="3" t="s">
        <v>253</v>
      </c>
      <c r="E198" s="3" t="s">
        <v>512</v>
      </c>
      <c r="G198" s="34">
        <f>IFERROR(INDEX('R5. ETP17 Summary'!$AC$106:$AK$122,MATCH($E198,'R5. ETP17 Summary'!$AB$106:$AB$122,0),MATCH(G$93,'R5. ETP17 Summary'!$AC$9:$AK$9,0)),"")</f>
        <v>495.94800000000004</v>
      </c>
      <c r="H198" s="34" t="str">
        <f>IFERROR(INDEX('R5. ETP17 Summary'!$AC$106:$AK$122,MATCH($E198,'R5. ETP17 Summary'!$AB$106:$AB$122,0),MATCH(H$93,'R5. ETP17 Summary'!$AC$9:$AK$9,0)),"")</f>
        <v/>
      </c>
      <c r="I198" s="34" t="str">
        <f>IFERROR(INDEX('R5. ETP17 Summary'!$AC$106:$AK$122,MATCH($E198,'R5. ETP17 Summary'!$AB$106:$AB$122,0),MATCH(I$93,'R5. ETP17 Summary'!$AC$9:$AK$9,0)),"")</f>
        <v/>
      </c>
      <c r="J198" s="34" t="str">
        <f>IFERROR(INDEX('R5. ETP17 Summary'!$AC$106:$AK$122,MATCH($E198,'R5. ETP17 Summary'!$AB$106:$AB$122,0),MATCH(J$93,'R5. ETP17 Summary'!$AC$9:$AK$9,0)),"")</f>
        <v/>
      </c>
      <c r="K198" s="34" t="str">
        <f>IFERROR(INDEX('R5. ETP17 Summary'!$AC$106:$AK$122,MATCH($E198,'R5. ETP17 Summary'!$AB$106:$AB$122,0),MATCH(K$93,'R5. ETP17 Summary'!$AC$9:$AK$9,0)),"")</f>
        <v/>
      </c>
      <c r="L198" s="34">
        <f>IFERROR(INDEX('R5. ETP17 Summary'!$AC$106:$AK$122,MATCH($E198,'R5. ETP17 Summary'!$AB$106:$AB$122,0),MATCH(L$93,'R5. ETP17 Summary'!$AC$9:$AK$9,0)),"")</f>
        <v>1488.6123878050307</v>
      </c>
      <c r="M198" s="34">
        <f>IFERROR(INDEX('R5. ETP17 Summary'!$AC$106:$AK$122,MATCH($E198,'R5. ETP17 Summary'!$AB$106:$AB$122,0),MATCH(M$93,'R5. ETP17 Summary'!$AC$9:$AK$9,0)),"")</f>
        <v>1937.855435521318</v>
      </c>
      <c r="N198" s="34">
        <f>IFERROR(INDEX('R5. ETP17 Summary'!$AC$106:$AK$122,MATCH($E198,'R5. ETP17 Summary'!$AB$106:$AB$122,0),MATCH(N$93,'R5. ETP17 Summary'!$AC$9:$AK$9,0)),"")</f>
        <v>2483.702083086192</v>
      </c>
      <c r="O198" s="34">
        <f>IFERROR(INDEX('R5. ETP17 Summary'!$AC$106:$AK$122,MATCH($E198,'R5. ETP17 Summary'!$AB$106:$AB$122,0),MATCH(O$93,'R5. ETP17 Summary'!$AC$9:$AK$9,0)),"")</f>
        <v>3076.1374554462427</v>
      </c>
      <c r="P198" s="34">
        <f>IFERROR(INDEX('R5. ETP17 Summary'!$AC$106:$AK$122,MATCH($E198,'R5. ETP17 Summary'!$AB$106:$AB$122,0),MATCH(P$93,'R5. ETP17 Summary'!$AC$9:$AK$9,0)),"")</f>
        <v>3459.5748022474122</v>
      </c>
      <c r="Q198" s="34">
        <f>IFERROR(INDEX('R5. ETP17 Summary'!$AC$106:$AK$122,MATCH($E198,'R5. ETP17 Summary'!$AB$106:$AB$122,0),MATCH(Q$93,'R5. ETP17 Summary'!$AC$9:$AK$9,0)),"")</f>
        <v>3588.7980043099196</v>
      </c>
      <c r="R198" s="34">
        <f>IFERROR(INDEX('R5. ETP17 Summary'!$AC$106:$AK$122,MATCH($E198,'R5. ETP17 Summary'!$AB$106:$AB$122,0),MATCH(R$93,'R5. ETP17 Summary'!$AC$9:$AK$9,0)),"")</f>
        <v>3304.7802216972177</v>
      </c>
      <c r="S198" s="34">
        <f>IFERROR(INDEX('R5. ETP17 Summary'!$AC$106:$AK$122,MATCH($E198,'R5. ETP17 Summary'!$AB$106:$AB$122,0),MATCH(S$93,'R5. ETP17 Summary'!$AC$9:$AK$9,0)),"")</f>
        <v>2472.1261137525148</v>
      </c>
    </row>
    <row r="199" spans="1:19" x14ac:dyDescent="0.3">
      <c r="A199" s="3" t="s">
        <v>496</v>
      </c>
      <c r="B199" s="3" t="s">
        <v>383</v>
      </c>
      <c r="C199" s="3" t="str">
        <f>INDEX('R1. Scenario specifications'!$C$11:$C$59,MATCH($B199,'R1. Scenario specifications'!$A$11:$A$59,0))</f>
        <v>Below 2 Degrees Scenario (1.75DS), Energy Technology Perspectives 2017</v>
      </c>
      <c r="D199" s="3" t="s">
        <v>253</v>
      </c>
      <c r="E199" s="3" t="s">
        <v>513</v>
      </c>
      <c r="G199" s="34">
        <f>IFERROR(INDEX('R5. ETP17 Summary'!$AC$106:$AK$122,MATCH($E199,'R5. ETP17 Summary'!$AB$106:$AB$122,0),MATCH(G$93,'R5. ETP17 Summary'!$AC$9:$AK$9,0)),"")</f>
        <v>0</v>
      </c>
      <c r="H199" s="34" t="str">
        <f>IFERROR(INDEX('R5. ETP17 Summary'!$AC$106:$AK$122,MATCH($E199,'R5. ETP17 Summary'!$AB$106:$AB$122,0),MATCH(H$93,'R5. ETP17 Summary'!$AC$9:$AK$9,0)),"")</f>
        <v/>
      </c>
      <c r="I199" s="34" t="str">
        <f>IFERROR(INDEX('R5. ETP17 Summary'!$AC$106:$AK$122,MATCH($E199,'R5. ETP17 Summary'!$AB$106:$AB$122,0),MATCH(I$93,'R5. ETP17 Summary'!$AC$9:$AK$9,0)),"")</f>
        <v/>
      </c>
      <c r="J199" s="34" t="str">
        <f>IFERROR(INDEX('R5. ETP17 Summary'!$AC$106:$AK$122,MATCH($E199,'R5. ETP17 Summary'!$AB$106:$AB$122,0),MATCH(J$93,'R5. ETP17 Summary'!$AC$9:$AK$9,0)),"")</f>
        <v/>
      </c>
      <c r="K199" s="34" t="str">
        <f>IFERROR(INDEX('R5. ETP17 Summary'!$AC$106:$AK$122,MATCH($E199,'R5. ETP17 Summary'!$AB$106:$AB$122,0),MATCH(K$93,'R5. ETP17 Summary'!$AC$9:$AK$9,0)),"")</f>
        <v/>
      </c>
      <c r="L199" s="34">
        <f>IFERROR(INDEX('R5. ETP17 Summary'!$AC$106:$AK$122,MATCH($E199,'R5. ETP17 Summary'!$AB$106:$AB$122,0),MATCH(L$93,'R5. ETP17 Summary'!$AC$9:$AK$9,0)),"")</f>
        <v>3.4569764943445489</v>
      </c>
      <c r="M199" s="34">
        <f>IFERROR(INDEX('R5. ETP17 Summary'!$AC$106:$AK$122,MATCH($E199,'R5. ETP17 Summary'!$AB$106:$AB$122,0),MATCH(M$93,'R5. ETP17 Summary'!$AC$9:$AK$9,0)),"")</f>
        <v>12.920088575031652</v>
      </c>
      <c r="N199" s="34">
        <f>IFERROR(INDEX('R5. ETP17 Summary'!$AC$106:$AK$122,MATCH($E199,'R5. ETP17 Summary'!$AB$106:$AB$122,0),MATCH(N$93,'R5. ETP17 Summary'!$AC$9:$AK$9,0)),"")</f>
        <v>69.845187135081972</v>
      </c>
      <c r="O199" s="34">
        <f>IFERROR(INDEX('R5. ETP17 Summary'!$AC$106:$AK$122,MATCH($E199,'R5. ETP17 Summary'!$AB$106:$AB$122,0),MATCH(O$93,'R5. ETP17 Summary'!$AC$9:$AK$9,0)),"")</f>
        <v>253.09722965482851</v>
      </c>
      <c r="P199" s="34">
        <f>IFERROR(INDEX('R5. ETP17 Summary'!$AC$106:$AK$122,MATCH($E199,'R5. ETP17 Summary'!$AB$106:$AB$122,0),MATCH(P$93,'R5. ETP17 Summary'!$AC$9:$AK$9,0)),"")</f>
        <v>715.07668659653336</v>
      </c>
      <c r="Q199" s="34">
        <f>IFERROR(INDEX('R5. ETP17 Summary'!$AC$106:$AK$122,MATCH($E199,'R5. ETP17 Summary'!$AB$106:$AB$122,0),MATCH(Q$93,'R5. ETP17 Summary'!$AC$9:$AK$9,0)),"")</f>
        <v>1173.7152086759461</v>
      </c>
      <c r="R199" s="34">
        <f>IFERROR(INDEX('R5. ETP17 Summary'!$AC$106:$AK$122,MATCH($E199,'R5. ETP17 Summary'!$AB$106:$AB$122,0),MATCH(R$93,'R5. ETP17 Summary'!$AC$9:$AK$9,0)),"")</f>
        <v>1675.140910649382</v>
      </c>
      <c r="S199" s="34">
        <f>IFERROR(INDEX('R5. ETP17 Summary'!$AC$106:$AK$122,MATCH($E199,'R5. ETP17 Summary'!$AB$106:$AB$122,0),MATCH(S$93,'R5. ETP17 Summary'!$AC$9:$AK$9,0)),"")</f>
        <v>2213.6563171406628</v>
      </c>
    </row>
    <row r="200" spans="1:19" x14ac:dyDescent="0.3">
      <c r="A200" s="3" t="s">
        <v>496</v>
      </c>
      <c r="B200" s="3" t="s">
        <v>383</v>
      </c>
      <c r="C200" s="3" t="str">
        <f>INDEX('R1. Scenario specifications'!$C$11:$C$59,MATCH($B200,'R1. Scenario specifications'!$A$11:$A$59,0))</f>
        <v>Below 2 Degrees Scenario (1.75DS), Energy Technology Perspectives 2017</v>
      </c>
      <c r="D200" s="3" t="s">
        <v>256</v>
      </c>
      <c r="E200" s="3" t="s">
        <v>514</v>
      </c>
      <c r="G200" s="34">
        <f>IFERROR(INDEX('R5. ETP17 Summary'!$AC$106:$AK$122,MATCH($E200,'R5. ETP17 Summary'!$AB$106:$AB$122,0),MATCH(G$93,'R5. ETP17 Summary'!$AC$9:$AK$9,0)),"")</f>
        <v>3894.7080000000001</v>
      </c>
      <c r="H200" s="34" t="str">
        <f>IFERROR(INDEX('R5. ETP17 Summary'!$AC$106:$AK$122,MATCH($E200,'R5. ETP17 Summary'!$AB$106:$AB$122,0),MATCH(H$93,'R5. ETP17 Summary'!$AC$9:$AK$9,0)),"")</f>
        <v/>
      </c>
      <c r="I200" s="34" t="str">
        <f>IFERROR(INDEX('R5. ETP17 Summary'!$AC$106:$AK$122,MATCH($E200,'R5. ETP17 Summary'!$AB$106:$AB$122,0),MATCH(I$93,'R5. ETP17 Summary'!$AC$9:$AK$9,0)),"")</f>
        <v/>
      </c>
      <c r="J200" s="34" t="str">
        <f>IFERROR(INDEX('R5. ETP17 Summary'!$AC$106:$AK$122,MATCH($E200,'R5. ETP17 Summary'!$AB$106:$AB$122,0),MATCH(J$93,'R5. ETP17 Summary'!$AC$9:$AK$9,0)),"")</f>
        <v/>
      </c>
      <c r="K200" s="34" t="str">
        <f>IFERROR(INDEX('R5. ETP17 Summary'!$AC$106:$AK$122,MATCH($E200,'R5. ETP17 Summary'!$AB$106:$AB$122,0),MATCH(K$93,'R5. ETP17 Summary'!$AC$9:$AK$9,0)),"")</f>
        <v/>
      </c>
      <c r="L200" s="34">
        <f>IFERROR(INDEX('R5. ETP17 Summary'!$AC$106:$AK$122,MATCH($E200,'R5. ETP17 Summary'!$AB$106:$AB$122,0),MATCH(L$93,'R5. ETP17 Summary'!$AC$9:$AK$9,0)),"")</f>
        <v>5159.2504762681683</v>
      </c>
      <c r="M200" s="34">
        <f>IFERROR(INDEX('R5. ETP17 Summary'!$AC$106:$AK$122,MATCH($E200,'R5. ETP17 Summary'!$AB$106:$AB$122,0),MATCH(M$93,'R5. ETP17 Summary'!$AC$9:$AK$9,0)),"")</f>
        <v>5713.7086533450283</v>
      </c>
      <c r="N200" s="34">
        <f>IFERROR(INDEX('R5. ETP17 Summary'!$AC$106:$AK$122,MATCH($E200,'R5. ETP17 Summary'!$AB$106:$AB$122,0),MATCH(N$93,'R5. ETP17 Summary'!$AC$9:$AK$9,0)),"")</f>
        <v>6102.270844518167</v>
      </c>
      <c r="O200" s="34">
        <f>IFERROR(INDEX('R5. ETP17 Summary'!$AC$106:$AK$122,MATCH($E200,'R5. ETP17 Summary'!$AB$106:$AB$122,0),MATCH(O$93,'R5. ETP17 Summary'!$AC$9:$AK$9,0)),"")</f>
        <v>6746.7868103090632</v>
      </c>
      <c r="P200" s="34">
        <f>IFERROR(INDEX('R5. ETP17 Summary'!$AC$106:$AK$122,MATCH($E200,'R5. ETP17 Summary'!$AB$106:$AB$122,0),MATCH(P$93,'R5. ETP17 Summary'!$AC$9:$AK$9,0)),"")</f>
        <v>7362.3572617812524</v>
      </c>
      <c r="Q200" s="34">
        <f>IFERROR(INDEX('R5. ETP17 Summary'!$AC$106:$AK$122,MATCH($E200,'R5. ETP17 Summary'!$AB$106:$AB$122,0),MATCH(Q$93,'R5. ETP17 Summary'!$AC$9:$AK$9,0)),"")</f>
        <v>7964.9360111745673</v>
      </c>
      <c r="R200" s="34">
        <f>IFERROR(INDEX('R5. ETP17 Summary'!$AC$106:$AK$122,MATCH($E200,'R5. ETP17 Summary'!$AB$106:$AB$122,0),MATCH(R$93,'R5. ETP17 Summary'!$AC$9:$AK$9,0)),"")</f>
        <v>8581.8450144875023</v>
      </c>
      <c r="S200" s="34">
        <f>IFERROR(INDEX('R5. ETP17 Summary'!$AC$106:$AK$122,MATCH($E200,'R5. ETP17 Summary'!$AB$106:$AB$122,0),MATCH(S$93,'R5. ETP17 Summary'!$AC$9:$AK$9,0)),"")</f>
        <v>9194.0300709084968</v>
      </c>
    </row>
    <row r="201" spans="1:19" x14ac:dyDescent="0.3">
      <c r="A201" s="3" t="s">
        <v>496</v>
      </c>
      <c r="B201" s="3" t="s">
        <v>383</v>
      </c>
      <c r="C201" s="3" t="str">
        <f>INDEX('R1. Scenario specifications'!$C$11:$C$59,MATCH($B201,'R1. Scenario specifications'!$A$11:$A$59,0))</f>
        <v>Below 2 Degrees Scenario (1.75DS), Energy Technology Perspectives 2017</v>
      </c>
      <c r="D201" s="3" t="s">
        <v>258</v>
      </c>
      <c r="E201" s="3" t="s">
        <v>506</v>
      </c>
      <c r="G201" s="34">
        <f>IFERROR(INDEX('R5. ETP17 Summary'!$AC$106:$AK$122,MATCH($E201,'R5. ETP17 Summary'!$AB$106:$AB$122,0),MATCH(G$93,'R5. ETP17 Summary'!$AC$9:$AK$9,0)),"")</f>
        <v>77.376999999999995</v>
      </c>
      <c r="H201" s="34" t="str">
        <f>IFERROR(INDEX('R5. ETP17 Summary'!$AC$106:$AK$122,MATCH($E201,'R5. ETP17 Summary'!$AB$106:$AB$122,0),MATCH(H$93,'R5. ETP17 Summary'!$AC$9:$AK$9,0)),"")</f>
        <v/>
      </c>
      <c r="I201" s="34" t="str">
        <f>IFERROR(INDEX('R5. ETP17 Summary'!$AC$106:$AK$122,MATCH($E201,'R5. ETP17 Summary'!$AB$106:$AB$122,0),MATCH(I$93,'R5. ETP17 Summary'!$AC$9:$AK$9,0)),"")</f>
        <v/>
      </c>
      <c r="J201" s="34" t="str">
        <f>IFERROR(INDEX('R5. ETP17 Summary'!$AC$106:$AK$122,MATCH($E201,'R5. ETP17 Summary'!$AB$106:$AB$122,0),MATCH(J$93,'R5. ETP17 Summary'!$AC$9:$AK$9,0)),"")</f>
        <v/>
      </c>
      <c r="K201" s="34" t="str">
        <f>IFERROR(INDEX('R5. ETP17 Summary'!$AC$106:$AK$122,MATCH($E201,'R5. ETP17 Summary'!$AB$106:$AB$122,0),MATCH(K$93,'R5. ETP17 Summary'!$AC$9:$AK$9,0)),"")</f>
        <v/>
      </c>
      <c r="L201" s="34">
        <f>IFERROR(INDEX('R5. ETP17 Summary'!$AC$106:$AK$122,MATCH($E201,'R5. ETP17 Summary'!$AB$106:$AB$122,0),MATCH(L$93,'R5. ETP17 Summary'!$AC$9:$AK$9,0)),"")</f>
        <v>224.70842295503141</v>
      </c>
      <c r="M201" s="34">
        <f>IFERROR(INDEX('R5. ETP17 Summary'!$AC$106:$AK$122,MATCH($E201,'R5. ETP17 Summary'!$AB$106:$AB$122,0),MATCH(M$93,'R5. ETP17 Summary'!$AC$9:$AK$9,0)),"")</f>
        <v>343.1592661154192</v>
      </c>
      <c r="N201" s="34">
        <f>IFERROR(INDEX('R5. ETP17 Summary'!$AC$106:$AK$122,MATCH($E201,'R5. ETP17 Summary'!$AB$106:$AB$122,0),MATCH(N$93,'R5. ETP17 Summary'!$AC$9:$AK$9,0)),"")</f>
        <v>489.16273055268647</v>
      </c>
      <c r="O201" s="34">
        <f>IFERROR(INDEX('R5. ETP17 Summary'!$AC$106:$AK$122,MATCH($E201,'R5. ETP17 Summary'!$AB$106:$AB$122,0),MATCH(O$93,'R5. ETP17 Summary'!$AC$9:$AK$9,0)),"")</f>
        <v>644.88924281322033</v>
      </c>
      <c r="P201" s="34">
        <f>IFERROR(INDEX('R5. ETP17 Summary'!$AC$106:$AK$122,MATCH($E201,'R5. ETP17 Summary'!$AB$106:$AB$122,0),MATCH(P$93,'R5. ETP17 Summary'!$AC$9:$AK$9,0)),"")</f>
        <v>820.32375047994276</v>
      </c>
      <c r="Q201" s="34">
        <f>IFERROR(INDEX('R5. ETP17 Summary'!$AC$106:$AK$122,MATCH($E201,'R5. ETP17 Summary'!$AB$106:$AB$122,0),MATCH(Q$93,'R5. ETP17 Summary'!$AC$9:$AK$9,0)),"")</f>
        <v>1006.6939361437601</v>
      </c>
      <c r="R201" s="34">
        <f>IFERROR(INDEX('R5. ETP17 Summary'!$AC$106:$AK$122,MATCH($E201,'R5. ETP17 Summary'!$AB$106:$AB$122,0),MATCH(R$93,'R5. ETP17 Summary'!$AC$9:$AK$9,0)),"")</f>
        <v>1190.4754239507513</v>
      </c>
      <c r="S201" s="34">
        <f>IFERROR(INDEX('R5. ETP17 Summary'!$AC$106:$AK$122,MATCH($E201,'R5. ETP17 Summary'!$AB$106:$AB$122,0),MATCH(S$93,'R5. ETP17 Summary'!$AC$9:$AK$9,0)),"")</f>
        <v>1369.6500207175693</v>
      </c>
    </row>
    <row r="202" spans="1:19" x14ac:dyDescent="0.3">
      <c r="A202" s="3" t="s">
        <v>496</v>
      </c>
      <c r="B202" s="3" t="s">
        <v>383</v>
      </c>
      <c r="C202" s="3" t="str">
        <f>INDEX('R1. Scenario specifications'!$C$11:$C$59,MATCH($B202,'R1. Scenario specifications'!$A$11:$A$59,0))</f>
        <v>Below 2 Degrees Scenario (1.75DS), Energy Technology Perspectives 2017</v>
      </c>
      <c r="D202" s="3" t="s">
        <v>260</v>
      </c>
      <c r="E202" s="3" t="s">
        <v>515</v>
      </c>
      <c r="G202" s="34">
        <f>IFERROR(INDEX('R5. ETP17 Summary'!$AC$106:$AK$122,MATCH($E202,'R5. ETP17 Summary'!$AB$106:$AB$122,0),MATCH(G$93,'R5. ETP17 Summary'!$AC$9:$AK$9,0)),"")</f>
        <v>692.12371787999996</v>
      </c>
      <c r="H202" s="34" t="str">
        <f>IFERROR(INDEX('R5. ETP17 Summary'!$AC$106:$AK$122,MATCH($E202,'R5. ETP17 Summary'!$AB$106:$AB$122,0),MATCH(H$93,'R5. ETP17 Summary'!$AC$9:$AK$9,0)),"")</f>
        <v/>
      </c>
      <c r="I202" s="34" t="str">
        <f>IFERROR(INDEX('R5. ETP17 Summary'!$AC$106:$AK$122,MATCH($E202,'R5. ETP17 Summary'!$AB$106:$AB$122,0),MATCH(I$93,'R5. ETP17 Summary'!$AC$9:$AK$9,0)),"")</f>
        <v/>
      </c>
      <c r="J202" s="34" t="str">
        <f>IFERROR(INDEX('R5. ETP17 Summary'!$AC$106:$AK$122,MATCH($E202,'R5. ETP17 Summary'!$AB$106:$AB$122,0),MATCH(J$93,'R5. ETP17 Summary'!$AC$9:$AK$9,0)),"")</f>
        <v/>
      </c>
      <c r="K202" s="34" t="str">
        <f>IFERROR(INDEX('R5. ETP17 Summary'!$AC$106:$AK$122,MATCH($E202,'R5. ETP17 Summary'!$AB$106:$AB$122,0),MATCH(K$93,'R5. ETP17 Summary'!$AC$9:$AK$9,0)),"")</f>
        <v/>
      </c>
      <c r="L202" s="34">
        <f>IFERROR(INDEX('R5. ETP17 Summary'!$AC$106:$AK$122,MATCH($E202,'R5. ETP17 Summary'!$AB$106:$AB$122,0),MATCH(L$93,'R5. ETP17 Summary'!$AC$9:$AK$9,0)),"")</f>
        <v>2564.5870851507511</v>
      </c>
      <c r="M202" s="34">
        <f>IFERROR(INDEX('R5. ETP17 Summary'!$AC$106:$AK$122,MATCH($E202,'R5. ETP17 Summary'!$AB$106:$AB$122,0),MATCH(M$93,'R5. ETP17 Summary'!$AC$9:$AK$9,0)),"")</f>
        <v>3726.0198449096065</v>
      </c>
      <c r="N202" s="34">
        <f>IFERROR(INDEX('R5. ETP17 Summary'!$AC$106:$AK$122,MATCH($E202,'R5. ETP17 Summary'!$AB$106:$AB$122,0),MATCH(N$93,'R5. ETP17 Summary'!$AC$9:$AK$9,0)),"")</f>
        <v>4666.9741084744164</v>
      </c>
      <c r="O202" s="34">
        <f>IFERROR(INDEX('R5. ETP17 Summary'!$AC$106:$AK$122,MATCH($E202,'R5. ETP17 Summary'!$AB$106:$AB$122,0),MATCH(O$93,'R5. ETP17 Summary'!$AC$9:$AK$9,0)),"")</f>
        <v>5470.2247279555813</v>
      </c>
      <c r="P202" s="34">
        <f>IFERROR(INDEX('R5. ETP17 Summary'!$AC$106:$AK$122,MATCH($E202,'R5. ETP17 Summary'!$AB$106:$AB$122,0),MATCH(P$93,'R5. ETP17 Summary'!$AC$9:$AK$9,0)),"")</f>
        <v>6094.0766052582494</v>
      </c>
      <c r="Q202" s="34">
        <f>IFERROR(INDEX('R5. ETP17 Summary'!$AC$106:$AK$122,MATCH($E202,'R5. ETP17 Summary'!$AB$106:$AB$122,0),MATCH(Q$93,'R5. ETP17 Summary'!$AC$9:$AK$9,0)),"")</f>
        <v>6850.9596911843264</v>
      </c>
      <c r="R202" s="34">
        <f>IFERROR(INDEX('R5. ETP17 Summary'!$AC$106:$AK$122,MATCH($E202,'R5. ETP17 Summary'!$AB$106:$AB$122,0),MATCH(R$93,'R5. ETP17 Summary'!$AC$9:$AK$9,0)),"")</f>
        <v>7356.9770222920852</v>
      </c>
      <c r="S202" s="34">
        <f>IFERROR(INDEX('R5. ETP17 Summary'!$AC$106:$AK$122,MATCH($E202,'R5. ETP17 Summary'!$AB$106:$AB$122,0),MATCH(S$93,'R5. ETP17 Summary'!$AC$9:$AK$9,0)),"")</f>
        <v>7686.0143252748239</v>
      </c>
    </row>
    <row r="203" spans="1:19" x14ac:dyDescent="0.3">
      <c r="A203" s="3" t="s">
        <v>496</v>
      </c>
      <c r="B203" s="3" t="s">
        <v>383</v>
      </c>
      <c r="C203" s="3" t="str">
        <f>INDEX('R1. Scenario specifications'!$C$11:$C$59,MATCH($B203,'R1. Scenario specifications'!$A$11:$A$59,0))</f>
        <v>Below 2 Degrees Scenario (1.75DS), Energy Technology Perspectives 2017</v>
      </c>
      <c r="D203" s="3" t="s">
        <v>260</v>
      </c>
      <c r="E203" s="3" t="s">
        <v>516</v>
      </c>
      <c r="G203" s="34">
        <f>IFERROR(INDEX('R5. ETP17 Summary'!$AC$106:$AK$122,MATCH($E203,'R5. ETP17 Summary'!$AB$106:$AB$122,0),MATCH(G$93,'R5. ETP17 Summary'!$AC$9:$AK$9,0)),"")</f>
        <v>25.169518119999996</v>
      </c>
      <c r="H203" s="34" t="str">
        <f>IFERROR(INDEX('R5. ETP17 Summary'!$AC$106:$AK$122,MATCH($E203,'R5. ETP17 Summary'!$AB$106:$AB$122,0),MATCH(H$93,'R5. ETP17 Summary'!$AC$9:$AK$9,0)),"")</f>
        <v/>
      </c>
      <c r="I203" s="34" t="str">
        <f>IFERROR(INDEX('R5. ETP17 Summary'!$AC$106:$AK$122,MATCH($E203,'R5. ETP17 Summary'!$AB$106:$AB$122,0),MATCH(I$93,'R5. ETP17 Summary'!$AC$9:$AK$9,0)),"")</f>
        <v/>
      </c>
      <c r="J203" s="34" t="str">
        <f>IFERROR(INDEX('R5. ETP17 Summary'!$AC$106:$AK$122,MATCH($E203,'R5. ETP17 Summary'!$AB$106:$AB$122,0),MATCH(J$93,'R5. ETP17 Summary'!$AC$9:$AK$9,0)),"")</f>
        <v/>
      </c>
      <c r="K203" s="34" t="str">
        <f>IFERROR(INDEX('R5. ETP17 Summary'!$AC$106:$AK$122,MATCH($E203,'R5. ETP17 Summary'!$AB$106:$AB$122,0),MATCH(K$93,'R5. ETP17 Summary'!$AC$9:$AK$9,0)),"")</f>
        <v/>
      </c>
      <c r="L203" s="34">
        <f>IFERROR(INDEX('R5. ETP17 Summary'!$AC$106:$AK$122,MATCH($E203,'R5. ETP17 Summary'!$AB$106:$AB$122,0),MATCH(L$93,'R5. ETP17 Summary'!$AC$9:$AK$9,0)),"")</f>
        <v>221.78047089869935</v>
      </c>
      <c r="M203" s="34">
        <f>IFERROR(INDEX('R5. ETP17 Summary'!$AC$106:$AK$122,MATCH($E203,'R5. ETP17 Summary'!$AB$106:$AB$122,0),MATCH(M$93,'R5. ETP17 Summary'!$AC$9:$AK$9,0)),"")</f>
        <v>457.30766564378109</v>
      </c>
      <c r="N203" s="34">
        <f>IFERROR(INDEX('R5. ETP17 Summary'!$AC$106:$AK$122,MATCH($E203,'R5. ETP17 Summary'!$AB$106:$AB$122,0),MATCH(N$93,'R5. ETP17 Summary'!$AC$9:$AK$9,0)),"")</f>
        <v>748.12934778901342</v>
      </c>
      <c r="O203" s="34">
        <f>IFERROR(INDEX('R5. ETP17 Summary'!$AC$106:$AK$122,MATCH($E203,'R5. ETP17 Summary'!$AB$106:$AB$122,0),MATCH(O$93,'R5. ETP17 Summary'!$AC$9:$AK$9,0)),"")</f>
        <v>1059.7755534910161</v>
      </c>
      <c r="P203" s="34">
        <f>IFERROR(INDEX('R5. ETP17 Summary'!$AC$106:$AK$122,MATCH($E203,'R5. ETP17 Summary'!$AB$106:$AB$122,0),MATCH(P$93,'R5. ETP17 Summary'!$AC$9:$AK$9,0)),"")</f>
        <v>1392.9391652658276</v>
      </c>
      <c r="Q203" s="34">
        <f>IFERROR(INDEX('R5. ETP17 Summary'!$AC$106:$AK$122,MATCH($E203,'R5. ETP17 Summary'!$AB$106:$AB$122,0),MATCH(Q$93,'R5. ETP17 Summary'!$AC$9:$AK$9,0)),"")</f>
        <v>1801.5070131232471</v>
      </c>
      <c r="R203" s="34">
        <f>IFERROR(INDEX('R5. ETP17 Summary'!$AC$106:$AK$122,MATCH($E203,'R5. ETP17 Summary'!$AB$106:$AB$122,0),MATCH(R$93,'R5. ETP17 Summary'!$AC$9:$AK$9,0)),"")</f>
        <v>2283.6143570850923</v>
      </c>
      <c r="S203" s="34">
        <f>IFERROR(INDEX('R5. ETP17 Summary'!$AC$106:$AK$122,MATCH($E203,'R5. ETP17 Summary'!$AB$106:$AB$122,0),MATCH(S$93,'R5. ETP17 Summary'!$AC$9:$AK$9,0)),"")</f>
        <v>2829.12017484845</v>
      </c>
    </row>
    <row r="204" spans="1:19" x14ac:dyDescent="0.3">
      <c r="A204" s="3" t="s">
        <v>496</v>
      </c>
      <c r="B204" s="3" t="s">
        <v>383</v>
      </c>
      <c r="C204" s="3" t="str">
        <f>INDEX('R1. Scenario specifications'!$C$11:$C$59,MATCH($B204,'R1. Scenario specifications'!$A$11:$A$59,0))</f>
        <v>Below 2 Degrees Scenario (1.75DS), Energy Technology Perspectives 2017</v>
      </c>
      <c r="D204" s="3" t="s">
        <v>259</v>
      </c>
      <c r="E204" s="3" t="s">
        <v>504</v>
      </c>
      <c r="G204" s="34">
        <f>IFERROR(INDEX('R5. ETP17 Summary'!$AC$106:$AK$122,MATCH($E204,'R5. ETP17 Summary'!$AB$106:$AB$122,0),MATCH(G$93,'R5. ETP17 Summary'!$AC$9:$AK$9,0)),"")</f>
        <v>189.68899999999999</v>
      </c>
      <c r="H204" s="34" t="str">
        <f>IFERROR(INDEX('R5. ETP17 Summary'!$AC$106:$AK$122,MATCH($E204,'R5. ETP17 Summary'!$AB$106:$AB$122,0),MATCH(H$93,'R5. ETP17 Summary'!$AC$9:$AK$9,0)),"")</f>
        <v/>
      </c>
      <c r="I204" s="34" t="str">
        <f>IFERROR(INDEX('R5. ETP17 Summary'!$AC$106:$AK$122,MATCH($E204,'R5. ETP17 Summary'!$AB$106:$AB$122,0),MATCH(I$93,'R5. ETP17 Summary'!$AC$9:$AK$9,0)),"")</f>
        <v/>
      </c>
      <c r="J204" s="34" t="str">
        <f>IFERROR(INDEX('R5. ETP17 Summary'!$AC$106:$AK$122,MATCH($E204,'R5. ETP17 Summary'!$AB$106:$AB$122,0),MATCH(J$93,'R5. ETP17 Summary'!$AC$9:$AK$9,0)),"")</f>
        <v/>
      </c>
      <c r="K204" s="34" t="str">
        <f>IFERROR(INDEX('R5. ETP17 Summary'!$AC$106:$AK$122,MATCH($E204,'R5. ETP17 Summary'!$AB$106:$AB$122,0),MATCH(K$93,'R5. ETP17 Summary'!$AC$9:$AK$9,0)),"")</f>
        <v/>
      </c>
      <c r="L204" s="34">
        <f>IFERROR(INDEX('R5. ETP17 Summary'!$AC$106:$AK$122,MATCH($E204,'R5. ETP17 Summary'!$AB$106:$AB$122,0),MATCH(L$93,'R5. ETP17 Summary'!$AC$9:$AK$9,0)),"")</f>
        <v>948.37857442481572</v>
      </c>
      <c r="M204" s="34">
        <f>IFERROR(INDEX('R5. ETP17 Summary'!$AC$106:$AK$122,MATCH($E204,'R5. ETP17 Summary'!$AB$106:$AB$122,0),MATCH(M$93,'R5. ETP17 Summary'!$AC$9:$AK$9,0)),"")</f>
        <v>1518.9112881261688</v>
      </c>
      <c r="N204" s="34">
        <f>IFERROR(INDEX('R5. ETP17 Summary'!$AC$106:$AK$122,MATCH($E204,'R5. ETP17 Summary'!$AB$106:$AB$122,0),MATCH(N$93,'R5. ETP17 Summary'!$AC$9:$AK$9,0)),"")</f>
        <v>2399.0493281807398</v>
      </c>
      <c r="O204" s="34">
        <f>IFERROR(INDEX('R5. ETP17 Summary'!$AC$106:$AK$122,MATCH($E204,'R5. ETP17 Summary'!$AB$106:$AB$122,0),MATCH(O$93,'R5. ETP17 Summary'!$AC$9:$AK$9,0)),"")</f>
        <v>3489.9328641497059</v>
      </c>
      <c r="P204" s="34">
        <f>IFERROR(INDEX('R5. ETP17 Summary'!$AC$106:$AK$122,MATCH($E204,'R5. ETP17 Summary'!$AB$106:$AB$122,0),MATCH(P$93,'R5. ETP17 Summary'!$AC$9:$AK$9,0)),"")</f>
        <v>4807.212605481679</v>
      </c>
      <c r="Q204" s="34">
        <f>IFERROR(INDEX('R5. ETP17 Summary'!$AC$106:$AK$122,MATCH($E204,'R5. ETP17 Summary'!$AB$106:$AB$122,0),MATCH(Q$93,'R5. ETP17 Summary'!$AC$9:$AK$9,0)),"")</f>
        <v>6097.3840090974954</v>
      </c>
      <c r="R204" s="34">
        <f>IFERROR(INDEX('R5. ETP17 Summary'!$AC$106:$AK$122,MATCH($E204,'R5. ETP17 Summary'!$AB$106:$AB$122,0),MATCH(R$93,'R5. ETP17 Summary'!$AC$9:$AK$9,0)),"")</f>
        <v>7610.8550656670441</v>
      </c>
      <c r="S204" s="34">
        <f>IFERROR(INDEX('R5. ETP17 Summary'!$AC$106:$AK$122,MATCH($E204,'R5. ETP17 Summary'!$AB$106:$AB$122,0),MATCH(S$93,'R5. ETP17 Summary'!$AC$9:$AK$9,0)),"")</f>
        <v>9192.7869559124338</v>
      </c>
    </row>
    <row r="205" spans="1:19" x14ac:dyDescent="0.3">
      <c r="A205" s="3" t="s">
        <v>496</v>
      </c>
      <c r="B205" s="3" t="s">
        <v>383</v>
      </c>
      <c r="C205" s="3" t="str">
        <f>INDEX('R1. Scenario specifications'!$C$11:$C$59,MATCH($B205,'R1. Scenario specifications'!$A$11:$A$59,0))</f>
        <v>Below 2 Degrees Scenario (1.75DS), Energy Technology Perspectives 2017</v>
      </c>
      <c r="D205" s="3" t="s">
        <v>259</v>
      </c>
      <c r="E205" s="3" t="s">
        <v>517</v>
      </c>
      <c r="G205" s="34">
        <f>IFERROR(INDEX('R5. ETP17 Summary'!$AC$106:$AK$122,MATCH($E205,'R5. ETP17 Summary'!$AB$106:$AB$122,0),MATCH(G$93,'R5. ETP17 Summary'!$AC$9:$AK$9,0)),"")</f>
        <v>8.49</v>
      </c>
      <c r="H205" s="34" t="str">
        <f>IFERROR(INDEX('R5. ETP17 Summary'!$AC$106:$AK$122,MATCH($E205,'R5. ETP17 Summary'!$AB$106:$AB$122,0),MATCH(H$93,'R5. ETP17 Summary'!$AC$9:$AK$9,0)),"")</f>
        <v/>
      </c>
      <c r="I205" s="34" t="str">
        <f>IFERROR(INDEX('R5. ETP17 Summary'!$AC$106:$AK$122,MATCH($E205,'R5. ETP17 Summary'!$AB$106:$AB$122,0),MATCH(I$93,'R5. ETP17 Summary'!$AC$9:$AK$9,0)),"")</f>
        <v/>
      </c>
      <c r="J205" s="34" t="str">
        <f>IFERROR(INDEX('R5. ETP17 Summary'!$AC$106:$AK$122,MATCH($E205,'R5. ETP17 Summary'!$AB$106:$AB$122,0),MATCH(J$93,'R5. ETP17 Summary'!$AC$9:$AK$9,0)),"")</f>
        <v/>
      </c>
      <c r="K205" s="34" t="str">
        <f>IFERROR(INDEX('R5. ETP17 Summary'!$AC$106:$AK$122,MATCH($E205,'R5. ETP17 Summary'!$AB$106:$AB$122,0),MATCH(K$93,'R5. ETP17 Summary'!$AC$9:$AK$9,0)),"")</f>
        <v/>
      </c>
      <c r="L205" s="34">
        <f>IFERROR(INDEX('R5. ETP17 Summary'!$AC$106:$AK$122,MATCH($E205,'R5. ETP17 Summary'!$AB$106:$AB$122,0),MATCH(L$93,'R5. ETP17 Summary'!$AC$9:$AK$9,0)),"")</f>
        <v>304.00209550567251</v>
      </c>
      <c r="M205" s="34">
        <f>IFERROR(INDEX('R5. ETP17 Summary'!$AC$106:$AK$122,MATCH($E205,'R5. ETP17 Summary'!$AB$106:$AB$122,0),MATCH(M$93,'R5. ETP17 Summary'!$AC$9:$AK$9,0)),"")</f>
        <v>736.08821555283885</v>
      </c>
      <c r="N205" s="34">
        <f>IFERROR(INDEX('R5. ETP17 Summary'!$AC$106:$AK$122,MATCH($E205,'R5. ETP17 Summary'!$AB$106:$AB$122,0),MATCH(N$93,'R5. ETP17 Summary'!$AC$9:$AK$9,0)),"")</f>
        <v>1455.1666716585403</v>
      </c>
      <c r="O205" s="34">
        <f>IFERROR(INDEX('R5. ETP17 Summary'!$AC$106:$AK$122,MATCH($E205,'R5. ETP17 Summary'!$AB$106:$AB$122,0),MATCH(O$93,'R5. ETP17 Summary'!$AC$9:$AK$9,0)),"")</f>
        <v>2263.4297583263365</v>
      </c>
      <c r="P205" s="34">
        <f>IFERROR(INDEX('R5. ETP17 Summary'!$AC$106:$AK$122,MATCH($E205,'R5. ETP17 Summary'!$AB$106:$AB$122,0),MATCH(P$93,'R5. ETP17 Summary'!$AC$9:$AK$9,0)),"")</f>
        <v>3022.3744127771765</v>
      </c>
      <c r="Q205" s="34">
        <f>IFERROR(INDEX('R5. ETP17 Summary'!$AC$106:$AK$122,MATCH($E205,'R5. ETP17 Summary'!$AB$106:$AB$122,0),MATCH(Q$93,'R5. ETP17 Summary'!$AC$9:$AK$9,0)),"")</f>
        <v>3895.010035396167</v>
      </c>
      <c r="R205" s="34">
        <f>IFERROR(INDEX('R5. ETP17 Summary'!$AC$106:$AK$122,MATCH($E205,'R5. ETP17 Summary'!$AB$106:$AB$122,0),MATCH(R$93,'R5. ETP17 Summary'!$AC$9:$AK$9,0)),"")</f>
        <v>4657.4793213432431</v>
      </c>
      <c r="S205" s="34">
        <f>IFERROR(INDEX('R5. ETP17 Summary'!$AC$106:$AK$122,MATCH($E205,'R5. ETP17 Summary'!$AB$106:$AB$122,0),MATCH(S$93,'R5. ETP17 Summary'!$AC$9:$AK$9,0)),"")</f>
        <v>5459.9573322180768</v>
      </c>
    </row>
    <row r="206" spans="1:19" x14ac:dyDescent="0.3">
      <c r="A206" s="3" t="s">
        <v>496</v>
      </c>
      <c r="B206" s="3" t="s">
        <v>383</v>
      </c>
      <c r="C206" s="3" t="str">
        <f>INDEX('R1. Scenario specifications'!$C$11:$C$59,MATCH($B206,'R1. Scenario specifications'!$A$11:$A$59,0))</f>
        <v>Below 2 Degrees Scenario (1.75DS), Energy Technology Perspectives 2017</v>
      </c>
      <c r="D206" s="3" t="s">
        <v>258</v>
      </c>
      <c r="E206" s="3" t="s">
        <v>518</v>
      </c>
      <c r="G206" s="34">
        <f>IFERROR(INDEX('R5. ETP17 Summary'!$AC$106:$AK$122,MATCH($E206,'R5. ETP17 Summary'!$AB$106:$AB$122,0),MATCH(G$93,'R5. ETP17 Summary'!$AC$9:$AK$9,0)),"")</f>
        <v>0.999</v>
      </c>
      <c r="H206" s="34" t="str">
        <f>IFERROR(INDEX('R5. ETP17 Summary'!$AC$106:$AK$122,MATCH($E206,'R5. ETP17 Summary'!$AB$106:$AB$122,0),MATCH(H$93,'R5. ETP17 Summary'!$AC$9:$AK$9,0)),"")</f>
        <v/>
      </c>
      <c r="I206" s="34" t="str">
        <f>IFERROR(INDEX('R5. ETP17 Summary'!$AC$106:$AK$122,MATCH($E206,'R5. ETP17 Summary'!$AB$106:$AB$122,0),MATCH(I$93,'R5. ETP17 Summary'!$AC$9:$AK$9,0)),"")</f>
        <v/>
      </c>
      <c r="J206" s="34" t="str">
        <f>IFERROR(INDEX('R5. ETP17 Summary'!$AC$106:$AK$122,MATCH($E206,'R5. ETP17 Summary'!$AB$106:$AB$122,0),MATCH(J$93,'R5. ETP17 Summary'!$AC$9:$AK$9,0)),"")</f>
        <v/>
      </c>
      <c r="K206" s="34" t="str">
        <f>IFERROR(INDEX('R5. ETP17 Summary'!$AC$106:$AK$122,MATCH($E206,'R5. ETP17 Summary'!$AB$106:$AB$122,0),MATCH(K$93,'R5. ETP17 Summary'!$AC$9:$AK$9,0)),"")</f>
        <v/>
      </c>
      <c r="L206" s="34">
        <f>IFERROR(INDEX('R5. ETP17 Summary'!$AC$106:$AK$122,MATCH($E206,'R5. ETP17 Summary'!$AB$106:$AB$122,0),MATCH(L$93,'R5. ETP17 Summary'!$AC$9:$AK$9,0)),"")</f>
        <v>7.296959336555731</v>
      </c>
      <c r="M206" s="34">
        <f>IFERROR(INDEX('R5. ETP17 Summary'!$AC$106:$AK$122,MATCH($E206,'R5. ETP17 Summary'!$AB$106:$AB$122,0),MATCH(M$93,'R5. ETP17 Summary'!$AC$9:$AK$9,0)),"")</f>
        <v>20.774265893279839</v>
      </c>
      <c r="N206" s="34">
        <f>IFERROR(INDEX('R5. ETP17 Summary'!$AC$106:$AK$122,MATCH($E206,'R5. ETP17 Summary'!$AB$106:$AB$122,0),MATCH(N$93,'R5. ETP17 Summary'!$AC$9:$AK$9,0)),"")</f>
        <v>59.28755174392596</v>
      </c>
      <c r="O206" s="34">
        <f>IFERROR(INDEX('R5. ETP17 Summary'!$AC$106:$AK$122,MATCH($E206,'R5. ETP17 Summary'!$AB$106:$AB$122,0),MATCH(O$93,'R5. ETP17 Summary'!$AC$9:$AK$9,0)),"")</f>
        <v>130.6697775364936</v>
      </c>
      <c r="P206" s="34">
        <f>IFERROR(INDEX('R5. ETP17 Summary'!$AC$106:$AK$122,MATCH($E206,'R5. ETP17 Summary'!$AB$106:$AB$122,0),MATCH(P$93,'R5. ETP17 Summary'!$AC$9:$AK$9,0)),"")</f>
        <v>286.24051535865544</v>
      </c>
      <c r="Q206" s="34">
        <f>IFERROR(INDEX('R5. ETP17 Summary'!$AC$106:$AK$122,MATCH($E206,'R5. ETP17 Summary'!$AB$106:$AB$122,0),MATCH(Q$93,'R5. ETP17 Summary'!$AC$9:$AK$9,0)),"")</f>
        <v>565.64155190362624</v>
      </c>
      <c r="R206" s="34">
        <f>IFERROR(INDEX('R5. ETP17 Summary'!$AC$106:$AK$122,MATCH($E206,'R5. ETP17 Summary'!$AB$106:$AB$122,0),MATCH(R$93,'R5. ETP17 Summary'!$AC$9:$AK$9,0)),"")</f>
        <v>843.27760988590558</v>
      </c>
      <c r="S206" s="34">
        <f>IFERROR(INDEX('R5. ETP17 Summary'!$AC$106:$AK$122,MATCH($E206,'R5. ETP17 Summary'!$AB$106:$AB$122,0),MATCH(S$93,'R5. ETP17 Summary'!$AC$9:$AK$9,0)),"")</f>
        <v>1050.0321703794982</v>
      </c>
    </row>
    <row r="207" spans="1:19" x14ac:dyDescent="0.3">
      <c r="A207" s="39" t="s">
        <v>496</v>
      </c>
      <c r="B207" s="39" t="s">
        <v>383</v>
      </c>
      <c r="C207" s="39" t="str">
        <f>INDEX('R1. Scenario specifications'!$C$11:$C$59,MATCH($B207,'R1. Scenario specifications'!$A$11:$A$59,0))</f>
        <v>Below 2 Degrees Scenario (1.75DS), Energy Technology Perspectives 2017</v>
      </c>
      <c r="D207" s="39" t="s">
        <v>258</v>
      </c>
      <c r="E207" s="39" t="s">
        <v>258</v>
      </c>
      <c r="F207" s="39"/>
      <c r="G207" s="52">
        <f>IFERROR(INDEX('R5. ETP17 Summary'!$AC$106:$AK$122,MATCH($E207,'R5. ETP17 Summary'!$AB$106:$AB$122,0),MATCH(G$93,'R5. ETP17 Summary'!$AC$9:$AK$9,0)),"")</f>
        <v>13.747999999999999</v>
      </c>
      <c r="H207" s="52" t="str">
        <f>IFERROR(INDEX('R5. ETP17 Summary'!$AC$106:$AK$122,MATCH($E207,'R5. ETP17 Summary'!$AB$106:$AB$122,0),MATCH(H$93,'R5. ETP17 Summary'!$AC$9:$AK$9,0)),"")</f>
        <v/>
      </c>
      <c r="I207" s="52" t="str">
        <f>IFERROR(INDEX('R5. ETP17 Summary'!$AC$106:$AK$122,MATCH($E207,'R5. ETP17 Summary'!$AB$106:$AB$122,0),MATCH(I$93,'R5. ETP17 Summary'!$AC$9:$AK$9,0)),"")</f>
        <v/>
      </c>
      <c r="J207" s="52" t="str">
        <f>IFERROR(INDEX('R5. ETP17 Summary'!$AC$106:$AK$122,MATCH($E207,'R5. ETP17 Summary'!$AB$106:$AB$122,0),MATCH(J$93,'R5. ETP17 Summary'!$AC$9:$AK$9,0)),"")</f>
        <v/>
      </c>
      <c r="K207" s="52" t="str">
        <f>IFERROR(INDEX('R5. ETP17 Summary'!$AC$106:$AK$122,MATCH($E207,'R5. ETP17 Summary'!$AB$106:$AB$122,0),MATCH(K$93,'R5. ETP17 Summary'!$AC$9:$AK$9,0)),"")</f>
        <v/>
      </c>
      <c r="L207" s="52">
        <f>IFERROR(INDEX('R5. ETP17 Summary'!$AC$106:$AK$122,MATCH($E207,'R5. ETP17 Summary'!$AB$106:$AB$122,0),MATCH(L$93,'R5. ETP17 Summary'!$AC$9:$AK$9,0)),"")</f>
        <v>0</v>
      </c>
      <c r="M207" s="52">
        <f>IFERROR(INDEX('R5. ETP17 Summary'!$AC$106:$AK$122,MATCH($E207,'R5. ETP17 Summary'!$AB$106:$AB$122,0),MATCH(M$93,'R5. ETP17 Summary'!$AC$9:$AK$9,0)),"")</f>
        <v>0</v>
      </c>
      <c r="N207" s="52">
        <f>IFERROR(INDEX('R5. ETP17 Summary'!$AC$106:$AK$122,MATCH($E207,'R5. ETP17 Summary'!$AB$106:$AB$122,0),MATCH(N$93,'R5. ETP17 Summary'!$AC$9:$AK$9,0)),"")</f>
        <v>0</v>
      </c>
      <c r="O207" s="52">
        <f>IFERROR(INDEX('R5. ETP17 Summary'!$AC$106:$AK$122,MATCH($E207,'R5. ETP17 Summary'!$AB$106:$AB$122,0),MATCH(O$93,'R5. ETP17 Summary'!$AC$9:$AK$9,0)),"")</f>
        <v>0</v>
      </c>
      <c r="P207" s="52">
        <f>IFERROR(INDEX('R5. ETP17 Summary'!$AC$106:$AK$122,MATCH($E207,'R5. ETP17 Summary'!$AB$106:$AB$122,0),MATCH(P$93,'R5. ETP17 Summary'!$AC$9:$AK$9,0)),"")</f>
        <v>0</v>
      </c>
      <c r="Q207" s="52">
        <f>IFERROR(INDEX('R5. ETP17 Summary'!$AC$106:$AK$122,MATCH($E207,'R5. ETP17 Summary'!$AB$106:$AB$122,0),MATCH(Q$93,'R5. ETP17 Summary'!$AC$9:$AK$9,0)),"")</f>
        <v>0</v>
      </c>
      <c r="R207" s="52">
        <f>IFERROR(INDEX('R5. ETP17 Summary'!$AC$106:$AK$122,MATCH($E207,'R5. ETP17 Summary'!$AB$106:$AB$122,0),MATCH(R$93,'R5. ETP17 Summary'!$AC$9:$AK$9,0)),"")</f>
        <v>0</v>
      </c>
      <c r="S207" s="52">
        <f>IFERROR(INDEX('R5. ETP17 Summary'!$AC$106:$AK$122,MATCH($E207,'R5. ETP17 Summary'!$AB$106:$AB$122,0),MATCH(S$93,'R5. ETP17 Summary'!$AC$9:$AK$9,0)),"")</f>
        <v>0</v>
      </c>
    </row>
  </sheetData>
  <conditionalFormatting sqref="A1:XFD9 A91:XFD93 A10:A90 C10:XFD90 A95:XFD1048576 A94:B94 D94:XFD94">
    <cfRule type="expression" dxfId="52" priority="3">
      <formula>_xlfn.ISFORMULA(A1)</formula>
    </cfRule>
  </conditionalFormatting>
  <conditionalFormatting sqref="B10:B90">
    <cfRule type="expression" dxfId="51" priority="2">
      <formula>_xlfn.ISFORMULA(B10)</formula>
    </cfRule>
  </conditionalFormatting>
  <conditionalFormatting sqref="C94">
    <cfRule type="expression" dxfId="50" priority="1">
      <formula>_xlfn.ISFORMULA(C94)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BD159-A86E-4B4D-AE5A-4975C6CCBABA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01F1E-ABC9-4D84-96A0-45F1CF4BAD5C}">
  <sheetPr>
    <tabColor theme="7" tint="0.39997558519241921"/>
  </sheetPr>
  <dimension ref="A1:J59"/>
  <sheetViews>
    <sheetView tabSelected="1" workbookViewId="0">
      <selection activeCell="A10" sqref="A10"/>
    </sheetView>
  </sheetViews>
  <sheetFormatPr defaultColWidth="10.33203125" defaultRowHeight="14.4" x14ac:dyDescent="0.3"/>
  <cols>
    <col min="1" max="2" width="15.77734375" style="3" customWidth="1"/>
    <col min="3" max="3" width="64.5546875" style="3" customWidth="1"/>
    <col min="4" max="8" width="20.77734375" style="3" customWidth="1"/>
    <col min="9" max="9" width="45.21875" style="3" customWidth="1"/>
    <col min="10" max="16384" width="10.33203125" style="3"/>
  </cols>
  <sheetData>
    <row r="1" spans="1:10" s="1" customFormat="1" ht="49.5" customHeight="1" x14ac:dyDescent="0.3">
      <c r="A1" s="1" t="s">
        <v>78</v>
      </c>
    </row>
    <row r="2" spans="1:10" s="2" customFormat="1" x14ac:dyDescent="0.3">
      <c r="A2" s="2" t="s">
        <v>1</v>
      </c>
      <c r="B2" s="2" t="s">
        <v>79</v>
      </c>
    </row>
    <row r="3" spans="1:10" s="2" customFormat="1" x14ac:dyDescent="0.3">
      <c r="A3" s="2" t="s">
        <v>3</v>
      </c>
      <c r="B3" s="6" t="s">
        <v>80</v>
      </c>
    </row>
    <row r="4" spans="1:10" s="2" customFormat="1" x14ac:dyDescent="0.3">
      <c r="A4" s="2" t="s">
        <v>7</v>
      </c>
      <c r="B4" s="7">
        <v>43475</v>
      </c>
    </row>
    <row r="5" spans="1:10" s="2" customFormat="1" x14ac:dyDescent="0.3">
      <c r="A5" s="2" t="s">
        <v>2</v>
      </c>
      <c r="B5" s="2" t="s">
        <v>81</v>
      </c>
    </row>
    <row r="6" spans="1:10" s="2" customFormat="1" x14ac:dyDescent="0.3">
      <c r="A6" s="2" t="s">
        <v>4</v>
      </c>
      <c r="B6" s="2" t="s">
        <v>82</v>
      </c>
    </row>
    <row r="7" spans="1:10" s="2" customFormat="1" x14ac:dyDescent="0.3">
      <c r="B7" s="8" t="s">
        <v>83</v>
      </c>
    </row>
    <row r="9" spans="1:10" x14ac:dyDescent="0.3">
      <c r="A9" s="9"/>
      <c r="B9" s="9"/>
      <c r="C9" s="789" t="s">
        <v>84</v>
      </c>
      <c r="D9" s="789"/>
      <c r="E9" s="789"/>
      <c r="F9" s="789"/>
      <c r="G9" s="789"/>
      <c r="H9" s="789"/>
      <c r="I9" s="9"/>
    </row>
    <row r="10" spans="1:10" ht="14.4" customHeight="1" x14ac:dyDescent="0.3">
      <c r="A10" s="3" t="s">
        <v>194</v>
      </c>
      <c r="B10" s="10" t="s">
        <v>85</v>
      </c>
      <c r="C10" s="10" t="s">
        <v>86</v>
      </c>
      <c r="D10" s="10" t="s">
        <v>87</v>
      </c>
      <c r="E10" s="10" t="s">
        <v>88</v>
      </c>
      <c r="F10" s="10" t="s">
        <v>89</v>
      </c>
      <c r="G10" s="10" t="s">
        <v>90</v>
      </c>
      <c r="H10" s="10" t="s">
        <v>91</v>
      </c>
      <c r="I10" s="10" t="s">
        <v>92</v>
      </c>
      <c r="J10" s="9" t="s">
        <v>0</v>
      </c>
    </row>
    <row r="11" spans="1:10" ht="14.4" customHeight="1" x14ac:dyDescent="0.3">
      <c r="A11" s="3" t="str">
        <f t="shared" ref="A11:A49" si="0">CONCATENATE("Vivid_",B11)</f>
        <v>Vivid_0A</v>
      </c>
      <c r="B11" s="10" t="s">
        <v>93</v>
      </c>
      <c r="C11" s="10" t="s">
        <v>261</v>
      </c>
      <c r="D11" s="10" t="s">
        <v>94</v>
      </c>
      <c r="E11" s="10" t="s">
        <v>95</v>
      </c>
      <c r="F11" s="11" t="s">
        <v>96</v>
      </c>
      <c r="G11" s="12" t="s">
        <v>97</v>
      </c>
      <c r="H11" s="10" t="s">
        <v>81</v>
      </c>
      <c r="I11" s="12" t="s">
        <v>97</v>
      </c>
      <c r="J11" s="9" t="s">
        <v>98</v>
      </c>
    </row>
    <row r="12" spans="1:10" ht="14.4" customHeight="1" x14ac:dyDescent="0.3">
      <c r="A12" s="3" t="str">
        <f t="shared" si="0"/>
        <v>Vivid_0A_BAU</v>
      </c>
      <c r="B12" s="3" t="s">
        <v>195</v>
      </c>
      <c r="C12" s="10" t="s">
        <v>197</v>
      </c>
    </row>
    <row r="13" spans="1:10" ht="14.4" customHeight="1" x14ac:dyDescent="0.3">
      <c r="A13" s="3" t="str">
        <f t="shared" si="0"/>
        <v>Vivid_0B</v>
      </c>
      <c r="B13" s="10" t="s">
        <v>99</v>
      </c>
      <c r="C13" s="10" t="s">
        <v>196</v>
      </c>
      <c r="D13" s="10" t="s">
        <v>94</v>
      </c>
      <c r="E13" s="10" t="s">
        <v>95</v>
      </c>
      <c r="F13" s="11" t="s">
        <v>96</v>
      </c>
      <c r="G13" s="12" t="s">
        <v>97</v>
      </c>
      <c r="H13" s="10" t="s">
        <v>81</v>
      </c>
      <c r="I13" s="12" t="s">
        <v>97</v>
      </c>
      <c r="J13" s="9" t="s">
        <v>100</v>
      </c>
    </row>
    <row r="14" spans="1:10" ht="14.4" customHeight="1" x14ac:dyDescent="0.3">
      <c r="A14" s="3" t="str">
        <f t="shared" si="0"/>
        <v>Vivid_1</v>
      </c>
      <c r="B14" s="9">
        <v>1</v>
      </c>
      <c r="C14" s="9" t="s">
        <v>101</v>
      </c>
      <c r="D14" s="12" t="s">
        <v>102</v>
      </c>
      <c r="E14" s="12" t="s">
        <v>103</v>
      </c>
      <c r="F14" s="11" t="s">
        <v>96</v>
      </c>
      <c r="G14" s="12" t="s">
        <v>97</v>
      </c>
      <c r="H14" s="12" t="s">
        <v>104</v>
      </c>
      <c r="I14" s="12" t="s">
        <v>97</v>
      </c>
      <c r="J14" s="10" t="s">
        <v>105</v>
      </c>
    </row>
    <row r="15" spans="1:10" ht="14.4" customHeight="1" x14ac:dyDescent="0.3">
      <c r="A15" s="3" t="str">
        <f t="shared" si="0"/>
        <v>Vivid_10</v>
      </c>
      <c r="B15" s="9">
        <v>10</v>
      </c>
      <c r="C15" s="9" t="s">
        <v>127</v>
      </c>
      <c r="D15" s="12" t="s">
        <v>102</v>
      </c>
      <c r="E15" s="12" t="s">
        <v>107</v>
      </c>
      <c r="F15" s="11" t="s">
        <v>96</v>
      </c>
      <c r="G15" s="12" t="s">
        <v>125</v>
      </c>
      <c r="H15" s="12" t="s">
        <v>104</v>
      </c>
      <c r="I15" s="12" t="s">
        <v>97</v>
      </c>
      <c r="J15" s="10" t="s">
        <v>128</v>
      </c>
    </row>
    <row r="16" spans="1:10" ht="14.4" customHeight="1" x14ac:dyDescent="0.3">
      <c r="A16" s="3" t="str">
        <f t="shared" si="0"/>
        <v>Vivid_11</v>
      </c>
      <c r="B16" s="9">
        <v>11</v>
      </c>
      <c r="C16" s="9" t="s">
        <v>129</v>
      </c>
      <c r="D16" s="12" t="s">
        <v>102</v>
      </c>
      <c r="E16" s="12" t="s">
        <v>103</v>
      </c>
      <c r="F16" s="11" t="s">
        <v>96</v>
      </c>
      <c r="G16" s="12" t="s">
        <v>97</v>
      </c>
      <c r="H16" s="12" t="s">
        <v>104</v>
      </c>
      <c r="I16" s="12" t="s">
        <v>130</v>
      </c>
      <c r="J16" s="10" t="s">
        <v>131</v>
      </c>
    </row>
    <row r="17" spans="1:10" ht="14.4" customHeight="1" x14ac:dyDescent="0.3">
      <c r="A17" s="3" t="str">
        <f t="shared" si="0"/>
        <v>Vivid_12</v>
      </c>
      <c r="B17" s="9">
        <v>12</v>
      </c>
      <c r="C17" s="9" t="s">
        <v>132</v>
      </c>
      <c r="D17" s="12" t="s">
        <v>102</v>
      </c>
      <c r="E17" s="12" t="s">
        <v>107</v>
      </c>
      <c r="F17" s="11" t="s">
        <v>96</v>
      </c>
      <c r="G17" s="12" t="s">
        <v>97</v>
      </c>
      <c r="H17" s="12" t="s">
        <v>104</v>
      </c>
      <c r="I17" s="12" t="s">
        <v>130</v>
      </c>
      <c r="J17" s="10" t="s">
        <v>133</v>
      </c>
    </row>
    <row r="18" spans="1:10" ht="14.4" customHeight="1" x14ac:dyDescent="0.3">
      <c r="A18" s="3" t="str">
        <f t="shared" si="0"/>
        <v>Vivid_13</v>
      </c>
      <c r="B18" s="9">
        <v>13</v>
      </c>
      <c r="C18" s="9" t="s">
        <v>134</v>
      </c>
      <c r="D18" s="12" t="s">
        <v>135</v>
      </c>
      <c r="E18" s="12" t="s">
        <v>103</v>
      </c>
      <c r="F18" s="11" t="s">
        <v>96</v>
      </c>
      <c r="G18" s="12" t="s">
        <v>97</v>
      </c>
      <c r="H18" s="12" t="s">
        <v>104</v>
      </c>
      <c r="I18" s="12" t="s">
        <v>97</v>
      </c>
      <c r="J18" s="10" t="s">
        <v>136</v>
      </c>
    </row>
    <row r="19" spans="1:10" ht="14.4" customHeight="1" x14ac:dyDescent="0.3">
      <c r="A19" s="3" t="str">
        <f t="shared" si="0"/>
        <v>Vivid_14</v>
      </c>
      <c r="B19" s="9">
        <v>14</v>
      </c>
      <c r="C19" s="9" t="s">
        <v>137</v>
      </c>
      <c r="D19" s="12" t="s">
        <v>135</v>
      </c>
      <c r="E19" s="12" t="s">
        <v>107</v>
      </c>
      <c r="F19" s="11" t="s">
        <v>96</v>
      </c>
      <c r="G19" s="12" t="s">
        <v>97</v>
      </c>
      <c r="H19" s="12" t="s">
        <v>104</v>
      </c>
      <c r="I19" s="12" t="s">
        <v>97</v>
      </c>
      <c r="J19" s="10" t="s">
        <v>138</v>
      </c>
    </row>
    <row r="20" spans="1:10" ht="14.4" customHeight="1" x14ac:dyDescent="0.3">
      <c r="A20" s="3" t="str">
        <f t="shared" si="0"/>
        <v>Vivid_15</v>
      </c>
      <c r="B20" s="9">
        <v>15</v>
      </c>
      <c r="C20" s="9" t="s">
        <v>139</v>
      </c>
      <c r="D20" s="12" t="s">
        <v>135</v>
      </c>
      <c r="E20" s="12" t="s">
        <v>103</v>
      </c>
      <c r="F20" s="11" t="s">
        <v>96</v>
      </c>
      <c r="G20" s="12" t="s">
        <v>110</v>
      </c>
      <c r="H20" s="12" t="s">
        <v>104</v>
      </c>
      <c r="I20" s="12" t="s">
        <v>97</v>
      </c>
      <c r="J20" s="10" t="s">
        <v>140</v>
      </c>
    </row>
    <row r="21" spans="1:10" ht="14.4" customHeight="1" x14ac:dyDescent="0.3">
      <c r="A21" s="3" t="str">
        <f t="shared" si="0"/>
        <v>Vivid_16</v>
      </c>
      <c r="B21" s="9">
        <v>16</v>
      </c>
      <c r="C21" s="9" t="s">
        <v>141</v>
      </c>
      <c r="D21" s="12" t="s">
        <v>135</v>
      </c>
      <c r="E21" s="12" t="s">
        <v>107</v>
      </c>
      <c r="F21" s="11" t="s">
        <v>96</v>
      </c>
      <c r="G21" s="12" t="s">
        <v>110</v>
      </c>
      <c r="H21" s="12" t="s">
        <v>104</v>
      </c>
      <c r="I21" s="12" t="s">
        <v>97</v>
      </c>
      <c r="J21" s="10" t="s">
        <v>142</v>
      </c>
    </row>
    <row r="22" spans="1:10" ht="14.4" customHeight="1" x14ac:dyDescent="0.3">
      <c r="A22" s="3" t="str">
        <f t="shared" si="0"/>
        <v>Vivid_17</v>
      </c>
      <c r="B22" s="9">
        <v>17</v>
      </c>
      <c r="C22" s="9" t="s">
        <v>143</v>
      </c>
      <c r="D22" s="12" t="s">
        <v>135</v>
      </c>
      <c r="E22" s="12" t="s">
        <v>103</v>
      </c>
      <c r="F22" s="11" t="s">
        <v>96</v>
      </c>
      <c r="G22" s="12" t="s">
        <v>115</v>
      </c>
      <c r="H22" s="12" t="s">
        <v>104</v>
      </c>
      <c r="I22" s="12" t="s">
        <v>97</v>
      </c>
      <c r="J22" s="10" t="s">
        <v>144</v>
      </c>
    </row>
    <row r="23" spans="1:10" ht="14.4" customHeight="1" x14ac:dyDescent="0.3">
      <c r="A23" s="3" t="str">
        <f t="shared" si="0"/>
        <v>Vivid_18</v>
      </c>
      <c r="B23" s="9">
        <v>18</v>
      </c>
      <c r="C23" s="9" t="s">
        <v>145</v>
      </c>
      <c r="D23" s="12" t="s">
        <v>135</v>
      </c>
      <c r="E23" s="12" t="s">
        <v>107</v>
      </c>
      <c r="F23" s="11" t="s">
        <v>96</v>
      </c>
      <c r="G23" s="12" t="s">
        <v>115</v>
      </c>
      <c r="H23" s="12" t="s">
        <v>104</v>
      </c>
      <c r="I23" s="12" t="s">
        <v>97</v>
      </c>
      <c r="J23" s="10" t="s">
        <v>146</v>
      </c>
    </row>
    <row r="24" spans="1:10" ht="14.4" customHeight="1" x14ac:dyDescent="0.3">
      <c r="A24" s="3" t="str">
        <f t="shared" si="0"/>
        <v>Vivid_19</v>
      </c>
      <c r="B24" s="9">
        <v>19</v>
      </c>
      <c r="C24" s="9" t="s">
        <v>147</v>
      </c>
      <c r="D24" s="12" t="s">
        <v>135</v>
      </c>
      <c r="E24" s="12" t="s">
        <v>103</v>
      </c>
      <c r="F24" s="11" t="s">
        <v>96</v>
      </c>
      <c r="G24" s="12" t="s">
        <v>120</v>
      </c>
      <c r="H24" s="12" t="s">
        <v>104</v>
      </c>
      <c r="I24" s="12" t="s">
        <v>97</v>
      </c>
      <c r="J24" s="10" t="s">
        <v>148</v>
      </c>
    </row>
    <row r="25" spans="1:10" ht="14.4" customHeight="1" x14ac:dyDescent="0.3">
      <c r="A25" s="3" t="str">
        <f t="shared" si="0"/>
        <v>Vivid_2</v>
      </c>
      <c r="B25" s="9">
        <v>2</v>
      </c>
      <c r="C25" s="9" t="s">
        <v>106</v>
      </c>
      <c r="D25" s="12" t="s">
        <v>102</v>
      </c>
      <c r="E25" s="12" t="s">
        <v>107</v>
      </c>
      <c r="F25" s="11" t="s">
        <v>96</v>
      </c>
      <c r="G25" s="12" t="s">
        <v>97</v>
      </c>
      <c r="H25" s="12" t="s">
        <v>104</v>
      </c>
      <c r="I25" s="12" t="s">
        <v>97</v>
      </c>
      <c r="J25" s="10" t="s">
        <v>108</v>
      </c>
    </row>
    <row r="26" spans="1:10" ht="14.4" customHeight="1" x14ac:dyDescent="0.3">
      <c r="A26" s="3" t="str">
        <f t="shared" si="0"/>
        <v>Vivid_20</v>
      </c>
      <c r="B26" s="9">
        <v>20</v>
      </c>
      <c r="C26" s="9" t="s">
        <v>149</v>
      </c>
      <c r="D26" s="12" t="s">
        <v>135</v>
      </c>
      <c r="E26" s="12" t="s">
        <v>107</v>
      </c>
      <c r="F26" s="11" t="s">
        <v>96</v>
      </c>
      <c r="G26" s="12" t="s">
        <v>120</v>
      </c>
      <c r="H26" s="12" t="s">
        <v>104</v>
      </c>
      <c r="I26" s="12" t="s">
        <v>97</v>
      </c>
      <c r="J26" s="10" t="s">
        <v>150</v>
      </c>
    </row>
    <row r="27" spans="1:10" ht="14.4" customHeight="1" x14ac:dyDescent="0.3">
      <c r="A27" s="3" t="str">
        <f t="shared" si="0"/>
        <v>Vivid_21</v>
      </c>
      <c r="B27" s="9">
        <v>21</v>
      </c>
      <c r="C27" s="9" t="s">
        <v>151</v>
      </c>
      <c r="D27" s="12" t="s">
        <v>135</v>
      </c>
      <c r="E27" s="12" t="s">
        <v>103</v>
      </c>
      <c r="F27" s="11" t="s">
        <v>96</v>
      </c>
      <c r="G27" s="12" t="s">
        <v>125</v>
      </c>
      <c r="H27" s="12" t="s">
        <v>104</v>
      </c>
      <c r="I27" s="12" t="s">
        <v>97</v>
      </c>
      <c r="J27" s="10" t="s">
        <v>152</v>
      </c>
    </row>
    <row r="28" spans="1:10" ht="14.4" customHeight="1" x14ac:dyDescent="0.3">
      <c r="A28" s="3" t="str">
        <f t="shared" si="0"/>
        <v>Vivid_22</v>
      </c>
      <c r="B28" s="9">
        <v>22</v>
      </c>
      <c r="C28" s="9" t="s">
        <v>153</v>
      </c>
      <c r="D28" s="12" t="s">
        <v>135</v>
      </c>
      <c r="E28" s="12" t="s">
        <v>107</v>
      </c>
      <c r="F28" s="11" t="s">
        <v>96</v>
      </c>
      <c r="G28" s="12" t="s">
        <v>125</v>
      </c>
      <c r="H28" s="12" t="s">
        <v>104</v>
      </c>
      <c r="I28" s="12" t="s">
        <v>97</v>
      </c>
      <c r="J28" s="10" t="s">
        <v>154</v>
      </c>
    </row>
    <row r="29" spans="1:10" ht="14.4" customHeight="1" x14ac:dyDescent="0.3">
      <c r="A29" s="3" t="str">
        <f t="shared" si="0"/>
        <v>Vivid_23</v>
      </c>
      <c r="B29" s="9">
        <v>23</v>
      </c>
      <c r="C29" s="9" t="s">
        <v>155</v>
      </c>
      <c r="D29" s="12" t="s">
        <v>135</v>
      </c>
      <c r="E29" s="12" t="s">
        <v>103</v>
      </c>
      <c r="F29" s="11" t="s">
        <v>96</v>
      </c>
      <c r="G29" s="12" t="s">
        <v>97</v>
      </c>
      <c r="H29" s="12" t="s">
        <v>104</v>
      </c>
      <c r="I29" s="12" t="s">
        <v>130</v>
      </c>
      <c r="J29" s="10" t="s">
        <v>156</v>
      </c>
    </row>
    <row r="30" spans="1:10" ht="14.4" customHeight="1" x14ac:dyDescent="0.3">
      <c r="A30" s="3" t="str">
        <f t="shared" si="0"/>
        <v>Vivid_24</v>
      </c>
      <c r="B30" s="9">
        <v>24</v>
      </c>
      <c r="C30" s="9" t="s">
        <v>157</v>
      </c>
      <c r="D30" s="12" t="s">
        <v>135</v>
      </c>
      <c r="E30" s="12" t="s">
        <v>107</v>
      </c>
      <c r="F30" s="11" t="s">
        <v>96</v>
      </c>
      <c r="G30" s="12" t="s">
        <v>97</v>
      </c>
      <c r="H30" s="12" t="s">
        <v>104</v>
      </c>
      <c r="I30" s="12" t="s">
        <v>130</v>
      </c>
      <c r="J30" s="10" t="s">
        <v>158</v>
      </c>
    </row>
    <row r="31" spans="1:10" ht="14.4" customHeight="1" x14ac:dyDescent="0.3">
      <c r="A31" s="3" t="str">
        <f t="shared" si="0"/>
        <v>Vivid_25</v>
      </c>
      <c r="B31" s="9">
        <v>25</v>
      </c>
      <c r="C31" s="9" t="s">
        <v>159</v>
      </c>
      <c r="D31" s="12" t="s">
        <v>160</v>
      </c>
      <c r="E31" s="12" t="s">
        <v>103</v>
      </c>
      <c r="F31" s="11" t="s">
        <v>96</v>
      </c>
      <c r="G31" s="12" t="s">
        <v>97</v>
      </c>
      <c r="H31" s="12" t="s">
        <v>104</v>
      </c>
      <c r="I31" s="12" t="s">
        <v>97</v>
      </c>
      <c r="J31" s="9" t="s">
        <v>161</v>
      </c>
    </row>
    <row r="32" spans="1:10" ht="14.4" customHeight="1" x14ac:dyDescent="0.3">
      <c r="A32" s="3" t="str">
        <f t="shared" si="0"/>
        <v>Vivid_26</v>
      </c>
      <c r="B32" s="9">
        <v>26</v>
      </c>
      <c r="C32" s="9" t="s">
        <v>162</v>
      </c>
      <c r="D32" s="12" t="s">
        <v>160</v>
      </c>
      <c r="E32" s="12" t="s">
        <v>107</v>
      </c>
      <c r="F32" s="11" t="s">
        <v>96</v>
      </c>
      <c r="G32" s="12" t="s">
        <v>97</v>
      </c>
      <c r="H32" s="12" t="s">
        <v>104</v>
      </c>
      <c r="I32" s="12" t="s">
        <v>97</v>
      </c>
      <c r="J32" s="9" t="s">
        <v>163</v>
      </c>
    </row>
    <row r="33" spans="1:10" ht="14.4" customHeight="1" x14ac:dyDescent="0.3">
      <c r="A33" s="3" t="str">
        <f t="shared" si="0"/>
        <v>Vivid_27</v>
      </c>
      <c r="B33" s="9">
        <v>27</v>
      </c>
      <c r="C33" s="9" t="s">
        <v>164</v>
      </c>
      <c r="D33" s="12" t="s">
        <v>160</v>
      </c>
      <c r="E33" s="12" t="s">
        <v>103</v>
      </c>
      <c r="F33" s="11" t="s">
        <v>96</v>
      </c>
      <c r="G33" s="12" t="s">
        <v>110</v>
      </c>
      <c r="H33" s="12" t="s">
        <v>104</v>
      </c>
      <c r="I33" s="12" t="s">
        <v>97</v>
      </c>
      <c r="J33" s="9" t="s">
        <v>165</v>
      </c>
    </row>
    <row r="34" spans="1:10" ht="14.4" customHeight="1" x14ac:dyDescent="0.3">
      <c r="A34" s="3" t="str">
        <f t="shared" si="0"/>
        <v>Vivid_28</v>
      </c>
      <c r="B34" s="9">
        <v>28</v>
      </c>
      <c r="C34" s="9" t="s">
        <v>166</v>
      </c>
      <c r="D34" s="12" t="s">
        <v>160</v>
      </c>
      <c r="E34" s="12" t="s">
        <v>107</v>
      </c>
      <c r="F34" s="11" t="s">
        <v>96</v>
      </c>
      <c r="G34" s="12" t="s">
        <v>110</v>
      </c>
      <c r="H34" s="12" t="s">
        <v>104</v>
      </c>
      <c r="I34" s="12" t="s">
        <v>97</v>
      </c>
      <c r="J34" s="9" t="s">
        <v>167</v>
      </c>
    </row>
    <row r="35" spans="1:10" ht="14.4" customHeight="1" x14ac:dyDescent="0.3">
      <c r="A35" s="3" t="str">
        <f t="shared" si="0"/>
        <v>Vivid_29</v>
      </c>
      <c r="B35" s="9">
        <v>29</v>
      </c>
      <c r="C35" s="9" t="s">
        <v>168</v>
      </c>
      <c r="D35" s="12" t="s">
        <v>160</v>
      </c>
      <c r="E35" s="12" t="s">
        <v>103</v>
      </c>
      <c r="F35" s="11" t="s">
        <v>96</v>
      </c>
      <c r="G35" s="12" t="s">
        <v>115</v>
      </c>
      <c r="H35" s="12" t="s">
        <v>104</v>
      </c>
      <c r="I35" s="12" t="s">
        <v>97</v>
      </c>
      <c r="J35" s="9" t="s">
        <v>169</v>
      </c>
    </row>
    <row r="36" spans="1:10" ht="14.4" customHeight="1" x14ac:dyDescent="0.3">
      <c r="A36" s="3" t="str">
        <f t="shared" si="0"/>
        <v>Vivid_3</v>
      </c>
      <c r="B36" s="9">
        <v>3</v>
      </c>
      <c r="C36" s="9" t="s">
        <v>109</v>
      </c>
      <c r="D36" s="12" t="s">
        <v>102</v>
      </c>
      <c r="E36" s="12" t="s">
        <v>103</v>
      </c>
      <c r="F36" s="11" t="s">
        <v>96</v>
      </c>
      <c r="G36" s="12" t="s">
        <v>110</v>
      </c>
      <c r="H36" s="12" t="s">
        <v>104</v>
      </c>
      <c r="I36" s="12" t="s">
        <v>97</v>
      </c>
      <c r="J36" s="10" t="s">
        <v>111</v>
      </c>
    </row>
    <row r="37" spans="1:10" ht="14.4" customHeight="1" x14ac:dyDescent="0.3">
      <c r="A37" s="3" t="str">
        <f t="shared" si="0"/>
        <v>Vivid_30</v>
      </c>
      <c r="B37" s="9">
        <v>30</v>
      </c>
      <c r="C37" s="9" t="s">
        <v>170</v>
      </c>
      <c r="D37" s="12" t="s">
        <v>160</v>
      </c>
      <c r="E37" s="12" t="s">
        <v>107</v>
      </c>
      <c r="F37" s="11" t="s">
        <v>96</v>
      </c>
      <c r="G37" s="12" t="s">
        <v>115</v>
      </c>
      <c r="H37" s="12" t="s">
        <v>104</v>
      </c>
      <c r="I37" s="12" t="s">
        <v>97</v>
      </c>
      <c r="J37" s="9" t="s">
        <v>171</v>
      </c>
    </row>
    <row r="38" spans="1:10" ht="14.4" customHeight="1" x14ac:dyDescent="0.3">
      <c r="A38" s="3" t="str">
        <f t="shared" si="0"/>
        <v>Vivid_31</v>
      </c>
      <c r="B38" s="9">
        <v>31</v>
      </c>
      <c r="C38" s="9" t="s">
        <v>172</v>
      </c>
      <c r="D38" s="12" t="s">
        <v>160</v>
      </c>
      <c r="E38" s="12" t="s">
        <v>103</v>
      </c>
      <c r="F38" s="11" t="s">
        <v>96</v>
      </c>
      <c r="G38" s="12" t="s">
        <v>120</v>
      </c>
      <c r="H38" s="12" t="s">
        <v>104</v>
      </c>
      <c r="I38" s="12" t="s">
        <v>97</v>
      </c>
      <c r="J38" s="9" t="s">
        <v>173</v>
      </c>
    </row>
    <row r="39" spans="1:10" ht="14.4" customHeight="1" x14ac:dyDescent="0.3">
      <c r="A39" s="3" t="str">
        <f t="shared" si="0"/>
        <v>Vivid_32</v>
      </c>
      <c r="B39" s="9">
        <v>32</v>
      </c>
      <c r="C39" s="9" t="s">
        <v>174</v>
      </c>
      <c r="D39" s="12" t="s">
        <v>160</v>
      </c>
      <c r="E39" s="12" t="s">
        <v>107</v>
      </c>
      <c r="F39" s="11" t="s">
        <v>96</v>
      </c>
      <c r="G39" s="12" t="s">
        <v>120</v>
      </c>
      <c r="H39" s="12" t="s">
        <v>104</v>
      </c>
      <c r="I39" s="12" t="s">
        <v>97</v>
      </c>
      <c r="J39" s="9" t="s">
        <v>175</v>
      </c>
    </row>
    <row r="40" spans="1:10" ht="14.4" customHeight="1" x14ac:dyDescent="0.3">
      <c r="A40" s="3" t="str">
        <f t="shared" si="0"/>
        <v>Vivid_33</v>
      </c>
      <c r="B40" s="9">
        <v>33</v>
      </c>
      <c r="C40" s="9" t="s">
        <v>176</v>
      </c>
      <c r="D40" s="12" t="s">
        <v>160</v>
      </c>
      <c r="E40" s="12" t="s">
        <v>103</v>
      </c>
      <c r="F40" s="11" t="s">
        <v>96</v>
      </c>
      <c r="G40" s="12" t="s">
        <v>125</v>
      </c>
      <c r="H40" s="12" t="s">
        <v>104</v>
      </c>
      <c r="I40" s="12" t="s">
        <v>97</v>
      </c>
      <c r="J40" s="9" t="s">
        <v>177</v>
      </c>
    </row>
    <row r="41" spans="1:10" ht="14.4" customHeight="1" x14ac:dyDescent="0.3">
      <c r="A41" s="3" t="str">
        <f t="shared" si="0"/>
        <v>Vivid_34</v>
      </c>
      <c r="B41" s="9">
        <v>34</v>
      </c>
      <c r="C41" s="9" t="s">
        <v>178</v>
      </c>
      <c r="D41" s="12" t="s">
        <v>160</v>
      </c>
      <c r="E41" s="12" t="s">
        <v>107</v>
      </c>
      <c r="F41" s="11" t="s">
        <v>96</v>
      </c>
      <c r="G41" s="12" t="s">
        <v>125</v>
      </c>
      <c r="H41" s="12" t="s">
        <v>104</v>
      </c>
      <c r="I41" s="12" t="s">
        <v>97</v>
      </c>
      <c r="J41" s="9" t="s">
        <v>179</v>
      </c>
    </row>
    <row r="42" spans="1:10" ht="14.4" customHeight="1" x14ac:dyDescent="0.3">
      <c r="A42" s="3" t="str">
        <f t="shared" si="0"/>
        <v>Vivid_35</v>
      </c>
      <c r="B42" s="9">
        <v>35</v>
      </c>
      <c r="C42" s="9" t="s">
        <v>180</v>
      </c>
      <c r="D42" s="12" t="s">
        <v>160</v>
      </c>
      <c r="E42" s="12" t="s">
        <v>103</v>
      </c>
      <c r="F42" s="11" t="s">
        <v>96</v>
      </c>
      <c r="G42" s="12" t="s">
        <v>97</v>
      </c>
      <c r="H42" s="12" t="s">
        <v>104</v>
      </c>
      <c r="I42" s="12" t="s">
        <v>130</v>
      </c>
      <c r="J42" s="10" t="s">
        <v>181</v>
      </c>
    </row>
    <row r="43" spans="1:10" ht="14.4" customHeight="1" x14ac:dyDescent="0.3">
      <c r="A43" s="3" t="str">
        <f t="shared" si="0"/>
        <v>Vivid_5v2</v>
      </c>
      <c r="B43" s="9" t="s">
        <v>1028</v>
      </c>
      <c r="C43" s="9" t="s">
        <v>1029</v>
      </c>
      <c r="D43" s="12" t="s">
        <v>102</v>
      </c>
      <c r="E43" s="12" t="s">
        <v>103</v>
      </c>
      <c r="F43" s="11" t="s">
        <v>96</v>
      </c>
      <c r="G43" s="12" t="s">
        <v>1030</v>
      </c>
      <c r="H43" s="12" t="s">
        <v>104</v>
      </c>
      <c r="I43" s="12" t="s">
        <v>130</v>
      </c>
      <c r="J43" s="10" t="s">
        <v>182</v>
      </c>
    </row>
    <row r="44" spans="1:10" ht="14.4" customHeight="1" x14ac:dyDescent="0.3">
      <c r="A44" s="3" t="str">
        <f t="shared" si="0"/>
        <v>Vivid_4</v>
      </c>
      <c r="B44" s="9">
        <v>4</v>
      </c>
      <c r="C44" s="9" t="s">
        <v>112</v>
      </c>
      <c r="D44" s="12" t="s">
        <v>102</v>
      </c>
      <c r="E44" s="12" t="s">
        <v>107</v>
      </c>
      <c r="F44" s="11" t="s">
        <v>96</v>
      </c>
      <c r="G44" s="12" t="s">
        <v>110</v>
      </c>
      <c r="H44" s="12" t="s">
        <v>104</v>
      </c>
      <c r="I44" s="12" t="s">
        <v>97</v>
      </c>
      <c r="J44" s="10" t="s">
        <v>113</v>
      </c>
    </row>
    <row r="45" spans="1:10" ht="14.4" customHeight="1" x14ac:dyDescent="0.3">
      <c r="A45" s="3" t="str">
        <f t="shared" si="0"/>
        <v>Vivid_5</v>
      </c>
      <c r="B45" s="9">
        <v>5</v>
      </c>
      <c r="C45" s="9" t="s">
        <v>114</v>
      </c>
      <c r="D45" s="12" t="s">
        <v>102</v>
      </c>
      <c r="E45" s="12" t="s">
        <v>103</v>
      </c>
      <c r="F45" s="11" t="s">
        <v>96</v>
      </c>
      <c r="G45" s="12" t="s">
        <v>115</v>
      </c>
      <c r="H45" s="12" t="s">
        <v>104</v>
      </c>
      <c r="I45" s="12" t="s">
        <v>97</v>
      </c>
      <c r="J45" s="10" t="s">
        <v>116</v>
      </c>
    </row>
    <row r="46" spans="1:10" ht="14.4" customHeight="1" x14ac:dyDescent="0.3">
      <c r="A46" s="3" t="str">
        <f t="shared" si="0"/>
        <v>Vivid_6</v>
      </c>
      <c r="B46" s="9">
        <v>6</v>
      </c>
      <c r="C46" s="9" t="s">
        <v>117</v>
      </c>
      <c r="D46" s="12" t="s">
        <v>102</v>
      </c>
      <c r="E46" s="12" t="s">
        <v>107</v>
      </c>
      <c r="F46" s="11" t="s">
        <v>96</v>
      </c>
      <c r="G46" s="12" t="s">
        <v>115</v>
      </c>
      <c r="H46" s="12" t="s">
        <v>104</v>
      </c>
      <c r="I46" s="12" t="s">
        <v>97</v>
      </c>
      <c r="J46" s="10" t="s">
        <v>118</v>
      </c>
    </row>
    <row r="47" spans="1:10" ht="14.4" customHeight="1" x14ac:dyDescent="0.3">
      <c r="A47" s="3" t="str">
        <f t="shared" si="0"/>
        <v>Vivid_7</v>
      </c>
      <c r="B47" s="9">
        <v>7</v>
      </c>
      <c r="C47" s="9" t="s">
        <v>119</v>
      </c>
      <c r="D47" s="12" t="s">
        <v>102</v>
      </c>
      <c r="E47" s="12" t="s">
        <v>103</v>
      </c>
      <c r="F47" s="11" t="s">
        <v>96</v>
      </c>
      <c r="G47" s="12" t="s">
        <v>120</v>
      </c>
      <c r="H47" s="12" t="s">
        <v>104</v>
      </c>
      <c r="I47" s="12" t="s">
        <v>97</v>
      </c>
      <c r="J47" s="10" t="s">
        <v>121</v>
      </c>
    </row>
    <row r="48" spans="1:10" ht="14.4" customHeight="1" x14ac:dyDescent="0.3">
      <c r="A48" s="3" t="str">
        <f t="shared" si="0"/>
        <v>Vivid_8</v>
      </c>
      <c r="B48" s="9">
        <v>8</v>
      </c>
      <c r="C48" s="9" t="s">
        <v>122</v>
      </c>
      <c r="D48" s="12" t="s">
        <v>102</v>
      </c>
      <c r="E48" s="12" t="s">
        <v>107</v>
      </c>
      <c r="F48" s="11" t="s">
        <v>96</v>
      </c>
      <c r="G48" s="12" t="s">
        <v>120</v>
      </c>
      <c r="H48" s="12" t="s">
        <v>104</v>
      </c>
      <c r="I48" s="12" t="s">
        <v>97</v>
      </c>
      <c r="J48" s="10" t="s">
        <v>123</v>
      </c>
    </row>
    <row r="49" spans="1:10" ht="14.4" customHeight="1" x14ac:dyDescent="0.3">
      <c r="A49" s="3" t="str">
        <f t="shared" si="0"/>
        <v>Vivid_9</v>
      </c>
      <c r="B49" s="9">
        <v>9</v>
      </c>
      <c r="C49" s="9" t="s">
        <v>124</v>
      </c>
      <c r="D49" s="12" t="s">
        <v>102</v>
      </c>
      <c r="E49" s="12" t="s">
        <v>103</v>
      </c>
      <c r="F49" s="11" t="s">
        <v>96</v>
      </c>
      <c r="G49" s="12" t="s">
        <v>125</v>
      </c>
      <c r="H49" s="12" t="s">
        <v>104</v>
      </c>
      <c r="I49" s="12" t="s">
        <v>97</v>
      </c>
      <c r="J49" s="10" t="s">
        <v>126</v>
      </c>
    </row>
    <row r="50" spans="1:10" x14ac:dyDescent="0.3">
      <c r="A50" s="3" t="s">
        <v>378</v>
      </c>
      <c r="B50" s="9"/>
      <c r="C50" s="9" t="s">
        <v>543</v>
      </c>
    </row>
    <row r="51" spans="1:10" x14ac:dyDescent="0.3">
      <c r="A51" s="3" t="s">
        <v>379</v>
      </c>
      <c r="B51" s="9"/>
      <c r="C51" s="9" t="s">
        <v>544</v>
      </c>
    </row>
    <row r="52" spans="1:10" x14ac:dyDescent="0.3">
      <c r="A52" s="3" t="s">
        <v>380</v>
      </c>
      <c r="B52" s="9"/>
      <c r="C52" s="9" t="s">
        <v>399</v>
      </c>
    </row>
    <row r="53" spans="1:10" x14ac:dyDescent="0.3">
      <c r="A53" s="3" t="s">
        <v>368</v>
      </c>
      <c r="B53" s="9"/>
      <c r="C53" s="9" t="s">
        <v>545</v>
      </c>
    </row>
    <row r="54" spans="1:10" x14ac:dyDescent="0.3">
      <c r="A54" s="3" t="s">
        <v>370</v>
      </c>
      <c r="B54" s="9"/>
      <c r="C54" s="9" t="s">
        <v>546</v>
      </c>
    </row>
    <row r="55" spans="1:10" x14ac:dyDescent="0.3">
      <c r="A55" s="3" t="s">
        <v>372</v>
      </c>
      <c r="B55" s="9"/>
      <c r="C55" s="9" t="s">
        <v>547</v>
      </c>
    </row>
    <row r="56" spans="1:10" x14ac:dyDescent="0.3">
      <c r="A56" s="3" t="s">
        <v>381</v>
      </c>
      <c r="B56" s="9"/>
      <c r="C56" s="9" t="s">
        <v>548</v>
      </c>
    </row>
    <row r="57" spans="1:10" x14ac:dyDescent="0.3">
      <c r="A57" s="3" t="s">
        <v>382</v>
      </c>
      <c r="B57" s="9"/>
      <c r="C57" s="9" t="s">
        <v>549</v>
      </c>
    </row>
    <row r="58" spans="1:10" x14ac:dyDescent="0.3">
      <c r="A58" s="3" t="s">
        <v>383</v>
      </c>
      <c r="B58" s="9"/>
      <c r="C58" s="9" t="s">
        <v>550</v>
      </c>
    </row>
    <row r="59" spans="1:10" x14ac:dyDescent="0.3">
      <c r="A59" s="3" t="s">
        <v>384</v>
      </c>
      <c r="B59" s="9"/>
      <c r="C59" s="9" t="s">
        <v>551</v>
      </c>
    </row>
  </sheetData>
  <autoFilter ref="A10:J49" xr:uid="{B7CC0D30-0E46-493B-BA44-79D382D80F40}">
    <sortState xmlns:xlrd2="http://schemas.microsoft.com/office/spreadsheetml/2017/richdata2" ref="A11:J49">
      <sortCondition ref="A10:A49"/>
    </sortState>
  </autoFilter>
  <mergeCells count="1">
    <mergeCell ref="C9:H9"/>
  </mergeCells>
  <conditionalFormatting sqref="A1:XFD1048576">
    <cfRule type="expression" dxfId="49" priority="14">
      <formula>_xlfn.ISFORMULA(A1)</formula>
    </cfRule>
  </conditionalFormatting>
  <hyperlinks>
    <hyperlink ref="B3" r:id="rId1" xr:uid="{9847DA58-4FBF-46DB-B50D-AA4A4DB6D7C2}"/>
  </hyperlinks>
  <pageMargins left="0.7" right="0.7" top="0.75" bottom="0.75" header="0.3" footer="0.3"/>
  <pageSetup paperSize="9" orientation="portrait" horizontalDpi="4294967294" verticalDpi="4294967294"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07376-3B4B-44DB-B35A-BC434A84B3F4}">
  <sheetPr>
    <tabColor theme="7" tint="0.39997558519241921"/>
  </sheetPr>
  <dimension ref="A1:E16"/>
  <sheetViews>
    <sheetView workbookViewId="0"/>
  </sheetViews>
  <sheetFormatPr defaultColWidth="10.33203125" defaultRowHeight="14.4" x14ac:dyDescent="0.3"/>
  <cols>
    <col min="1" max="11" width="15.77734375" style="3" customWidth="1"/>
    <col min="12" max="16384" width="10.33203125" style="3"/>
  </cols>
  <sheetData>
    <row r="1" spans="1:5" s="1" customFormat="1" ht="49.5" customHeight="1" x14ac:dyDescent="0.3">
      <c r="A1" s="1" t="s">
        <v>552</v>
      </c>
    </row>
    <row r="2" spans="1:5" s="2" customFormat="1" x14ac:dyDescent="0.3">
      <c r="A2" s="2" t="s">
        <v>1</v>
      </c>
      <c r="B2" s="2" t="s">
        <v>79</v>
      </c>
    </row>
    <row r="3" spans="1:5" s="2" customFormat="1" x14ac:dyDescent="0.3">
      <c r="A3" s="2" t="s">
        <v>3</v>
      </c>
      <c r="B3" s="2" t="s">
        <v>553</v>
      </c>
    </row>
    <row r="4" spans="1:5" s="2" customFormat="1" x14ac:dyDescent="0.3">
      <c r="A4" s="2" t="s">
        <v>7</v>
      </c>
      <c r="B4" s="7">
        <v>43220</v>
      </c>
    </row>
    <row r="5" spans="1:5" s="2" customFormat="1" x14ac:dyDescent="0.3">
      <c r="A5" s="2" t="s">
        <v>2</v>
      </c>
      <c r="B5" s="2" t="s">
        <v>554</v>
      </c>
    </row>
    <row r="6" spans="1:5" s="2" customFormat="1" x14ac:dyDescent="0.3">
      <c r="A6" s="2" t="s">
        <v>4</v>
      </c>
    </row>
    <row r="8" spans="1:5" x14ac:dyDescent="0.3">
      <c r="A8" s="3" t="s">
        <v>555</v>
      </c>
      <c r="B8" s="3" t="s">
        <v>556</v>
      </c>
      <c r="C8" s="3" t="s">
        <v>557</v>
      </c>
      <c r="D8" s="3" t="s">
        <v>558</v>
      </c>
      <c r="E8" s="3" t="s">
        <v>559</v>
      </c>
    </row>
    <row r="9" spans="1:5" x14ac:dyDescent="0.3">
      <c r="A9" s="3" t="s">
        <v>560</v>
      </c>
      <c r="B9" s="55" t="s">
        <v>561</v>
      </c>
      <c r="C9" s="3" t="s">
        <v>562</v>
      </c>
      <c r="D9" s="3">
        <v>1</v>
      </c>
      <c r="E9" s="56">
        <v>2.38845897E-2</v>
      </c>
    </row>
    <row r="10" spans="1:5" x14ac:dyDescent="0.3">
      <c r="A10" s="3" t="s">
        <v>563</v>
      </c>
      <c r="B10" s="55" t="s">
        <v>564</v>
      </c>
      <c r="C10" s="3" t="s">
        <v>565</v>
      </c>
      <c r="D10" s="3">
        <v>1</v>
      </c>
      <c r="E10" s="56">
        <v>7.33</v>
      </c>
    </row>
    <row r="11" spans="1:5" x14ac:dyDescent="0.3">
      <c r="A11" s="3" t="s">
        <v>560</v>
      </c>
      <c r="B11" s="55" t="s">
        <v>561</v>
      </c>
      <c r="C11" s="3" t="s">
        <v>566</v>
      </c>
      <c r="D11" s="3">
        <v>1</v>
      </c>
      <c r="E11" s="56">
        <v>0.94781711999999996</v>
      </c>
    </row>
    <row r="12" spans="1:5" x14ac:dyDescent="0.3">
      <c r="A12" s="3" t="s">
        <v>563</v>
      </c>
      <c r="B12" s="55" t="s">
        <v>564</v>
      </c>
      <c r="C12" s="3" t="s">
        <v>567</v>
      </c>
      <c r="D12" s="3">
        <v>1</v>
      </c>
      <c r="E12" s="56">
        <v>2.8000000000000001E-2</v>
      </c>
    </row>
    <row r="13" spans="1:5" x14ac:dyDescent="0.3">
      <c r="A13" s="3" t="s">
        <v>563</v>
      </c>
      <c r="B13" s="55" t="s">
        <v>564</v>
      </c>
      <c r="C13" s="3" t="s">
        <v>568</v>
      </c>
      <c r="D13" s="3">
        <v>1</v>
      </c>
      <c r="E13" s="56">
        <v>1.5</v>
      </c>
    </row>
    <row r="14" spans="1:5" x14ac:dyDescent="0.3">
      <c r="A14" s="3" t="s">
        <v>563</v>
      </c>
      <c r="B14" s="55" t="s">
        <v>564</v>
      </c>
      <c r="C14" s="3" t="s">
        <v>569</v>
      </c>
      <c r="D14" s="3">
        <v>1</v>
      </c>
      <c r="E14" s="56">
        <v>3</v>
      </c>
    </row>
    <row r="15" spans="1:5" x14ac:dyDescent="0.3">
      <c r="A15" s="3" t="s">
        <v>570</v>
      </c>
      <c r="B15" s="55" t="s">
        <v>571</v>
      </c>
      <c r="C15" s="3" t="s">
        <v>572</v>
      </c>
      <c r="D15" s="3">
        <v>1</v>
      </c>
      <c r="E15" s="56">
        <v>1.0127580003920797</v>
      </c>
    </row>
    <row r="16" spans="1:5" x14ac:dyDescent="0.3">
      <c r="A16" s="3" t="s">
        <v>570</v>
      </c>
      <c r="B16" s="55" t="s">
        <v>571</v>
      </c>
      <c r="C16" s="3" t="s">
        <v>573</v>
      </c>
      <c r="D16" s="3">
        <v>1</v>
      </c>
      <c r="E16" s="3">
        <v>1.2204999999999999</v>
      </c>
    </row>
  </sheetData>
  <conditionalFormatting sqref="A1:XFD7 A15:D15 F8:XFD15 A16:XFD1048576">
    <cfRule type="expression" dxfId="48" priority="4">
      <formula>_xlfn.ISFORMULA(A1)</formula>
    </cfRule>
  </conditionalFormatting>
  <conditionalFormatting sqref="A8:B8 D8:E8 A9:E14">
    <cfRule type="expression" dxfId="47" priority="3">
      <formula>_xlfn.ISFORMULA(A8)</formula>
    </cfRule>
  </conditionalFormatting>
  <conditionalFormatting sqref="C8">
    <cfRule type="expression" dxfId="46" priority="2">
      <formula>_xlfn.ISFORMULA(C8)</formula>
    </cfRule>
  </conditionalFormatting>
  <conditionalFormatting sqref="E15">
    <cfRule type="expression" dxfId="45" priority="1">
      <formula>_xlfn.ISFORMULA(E15)</formula>
    </cfRule>
  </conditionalFormatting>
  <hyperlinks>
    <hyperlink ref="B9" r:id="rId1" xr:uid="{816222CB-B7CF-41A0-882A-3E9E1E51BF63}"/>
    <hyperlink ref="B10" r:id="rId2" xr:uid="{AD97225F-9D39-4F2A-BEC6-342F25170080}"/>
    <hyperlink ref="B11" r:id="rId3" xr:uid="{004C995E-F769-48B1-951D-1A8A0F0C55ED}"/>
    <hyperlink ref="B12" r:id="rId4" xr:uid="{4FEC8614-3D23-4F54-90A4-1A75E1732676}"/>
    <hyperlink ref="B13:B14" r:id="rId5" display="https://www.bp.com/content/dam/bp/en/corporate/pdf/energy-economics/statistical-review-2017/bp-statistical-review-of%20world%20energy-2017-approximate-conversion-factors.pdf" xr:uid="{6B439F86-0763-4CCB-A093-87B6CAAA40CF}"/>
    <hyperlink ref="B15" r:id="rId6" xr:uid="{6DCD8B40-6C90-408E-B80A-7E15D9349CE0}"/>
    <hyperlink ref="B16" r:id="rId7" xr:uid="{A9F239FE-7D05-4AAB-9FCC-19F9A28DE8AC}"/>
  </hyperlinks>
  <pageMargins left="0.7" right="0.7" top="0.75" bottom="0.75" header="0.3" footer="0.3"/>
  <pageSetup paperSize="9" orientation="portrait" horizontalDpi="4294967294" verticalDpi="4294967294" r:id="rId8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1455D-B838-4D45-8E52-7052299077E8}">
  <sheetPr>
    <tabColor theme="7" tint="0.39997558519241921"/>
  </sheetPr>
  <dimension ref="A1:J29"/>
  <sheetViews>
    <sheetView workbookViewId="0"/>
  </sheetViews>
  <sheetFormatPr defaultColWidth="10.33203125" defaultRowHeight="14.4" x14ac:dyDescent="0.3"/>
  <cols>
    <col min="1" max="11" width="15.77734375" style="3" customWidth="1"/>
    <col min="12" max="16384" width="10.33203125" style="3"/>
  </cols>
  <sheetData>
    <row r="1" spans="1:10" s="1" customFormat="1" ht="49.5" customHeight="1" x14ac:dyDescent="0.3">
      <c r="A1" s="1" t="s">
        <v>1042</v>
      </c>
    </row>
    <row r="2" spans="1:10" s="2" customFormat="1" x14ac:dyDescent="0.3">
      <c r="A2" s="2" t="s">
        <v>1</v>
      </c>
      <c r="B2" s="2" t="s">
        <v>79</v>
      </c>
    </row>
    <row r="3" spans="1:10" s="2" customFormat="1" x14ac:dyDescent="0.3">
      <c r="A3" s="2" t="s">
        <v>3</v>
      </c>
      <c r="B3" s="6" t="s">
        <v>1043</v>
      </c>
    </row>
    <row r="4" spans="1:10" s="2" customFormat="1" x14ac:dyDescent="0.3">
      <c r="A4" s="2" t="s">
        <v>7</v>
      </c>
      <c r="B4" s="7">
        <v>43504</v>
      </c>
    </row>
    <row r="5" spans="1:10" s="2" customFormat="1" x14ac:dyDescent="0.3">
      <c r="A5" s="2" t="s">
        <v>2</v>
      </c>
      <c r="B5" s="2" t="s">
        <v>81</v>
      </c>
    </row>
    <row r="6" spans="1:10" s="2" customFormat="1" x14ac:dyDescent="0.3">
      <c r="A6" s="2" t="s">
        <v>4</v>
      </c>
      <c r="B6" s="2" t="s">
        <v>1044</v>
      </c>
    </row>
    <row r="7" spans="1:10" ht="15" thickBot="1" x14ac:dyDescent="0.35"/>
    <row r="8" spans="1:10" s="748" customFormat="1" ht="15" thickBot="1" x14ac:dyDescent="0.35">
      <c r="A8" s="748" t="s">
        <v>1062</v>
      </c>
    </row>
    <row r="10" spans="1:10" x14ac:dyDescent="0.3">
      <c r="C10" s="3" t="s">
        <v>1063</v>
      </c>
      <c r="D10" s="3" t="s">
        <v>1063</v>
      </c>
      <c r="E10" s="3" t="s">
        <v>1063</v>
      </c>
      <c r="F10" s="3" t="s">
        <v>1063</v>
      </c>
      <c r="G10" s="3" t="s">
        <v>1063</v>
      </c>
      <c r="H10" s="3" t="s">
        <v>1063</v>
      </c>
      <c r="I10" s="3" t="s">
        <v>1063</v>
      </c>
      <c r="J10" s="3" t="s">
        <v>1063</v>
      </c>
    </row>
    <row r="11" spans="1:10" x14ac:dyDescent="0.3">
      <c r="A11" s="3" t="s">
        <v>1047</v>
      </c>
      <c r="B11" s="3" t="s">
        <v>76</v>
      </c>
      <c r="C11" s="3">
        <v>2020</v>
      </c>
      <c r="D11" s="3">
        <v>2025</v>
      </c>
      <c r="E11" s="3">
        <v>2030</v>
      </c>
      <c r="F11" s="3">
        <v>2035</v>
      </c>
      <c r="G11" s="3">
        <v>2040</v>
      </c>
      <c r="H11" s="3">
        <v>2045</v>
      </c>
      <c r="I11" s="3">
        <v>2050</v>
      </c>
      <c r="J11" s="3">
        <v>2055</v>
      </c>
    </row>
    <row r="12" spans="1:10" x14ac:dyDescent="0.3">
      <c r="A12" s="3" t="s">
        <v>1052</v>
      </c>
      <c r="B12" s="3" t="s">
        <v>592</v>
      </c>
      <c r="C12" s="14">
        <f>INDEX($E$23:$E$29,MATCH($A12,$A$23:$A$29,0))</f>
        <v>0.70836905136885764</v>
      </c>
      <c r="D12" s="14">
        <f>$C12+($J12-$C12)/($J$11-$C$11)*(D$11-$C$11)</f>
        <v>0.75003061545902083</v>
      </c>
      <c r="E12" s="14">
        <f t="shared" ref="E12:I12" si="0">$C12+($J12-$C12)/($J$11-$C$11)*(E$11-$C$11)</f>
        <v>0.79169217954918403</v>
      </c>
      <c r="F12" s="14">
        <f t="shared" si="0"/>
        <v>0.83335374363934722</v>
      </c>
      <c r="G12" s="14">
        <f t="shared" si="0"/>
        <v>0.87501530772951042</v>
      </c>
      <c r="H12" s="14">
        <f t="shared" si="0"/>
        <v>0.91667687181967361</v>
      </c>
      <c r="I12" s="14">
        <f t="shared" si="0"/>
        <v>0.95833843590983681</v>
      </c>
      <c r="J12" s="3">
        <v>1</v>
      </c>
    </row>
    <row r="13" spans="1:10" x14ac:dyDescent="0.3">
      <c r="A13" s="3" t="s">
        <v>1053</v>
      </c>
      <c r="B13" s="3" t="s">
        <v>671</v>
      </c>
      <c r="C13" s="14">
        <f t="shared" ref="C13:C18" si="1">INDEX($E$23:$E$29,MATCH($A13,$A$23:$A$29,0))</f>
        <v>0.89704472304019767</v>
      </c>
      <c r="D13" s="14">
        <f t="shared" ref="D13:I18" si="2">$C13+($J13-$C13)/($J$11-$C$11)*(D$11-$C$11)</f>
        <v>0.91175261974874089</v>
      </c>
      <c r="E13" s="14">
        <f t="shared" si="2"/>
        <v>0.926460516457284</v>
      </c>
      <c r="F13" s="14">
        <f t="shared" si="2"/>
        <v>0.94116841316582722</v>
      </c>
      <c r="G13" s="14">
        <f t="shared" si="2"/>
        <v>0.95587630987437044</v>
      </c>
      <c r="H13" s="14">
        <f t="shared" si="2"/>
        <v>0.97058420658291367</v>
      </c>
      <c r="I13" s="14">
        <f t="shared" si="2"/>
        <v>0.98529210329145678</v>
      </c>
      <c r="J13" s="3">
        <v>1</v>
      </c>
    </row>
    <row r="14" spans="1:10" x14ac:dyDescent="0.3">
      <c r="A14" s="3" t="s">
        <v>1054</v>
      </c>
      <c r="B14" s="3" t="s">
        <v>601</v>
      </c>
      <c r="C14" s="14">
        <f t="shared" si="1"/>
        <v>3.2744798265182955</v>
      </c>
      <c r="D14" s="14">
        <f t="shared" si="2"/>
        <v>2.9495541370156819</v>
      </c>
      <c r="E14" s="14">
        <f t="shared" si="2"/>
        <v>2.6246284475130683</v>
      </c>
      <c r="F14" s="14">
        <f t="shared" si="2"/>
        <v>2.2997027580104548</v>
      </c>
      <c r="G14" s="14">
        <f t="shared" si="2"/>
        <v>1.974777068507841</v>
      </c>
      <c r="H14" s="14">
        <f t="shared" si="2"/>
        <v>1.6498513790052274</v>
      </c>
      <c r="I14" s="14">
        <f t="shared" si="2"/>
        <v>1.3249256895026138</v>
      </c>
      <c r="J14" s="3">
        <v>1</v>
      </c>
    </row>
    <row r="15" spans="1:10" x14ac:dyDescent="0.3">
      <c r="A15" s="3" t="s">
        <v>1055</v>
      </c>
      <c r="B15" s="3" t="s">
        <v>670</v>
      </c>
      <c r="C15" s="14">
        <f t="shared" si="1"/>
        <v>0.63565492394299372</v>
      </c>
      <c r="D15" s="14">
        <f t="shared" si="2"/>
        <v>0.68770422052256608</v>
      </c>
      <c r="E15" s="14">
        <f t="shared" si="2"/>
        <v>0.73975351710213832</v>
      </c>
      <c r="F15" s="14">
        <f t="shared" si="2"/>
        <v>0.79180281368171068</v>
      </c>
      <c r="G15" s="14">
        <f t="shared" si="2"/>
        <v>0.84385211026128304</v>
      </c>
      <c r="H15" s="14">
        <f t="shared" si="2"/>
        <v>0.89590140684085529</v>
      </c>
      <c r="I15" s="14">
        <f t="shared" si="2"/>
        <v>0.94795070342042775</v>
      </c>
      <c r="J15" s="3">
        <v>1</v>
      </c>
    </row>
    <row r="16" spans="1:10" x14ac:dyDescent="0.3">
      <c r="A16" s="3" t="s">
        <v>1056</v>
      </c>
      <c r="B16" s="3" t="s">
        <v>1057</v>
      </c>
      <c r="C16" s="14">
        <f t="shared" si="1"/>
        <v>1.1106253843562763</v>
      </c>
      <c r="D16" s="14">
        <f t="shared" si="2"/>
        <v>1.0948217580196655</v>
      </c>
      <c r="E16" s="14">
        <f t="shared" si="2"/>
        <v>1.0790181316830545</v>
      </c>
      <c r="F16" s="14">
        <f t="shared" si="2"/>
        <v>1.0632145053464437</v>
      </c>
      <c r="G16" s="14">
        <f t="shared" si="2"/>
        <v>1.0474108790098327</v>
      </c>
      <c r="H16" s="14">
        <f t="shared" si="2"/>
        <v>1.0316072526732218</v>
      </c>
      <c r="I16" s="14">
        <f t="shared" si="2"/>
        <v>1.0158036263366108</v>
      </c>
      <c r="J16" s="3">
        <v>1</v>
      </c>
    </row>
    <row r="17" spans="1:10" x14ac:dyDescent="0.3">
      <c r="A17" s="3" t="s">
        <v>1058</v>
      </c>
      <c r="B17" s="3" t="s">
        <v>1059</v>
      </c>
      <c r="C17" s="14">
        <f t="shared" si="1"/>
        <v>1.1633693980735702</v>
      </c>
      <c r="D17" s="14">
        <f t="shared" si="2"/>
        <v>1.1400309126344887</v>
      </c>
      <c r="E17" s="14">
        <f t="shared" si="2"/>
        <v>1.1166924271954073</v>
      </c>
      <c r="F17" s="14">
        <f t="shared" si="2"/>
        <v>1.0933539417563258</v>
      </c>
      <c r="G17" s="14">
        <f t="shared" si="2"/>
        <v>1.0700154563172444</v>
      </c>
      <c r="H17" s="14">
        <f t="shared" si="2"/>
        <v>1.0466769708781629</v>
      </c>
      <c r="I17" s="14">
        <f t="shared" si="2"/>
        <v>1.0233384854390815</v>
      </c>
      <c r="J17" s="3">
        <v>1</v>
      </c>
    </row>
    <row r="18" spans="1:10" x14ac:dyDescent="0.3">
      <c r="A18" s="3" t="s">
        <v>95</v>
      </c>
      <c r="B18" s="3" t="s">
        <v>1060</v>
      </c>
      <c r="C18" s="14">
        <f t="shared" si="1"/>
        <v>1</v>
      </c>
      <c r="D18" s="14">
        <f t="shared" si="2"/>
        <v>1</v>
      </c>
      <c r="E18" s="14">
        <f t="shared" si="2"/>
        <v>1</v>
      </c>
      <c r="F18" s="14">
        <f t="shared" si="2"/>
        <v>1</v>
      </c>
      <c r="G18" s="14">
        <f t="shared" si="2"/>
        <v>1</v>
      </c>
      <c r="H18" s="14">
        <f t="shared" si="2"/>
        <v>1</v>
      </c>
      <c r="I18" s="14">
        <f t="shared" si="2"/>
        <v>1</v>
      </c>
      <c r="J18" s="3">
        <v>1</v>
      </c>
    </row>
    <row r="19" spans="1:10" ht="15" thickBot="1" x14ac:dyDescent="0.35"/>
    <row r="20" spans="1:10" s="748" customFormat="1" ht="15" thickBot="1" x14ac:dyDescent="0.35">
      <c r="A20" s="748" t="s">
        <v>1061</v>
      </c>
    </row>
    <row r="21" spans="1:10" x14ac:dyDescent="0.3">
      <c r="C21" s="3" t="s">
        <v>1045</v>
      </c>
      <c r="E21" s="3" t="s">
        <v>1046</v>
      </c>
    </row>
    <row r="22" spans="1:10" x14ac:dyDescent="0.3">
      <c r="A22" s="3" t="s">
        <v>1047</v>
      </c>
      <c r="B22" s="3" t="s">
        <v>76</v>
      </c>
      <c r="C22" s="3" t="s">
        <v>1048</v>
      </c>
      <c r="D22" s="3" t="s">
        <v>1049</v>
      </c>
      <c r="E22" s="56" t="s">
        <v>1050</v>
      </c>
      <c r="F22" s="3" t="s">
        <v>1051</v>
      </c>
    </row>
    <row r="23" spans="1:10" x14ac:dyDescent="0.3">
      <c r="A23" s="3" t="s">
        <v>1052</v>
      </c>
      <c r="B23" s="3" t="s">
        <v>592</v>
      </c>
      <c r="C23" s="14">
        <v>12.837792946202004</v>
      </c>
      <c r="D23" s="14">
        <v>29.228632014693471</v>
      </c>
      <c r="E23" s="14">
        <v>0.70836905136885764</v>
      </c>
      <c r="F23" s="14">
        <v>1.612789551897486</v>
      </c>
    </row>
    <row r="24" spans="1:10" x14ac:dyDescent="0.3">
      <c r="A24" s="3" t="s">
        <v>1053</v>
      </c>
      <c r="B24" s="3" t="s">
        <v>671</v>
      </c>
      <c r="C24" s="14">
        <v>16.2571676382804</v>
      </c>
      <c r="D24" s="14">
        <v>12.101120085390477</v>
      </c>
      <c r="E24" s="14">
        <v>0.89704472304019767</v>
      </c>
      <c r="F24" s="14">
        <v>0.66772061142524364</v>
      </c>
    </row>
    <row r="25" spans="1:10" x14ac:dyDescent="0.3">
      <c r="A25" s="3" t="s">
        <v>1054</v>
      </c>
      <c r="B25" s="3" t="s">
        <v>601</v>
      </c>
      <c r="C25" s="14">
        <v>59.343493251327878</v>
      </c>
      <c r="D25" s="14">
        <v>29.228632014693471</v>
      </c>
      <c r="E25" s="14">
        <v>3.2744798265182955</v>
      </c>
      <c r="F25" s="14">
        <v>1.612789551897486</v>
      </c>
    </row>
    <row r="26" spans="1:10" x14ac:dyDescent="0.3">
      <c r="A26" s="3" t="s">
        <v>1055</v>
      </c>
      <c r="B26" s="3" t="s">
        <v>670</v>
      </c>
      <c r="C26" s="14">
        <v>11.519992697372514</v>
      </c>
      <c r="D26" s="14">
        <v>12.101120085390477</v>
      </c>
      <c r="E26" s="14">
        <v>0.63565492394299372</v>
      </c>
      <c r="F26" s="14">
        <v>0.66772061142524364</v>
      </c>
    </row>
    <row r="27" spans="1:10" x14ac:dyDescent="0.3">
      <c r="A27" s="3" t="s">
        <v>1056</v>
      </c>
      <c r="B27" s="3" t="s">
        <v>1057</v>
      </c>
      <c r="C27" s="14">
        <v>20.127896182942589</v>
      </c>
      <c r="D27" s="14">
        <v>12.101120085390477</v>
      </c>
      <c r="E27" s="14">
        <v>1.1106253843562763</v>
      </c>
      <c r="F27" s="14">
        <v>0.66772061142524364</v>
      </c>
    </row>
    <row r="28" spans="1:10" x14ac:dyDescent="0.3">
      <c r="A28" s="3" t="s">
        <v>1058</v>
      </c>
      <c r="B28" s="3" t="s">
        <v>1059</v>
      </c>
      <c r="C28" s="14">
        <v>21.083777479486802</v>
      </c>
      <c r="D28" s="14">
        <v>29.228632014693471</v>
      </c>
      <c r="E28" s="14">
        <v>1.1633693980735702</v>
      </c>
      <c r="F28" s="14">
        <v>1.612789551897486</v>
      </c>
    </row>
    <row r="29" spans="1:10" x14ac:dyDescent="0.3">
      <c r="A29" s="3" t="s">
        <v>95</v>
      </c>
      <c r="B29" s="3" t="s">
        <v>1060</v>
      </c>
      <c r="C29" s="14">
        <v>18.123029120758673</v>
      </c>
      <c r="D29" s="14">
        <v>18.123029120758673</v>
      </c>
      <c r="E29" s="14">
        <v>1</v>
      </c>
      <c r="F29" s="14">
        <v>1</v>
      </c>
    </row>
  </sheetData>
  <conditionalFormatting sqref="F21:XFD28 A30:XFD1048576 A28:A29 C29:XFD29 C28:D28 A1:XFD20">
    <cfRule type="expression" dxfId="44" priority="5">
      <formula>_xlfn.ISFORMULA(A1)</formula>
    </cfRule>
  </conditionalFormatting>
  <conditionalFormatting sqref="A21:B21 D21:E21 A22:A27 C22:E27">
    <cfRule type="expression" dxfId="43" priority="4">
      <formula>_xlfn.ISFORMULA(A21)</formula>
    </cfRule>
  </conditionalFormatting>
  <conditionalFormatting sqref="C21">
    <cfRule type="expression" dxfId="42" priority="3">
      <formula>_xlfn.ISFORMULA(C21)</formula>
    </cfRule>
  </conditionalFormatting>
  <conditionalFormatting sqref="E28">
    <cfRule type="expression" dxfId="41" priority="2">
      <formula>_xlfn.ISFORMULA(E28)</formula>
    </cfRule>
  </conditionalFormatting>
  <conditionalFormatting sqref="B22:B29">
    <cfRule type="expression" dxfId="40" priority="1">
      <formula>_xlfn.ISFORMULA(B22)</formula>
    </cfRule>
  </conditionalFormatting>
  <hyperlinks>
    <hyperlink ref="B3" r:id="rId1" xr:uid="{78489C1D-D420-440C-9ECF-6AFEA9CFC674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B2694-356F-4BC5-A7E8-5D460896FEB0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C12EE-7E8B-4797-84A6-7D4AAA1FFCAC}">
  <sheetPr>
    <tabColor theme="7" tint="0.39997558519241921"/>
  </sheetPr>
  <dimension ref="A1:AC134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9" s="1" customFormat="1" ht="49.5" customHeight="1" x14ac:dyDescent="0.3">
      <c r="A1" s="1" t="s">
        <v>574</v>
      </c>
    </row>
    <row r="2" spans="1:29" s="2" customFormat="1" x14ac:dyDescent="0.3">
      <c r="A2" s="2" t="s">
        <v>1</v>
      </c>
      <c r="B2" s="2" t="s">
        <v>575</v>
      </c>
    </row>
    <row r="3" spans="1:29" s="2" customFormat="1" x14ac:dyDescent="0.3">
      <c r="A3" s="2" t="s">
        <v>3</v>
      </c>
      <c r="B3" s="6" t="s">
        <v>576</v>
      </c>
    </row>
    <row r="4" spans="1:29" s="2" customFormat="1" x14ac:dyDescent="0.3">
      <c r="A4" s="2" t="s">
        <v>7</v>
      </c>
      <c r="B4" s="7">
        <v>43136</v>
      </c>
    </row>
    <row r="5" spans="1:29" s="2" customFormat="1" x14ac:dyDescent="0.3">
      <c r="A5" s="2" t="s">
        <v>2</v>
      </c>
      <c r="B5" s="2" t="s">
        <v>577</v>
      </c>
    </row>
    <row r="6" spans="1:29" s="2" customFormat="1" x14ac:dyDescent="0.3">
      <c r="A6" s="2" t="s">
        <v>4</v>
      </c>
      <c r="B6" s="2" t="s">
        <v>578</v>
      </c>
    </row>
    <row r="8" spans="1:29" ht="21" x14ac:dyDescent="0.3">
      <c r="A8" s="793" t="s">
        <v>579</v>
      </c>
      <c r="B8" s="793"/>
      <c r="C8" s="793"/>
      <c r="D8" s="793"/>
      <c r="E8" s="793"/>
      <c r="F8" s="793"/>
      <c r="G8" s="793"/>
      <c r="H8" s="793"/>
      <c r="I8" s="793"/>
      <c r="J8" s="793"/>
      <c r="K8" s="793"/>
      <c r="L8" s="793"/>
      <c r="M8" s="793"/>
      <c r="N8" s="57"/>
      <c r="O8" s="793" t="s">
        <v>580</v>
      </c>
      <c r="P8" s="793"/>
      <c r="Q8" s="793"/>
      <c r="R8" s="793"/>
      <c r="S8" s="793"/>
      <c r="T8" s="793"/>
      <c r="U8" s="793"/>
      <c r="V8" s="793"/>
      <c r="W8" s="793"/>
      <c r="X8" s="793"/>
      <c r="Y8" s="793"/>
      <c r="Z8" s="793"/>
      <c r="AA8" s="793"/>
      <c r="AB8" s="793"/>
      <c r="AC8" s="793"/>
    </row>
    <row r="9" spans="1:29" x14ac:dyDescent="0.3">
      <c r="A9"/>
      <c r="B9" s="58"/>
      <c r="C9" s="58"/>
      <c r="D9" s="58"/>
      <c r="E9" s="58"/>
      <c r="F9" s="58"/>
      <c r="G9" s="58"/>
      <c r="H9" s="58"/>
      <c r="I9" s="58"/>
      <c r="J9" s="58"/>
      <c r="K9" s="58"/>
      <c r="L9" s="59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9"/>
      <c r="AA9" s="59"/>
      <c r="AB9" s="59"/>
      <c r="AC9" s="59"/>
    </row>
    <row r="10" spans="1:29" x14ac:dyDescent="0.3">
      <c r="A10" s="60"/>
      <c r="B10" s="794" t="s">
        <v>581</v>
      </c>
      <c r="C10" s="794"/>
      <c r="D10" s="794"/>
      <c r="E10" s="794"/>
      <c r="F10" s="794"/>
      <c r="G10" s="794"/>
      <c r="H10" s="794"/>
      <c r="I10" s="61"/>
      <c r="J10" s="794" t="s">
        <v>582</v>
      </c>
      <c r="K10" s="795"/>
      <c r="L10" s="61"/>
      <c r="M10" s="62" t="s">
        <v>583</v>
      </c>
      <c r="N10" s="59"/>
      <c r="O10" s="63"/>
      <c r="P10" s="796" t="s">
        <v>581</v>
      </c>
      <c r="Q10" s="796"/>
      <c r="R10" s="796"/>
      <c r="S10" s="796"/>
      <c r="T10" s="796"/>
      <c r="U10" s="796"/>
      <c r="V10" s="796"/>
      <c r="W10" s="796"/>
      <c r="X10" s="64"/>
      <c r="Y10" s="796" t="s">
        <v>582</v>
      </c>
      <c r="Z10" s="796"/>
      <c r="AA10" s="65"/>
      <c r="AB10" s="796" t="s">
        <v>583</v>
      </c>
      <c r="AC10" s="797"/>
    </row>
    <row r="11" spans="1:29" x14ac:dyDescent="0.3">
      <c r="A11" s="66"/>
      <c r="B11" s="67">
        <v>2000</v>
      </c>
      <c r="C11" s="67">
        <v>2016</v>
      </c>
      <c r="D11" s="68">
        <v>2017</v>
      </c>
      <c r="E11" s="67">
        <v>2025</v>
      </c>
      <c r="F11" s="67">
        <v>2030</v>
      </c>
      <c r="G11" s="67">
        <v>2035</v>
      </c>
      <c r="H11" s="67">
        <v>2040</v>
      </c>
      <c r="I11" s="67"/>
      <c r="J11" s="69">
        <v>2017</v>
      </c>
      <c r="K11" s="70">
        <v>2040</v>
      </c>
      <c r="L11" s="67"/>
      <c r="M11" s="71" t="s">
        <v>584</v>
      </c>
      <c r="N11" s="59"/>
      <c r="O11" s="63"/>
      <c r="P11" s="72">
        <v>2025</v>
      </c>
      <c r="Q11" s="72">
        <v>2030</v>
      </c>
      <c r="R11" s="72">
        <v>2035</v>
      </c>
      <c r="S11" s="72">
        <v>2040</v>
      </c>
      <c r="T11" s="72">
        <v>2025</v>
      </c>
      <c r="U11" s="72">
        <v>2030</v>
      </c>
      <c r="V11" s="72">
        <v>2035</v>
      </c>
      <c r="W11" s="72">
        <v>2040</v>
      </c>
      <c r="X11" s="72"/>
      <c r="Y11" s="798">
        <v>2040</v>
      </c>
      <c r="Z11" s="798"/>
      <c r="AA11" s="73"/>
      <c r="AB11" s="799" t="s">
        <v>584</v>
      </c>
      <c r="AC11" s="800"/>
    </row>
    <row r="12" spans="1:29" x14ac:dyDescent="0.3">
      <c r="A12" s="74"/>
      <c r="B12" s="801" t="s">
        <v>579</v>
      </c>
      <c r="C12" s="801"/>
      <c r="D12" s="801"/>
      <c r="E12" s="801"/>
      <c r="F12" s="801"/>
      <c r="G12" s="801"/>
      <c r="H12" s="801"/>
      <c r="I12" s="75"/>
      <c r="J12" s="76" t="s">
        <v>585</v>
      </c>
      <c r="K12" s="77" t="s">
        <v>585</v>
      </c>
      <c r="L12" s="78"/>
      <c r="M12" s="79" t="s">
        <v>585</v>
      </c>
      <c r="N12" s="59"/>
      <c r="O12" s="80"/>
      <c r="P12" s="802" t="s">
        <v>586</v>
      </c>
      <c r="Q12" s="802"/>
      <c r="R12" s="802"/>
      <c r="S12" s="802"/>
      <c r="T12" s="802" t="s">
        <v>587</v>
      </c>
      <c r="U12" s="802"/>
      <c r="V12" s="802"/>
      <c r="W12" s="802"/>
      <c r="X12" s="81"/>
      <c r="Y12" s="82" t="s">
        <v>588</v>
      </c>
      <c r="Z12" s="83" t="s">
        <v>589</v>
      </c>
      <c r="AA12" s="83"/>
      <c r="AB12" s="84" t="s">
        <v>590</v>
      </c>
      <c r="AC12" s="85" t="s">
        <v>589</v>
      </c>
    </row>
    <row r="13" spans="1:29" x14ac:dyDescent="0.3">
      <c r="A13" s="86" t="s">
        <v>591</v>
      </c>
      <c r="B13" s="87"/>
      <c r="C13" s="87"/>
      <c r="D13" s="87"/>
      <c r="E13" s="87"/>
      <c r="F13" s="87"/>
      <c r="G13" s="87"/>
      <c r="H13" s="87"/>
      <c r="I13" s="87"/>
      <c r="J13" s="88"/>
      <c r="K13" s="88"/>
      <c r="L13" s="87"/>
      <c r="M13" s="89"/>
      <c r="N13" s="59"/>
      <c r="O13" s="90" t="s">
        <v>591</v>
      </c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2"/>
    </row>
    <row r="14" spans="1:29" x14ac:dyDescent="0.3">
      <c r="A14" s="93" t="s">
        <v>592</v>
      </c>
      <c r="B14" s="94">
        <v>14.179</v>
      </c>
      <c r="C14" s="94">
        <v>19.457000000000001</v>
      </c>
      <c r="D14" s="95">
        <v>20.324000000000002</v>
      </c>
      <c r="E14" s="94">
        <v>26.19</v>
      </c>
      <c r="F14" s="94">
        <v>26.335000000000001</v>
      </c>
      <c r="G14" s="94">
        <v>26.088000000000001</v>
      </c>
      <c r="H14" s="94">
        <v>25.318000000000001</v>
      </c>
      <c r="I14" s="96"/>
      <c r="J14" s="97">
        <v>21.905000000000001</v>
      </c>
      <c r="K14" s="98">
        <v>24.494</v>
      </c>
      <c r="L14" s="99"/>
      <c r="M14" s="100">
        <v>0.96</v>
      </c>
      <c r="N14" s="59"/>
      <c r="O14" s="101" t="s">
        <v>592</v>
      </c>
      <c r="P14" s="102">
        <v>27.209</v>
      </c>
      <c r="Q14" s="102">
        <v>27.893000000000001</v>
      </c>
      <c r="R14" s="102">
        <v>28.201000000000001</v>
      </c>
      <c r="S14" s="102">
        <v>27.558</v>
      </c>
      <c r="T14" s="103">
        <v>24.308</v>
      </c>
      <c r="U14" s="103">
        <v>22.364999999999998</v>
      </c>
      <c r="V14" s="103">
        <v>20.361999999999998</v>
      </c>
      <c r="W14" s="103">
        <v>18.524000000000001</v>
      </c>
      <c r="X14" s="103"/>
      <c r="Y14" s="104">
        <v>23.513000000000002</v>
      </c>
      <c r="Z14" s="105">
        <v>27.254000000000001</v>
      </c>
      <c r="AA14" s="105"/>
      <c r="AB14" s="106">
        <v>1.333</v>
      </c>
      <c r="AC14" s="107">
        <v>-0.40200000000000002</v>
      </c>
    </row>
    <row r="15" spans="1:29" x14ac:dyDescent="0.3">
      <c r="A15" s="108" t="s">
        <v>593</v>
      </c>
      <c r="B15" s="94">
        <v>2.722</v>
      </c>
      <c r="C15" s="94">
        <v>4.4710000000000001</v>
      </c>
      <c r="D15" s="95">
        <v>4.8550000000000004</v>
      </c>
      <c r="E15" s="94">
        <v>5.5750000000000002</v>
      </c>
      <c r="F15" s="94">
        <v>5.6580000000000004</v>
      </c>
      <c r="G15" s="94">
        <v>5.8630000000000004</v>
      </c>
      <c r="H15" s="94">
        <v>5.9870000000000001</v>
      </c>
      <c r="I15" s="96"/>
      <c r="J15" s="97">
        <v>5.2329999999999997</v>
      </c>
      <c r="K15" s="98">
        <v>5.7919999999999998</v>
      </c>
      <c r="L15" s="99"/>
      <c r="M15" s="100">
        <v>0.91500000000000004</v>
      </c>
      <c r="N15" s="5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</row>
    <row r="16" spans="1:29" x14ac:dyDescent="0.3">
      <c r="A16" s="108" t="s">
        <v>594</v>
      </c>
      <c r="B16" s="94">
        <v>3.452</v>
      </c>
      <c r="C16" s="94">
        <v>2.468</v>
      </c>
      <c r="D16" s="95">
        <v>2.2320000000000002</v>
      </c>
      <c r="E16" s="94">
        <v>2.133</v>
      </c>
      <c r="F16" s="94">
        <v>2.3570000000000002</v>
      </c>
      <c r="G16" s="94">
        <v>2.6850000000000001</v>
      </c>
      <c r="H16" s="94">
        <v>3.1150000000000002</v>
      </c>
      <c r="I16" s="96"/>
      <c r="J16" s="97">
        <v>2.4060000000000001</v>
      </c>
      <c r="K16" s="98">
        <v>3.0139999999999998</v>
      </c>
      <c r="L16" s="99"/>
      <c r="M16" s="100">
        <v>1.46</v>
      </c>
      <c r="N16" s="5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</row>
    <row r="17" spans="1:29" x14ac:dyDescent="0.3">
      <c r="A17" s="108" t="s">
        <v>595</v>
      </c>
      <c r="B17" s="94">
        <v>8.0050000000000008</v>
      </c>
      <c r="C17" s="94">
        <v>12.518000000000001</v>
      </c>
      <c r="D17" s="95">
        <v>13.237</v>
      </c>
      <c r="E17" s="94">
        <v>18.481999999999999</v>
      </c>
      <c r="F17" s="94">
        <v>18.318999999999999</v>
      </c>
      <c r="G17" s="94">
        <v>17.54</v>
      </c>
      <c r="H17" s="94">
        <v>16.216000000000001</v>
      </c>
      <c r="I17" s="96"/>
      <c r="J17" s="97">
        <v>14.266999999999999</v>
      </c>
      <c r="K17" s="98">
        <v>15.688000000000001</v>
      </c>
      <c r="L17" s="99"/>
      <c r="M17" s="100">
        <v>0.88600000000000001</v>
      </c>
      <c r="N17" s="110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</row>
    <row r="18" spans="1:29" x14ac:dyDescent="0.3">
      <c r="A18" s="93" t="s">
        <v>596</v>
      </c>
      <c r="B18" s="94">
        <v>6.9850000000000003</v>
      </c>
      <c r="C18" s="94">
        <v>7.609</v>
      </c>
      <c r="D18" s="95">
        <v>7.2960000000000003</v>
      </c>
      <c r="E18" s="94">
        <v>7.306</v>
      </c>
      <c r="F18" s="94">
        <v>8.016</v>
      </c>
      <c r="G18" s="94">
        <v>8.8670000000000009</v>
      </c>
      <c r="H18" s="94">
        <v>9.8849999999999998</v>
      </c>
      <c r="I18" s="96"/>
      <c r="J18" s="97">
        <v>7.8639999999999999</v>
      </c>
      <c r="K18" s="98">
        <v>9.5630000000000006</v>
      </c>
      <c r="L18" s="99"/>
      <c r="M18" s="100">
        <v>1.329</v>
      </c>
      <c r="N18" s="59"/>
      <c r="O18" s="101" t="s">
        <v>596</v>
      </c>
      <c r="P18" s="102">
        <v>7.4420000000000002</v>
      </c>
      <c r="Q18" s="102">
        <v>8.609</v>
      </c>
      <c r="R18" s="102">
        <v>10.086</v>
      </c>
      <c r="S18" s="102">
        <v>11.797000000000001</v>
      </c>
      <c r="T18" s="103">
        <v>6.5339999999999998</v>
      </c>
      <c r="U18" s="103">
        <v>6.0229999999999997</v>
      </c>
      <c r="V18" s="103">
        <v>5.4349999999999996</v>
      </c>
      <c r="W18" s="103">
        <v>5.1470000000000002</v>
      </c>
      <c r="X18" s="103"/>
      <c r="Y18" s="104">
        <v>10.065</v>
      </c>
      <c r="Z18" s="105">
        <v>7.5730000000000004</v>
      </c>
      <c r="AA18" s="105"/>
      <c r="AB18" s="106">
        <v>2.1110000000000002</v>
      </c>
      <c r="AC18" s="107">
        <v>-1.506</v>
      </c>
    </row>
    <row r="19" spans="1:29" x14ac:dyDescent="0.3">
      <c r="A19" s="111" t="s">
        <v>597</v>
      </c>
      <c r="B19" s="112">
        <v>0.86299999999999999</v>
      </c>
      <c r="C19" s="112">
        <v>0.60199999999999998</v>
      </c>
      <c r="D19" s="113">
        <v>0.57599999999999996</v>
      </c>
      <c r="E19" s="112">
        <v>0.58899999999999997</v>
      </c>
      <c r="F19" s="112">
        <v>0.70599999999999996</v>
      </c>
      <c r="G19" s="112">
        <v>0.85799999999999998</v>
      </c>
      <c r="H19" s="112">
        <v>1.18</v>
      </c>
      <c r="I19" s="114"/>
      <c r="J19" s="115">
        <v>0.621</v>
      </c>
      <c r="K19" s="116">
        <v>1.1419999999999999</v>
      </c>
      <c r="L19" s="117"/>
      <c r="M19" s="118">
        <v>3.1669999999999998</v>
      </c>
      <c r="N19" s="5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</row>
    <row r="20" spans="1:29" x14ac:dyDescent="0.3">
      <c r="A20" s="111" t="s">
        <v>598</v>
      </c>
      <c r="B20" s="112">
        <v>1.268</v>
      </c>
      <c r="C20" s="112">
        <v>2.613</v>
      </c>
      <c r="D20" s="113">
        <v>2.7389999999999999</v>
      </c>
      <c r="E20" s="112">
        <v>3.6709999999999998</v>
      </c>
      <c r="F20" s="112">
        <v>4.2560000000000002</v>
      </c>
      <c r="G20" s="112">
        <v>4.7809999999999997</v>
      </c>
      <c r="H20" s="112">
        <v>5.1589999999999998</v>
      </c>
      <c r="I20" s="114"/>
      <c r="J20" s="115">
        <v>2.952</v>
      </c>
      <c r="K20" s="116">
        <v>4.9909999999999997</v>
      </c>
      <c r="L20" s="117"/>
      <c r="M20" s="118">
        <v>2.7909999999999999</v>
      </c>
      <c r="N20" s="5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</row>
    <row r="21" spans="1:29" x14ac:dyDescent="0.3">
      <c r="A21" s="111" t="s">
        <v>599</v>
      </c>
      <c r="B21" s="112">
        <v>0.40400000000000003</v>
      </c>
      <c r="C21" s="112">
        <v>0.54700000000000004</v>
      </c>
      <c r="D21" s="113">
        <v>0.53100000000000003</v>
      </c>
      <c r="E21" s="112">
        <v>0.439</v>
      </c>
      <c r="F21" s="112">
        <v>0.39800000000000002</v>
      </c>
      <c r="G21" s="112">
        <v>0.35199999999999998</v>
      </c>
      <c r="H21" s="112">
        <v>0.32400000000000001</v>
      </c>
      <c r="I21" s="114"/>
      <c r="J21" s="115">
        <v>0.57199999999999995</v>
      </c>
      <c r="K21" s="116">
        <v>0.313</v>
      </c>
      <c r="L21" s="117"/>
      <c r="M21" s="118">
        <v>-2.125</v>
      </c>
      <c r="N21" s="5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</row>
    <row r="22" spans="1:29" x14ac:dyDescent="0.3">
      <c r="A22" s="111" t="s">
        <v>600</v>
      </c>
      <c r="B22" s="112">
        <v>3.39</v>
      </c>
      <c r="C22" s="112">
        <v>2.5680000000000001</v>
      </c>
      <c r="D22" s="113">
        <v>2.2130000000000001</v>
      </c>
      <c r="E22" s="112">
        <v>1.4750000000000001</v>
      </c>
      <c r="F22" s="112">
        <v>1.698</v>
      </c>
      <c r="G22" s="112">
        <v>2.0529999999999999</v>
      </c>
      <c r="H22" s="112">
        <v>2.4740000000000002</v>
      </c>
      <c r="I22" s="114"/>
      <c r="J22" s="115">
        <v>2.3849999999999998</v>
      </c>
      <c r="K22" s="116">
        <v>2.3929999999999998</v>
      </c>
      <c r="L22" s="117"/>
      <c r="M22" s="118">
        <v>0.48599999999999999</v>
      </c>
      <c r="N22" s="5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</row>
    <row r="23" spans="1:29" x14ac:dyDescent="0.3">
      <c r="A23" s="93" t="s">
        <v>601</v>
      </c>
      <c r="B23" s="94">
        <v>7.1</v>
      </c>
      <c r="C23" s="94">
        <v>3.7480000000000002</v>
      </c>
      <c r="D23" s="95">
        <v>3.6920000000000002</v>
      </c>
      <c r="E23" s="94">
        <v>4.0289999999999999</v>
      </c>
      <c r="F23" s="94">
        <v>3.5110000000000001</v>
      </c>
      <c r="G23" s="94">
        <v>3.0579999999999998</v>
      </c>
      <c r="H23" s="94">
        <v>2.7789999999999999</v>
      </c>
      <c r="I23" s="96"/>
      <c r="J23" s="97">
        <v>3.9790000000000001</v>
      </c>
      <c r="K23" s="98">
        <v>2.6890000000000001</v>
      </c>
      <c r="L23" s="99"/>
      <c r="M23" s="100">
        <v>-1.228</v>
      </c>
      <c r="N23" s="59"/>
      <c r="O23" s="101" t="s">
        <v>601</v>
      </c>
      <c r="P23" s="102">
        <v>4.0880000000000001</v>
      </c>
      <c r="Q23" s="102">
        <v>3.6480000000000001</v>
      </c>
      <c r="R23" s="102">
        <v>3.2189999999999999</v>
      </c>
      <c r="S23" s="102">
        <v>2.9369999999999998</v>
      </c>
      <c r="T23" s="103">
        <v>3.758</v>
      </c>
      <c r="U23" s="103">
        <v>3.0590000000000002</v>
      </c>
      <c r="V23" s="103">
        <v>2.508</v>
      </c>
      <c r="W23" s="103">
        <v>2.2320000000000002</v>
      </c>
      <c r="X23" s="103"/>
      <c r="Y23" s="104">
        <v>2.5059999999999998</v>
      </c>
      <c r="Z23" s="105">
        <v>3.2839999999999998</v>
      </c>
      <c r="AA23" s="105"/>
      <c r="AB23" s="106">
        <v>-0.99</v>
      </c>
      <c r="AC23" s="107">
        <v>-2.1640000000000001</v>
      </c>
    </row>
    <row r="24" spans="1:29" x14ac:dyDescent="0.3">
      <c r="A24" s="111" t="s">
        <v>602</v>
      </c>
      <c r="B24" s="112">
        <v>3.331</v>
      </c>
      <c r="C24" s="112">
        <v>1.9950000000000001</v>
      </c>
      <c r="D24" s="113">
        <v>1.968</v>
      </c>
      <c r="E24" s="112">
        <v>2.496</v>
      </c>
      <c r="F24" s="112">
        <v>2.226</v>
      </c>
      <c r="G24" s="112">
        <v>1.9390000000000001</v>
      </c>
      <c r="H24" s="112">
        <v>1.77</v>
      </c>
      <c r="I24" s="114"/>
      <c r="J24" s="115">
        <v>2.121</v>
      </c>
      <c r="K24" s="116">
        <v>1.712</v>
      </c>
      <c r="L24" s="117"/>
      <c r="M24" s="118">
        <v>-0.46</v>
      </c>
      <c r="N24" s="5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</row>
    <row r="25" spans="1:29" x14ac:dyDescent="0.3">
      <c r="A25" s="93" t="s">
        <v>603</v>
      </c>
      <c r="B25" s="94">
        <v>7.7439999999999998</v>
      </c>
      <c r="C25" s="94">
        <v>7.8230000000000004</v>
      </c>
      <c r="D25" s="95">
        <v>8.2159999999999993</v>
      </c>
      <c r="E25" s="94">
        <v>8.0229999999999997</v>
      </c>
      <c r="F25" s="94">
        <v>8.1010000000000009</v>
      </c>
      <c r="G25" s="94">
        <v>8.3279999999999994</v>
      </c>
      <c r="H25" s="94">
        <v>8.7390000000000008</v>
      </c>
      <c r="I25" s="96"/>
      <c r="J25" s="97">
        <v>8.8550000000000004</v>
      </c>
      <c r="K25" s="98">
        <v>8.4550000000000001</v>
      </c>
      <c r="L25" s="99"/>
      <c r="M25" s="100">
        <v>0.26900000000000002</v>
      </c>
      <c r="N25" s="59"/>
      <c r="O25" s="101" t="s">
        <v>603</v>
      </c>
      <c r="P25" s="102">
        <v>8.2929999999999993</v>
      </c>
      <c r="Q25" s="102">
        <v>8.9730000000000008</v>
      </c>
      <c r="R25" s="102">
        <v>9.7420000000000009</v>
      </c>
      <c r="S25" s="102">
        <v>10.615</v>
      </c>
      <c r="T25" s="103">
        <v>7.0970000000000004</v>
      </c>
      <c r="U25" s="103">
        <v>6.468</v>
      </c>
      <c r="V25" s="103">
        <v>5.8650000000000002</v>
      </c>
      <c r="W25" s="103">
        <v>5.4059999999999997</v>
      </c>
      <c r="X25" s="103"/>
      <c r="Y25" s="104">
        <v>9.0570000000000004</v>
      </c>
      <c r="Z25" s="105">
        <v>7.9539999999999997</v>
      </c>
      <c r="AA25" s="105"/>
      <c r="AB25" s="106">
        <v>1.1200000000000001</v>
      </c>
      <c r="AC25" s="107">
        <v>-1.8029999999999999</v>
      </c>
    </row>
    <row r="26" spans="1:29" x14ac:dyDescent="0.3">
      <c r="A26" s="111" t="s">
        <v>604</v>
      </c>
      <c r="B26" s="112">
        <v>1.4359999999999999</v>
      </c>
      <c r="C26" s="112">
        <v>1.605</v>
      </c>
      <c r="D26" s="113">
        <v>1.53</v>
      </c>
      <c r="E26" s="112">
        <v>1.391</v>
      </c>
      <c r="F26" s="112">
        <v>1.379</v>
      </c>
      <c r="G26" s="112">
        <v>1.3320000000000001</v>
      </c>
      <c r="H26" s="112">
        <v>1.319</v>
      </c>
      <c r="I26" s="114"/>
      <c r="J26" s="115">
        <v>1.649</v>
      </c>
      <c r="K26" s="116">
        <v>1.276</v>
      </c>
      <c r="L26" s="117"/>
      <c r="M26" s="118">
        <v>-0.64300000000000002</v>
      </c>
      <c r="N26" s="5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</row>
    <row r="27" spans="1:29" x14ac:dyDescent="0.3">
      <c r="A27" s="111" t="s">
        <v>605</v>
      </c>
      <c r="B27" s="112">
        <v>0.745</v>
      </c>
      <c r="C27" s="112">
        <v>1.7829999999999999</v>
      </c>
      <c r="D27" s="113">
        <v>1.7370000000000001</v>
      </c>
      <c r="E27" s="112">
        <v>1.3740000000000001</v>
      </c>
      <c r="F27" s="112">
        <v>1.4159999999999999</v>
      </c>
      <c r="G27" s="112">
        <v>1.4550000000000001</v>
      </c>
      <c r="H27" s="112">
        <v>1.508</v>
      </c>
      <c r="I27" s="114"/>
      <c r="J27" s="115">
        <v>1.8720000000000001</v>
      </c>
      <c r="K27" s="116">
        <v>1.4590000000000001</v>
      </c>
      <c r="L27" s="117"/>
      <c r="M27" s="118">
        <v>-0.61299999999999999</v>
      </c>
      <c r="N27" s="5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</row>
    <row r="28" spans="1:29" x14ac:dyDescent="0.3">
      <c r="A28" s="111" t="s">
        <v>606</v>
      </c>
      <c r="B28" s="112">
        <v>0.26500000000000001</v>
      </c>
      <c r="C28" s="112">
        <v>0.217</v>
      </c>
      <c r="D28" s="113">
        <v>0.26600000000000001</v>
      </c>
      <c r="E28" s="112">
        <v>0.26800000000000002</v>
      </c>
      <c r="F28" s="112">
        <v>0.2</v>
      </c>
      <c r="G28" s="112">
        <v>0.158</v>
      </c>
      <c r="H28" s="112">
        <v>0.13700000000000001</v>
      </c>
      <c r="I28" s="114"/>
      <c r="J28" s="115">
        <v>0.28699999999999998</v>
      </c>
      <c r="K28" s="116">
        <v>0.13300000000000001</v>
      </c>
      <c r="L28" s="117"/>
      <c r="M28" s="118">
        <v>-2.8439999999999999</v>
      </c>
      <c r="N28" s="5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</row>
    <row r="29" spans="1:29" x14ac:dyDescent="0.3">
      <c r="A29" s="111" t="s">
        <v>607</v>
      </c>
      <c r="B29" s="112">
        <v>0.14499999999999999</v>
      </c>
      <c r="C29" s="112">
        <v>0.23200000000000001</v>
      </c>
      <c r="D29" s="113">
        <v>0.21099999999999999</v>
      </c>
      <c r="E29" s="112">
        <v>0.14000000000000001</v>
      </c>
      <c r="F29" s="112">
        <v>0.11</v>
      </c>
      <c r="G29" s="112">
        <v>8.6999999999999994E-2</v>
      </c>
      <c r="H29" s="112">
        <v>7.2999999999999995E-2</v>
      </c>
      <c r="I29" s="114"/>
      <c r="J29" s="115">
        <v>0.22700000000000001</v>
      </c>
      <c r="K29" s="116">
        <v>7.0999999999999994E-2</v>
      </c>
      <c r="L29" s="117"/>
      <c r="M29" s="118">
        <v>-4.51</v>
      </c>
      <c r="N29" s="5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</row>
    <row r="30" spans="1:29" x14ac:dyDescent="0.3">
      <c r="A30" s="111" t="s">
        <v>608</v>
      </c>
      <c r="B30" s="112">
        <v>0.27600000000000002</v>
      </c>
      <c r="C30" s="112">
        <v>0.22700000000000001</v>
      </c>
      <c r="D30" s="113">
        <v>0.2</v>
      </c>
      <c r="E30" s="112">
        <v>0.159</v>
      </c>
      <c r="F30" s="112">
        <v>0.14399999999999999</v>
      </c>
      <c r="G30" s="112">
        <v>0.114</v>
      </c>
      <c r="H30" s="112">
        <v>0.107</v>
      </c>
      <c r="I30" s="114"/>
      <c r="J30" s="115">
        <v>0.216</v>
      </c>
      <c r="K30" s="116">
        <v>0.104</v>
      </c>
      <c r="L30" s="117"/>
      <c r="M30" s="118">
        <v>-2.6829999999999998</v>
      </c>
      <c r="N30" s="5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</row>
    <row r="31" spans="1:29" x14ac:dyDescent="0.3">
      <c r="A31" s="111" t="s">
        <v>609</v>
      </c>
      <c r="B31" s="112">
        <v>1.4890000000000001</v>
      </c>
      <c r="C31" s="112">
        <v>0.42599999999999999</v>
      </c>
      <c r="D31" s="113">
        <v>0.872</v>
      </c>
      <c r="E31" s="112">
        <v>1.2390000000000001</v>
      </c>
      <c r="F31" s="112">
        <v>1.2290000000000001</v>
      </c>
      <c r="G31" s="112">
        <v>1.415</v>
      </c>
      <c r="H31" s="112">
        <v>1.641</v>
      </c>
      <c r="I31" s="114"/>
      <c r="J31" s="115">
        <v>0.94</v>
      </c>
      <c r="K31" s="116">
        <v>1.5880000000000001</v>
      </c>
      <c r="L31" s="117"/>
      <c r="M31" s="118">
        <v>2.7869999999999999</v>
      </c>
      <c r="N31" s="5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</row>
    <row r="32" spans="1:29" x14ac:dyDescent="0.3">
      <c r="A32" s="111" t="s">
        <v>610</v>
      </c>
      <c r="B32" s="112">
        <v>2.16</v>
      </c>
      <c r="C32" s="112">
        <v>1.925</v>
      </c>
      <c r="D32" s="113">
        <v>1.988</v>
      </c>
      <c r="E32" s="112">
        <v>2.0649999999999999</v>
      </c>
      <c r="F32" s="112">
        <v>2.16</v>
      </c>
      <c r="G32" s="112">
        <v>2.3849999999999998</v>
      </c>
      <c r="H32" s="112">
        <v>2.645</v>
      </c>
      <c r="I32" s="114"/>
      <c r="J32" s="115">
        <v>2.1429999999999998</v>
      </c>
      <c r="K32" s="116">
        <v>2.5590000000000002</v>
      </c>
      <c r="L32" s="117"/>
      <c r="M32" s="118">
        <v>1.2490000000000001</v>
      </c>
      <c r="N32" s="5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</row>
    <row r="33" spans="1:29" x14ac:dyDescent="0.3">
      <c r="A33" s="93" t="s">
        <v>611</v>
      </c>
      <c r="B33" s="94">
        <v>23.513000000000002</v>
      </c>
      <c r="C33" s="94">
        <v>31.663</v>
      </c>
      <c r="D33" s="95">
        <v>31.280999999999999</v>
      </c>
      <c r="E33" s="94">
        <v>32.774999999999999</v>
      </c>
      <c r="F33" s="94">
        <v>34.749000000000002</v>
      </c>
      <c r="G33" s="94">
        <v>35.82</v>
      </c>
      <c r="H33" s="94">
        <v>37.235999999999997</v>
      </c>
      <c r="I33" s="96"/>
      <c r="J33" s="97">
        <v>33.715000000000003</v>
      </c>
      <c r="K33" s="98">
        <v>36.024000000000001</v>
      </c>
      <c r="L33" s="99"/>
      <c r="M33" s="100">
        <v>0.76100000000000001</v>
      </c>
      <c r="N33" s="59"/>
      <c r="O33" s="101" t="s">
        <v>611</v>
      </c>
      <c r="P33" s="102">
        <v>33.99</v>
      </c>
      <c r="Q33" s="102">
        <v>36.716000000000001</v>
      </c>
      <c r="R33" s="102">
        <v>38.746000000000002</v>
      </c>
      <c r="S33" s="102">
        <v>41.567</v>
      </c>
      <c r="T33" s="103">
        <v>30.465</v>
      </c>
      <c r="U33" s="103">
        <v>30.009</v>
      </c>
      <c r="V33" s="103">
        <v>27.123000000000001</v>
      </c>
      <c r="W33" s="103">
        <v>24.754999999999999</v>
      </c>
      <c r="X33" s="103"/>
      <c r="Y33" s="104">
        <v>35.465000000000003</v>
      </c>
      <c r="Z33" s="105">
        <v>36.420999999999999</v>
      </c>
      <c r="AA33" s="105"/>
      <c r="AB33" s="106">
        <v>1.244</v>
      </c>
      <c r="AC33" s="107">
        <v>-1.012</v>
      </c>
    </row>
    <row r="34" spans="1:29" x14ac:dyDescent="0.3">
      <c r="A34" s="111" t="s">
        <v>612</v>
      </c>
      <c r="B34" s="112">
        <v>3.76</v>
      </c>
      <c r="C34" s="112">
        <v>4.3819999999999997</v>
      </c>
      <c r="D34" s="113">
        <v>4.7069999999999999</v>
      </c>
      <c r="E34" s="112">
        <v>4.819</v>
      </c>
      <c r="F34" s="112">
        <v>5.2309999999999999</v>
      </c>
      <c r="G34" s="112">
        <v>5.3869999999999996</v>
      </c>
      <c r="H34" s="112">
        <v>5.5410000000000004</v>
      </c>
      <c r="I34" s="114"/>
      <c r="J34" s="115">
        <v>5.0730000000000004</v>
      </c>
      <c r="K34" s="116">
        <v>5.3609999999999998</v>
      </c>
      <c r="L34" s="117"/>
      <c r="M34" s="118">
        <v>0.71199999999999997</v>
      </c>
      <c r="N34" s="5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</row>
    <row r="35" spans="1:29" x14ac:dyDescent="0.3">
      <c r="A35" s="111" t="s">
        <v>613</v>
      </c>
      <c r="B35" s="112">
        <v>2.5819999999999999</v>
      </c>
      <c r="C35" s="112">
        <v>4.508</v>
      </c>
      <c r="D35" s="113">
        <v>4.5679999999999996</v>
      </c>
      <c r="E35" s="112">
        <v>5.1079999999999997</v>
      </c>
      <c r="F35" s="112">
        <v>5.6189999999999998</v>
      </c>
      <c r="G35" s="112">
        <v>6.1470000000000002</v>
      </c>
      <c r="H35" s="112">
        <v>6.8319999999999999</v>
      </c>
      <c r="I35" s="114"/>
      <c r="J35" s="115">
        <v>4.923</v>
      </c>
      <c r="K35" s="116">
        <v>6.61</v>
      </c>
      <c r="L35" s="117"/>
      <c r="M35" s="118">
        <v>1.766</v>
      </c>
      <c r="N35" s="5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</row>
    <row r="36" spans="1:29" x14ac:dyDescent="0.3">
      <c r="A36" s="111" t="s">
        <v>614</v>
      </c>
      <c r="B36" s="112">
        <v>2.161</v>
      </c>
      <c r="C36" s="112">
        <v>3.194</v>
      </c>
      <c r="D36" s="113">
        <v>3.0139999999999998</v>
      </c>
      <c r="E36" s="112">
        <v>3.3780000000000001</v>
      </c>
      <c r="F36" s="112">
        <v>3.512</v>
      </c>
      <c r="G36" s="112">
        <v>3.4670000000000001</v>
      </c>
      <c r="H36" s="112">
        <v>3.44</v>
      </c>
      <c r="I36" s="114"/>
      <c r="J36" s="115">
        <v>3.2490000000000001</v>
      </c>
      <c r="K36" s="116">
        <v>3.3279999999999998</v>
      </c>
      <c r="L36" s="117"/>
      <c r="M36" s="118">
        <v>0.57599999999999996</v>
      </c>
      <c r="N36" s="5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</row>
    <row r="37" spans="1:29" x14ac:dyDescent="0.3">
      <c r="A37" s="111" t="s">
        <v>615</v>
      </c>
      <c r="B37" s="112">
        <v>0.86099999999999999</v>
      </c>
      <c r="C37" s="112">
        <v>1.986</v>
      </c>
      <c r="D37" s="113">
        <v>2.0089999999999999</v>
      </c>
      <c r="E37" s="112">
        <v>2.1560000000000001</v>
      </c>
      <c r="F37" s="112">
        <v>2.367</v>
      </c>
      <c r="G37" s="112">
        <v>2.5139999999999998</v>
      </c>
      <c r="H37" s="112">
        <v>2.5840000000000001</v>
      </c>
      <c r="I37" s="114"/>
      <c r="J37" s="115">
        <v>2.165</v>
      </c>
      <c r="K37" s="116">
        <v>2.5</v>
      </c>
      <c r="L37" s="117"/>
      <c r="M37" s="118">
        <v>1.1000000000000001</v>
      </c>
      <c r="N37" s="5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</row>
    <row r="38" spans="1:29" x14ac:dyDescent="0.3">
      <c r="A38" s="111" t="s">
        <v>616</v>
      </c>
      <c r="B38" s="112">
        <v>9.3490000000000002</v>
      </c>
      <c r="C38" s="112">
        <v>12.439</v>
      </c>
      <c r="D38" s="113">
        <v>11.965</v>
      </c>
      <c r="E38" s="112">
        <v>12.2</v>
      </c>
      <c r="F38" s="112">
        <v>12.714</v>
      </c>
      <c r="G38" s="112">
        <v>12.916</v>
      </c>
      <c r="H38" s="112">
        <v>13.265000000000001</v>
      </c>
      <c r="I38" s="114"/>
      <c r="J38" s="115">
        <v>12.896000000000001</v>
      </c>
      <c r="K38" s="116">
        <v>12.833</v>
      </c>
      <c r="L38" s="117"/>
      <c r="M38" s="118">
        <v>0.44900000000000001</v>
      </c>
      <c r="N38" s="5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</row>
    <row r="39" spans="1:29" x14ac:dyDescent="0.3">
      <c r="A39" s="111" t="s">
        <v>617</v>
      </c>
      <c r="B39" s="112">
        <v>2.6219999999999999</v>
      </c>
      <c r="C39" s="112">
        <v>3.8879999999999999</v>
      </c>
      <c r="D39" s="113">
        <v>3.77</v>
      </c>
      <c r="E39" s="112">
        <v>3.9380000000000002</v>
      </c>
      <c r="F39" s="112">
        <v>4.1120000000000001</v>
      </c>
      <c r="G39" s="112">
        <v>4.2</v>
      </c>
      <c r="H39" s="112">
        <v>4.4020000000000001</v>
      </c>
      <c r="I39" s="114"/>
      <c r="J39" s="115">
        <v>4.0629999999999997</v>
      </c>
      <c r="K39" s="116">
        <v>4.2590000000000003</v>
      </c>
      <c r="L39" s="117"/>
      <c r="M39" s="118">
        <v>0.67600000000000005</v>
      </c>
      <c r="N39" s="5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</row>
    <row r="40" spans="1:29" x14ac:dyDescent="0.3">
      <c r="A40" s="93" t="s">
        <v>618</v>
      </c>
      <c r="B40" s="94">
        <v>7.8540000000000001</v>
      </c>
      <c r="C40" s="94">
        <v>14.132</v>
      </c>
      <c r="D40" s="95">
        <v>14.26</v>
      </c>
      <c r="E40" s="94">
        <v>14.644</v>
      </c>
      <c r="F40" s="94">
        <v>14.218</v>
      </c>
      <c r="G40" s="94">
        <v>13.343999999999999</v>
      </c>
      <c r="H40" s="94">
        <v>12.625</v>
      </c>
      <c r="I40" s="96"/>
      <c r="J40" s="97">
        <v>15.37</v>
      </c>
      <c r="K40" s="98">
        <v>12.214</v>
      </c>
      <c r="L40" s="99"/>
      <c r="M40" s="100">
        <v>-0.52800000000000002</v>
      </c>
      <c r="N40" s="59"/>
      <c r="O40" s="101" t="s">
        <v>618</v>
      </c>
      <c r="P40" s="102">
        <v>14.807</v>
      </c>
      <c r="Q40" s="102">
        <v>14.784000000000001</v>
      </c>
      <c r="R40" s="102">
        <v>14.683999999999999</v>
      </c>
      <c r="S40" s="102">
        <v>14.645</v>
      </c>
      <c r="T40" s="103">
        <v>13.085000000000001</v>
      </c>
      <c r="U40" s="103">
        <v>11.314</v>
      </c>
      <c r="V40" s="103">
        <v>9.2230000000000008</v>
      </c>
      <c r="W40" s="103">
        <v>7.7709999999999999</v>
      </c>
      <c r="X40" s="103"/>
      <c r="Y40" s="104">
        <v>12.494999999999999</v>
      </c>
      <c r="Z40" s="105">
        <v>11.433</v>
      </c>
      <c r="AA40" s="105"/>
      <c r="AB40" s="106">
        <v>0.11600000000000001</v>
      </c>
      <c r="AC40" s="107">
        <v>-2.605</v>
      </c>
    </row>
    <row r="41" spans="1:29" x14ac:dyDescent="0.3">
      <c r="A41" s="111" t="s">
        <v>619</v>
      </c>
      <c r="B41" s="112">
        <v>0.73299999999999998</v>
      </c>
      <c r="C41" s="112">
        <v>1.6659999999999999</v>
      </c>
      <c r="D41" s="113">
        <v>1.84</v>
      </c>
      <c r="E41" s="112">
        <v>2.1219999999999999</v>
      </c>
      <c r="F41" s="112">
        <v>2.3809999999999998</v>
      </c>
      <c r="G41" s="112">
        <v>2.4649999999999999</v>
      </c>
      <c r="H41" s="112">
        <v>2.484</v>
      </c>
      <c r="I41" s="114"/>
      <c r="J41" s="115">
        <v>1.9830000000000001</v>
      </c>
      <c r="K41" s="116">
        <v>2.403</v>
      </c>
      <c r="L41" s="117"/>
      <c r="M41" s="118">
        <v>1.3129999999999999</v>
      </c>
      <c r="N41" s="5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</row>
    <row r="42" spans="1:29" x14ac:dyDescent="0.3">
      <c r="A42" s="111" t="s">
        <v>620</v>
      </c>
      <c r="B42" s="112">
        <v>6.5270000000000001</v>
      </c>
      <c r="C42" s="112">
        <v>11.340999999999999</v>
      </c>
      <c r="D42" s="113">
        <v>11.358000000000001</v>
      </c>
      <c r="E42" s="112">
        <v>11.531000000000001</v>
      </c>
      <c r="F42" s="112">
        <v>10.91</v>
      </c>
      <c r="G42" s="112">
        <v>10.029</v>
      </c>
      <c r="H42" s="112">
        <v>9.3610000000000007</v>
      </c>
      <c r="I42" s="114"/>
      <c r="J42" s="115">
        <v>12.242000000000001</v>
      </c>
      <c r="K42" s="116">
        <v>9.0559999999999992</v>
      </c>
      <c r="L42" s="117"/>
      <c r="M42" s="118">
        <v>-0.83699999999999997</v>
      </c>
      <c r="N42" s="5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</row>
    <row r="43" spans="1:29" x14ac:dyDescent="0.3">
      <c r="A43" s="93" t="s">
        <v>621</v>
      </c>
      <c r="B43" s="94">
        <v>7.8289999999999997</v>
      </c>
      <c r="C43" s="94">
        <v>7.9790000000000001</v>
      </c>
      <c r="D43" s="95">
        <v>7.7130000000000001</v>
      </c>
      <c r="E43" s="94">
        <v>6.9539999999999997</v>
      </c>
      <c r="F43" s="94">
        <v>6.702</v>
      </c>
      <c r="G43" s="94">
        <v>6.5830000000000002</v>
      </c>
      <c r="H43" s="94">
        <v>6.782</v>
      </c>
      <c r="I43" s="96"/>
      <c r="J43" s="97">
        <v>8.3130000000000006</v>
      </c>
      <c r="K43" s="98">
        <v>6.5609999999999999</v>
      </c>
      <c r="L43" s="99"/>
      <c r="M43" s="100">
        <v>-0.55800000000000005</v>
      </c>
      <c r="N43" s="59"/>
      <c r="O43" s="101" t="s">
        <v>621</v>
      </c>
      <c r="P43" s="102">
        <v>7.0739999999999998</v>
      </c>
      <c r="Q43" s="102">
        <v>7.0529999999999999</v>
      </c>
      <c r="R43" s="102">
        <v>7.3659999999999997</v>
      </c>
      <c r="S43" s="102">
        <v>8.0850000000000009</v>
      </c>
      <c r="T43" s="103">
        <v>6.3179999999999996</v>
      </c>
      <c r="U43" s="103">
        <v>5.492</v>
      </c>
      <c r="V43" s="103">
        <v>4.6909999999999998</v>
      </c>
      <c r="W43" s="103">
        <v>4.1340000000000003</v>
      </c>
      <c r="X43" s="103"/>
      <c r="Y43" s="104">
        <v>6.8979999999999997</v>
      </c>
      <c r="Z43" s="105">
        <v>6.0819999999999999</v>
      </c>
      <c r="AA43" s="105"/>
      <c r="AB43" s="106">
        <v>0.20499999999999999</v>
      </c>
      <c r="AC43" s="107">
        <v>-2.6749999999999998</v>
      </c>
    </row>
    <row r="44" spans="1:29" x14ac:dyDescent="0.3">
      <c r="A44" s="111" t="s">
        <v>622</v>
      </c>
      <c r="B44" s="112">
        <v>3.2160000000000002</v>
      </c>
      <c r="C44" s="112">
        <v>3.9729999999999999</v>
      </c>
      <c r="D44" s="113">
        <v>3.863</v>
      </c>
      <c r="E44" s="112">
        <v>3.2679999999999998</v>
      </c>
      <c r="F44" s="112">
        <v>3.1829999999999998</v>
      </c>
      <c r="G44" s="112">
        <v>3.1030000000000002</v>
      </c>
      <c r="H44" s="112">
        <v>3.125</v>
      </c>
      <c r="I44" s="114"/>
      <c r="J44" s="115">
        <v>4.1639999999999997</v>
      </c>
      <c r="K44" s="116">
        <v>3.0230000000000001</v>
      </c>
      <c r="L44" s="117"/>
      <c r="M44" s="118">
        <v>-0.91800000000000004</v>
      </c>
      <c r="N44" s="5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</row>
    <row r="45" spans="1:29" x14ac:dyDescent="0.3">
      <c r="A45" s="111" t="s">
        <v>623</v>
      </c>
      <c r="B45" s="112">
        <v>0.77</v>
      </c>
      <c r="C45" s="112">
        <v>0.84899999999999998</v>
      </c>
      <c r="D45" s="113">
        <v>0.85699999999999998</v>
      </c>
      <c r="E45" s="112">
        <v>0.92800000000000005</v>
      </c>
      <c r="F45" s="112">
        <v>0.90200000000000002</v>
      </c>
      <c r="G45" s="112">
        <v>0.89300000000000002</v>
      </c>
      <c r="H45" s="112">
        <v>0.89800000000000002</v>
      </c>
      <c r="I45" s="114"/>
      <c r="J45" s="115">
        <v>0.92400000000000004</v>
      </c>
      <c r="K45" s="116">
        <v>0.86899999999999999</v>
      </c>
      <c r="L45" s="117"/>
      <c r="M45" s="118">
        <v>0.20300000000000001</v>
      </c>
      <c r="N45" s="5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</row>
    <row r="46" spans="1:29" x14ac:dyDescent="0.3">
      <c r="A46" s="119" t="s">
        <v>624</v>
      </c>
      <c r="B46" s="120">
        <v>21.861000000000001</v>
      </c>
      <c r="C46" s="120">
        <v>23.414999999999999</v>
      </c>
      <c r="D46" s="121">
        <v>24.202000000000002</v>
      </c>
      <c r="E46" s="120">
        <v>30.6</v>
      </c>
      <c r="F46" s="120">
        <v>30.277999999999999</v>
      </c>
      <c r="G46" s="120">
        <v>29.715</v>
      </c>
      <c r="H46" s="120">
        <v>28.998999999999999</v>
      </c>
      <c r="I46" s="122"/>
      <c r="J46" s="123">
        <v>26.085000000000001</v>
      </c>
      <c r="K46" s="124">
        <v>28.055</v>
      </c>
      <c r="L46" s="125"/>
      <c r="M46" s="126">
        <v>0.78900000000000003</v>
      </c>
      <c r="N46" s="59"/>
      <c r="O46" s="127" t="s">
        <v>624</v>
      </c>
      <c r="P46" s="128">
        <v>31.7</v>
      </c>
      <c r="Q46" s="128">
        <v>31.981999999999999</v>
      </c>
      <c r="R46" s="128">
        <v>32.052999999999997</v>
      </c>
      <c r="S46" s="128">
        <v>31.556999999999999</v>
      </c>
      <c r="T46" s="129">
        <v>28.425000000000001</v>
      </c>
      <c r="U46" s="129">
        <v>25.818999999999999</v>
      </c>
      <c r="V46" s="129">
        <v>23.295000000000002</v>
      </c>
      <c r="W46" s="129">
        <v>21.225000000000001</v>
      </c>
      <c r="X46" s="129"/>
      <c r="Y46" s="130">
        <v>26.925000000000001</v>
      </c>
      <c r="Z46" s="131">
        <v>31.227</v>
      </c>
      <c r="AA46" s="131"/>
      <c r="AB46" s="132">
        <v>1.1599999999999999</v>
      </c>
      <c r="AC46" s="133">
        <v>-0.56899999999999995</v>
      </c>
    </row>
    <row r="47" spans="1:29" x14ac:dyDescent="0.3">
      <c r="A47" s="134" t="s">
        <v>625</v>
      </c>
      <c r="B47" s="135">
        <v>53.344000000000001</v>
      </c>
      <c r="C47" s="135">
        <v>68.995999999999995</v>
      </c>
      <c r="D47" s="136">
        <v>68.578999999999994</v>
      </c>
      <c r="E47" s="135">
        <v>69.322000000000003</v>
      </c>
      <c r="F47" s="135">
        <v>71.353999999999999</v>
      </c>
      <c r="G47" s="135">
        <v>72.372</v>
      </c>
      <c r="H47" s="135">
        <v>74.367000000000004</v>
      </c>
      <c r="I47" s="137"/>
      <c r="J47" s="138">
        <v>73.915000000000006</v>
      </c>
      <c r="K47" s="139">
        <v>71.945999999999998</v>
      </c>
      <c r="L47" s="140"/>
      <c r="M47" s="141">
        <v>0.35299999999999998</v>
      </c>
      <c r="N47" s="59"/>
      <c r="O47" s="142" t="s">
        <v>625</v>
      </c>
      <c r="P47" s="143">
        <v>71.203999999999994</v>
      </c>
      <c r="Q47" s="143">
        <v>75.692999999999998</v>
      </c>
      <c r="R47" s="143">
        <v>79.989999999999995</v>
      </c>
      <c r="S47" s="143">
        <v>85.647999999999996</v>
      </c>
      <c r="T47" s="144">
        <v>63.14</v>
      </c>
      <c r="U47" s="144">
        <v>58.911000000000001</v>
      </c>
      <c r="V47" s="144">
        <v>51.912999999999997</v>
      </c>
      <c r="W47" s="144">
        <v>46.744</v>
      </c>
      <c r="X47" s="144"/>
      <c r="Y47" s="145">
        <v>73.075000000000003</v>
      </c>
      <c r="Z47" s="146">
        <v>68.772999999999996</v>
      </c>
      <c r="AA47" s="146"/>
      <c r="AB47" s="147">
        <v>0.97099999999999997</v>
      </c>
      <c r="AC47" s="148">
        <v>-1.653</v>
      </c>
    </row>
    <row r="48" spans="1:29" x14ac:dyDescent="0.3">
      <c r="A48" s="134" t="s">
        <v>626</v>
      </c>
      <c r="B48" s="135">
        <v>22.021000000000001</v>
      </c>
      <c r="C48" s="135">
        <v>23.509</v>
      </c>
      <c r="D48" s="136">
        <v>24.292999999999999</v>
      </c>
      <c r="E48" s="135">
        <v>30.683</v>
      </c>
      <c r="F48" s="135">
        <v>30.346</v>
      </c>
      <c r="G48" s="135">
        <v>29.78</v>
      </c>
      <c r="H48" s="135">
        <v>29.065999999999999</v>
      </c>
      <c r="I48" s="137"/>
      <c r="J48" s="138">
        <v>26.183</v>
      </c>
      <c r="K48" s="139">
        <v>28.12</v>
      </c>
      <c r="L48" s="140"/>
      <c r="M48" s="141">
        <v>0.78300000000000003</v>
      </c>
      <c r="N48" s="149"/>
      <c r="O48" s="142" t="s">
        <v>626</v>
      </c>
      <c r="P48" s="143">
        <v>31.7</v>
      </c>
      <c r="Q48" s="143">
        <v>31.981999999999999</v>
      </c>
      <c r="R48" s="143">
        <v>32.052999999999997</v>
      </c>
      <c r="S48" s="143">
        <v>31.556999999999999</v>
      </c>
      <c r="T48" s="144">
        <v>28.425000000000001</v>
      </c>
      <c r="U48" s="144">
        <v>25.818999999999999</v>
      </c>
      <c r="V48" s="144">
        <v>23.295000000000002</v>
      </c>
      <c r="W48" s="144">
        <v>21.225000000000001</v>
      </c>
      <c r="X48" s="144"/>
      <c r="Y48" s="145">
        <v>26.925000000000001</v>
      </c>
      <c r="Z48" s="146">
        <v>31.227</v>
      </c>
      <c r="AA48" s="146"/>
      <c r="AB48" s="147">
        <v>1.1439999999999999</v>
      </c>
      <c r="AC48" s="148">
        <v>-0.58499999999999996</v>
      </c>
    </row>
    <row r="49" spans="1:29" x14ac:dyDescent="0.3">
      <c r="A49" s="134" t="s">
        <v>627</v>
      </c>
      <c r="B49" s="135">
        <v>53.183999999999997</v>
      </c>
      <c r="C49" s="135">
        <v>68.902000000000001</v>
      </c>
      <c r="D49" s="136">
        <v>68.488</v>
      </c>
      <c r="E49" s="135">
        <v>69.239000000000004</v>
      </c>
      <c r="F49" s="135">
        <v>71.286000000000001</v>
      </c>
      <c r="G49" s="135">
        <v>72.307000000000002</v>
      </c>
      <c r="H49" s="135">
        <v>74.299000000000007</v>
      </c>
      <c r="I49" s="137"/>
      <c r="J49" s="138">
        <v>73.816999999999993</v>
      </c>
      <c r="K49" s="139">
        <v>71.88</v>
      </c>
      <c r="L49" s="140"/>
      <c r="M49" s="141">
        <v>0.35499999999999998</v>
      </c>
      <c r="N49" s="59"/>
      <c r="O49" s="150" t="s">
        <v>627</v>
      </c>
      <c r="P49" s="151">
        <v>71.200999999999993</v>
      </c>
      <c r="Q49" s="151">
        <v>75.691000000000003</v>
      </c>
      <c r="R49" s="151">
        <v>79.986000000000004</v>
      </c>
      <c r="S49" s="151">
        <v>85.644000000000005</v>
      </c>
      <c r="T49" s="152">
        <v>63.137</v>
      </c>
      <c r="U49" s="152">
        <v>58.908999999999999</v>
      </c>
      <c r="V49" s="152">
        <v>51.91</v>
      </c>
      <c r="W49" s="152">
        <v>46.741</v>
      </c>
      <c r="X49" s="152"/>
      <c r="Y49" s="153">
        <v>73.072000000000003</v>
      </c>
      <c r="Z49" s="154">
        <v>68.768000000000001</v>
      </c>
      <c r="AA49" s="154"/>
      <c r="AB49" s="155">
        <v>0.97699999999999998</v>
      </c>
      <c r="AC49" s="156">
        <v>-1.647</v>
      </c>
    </row>
    <row r="50" spans="1:29" x14ac:dyDescent="0.3">
      <c r="A50" s="157" t="s">
        <v>628</v>
      </c>
      <c r="B50" s="158">
        <v>43.561</v>
      </c>
      <c r="C50" s="158">
        <v>52.484000000000002</v>
      </c>
      <c r="D50" s="158">
        <v>53.201000000000001</v>
      </c>
      <c r="E50" s="158">
        <v>59.774999999999999</v>
      </c>
      <c r="F50" s="158">
        <v>59.341000000000001</v>
      </c>
      <c r="G50" s="158">
        <v>58.106000000000002</v>
      </c>
      <c r="H50" s="158">
        <v>57.072000000000003</v>
      </c>
      <c r="I50" s="159"/>
      <c r="J50" s="160">
        <v>57.34</v>
      </c>
      <c r="K50" s="161">
        <v>55.213999999999999</v>
      </c>
      <c r="L50" s="162"/>
      <c r="M50" s="163">
        <v>0.30599999999999999</v>
      </c>
      <c r="N50" s="59"/>
      <c r="O50" s="164" t="s">
        <v>628</v>
      </c>
      <c r="P50" s="165">
        <v>61.268999999999998</v>
      </c>
      <c r="Q50" s="165">
        <v>62.511000000000003</v>
      </c>
      <c r="R50" s="165">
        <v>63.485999999999997</v>
      </c>
      <c r="S50" s="165">
        <v>64.245000000000005</v>
      </c>
      <c r="T50" s="165">
        <v>54.747</v>
      </c>
      <c r="U50" s="165">
        <v>48.951999999999998</v>
      </c>
      <c r="V50" s="165">
        <v>42.747</v>
      </c>
      <c r="W50" s="165">
        <v>38.104999999999997</v>
      </c>
      <c r="X50" s="165"/>
      <c r="Y50" s="166">
        <v>54.814</v>
      </c>
      <c r="Z50" s="166">
        <v>56.061999999999998</v>
      </c>
      <c r="AA50" s="166"/>
      <c r="AB50" s="167">
        <v>0.82299999999999995</v>
      </c>
      <c r="AC50" s="168">
        <v>-1.4410000000000001</v>
      </c>
    </row>
    <row r="51" spans="1:29" x14ac:dyDescent="0.3">
      <c r="A51" s="93" t="s">
        <v>629</v>
      </c>
      <c r="B51" s="94">
        <v>36.442999999999998</v>
      </c>
      <c r="C51" s="94">
        <v>35.563000000000002</v>
      </c>
      <c r="D51" s="95">
        <v>35.174999999999997</v>
      </c>
      <c r="E51" s="94">
        <v>33.978999999999999</v>
      </c>
      <c r="F51" s="94">
        <v>32.988</v>
      </c>
      <c r="G51" s="94">
        <v>31.015000000000001</v>
      </c>
      <c r="H51" s="94">
        <v>29.59</v>
      </c>
      <c r="I51" s="96"/>
      <c r="J51" s="97">
        <v>37.911999999999999</v>
      </c>
      <c r="K51" s="98">
        <v>28.626999999999999</v>
      </c>
      <c r="L51" s="99"/>
      <c r="M51" s="100">
        <v>-0.749</v>
      </c>
      <c r="N51" s="5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</row>
    <row r="52" spans="1:29" x14ac:dyDescent="0.3">
      <c r="A52" s="93" t="s">
        <v>630</v>
      </c>
      <c r="B52" s="94">
        <v>0</v>
      </c>
      <c r="C52" s="94">
        <v>4.3979999999999997</v>
      </c>
      <c r="D52" s="95">
        <v>4.8049999999999997</v>
      </c>
      <c r="E52" s="94">
        <v>9.8230000000000004</v>
      </c>
      <c r="F52" s="94">
        <v>9.9670000000000005</v>
      </c>
      <c r="G52" s="94">
        <v>10.358000000000001</v>
      </c>
      <c r="H52" s="94">
        <v>10.750999999999999</v>
      </c>
      <c r="I52" s="96"/>
      <c r="J52" s="97">
        <v>5.1790000000000003</v>
      </c>
      <c r="K52" s="98">
        <v>10.401</v>
      </c>
      <c r="L52" s="99"/>
      <c r="M52" s="100">
        <v>3.5640000000000001</v>
      </c>
      <c r="N52" s="5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</row>
    <row r="53" spans="1:29" x14ac:dyDescent="0.3">
      <c r="A53" s="169" t="s">
        <v>595</v>
      </c>
      <c r="B53" s="170">
        <v>0</v>
      </c>
      <c r="C53" s="170">
        <v>4.0149999999999997</v>
      </c>
      <c r="D53" s="171">
        <v>4.4109999999999996</v>
      </c>
      <c r="E53" s="170">
        <v>9.1530000000000005</v>
      </c>
      <c r="F53" s="170">
        <v>8.9030000000000005</v>
      </c>
      <c r="G53" s="170">
        <v>8.2629999999999999</v>
      </c>
      <c r="H53" s="170">
        <v>7.3630000000000004</v>
      </c>
      <c r="I53" s="172"/>
      <c r="J53" s="173">
        <v>4.7539999999999996</v>
      </c>
      <c r="K53" s="174">
        <v>7.1230000000000002</v>
      </c>
      <c r="L53" s="175"/>
      <c r="M53" s="176">
        <v>2.2530000000000001</v>
      </c>
      <c r="N53" s="5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</row>
    <row r="54" spans="1:29" x14ac:dyDescent="0.3">
      <c r="A54" s="93" t="s">
        <v>631</v>
      </c>
      <c r="B54" s="94">
        <v>6.0730000000000004</v>
      </c>
      <c r="C54" s="94">
        <v>9.6370000000000005</v>
      </c>
      <c r="D54" s="95">
        <v>10.044</v>
      </c>
      <c r="E54" s="94">
        <v>11.584</v>
      </c>
      <c r="F54" s="94">
        <v>11.707000000000001</v>
      </c>
      <c r="G54" s="94">
        <v>11.631</v>
      </c>
      <c r="H54" s="94">
        <v>11.18</v>
      </c>
      <c r="I54" s="96"/>
      <c r="J54" s="97">
        <v>10.824999999999999</v>
      </c>
      <c r="K54" s="98">
        <v>10.816000000000001</v>
      </c>
      <c r="L54" s="99"/>
      <c r="M54" s="100">
        <v>0.46700000000000003</v>
      </c>
      <c r="N54" s="5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</row>
    <row r="55" spans="1:29" x14ac:dyDescent="0.3">
      <c r="A55" s="93" t="s">
        <v>632</v>
      </c>
      <c r="B55" s="94">
        <v>0.60799999999999998</v>
      </c>
      <c r="C55" s="94">
        <v>2.4140000000000001</v>
      </c>
      <c r="D55" s="95">
        <v>2.7130000000000001</v>
      </c>
      <c r="E55" s="94">
        <v>3.3719999999999999</v>
      </c>
      <c r="F55" s="94">
        <v>3.4790000000000001</v>
      </c>
      <c r="G55" s="94">
        <v>3.6160000000000001</v>
      </c>
      <c r="H55" s="94">
        <v>3.8090000000000002</v>
      </c>
      <c r="I55" s="96"/>
      <c r="J55" s="97">
        <v>2.9239999999999999</v>
      </c>
      <c r="K55" s="98">
        <v>3.6850000000000001</v>
      </c>
      <c r="L55" s="99"/>
      <c r="M55" s="100">
        <v>1.486</v>
      </c>
      <c r="N55" s="5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</row>
    <row r="56" spans="1:29" x14ac:dyDescent="0.3">
      <c r="A56" s="93" t="s">
        <v>633</v>
      </c>
      <c r="B56" s="94">
        <v>0.437</v>
      </c>
      <c r="C56" s="94">
        <v>0.47299999999999998</v>
      </c>
      <c r="D56" s="95">
        <v>0.46400000000000002</v>
      </c>
      <c r="E56" s="94">
        <v>1.018</v>
      </c>
      <c r="F56" s="94">
        <v>1.2</v>
      </c>
      <c r="G56" s="94">
        <v>1.486</v>
      </c>
      <c r="H56" s="94">
        <v>1.742</v>
      </c>
      <c r="I56" s="96"/>
      <c r="J56" s="97">
        <v>0.5</v>
      </c>
      <c r="K56" s="98">
        <v>1.6850000000000001</v>
      </c>
      <c r="L56" s="99"/>
      <c r="M56" s="100">
        <v>5.92</v>
      </c>
      <c r="N56" s="5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</row>
    <row r="57" spans="1:29" x14ac:dyDescent="0.3">
      <c r="A57" s="157" t="s">
        <v>634</v>
      </c>
      <c r="B57" s="158">
        <v>31.643999999999998</v>
      </c>
      <c r="C57" s="158">
        <v>39.927</v>
      </c>
      <c r="D57" s="158">
        <v>39.58</v>
      </c>
      <c r="E57" s="158">
        <v>40.146999999999998</v>
      </c>
      <c r="F57" s="158">
        <v>42.290999999999997</v>
      </c>
      <c r="G57" s="158">
        <v>43.981999999999999</v>
      </c>
      <c r="H57" s="158">
        <v>46.292999999999999</v>
      </c>
      <c r="I57" s="159"/>
      <c r="J57" s="160">
        <v>42.66</v>
      </c>
      <c r="K57" s="161">
        <v>44.786000000000001</v>
      </c>
      <c r="L57" s="162"/>
      <c r="M57" s="163">
        <v>0.68300000000000005</v>
      </c>
      <c r="N57" s="59"/>
      <c r="O57" s="177" t="s">
        <v>634</v>
      </c>
      <c r="P57" s="178">
        <v>41.634</v>
      </c>
      <c r="Q57" s="178">
        <v>45.164999999999999</v>
      </c>
      <c r="R57" s="178">
        <v>48.557000000000002</v>
      </c>
      <c r="S57" s="178">
        <v>52.96</v>
      </c>
      <c r="T57" s="178">
        <v>36.817999999999998</v>
      </c>
      <c r="U57" s="178">
        <v>35.777000000000001</v>
      </c>
      <c r="V57" s="178">
        <v>32.46</v>
      </c>
      <c r="W57" s="178">
        <v>29.864000000000001</v>
      </c>
      <c r="X57" s="178"/>
      <c r="Y57" s="179">
        <v>45.186</v>
      </c>
      <c r="Z57" s="179">
        <v>43.938000000000002</v>
      </c>
      <c r="AA57" s="179"/>
      <c r="AB57" s="180">
        <v>1.274</v>
      </c>
      <c r="AC57" s="181">
        <v>-1.2170000000000001</v>
      </c>
    </row>
    <row r="58" spans="1:29" x14ac:dyDescent="0.3">
      <c r="A58" s="93" t="s">
        <v>629</v>
      </c>
      <c r="B58" s="94">
        <v>28.361999999999998</v>
      </c>
      <c r="C58" s="94">
        <v>32.137999999999998</v>
      </c>
      <c r="D58" s="95">
        <v>31.716000000000001</v>
      </c>
      <c r="E58" s="94">
        <v>31.619</v>
      </c>
      <c r="F58" s="94">
        <v>32.723999999999997</v>
      </c>
      <c r="G58" s="94">
        <v>33.090000000000003</v>
      </c>
      <c r="H58" s="94">
        <v>34.164000000000001</v>
      </c>
      <c r="I58" s="96"/>
      <c r="J58" s="97">
        <v>34.183999999999997</v>
      </c>
      <c r="K58" s="98">
        <v>33.052</v>
      </c>
      <c r="L58" s="99"/>
      <c r="M58" s="100">
        <v>0.32400000000000001</v>
      </c>
      <c r="N58" s="5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  <c r="AC58" s="109"/>
    </row>
    <row r="59" spans="1:29" x14ac:dyDescent="0.3">
      <c r="A59" s="93" t="s">
        <v>631</v>
      </c>
      <c r="B59" s="94">
        <v>2.8460000000000001</v>
      </c>
      <c r="C59" s="94">
        <v>6.5410000000000004</v>
      </c>
      <c r="D59" s="95">
        <v>6.6429999999999998</v>
      </c>
      <c r="E59" s="94">
        <v>7.4219999999999997</v>
      </c>
      <c r="F59" s="94">
        <v>8.2309999999999999</v>
      </c>
      <c r="G59" s="94">
        <v>9.1449999999999996</v>
      </c>
      <c r="H59" s="94">
        <v>9.8889999999999993</v>
      </c>
      <c r="I59" s="96"/>
      <c r="J59" s="97">
        <v>7.16</v>
      </c>
      <c r="K59" s="98">
        <v>9.5670000000000002</v>
      </c>
      <c r="L59" s="99"/>
      <c r="M59" s="100">
        <v>1.7450000000000001</v>
      </c>
      <c r="N59" s="5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  <c r="AC59" s="109"/>
    </row>
    <row r="60" spans="1:29" x14ac:dyDescent="0.3">
      <c r="A60" s="93" t="s">
        <v>635</v>
      </c>
      <c r="B60" s="94">
        <v>0.376</v>
      </c>
      <c r="C60" s="94">
        <v>1.0129999999999999</v>
      </c>
      <c r="D60" s="95">
        <v>0.96699999999999997</v>
      </c>
      <c r="E60" s="94">
        <v>0.82799999999999996</v>
      </c>
      <c r="F60" s="94">
        <v>1.02</v>
      </c>
      <c r="G60" s="94">
        <v>1.339</v>
      </c>
      <c r="H60" s="94">
        <v>1.6839999999999999</v>
      </c>
      <c r="I60" s="96"/>
      <c r="J60" s="97">
        <v>1.042</v>
      </c>
      <c r="K60" s="98">
        <v>1.629</v>
      </c>
      <c r="L60" s="99"/>
      <c r="M60" s="100">
        <v>2.4409999999999998</v>
      </c>
      <c r="N60" s="5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  <c r="AC60" s="109"/>
    </row>
    <row r="61" spans="1:29" x14ac:dyDescent="0.3">
      <c r="A61" s="93" t="s">
        <v>633</v>
      </c>
      <c r="B61" s="94">
        <v>0.06</v>
      </c>
      <c r="C61" s="94">
        <v>0.23499999999999999</v>
      </c>
      <c r="D61" s="95">
        <v>0.254</v>
      </c>
      <c r="E61" s="94">
        <v>0.27800000000000002</v>
      </c>
      <c r="F61" s="94">
        <v>0.316</v>
      </c>
      <c r="G61" s="94">
        <v>0.40699999999999997</v>
      </c>
      <c r="H61" s="94">
        <v>0.55500000000000005</v>
      </c>
      <c r="I61" s="96"/>
      <c r="J61" s="97">
        <v>0.27400000000000002</v>
      </c>
      <c r="K61" s="98">
        <v>0.53700000000000003</v>
      </c>
      <c r="L61" s="99"/>
      <c r="M61" s="100">
        <v>3.4569999999999999</v>
      </c>
      <c r="N61" s="5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  <c r="AC61" s="109"/>
    </row>
    <row r="62" spans="1:29" x14ac:dyDescent="0.3">
      <c r="A62" s="182" t="s">
        <v>636</v>
      </c>
      <c r="B62" s="183">
        <v>75.204999999999998</v>
      </c>
      <c r="C62" s="183">
        <v>92.411000000000001</v>
      </c>
      <c r="D62" s="183">
        <v>92.781000000000006</v>
      </c>
      <c r="E62" s="183">
        <v>99.921999999999997</v>
      </c>
      <c r="F62" s="183">
        <v>101.631</v>
      </c>
      <c r="G62" s="183">
        <v>102.087</v>
      </c>
      <c r="H62" s="183">
        <v>103.36499999999999</v>
      </c>
      <c r="I62" s="184"/>
      <c r="J62" s="185">
        <v>100</v>
      </c>
      <c r="K62" s="186">
        <v>100</v>
      </c>
      <c r="L62" s="187"/>
      <c r="M62" s="188">
        <v>0.47099999999999997</v>
      </c>
      <c r="N62" s="59"/>
      <c r="O62" s="189" t="s">
        <v>636</v>
      </c>
      <c r="P62" s="190">
        <v>102.90300000000001</v>
      </c>
      <c r="Q62" s="190">
        <v>107.675</v>
      </c>
      <c r="R62" s="190">
        <v>112.04300000000001</v>
      </c>
      <c r="S62" s="190">
        <v>117.205</v>
      </c>
      <c r="T62" s="190">
        <v>91.564999999999998</v>
      </c>
      <c r="U62" s="190">
        <v>84.728999999999999</v>
      </c>
      <c r="V62" s="190">
        <v>75.206999999999994</v>
      </c>
      <c r="W62" s="190">
        <v>67.968999999999994</v>
      </c>
      <c r="X62" s="190"/>
      <c r="Y62" s="191">
        <v>100</v>
      </c>
      <c r="Z62" s="191">
        <v>100</v>
      </c>
      <c r="AA62" s="191"/>
      <c r="AB62" s="192">
        <v>1.0209999999999999</v>
      </c>
      <c r="AC62" s="193">
        <v>-1.3440000000000001</v>
      </c>
    </row>
    <row r="63" spans="1:29" x14ac:dyDescent="0.3">
      <c r="A63" s="93" t="s">
        <v>629</v>
      </c>
      <c r="B63" s="94">
        <v>64.805000000000007</v>
      </c>
      <c r="C63" s="94">
        <v>67.700999999999993</v>
      </c>
      <c r="D63" s="95">
        <v>66.891999999999996</v>
      </c>
      <c r="E63" s="94">
        <v>65.597999999999999</v>
      </c>
      <c r="F63" s="94">
        <v>65.712999999999994</v>
      </c>
      <c r="G63" s="94">
        <v>64.105000000000004</v>
      </c>
      <c r="H63" s="94">
        <v>63.753999999999998</v>
      </c>
      <c r="I63" s="96"/>
      <c r="J63" s="97">
        <v>70.356999999999999</v>
      </c>
      <c r="K63" s="98">
        <v>59.981000000000002</v>
      </c>
      <c r="L63" s="99"/>
      <c r="M63" s="100">
        <v>-0.20899999999999999</v>
      </c>
      <c r="N63" s="59"/>
      <c r="O63" s="101" t="s">
        <v>629</v>
      </c>
      <c r="P63" s="102">
        <v>67.2</v>
      </c>
      <c r="Q63" s="102">
        <v>69.465000000000003</v>
      </c>
      <c r="R63" s="102">
        <v>70.534999999999997</v>
      </c>
      <c r="S63" s="102">
        <v>72.619</v>
      </c>
      <c r="T63" s="103">
        <v>59.841000000000001</v>
      </c>
      <c r="U63" s="103">
        <v>54.204999999999998</v>
      </c>
      <c r="V63" s="103">
        <v>45.796999999999997</v>
      </c>
      <c r="W63" s="103">
        <v>40.228999999999999</v>
      </c>
      <c r="X63" s="103"/>
      <c r="Y63" s="104">
        <v>60.253999999999998</v>
      </c>
      <c r="Z63" s="105">
        <v>57.558</v>
      </c>
      <c r="AA63" s="105"/>
      <c r="AB63" s="106">
        <v>0.35799999999999998</v>
      </c>
      <c r="AC63" s="107">
        <v>-2.1869999999999998</v>
      </c>
    </row>
    <row r="64" spans="1:29" x14ac:dyDescent="0.3">
      <c r="A64" s="93" t="s">
        <v>630</v>
      </c>
      <c r="B64" s="94">
        <v>0</v>
      </c>
      <c r="C64" s="94">
        <v>4.3979999999999997</v>
      </c>
      <c r="D64" s="95">
        <v>4.8049999999999997</v>
      </c>
      <c r="E64" s="94">
        <v>9.8230000000000004</v>
      </c>
      <c r="F64" s="94">
        <v>9.9870000000000001</v>
      </c>
      <c r="G64" s="94">
        <v>10.433</v>
      </c>
      <c r="H64" s="94">
        <v>10.962</v>
      </c>
      <c r="I64" s="96"/>
      <c r="J64" s="97">
        <v>5.0540000000000003</v>
      </c>
      <c r="K64" s="98">
        <v>10.313000000000001</v>
      </c>
      <c r="L64" s="99"/>
      <c r="M64" s="100">
        <v>3.6509999999999998</v>
      </c>
      <c r="N64" s="59"/>
      <c r="O64" s="101" t="s">
        <v>630</v>
      </c>
      <c r="P64" s="102">
        <v>10.256</v>
      </c>
      <c r="Q64" s="102">
        <v>10.478</v>
      </c>
      <c r="R64" s="102">
        <v>11.2</v>
      </c>
      <c r="S64" s="102">
        <v>12.055</v>
      </c>
      <c r="T64" s="103">
        <v>9.1419999999999995</v>
      </c>
      <c r="U64" s="103">
        <v>8.2919999999999998</v>
      </c>
      <c r="V64" s="103">
        <v>7.9889999999999999</v>
      </c>
      <c r="W64" s="103">
        <v>7.258</v>
      </c>
      <c r="X64" s="103"/>
      <c r="Y64" s="104">
        <v>10.002000000000001</v>
      </c>
      <c r="Z64" s="105">
        <v>10.384</v>
      </c>
      <c r="AA64" s="105"/>
      <c r="AB64" s="106">
        <v>4.08</v>
      </c>
      <c r="AC64" s="107">
        <v>1.8089999999999999</v>
      </c>
    </row>
    <row r="65" spans="1:29" x14ac:dyDescent="0.3">
      <c r="A65" s="93" t="s">
        <v>631</v>
      </c>
      <c r="B65" s="94">
        <v>8.9190000000000005</v>
      </c>
      <c r="C65" s="94">
        <v>16.178000000000001</v>
      </c>
      <c r="D65" s="95">
        <v>16.687000000000001</v>
      </c>
      <c r="E65" s="94">
        <v>19.006</v>
      </c>
      <c r="F65" s="94">
        <v>19.937999999999999</v>
      </c>
      <c r="G65" s="94">
        <v>20.776</v>
      </c>
      <c r="H65" s="94">
        <v>21.068999999999999</v>
      </c>
      <c r="I65" s="96"/>
      <c r="J65" s="97">
        <v>17.550999999999998</v>
      </c>
      <c r="K65" s="98">
        <v>19.821999999999999</v>
      </c>
      <c r="L65" s="99"/>
      <c r="M65" s="100">
        <v>1.0189999999999999</v>
      </c>
      <c r="N65" s="59"/>
      <c r="O65" s="101" t="s">
        <v>631</v>
      </c>
      <c r="P65" s="102">
        <v>19.777999999999999</v>
      </c>
      <c r="Q65" s="102">
        <v>21.193999999999999</v>
      </c>
      <c r="R65" s="102">
        <v>22.234999999999999</v>
      </c>
      <c r="S65" s="102">
        <v>22.853000000000002</v>
      </c>
      <c r="T65" s="103">
        <v>17.518999999999998</v>
      </c>
      <c r="U65" s="103">
        <v>17.196999999999999</v>
      </c>
      <c r="V65" s="103">
        <v>16.507000000000001</v>
      </c>
      <c r="W65" s="103">
        <v>15.619</v>
      </c>
      <c r="X65" s="103"/>
      <c r="Y65" s="104">
        <v>18.962</v>
      </c>
      <c r="Z65" s="105">
        <v>22.347000000000001</v>
      </c>
      <c r="AA65" s="105"/>
      <c r="AB65" s="106">
        <v>1.377</v>
      </c>
      <c r="AC65" s="107">
        <v>-0.28699999999999998</v>
      </c>
    </row>
    <row r="66" spans="1:29" x14ac:dyDescent="0.3">
      <c r="A66" s="93" t="s">
        <v>637</v>
      </c>
      <c r="B66" s="94">
        <v>0.98399999999999999</v>
      </c>
      <c r="C66" s="94">
        <v>3.427</v>
      </c>
      <c r="D66" s="95">
        <v>3.6789999999999998</v>
      </c>
      <c r="E66" s="94">
        <v>4.2039999999999997</v>
      </c>
      <c r="F66" s="94">
        <v>4.5069999999999997</v>
      </c>
      <c r="G66" s="94">
        <v>4.968</v>
      </c>
      <c r="H66" s="94">
        <v>5.508</v>
      </c>
      <c r="I66" s="96"/>
      <c r="J66" s="97">
        <v>3.87</v>
      </c>
      <c r="K66" s="98">
        <v>5.1820000000000004</v>
      </c>
      <c r="L66" s="99"/>
      <c r="M66" s="100">
        <v>1.77</v>
      </c>
      <c r="N66" s="59"/>
      <c r="O66" s="101" t="s">
        <v>637</v>
      </c>
      <c r="P66" s="102">
        <v>4.3109999999999999</v>
      </c>
      <c r="Q66" s="102">
        <v>4.88</v>
      </c>
      <c r="R66" s="102">
        <v>5.8470000000000004</v>
      </c>
      <c r="S66" s="102">
        <v>6.9640000000000004</v>
      </c>
      <c r="T66" s="103">
        <v>3.8580000000000001</v>
      </c>
      <c r="U66" s="103">
        <v>3.7679999999999998</v>
      </c>
      <c r="V66" s="103">
        <v>3.613</v>
      </c>
      <c r="W66" s="103">
        <v>3.5169999999999999</v>
      </c>
      <c r="X66" s="103"/>
      <c r="Y66" s="104">
        <v>5.7779999999999996</v>
      </c>
      <c r="Z66" s="105">
        <v>5.032</v>
      </c>
      <c r="AA66" s="105"/>
      <c r="AB66" s="106">
        <v>2.8130000000000002</v>
      </c>
      <c r="AC66" s="107">
        <v>-0.19600000000000001</v>
      </c>
    </row>
    <row r="67" spans="1:29" x14ac:dyDescent="0.3">
      <c r="A67" s="194" t="s">
        <v>633</v>
      </c>
      <c r="B67" s="195">
        <v>0.497</v>
      </c>
      <c r="C67" s="195">
        <v>0.70699999999999996</v>
      </c>
      <c r="D67" s="196">
        <v>0.71799999999999997</v>
      </c>
      <c r="E67" s="195">
        <v>1.2909999999999999</v>
      </c>
      <c r="F67" s="195">
        <v>1.486</v>
      </c>
      <c r="G67" s="195">
        <v>1.806</v>
      </c>
      <c r="H67" s="195">
        <v>2.0720000000000001</v>
      </c>
      <c r="I67" s="197"/>
      <c r="J67" s="198">
        <v>0.755</v>
      </c>
      <c r="K67" s="199">
        <v>1.9490000000000001</v>
      </c>
      <c r="L67" s="200"/>
      <c r="M67" s="201">
        <v>4.7160000000000002</v>
      </c>
      <c r="N67" s="59"/>
      <c r="O67" s="202" t="s">
        <v>633</v>
      </c>
      <c r="P67" s="203">
        <v>1.3580000000000001</v>
      </c>
      <c r="Q67" s="203">
        <v>1.659</v>
      </c>
      <c r="R67" s="203">
        <v>2.2269999999999999</v>
      </c>
      <c r="S67" s="203">
        <v>2.714</v>
      </c>
      <c r="T67" s="204">
        <v>1.2050000000000001</v>
      </c>
      <c r="U67" s="204">
        <v>1.266</v>
      </c>
      <c r="V67" s="204">
        <v>1.302</v>
      </c>
      <c r="W67" s="204">
        <v>1.347</v>
      </c>
      <c r="X67" s="204"/>
      <c r="Y67" s="205">
        <v>2.2519999999999998</v>
      </c>
      <c r="Z67" s="206">
        <v>1.927</v>
      </c>
      <c r="AA67" s="206"/>
      <c r="AB67" s="207">
        <v>5.952</v>
      </c>
      <c r="AC67" s="208">
        <v>2.7730000000000001</v>
      </c>
    </row>
    <row r="68" spans="1:29" x14ac:dyDescent="0.3">
      <c r="A68" s="209" t="s">
        <v>638</v>
      </c>
      <c r="B68" s="210">
        <v>1.84</v>
      </c>
      <c r="C68" s="210">
        <v>2.2669999999999999</v>
      </c>
      <c r="D68" s="211">
        <v>2.294</v>
      </c>
      <c r="E68" s="210">
        <v>2.5179999999999998</v>
      </c>
      <c r="F68" s="210">
        <v>2.6539999999999999</v>
      </c>
      <c r="G68" s="210">
        <v>2.79</v>
      </c>
      <c r="H68" s="210">
        <v>2.9260000000000002</v>
      </c>
      <c r="I68" s="212"/>
      <c r="J68" s="213">
        <v>2.4129999999999998</v>
      </c>
      <c r="K68" s="214">
        <v>2.7530000000000001</v>
      </c>
      <c r="L68" s="215"/>
      <c r="M68" s="216">
        <v>1.0640000000000001</v>
      </c>
      <c r="N68" s="59"/>
      <c r="O68" s="217" t="s">
        <v>638</v>
      </c>
      <c r="P68" s="218">
        <v>2.593</v>
      </c>
      <c r="Q68" s="218">
        <v>2.8119999999999998</v>
      </c>
      <c r="R68" s="218">
        <v>3.0619999999999998</v>
      </c>
      <c r="S68" s="218">
        <v>3.3170000000000002</v>
      </c>
      <c r="T68" s="219">
        <v>2.3079999999999998</v>
      </c>
      <c r="U68" s="219">
        <v>2.2130000000000001</v>
      </c>
      <c r="V68" s="219">
        <v>2.0550000000000002</v>
      </c>
      <c r="W68" s="219">
        <v>1.9239999999999999</v>
      </c>
      <c r="X68" s="219"/>
      <c r="Y68" s="220">
        <v>2.7519999999999998</v>
      </c>
      <c r="Z68" s="221">
        <v>2.7530000000000001</v>
      </c>
      <c r="AA68" s="221"/>
      <c r="AB68" s="222">
        <v>1.6160000000000001</v>
      </c>
      <c r="AC68" s="223">
        <v>-0.76200000000000001</v>
      </c>
    </row>
    <row r="69" spans="1:29" x14ac:dyDescent="0.3">
      <c r="A69" s="224" t="s">
        <v>639</v>
      </c>
      <c r="B69" s="225">
        <v>77.045000000000002</v>
      </c>
      <c r="C69" s="225">
        <v>94.677999999999997</v>
      </c>
      <c r="D69" s="225">
        <v>95.075000000000003</v>
      </c>
      <c r="E69" s="225">
        <v>102.44</v>
      </c>
      <c r="F69" s="225">
        <v>104.285</v>
      </c>
      <c r="G69" s="225">
        <v>104.877</v>
      </c>
      <c r="H69" s="225">
        <v>106.291</v>
      </c>
      <c r="I69" s="226"/>
      <c r="J69" s="227">
        <v>100</v>
      </c>
      <c r="K69" s="228">
        <v>100</v>
      </c>
      <c r="L69" s="229"/>
      <c r="M69" s="230">
        <v>0.48599999999999999</v>
      </c>
      <c r="N69" s="59"/>
      <c r="O69" s="231" t="s">
        <v>639</v>
      </c>
      <c r="P69" s="232">
        <v>105.496</v>
      </c>
      <c r="Q69" s="232">
        <v>110.48699999999999</v>
      </c>
      <c r="R69" s="232">
        <v>115.105</v>
      </c>
      <c r="S69" s="232">
        <v>120.52200000000001</v>
      </c>
      <c r="T69" s="232">
        <v>93.872</v>
      </c>
      <c r="U69" s="232">
        <v>86.941999999999993</v>
      </c>
      <c r="V69" s="232">
        <v>77.263000000000005</v>
      </c>
      <c r="W69" s="232">
        <v>69.893000000000001</v>
      </c>
      <c r="X69" s="232"/>
      <c r="Y69" s="233">
        <v>100</v>
      </c>
      <c r="Z69" s="233">
        <v>100</v>
      </c>
      <c r="AA69" s="233"/>
      <c r="AB69" s="234">
        <v>1.036</v>
      </c>
      <c r="AC69" s="235">
        <v>-1.329</v>
      </c>
    </row>
    <row r="70" spans="1:29" x14ac:dyDescent="0.3">
      <c r="A70" s="86" t="s">
        <v>640</v>
      </c>
      <c r="B70" s="87"/>
      <c r="C70" s="87"/>
      <c r="D70" s="87"/>
      <c r="E70" s="87"/>
      <c r="F70" s="87"/>
      <c r="G70" s="87"/>
      <c r="H70" s="87"/>
      <c r="I70" s="87"/>
      <c r="J70" s="88"/>
      <c r="K70" s="88"/>
      <c r="L70" s="87"/>
      <c r="M70" s="89"/>
      <c r="N70" s="59"/>
      <c r="O70" s="90" t="s">
        <v>640</v>
      </c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2"/>
    </row>
    <row r="71" spans="1:29" x14ac:dyDescent="0.3">
      <c r="A71" s="93" t="s">
        <v>592</v>
      </c>
      <c r="B71" s="96">
        <v>762.72799999999995</v>
      </c>
      <c r="C71" s="96">
        <v>966.02</v>
      </c>
      <c r="D71" s="236">
        <v>976.26199999999994</v>
      </c>
      <c r="E71" s="96">
        <v>1184.7</v>
      </c>
      <c r="F71" s="96">
        <v>1224.55</v>
      </c>
      <c r="G71" s="96">
        <v>1274.01</v>
      </c>
      <c r="H71" s="96">
        <v>1327.63</v>
      </c>
      <c r="I71" s="96"/>
      <c r="J71" s="97">
        <v>25.902999999999999</v>
      </c>
      <c r="K71" s="98">
        <v>24.593</v>
      </c>
      <c r="L71" s="99"/>
      <c r="M71" s="100">
        <v>1.3460000000000001</v>
      </c>
      <c r="N71" s="59"/>
      <c r="O71" s="101" t="s">
        <v>592</v>
      </c>
      <c r="P71" s="237">
        <v>1189.6500000000001</v>
      </c>
      <c r="Q71" s="237">
        <v>1271.25</v>
      </c>
      <c r="R71" s="237">
        <v>1339.27</v>
      </c>
      <c r="S71" s="237">
        <v>1369.71</v>
      </c>
      <c r="T71" s="238">
        <v>1161.07</v>
      </c>
      <c r="U71" s="238">
        <v>1140.53</v>
      </c>
      <c r="V71" s="238">
        <v>1039.26</v>
      </c>
      <c r="W71" s="238">
        <v>915.56600000000003</v>
      </c>
      <c r="X71" s="238"/>
      <c r="Y71" s="104">
        <v>23.427</v>
      </c>
      <c r="Z71" s="105">
        <v>21.882000000000001</v>
      </c>
      <c r="AA71" s="105"/>
      <c r="AB71" s="106">
        <v>1.4830000000000001</v>
      </c>
      <c r="AC71" s="107">
        <v>-0.27900000000000003</v>
      </c>
    </row>
    <row r="72" spans="1:29" x14ac:dyDescent="0.3">
      <c r="A72" s="108" t="s">
        <v>593</v>
      </c>
      <c r="B72" s="96">
        <v>181.673</v>
      </c>
      <c r="C72" s="96">
        <v>174.05699999999999</v>
      </c>
      <c r="D72" s="236">
        <v>184.26599999999999</v>
      </c>
      <c r="E72" s="96">
        <v>180.83500000000001</v>
      </c>
      <c r="F72" s="96">
        <v>173.06</v>
      </c>
      <c r="G72" s="96">
        <v>174.76900000000001</v>
      </c>
      <c r="H72" s="96">
        <v>193.983</v>
      </c>
      <c r="I72" s="96"/>
      <c r="J72" s="97">
        <v>4.8890000000000002</v>
      </c>
      <c r="K72" s="98">
        <v>3.593</v>
      </c>
      <c r="L72" s="99"/>
      <c r="M72" s="100">
        <v>0.224</v>
      </c>
      <c r="N72" s="5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  <c r="AC72" s="109"/>
    </row>
    <row r="73" spans="1:29" x14ac:dyDescent="0.3">
      <c r="A73" s="108" t="s">
        <v>594</v>
      </c>
      <c r="B73" s="96">
        <v>36.72</v>
      </c>
      <c r="C73" s="96">
        <v>36.698999999999998</v>
      </c>
      <c r="D73" s="236">
        <v>31.567</v>
      </c>
      <c r="E73" s="96">
        <v>32.793999999999997</v>
      </c>
      <c r="F73" s="96">
        <v>37.877000000000002</v>
      </c>
      <c r="G73" s="96">
        <v>49.984000000000002</v>
      </c>
      <c r="H73" s="96">
        <v>59.588999999999999</v>
      </c>
      <c r="I73" s="96"/>
      <c r="J73" s="97">
        <v>0.83799999999999997</v>
      </c>
      <c r="K73" s="98">
        <v>1.1040000000000001</v>
      </c>
      <c r="L73" s="99"/>
      <c r="M73" s="100">
        <v>2.8010000000000002</v>
      </c>
      <c r="N73" s="5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</row>
    <row r="74" spans="1:29" x14ac:dyDescent="0.3">
      <c r="A74" s="108" t="s">
        <v>595</v>
      </c>
      <c r="B74" s="96">
        <v>544.33500000000004</v>
      </c>
      <c r="C74" s="96">
        <v>755.26400000000001</v>
      </c>
      <c r="D74" s="236">
        <v>760.42899999999997</v>
      </c>
      <c r="E74" s="96">
        <v>971.06799999999998</v>
      </c>
      <c r="F74" s="96">
        <v>1013.62</v>
      </c>
      <c r="G74" s="96">
        <v>1049.25</v>
      </c>
      <c r="H74" s="96">
        <v>1074.06</v>
      </c>
      <c r="I74" s="96"/>
      <c r="J74" s="97">
        <v>20.177</v>
      </c>
      <c r="K74" s="98">
        <v>19.896000000000001</v>
      </c>
      <c r="L74" s="99"/>
      <c r="M74" s="100">
        <v>1.5129999999999999</v>
      </c>
      <c r="N74" s="5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  <c r="AC74" s="109"/>
    </row>
    <row r="75" spans="1:29" x14ac:dyDescent="0.3">
      <c r="A75" s="93" t="s">
        <v>596</v>
      </c>
      <c r="B75" s="96">
        <v>101.977</v>
      </c>
      <c r="C75" s="96">
        <v>177.05600000000001</v>
      </c>
      <c r="D75" s="236">
        <v>183.285</v>
      </c>
      <c r="E75" s="96">
        <v>188.53700000000001</v>
      </c>
      <c r="F75" s="96">
        <v>212.14</v>
      </c>
      <c r="G75" s="96">
        <v>251.41200000000001</v>
      </c>
      <c r="H75" s="96">
        <v>292.55500000000001</v>
      </c>
      <c r="I75" s="96"/>
      <c r="J75" s="97">
        <v>4.8630000000000004</v>
      </c>
      <c r="K75" s="98">
        <v>5.4189999999999996</v>
      </c>
      <c r="L75" s="99"/>
      <c r="M75" s="100">
        <v>2.0539999999999998</v>
      </c>
      <c r="N75" s="59"/>
      <c r="O75" s="101" t="s">
        <v>596</v>
      </c>
      <c r="P75" s="237">
        <v>198.05</v>
      </c>
      <c r="Q75" s="237">
        <v>245.893</v>
      </c>
      <c r="R75" s="237">
        <v>290.63600000000002</v>
      </c>
      <c r="S75" s="237">
        <v>339.85899999999998</v>
      </c>
      <c r="T75" s="238">
        <v>182.70099999999999</v>
      </c>
      <c r="U75" s="238">
        <v>187.34800000000001</v>
      </c>
      <c r="V75" s="238">
        <v>187.23500000000001</v>
      </c>
      <c r="W75" s="238">
        <v>195.51</v>
      </c>
      <c r="X75" s="238"/>
      <c r="Y75" s="104">
        <v>5.8129999999999997</v>
      </c>
      <c r="Z75" s="105">
        <v>4.673</v>
      </c>
      <c r="AA75" s="105"/>
      <c r="AB75" s="106">
        <v>2.7210000000000001</v>
      </c>
      <c r="AC75" s="107">
        <v>0.28100000000000003</v>
      </c>
    </row>
    <row r="76" spans="1:29" x14ac:dyDescent="0.3">
      <c r="A76" s="111" t="s">
        <v>597</v>
      </c>
      <c r="B76" s="114">
        <v>40.997</v>
      </c>
      <c r="C76" s="114">
        <v>42.966999999999999</v>
      </c>
      <c r="D76" s="239">
        <v>44.615000000000002</v>
      </c>
      <c r="E76" s="114">
        <v>56.823</v>
      </c>
      <c r="F76" s="114">
        <v>76.866</v>
      </c>
      <c r="G76" s="114">
        <v>99.308000000000007</v>
      </c>
      <c r="H76" s="114">
        <v>116.79600000000001</v>
      </c>
      <c r="I76" s="114"/>
      <c r="J76" s="115">
        <v>1.1839999999999999</v>
      </c>
      <c r="K76" s="116">
        <v>2.1629999999999998</v>
      </c>
      <c r="L76" s="117"/>
      <c r="M76" s="118">
        <v>4.2729999999999997</v>
      </c>
      <c r="N76" s="5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  <c r="AC76" s="109"/>
    </row>
    <row r="77" spans="1:29" x14ac:dyDescent="0.3">
      <c r="A77" s="111" t="s">
        <v>598</v>
      </c>
      <c r="B77" s="114">
        <v>7.1619999999999999</v>
      </c>
      <c r="C77" s="114">
        <v>23.693000000000001</v>
      </c>
      <c r="D77" s="239">
        <v>26.802</v>
      </c>
      <c r="E77" s="114">
        <v>28.329000000000001</v>
      </c>
      <c r="F77" s="114">
        <v>39.380000000000003</v>
      </c>
      <c r="G77" s="114">
        <v>60.173999999999999</v>
      </c>
      <c r="H77" s="114">
        <v>80.311999999999998</v>
      </c>
      <c r="I77" s="114"/>
      <c r="J77" s="115">
        <v>0.71099999999999997</v>
      </c>
      <c r="K77" s="116">
        <v>1.488</v>
      </c>
      <c r="L77" s="117"/>
      <c r="M77" s="118">
        <v>4.8869999999999996</v>
      </c>
      <c r="N77" s="5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</row>
    <row r="78" spans="1:29" x14ac:dyDescent="0.3">
      <c r="A78" s="93" t="s">
        <v>601</v>
      </c>
      <c r="B78" s="96">
        <v>338.08699999999999</v>
      </c>
      <c r="C78" s="96">
        <v>288.66800000000001</v>
      </c>
      <c r="D78" s="236">
        <v>290.81900000000002</v>
      </c>
      <c r="E78" s="96">
        <v>226.92500000000001</v>
      </c>
      <c r="F78" s="96">
        <v>207.42</v>
      </c>
      <c r="G78" s="96">
        <v>205.07400000000001</v>
      </c>
      <c r="H78" s="96">
        <v>202.56200000000001</v>
      </c>
      <c r="I78" s="96"/>
      <c r="J78" s="97">
        <v>7.7160000000000002</v>
      </c>
      <c r="K78" s="98">
        <v>3.7519999999999998</v>
      </c>
      <c r="L78" s="99"/>
      <c r="M78" s="100">
        <v>-1.56</v>
      </c>
      <c r="N78" s="59"/>
      <c r="O78" s="101" t="s">
        <v>601</v>
      </c>
      <c r="P78" s="237">
        <v>226.92500000000001</v>
      </c>
      <c r="Q78" s="237">
        <v>211.476</v>
      </c>
      <c r="R78" s="237">
        <v>209.06899999999999</v>
      </c>
      <c r="S78" s="237">
        <v>206.77500000000001</v>
      </c>
      <c r="T78" s="238">
        <v>226.446</v>
      </c>
      <c r="U78" s="238">
        <v>206.441</v>
      </c>
      <c r="V78" s="238">
        <v>202.09200000000001</v>
      </c>
      <c r="W78" s="238">
        <v>196.691</v>
      </c>
      <c r="X78" s="238"/>
      <c r="Y78" s="104">
        <v>3.5369999999999999</v>
      </c>
      <c r="Z78" s="105">
        <v>4.7009999999999996</v>
      </c>
      <c r="AA78" s="105"/>
      <c r="AB78" s="106">
        <v>-1.472</v>
      </c>
      <c r="AC78" s="107">
        <v>-1.6859999999999999</v>
      </c>
    </row>
    <row r="79" spans="1:29" x14ac:dyDescent="0.3">
      <c r="A79" s="111" t="s">
        <v>641</v>
      </c>
      <c r="B79" s="114">
        <v>265.26</v>
      </c>
      <c r="C79" s="114">
        <v>137.95699999999999</v>
      </c>
      <c r="D79" s="239">
        <v>132.154</v>
      </c>
      <c r="E79" s="114">
        <v>65.180999999999997</v>
      </c>
      <c r="F79" s="114">
        <v>48.789000000000001</v>
      </c>
      <c r="G79" s="114">
        <v>46.398000000000003</v>
      </c>
      <c r="H79" s="114">
        <v>45.249000000000002</v>
      </c>
      <c r="I79" s="114"/>
      <c r="J79" s="115">
        <v>3.5059999999999998</v>
      </c>
      <c r="K79" s="116">
        <v>0.83799999999999997</v>
      </c>
      <c r="L79" s="117"/>
      <c r="M79" s="118">
        <v>-4.5529999999999999</v>
      </c>
      <c r="N79" s="5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  <c r="AC79" s="109"/>
    </row>
    <row r="80" spans="1:29" x14ac:dyDescent="0.3">
      <c r="A80" s="111" t="s">
        <v>602</v>
      </c>
      <c r="B80" s="114">
        <v>53.292999999999999</v>
      </c>
      <c r="C80" s="114">
        <v>120.598</v>
      </c>
      <c r="D80" s="239">
        <v>128.24199999999999</v>
      </c>
      <c r="E80" s="114">
        <v>127.61</v>
      </c>
      <c r="F80" s="114">
        <v>109.15600000000001</v>
      </c>
      <c r="G80" s="114">
        <v>107.452</v>
      </c>
      <c r="H80" s="114">
        <v>105.044</v>
      </c>
      <c r="I80" s="114"/>
      <c r="J80" s="115">
        <v>3.403</v>
      </c>
      <c r="K80" s="116">
        <v>1.946</v>
      </c>
      <c r="L80" s="117"/>
      <c r="M80" s="118">
        <v>-0.86399999999999999</v>
      </c>
      <c r="N80" s="5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  <c r="AC80" s="109"/>
    </row>
    <row r="81" spans="1:29" x14ac:dyDescent="0.3">
      <c r="A81" s="93" t="s">
        <v>603</v>
      </c>
      <c r="B81" s="96">
        <v>124.19</v>
      </c>
      <c r="C81" s="96">
        <v>203.68899999999999</v>
      </c>
      <c r="D81" s="236">
        <v>215.90600000000001</v>
      </c>
      <c r="E81" s="96">
        <v>279.63</v>
      </c>
      <c r="F81" s="96">
        <v>353.64299999999997</v>
      </c>
      <c r="G81" s="96">
        <v>422.36799999999999</v>
      </c>
      <c r="H81" s="96">
        <v>497.58199999999999</v>
      </c>
      <c r="I81" s="96"/>
      <c r="J81" s="97">
        <v>5.7290000000000001</v>
      </c>
      <c r="K81" s="98">
        <v>9.2170000000000005</v>
      </c>
      <c r="L81" s="99"/>
      <c r="M81" s="100">
        <v>3.6970000000000001</v>
      </c>
      <c r="N81" s="59"/>
      <c r="O81" s="101" t="s">
        <v>603</v>
      </c>
      <c r="P81" s="237">
        <v>290.56799999999998</v>
      </c>
      <c r="Q81" s="237">
        <v>379.90800000000002</v>
      </c>
      <c r="R81" s="237">
        <v>478.23099999999999</v>
      </c>
      <c r="S81" s="237">
        <v>567.63699999999994</v>
      </c>
      <c r="T81" s="238">
        <v>274.30399999999997</v>
      </c>
      <c r="U81" s="238">
        <v>325.66800000000001</v>
      </c>
      <c r="V81" s="238">
        <v>362.63799999999998</v>
      </c>
      <c r="W81" s="238">
        <v>372.35700000000003</v>
      </c>
      <c r="X81" s="238"/>
      <c r="Y81" s="104">
        <v>9.7089999999999996</v>
      </c>
      <c r="Z81" s="105">
        <v>8.8989999999999991</v>
      </c>
      <c r="AA81" s="105"/>
      <c r="AB81" s="106">
        <v>4.2919999999999998</v>
      </c>
      <c r="AC81" s="107">
        <v>2.3980000000000001</v>
      </c>
    </row>
    <row r="82" spans="1:29" x14ac:dyDescent="0.3">
      <c r="A82" s="111" t="s">
        <v>604</v>
      </c>
      <c r="B82" s="114">
        <v>82.132000000000005</v>
      </c>
      <c r="C82" s="114">
        <v>94.721999999999994</v>
      </c>
      <c r="D82" s="239">
        <v>94.438000000000002</v>
      </c>
      <c r="E82" s="114">
        <v>98.629000000000005</v>
      </c>
      <c r="F82" s="114">
        <v>104.313</v>
      </c>
      <c r="G82" s="114">
        <v>113.91200000000001</v>
      </c>
      <c r="H82" s="114">
        <v>127.85299999999999</v>
      </c>
      <c r="I82" s="114"/>
      <c r="J82" s="115">
        <v>2.5059999999999998</v>
      </c>
      <c r="K82" s="116">
        <v>2.3679999999999999</v>
      </c>
      <c r="L82" s="117"/>
      <c r="M82" s="118">
        <v>1.3260000000000001</v>
      </c>
      <c r="N82" s="5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</row>
    <row r="83" spans="1:29" x14ac:dyDescent="0.3">
      <c r="A83" s="111" t="s">
        <v>642</v>
      </c>
      <c r="B83" s="114">
        <v>1E-3</v>
      </c>
      <c r="C83" s="114">
        <v>4.7060000000000004</v>
      </c>
      <c r="D83" s="239">
        <v>4.9119999999999999</v>
      </c>
      <c r="E83" s="114">
        <v>14.802</v>
      </c>
      <c r="F83" s="114">
        <v>41.61</v>
      </c>
      <c r="G83" s="114">
        <v>55.326000000000001</v>
      </c>
      <c r="H83" s="114">
        <v>69.344999999999999</v>
      </c>
      <c r="I83" s="114"/>
      <c r="J83" s="115">
        <v>0.13</v>
      </c>
      <c r="K83" s="116">
        <v>1.2849999999999999</v>
      </c>
      <c r="L83" s="117"/>
      <c r="M83" s="118">
        <v>12.199</v>
      </c>
      <c r="N83" s="5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</row>
    <row r="84" spans="1:29" x14ac:dyDescent="0.3">
      <c r="A84" s="111" t="s">
        <v>610</v>
      </c>
      <c r="B84" s="114">
        <v>12.46</v>
      </c>
      <c r="C84" s="114">
        <v>40.299999999999997</v>
      </c>
      <c r="D84" s="239">
        <v>43.018999999999998</v>
      </c>
      <c r="E84" s="114">
        <v>45.49</v>
      </c>
      <c r="F84" s="114">
        <v>47.101999999999997</v>
      </c>
      <c r="G84" s="114">
        <v>63.213999999999999</v>
      </c>
      <c r="H84" s="114">
        <v>79.772999999999996</v>
      </c>
      <c r="I84" s="114"/>
      <c r="J84" s="115">
        <v>1.141</v>
      </c>
      <c r="K84" s="116">
        <v>1.478</v>
      </c>
      <c r="L84" s="117"/>
      <c r="M84" s="118">
        <v>2.7210000000000001</v>
      </c>
      <c r="N84" s="5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</row>
    <row r="85" spans="1:29" x14ac:dyDescent="0.3">
      <c r="A85" s="93" t="s">
        <v>611</v>
      </c>
      <c r="B85" s="96">
        <v>198.21700000000001</v>
      </c>
      <c r="C85" s="96">
        <v>600.14800000000002</v>
      </c>
      <c r="D85" s="236">
        <v>619.84</v>
      </c>
      <c r="E85" s="96">
        <v>709.09199999999998</v>
      </c>
      <c r="F85" s="96">
        <v>816.971</v>
      </c>
      <c r="G85" s="96">
        <v>925.37</v>
      </c>
      <c r="H85" s="96">
        <v>1024.6600000000001</v>
      </c>
      <c r="I85" s="96"/>
      <c r="J85" s="97">
        <v>16.446000000000002</v>
      </c>
      <c r="K85" s="98">
        <v>18.98</v>
      </c>
      <c r="L85" s="99"/>
      <c r="M85" s="100">
        <v>2.21</v>
      </c>
      <c r="N85" s="59"/>
      <c r="O85" s="101" t="s">
        <v>611</v>
      </c>
      <c r="P85" s="237">
        <v>726.50599999999997</v>
      </c>
      <c r="Q85" s="237">
        <v>847.077</v>
      </c>
      <c r="R85" s="237">
        <v>967.24800000000005</v>
      </c>
      <c r="S85" s="237">
        <v>1103.1199999999999</v>
      </c>
      <c r="T85" s="238">
        <v>673.29200000000003</v>
      </c>
      <c r="U85" s="238">
        <v>725.702</v>
      </c>
      <c r="V85" s="238">
        <v>743.55</v>
      </c>
      <c r="W85" s="238">
        <v>726.73800000000006</v>
      </c>
      <c r="X85" s="238"/>
      <c r="Y85" s="104">
        <v>18.867000000000001</v>
      </c>
      <c r="Z85" s="105">
        <v>17.369</v>
      </c>
      <c r="AA85" s="105"/>
      <c r="AB85" s="106">
        <v>2.5379999999999998</v>
      </c>
      <c r="AC85" s="107">
        <v>0.69399999999999995</v>
      </c>
    </row>
    <row r="86" spans="1:29" x14ac:dyDescent="0.3">
      <c r="A86" s="111" t="s">
        <v>612</v>
      </c>
      <c r="B86" s="114">
        <v>58.927</v>
      </c>
      <c r="C86" s="114">
        <v>199.84100000000001</v>
      </c>
      <c r="D86" s="239">
        <v>213.83</v>
      </c>
      <c r="E86" s="114">
        <v>241.495</v>
      </c>
      <c r="F86" s="114">
        <v>274.76600000000002</v>
      </c>
      <c r="G86" s="114">
        <v>302.01100000000002</v>
      </c>
      <c r="H86" s="114">
        <v>314.55</v>
      </c>
      <c r="I86" s="114"/>
      <c r="J86" s="115">
        <v>5.6740000000000004</v>
      </c>
      <c r="K86" s="116">
        <v>5.827</v>
      </c>
      <c r="L86" s="117"/>
      <c r="M86" s="118">
        <v>1.6919999999999999</v>
      </c>
      <c r="N86" s="5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  <c r="AC86" s="109"/>
    </row>
    <row r="87" spans="1:29" x14ac:dyDescent="0.3">
      <c r="A87" s="111" t="s">
        <v>615</v>
      </c>
      <c r="B87" s="114">
        <v>24.9</v>
      </c>
      <c r="C87" s="114">
        <v>168.91800000000001</v>
      </c>
      <c r="D87" s="239">
        <v>169.08699999999999</v>
      </c>
      <c r="E87" s="114">
        <v>187.58799999999999</v>
      </c>
      <c r="F87" s="114">
        <v>218.56399999999999</v>
      </c>
      <c r="G87" s="114">
        <v>244.31399999999999</v>
      </c>
      <c r="H87" s="114">
        <v>264.15100000000001</v>
      </c>
      <c r="I87" s="114"/>
      <c r="J87" s="115">
        <v>4.4859999999999998</v>
      </c>
      <c r="K87" s="116">
        <v>4.8929999999999998</v>
      </c>
      <c r="L87" s="117"/>
      <c r="M87" s="118">
        <v>1.9590000000000001</v>
      </c>
      <c r="N87" s="5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</row>
    <row r="88" spans="1:29" x14ac:dyDescent="0.3">
      <c r="A88" s="111" t="s">
        <v>616</v>
      </c>
      <c r="B88" s="114">
        <v>37.68</v>
      </c>
      <c r="C88" s="114">
        <v>90.793999999999997</v>
      </c>
      <c r="D88" s="239">
        <v>94.185000000000002</v>
      </c>
      <c r="E88" s="114">
        <v>106.059</v>
      </c>
      <c r="F88" s="114">
        <v>121.48</v>
      </c>
      <c r="G88" s="114">
        <v>138.744</v>
      </c>
      <c r="H88" s="114">
        <v>157.13499999999999</v>
      </c>
      <c r="I88" s="114"/>
      <c r="J88" s="115">
        <v>2.4990000000000001</v>
      </c>
      <c r="K88" s="116">
        <v>2.911</v>
      </c>
      <c r="L88" s="117"/>
      <c r="M88" s="118">
        <v>2.25</v>
      </c>
      <c r="N88" s="5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  <c r="AC88" s="109"/>
    </row>
    <row r="89" spans="1:29" x14ac:dyDescent="0.3">
      <c r="A89" s="93" t="s">
        <v>618</v>
      </c>
      <c r="B89" s="96">
        <v>691.23900000000003</v>
      </c>
      <c r="C89" s="96">
        <v>836.71</v>
      </c>
      <c r="D89" s="236">
        <v>886.452</v>
      </c>
      <c r="E89" s="96">
        <v>974.21699999999998</v>
      </c>
      <c r="F89" s="96">
        <v>1016.23</v>
      </c>
      <c r="G89" s="96">
        <v>1069.23</v>
      </c>
      <c r="H89" s="96">
        <v>1103.82</v>
      </c>
      <c r="I89" s="96"/>
      <c r="J89" s="97">
        <v>23.52</v>
      </c>
      <c r="K89" s="98">
        <v>20.446999999999999</v>
      </c>
      <c r="L89" s="99"/>
      <c r="M89" s="100">
        <v>0.95799999999999996</v>
      </c>
      <c r="N89" s="59"/>
      <c r="O89" s="101" t="s">
        <v>618</v>
      </c>
      <c r="P89" s="237">
        <v>986.03300000000002</v>
      </c>
      <c r="Q89" s="237">
        <v>1041.33</v>
      </c>
      <c r="R89" s="237">
        <v>1124.55</v>
      </c>
      <c r="S89" s="237">
        <v>1205.69</v>
      </c>
      <c r="T89" s="238">
        <v>941.28099999999995</v>
      </c>
      <c r="U89" s="238">
        <v>922.94100000000003</v>
      </c>
      <c r="V89" s="238">
        <v>895.89599999999996</v>
      </c>
      <c r="W89" s="238">
        <v>857.82100000000003</v>
      </c>
      <c r="X89" s="238"/>
      <c r="Y89" s="104">
        <v>20.622</v>
      </c>
      <c r="Z89" s="105">
        <v>20.501999999999999</v>
      </c>
      <c r="AA89" s="105"/>
      <c r="AB89" s="106">
        <v>1.3460000000000001</v>
      </c>
      <c r="AC89" s="107">
        <v>-0.14299999999999999</v>
      </c>
    </row>
    <row r="90" spans="1:29" x14ac:dyDescent="0.3">
      <c r="A90" s="111" t="s">
        <v>643</v>
      </c>
      <c r="B90" s="114">
        <v>5.6420000000000003</v>
      </c>
      <c r="C90" s="114">
        <v>18.718</v>
      </c>
      <c r="D90" s="239">
        <v>18.184999999999999</v>
      </c>
      <c r="E90" s="114">
        <v>32.305999999999997</v>
      </c>
      <c r="F90" s="114">
        <v>38.524999999999999</v>
      </c>
      <c r="G90" s="114">
        <v>43.97</v>
      </c>
      <c r="H90" s="114">
        <v>45.890999999999998</v>
      </c>
      <c r="I90" s="114"/>
      <c r="J90" s="115">
        <v>0.48299999999999998</v>
      </c>
      <c r="K90" s="116">
        <v>0.85</v>
      </c>
      <c r="L90" s="117"/>
      <c r="M90" s="118">
        <v>4.1070000000000002</v>
      </c>
      <c r="N90" s="5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  <c r="AA90" s="109"/>
      <c r="AB90" s="109"/>
      <c r="AC90" s="109"/>
    </row>
    <row r="91" spans="1:29" x14ac:dyDescent="0.3">
      <c r="A91" s="111" t="s">
        <v>620</v>
      </c>
      <c r="B91" s="114">
        <v>572.81700000000001</v>
      </c>
      <c r="C91" s="114">
        <v>644.22299999999996</v>
      </c>
      <c r="D91" s="239">
        <v>693.99099999999999</v>
      </c>
      <c r="E91" s="114">
        <v>756.96500000000003</v>
      </c>
      <c r="F91" s="114">
        <v>767.03</v>
      </c>
      <c r="G91" s="114">
        <v>789.197</v>
      </c>
      <c r="H91" s="114">
        <v>805.08100000000002</v>
      </c>
      <c r="I91" s="114"/>
      <c r="J91" s="115">
        <v>18.414000000000001</v>
      </c>
      <c r="K91" s="116">
        <v>14.913</v>
      </c>
      <c r="L91" s="117"/>
      <c r="M91" s="118">
        <v>0.64800000000000002</v>
      </c>
      <c r="N91" s="5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  <c r="AC91" s="109"/>
    </row>
    <row r="92" spans="1:29" x14ac:dyDescent="0.3">
      <c r="A92" s="111" t="s">
        <v>644</v>
      </c>
      <c r="B92" s="114">
        <v>47.152999999999999</v>
      </c>
      <c r="C92" s="114">
        <v>79.77</v>
      </c>
      <c r="D92" s="239">
        <v>79.77</v>
      </c>
      <c r="E92" s="114">
        <v>90.457999999999998</v>
      </c>
      <c r="F92" s="114">
        <v>114.417</v>
      </c>
      <c r="G92" s="114">
        <v>136.48400000000001</v>
      </c>
      <c r="H92" s="114">
        <v>154.21199999999999</v>
      </c>
      <c r="I92" s="114"/>
      <c r="J92" s="115">
        <v>2.117</v>
      </c>
      <c r="K92" s="116">
        <v>2.8570000000000002</v>
      </c>
      <c r="L92" s="117"/>
      <c r="M92" s="118">
        <v>2.907</v>
      </c>
      <c r="N92" s="5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09"/>
      <c r="AB92" s="109"/>
      <c r="AC92" s="109"/>
    </row>
    <row r="93" spans="1:29" x14ac:dyDescent="0.3">
      <c r="A93" s="93" t="s">
        <v>621</v>
      </c>
      <c r="B93" s="96">
        <v>290.16800000000001</v>
      </c>
      <c r="C93" s="96">
        <v>564.548</v>
      </c>
      <c r="D93" s="236">
        <v>596.29700000000003</v>
      </c>
      <c r="E93" s="96">
        <v>730.19799999999998</v>
      </c>
      <c r="F93" s="96">
        <v>810.43799999999999</v>
      </c>
      <c r="G93" s="96">
        <v>877.30899999999997</v>
      </c>
      <c r="H93" s="96">
        <v>949.66800000000001</v>
      </c>
      <c r="I93" s="96"/>
      <c r="J93" s="97">
        <v>15.821999999999999</v>
      </c>
      <c r="K93" s="98">
        <v>17.591000000000001</v>
      </c>
      <c r="L93" s="99"/>
      <c r="M93" s="100">
        <v>2.044</v>
      </c>
      <c r="N93" s="59"/>
      <c r="O93" s="101" t="s">
        <v>621</v>
      </c>
      <c r="P93" s="237">
        <v>768.55100000000004</v>
      </c>
      <c r="Q93" s="237">
        <v>862.55399999999997</v>
      </c>
      <c r="R93" s="237">
        <v>956.76199999999994</v>
      </c>
      <c r="S93" s="237">
        <v>1053.9000000000001</v>
      </c>
      <c r="T93" s="238">
        <v>730.19799999999998</v>
      </c>
      <c r="U93" s="238">
        <v>808.97400000000005</v>
      </c>
      <c r="V93" s="238">
        <v>867.02300000000002</v>
      </c>
      <c r="W93" s="238">
        <v>919.43700000000001</v>
      </c>
      <c r="X93" s="238"/>
      <c r="Y93" s="104">
        <v>18.026</v>
      </c>
      <c r="Z93" s="105">
        <v>21.974</v>
      </c>
      <c r="AA93" s="105"/>
      <c r="AB93" s="106">
        <v>2.5070000000000001</v>
      </c>
      <c r="AC93" s="107">
        <v>1.901</v>
      </c>
    </row>
    <row r="94" spans="1:29" x14ac:dyDescent="0.3">
      <c r="A94" s="111" t="s">
        <v>645</v>
      </c>
      <c r="B94" s="114">
        <v>32.819000000000003</v>
      </c>
      <c r="C94" s="114">
        <v>86.887</v>
      </c>
      <c r="D94" s="239">
        <v>105.261</v>
      </c>
      <c r="E94" s="114">
        <v>157.917</v>
      </c>
      <c r="F94" s="114">
        <v>177.529</v>
      </c>
      <c r="G94" s="114">
        <v>191.351</v>
      </c>
      <c r="H94" s="114">
        <v>208.298</v>
      </c>
      <c r="I94" s="114"/>
      <c r="J94" s="115">
        <v>2.7930000000000001</v>
      </c>
      <c r="K94" s="116">
        <v>3.8580000000000001</v>
      </c>
      <c r="L94" s="117"/>
      <c r="M94" s="118">
        <v>3.012</v>
      </c>
      <c r="N94" s="5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  <c r="AA94" s="109"/>
      <c r="AB94" s="109"/>
      <c r="AC94" s="109"/>
    </row>
    <row r="95" spans="1:29" x14ac:dyDescent="0.3">
      <c r="A95" s="111" t="s">
        <v>622</v>
      </c>
      <c r="B95" s="114">
        <v>27.2</v>
      </c>
      <c r="C95" s="114">
        <v>136.86500000000001</v>
      </c>
      <c r="D95" s="239">
        <v>141.67599999999999</v>
      </c>
      <c r="E95" s="114">
        <v>221.77799999999999</v>
      </c>
      <c r="F95" s="114">
        <v>262.92099999999999</v>
      </c>
      <c r="G95" s="114">
        <v>301.02199999999999</v>
      </c>
      <c r="H95" s="114">
        <v>343.226</v>
      </c>
      <c r="I95" s="114"/>
      <c r="J95" s="115">
        <v>3.7589999999999999</v>
      </c>
      <c r="K95" s="116">
        <v>6.3579999999999997</v>
      </c>
      <c r="L95" s="117"/>
      <c r="M95" s="118">
        <v>3.9220000000000002</v>
      </c>
      <c r="N95" s="5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09"/>
      <c r="AC95" s="109"/>
    </row>
    <row r="96" spans="1:29" x14ac:dyDescent="0.3">
      <c r="A96" s="111" t="s">
        <v>623</v>
      </c>
      <c r="B96" s="114">
        <v>27.86</v>
      </c>
      <c r="C96" s="114">
        <v>30.92</v>
      </c>
      <c r="D96" s="239">
        <v>31.538</v>
      </c>
      <c r="E96" s="114">
        <v>40.503999999999998</v>
      </c>
      <c r="F96" s="114">
        <v>57.798000000000002</v>
      </c>
      <c r="G96" s="114">
        <v>71.331000000000003</v>
      </c>
      <c r="H96" s="114">
        <v>84.8</v>
      </c>
      <c r="I96" s="114"/>
      <c r="J96" s="115">
        <v>0.83699999999999997</v>
      </c>
      <c r="K96" s="116">
        <v>1.571</v>
      </c>
      <c r="L96" s="117"/>
      <c r="M96" s="118">
        <v>4.3940000000000001</v>
      </c>
      <c r="N96" s="5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</row>
    <row r="97" spans="1:29" x14ac:dyDescent="0.3">
      <c r="A97" s="111" t="s">
        <v>646</v>
      </c>
      <c r="B97" s="114">
        <v>70.082999999999998</v>
      </c>
      <c r="C97" s="114">
        <v>73.97</v>
      </c>
      <c r="D97" s="239">
        <v>74.34</v>
      </c>
      <c r="E97" s="114">
        <v>79.662000000000006</v>
      </c>
      <c r="F97" s="114">
        <v>82.456999999999994</v>
      </c>
      <c r="G97" s="114">
        <v>88.546999999999997</v>
      </c>
      <c r="H97" s="114">
        <v>99.918999999999997</v>
      </c>
      <c r="I97" s="114"/>
      <c r="J97" s="115">
        <v>1.972</v>
      </c>
      <c r="K97" s="116">
        <v>1.851</v>
      </c>
      <c r="L97" s="117"/>
      <c r="M97" s="118">
        <v>1.294</v>
      </c>
      <c r="N97" s="5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  <c r="AC97" s="109"/>
    </row>
    <row r="98" spans="1:29" x14ac:dyDescent="0.3">
      <c r="A98" s="111" t="s">
        <v>647</v>
      </c>
      <c r="B98" s="114">
        <v>89.210999999999999</v>
      </c>
      <c r="C98" s="114">
        <v>145.38999999999999</v>
      </c>
      <c r="D98" s="239">
        <v>151.215</v>
      </c>
      <c r="E98" s="114">
        <v>151.81800000000001</v>
      </c>
      <c r="F98" s="114">
        <v>154.631</v>
      </c>
      <c r="G98" s="114">
        <v>153.804</v>
      </c>
      <c r="H98" s="114">
        <v>146.089</v>
      </c>
      <c r="I98" s="114"/>
      <c r="J98" s="115">
        <v>4.0119999999999996</v>
      </c>
      <c r="K98" s="116">
        <v>2.706</v>
      </c>
      <c r="L98" s="117"/>
      <c r="M98" s="118">
        <v>-0.15</v>
      </c>
      <c r="N98" s="5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  <c r="AC98" s="109"/>
    </row>
    <row r="99" spans="1:29" x14ac:dyDescent="0.3">
      <c r="A99" s="119" t="s">
        <v>624</v>
      </c>
      <c r="B99" s="122">
        <v>1110.19</v>
      </c>
      <c r="C99" s="122">
        <v>1318.92</v>
      </c>
      <c r="D99" s="240">
        <v>1348.85</v>
      </c>
      <c r="E99" s="122">
        <v>1553.89</v>
      </c>
      <c r="F99" s="122">
        <v>1593.08</v>
      </c>
      <c r="G99" s="122">
        <v>1651.36</v>
      </c>
      <c r="H99" s="122">
        <v>1716.35</v>
      </c>
      <c r="I99" s="122"/>
      <c r="J99" s="123">
        <v>35.789000000000001</v>
      </c>
      <c r="K99" s="124">
        <v>31.792999999999999</v>
      </c>
      <c r="L99" s="125"/>
      <c r="M99" s="126">
        <v>1.0529999999999999</v>
      </c>
      <c r="N99" s="59"/>
      <c r="O99" s="127" t="s">
        <v>624</v>
      </c>
      <c r="P99" s="241">
        <v>1566.87</v>
      </c>
      <c r="Q99" s="241">
        <v>1644.33</v>
      </c>
      <c r="R99" s="241">
        <v>1730.71</v>
      </c>
      <c r="S99" s="241">
        <v>1776.85</v>
      </c>
      <c r="T99" s="242">
        <v>1529.78</v>
      </c>
      <c r="U99" s="242">
        <v>1508.4</v>
      </c>
      <c r="V99" s="242">
        <v>1407.64</v>
      </c>
      <c r="W99" s="242">
        <v>1274.3800000000001</v>
      </c>
      <c r="X99" s="242"/>
      <c r="Y99" s="130">
        <v>30.390999999999998</v>
      </c>
      <c r="Z99" s="131">
        <v>30.457999999999998</v>
      </c>
      <c r="AA99" s="131"/>
      <c r="AB99" s="132">
        <v>1.2050000000000001</v>
      </c>
      <c r="AC99" s="133">
        <v>-0.247</v>
      </c>
    </row>
    <row r="100" spans="1:29" x14ac:dyDescent="0.3">
      <c r="A100" s="134" t="s">
        <v>625</v>
      </c>
      <c r="B100" s="137">
        <v>1396.42</v>
      </c>
      <c r="C100" s="137">
        <v>2317.9299999999998</v>
      </c>
      <c r="D100" s="243">
        <v>2420.0100000000002</v>
      </c>
      <c r="E100" s="137">
        <v>2739.4</v>
      </c>
      <c r="F100" s="137">
        <v>3048.31</v>
      </c>
      <c r="G100" s="137">
        <v>3373.42</v>
      </c>
      <c r="H100" s="137">
        <v>3682.13</v>
      </c>
      <c r="I100" s="137"/>
      <c r="J100" s="138">
        <v>64.210999999999999</v>
      </c>
      <c r="K100" s="139">
        <v>68.206999999999994</v>
      </c>
      <c r="L100" s="140"/>
      <c r="M100" s="141">
        <v>1.8420000000000001</v>
      </c>
      <c r="N100" s="59"/>
      <c r="O100" s="142" t="s">
        <v>625</v>
      </c>
      <c r="P100" s="244">
        <v>2819.42</v>
      </c>
      <c r="Q100" s="244">
        <v>3215.15</v>
      </c>
      <c r="R100" s="244">
        <v>3635.06</v>
      </c>
      <c r="S100" s="244">
        <v>4069.84</v>
      </c>
      <c r="T100" s="245">
        <v>2659.51</v>
      </c>
      <c r="U100" s="245">
        <v>2809.2</v>
      </c>
      <c r="V100" s="245">
        <v>2890.05</v>
      </c>
      <c r="W100" s="245">
        <v>2909.74</v>
      </c>
      <c r="X100" s="245"/>
      <c r="Y100" s="145">
        <v>69.608999999999995</v>
      </c>
      <c r="Z100" s="146">
        <v>69.542000000000002</v>
      </c>
      <c r="AA100" s="146"/>
      <c r="AB100" s="147">
        <v>2.286</v>
      </c>
      <c r="AC100" s="148">
        <v>0.80400000000000005</v>
      </c>
    </row>
    <row r="101" spans="1:29" x14ac:dyDescent="0.3">
      <c r="A101" s="134" t="s">
        <v>626</v>
      </c>
      <c r="B101" s="137">
        <v>1125.614</v>
      </c>
      <c r="C101" s="137">
        <v>1330.471</v>
      </c>
      <c r="D101" s="243">
        <v>1361.59</v>
      </c>
      <c r="E101" s="137">
        <v>1560.9960000000001</v>
      </c>
      <c r="F101" s="137">
        <v>1598.3889999999999</v>
      </c>
      <c r="G101" s="137">
        <v>1656.7049999999999</v>
      </c>
      <c r="H101" s="137">
        <v>1721.6890000000001</v>
      </c>
      <c r="I101" s="137"/>
      <c r="J101" s="138">
        <v>36.127000000000002</v>
      </c>
      <c r="K101" s="139">
        <v>31.891999999999999</v>
      </c>
      <c r="L101" s="140"/>
      <c r="M101" s="141">
        <v>1.0249999999999999</v>
      </c>
      <c r="N101" s="59"/>
      <c r="O101" s="142" t="s">
        <v>626</v>
      </c>
      <c r="P101" s="244">
        <v>1573.9829999999999</v>
      </c>
      <c r="Q101" s="244">
        <v>1649.836</v>
      </c>
      <c r="R101" s="244">
        <v>1736.598</v>
      </c>
      <c r="S101" s="244">
        <v>1782.7080000000001</v>
      </c>
      <c r="T101" s="245">
        <v>1536.896</v>
      </c>
      <c r="U101" s="245">
        <v>1513.664</v>
      </c>
      <c r="V101" s="245">
        <v>1412.7090000000001</v>
      </c>
      <c r="W101" s="245">
        <v>1279.296</v>
      </c>
      <c r="X101" s="245"/>
      <c r="Y101" s="145">
        <v>30.491</v>
      </c>
      <c r="Z101" s="146">
        <v>30.574999999999999</v>
      </c>
      <c r="AA101" s="146"/>
      <c r="AB101" s="147">
        <v>1.179</v>
      </c>
      <c r="AC101" s="148">
        <v>-0.27100000000000002</v>
      </c>
    </row>
    <row r="102" spans="1:29" x14ac:dyDescent="0.3">
      <c r="A102" s="134" t="s">
        <v>627</v>
      </c>
      <c r="B102" s="137">
        <v>1380.9960000000001</v>
      </c>
      <c r="C102" s="137">
        <v>2306.3789999999999</v>
      </c>
      <c r="D102" s="243">
        <v>2407.27</v>
      </c>
      <c r="E102" s="137">
        <v>2732.2939999999999</v>
      </c>
      <c r="F102" s="137">
        <v>3043.0010000000002</v>
      </c>
      <c r="G102" s="137">
        <v>3368.0749999999998</v>
      </c>
      <c r="H102" s="137">
        <v>3676.7910000000002</v>
      </c>
      <c r="I102" s="137"/>
      <c r="J102" s="138">
        <v>63.872999999999998</v>
      </c>
      <c r="K102" s="139">
        <v>68.108000000000004</v>
      </c>
      <c r="L102" s="140"/>
      <c r="M102" s="141">
        <v>1.859</v>
      </c>
      <c r="N102" s="59"/>
      <c r="O102" s="150" t="s">
        <v>627</v>
      </c>
      <c r="P102" s="246">
        <v>2812.3069999999998</v>
      </c>
      <c r="Q102" s="246">
        <v>3209.6439999999998</v>
      </c>
      <c r="R102" s="246">
        <v>3629.172</v>
      </c>
      <c r="S102" s="246">
        <v>4063.982</v>
      </c>
      <c r="T102" s="247">
        <v>2652.3939999999998</v>
      </c>
      <c r="U102" s="247">
        <v>2803.9360000000001</v>
      </c>
      <c r="V102" s="247">
        <v>2884.9810000000002</v>
      </c>
      <c r="W102" s="247">
        <v>2904.8240000000001</v>
      </c>
      <c r="X102" s="247"/>
      <c r="Y102" s="153">
        <v>69.509</v>
      </c>
      <c r="Z102" s="154">
        <v>69.424999999999997</v>
      </c>
      <c r="AA102" s="154"/>
      <c r="AB102" s="155">
        <v>2.3029999999999999</v>
      </c>
      <c r="AC102" s="156">
        <v>0.82</v>
      </c>
    </row>
    <row r="103" spans="1:29" x14ac:dyDescent="0.3">
      <c r="A103" s="182" t="s">
        <v>648</v>
      </c>
      <c r="B103" s="184">
        <v>2506.6</v>
      </c>
      <c r="C103" s="184">
        <v>3636.84</v>
      </c>
      <c r="D103" s="184">
        <v>3768.86</v>
      </c>
      <c r="E103" s="184">
        <v>4293.3</v>
      </c>
      <c r="F103" s="184">
        <v>4641.3999999999996</v>
      </c>
      <c r="G103" s="184">
        <v>5024.7700000000004</v>
      </c>
      <c r="H103" s="184">
        <v>5398.5</v>
      </c>
      <c r="I103" s="184"/>
      <c r="J103" s="185">
        <v>100</v>
      </c>
      <c r="K103" s="186">
        <v>100</v>
      </c>
      <c r="L103" s="187"/>
      <c r="M103" s="188">
        <v>1.575</v>
      </c>
      <c r="N103" s="59"/>
      <c r="O103" s="189" t="s">
        <v>648</v>
      </c>
      <c r="P103" s="248">
        <v>4386.29</v>
      </c>
      <c r="Q103" s="248">
        <v>4859.5</v>
      </c>
      <c r="R103" s="248">
        <v>5365.77</v>
      </c>
      <c r="S103" s="248">
        <v>5846.69</v>
      </c>
      <c r="T103" s="248">
        <v>4189.3</v>
      </c>
      <c r="U103" s="248">
        <v>4317.6000000000004</v>
      </c>
      <c r="V103" s="248">
        <v>4297.6899999999996</v>
      </c>
      <c r="W103" s="248">
        <v>4184.12</v>
      </c>
      <c r="X103" s="248"/>
      <c r="Y103" s="249">
        <v>100</v>
      </c>
      <c r="Z103" s="249">
        <v>100</v>
      </c>
      <c r="AA103" s="249"/>
      <c r="AB103" s="250">
        <v>1.927</v>
      </c>
      <c r="AC103" s="193">
        <v>0.45500000000000002</v>
      </c>
    </row>
    <row r="104" spans="1:29" x14ac:dyDescent="0.3">
      <c r="A104" s="93" t="s">
        <v>649</v>
      </c>
      <c r="B104" s="96">
        <v>2310.5</v>
      </c>
      <c r="C104" s="96">
        <v>2826.76</v>
      </c>
      <c r="D104" s="236">
        <v>2917.52</v>
      </c>
      <c r="E104" s="96">
        <v>3063.8</v>
      </c>
      <c r="F104" s="96">
        <v>3276.89</v>
      </c>
      <c r="G104" s="96">
        <v>3489.87</v>
      </c>
      <c r="H104" s="96">
        <v>3653.94</v>
      </c>
      <c r="I104" s="96"/>
      <c r="J104" s="97">
        <v>77.411000000000001</v>
      </c>
      <c r="K104" s="98">
        <v>67.683999999999997</v>
      </c>
      <c r="L104" s="99"/>
      <c r="M104" s="100">
        <v>0.98299999999999998</v>
      </c>
      <c r="N104" s="59"/>
      <c r="O104" s="101" t="s">
        <v>649</v>
      </c>
      <c r="P104" s="237">
        <v>3153.42</v>
      </c>
      <c r="Q104" s="237">
        <v>3397.61</v>
      </c>
      <c r="R104" s="237">
        <v>3658.85</v>
      </c>
      <c r="S104" s="237">
        <v>3889.15</v>
      </c>
      <c r="T104" s="238">
        <v>3006.14</v>
      </c>
      <c r="U104" s="238">
        <v>3047.08</v>
      </c>
      <c r="V104" s="238">
        <v>3011.31</v>
      </c>
      <c r="W104" s="238">
        <v>2899.21</v>
      </c>
      <c r="X104" s="238"/>
      <c r="Y104" s="104">
        <v>66.519000000000005</v>
      </c>
      <c r="Z104" s="105">
        <v>69.290999999999997</v>
      </c>
      <c r="AA104" s="105"/>
      <c r="AB104" s="106">
        <v>1.258</v>
      </c>
      <c r="AC104" s="107">
        <v>-2.7E-2</v>
      </c>
    </row>
    <row r="105" spans="1:29" x14ac:dyDescent="0.3">
      <c r="A105" s="93" t="s">
        <v>650</v>
      </c>
      <c r="B105" s="96">
        <v>135.75700000000001</v>
      </c>
      <c r="C105" s="96">
        <v>271.71100000000001</v>
      </c>
      <c r="D105" s="236">
        <v>272.70100000000002</v>
      </c>
      <c r="E105" s="96">
        <v>238.14599999999999</v>
      </c>
      <c r="F105" s="96">
        <v>244.66300000000001</v>
      </c>
      <c r="G105" s="96">
        <v>271.21499999999997</v>
      </c>
      <c r="H105" s="96">
        <v>293.23</v>
      </c>
      <c r="I105" s="96"/>
      <c r="J105" s="97">
        <v>7.2359999999999998</v>
      </c>
      <c r="K105" s="98">
        <v>5.4320000000000004</v>
      </c>
      <c r="L105" s="99"/>
      <c r="M105" s="100">
        <v>0.316</v>
      </c>
      <c r="N105" s="59"/>
      <c r="O105" s="101" t="s">
        <v>650</v>
      </c>
      <c r="P105" s="237">
        <v>232.91499999999999</v>
      </c>
      <c r="Q105" s="237">
        <v>265.68</v>
      </c>
      <c r="R105" s="237">
        <v>288.11900000000003</v>
      </c>
      <c r="S105" s="237">
        <v>302.23099999999999</v>
      </c>
      <c r="T105" s="238">
        <v>312.69799999999998</v>
      </c>
      <c r="U105" s="238">
        <v>317.851</v>
      </c>
      <c r="V105" s="238">
        <v>256.64100000000002</v>
      </c>
      <c r="W105" s="238">
        <v>195.06200000000001</v>
      </c>
      <c r="X105" s="238"/>
      <c r="Y105" s="104">
        <v>5.1689999999999996</v>
      </c>
      <c r="Z105" s="105">
        <v>4.6619999999999999</v>
      </c>
      <c r="AA105" s="105"/>
      <c r="AB105" s="106">
        <v>0.44800000000000001</v>
      </c>
      <c r="AC105" s="107">
        <v>-1.446</v>
      </c>
    </row>
    <row r="106" spans="1:29" x14ac:dyDescent="0.3">
      <c r="A106" s="93" t="s">
        <v>651</v>
      </c>
      <c r="B106" s="96">
        <v>22.295000000000002</v>
      </c>
      <c r="C106" s="96">
        <v>457.91699999999997</v>
      </c>
      <c r="D106" s="236">
        <v>494.71499999999997</v>
      </c>
      <c r="E106" s="96">
        <v>883.75199999999995</v>
      </c>
      <c r="F106" s="96">
        <v>992.51099999999997</v>
      </c>
      <c r="G106" s="96">
        <v>1109.0899999999999</v>
      </c>
      <c r="H106" s="96">
        <v>1266.6400000000001</v>
      </c>
      <c r="I106" s="96"/>
      <c r="J106" s="97">
        <v>13.125999999999999</v>
      </c>
      <c r="K106" s="98">
        <v>23.463000000000001</v>
      </c>
      <c r="L106" s="99"/>
      <c r="M106" s="100">
        <v>4.1719999999999997</v>
      </c>
      <c r="N106" s="59"/>
      <c r="O106" s="101" t="s">
        <v>651</v>
      </c>
      <c r="P106" s="237">
        <v>884.93100000000004</v>
      </c>
      <c r="Q106" s="237">
        <v>1058.31</v>
      </c>
      <c r="R106" s="237">
        <v>1246.27</v>
      </c>
      <c r="S106" s="237">
        <v>1451.35</v>
      </c>
      <c r="T106" s="238">
        <v>752.221</v>
      </c>
      <c r="U106" s="238">
        <v>814.60699999999997</v>
      </c>
      <c r="V106" s="238">
        <v>874.64800000000002</v>
      </c>
      <c r="W106" s="238">
        <v>918.63699999999994</v>
      </c>
      <c r="X106" s="238"/>
      <c r="Y106" s="104">
        <v>24.823</v>
      </c>
      <c r="Z106" s="105">
        <v>21.954999999999998</v>
      </c>
      <c r="AA106" s="105"/>
      <c r="AB106" s="106">
        <v>4.7910000000000004</v>
      </c>
      <c r="AC106" s="107">
        <v>2.7269999999999999</v>
      </c>
    </row>
    <row r="107" spans="1:29" x14ac:dyDescent="0.3">
      <c r="A107" s="93" t="s">
        <v>652</v>
      </c>
      <c r="B107" s="96">
        <v>38.052999999999997</v>
      </c>
      <c r="C107" s="96">
        <v>71.995999999999995</v>
      </c>
      <c r="D107" s="236">
        <v>74.344999999999999</v>
      </c>
      <c r="E107" s="96">
        <v>67.611999999999995</v>
      </c>
      <c r="F107" s="96">
        <v>82.3</v>
      </c>
      <c r="G107" s="96">
        <v>100.20399999999999</v>
      </c>
      <c r="H107" s="96">
        <v>121.322</v>
      </c>
      <c r="I107" s="96"/>
      <c r="J107" s="97">
        <v>1.9730000000000001</v>
      </c>
      <c r="K107" s="98">
        <v>2.2469999999999999</v>
      </c>
      <c r="L107" s="99"/>
      <c r="M107" s="100">
        <v>2.1520000000000001</v>
      </c>
      <c r="N107" s="59"/>
      <c r="O107" s="101" t="s">
        <v>652</v>
      </c>
      <c r="P107" s="237">
        <v>74.846000000000004</v>
      </c>
      <c r="Q107" s="237">
        <v>91.69</v>
      </c>
      <c r="R107" s="237">
        <v>115.098</v>
      </c>
      <c r="S107" s="237">
        <v>136.88900000000001</v>
      </c>
      <c r="T107" s="238">
        <v>80.134</v>
      </c>
      <c r="U107" s="238">
        <v>94.064999999999998</v>
      </c>
      <c r="V107" s="238">
        <v>103.629</v>
      </c>
      <c r="W107" s="238">
        <v>111.98099999999999</v>
      </c>
      <c r="X107" s="238"/>
      <c r="Y107" s="104">
        <v>2.3410000000000002</v>
      </c>
      <c r="Z107" s="105">
        <v>2.6760000000000002</v>
      </c>
      <c r="AA107" s="105"/>
      <c r="AB107" s="106">
        <v>2.69</v>
      </c>
      <c r="AC107" s="107">
        <v>1.7969999999999999</v>
      </c>
    </row>
    <row r="108" spans="1:29" x14ac:dyDescent="0.3">
      <c r="A108" s="93" t="s">
        <v>633</v>
      </c>
      <c r="B108" s="96">
        <v>0</v>
      </c>
      <c r="C108" s="96">
        <v>8.4559999999999995</v>
      </c>
      <c r="D108" s="236">
        <v>9.5790000000000006</v>
      </c>
      <c r="E108" s="96">
        <v>39.99</v>
      </c>
      <c r="F108" s="96">
        <v>45.036000000000001</v>
      </c>
      <c r="G108" s="96">
        <v>54.390999999999998</v>
      </c>
      <c r="H108" s="96">
        <v>63.368000000000002</v>
      </c>
      <c r="I108" s="96"/>
      <c r="J108" s="97">
        <v>0.254</v>
      </c>
      <c r="K108" s="98">
        <v>1.1739999999999999</v>
      </c>
      <c r="L108" s="99"/>
      <c r="M108" s="100">
        <v>8.5619999999999994</v>
      </c>
      <c r="N108" s="59"/>
      <c r="O108" s="101" t="s">
        <v>633</v>
      </c>
      <c r="P108" s="237">
        <v>40.177999999999997</v>
      </c>
      <c r="Q108" s="237">
        <v>46.21</v>
      </c>
      <c r="R108" s="237">
        <v>57.433</v>
      </c>
      <c r="S108" s="237">
        <v>67.069999999999993</v>
      </c>
      <c r="T108" s="238">
        <v>38.106999999999999</v>
      </c>
      <c r="U108" s="238">
        <v>43.997</v>
      </c>
      <c r="V108" s="238">
        <v>51.462000000000003</v>
      </c>
      <c r="W108" s="238">
        <v>59.23</v>
      </c>
      <c r="X108" s="238"/>
      <c r="Y108" s="104">
        <v>1.147</v>
      </c>
      <c r="Z108" s="105">
        <v>1.4159999999999999</v>
      </c>
      <c r="AA108" s="105"/>
      <c r="AB108" s="106">
        <v>8.83</v>
      </c>
      <c r="AC108" s="107">
        <v>8.2430000000000003</v>
      </c>
    </row>
    <row r="109" spans="1:29" x14ac:dyDescent="0.3">
      <c r="A109" s="790" t="s">
        <v>653</v>
      </c>
      <c r="B109" s="791"/>
      <c r="C109" s="791"/>
      <c r="D109" s="791"/>
      <c r="E109" s="791"/>
      <c r="F109" s="791"/>
      <c r="G109" s="791"/>
      <c r="H109" s="791"/>
      <c r="I109" s="791"/>
      <c r="J109" s="791"/>
      <c r="K109" s="791"/>
      <c r="L109" s="791"/>
      <c r="M109" s="792"/>
      <c r="N109" s="59"/>
      <c r="O109" s="90" t="s">
        <v>653</v>
      </c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2"/>
    </row>
    <row r="110" spans="1:29" x14ac:dyDescent="0.3">
      <c r="A110" s="93" t="s">
        <v>592</v>
      </c>
      <c r="B110" s="96">
        <v>824.20299999999997</v>
      </c>
      <c r="C110" s="96">
        <v>550.63900000000001</v>
      </c>
      <c r="D110" s="236">
        <v>582.24</v>
      </c>
      <c r="E110" s="96">
        <v>464.81</v>
      </c>
      <c r="F110" s="96">
        <v>432.51400000000001</v>
      </c>
      <c r="G110" s="96">
        <v>416.98700000000002</v>
      </c>
      <c r="H110" s="96">
        <v>405.72699999999998</v>
      </c>
      <c r="I110" s="96"/>
      <c r="J110" s="97">
        <v>10.863</v>
      </c>
      <c r="K110" s="98">
        <v>7.4560000000000004</v>
      </c>
      <c r="L110" s="99"/>
      <c r="M110" s="100">
        <v>-1.5580000000000001</v>
      </c>
      <c r="N110" s="59"/>
      <c r="O110" s="251" t="s">
        <v>592</v>
      </c>
      <c r="P110" s="237">
        <v>485.91</v>
      </c>
      <c r="Q110" s="237">
        <v>477.03399999999999</v>
      </c>
      <c r="R110" s="237">
        <v>493.12400000000002</v>
      </c>
      <c r="S110" s="237">
        <v>501.536</v>
      </c>
      <c r="T110" s="238">
        <v>283.51600000000002</v>
      </c>
      <c r="U110" s="238">
        <v>142.845</v>
      </c>
      <c r="V110" s="238">
        <v>105.206</v>
      </c>
      <c r="W110" s="238">
        <v>98.585999999999999</v>
      </c>
      <c r="X110" s="238"/>
      <c r="Y110" s="104">
        <v>7.3609999999999998</v>
      </c>
      <c r="Z110" s="105">
        <v>4.3209999999999997</v>
      </c>
      <c r="AA110" s="105"/>
      <c r="AB110" s="106">
        <v>-0.64700000000000002</v>
      </c>
      <c r="AC110" s="107">
        <v>-7.431</v>
      </c>
    </row>
    <row r="111" spans="1:29" x14ac:dyDescent="0.3">
      <c r="A111" s="111" t="s">
        <v>595</v>
      </c>
      <c r="B111" s="114">
        <v>766.93600000000004</v>
      </c>
      <c r="C111" s="114">
        <v>497.80599999999998</v>
      </c>
      <c r="D111" s="239">
        <v>529.50800000000004</v>
      </c>
      <c r="E111" s="114">
        <v>432.11599999999999</v>
      </c>
      <c r="F111" s="114">
        <v>402.67700000000002</v>
      </c>
      <c r="G111" s="114">
        <v>385.99</v>
      </c>
      <c r="H111" s="114">
        <v>374.00400000000002</v>
      </c>
      <c r="I111" s="114"/>
      <c r="J111" s="115">
        <v>9.8789999999999996</v>
      </c>
      <c r="K111" s="116">
        <v>6.8730000000000002</v>
      </c>
      <c r="L111" s="117"/>
      <c r="M111" s="118">
        <v>-1.5</v>
      </c>
      <c r="N111" s="5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09"/>
      <c r="AC111" s="109"/>
    </row>
    <row r="112" spans="1:29" x14ac:dyDescent="0.3">
      <c r="A112" s="93" t="s">
        <v>596</v>
      </c>
      <c r="B112" s="96">
        <v>48.079000000000001</v>
      </c>
      <c r="C112" s="96">
        <v>90.316000000000003</v>
      </c>
      <c r="D112" s="236">
        <v>87.930999999999997</v>
      </c>
      <c r="E112" s="96">
        <v>85.2</v>
      </c>
      <c r="F112" s="96">
        <v>86.28</v>
      </c>
      <c r="G112" s="96">
        <v>86.66</v>
      </c>
      <c r="H112" s="96">
        <v>87.697999999999993</v>
      </c>
      <c r="I112" s="96"/>
      <c r="J112" s="97">
        <v>1.641</v>
      </c>
      <c r="K112" s="98">
        <v>1.6120000000000001</v>
      </c>
      <c r="L112" s="99"/>
      <c r="M112" s="100">
        <v>-1.2E-2</v>
      </c>
      <c r="N112" s="59"/>
      <c r="O112" s="251" t="s">
        <v>596</v>
      </c>
      <c r="P112" s="237">
        <v>93.233999999999995</v>
      </c>
      <c r="Q112" s="237">
        <v>98.515000000000001</v>
      </c>
      <c r="R112" s="237">
        <v>103.074</v>
      </c>
      <c r="S112" s="237">
        <v>109.544</v>
      </c>
      <c r="T112" s="238">
        <v>66.882999999999996</v>
      </c>
      <c r="U112" s="238">
        <v>66.158000000000001</v>
      </c>
      <c r="V112" s="238">
        <v>47.954000000000001</v>
      </c>
      <c r="W112" s="238">
        <v>14.430999999999999</v>
      </c>
      <c r="X112" s="238"/>
      <c r="Y112" s="104">
        <v>1.6080000000000001</v>
      </c>
      <c r="Z112" s="105">
        <v>0.63200000000000001</v>
      </c>
      <c r="AA112" s="105"/>
      <c r="AB112" s="106">
        <v>0.96</v>
      </c>
      <c r="AC112" s="107">
        <v>-7.5570000000000004</v>
      </c>
    </row>
    <row r="113" spans="1:29" x14ac:dyDescent="0.3">
      <c r="A113" s="111" t="s">
        <v>654</v>
      </c>
      <c r="B113" s="114">
        <v>35.51</v>
      </c>
      <c r="C113" s="114">
        <v>84.046000000000006</v>
      </c>
      <c r="D113" s="239">
        <v>83.05</v>
      </c>
      <c r="E113" s="114">
        <v>80.326999999999998</v>
      </c>
      <c r="F113" s="114">
        <v>81.56</v>
      </c>
      <c r="G113" s="114">
        <v>83.001999999999995</v>
      </c>
      <c r="H113" s="114">
        <v>83.837000000000003</v>
      </c>
      <c r="I113" s="114"/>
      <c r="J113" s="115">
        <v>1.5489999999999999</v>
      </c>
      <c r="K113" s="116">
        <v>1.5409999999999999</v>
      </c>
      <c r="L113" s="117"/>
      <c r="M113" s="118">
        <v>4.1000000000000002E-2</v>
      </c>
      <c r="N113" s="5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  <c r="AB113" s="109"/>
      <c r="AC113" s="109"/>
    </row>
    <row r="114" spans="1:29" x14ac:dyDescent="0.3">
      <c r="A114" s="93" t="s">
        <v>601</v>
      </c>
      <c r="B114" s="96">
        <v>396.93400000000003</v>
      </c>
      <c r="C114" s="96">
        <v>264.19799999999998</v>
      </c>
      <c r="D114" s="236">
        <v>237.018</v>
      </c>
      <c r="E114" s="96">
        <v>176.434</v>
      </c>
      <c r="F114" s="96">
        <v>133.221</v>
      </c>
      <c r="G114" s="96">
        <v>102.462</v>
      </c>
      <c r="H114" s="96">
        <v>92.8</v>
      </c>
      <c r="I114" s="96"/>
      <c r="J114" s="97">
        <v>4.4219999999999997</v>
      </c>
      <c r="K114" s="98">
        <v>1.7050000000000001</v>
      </c>
      <c r="L114" s="99"/>
      <c r="M114" s="100">
        <v>-3.9950000000000001</v>
      </c>
      <c r="N114" s="59"/>
      <c r="O114" s="251" t="s">
        <v>601</v>
      </c>
      <c r="P114" s="237">
        <v>192.35</v>
      </c>
      <c r="Q114" s="237">
        <v>165.49600000000001</v>
      </c>
      <c r="R114" s="237">
        <v>138.68299999999999</v>
      </c>
      <c r="S114" s="237">
        <v>135.482</v>
      </c>
      <c r="T114" s="238">
        <v>138.089</v>
      </c>
      <c r="U114" s="238">
        <v>61.746000000000002</v>
      </c>
      <c r="V114" s="238">
        <v>36.527000000000001</v>
      </c>
      <c r="W114" s="238">
        <v>30.88</v>
      </c>
      <c r="X114" s="238"/>
      <c r="Y114" s="104">
        <v>1.988</v>
      </c>
      <c r="Z114" s="105">
        <v>1.353</v>
      </c>
      <c r="AA114" s="105"/>
      <c r="AB114" s="106">
        <v>-2.4020000000000001</v>
      </c>
      <c r="AC114" s="107">
        <v>-8.48</v>
      </c>
    </row>
    <row r="115" spans="1:29" x14ac:dyDescent="0.3">
      <c r="A115" s="111" t="s">
        <v>641</v>
      </c>
      <c r="B115" s="114">
        <v>306.55599999999998</v>
      </c>
      <c r="C115" s="114">
        <v>188.916</v>
      </c>
      <c r="D115" s="239">
        <v>170.172</v>
      </c>
      <c r="E115" s="114">
        <v>119.959</v>
      </c>
      <c r="F115" s="114">
        <v>81.061999999999998</v>
      </c>
      <c r="G115" s="114">
        <v>54.622</v>
      </c>
      <c r="H115" s="114">
        <v>43.082999999999998</v>
      </c>
      <c r="I115" s="114"/>
      <c r="J115" s="115">
        <v>3.1749999999999998</v>
      </c>
      <c r="K115" s="116">
        <v>0.79200000000000004</v>
      </c>
      <c r="L115" s="117"/>
      <c r="M115" s="118">
        <v>-5.798</v>
      </c>
      <c r="N115" s="5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  <c r="AB115" s="109"/>
      <c r="AC115" s="109"/>
    </row>
    <row r="116" spans="1:29" x14ac:dyDescent="0.3">
      <c r="A116" s="93" t="s">
        <v>603</v>
      </c>
      <c r="B116" s="96">
        <v>186.98400000000001</v>
      </c>
      <c r="C116" s="96">
        <v>215.958</v>
      </c>
      <c r="D116" s="236">
        <v>223.97</v>
      </c>
      <c r="E116" s="96">
        <v>217.62200000000001</v>
      </c>
      <c r="F116" s="96">
        <v>221.98400000000001</v>
      </c>
      <c r="G116" s="96">
        <v>216.89099999999999</v>
      </c>
      <c r="H116" s="96">
        <v>228.315</v>
      </c>
      <c r="I116" s="96"/>
      <c r="J116" s="97">
        <v>4.1790000000000003</v>
      </c>
      <c r="K116" s="98">
        <v>4.1959999999999997</v>
      </c>
      <c r="L116" s="99"/>
      <c r="M116" s="100">
        <v>8.4000000000000005E-2</v>
      </c>
      <c r="N116" s="59"/>
      <c r="O116" s="251" t="s">
        <v>603</v>
      </c>
      <c r="P116" s="237">
        <v>243.155</v>
      </c>
      <c r="Q116" s="237">
        <v>280.37200000000001</v>
      </c>
      <c r="R116" s="237">
        <v>302.76900000000001</v>
      </c>
      <c r="S116" s="237">
        <v>337.185</v>
      </c>
      <c r="T116" s="238">
        <v>206.83099999999999</v>
      </c>
      <c r="U116" s="238">
        <v>167.63200000000001</v>
      </c>
      <c r="V116" s="238">
        <v>145.964</v>
      </c>
      <c r="W116" s="238">
        <v>128.17500000000001</v>
      </c>
      <c r="X116" s="238"/>
      <c r="Y116" s="104">
        <v>4.9489999999999998</v>
      </c>
      <c r="Z116" s="105">
        <v>5.617</v>
      </c>
      <c r="AA116" s="105"/>
      <c r="AB116" s="106">
        <v>1.7949999999999999</v>
      </c>
      <c r="AC116" s="107">
        <v>-2.3969999999999998</v>
      </c>
    </row>
    <row r="117" spans="1:29" x14ac:dyDescent="0.3">
      <c r="A117" s="111" t="s">
        <v>655</v>
      </c>
      <c r="B117" s="114">
        <v>181.32300000000001</v>
      </c>
      <c r="C117" s="114">
        <v>206.506</v>
      </c>
      <c r="D117" s="239">
        <v>208.124</v>
      </c>
      <c r="E117" s="114">
        <v>193.809</v>
      </c>
      <c r="F117" s="114">
        <v>191.941</v>
      </c>
      <c r="G117" s="114">
        <v>177.316</v>
      </c>
      <c r="H117" s="114">
        <v>175.06399999999999</v>
      </c>
      <c r="I117" s="114"/>
      <c r="J117" s="115">
        <v>3.883</v>
      </c>
      <c r="K117" s="116">
        <v>3.2170000000000001</v>
      </c>
      <c r="L117" s="117"/>
      <c r="M117" s="118">
        <v>-0.749</v>
      </c>
      <c r="N117" s="5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  <c r="AC117" s="109"/>
    </row>
    <row r="118" spans="1:29" x14ac:dyDescent="0.3">
      <c r="A118" s="93" t="s">
        <v>611</v>
      </c>
      <c r="B118" s="96">
        <v>1.087</v>
      </c>
      <c r="C118" s="96">
        <v>1.056</v>
      </c>
      <c r="D118" s="236">
        <v>1.056</v>
      </c>
      <c r="E118" s="96">
        <v>1.137</v>
      </c>
      <c r="F118" s="96">
        <v>1.1930000000000001</v>
      </c>
      <c r="G118" s="96">
        <v>1.254</v>
      </c>
      <c r="H118" s="96">
        <v>1.321</v>
      </c>
      <c r="I118" s="96"/>
      <c r="J118" s="97">
        <v>0.02</v>
      </c>
      <c r="K118" s="98">
        <v>2.4E-2</v>
      </c>
      <c r="L118" s="99"/>
      <c r="M118" s="100">
        <v>0.97799999999999998</v>
      </c>
      <c r="N118" s="59"/>
      <c r="O118" s="251" t="s">
        <v>611</v>
      </c>
      <c r="P118" s="237">
        <v>1.137</v>
      </c>
      <c r="Q118" s="237">
        <v>1.1930000000000001</v>
      </c>
      <c r="R118" s="237">
        <v>1.254</v>
      </c>
      <c r="S118" s="237">
        <v>1.321</v>
      </c>
      <c r="T118" s="238">
        <v>1.097</v>
      </c>
      <c r="U118" s="238">
        <v>1.1200000000000001</v>
      </c>
      <c r="V118" s="238">
        <v>1.143</v>
      </c>
      <c r="W118" s="238">
        <v>1.1679999999999999</v>
      </c>
      <c r="X118" s="238"/>
      <c r="Y118" s="104">
        <v>1.9E-2</v>
      </c>
      <c r="Z118" s="105">
        <v>5.0999999999999997E-2</v>
      </c>
      <c r="AA118" s="105"/>
      <c r="AB118" s="106">
        <v>0.97799999999999998</v>
      </c>
      <c r="AC118" s="107">
        <v>0.439</v>
      </c>
    </row>
    <row r="119" spans="1:29" x14ac:dyDescent="0.3">
      <c r="A119" s="93" t="s">
        <v>618</v>
      </c>
      <c r="B119" s="96">
        <v>233.916</v>
      </c>
      <c r="C119" s="96">
        <v>367.58800000000002</v>
      </c>
      <c r="D119" s="236">
        <v>384.16399999999999</v>
      </c>
      <c r="E119" s="96">
        <v>389.56099999999998</v>
      </c>
      <c r="F119" s="96">
        <v>389.79</v>
      </c>
      <c r="G119" s="96">
        <v>402.67</v>
      </c>
      <c r="H119" s="96">
        <v>408.21499999999997</v>
      </c>
      <c r="I119" s="96"/>
      <c r="J119" s="97">
        <v>7.1669999999999998</v>
      </c>
      <c r="K119" s="98">
        <v>7.5019999999999998</v>
      </c>
      <c r="L119" s="99"/>
      <c r="M119" s="100">
        <v>0.26400000000000001</v>
      </c>
      <c r="N119" s="59"/>
      <c r="O119" s="251" t="s">
        <v>618</v>
      </c>
      <c r="P119" s="237">
        <v>407.495</v>
      </c>
      <c r="Q119" s="237">
        <v>428.976</v>
      </c>
      <c r="R119" s="237">
        <v>454.30700000000002</v>
      </c>
      <c r="S119" s="237">
        <v>473.21699999999998</v>
      </c>
      <c r="T119" s="238">
        <v>334.303</v>
      </c>
      <c r="U119" s="238">
        <v>262.58600000000001</v>
      </c>
      <c r="V119" s="238">
        <v>226.542</v>
      </c>
      <c r="W119" s="238">
        <v>209.85300000000001</v>
      </c>
      <c r="X119" s="238"/>
      <c r="Y119" s="104">
        <v>6.9450000000000003</v>
      </c>
      <c r="Z119" s="105">
        <v>9.1969999999999992</v>
      </c>
      <c r="AA119" s="105"/>
      <c r="AB119" s="106">
        <v>0.91100000000000003</v>
      </c>
      <c r="AC119" s="107">
        <v>-2.5950000000000002</v>
      </c>
    </row>
    <row r="120" spans="1:29" x14ac:dyDescent="0.3">
      <c r="A120" s="111" t="s">
        <v>620</v>
      </c>
      <c r="B120" s="114">
        <v>183.62200000000001</v>
      </c>
      <c r="C120" s="114">
        <v>298.79899999999998</v>
      </c>
      <c r="D120" s="239">
        <v>313.50099999999998</v>
      </c>
      <c r="E120" s="114">
        <v>311.91000000000003</v>
      </c>
      <c r="F120" s="114">
        <v>311.44</v>
      </c>
      <c r="G120" s="114">
        <v>324.90499999999997</v>
      </c>
      <c r="H120" s="114">
        <v>329.78500000000003</v>
      </c>
      <c r="I120" s="114"/>
      <c r="J120" s="115">
        <v>5.8490000000000002</v>
      </c>
      <c r="K120" s="116">
        <v>6.0609999999999999</v>
      </c>
      <c r="L120" s="117"/>
      <c r="M120" s="118">
        <v>0.22</v>
      </c>
      <c r="N120" s="5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</row>
    <row r="121" spans="1:29" x14ac:dyDescent="0.3">
      <c r="A121" s="93" t="s">
        <v>621</v>
      </c>
      <c r="B121" s="96">
        <v>1563.66</v>
      </c>
      <c r="C121" s="96">
        <v>3734.8</v>
      </c>
      <c r="D121" s="236">
        <v>3843.52</v>
      </c>
      <c r="E121" s="96">
        <v>4048.73</v>
      </c>
      <c r="F121" s="96">
        <v>4140.13</v>
      </c>
      <c r="G121" s="96">
        <v>4192.3999999999996</v>
      </c>
      <c r="H121" s="96">
        <v>4217.3999999999996</v>
      </c>
      <c r="I121" s="96"/>
      <c r="J121" s="97">
        <v>71.709000000000003</v>
      </c>
      <c r="K121" s="98">
        <v>77.504999999999995</v>
      </c>
      <c r="L121" s="99"/>
      <c r="M121" s="100">
        <v>0.40400000000000003</v>
      </c>
      <c r="N121" s="59"/>
      <c r="O121" s="251" t="s">
        <v>621</v>
      </c>
      <c r="P121" s="237">
        <v>4287.6099999999997</v>
      </c>
      <c r="Q121" s="237">
        <v>4622.5</v>
      </c>
      <c r="R121" s="237">
        <v>4964.2700000000004</v>
      </c>
      <c r="S121" s="237">
        <v>5255.14</v>
      </c>
      <c r="T121" s="238">
        <v>3319.58</v>
      </c>
      <c r="U121" s="238">
        <v>2749.88</v>
      </c>
      <c r="V121" s="238">
        <v>2174.88</v>
      </c>
      <c r="W121" s="238">
        <v>1798.65</v>
      </c>
      <c r="X121" s="238"/>
      <c r="Y121" s="104">
        <v>77.129000000000005</v>
      </c>
      <c r="Z121" s="105">
        <v>78.828000000000003</v>
      </c>
      <c r="AA121" s="105"/>
      <c r="AB121" s="106">
        <v>1.369</v>
      </c>
      <c r="AC121" s="107">
        <v>-3.2480000000000002</v>
      </c>
    </row>
    <row r="122" spans="1:29" x14ac:dyDescent="0.3">
      <c r="A122" s="111" t="s">
        <v>645</v>
      </c>
      <c r="B122" s="114">
        <v>235.11199999999999</v>
      </c>
      <c r="C122" s="114">
        <v>417.18700000000001</v>
      </c>
      <c r="D122" s="239">
        <v>416.21499999999997</v>
      </c>
      <c r="E122" s="114">
        <v>416.96899999999999</v>
      </c>
      <c r="F122" s="114">
        <v>425.03699999999998</v>
      </c>
      <c r="G122" s="114">
        <v>444.51799999999997</v>
      </c>
      <c r="H122" s="114">
        <v>474.298</v>
      </c>
      <c r="I122" s="114"/>
      <c r="J122" s="115">
        <v>7.7649999999999997</v>
      </c>
      <c r="K122" s="116">
        <v>8.7159999999999993</v>
      </c>
      <c r="L122" s="117"/>
      <c r="M122" s="118">
        <v>0.56999999999999995</v>
      </c>
      <c r="N122" s="5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  <c r="AB122" s="109"/>
      <c r="AC122" s="109"/>
    </row>
    <row r="123" spans="1:29" x14ac:dyDescent="0.3">
      <c r="A123" s="111" t="s">
        <v>622</v>
      </c>
      <c r="B123" s="114">
        <v>1019.29</v>
      </c>
      <c r="C123" s="114">
        <v>2455.58</v>
      </c>
      <c r="D123" s="239">
        <v>2538.2800000000002</v>
      </c>
      <c r="E123" s="114">
        <v>2576.33</v>
      </c>
      <c r="F123" s="114">
        <v>2566.75</v>
      </c>
      <c r="G123" s="114">
        <v>2456.89</v>
      </c>
      <c r="H123" s="114">
        <v>2313.8000000000002</v>
      </c>
      <c r="I123" s="114"/>
      <c r="J123" s="115">
        <v>47.356999999999999</v>
      </c>
      <c r="K123" s="116">
        <v>42.521999999999998</v>
      </c>
      <c r="L123" s="117"/>
      <c r="M123" s="118">
        <v>-0.40200000000000002</v>
      </c>
      <c r="N123" s="5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  <c r="AC123" s="109"/>
    </row>
    <row r="124" spans="1:29" x14ac:dyDescent="0.3">
      <c r="A124" s="111" t="s">
        <v>623</v>
      </c>
      <c r="B124" s="114">
        <v>186.625</v>
      </c>
      <c r="C124" s="114">
        <v>387.45</v>
      </c>
      <c r="D124" s="239">
        <v>394.63900000000001</v>
      </c>
      <c r="E124" s="114">
        <v>583.31600000000003</v>
      </c>
      <c r="F124" s="114">
        <v>711.89400000000001</v>
      </c>
      <c r="G124" s="114">
        <v>841.81100000000004</v>
      </c>
      <c r="H124" s="114">
        <v>955.30600000000004</v>
      </c>
      <c r="I124" s="114"/>
      <c r="J124" s="115">
        <v>7.3630000000000004</v>
      </c>
      <c r="K124" s="116">
        <v>17.556000000000001</v>
      </c>
      <c r="L124" s="117"/>
      <c r="M124" s="118">
        <v>3.919</v>
      </c>
      <c r="N124" s="5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09"/>
      <c r="AB124" s="109"/>
      <c r="AC124" s="109"/>
    </row>
    <row r="125" spans="1:29" x14ac:dyDescent="0.3">
      <c r="A125" s="111" t="s">
        <v>646</v>
      </c>
      <c r="B125" s="114">
        <v>64.935000000000002</v>
      </c>
      <c r="C125" s="114">
        <v>355.495</v>
      </c>
      <c r="D125" s="239">
        <v>374.24799999999999</v>
      </c>
      <c r="E125" s="114">
        <v>350.44499999999999</v>
      </c>
      <c r="F125" s="114">
        <v>308.202</v>
      </c>
      <c r="G125" s="114">
        <v>316.73399999999998</v>
      </c>
      <c r="H125" s="114">
        <v>337.85</v>
      </c>
      <c r="I125" s="114"/>
      <c r="J125" s="115">
        <v>6.9820000000000002</v>
      </c>
      <c r="K125" s="116">
        <v>6.2089999999999996</v>
      </c>
      <c r="L125" s="117"/>
      <c r="M125" s="118">
        <v>-0.44400000000000001</v>
      </c>
      <c r="N125" s="5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  <c r="AC125" s="109"/>
    </row>
    <row r="126" spans="1:29" x14ac:dyDescent="0.3">
      <c r="A126" s="119" t="s">
        <v>624</v>
      </c>
      <c r="B126" s="122">
        <v>1381.62</v>
      </c>
      <c r="C126" s="122">
        <v>1172.2</v>
      </c>
      <c r="D126" s="240">
        <v>1185.32</v>
      </c>
      <c r="E126" s="122">
        <v>1011</v>
      </c>
      <c r="F126" s="122">
        <v>950.23</v>
      </c>
      <c r="G126" s="122">
        <v>928.03</v>
      </c>
      <c r="H126" s="122">
        <v>936.48</v>
      </c>
      <c r="I126" s="122"/>
      <c r="J126" s="123">
        <v>22.114999999999998</v>
      </c>
      <c r="K126" s="124">
        <v>17.21</v>
      </c>
      <c r="L126" s="125"/>
      <c r="M126" s="126">
        <v>-1.0189999999999999</v>
      </c>
      <c r="N126" s="59"/>
      <c r="O126" s="127" t="s">
        <v>624</v>
      </c>
      <c r="P126" s="241">
        <v>1082.8800000000001</v>
      </c>
      <c r="Q126" s="241">
        <v>1088.32</v>
      </c>
      <c r="R126" s="241">
        <v>1105.26</v>
      </c>
      <c r="S126" s="241">
        <v>1188.1300000000001</v>
      </c>
      <c r="T126" s="242">
        <v>704.10400000000004</v>
      </c>
      <c r="U126" s="242">
        <v>457.78800000000001</v>
      </c>
      <c r="V126" s="242">
        <v>381.815</v>
      </c>
      <c r="W126" s="242">
        <v>351.27800000000002</v>
      </c>
      <c r="X126" s="242"/>
      <c r="Y126" s="130">
        <v>17.437999999999999</v>
      </c>
      <c r="Z126" s="131">
        <v>15.395</v>
      </c>
      <c r="AA126" s="131"/>
      <c r="AB126" s="132">
        <v>0.01</v>
      </c>
      <c r="AC126" s="133">
        <v>-5.15</v>
      </c>
    </row>
    <row r="127" spans="1:29" x14ac:dyDescent="0.3">
      <c r="A127" s="134" t="s">
        <v>625</v>
      </c>
      <c r="B127" s="137">
        <v>1873.24</v>
      </c>
      <c r="C127" s="137">
        <v>4052.36</v>
      </c>
      <c r="D127" s="243">
        <v>4174.58</v>
      </c>
      <c r="E127" s="137">
        <v>4372.49</v>
      </c>
      <c r="F127" s="137">
        <v>4454.88</v>
      </c>
      <c r="G127" s="137">
        <v>4491.29</v>
      </c>
      <c r="H127" s="137">
        <v>4505</v>
      </c>
      <c r="I127" s="137"/>
      <c r="J127" s="138">
        <v>77.885999999999996</v>
      </c>
      <c r="K127" s="139">
        <v>82.79</v>
      </c>
      <c r="L127" s="140"/>
      <c r="M127" s="141">
        <v>0.33200000000000002</v>
      </c>
      <c r="N127" s="59"/>
      <c r="O127" s="142" t="s">
        <v>625</v>
      </c>
      <c r="P127" s="244">
        <v>4628.01</v>
      </c>
      <c r="Q127" s="244">
        <v>4985.76</v>
      </c>
      <c r="R127" s="244">
        <v>5352.22</v>
      </c>
      <c r="S127" s="244">
        <v>5625.29</v>
      </c>
      <c r="T127" s="245">
        <v>3646.2</v>
      </c>
      <c r="U127" s="245">
        <v>2994.18</v>
      </c>
      <c r="V127" s="245">
        <v>2356.4</v>
      </c>
      <c r="W127" s="245">
        <v>1930.46</v>
      </c>
      <c r="X127" s="245"/>
      <c r="Y127" s="145">
        <v>82.561999999999998</v>
      </c>
      <c r="Z127" s="146">
        <v>84.605000000000004</v>
      </c>
      <c r="AA127" s="146"/>
      <c r="AB127" s="147">
        <v>1.3049999999999999</v>
      </c>
      <c r="AC127" s="148">
        <v>-3.298</v>
      </c>
    </row>
    <row r="128" spans="1:29" x14ac:dyDescent="0.3">
      <c r="A128" s="134" t="s">
        <v>626</v>
      </c>
      <c r="B128" s="137">
        <v>1395.8</v>
      </c>
      <c r="C128" s="137">
        <v>1185.547</v>
      </c>
      <c r="D128" s="243">
        <v>1199.2349999999999</v>
      </c>
      <c r="E128" s="137">
        <v>1025.2370000000001</v>
      </c>
      <c r="F128" s="137">
        <v>960.226</v>
      </c>
      <c r="G128" s="137">
        <v>935.36400000000003</v>
      </c>
      <c r="H128" s="137">
        <v>942.82399999999996</v>
      </c>
      <c r="I128" s="137"/>
      <c r="J128" s="138">
        <v>22.373999999999999</v>
      </c>
      <c r="K128" s="139">
        <v>17.327000000000002</v>
      </c>
      <c r="L128" s="140"/>
      <c r="M128" s="141">
        <v>-1.04</v>
      </c>
      <c r="N128" s="59"/>
      <c r="O128" s="142" t="s">
        <v>626</v>
      </c>
      <c r="P128" s="244">
        <v>1098.654</v>
      </c>
      <c r="Q128" s="244">
        <v>1102.518</v>
      </c>
      <c r="R128" s="244">
        <v>1118.3610000000001</v>
      </c>
      <c r="S128" s="244">
        <v>1199.6210000000001</v>
      </c>
      <c r="T128" s="245">
        <v>716.09799999999996</v>
      </c>
      <c r="U128" s="245">
        <v>460.52199999999999</v>
      </c>
      <c r="V128" s="245">
        <v>383.79700000000003</v>
      </c>
      <c r="W128" s="245">
        <v>352.83</v>
      </c>
      <c r="X128" s="245"/>
      <c r="Y128" s="145">
        <v>17.606999999999999</v>
      </c>
      <c r="Z128" s="146">
        <v>15.462999999999999</v>
      </c>
      <c r="AA128" s="146"/>
      <c r="AB128" s="147">
        <v>1E-3</v>
      </c>
      <c r="AC128" s="148">
        <v>-5.18</v>
      </c>
    </row>
    <row r="129" spans="1:29" x14ac:dyDescent="0.3">
      <c r="A129" s="134" t="s">
        <v>627</v>
      </c>
      <c r="B129" s="137">
        <v>1859.06</v>
      </c>
      <c r="C129" s="137">
        <v>4039.0129999999999</v>
      </c>
      <c r="D129" s="243">
        <v>4160.665</v>
      </c>
      <c r="E129" s="137">
        <v>4358.2529999999997</v>
      </c>
      <c r="F129" s="137">
        <v>4444.884</v>
      </c>
      <c r="G129" s="137">
        <v>4483.9560000000001</v>
      </c>
      <c r="H129" s="137">
        <v>4498.6559999999999</v>
      </c>
      <c r="I129" s="137"/>
      <c r="J129" s="138">
        <v>77.626000000000005</v>
      </c>
      <c r="K129" s="139">
        <v>82.673000000000002</v>
      </c>
      <c r="L129" s="140"/>
      <c r="M129" s="141">
        <v>0.34</v>
      </c>
      <c r="N129" s="59"/>
      <c r="O129" s="150" t="s">
        <v>627</v>
      </c>
      <c r="P129" s="246">
        <v>4612.2370000000001</v>
      </c>
      <c r="Q129" s="246">
        <v>4971.5619999999999</v>
      </c>
      <c r="R129" s="246">
        <v>5339.1189999999997</v>
      </c>
      <c r="S129" s="246">
        <v>5613.799</v>
      </c>
      <c r="T129" s="247">
        <v>3634.2060000000001</v>
      </c>
      <c r="U129" s="247">
        <v>2991.4459999999999</v>
      </c>
      <c r="V129" s="247">
        <v>2354.4180000000001</v>
      </c>
      <c r="W129" s="247">
        <v>1928.9079999999999</v>
      </c>
      <c r="X129" s="247"/>
      <c r="Y129" s="153">
        <v>82.393000000000001</v>
      </c>
      <c r="Z129" s="154">
        <v>84.537000000000006</v>
      </c>
      <c r="AA129" s="154"/>
      <c r="AB129" s="155">
        <v>1.3109999999999999</v>
      </c>
      <c r="AC129" s="156">
        <v>-3.2869999999999999</v>
      </c>
    </row>
    <row r="130" spans="1:29" x14ac:dyDescent="0.3">
      <c r="A130" s="182" t="s">
        <v>656</v>
      </c>
      <c r="B130" s="184">
        <v>3254.86</v>
      </c>
      <c r="C130" s="184">
        <v>5224.55</v>
      </c>
      <c r="D130" s="184">
        <v>5359.89</v>
      </c>
      <c r="E130" s="184">
        <v>5383.49</v>
      </c>
      <c r="F130" s="184">
        <v>5405.11</v>
      </c>
      <c r="G130" s="184">
        <v>5419.32</v>
      </c>
      <c r="H130" s="184">
        <v>5441.48</v>
      </c>
      <c r="I130" s="184"/>
      <c r="J130" s="185">
        <v>100</v>
      </c>
      <c r="K130" s="186">
        <v>100</v>
      </c>
      <c r="L130" s="187"/>
      <c r="M130" s="188">
        <v>6.6000000000000003E-2</v>
      </c>
      <c r="N130" s="59"/>
      <c r="O130" s="189" t="s">
        <v>656</v>
      </c>
      <c r="P130" s="248">
        <v>5710.89</v>
      </c>
      <c r="Q130" s="248">
        <v>6074.08</v>
      </c>
      <c r="R130" s="248">
        <v>6457.48</v>
      </c>
      <c r="S130" s="248">
        <v>6813.43</v>
      </c>
      <c r="T130" s="248">
        <v>4350.3</v>
      </c>
      <c r="U130" s="248">
        <v>3451.96</v>
      </c>
      <c r="V130" s="248">
        <v>2738.22</v>
      </c>
      <c r="W130" s="248">
        <v>2281.7399999999998</v>
      </c>
      <c r="X130" s="248"/>
      <c r="Y130" s="249">
        <v>100</v>
      </c>
      <c r="Z130" s="249">
        <v>100</v>
      </c>
      <c r="AA130" s="249"/>
      <c r="AB130" s="250">
        <v>1.0489999999999999</v>
      </c>
      <c r="AC130" s="193">
        <v>-3.645</v>
      </c>
    </row>
    <row r="131" spans="1:29" x14ac:dyDescent="0.3">
      <c r="A131" s="93" t="s">
        <v>492</v>
      </c>
      <c r="B131" s="96">
        <v>2504.23</v>
      </c>
      <c r="C131" s="96">
        <v>3979.19</v>
      </c>
      <c r="D131" s="236">
        <v>4134.21</v>
      </c>
      <c r="E131" s="96">
        <v>4201.45</v>
      </c>
      <c r="F131" s="96">
        <v>4280.05</v>
      </c>
      <c r="G131" s="96">
        <v>4349.74</v>
      </c>
      <c r="H131" s="96">
        <v>4412.18</v>
      </c>
      <c r="I131" s="96"/>
      <c r="J131" s="97">
        <v>77.132000000000005</v>
      </c>
      <c r="K131" s="98">
        <v>81.084000000000003</v>
      </c>
      <c r="L131" s="99"/>
      <c r="M131" s="100">
        <v>0.28299999999999997</v>
      </c>
      <c r="N131" s="59"/>
      <c r="O131" s="101" t="s">
        <v>492</v>
      </c>
      <c r="P131" s="237">
        <v>4485.95</v>
      </c>
      <c r="Q131" s="237">
        <v>4871.7</v>
      </c>
      <c r="R131" s="237">
        <v>5287.33</v>
      </c>
      <c r="S131" s="237">
        <v>5654.6</v>
      </c>
      <c r="T131" s="238">
        <v>3312.52</v>
      </c>
      <c r="U131" s="238">
        <v>2587.23</v>
      </c>
      <c r="V131" s="238">
        <v>1988.88</v>
      </c>
      <c r="W131" s="238">
        <v>1609.26</v>
      </c>
      <c r="X131" s="238"/>
      <c r="Y131" s="104">
        <v>82.992000000000004</v>
      </c>
      <c r="Z131" s="105">
        <v>70.528000000000006</v>
      </c>
      <c r="AA131" s="105"/>
      <c r="AB131" s="106">
        <v>1.371</v>
      </c>
      <c r="AC131" s="107">
        <v>-4.0190000000000001</v>
      </c>
    </row>
    <row r="132" spans="1:29" x14ac:dyDescent="0.3">
      <c r="A132" s="93" t="s">
        <v>493</v>
      </c>
      <c r="B132" s="96">
        <v>449.04599999999999</v>
      </c>
      <c r="C132" s="96">
        <v>955.84400000000005</v>
      </c>
      <c r="D132" s="236">
        <v>960.41</v>
      </c>
      <c r="E132" s="96">
        <v>918.22900000000004</v>
      </c>
      <c r="F132" s="96">
        <v>886.95500000000004</v>
      </c>
      <c r="G132" s="96">
        <v>846.38699999999994</v>
      </c>
      <c r="H132" s="96">
        <v>805.77599999999995</v>
      </c>
      <c r="I132" s="96"/>
      <c r="J132" s="97">
        <v>17.917999999999999</v>
      </c>
      <c r="K132" s="98">
        <v>14.808</v>
      </c>
      <c r="L132" s="99"/>
      <c r="M132" s="100">
        <v>-0.76</v>
      </c>
      <c r="N132" s="59"/>
      <c r="O132" s="101" t="s">
        <v>493</v>
      </c>
      <c r="P132" s="237">
        <v>937.15899999999999</v>
      </c>
      <c r="Q132" s="237">
        <v>919.18700000000001</v>
      </c>
      <c r="R132" s="237">
        <v>892.71</v>
      </c>
      <c r="S132" s="237">
        <v>869.36199999999997</v>
      </c>
      <c r="T132" s="238">
        <v>837.27599999999995</v>
      </c>
      <c r="U132" s="238">
        <v>746.64400000000001</v>
      </c>
      <c r="V132" s="238">
        <v>656.726</v>
      </c>
      <c r="W132" s="238">
        <v>579.00699999999995</v>
      </c>
      <c r="X132" s="238"/>
      <c r="Y132" s="104">
        <v>12.76</v>
      </c>
      <c r="Z132" s="105">
        <v>25.376000000000001</v>
      </c>
      <c r="AA132" s="105"/>
      <c r="AB132" s="106">
        <v>-0.432</v>
      </c>
      <c r="AC132" s="107">
        <v>-2.1760000000000002</v>
      </c>
    </row>
    <row r="133" spans="1:29" x14ac:dyDescent="0.3">
      <c r="A133" s="209" t="s">
        <v>494</v>
      </c>
      <c r="B133" s="212">
        <v>301.58300000000003</v>
      </c>
      <c r="C133" s="212">
        <v>289.51799999999997</v>
      </c>
      <c r="D133" s="252">
        <v>265.27199999999999</v>
      </c>
      <c r="E133" s="212">
        <v>263.81400000000002</v>
      </c>
      <c r="F133" s="212">
        <v>238.10499999999999</v>
      </c>
      <c r="G133" s="212">
        <v>223.19300000000001</v>
      </c>
      <c r="H133" s="212">
        <v>223.523</v>
      </c>
      <c r="I133" s="212"/>
      <c r="J133" s="213">
        <v>4.9489999999999998</v>
      </c>
      <c r="K133" s="214">
        <v>4.1079999999999997</v>
      </c>
      <c r="L133" s="215"/>
      <c r="M133" s="216">
        <v>-0.74199999999999999</v>
      </c>
      <c r="N133" s="59"/>
      <c r="O133" s="217" t="s">
        <v>494</v>
      </c>
      <c r="P133" s="253">
        <v>287.78300000000002</v>
      </c>
      <c r="Q133" s="253">
        <v>283.19900000000001</v>
      </c>
      <c r="R133" s="253">
        <v>277.44200000000001</v>
      </c>
      <c r="S133" s="253">
        <v>289.46800000000002</v>
      </c>
      <c r="T133" s="254">
        <v>200.50399999999999</v>
      </c>
      <c r="U133" s="254">
        <v>118.095</v>
      </c>
      <c r="V133" s="254">
        <v>92.616</v>
      </c>
      <c r="W133" s="254">
        <v>93.474000000000004</v>
      </c>
      <c r="X133" s="254"/>
      <c r="Y133" s="220">
        <v>4.2480000000000002</v>
      </c>
      <c r="Z133" s="221">
        <v>4.0970000000000004</v>
      </c>
      <c r="AA133" s="221"/>
      <c r="AB133" s="222">
        <v>0.38</v>
      </c>
      <c r="AC133" s="223">
        <v>-4.4340000000000002</v>
      </c>
    </row>
    <row r="134" spans="1:29" x14ac:dyDescent="0.3">
      <c r="A134" s="255" t="s">
        <v>657</v>
      </c>
      <c r="B134" s="149"/>
      <c r="C134" s="149"/>
      <c r="D134" s="149"/>
      <c r="E134" s="149"/>
      <c r="F134" s="149"/>
      <c r="G134" s="149"/>
      <c r="H134" s="149"/>
      <c r="I134" s="149"/>
      <c r="J134" s="149"/>
      <c r="K134" s="256"/>
      <c r="L134" s="256"/>
      <c r="M134" s="257" t="s">
        <v>658</v>
      </c>
      <c r="N134" s="59"/>
      <c r="O134" s="258" t="s">
        <v>657</v>
      </c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259" t="s">
        <v>658</v>
      </c>
    </row>
  </sheetData>
  <mergeCells count="13">
    <mergeCell ref="A109:M109"/>
    <mergeCell ref="A8:M8"/>
    <mergeCell ref="O8:AC8"/>
    <mergeCell ref="B10:H10"/>
    <mergeCell ref="J10:K10"/>
    <mergeCell ref="P10:W10"/>
    <mergeCell ref="Y10:Z10"/>
    <mergeCell ref="AB10:AC10"/>
    <mergeCell ref="Y11:Z11"/>
    <mergeCell ref="AB11:AC11"/>
    <mergeCell ref="B12:H12"/>
    <mergeCell ref="P12:S12"/>
    <mergeCell ref="T12:W12"/>
  </mergeCells>
  <conditionalFormatting sqref="A15:XFD1048576 F8:XFD14 A1:XFD7">
    <cfRule type="expression" dxfId="39" priority="3">
      <formula>_xlfn.ISFORMULA(A1)</formula>
    </cfRule>
  </conditionalFormatting>
  <conditionalFormatting sqref="A8:B8 D8:E8 A9:E14">
    <cfRule type="expression" dxfId="38" priority="2">
      <formula>_xlfn.ISFORMULA(A8)</formula>
    </cfRule>
  </conditionalFormatting>
  <conditionalFormatting sqref="C8">
    <cfRule type="expression" dxfId="37" priority="1">
      <formula>_xlfn.ISFORMULA(C8)</formula>
    </cfRule>
  </conditionalFormatting>
  <hyperlinks>
    <hyperlink ref="B3" r:id="rId1" xr:uid="{27B8DD99-621C-432C-B6F6-205F2F0AAA08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6BDA5-BDFA-47F2-8450-ABF0661F48F7}">
  <sheetPr>
    <tabColor theme="7" tint="0.39997558519241921"/>
  </sheetPr>
  <dimension ref="A1:W59"/>
  <sheetViews>
    <sheetView workbookViewId="0"/>
  </sheetViews>
  <sheetFormatPr defaultColWidth="10.33203125" defaultRowHeight="14.4" x14ac:dyDescent="0.3"/>
  <cols>
    <col min="1" max="1" width="37" style="3" customWidth="1"/>
    <col min="2" max="29" width="10.77734375" style="3" customWidth="1"/>
    <col min="30" max="16384" width="10.33203125" style="3"/>
  </cols>
  <sheetData>
    <row r="1" spans="1:23" s="1" customFormat="1" ht="49.5" customHeight="1" x14ac:dyDescent="0.3">
      <c r="A1" s="1" t="s">
        <v>659</v>
      </c>
    </row>
    <row r="2" spans="1:23" s="2" customFormat="1" x14ac:dyDescent="0.3">
      <c r="A2" s="2" t="s">
        <v>1</v>
      </c>
      <c r="B2" s="2" t="s">
        <v>660</v>
      </c>
    </row>
    <row r="3" spans="1:23" s="2" customFormat="1" x14ac:dyDescent="0.3">
      <c r="A3" s="2" t="s">
        <v>3</v>
      </c>
      <c r="B3" s="6" t="s">
        <v>661</v>
      </c>
    </row>
    <row r="4" spans="1:23" s="2" customFormat="1" x14ac:dyDescent="0.3">
      <c r="A4" s="2" t="s">
        <v>7</v>
      </c>
      <c r="B4" s="7">
        <v>43136</v>
      </c>
    </row>
    <row r="5" spans="1:23" s="2" customFormat="1" x14ac:dyDescent="0.3">
      <c r="A5" s="2" t="s">
        <v>2</v>
      </c>
      <c r="B5" s="2" t="s">
        <v>577</v>
      </c>
    </row>
    <row r="6" spans="1:23" s="2" customFormat="1" x14ac:dyDescent="0.3">
      <c r="A6" s="2" t="s">
        <v>4</v>
      </c>
      <c r="B6" s="2" t="s">
        <v>578</v>
      </c>
    </row>
    <row r="8" spans="1:23" ht="23.4" x14ac:dyDescent="0.3">
      <c r="A8" s="260" t="s">
        <v>579</v>
      </c>
      <c r="B8" s="260"/>
      <c r="C8" s="260"/>
      <c r="D8" s="260"/>
      <c r="E8" s="260"/>
      <c r="F8" s="260"/>
      <c r="G8" s="260"/>
      <c r="H8" s="260"/>
      <c r="I8" s="260"/>
      <c r="J8" s="260"/>
      <c r="K8" s="260"/>
      <c r="L8" s="261"/>
      <c r="M8" s="260" t="s">
        <v>662</v>
      </c>
      <c r="N8" s="260"/>
      <c r="O8" s="260"/>
      <c r="P8" s="260"/>
      <c r="Q8" s="260"/>
      <c r="R8" s="260"/>
      <c r="S8" s="260"/>
      <c r="T8" s="260"/>
      <c r="U8" s="260"/>
      <c r="V8" s="260"/>
      <c r="W8" s="260"/>
    </row>
    <row r="9" spans="1:23" ht="15" thickBot="1" x14ac:dyDescent="0.35">
      <c r="A9"/>
      <c r="B9" s="262"/>
      <c r="C9" s="262"/>
      <c r="D9" s="262"/>
      <c r="E9" s="262"/>
      <c r="F9" s="262"/>
      <c r="G9" s="262"/>
      <c r="H9" s="262"/>
      <c r="I9" s="262"/>
      <c r="J9" s="262"/>
      <c r="K9" s="262"/>
      <c r="L9" s="263"/>
      <c r="M9" s="264"/>
      <c r="N9" s="264"/>
      <c r="O9" s="264"/>
      <c r="P9" s="264"/>
      <c r="Q9" s="264"/>
      <c r="R9" s="264"/>
      <c r="S9" s="264"/>
      <c r="T9" s="264"/>
      <c r="U9" s="264"/>
      <c r="V9" s="264"/>
      <c r="W9" s="264"/>
    </row>
    <row r="10" spans="1:23" x14ac:dyDescent="0.3">
      <c r="A10" s="265"/>
      <c r="B10" s="805" t="s">
        <v>581</v>
      </c>
      <c r="C10" s="805"/>
      <c r="D10" s="805"/>
      <c r="E10" s="805"/>
      <c r="F10" s="805"/>
      <c r="G10" s="805"/>
      <c r="H10" s="805"/>
      <c r="I10" s="805" t="s">
        <v>582</v>
      </c>
      <c r="J10" s="806"/>
      <c r="K10" s="266" t="s">
        <v>583</v>
      </c>
      <c r="L10" s="263"/>
      <c r="M10" s="267"/>
      <c r="N10" s="807" t="s">
        <v>581</v>
      </c>
      <c r="O10" s="807"/>
      <c r="P10" s="807"/>
      <c r="Q10" s="807"/>
      <c r="R10" s="807"/>
      <c r="S10" s="807"/>
      <c r="T10" s="807" t="s">
        <v>582</v>
      </c>
      <c r="U10" s="808"/>
      <c r="V10" s="807" t="s">
        <v>583</v>
      </c>
      <c r="W10" s="807"/>
    </row>
    <row r="11" spans="1:23" x14ac:dyDescent="0.3">
      <c r="A11" s="268"/>
      <c r="B11" s="269">
        <v>1990</v>
      </c>
      <c r="C11" s="269">
        <v>2014</v>
      </c>
      <c r="D11" s="269">
        <v>2020</v>
      </c>
      <c r="E11" s="269">
        <v>2025</v>
      </c>
      <c r="F11" s="269">
        <v>2030</v>
      </c>
      <c r="G11" s="269">
        <v>2035</v>
      </c>
      <c r="H11" s="269">
        <v>2040</v>
      </c>
      <c r="I11" s="265">
        <v>2014</v>
      </c>
      <c r="J11" s="265">
        <v>2040</v>
      </c>
      <c r="K11" s="270" t="s">
        <v>663</v>
      </c>
      <c r="L11" s="263"/>
      <c r="M11" s="267"/>
      <c r="N11" s="271">
        <v>2020</v>
      </c>
      <c r="O11" s="271">
        <v>2030</v>
      </c>
      <c r="P11" s="271">
        <v>2040</v>
      </c>
      <c r="Q11" s="271">
        <v>2020</v>
      </c>
      <c r="R11" s="271">
        <v>2030</v>
      </c>
      <c r="S11" s="271">
        <v>2040</v>
      </c>
      <c r="T11" s="803">
        <v>2040</v>
      </c>
      <c r="U11" s="803"/>
      <c r="V11" s="804" t="s">
        <v>663</v>
      </c>
      <c r="W11" s="804"/>
    </row>
    <row r="12" spans="1:23" x14ac:dyDescent="0.3">
      <c r="A12" s="272"/>
      <c r="B12" s="273" t="s">
        <v>579</v>
      </c>
      <c r="C12" s="273"/>
      <c r="D12" s="273"/>
      <c r="E12" s="273"/>
      <c r="F12" s="273"/>
      <c r="G12" s="273"/>
      <c r="H12" s="273"/>
      <c r="I12" s="274" t="s">
        <v>585</v>
      </c>
      <c r="J12" s="274" t="s">
        <v>585</v>
      </c>
      <c r="K12" s="274" t="s">
        <v>585</v>
      </c>
      <c r="L12" s="263"/>
      <c r="M12" s="275"/>
      <c r="N12" s="811" t="s">
        <v>664</v>
      </c>
      <c r="O12" s="811"/>
      <c r="P12" s="811"/>
      <c r="Q12" s="811" t="s">
        <v>665</v>
      </c>
      <c r="R12" s="811"/>
      <c r="S12" s="811"/>
      <c r="T12" s="276" t="s">
        <v>588</v>
      </c>
      <c r="U12" s="277" t="s">
        <v>666</v>
      </c>
      <c r="V12" s="278" t="s">
        <v>590</v>
      </c>
      <c r="W12" s="278">
        <v>450</v>
      </c>
    </row>
    <row r="13" spans="1:23" x14ac:dyDescent="0.3">
      <c r="A13" s="809" t="s">
        <v>591</v>
      </c>
      <c r="B13" s="809"/>
      <c r="C13" s="809"/>
      <c r="D13" s="809"/>
      <c r="E13" s="809"/>
      <c r="F13" s="809"/>
      <c r="G13" s="809"/>
      <c r="H13" s="809"/>
      <c r="I13" s="809"/>
      <c r="J13" s="809"/>
      <c r="K13" s="809"/>
      <c r="L13" s="263"/>
      <c r="M13" s="812" t="s">
        <v>591</v>
      </c>
      <c r="N13" s="812"/>
      <c r="O13" s="812"/>
      <c r="P13" s="812"/>
      <c r="Q13" s="812"/>
      <c r="R13" s="812"/>
      <c r="S13" s="812"/>
      <c r="T13" s="812"/>
      <c r="U13" s="812"/>
      <c r="V13" s="812"/>
      <c r="W13" s="812"/>
    </row>
    <row r="14" spans="1:23" x14ac:dyDescent="0.3">
      <c r="A14" s="279" t="s">
        <v>624</v>
      </c>
      <c r="B14" s="280">
        <v>18.930499999999999</v>
      </c>
      <c r="C14" s="280">
        <v>22.770499999999998</v>
      </c>
      <c r="D14" s="280">
        <v>25.3368</v>
      </c>
      <c r="E14" s="280">
        <v>26.1327</v>
      </c>
      <c r="F14" s="280">
        <v>26.242899999999999</v>
      </c>
      <c r="G14" s="280">
        <v>26.0839</v>
      </c>
      <c r="H14" s="280">
        <v>25.3962</v>
      </c>
      <c r="I14" s="227">
        <v>25.411434113068914</v>
      </c>
      <c r="J14" s="228">
        <v>25.280667350209544</v>
      </c>
      <c r="K14" s="281">
        <v>0.42062723262035195</v>
      </c>
      <c r="L14" s="263"/>
      <c r="M14" s="282" t="s">
        <v>624</v>
      </c>
      <c r="N14" s="283">
        <v>25.837599999999998</v>
      </c>
      <c r="O14" s="283">
        <v>28.019400000000001</v>
      </c>
      <c r="P14" s="283">
        <v>28.329699999999999</v>
      </c>
      <c r="Q14" s="283">
        <v>24.560199999999998</v>
      </c>
      <c r="R14" s="283">
        <v>22.064900000000002</v>
      </c>
      <c r="S14" s="283">
        <v>16.2454</v>
      </c>
      <c r="T14" s="191">
        <v>24.944044799380137</v>
      </c>
      <c r="U14" s="191">
        <v>22.860463839984916</v>
      </c>
      <c r="V14" s="192">
        <v>0.84371199310446787</v>
      </c>
      <c r="W14" s="192">
        <v>-1.2902806786676657</v>
      </c>
    </row>
    <row r="15" spans="1:23" x14ac:dyDescent="0.3">
      <c r="A15" s="284" t="s">
        <v>667</v>
      </c>
      <c r="B15" s="285">
        <v>13.881</v>
      </c>
      <c r="C15" s="285">
        <v>18.9207</v>
      </c>
      <c r="D15" s="285">
        <v>21.5334</v>
      </c>
      <c r="E15" s="285">
        <v>22.5046</v>
      </c>
      <c r="F15" s="285">
        <v>22.814299999999999</v>
      </c>
      <c r="G15" s="285">
        <v>22.812999999999999</v>
      </c>
      <c r="H15" s="285">
        <v>22.297699999999999</v>
      </c>
      <c r="I15" s="97">
        <v>21.115132360867921</v>
      </c>
      <c r="J15" s="98">
        <v>22.196263077734752</v>
      </c>
      <c r="K15" s="100">
        <v>0.63364127117309099</v>
      </c>
      <c r="L15" s="263"/>
      <c r="M15" s="286" t="s">
        <v>667</v>
      </c>
      <c r="N15" s="287">
        <v>21.962</v>
      </c>
      <c r="O15" s="287">
        <v>24.348600000000001</v>
      </c>
      <c r="P15" s="287">
        <v>24.808399999999999</v>
      </c>
      <c r="Q15" s="288">
        <v>20.853300000000001</v>
      </c>
      <c r="R15" s="288">
        <v>19.086400000000001</v>
      </c>
      <c r="S15" s="288">
        <v>14.049799999999999</v>
      </c>
      <c r="T15" s="104">
        <v>21.843571975733671</v>
      </c>
      <c r="U15" s="105">
        <v>19.770824039975626</v>
      </c>
      <c r="V15" s="106">
        <v>1.0474700516592383</v>
      </c>
      <c r="W15" s="107">
        <v>-1.1382736200505339</v>
      </c>
    </row>
    <row r="16" spans="1:23" x14ac:dyDescent="0.3">
      <c r="A16" s="284" t="s">
        <v>601</v>
      </c>
      <c r="B16" s="285">
        <v>4.3338999999999999</v>
      </c>
      <c r="C16" s="285">
        <v>3.3155000000000001</v>
      </c>
      <c r="D16" s="285">
        <v>3.2389000000000001</v>
      </c>
      <c r="E16" s="285">
        <v>2.9992999999999999</v>
      </c>
      <c r="F16" s="285">
        <v>2.7322000000000002</v>
      </c>
      <c r="G16" s="285">
        <v>2.4525000000000001</v>
      </c>
      <c r="H16" s="285">
        <v>2.2195</v>
      </c>
      <c r="I16" s="97">
        <v>3.7000333678171313</v>
      </c>
      <c r="J16" s="98">
        <v>2.2094030281613031</v>
      </c>
      <c r="K16" s="100">
        <v>-1.531711566414562</v>
      </c>
      <c r="L16" s="263"/>
      <c r="M16" s="286" t="s">
        <v>601</v>
      </c>
      <c r="N16" s="287">
        <v>3.2966000000000002</v>
      </c>
      <c r="O16" s="287">
        <v>2.9142999999999999</v>
      </c>
      <c r="P16" s="287">
        <v>2.5005000000000002</v>
      </c>
      <c r="Q16" s="288">
        <v>3.1570999999999998</v>
      </c>
      <c r="R16" s="288">
        <v>2.3576999999999999</v>
      </c>
      <c r="S16" s="288">
        <v>1.5368999999999999</v>
      </c>
      <c r="T16" s="104">
        <v>2.2016676498815739</v>
      </c>
      <c r="U16" s="105">
        <v>2.1627197160841107</v>
      </c>
      <c r="V16" s="106">
        <v>-1.0792025617402445</v>
      </c>
      <c r="W16" s="107">
        <v>-2.91378708379878</v>
      </c>
    </row>
    <row r="17" spans="1:23" x14ac:dyDescent="0.3">
      <c r="A17" s="284" t="s">
        <v>668</v>
      </c>
      <c r="B17" s="285">
        <v>0.71560000000000001</v>
      </c>
      <c r="C17" s="285">
        <v>0.5343</v>
      </c>
      <c r="D17" s="285">
        <v>0.5645</v>
      </c>
      <c r="E17" s="285">
        <v>0.62880000000000003</v>
      </c>
      <c r="F17" s="285">
        <v>0.69640000000000002</v>
      </c>
      <c r="G17" s="285">
        <v>0.81840000000000002</v>
      </c>
      <c r="H17" s="285">
        <v>0.879</v>
      </c>
      <c r="I17" s="97">
        <v>0.59626838438386165</v>
      </c>
      <c r="J17" s="98">
        <v>0.87500124431348736</v>
      </c>
      <c r="K17" s="100">
        <v>1.9331691773347481</v>
      </c>
      <c r="L17" s="263"/>
      <c r="M17" s="286" t="s">
        <v>668</v>
      </c>
      <c r="N17" s="287">
        <v>0.57899999999999996</v>
      </c>
      <c r="O17" s="287">
        <v>0.75649999999999995</v>
      </c>
      <c r="P17" s="287">
        <v>1.0207999999999999</v>
      </c>
      <c r="Q17" s="288">
        <v>0.54979999999999996</v>
      </c>
      <c r="R17" s="288">
        <v>0.62080000000000002</v>
      </c>
      <c r="S17" s="288">
        <v>0.65859999999999996</v>
      </c>
      <c r="T17" s="104">
        <v>0.89880517376489133</v>
      </c>
      <c r="U17" s="105">
        <v>0.92677936431322483</v>
      </c>
      <c r="V17" s="106">
        <v>2.5211980337355167</v>
      </c>
      <c r="W17" s="107">
        <v>0.80770172475530533</v>
      </c>
    </row>
    <row r="18" spans="1:23" x14ac:dyDescent="0.3">
      <c r="A18" s="279" t="s">
        <v>625</v>
      </c>
      <c r="B18" s="280">
        <v>46.547699999999999</v>
      </c>
      <c r="C18" s="280">
        <v>66.836799999999997</v>
      </c>
      <c r="D18" s="280">
        <v>68.188900000000004</v>
      </c>
      <c r="E18" s="280">
        <v>69.584699999999998</v>
      </c>
      <c r="F18" s="280">
        <v>70.810500000000005</v>
      </c>
      <c r="G18" s="280">
        <v>72.787800000000004</v>
      </c>
      <c r="H18" s="280">
        <v>75.060900000000004</v>
      </c>
      <c r="I18" s="227">
        <v>74.588565886931093</v>
      </c>
      <c r="J18" s="228">
        <v>74.719432194869455</v>
      </c>
      <c r="K18" s="281">
        <v>0.44732814238306329</v>
      </c>
      <c r="L18" s="263"/>
      <c r="M18" s="289" t="s">
        <v>625</v>
      </c>
      <c r="N18" s="290">
        <v>69.168300000000002</v>
      </c>
      <c r="O18" s="290">
        <v>75.840500000000006</v>
      </c>
      <c r="P18" s="290">
        <v>85.243499999999997</v>
      </c>
      <c r="Q18" s="290">
        <v>66.402199999999993</v>
      </c>
      <c r="R18" s="290">
        <v>59.952300000000001</v>
      </c>
      <c r="S18" s="290">
        <v>54.817900000000002</v>
      </c>
      <c r="T18" s="249">
        <v>75.056131298812218</v>
      </c>
      <c r="U18" s="249">
        <v>77.139536160015084</v>
      </c>
      <c r="V18" s="250">
        <v>0.93999833775224584</v>
      </c>
      <c r="W18" s="250">
        <v>-0.75955089152027755</v>
      </c>
    </row>
    <row r="19" spans="1:23" x14ac:dyDescent="0.3">
      <c r="A19" s="284" t="s">
        <v>669</v>
      </c>
      <c r="B19" s="285">
        <v>11.559900000000001</v>
      </c>
      <c r="C19" s="285">
        <v>14.077999999999999</v>
      </c>
      <c r="D19" s="285">
        <v>14.2043</v>
      </c>
      <c r="E19" s="285">
        <v>14.0243</v>
      </c>
      <c r="F19" s="285">
        <v>13.5731</v>
      </c>
      <c r="G19" s="285">
        <v>13.0915</v>
      </c>
      <c r="H19" s="285">
        <v>12.1448</v>
      </c>
      <c r="I19" s="97">
        <v>15.710773564207381</v>
      </c>
      <c r="J19" s="98">
        <v>12.089550753058523</v>
      </c>
      <c r="K19" s="100">
        <v>-0.56651307656907512</v>
      </c>
      <c r="L19" s="291"/>
      <c r="M19" s="286" t="s">
        <v>669</v>
      </c>
      <c r="N19" s="287">
        <v>14.411799999999999</v>
      </c>
      <c r="O19" s="287">
        <v>14.3497</v>
      </c>
      <c r="P19" s="287">
        <v>13.103400000000001</v>
      </c>
      <c r="Q19" s="288">
        <v>13.8408</v>
      </c>
      <c r="R19" s="288">
        <v>11.5541</v>
      </c>
      <c r="S19" s="288">
        <v>9.5920000000000005</v>
      </c>
      <c r="T19" s="104">
        <v>11.537425268329622</v>
      </c>
      <c r="U19" s="105">
        <v>13.497825178397289</v>
      </c>
      <c r="V19" s="106">
        <v>-0.27554872976864875</v>
      </c>
      <c r="W19" s="107">
        <v>-1.4648720260566295</v>
      </c>
    </row>
    <row r="20" spans="1:23" x14ac:dyDescent="0.3">
      <c r="A20" s="284" t="s">
        <v>670</v>
      </c>
      <c r="B20" s="285">
        <v>6.0575999999999999</v>
      </c>
      <c r="C20" s="285">
        <v>7.9321000000000002</v>
      </c>
      <c r="D20" s="285">
        <v>7.2481</v>
      </c>
      <c r="E20" s="285">
        <v>6.8337000000000003</v>
      </c>
      <c r="F20" s="285">
        <v>6.4645999999999999</v>
      </c>
      <c r="G20" s="285">
        <v>6.2832999999999997</v>
      </c>
      <c r="H20" s="285">
        <v>6.1105999999999998</v>
      </c>
      <c r="I20" s="97">
        <v>8.8520689720591967</v>
      </c>
      <c r="J20" s="98">
        <v>6.0828015967030673</v>
      </c>
      <c r="K20" s="100">
        <v>-0.99841643478847386</v>
      </c>
      <c r="L20" s="263"/>
      <c r="M20" s="286" t="s">
        <v>670</v>
      </c>
      <c r="N20" s="287">
        <v>7.3658000000000001</v>
      </c>
      <c r="O20" s="287">
        <v>6.9888000000000003</v>
      </c>
      <c r="P20" s="287">
        <v>7.2073999999999998</v>
      </c>
      <c r="Q20" s="288">
        <v>7.0435999999999996</v>
      </c>
      <c r="R20" s="288">
        <v>5.2832999999999997</v>
      </c>
      <c r="S20" s="288">
        <v>4.2548000000000004</v>
      </c>
      <c r="T20" s="104">
        <v>6.3460505577910249</v>
      </c>
      <c r="U20" s="105">
        <v>5.9873380493165955</v>
      </c>
      <c r="V20" s="106">
        <v>-0.36782011592183528</v>
      </c>
      <c r="W20" s="107">
        <v>-2.3671860707064174</v>
      </c>
    </row>
    <row r="21" spans="1:23" x14ac:dyDescent="0.3">
      <c r="A21" s="284" t="s">
        <v>611</v>
      </c>
      <c r="B21" s="285">
        <v>17.716999999999999</v>
      </c>
      <c r="C21" s="285">
        <v>28.578800000000001</v>
      </c>
      <c r="D21" s="285">
        <v>31.594999999999999</v>
      </c>
      <c r="E21" s="285">
        <v>33.5047</v>
      </c>
      <c r="F21" s="285">
        <v>34.599800000000002</v>
      </c>
      <c r="G21" s="285">
        <v>36.196399999999997</v>
      </c>
      <c r="H21" s="285">
        <v>37.961199999999998</v>
      </c>
      <c r="I21" s="97">
        <v>31.89338368637377</v>
      </c>
      <c r="J21" s="98">
        <v>37.788506525179926</v>
      </c>
      <c r="K21" s="100">
        <v>1.0979039864011275</v>
      </c>
      <c r="L21" s="263"/>
      <c r="M21" s="286" t="s">
        <v>611</v>
      </c>
      <c r="N21" s="287">
        <v>31.934000000000001</v>
      </c>
      <c r="O21" s="287">
        <v>36.648000000000003</v>
      </c>
      <c r="P21" s="287">
        <v>42.376300000000001</v>
      </c>
      <c r="Q21" s="288">
        <v>30.837499999999999</v>
      </c>
      <c r="R21" s="288">
        <v>30.3644</v>
      </c>
      <c r="S21" s="288">
        <v>29.016400000000001</v>
      </c>
      <c r="T21" s="104">
        <v>37.311949142842046</v>
      </c>
      <c r="U21" s="105">
        <v>40.831765482323505</v>
      </c>
      <c r="V21" s="106">
        <v>1.5266282487049754</v>
      </c>
      <c r="W21" s="107">
        <v>5.846324912570644E-2</v>
      </c>
    </row>
    <row r="22" spans="1:23" x14ac:dyDescent="0.3">
      <c r="A22" s="284" t="s">
        <v>603</v>
      </c>
      <c r="B22" s="285">
        <v>6.7182000000000004</v>
      </c>
      <c r="C22" s="285">
        <v>8.5556000000000001</v>
      </c>
      <c r="D22" s="285">
        <v>7.5244999999999997</v>
      </c>
      <c r="E22" s="285">
        <v>7.5857999999999999</v>
      </c>
      <c r="F22" s="285">
        <v>8.1960999999999995</v>
      </c>
      <c r="G22" s="285">
        <v>8.3756000000000004</v>
      </c>
      <c r="H22" s="285">
        <v>8.8049999999999997</v>
      </c>
      <c r="I22" s="97">
        <v>9.5478828175829431</v>
      </c>
      <c r="J22" s="98">
        <v>8.7649442049832267</v>
      </c>
      <c r="K22" s="100">
        <v>0.11057533040859102</v>
      </c>
      <c r="L22" s="263"/>
      <c r="M22" s="286" t="s">
        <v>603</v>
      </c>
      <c r="N22" s="287">
        <v>7.7442000000000002</v>
      </c>
      <c r="O22" s="287">
        <v>9.0938999999999997</v>
      </c>
      <c r="P22" s="287">
        <v>10.4872</v>
      </c>
      <c r="Q22" s="288">
        <v>7.3087</v>
      </c>
      <c r="R22" s="288">
        <v>6.4869000000000003</v>
      </c>
      <c r="S22" s="288">
        <v>5.7701000000000002</v>
      </c>
      <c r="T22" s="104">
        <v>9.2338848141723826</v>
      </c>
      <c r="U22" s="105">
        <v>8.1196623292191621</v>
      </c>
      <c r="V22" s="106">
        <v>0.78603247488109318</v>
      </c>
      <c r="W22" s="107">
        <v>-1.5035688360484745</v>
      </c>
    </row>
    <row r="23" spans="1:23" x14ac:dyDescent="0.3">
      <c r="A23" s="292" t="s">
        <v>671</v>
      </c>
      <c r="B23" s="293">
        <v>4.4950000000000001</v>
      </c>
      <c r="C23" s="293">
        <v>7.6924000000000001</v>
      </c>
      <c r="D23" s="293">
        <v>7.6170999999999998</v>
      </c>
      <c r="E23" s="293">
        <v>7.6363000000000003</v>
      </c>
      <c r="F23" s="293">
        <v>7.9768999999999997</v>
      </c>
      <c r="G23" s="293">
        <v>8.8409999999999993</v>
      </c>
      <c r="H23" s="293">
        <v>10.039300000000001</v>
      </c>
      <c r="I23" s="213">
        <v>8.584568444758407</v>
      </c>
      <c r="J23" s="214">
        <v>9.993629114944703</v>
      </c>
      <c r="K23" s="216">
        <v>1.0293951216882702</v>
      </c>
      <c r="L23" s="263"/>
      <c r="M23" s="294" t="s">
        <v>671</v>
      </c>
      <c r="N23" s="295">
        <v>7.7126000000000001</v>
      </c>
      <c r="O23" s="295">
        <v>8.7600999999999996</v>
      </c>
      <c r="P23" s="295">
        <v>12.0692</v>
      </c>
      <c r="Q23" s="296">
        <v>7.3715000000000002</v>
      </c>
      <c r="R23" s="296">
        <v>6.2636000000000003</v>
      </c>
      <c r="S23" s="296">
        <v>6.1848000000000001</v>
      </c>
      <c r="T23" s="220">
        <v>10.626821515677143</v>
      </c>
      <c r="U23" s="221">
        <v>8.7032265599824381</v>
      </c>
      <c r="V23" s="222">
        <v>1.747492784584348</v>
      </c>
      <c r="W23" s="223">
        <v>-0.83548319758186551</v>
      </c>
    </row>
    <row r="24" spans="1:23" x14ac:dyDescent="0.3">
      <c r="A24" s="279" t="s">
        <v>672</v>
      </c>
      <c r="B24" s="280">
        <v>65.478300000000004</v>
      </c>
      <c r="C24" s="280">
        <v>89.607299999999995</v>
      </c>
      <c r="D24" s="280">
        <v>93.525700000000001</v>
      </c>
      <c r="E24" s="280">
        <v>95.717399999999998</v>
      </c>
      <c r="F24" s="280">
        <v>97.053399999999996</v>
      </c>
      <c r="G24" s="280">
        <v>98.871700000000004</v>
      </c>
      <c r="H24" s="280">
        <v>100.45699999999999</v>
      </c>
      <c r="I24" s="227">
        <v>100</v>
      </c>
      <c r="J24" s="228">
        <v>100</v>
      </c>
      <c r="K24" s="281">
        <v>0.44055601240065023</v>
      </c>
      <c r="L24" s="263"/>
      <c r="M24" s="289" t="s">
        <v>672</v>
      </c>
      <c r="N24" s="290">
        <v>95.005899999999997</v>
      </c>
      <c r="O24" s="290">
        <v>103.86</v>
      </c>
      <c r="P24" s="290">
        <v>113.57299999999999</v>
      </c>
      <c r="Q24" s="290">
        <v>90.962299999999999</v>
      </c>
      <c r="R24" s="290">
        <v>82.017200000000003</v>
      </c>
      <c r="S24" s="290">
        <v>71.063299999999998</v>
      </c>
      <c r="T24" s="249">
        <v>100</v>
      </c>
      <c r="U24" s="249">
        <v>100</v>
      </c>
      <c r="V24" s="250">
        <v>0.91574060486556697</v>
      </c>
      <c r="W24" s="250">
        <v>-0.88782672230971471</v>
      </c>
    </row>
    <row r="25" spans="1:23" x14ac:dyDescent="0.3">
      <c r="A25" s="284" t="s">
        <v>673</v>
      </c>
      <c r="B25" s="285">
        <v>58.516599999999997</v>
      </c>
      <c r="C25" s="285">
        <v>67.205699999999993</v>
      </c>
      <c r="D25" s="285">
        <v>66.358800000000002</v>
      </c>
      <c r="E25" s="285">
        <v>65.532899999999998</v>
      </c>
      <c r="F25" s="285">
        <v>64.451599999999999</v>
      </c>
      <c r="G25" s="285">
        <v>63.9803</v>
      </c>
      <c r="H25" s="285">
        <v>64.528999999999996</v>
      </c>
      <c r="I25" s="97">
        <v>73.191841108762347</v>
      </c>
      <c r="J25" s="98">
        <v>62.343848123279066</v>
      </c>
      <c r="K25" s="100">
        <v>-0.1561983839181047</v>
      </c>
      <c r="L25" s="263"/>
      <c r="M25" s="286" t="s">
        <v>673</v>
      </c>
      <c r="N25" s="287">
        <v>67.174199999999999</v>
      </c>
      <c r="O25" s="287">
        <v>68.996600000000001</v>
      </c>
      <c r="P25" s="287">
        <v>73.079400000000007</v>
      </c>
      <c r="Q25" s="288">
        <v>64.636099999999999</v>
      </c>
      <c r="R25" s="288">
        <v>54.605899999999998</v>
      </c>
      <c r="S25" s="288">
        <v>47.338200000000001</v>
      </c>
      <c r="T25" s="104">
        <v>62.450884044471408</v>
      </c>
      <c r="U25" s="105">
        <v>64.652625742119909</v>
      </c>
      <c r="V25" s="106">
        <v>0.32278311845772567</v>
      </c>
      <c r="W25" s="107">
        <v>-1.3388052204172052</v>
      </c>
    </row>
    <row r="26" spans="1:23" x14ac:dyDescent="0.3">
      <c r="A26" s="284" t="s">
        <v>631</v>
      </c>
      <c r="B26" s="285">
        <v>6.6132</v>
      </c>
      <c r="C26" s="285">
        <v>14.845499999999999</v>
      </c>
      <c r="D26" s="285">
        <v>16.6326</v>
      </c>
      <c r="E26" s="285">
        <v>18.036000000000001</v>
      </c>
      <c r="F26" s="285">
        <v>19.205500000000001</v>
      </c>
      <c r="G26" s="285">
        <v>20.163900000000002</v>
      </c>
      <c r="H26" s="285">
        <v>20.5867</v>
      </c>
      <c r="I26" s="97">
        <v>16.167817271156039</v>
      </c>
      <c r="J26" s="98">
        <v>19.889570552147241</v>
      </c>
      <c r="K26" s="100">
        <v>1.2654337293432905</v>
      </c>
      <c r="L26" s="263"/>
      <c r="M26" s="286" t="s">
        <v>631</v>
      </c>
      <c r="N26" s="287">
        <v>17.099299999999999</v>
      </c>
      <c r="O26" s="287">
        <v>20.075099999999999</v>
      </c>
      <c r="P26" s="287">
        <v>21.901900000000001</v>
      </c>
      <c r="Q26" s="288">
        <v>16.070599999999999</v>
      </c>
      <c r="R26" s="288">
        <v>16.218800000000002</v>
      </c>
      <c r="S26" s="288">
        <v>14.5443</v>
      </c>
      <c r="T26" s="104">
        <v>18.716533212555227</v>
      </c>
      <c r="U26" s="105">
        <v>19.86402492239068</v>
      </c>
      <c r="V26" s="106">
        <v>1.5069204949461401</v>
      </c>
      <c r="W26" s="107">
        <v>-7.8805950009375181E-2</v>
      </c>
    </row>
    <row r="27" spans="1:23" x14ac:dyDescent="0.3">
      <c r="A27" s="297" t="s">
        <v>674</v>
      </c>
      <c r="B27" s="298">
        <v>0.34849999999999998</v>
      </c>
      <c r="C27" s="298">
        <v>7.5560999999999998</v>
      </c>
      <c r="D27" s="298">
        <v>10.5343</v>
      </c>
      <c r="E27" s="298">
        <v>12.1485</v>
      </c>
      <c r="F27" s="298">
        <v>13.3963</v>
      </c>
      <c r="G27" s="298">
        <v>14.727600000000001</v>
      </c>
      <c r="H27" s="298">
        <v>15.3414</v>
      </c>
      <c r="I27" s="198">
        <v>8.2291363768537362</v>
      </c>
      <c r="J27" s="199">
        <v>14.821892662190233</v>
      </c>
      <c r="K27" s="201">
        <v>2.7612814638500405</v>
      </c>
      <c r="L27" s="263"/>
      <c r="M27" s="299" t="s">
        <v>674</v>
      </c>
      <c r="N27" s="300">
        <v>10.7324</v>
      </c>
      <c r="O27" s="300">
        <v>14.7883</v>
      </c>
      <c r="P27" s="300">
        <v>18.591899999999999</v>
      </c>
      <c r="Q27" s="301">
        <v>10.255599999999999</v>
      </c>
      <c r="R27" s="301">
        <v>11.192500000000001</v>
      </c>
      <c r="S27" s="301">
        <v>9.1808999999999994</v>
      </c>
      <c r="T27" s="205">
        <v>15.887932728873089</v>
      </c>
      <c r="U27" s="206">
        <v>12.538907091436272</v>
      </c>
      <c r="V27" s="207">
        <v>3.5236234786294451</v>
      </c>
      <c r="W27" s="208">
        <v>0.75192848648661936</v>
      </c>
    </row>
    <row r="28" spans="1:23" x14ac:dyDescent="0.3">
      <c r="A28" s="302" t="s">
        <v>638</v>
      </c>
      <c r="B28" s="293">
        <v>1.2929999999999999</v>
      </c>
      <c r="C28" s="293">
        <v>2.214</v>
      </c>
      <c r="D28" s="293">
        <v>2.3702999999999999</v>
      </c>
      <c r="E28" s="293">
        <v>2.5314999999999999</v>
      </c>
      <c r="F28" s="293">
        <v>2.7035</v>
      </c>
      <c r="G28" s="293">
        <v>2.8755000000000002</v>
      </c>
      <c r="H28" s="303">
        <v>3.0476000000000001</v>
      </c>
      <c r="I28" s="213">
        <v>2.4112052432278785</v>
      </c>
      <c r="J28" s="214">
        <v>2.9443988213129804</v>
      </c>
      <c r="K28" s="216">
        <v>1.2366360431256274</v>
      </c>
      <c r="L28" s="263"/>
      <c r="M28" s="304" t="s">
        <v>638</v>
      </c>
      <c r="N28" s="295">
        <v>2.4081000000000001</v>
      </c>
      <c r="O28" s="295">
        <v>2.8934000000000002</v>
      </c>
      <c r="P28" s="295">
        <v>3.4462000000000002</v>
      </c>
      <c r="Q28" s="296">
        <v>2.3056000000000001</v>
      </c>
      <c r="R28" s="296">
        <v>2.2848999999999999</v>
      </c>
      <c r="S28" s="296">
        <v>2.1560000000000001</v>
      </c>
      <c r="T28" s="220">
        <v>2.9449918389321392</v>
      </c>
      <c r="U28" s="221">
        <v>2.9445788200652014</v>
      </c>
      <c r="V28" s="222">
        <v>1.7163761789464216</v>
      </c>
      <c r="W28" s="223">
        <v>-0.10204859204874239</v>
      </c>
    </row>
    <row r="29" spans="1:23" x14ac:dyDescent="0.3">
      <c r="A29" s="305" t="s">
        <v>675</v>
      </c>
      <c r="B29" s="306">
        <v>66.771299999999997</v>
      </c>
      <c r="C29" s="306">
        <v>91.821299999999994</v>
      </c>
      <c r="D29" s="306">
        <v>95.896000000000001</v>
      </c>
      <c r="E29" s="306">
        <v>98.248900000000006</v>
      </c>
      <c r="F29" s="306">
        <v>99.756900000000002</v>
      </c>
      <c r="G29" s="306">
        <v>101.747</v>
      </c>
      <c r="H29" s="306">
        <v>103.505</v>
      </c>
      <c r="I29" s="307">
        <v>98.33401669163419</v>
      </c>
      <c r="J29" s="308">
        <v>96.066873400273963</v>
      </c>
      <c r="K29" s="309">
        <v>0.46173821716315455</v>
      </c>
      <c r="L29" s="263"/>
      <c r="M29" s="310" t="s">
        <v>675</v>
      </c>
      <c r="N29" s="311">
        <v>97.413899999999998</v>
      </c>
      <c r="O29" s="311">
        <v>106.753</v>
      </c>
      <c r="P29" s="311">
        <v>117.01900000000001</v>
      </c>
      <c r="Q29" s="311">
        <v>93.267899999999997</v>
      </c>
      <c r="R29" s="311">
        <v>84.302099999999996</v>
      </c>
      <c r="S29" s="311">
        <v>73.219300000000004</v>
      </c>
      <c r="T29" s="233">
        <v>97.046221332381208</v>
      </c>
      <c r="U29" s="233">
        <v>89.066097764061496</v>
      </c>
      <c r="V29" s="234">
        <v>0.93702444871903712</v>
      </c>
      <c r="W29" s="234">
        <v>-0.86693277470347718</v>
      </c>
    </row>
    <row r="30" spans="1:23" x14ac:dyDescent="0.3">
      <c r="A30" s="312" t="s">
        <v>676</v>
      </c>
      <c r="B30" s="313">
        <v>0.12872329799999999</v>
      </c>
      <c r="C30" s="313">
        <v>1.5556443059999996</v>
      </c>
      <c r="D30" s="313">
        <v>2.0162892559999999</v>
      </c>
      <c r="E30" s="313">
        <v>2.5183025539999999</v>
      </c>
      <c r="F30" s="313">
        <v>3.0193482129999998</v>
      </c>
      <c r="G30" s="313">
        <v>3.556240281</v>
      </c>
      <c r="H30" s="313">
        <v>4.2376550240000004</v>
      </c>
      <c r="I30" s="314">
        <v>1.6659833083658111</v>
      </c>
      <c r="J30" s="315">
        <v>3.9331265997260321</v>
      </c>
      <c r="K30" s="316">
        <v>3.9295507093639159</v>
      </c>
      <c r="L30" s="263"/>
      <c r="M30" s="317" t="s">
        <v>676</v>
      </c>
      <c r="N30" s="295">
        <v>1.873704485</v>
      </c>
      <c r="O30" s="295">
        <v>2.538592</v>
      </c>
      <c r="P30" s="295">
        <v>3.5616865980000005</v>
      </c>
      <c r="Q30" s="318">
        <v>2.0944233683971287</v>
      </c>
      <c r="R30" s="318">
        <v>5.7059930919797717</v>
      </c>
      <c r="S30" s="318">
        <v>8.9885229967590057</v>
      </c>
      <c r="T30" s="220">
        <v>2.953778667618796</v>
      </c>
      <c r="U30" s="319">
        <v>10.933902235938509</v>
      </c>
      <c r="V30" s="222">
        <v>3.2372343217350386</v>
      </c>
      <c r="W30" s="320">
        <v>6.9791529828940213</v>
      </c>
    </row>
    <row r="31" spans="1:23" x14ac:dyDescent="0.3">
      <c r="A31" s="305" t="s">
        <v>677</v>
      </c>
      <c r="B31" s="306">
        <v>66.900023297999994</v>
      </c>
      <c r="C31" s="306">
        <v>93.376944305999999</v>
      </c>
      <c r="D31" s="306">
        <v>97.912289255999994</v>
      </c>
      <c r="E31" s="306">
        <v>100.76720255400001</v>
      </c>
      <c r="F31" s="306">
        <v>102.776248213</v>
      </c>
      <c r="G31" s="306">
        <v>105.303240281</v>
      </c>
      <c r="H31" s="306">
        <v>107.742655024</v>
      </c>
      <c r="I31" s="307">
        <v>100</v>
      </c>
      <c r="J31" s="308">
        <v>100</v>
      </c>
      <c r="K31" s="309">
        <v>0.551906245141498</v>
      </c>
      <c r="L31" s="263"/>
      <c r="M31" s="310" t="s">
        <v>677</v>
      </c>
      <c r="N31" s="311">
        <v>99.287604485000003</v>
      </c>
      <c r="O31" s="311">
        <v>109.29159199999999</v>
      </c>
      <c r="P31" s="311">
        <v>120.580686598</v>
      </c>
      <c r="Q31" s="311">
        <v>95.362323368397128</v>
      </c>
      <c r="R31" s="311">
        <v>90.008093091979774</v>
      </c>
      <c r="S31" s="311">
        <v>82.207822996759006</v>
      </c>
      <c r="T31" s="233">
        <v>100</v>
      </c>
      <c r="U31" s="233">
        <v>100</v>
      </c>
      <c r="V31" s="234">
        <v>0.98821499450452155</v>
      </c>
      <c r="W31" s="234">
        <v>-0.48877848655963785</v>
      </c>
    </row>
    <row r="32" spans="1:23" x14ac:dyDescent="0.3">
      <c r="A32" s="809" t="s">
        <v>640</v>
      </c>
      <c r="B32" s="809"/>
      <c r="C32" s="809"/>
      <c r="D32" s="809"/>
      <c r="E32" s="809"/>
      <c r="F32" s="809"/>
      <c r="G32" s="809"/>
      <c r="H32" s="809"/>
      <c r="I32" s="809"/>
      <c r="J32" s="809"/>
      <c r="K32" s="809"/>
      <c r="L32" s="263"/>
      <c r="M32" s="810" t="s">
        <v>640</v>
      </c>
      <c r="N32" s="810"/>
      <c r="O32" s="810"/>
      <c r="P32" s="810"/>
      <c r="Q32" s="810"/>
      <c r="R32" s="810"/>
      <c r="S32" s="810"/>
      <c r="T32" s="810"/>
      <c r="U32" s="810"/>
      <c r="V32" s="810"/>
      <c r="W32" s="810"/>
    </row>
    <row r="33" spans="1:23" x14ac:dyDescent="0.3">
      <c r="A33" s="279" t="s">
        <v>624</v>
      </c>
      <c r="B33" s="321">
        <v>881.56100000000004</v>
      </c>
      <c r="C33" s="321">
        <v>1269.8</v>
      </c>
      <c r="D33" s="321">
        <v>1409.42</v>
      </c>
      <c r="E33" s="321">
        <v>1433.72</v>
      </c>
      <c r="F33" s="321">
        <v>1484.95</v>
      </c>
      <c r="G33" s="321">
        <v>1557.85</v>
      </c>
      <c r="H33" s="321">
        <v>1618.23</v>
      </c>
      <c r="I33" s="227">
        <v>35.906876260119844</v>
      </c>
      <c r="J33" s="228">
        <v>31.008356503260398</v>
      </c>
      <c r="K33" s="281">
        <v>0.93695275885803397</v>
      </c>
      <c r="L33" s="263"/>
      <c r="M33" s="289" t="s">
        <v>624</v>
      </c>
      <c r="N33" s="322">
        <v>1439.59</v>
      </c>
      <c r="O33" s="322">
        <v>1581.45</v>
      </c>
      <c r="P33" s="322">
        <v>1759.65</v>
      </c>
      <c r="Q33" s="322">
        <v>1411.69</v>
      </c>
      <c r="R33" s="322">
        <v>1360.12</v>
      </c>
      <c r="S33" s="322">
        <v>1159.6199999999999</v>
      </c>
      <c r="T33" s="249">
        <v>30.802260915534259</v>
      </c>
      <c r="U33" s="249">
        <v>28.932851293797107</v>
      </c>
      <c r="V33" s="250">
        <v>1.262734927332998</v>
      </c>
      <c r="W33" s="250">
        <v>-0.34849535010056387</v>
      </c>
    </row>
    <row r="34" spans="1:23" x14ac:dyDescent="0.3">
      <c r="A34" s="284" t="s">
        <v>667</v>
      </c>
      <c r="B34" s="323">
        <v>642.93299999999999</v>
      </c>
      <c r="C34" s="323">
        <v>938.55200000000002</v>
      </c>
      <c r="D34" s="323">
        <v>1045.5899999999999</v>
      </c>
      <c r="E34" s="323">
        <v>1070.3</v>
      </c>
      <c r="F34" s="323">
        <v>1121.3800000000001</v>
      </c>
      <c r="G34" s="323">
        <v>1187.06</v>
      </c>
      <c r="H34" s="323">
        <v>1238.71</v>
      </c>
      <c r="I34" s="97">
        <v>26.539983090004725</v>
      </c>
      <c r="J34" s="98">
        <v>23.736033372359731</v>
      </c>
      <c r="K34" s="100">
        <v>1.0729752720524122</v>
      </c>
      <c r="L34" s="263"/>
      <c r="M34" s="286" t="s">
        <v>667</v>
      </c>
      <c r="N34" s="324">
        <v>1068.6400000000001</v>
      </c>
      <c r="O34" s="324">
        <v>1201.45</v>
      </c>
      <c r="P34" s="324">
        <v>1341.29</v>
      </c>
      <c r="Q34" s="325">
        <v>1043.79</v>
      </c>
      <c r="R34" s="325">
        <v>1011.13</v>
      </c>
      <c r="S34" s="325">
        <v>827.38499999999999</v>
      </c>
      <c r="T34" s="104">
        <v>23.478967148806262</v>
      </c>
      <c r="U34" s="105">
        <v>20.643492840515272</v>
      </c>
      <c r="V34" s="106">
        <v>1.3827374174849139</v>
      </c>
      <c r="W34" s="107">
        <v>-0.48370381799736073</v>
      </c>
    </row>
    <row r="35" spans="1:23" x14ac:dyDescent="0.3">
      <c r="A35" s="284" t="s">
        <v>601</v>
      </c>
      <c r="B35" s="323">
        <v>210.99799999999999</v>
      </c>
      <c r="C35" s="323">
        <v>260.185</v>
      </c>
      <c r="D35" s="323">
        <v>220.47399999999999</v>
      </c>
      <c r="E35" s="323">
        <v>204.83099999999999</v>
      </c>
      <c r="F35" s="323">
        <v>193.86199999999999</v>
      </c>
      <c r="G35" s="323">
        <v>184.47900000000001</v>
      </c>
      <c r="H35" s="323">
        <v>178.161</v>
      </c>
      <c r="I35" s="97">
        <v>7.3574032128991025</v>
      </c>
      <c r="J35" s="98">
        <v>3.4139027227139378</v>
      </c>
      <c r="K35" s="100">
        <v>-1.4460022702514119</v>
      </c>
      <c r="L35" s="263"/>
      <c r="M35" s="286" t="s">
        <v>601</v>
      </c>
      <c r="N35" s="324">
        <v>224.02099999999999</v>
      </c>
      <c r="O35" s="324">
        <v>202.22</v>
      </c>
      <c r="P35" s="324">
        <v>195.875</v>
      </c>
      <c r="Q35" s="325">
        <v>223.37200000000001</v>
      </c>
      <c r="R35" s="325">
        <v>192.29599999999999</v>
      </c>
      <c r="S35" s="325">
        <v>169.49</v>
      </c>
      <c r="T35" s="104">
        <v>3.4287459760919909</v>
      </c>
      <c r="U35" s="105">
        <v>4.228824068044422</v>
      </c>
      <c r="V35" s="106">
        <v>-1.0860449270945649</v>
      </c>
      <c r="W35" s="107">
        <v>-1.6349449370251512</v>
      </c>
    </row>
    <row r="36" spans="1:23" x14ac:dyDescent="0.3">
      <c r="A36" s="284" t="s">
        <v>668</v>
      </c>
      <c r="B36" s="323">
        <v>27.63</v>
      </c>
      <c r="C36" s="323">
        <v>71.063999999999993</v>
      </c>
      <c r="D36" s="323">
        <v>143.358</v>
      </c>
      <c r="E36" s="323">
        <v>158.59299999999999</v>
      </c>
      <c r="F36" s="323">
        <v>169.708</v>
      </c>
      <c r="G36" s="323">
        <v>186.31100000000001</v>
      </c>
      <c r="H36" s="323">
        <v>201.35900000000001</v>
      </c>
      <c r="I36" s="97">
        <v>2.0095182348000917</v>
      </c>
      <c r="J36" s="98">
        <v>3.8584204081867295</v>
      </c>
      <c r="K36" s="100">
        <v>4.0871163189601045</v>
      </c>
      <c r="L36" s="263"/>
      <c r="M36" s="286" t="s">
        <v>668</v>
      </c>
      <c r="N36" s="324">
        <v>146.935</v>
      </c>
      <c r="O36" s="324">
        <v>177.78100000000001</v>
      </c>
      <c r="P36" s="324">
        <v>222.483</v>
      </c>
      <c r="Q36" s="325">
        <v>144.52099999999999</v>
      </c>
      <c r="R36" s="325">
        <v>156.70099999999999</v>
      </c>
      <c r="S36" s="325">
        <v>162.74100000000001</v>
      </c>
      <c r="T36" s="104">
        <v>3.8945127811046558</v>
      </c>
      <c r="U36" s="105">
        <v>4.0604345840911984</v>
      </c>
      <c r="V36" s="106">
        <v>4.4872630055743601</v>
      </c>
      <c r="W36" s="107">
        <v>3.2381662758736107</v>
      </c>
    </row>
    <row r="37" spans="1:23" x14ac:dyDescent="0.3">
      <c r="A37" s="279" t="s">
        <v>625</v>
      </c>
      <c r="B37" s="321">
        <v>1191.1400000000001</v>
      </c>
      <c r="C37" s="321">
        <v>2266.5700000000002</v>
      </c>
      <c r="D37" s="321">
        <v>2392.5300000000002</v>
      </c>
      <c r="E37" s="321">
        <v>2672</v>
      </c>
      <c r="F37" s="321">
        <v>2980.95</v>
      </c>
      <c r="G37" s="321">
        <v>3299.98</v>
      </c>
      <c r="H37" s="321">
        <v>3600.47</v>
      </c>
      <c r="I37" s="227">
        <v>64.09312373988017</v>
      </c>
      <c r="J37" s="228">
        <v>68.991835115709122</v>
      </c>
      <c r="K37" s="281">
        <v>1.7959235617533098</v>
      </c>
      <c r="L37" s="263"/>
      <c r="M37" s="326" t="s">
        <v>625</v>
      </c>
      <c r="N37" s="327">
        <v>2425.34</v>
      </c>
      <c r="O37" s="327">
        <v>3144.77</v>
      </c>
      <c r="P37" s="327">
        <v>3953.08</v>
      </c>
      <c r="Q37" s="327">
        <v>2383.02</v>
      </c>
      <c r="R37" s="327">
        <v>2701.93</v>
      </c>
      <c r="S37" s="327">
        <v>2848.36</v>
      </c>
      <c r="T37" s="328">
        <v>69.197739084465752</v>
      </c>
      <c r="U37" s="328">
        <v>71.067398209068429</v>
      </c>
      <c r="V37" s="329">
        <v>2.1623838025999209</v>
      </c>
      <c r="W37" s="329">
        <v>0.88262511460823756</v>
      </c>
    </row>
    <row r="38" spans="1:23" x14ac:dyDescent="0.3">
      <c r="A38" s="284" t="s">
        <v>669</v>
      </c>
      <c r="B38" s="323">
        <v>831.20799999999997</v>
      </c>
      <c r="C38" s="323">
        <v>858.18799999999999</v>
      </c>
      <c r="D38" s="323">
        <v>878.524</v>
      </c>
      <c r="E38" s="323">
        <v>949.49900000000002</v>
      </c>
      <c r="F38" s="323">
        <v>1019.69</v>
      </c>
      <c r="G38" s="323">
        <v>1094.57</v>
      </c>
      <c r="H38" s="323">
        <v>1145.19</v>
      </c>
      <c r="I38" s="97">
        <v>24.26748332329479</v>
      </c>
      <c r="J38" s="98">
        <v>21.944012769488129</v>
      </c>
      <c r="K38" s="100">
        <v>1.1158047610004607</v>
      </c>
      <c r="L38" s="263"/>
      <c r="M38" s="286" t="s">
        <v>669</v>
      </c>
      <c r="N38" s="324">
        <v>904.66800000000001</v>
      </c>
      <c r="O38" s="324">
        <v>1107.99</v>
      </c>
      <c r="P38" s="324">
        <v>1320.81</v>
      </c>
      <c r="Q38" s="325">
        <v>876.94600000000003</v>
      </c>
      <c r="R38" s="325">
        <v>957.44799999999998</v>
      </c>
      <c r="S38" s="325">
        <v>951.87400000000002</v>
      </c>
      <c r="T38" s="104">
        <v>23.1204695478344</v>
      </c>
      <c r="U38" s="105">
        <v>23.749529063341292</v>
      </c>
      <c r="V38" s="106">
        <v>1.6722014853913114</v>
      </c>
      <c r="W38" s="107">
        <v>0.39929307210124776</v>
      </c>
    </row>
    <row r="39" spans="1:23" x14ac:dyDescent="0.3">
      <c r="A39" s="284" t="s">
        <v>670</v>
      </c>
      <c r="B39" s="323">
        <v>131.989</v>
      </c>
      <c r="C39" s="323">
        <v>459.87299999999999</v>
      </c>
      <c r="D39" s="323">
        <v>493.50200000000001</v>
      </c>
      <c r="E39" s="323">
        <v>544.84500000000003</v>
      </c>
      <c r="F39" s="323">
        <v>618.51400000000001</v>
      </c>
      <c r="G39" s="323">
        <v>686.47</v>
      </c>
      <c r="H39" s="323">
        <v>755.61800000000005</v>
      </c>
      <c r="I39" s="97">
        <v>13.004097421932659</v>
      </c>
      <c r="J39" s="98">
        <v>14.479074250434499</v>
      </c>
      <c r="K39" s="100">
        <v>1.9283007080309833</v>
      </c>
      <c r="L39" s="263"/>
      <c r="M39" s="286" t="s">
        <v>670</v>
      </c>
      <c r="N39" s="324">
        <v>493.39100000000002</v>
      </c>
      <c r="O39" s="324">
        <v>632.04399999999998</v>
      </c>
      <c r="P39" s="324">
        <v>802.45600000000002</v>
      </c>
      <c r="Q39" s="325">
        <v>493.07499999999999</v>
      </c>
      <c r="R39" s="325">
        <v>615.55399999999997</v>
      </c>
      <c r="S39" s="325">
        <v>741.87800000000004</v>
      </c>
      <c r="T39" s="104">
        <v>14.046804242455011</v>
      </c>
      <c r="U39" s="105">
        <v>18.510068688138887</v>
      </c>
      <c r="V39" s="106">
        <v>2.1643457874451544</v>
      </c>
      <c r="W39" s="107">
        <v>1.8563837308810394</v>
      </c>
    </row>
    <row r="40" spans="1:23" x14ac:dyDescent="0.3">
      <c r="A40" s="284" t="s">
        <v>611</v>
      </c>
      <c r="B40" s="323">
        <v>94.903999999999996</v>
      </c>
      <c r="C40" s="323">
        <v>558.74300000000005</v>
      </c>
      <c r="D40" s="323">
        <v>613.04300000000001</v>
      </c>
      <c r="E40" s="323">
        <v>705.56200000000001</v>
      </c>
      <c r="F40" s="323">
        <v>783.80899999999997</v>
      </c>
      <c r="G40" s="323">
        <v>865.38800000000003</v>
      </c>
      <c r="H40" s="323">
        <v>955.08500000000004</v>
      </c>
      <c r="I40" s="97">
        <v>15.799902159559098</v>
      </c>
      <c r="J40" s="98">
        <v>18.301240349589651</v>
      </c>
      <c r="K40" s="100">
        <v>2.083369677359781</v>
      </c>
      <c r="L40" s="263"/>
      <c r="M40" s="286" t="s">
        <v>611</v>
      </c>
      <c r="N40" s="324">
        <v>619.86099999999999</v>
      </c>
      <c r="O40" s="324">
        <v>813.40200000000004</v>
      </c>
      <c r="P40" s="324">
        <v>994.44500000000005</v>
      </c>
      <c r="Q40" s="325">
        <v>605.64200000000005</v>
      </c>
      <c r="R40" s="325">
        <v>663.53499999999997</v>
      </c>
      <c r="S40" s="325">
        <v>663.15499999999997</v>
      </c>
      <c r="T40" s="104">
        <v>17.407526699143844</v>
      </c>
      <c r="U40" s="105">
        <v>16.545907279745109</v>
      </c>
      <c r="V40" s="106">
        <v>2.2420536841935457</v>
      </c>
      <c r="W40" s="107">
        <v>0.66109538589624872</v>
      </c>
    </row>
    <row r="41" spans="1:23" x14ac:dyDescent="0.3">
      <c r="A41" s="284" t="s">
        <v>603</v>
      </c>
      <c r="B41" s="323">
        <v>72.957300000000004</v>
      </c>
      <c r="C41" s="323">
        <v>213.636</v>
      </c>
      <c r="D41" s="323">
        <v>229.768</v>
      </c>
      <c r="E41" s="323">
        <v>282.005</v>
      </c>
      <c r="F41" s="323">
        <v>341.13099999999997</v>
      </c>
      <c r="G41" s="323">
        <v>395.18799999999999</v>
      </c>
      <c r="H41" s="323">
        <v>447.15199999999999</v>
      </c>
      <c r="I41" s="97">
        <v>6.0411099517301645</v>
      </c>
      <c r="J41" s="98">
        <v>8.5682805455008815</v>
      </c>
      <c r="K41" s="100">
        <v>2.8816026150452423</v>
      </c>
      <c r="L41" s="263"/>
      <c r="M41" s="286" t="s">
        <v>603</v>
      </c>
      <c r="N41" s="324">
        <v>229.72300000000001</v>
      </c>
      <c r="O41" s="324">
        <v>353.85199999999998</v>
      </c>
      <c r="P41" s="324">
        <v>480.64</v>
      </c>
      <c r="Q41" s="325">
        <v>229.768</v>
      </c>
      <c r="R41" s="325">
        <v>283.90600000000001</v>
      </c>
      <c r="S41" s="325">
        <v>306.48200000000003</v>
      </c>
      <c r="T41" s="104">
        <v>8.4134905728084473</v>
      </c>
      <c r="U41" s="105">
        <v>7.6468137236556171</v>
      </c>
      <c r="V41" s="106">
        <v>3.1677731856733171</v>
      </c>
      <c r="W41" s="107">
        <v>1.3976984780835533</v>
      </c>
    </row>
    <row r="42" spans="1:23" x14ac:dyDescent="0.3">
      <c r="A42" s="292" t="s">
        <v>671</v>
      </c>
      <c r="B42" s="330">
        <v>60.084000000000003</v>
      </c>
      <c r="C42" s="330">
        <v>176.12799999999999</v>
      </c>
      <c r="D42" s="330">
        <v>177.69499999999999</v>
      </c>
      <c r="E42" s="330">
        <v>190.09100000000001</v>
      </c>
      <c r="F42" s="330">
        <v>217.81</v>
      </c>
      <c r="G42" s="330">
        <v>258.36599999999999</v>
      </c>
      <c r="H42" s="330">
        <v>297.41899999999998</v>
      </c>
      <c r="I42" s="213">
        <v>4.9804743281952959</v>
      </c>
      <c r="J42" s="214">
        <v>5.6991122293142533</v>
      </c>
      <c r="K42" s="216">
        <v>2.035559496950734</v>
      </c>
      <c r="L42" s="263"/>
      <c r="M42" s="294" t="s">
        <v>671</v>
      </c>
      <c r="N42" s="331">
        <v>177.69499999999999</v>
      </c>
      <c r="O42" s="331">
        <v>237.483</v>
      </c>
      <c r="P42" s="331">
        <v>354.733</v>
      </c>
      <c r="Q42" s="332">
        <v>177.59</v>
      </c>
      <c r="R42" s="332">
        <v>181.48400000000001</v>
      </c>
      <c r="S42" s="332">
        <v>184.96799999999999</v>
      </c>
      <c r="T42" s="220">
        <v>6.2095180412867403</v>
      </c>
      <c r="U42" s="221">
        <v>4.6150046033278693</v>
      </c>
      <c r="V42" s="222">
        <v>2.7294877663743167</v>
      </c>
      <c r="W42" s="223">
        <v>0.18853070266311445</v>
      </c>
    </row>
    <row r="43" spans="1:23" x14ac:dyDescent="0.3">
      <c r="A43" s="279" t="s">
        <v>648</v>
      </c>
      <c r="B43" s="321">
        <v>2072.6999999999998</v>
      </c>
      <c r="C43" s="321">
        <v>3536.37</v>
      </c>
      <c r="D43" s="321">
        <v>3801.95</v>
      </c>
      <c r="E43" s="321">
        <v>4105.72</v>
      </c>
      <c r="F43" s="321">
        <v>4465.8999999999996</v>
      </c>
      <c r="G43" s="321">
        <v>4857.83</v>
      </c>
      <c r="H43" s="321">
        <v>5218.6899999999996</v>
      </c>
      <c r="I43" s="227">
        <v>100</v>
      </c>
      <c r="J43" s="228">
        <v>100</v>
      </c>
      <c r="K43" s="281">
        <v>1.5079708362413458</v>
      </c>
      <c r="L43" s="263"/>
      <c r="M43" s="326" t="s">
        <v>648</v>
      </c>
      <c r="N43" s="327">
        <v>3864.93</v>
      </c>
      <c r="O43" s="327">
        <v>4726.22</v>
      </c>
      <c r="P43" s="327">
        <v>5712.73</v>
      </c>
      <c r="Q43" s="327">
        <v>3794.71</v>
      </c>
      <c r="R43" s="327">
        <v>4062.05</v>
      </c>
      <c r="S43" s="327">
        <v>4007.97</v>
      </c>
      <c r="T43" s="328">
        <v>100</v>
      </c>
      <c r="U43" s="328">
        <v>100</v>
      </c>
      <c r="V43" s="329">
        <v>1.8617187786096556</v>
      </c>
      <c r="W43" s="329">
        <v>0.48263827765981926</v>
      </c>
    </row>
    <row r="44" spans="1:23" x14ac:dyDescent="0.3">
      <c r="A44" s="333" t="s">
        <v>678</v>
      </c>
      <c r="B44" s="334">
        <v>79.209999999999994</v>
      </c>
      <c r="C44" s="334">
        <v>701.19</v>
      </c>
      <c r="D44" s="334">
        <v>955.97699999999998</v>
      </c>
      <c r="E44" s="334">
        <v>1139.5999999999999</v>
      </c>
      <c r="F44" s="334">
        <v>1334.12</v>
      </c>
      <c r="G44" s="334">
        <v>1530.45</v>
      </c>
      <c r="H44" s="334">
        <v>1703.86</v>
      </c>
      <c r="I44" s="115">
        <v>19.827959178479627</v>
      </c>
      <c r="J44" s="116">
        <v>32.64918973918742</v>
      </c>
      <c r="K44" s="118">
        <v>3.4738717700552257</v>
      </c>
      <c r="L44" s="263"/>
      <c r="M44" s="335" t="s">
        <v>678</v>
      </c>
      <c r="N44" s="336">
        <v>969.56399999999996</v>
      </c>
      <c r="O44" s="336">
        <v>1407.08</v>
      </c>
      <c r="P44" s="336">
        <v>1884.62</v>
      </c>
      <c r="Q44" s="337">
        <v>941.22400000000005</v>
      </c>
      <c r="R44" s="337">
        <v>1190.3599999999999</v>
      </c>
      <c r="S44" s="337">
        <v>1238.97</v>
      </c>
      <c r="T44" s="338">
        <v>32.989831481620875</v>
      </c>
      <c r="U44" s="339">
        <v>30.912656531860272</v>
      </c>
      <c r="V44" s="340">
        <v>3.8759302826703479</v>
      </c>
      <c r="W44" s="341">
        <v>2.2135934656675182</v>
      </c>
    </row>
    <row r="45" spans="1:23" x14ac:dyDescent="0.3">
      <c r="A45" s="809" t="s">
        <v>653</v>
      </c>
      <c r="B45" s="809"/>
      <c r="C45" s="809"/>
      <c r="D45" s="809"/>
      <c r="E45" s="809"/>
      <c r="F45" s="809"/>
      <c r="G45" s="809"/>
      <c r="H45" s="809"/>
      <c r="I45" s="809"/>
      <c r="J45" s="809"/>
      <c r="K45" s="809"/>
      <c r="L45" s="263"/>
      <c r="M45" s="810" t="s">
        <v>653</v>
      </c>
      <c r="N45" s="810"/>
      <c r="O45" s="810"/>
      <c r="P45" s="810"/>
      <c r="Q45" s="810"/>
      <c r="R45" s="810"/>
      <c r="S45" s="810"/>
      <c r="T45" s="810"/>
      <c r="U45" s="810"/>
      <c r="V45" s="810"/>
      <c r="W45" s="810"/>
    </row>
    <row r="46" spans="1:23" x14ac:dyDescent="0.3">
      <c r="A46" s="279" t="s">
        <v>624</v>
      </c>
      <c r="B46" s="321">
        <v>1532.91</v>
      </c>
      <c r="C46" s="321">
        <v>1394.52</v>
      </c>
      <c r="D46" s="321">
        <v>1205.3900000000001</v>
      </c>
      <c r="E46" s="321">
        <v>1115.6600000000001</v>
      </c>
      <c r="F46" s="321">
        <v>1055.3399999999999</v>
      </c>
      <c r="G46" s="321">
        <v>985.53800000000001</v>
      </c>
      <c r="H46" s="321">
        <v>958.56</v>
      </c>
      <c r="I46" s="227">
        <v>24.550543994929757</v>
      </c>
      <c r="J46" s="228">
        <v>16.206757211428727</v>
      </c>
      <c r="K46" s="281">
        <v>-1.4314762741392539</v>
      </c>
      <c r="L46" s="263"/>
      <c r="M46" s="289" t="s">
        <v>624</v>
      </c>
      <c r="N46" s="322">
        <v>1271.06</v>
      </c>
      <c r="O46" s="322">
        <v>1299.54</v>
      </c>
      <c r="P46" s="322">
        <v>1351.94</v>
      </c>
      <c r="Q46" s="322">
        <v>1008.44</v>
      </c>
      <c r="R46" s="322">
        <v>588.48199999999997</v>
      </c>
      <c r="S46" s="322">
        <v>432.47800000000001</v>
      </c>
      <c r="T46" s="249">
        <v>17.765729018557604</v>
      </c>
      <c r="U46" s="249">
        <v>15.133249352648889</v>
      </c>
      <c r="V46" s="250">
        <v>-0.11919687365121723</v>
      </c>
      <c r="W46" s="250">
        <v>-4.4030980398718107</v>
      </c>
    </row>
    <row r="47" spans="1:23" x14ac:dyDescent="0.3">
      <c r="A47" s="284" t="s">
        <v>667</v>
      </c>
      <c r="B47" s="323">
        <v>836.34199999999998</v>
      </c>
      <c r="C47" s="323">
        <v>756.90200000000004</v>
      </c>
      <c r="D47" s="323">
        <v>610.51</v>
      </c>
      <c r="E47" s="323">
        <v>554.58500000000004</v>
      </c>
      <c r="F47" s="323">
        <v>515.34500000000003</v>
      </c>
      <c r="G47" s="323">
        <v>464.12299999999999</v>
      </c>
      <c r="H47" s="323">
        <v>428</v>
      </c>
      <c r="I47" s="97">
        <v>13.325270236963489</v>
      </c>
      <c r="J47" s="98">
        <v>7.2363671408065171</v>
      </c>
      <c r="K47" s="100">
        <v>-2.1688674065005298</v>
      </c>
      <c r="L47" s="263"/>
      <c r="M47" s="286" t="s">
        <v>667</v>
      </c>
      <c r="N47" s="324">
        <v>629.86099999999999</v>
      </c>
      <c r="O47" s="324">
        <v>589.85</v>
      </c>
      <c r="P47" s="324">
        <v>570.17700000000002</v>
      </c>
      <c r="Q47" s="325">
        <v>461.75700000000001</v>
      </c>
      <c r="R47" s="325">
        <v>195.22399999999999</v>
      </c>
      <c r="S47" s="325">
        <v>124.125</v>
      </c>
      <c r="T47" s="104">
        <v>7.4926476578946684</v>
      </c>
      <c r="U47" s="105">
        <v>4.3433760235145913</v>
      </c>
      <c r="V47" s="106">
        <v>-1.0836509215235934</v>
      </c>
      <c r="W47" s="107">
        <v>-6.7173759833098039</v>
      </c>
    </row>
    <row r="48" spans="1:23" x14ac:dyDescent="0.3">
      <c r="A48" s="284" t="s">
        <v>601</v>
      </c>
      <c r="B48" s="323">
        <v>525.97400000000005</v>
      </c>
      <c r="C48" s="323">
        <v>225.39500000000001</v>
      </c>
      <c r="D48" s="323">
        <v>168.185</v>
      </c>
      <c r="E48" s="323">
        <v>131.88800000000001</v>
      </c>
      <c r="F48" s="323">
        <v>95.193600000000004</v>
      </c>
      <c r="G48" s="323">
        <v>70.989999999999995</v>
      </c>
      <c r="H48" s="323">
        <v>61.830100000000002</v>
      </c>
      <c r="I48" s="97">
        <v>3.9680821097848673</v>
      </c>
      <c r="J48" s="98">
        <v>1.0453862241887406</v>
      </c>
      <c r="K48" s="100">
        <v>-4.8531425303640745</v>
      </c>
      <c r="L48" s="263"/>
      <c r="M48" s="286" t="s">
        <v>601</v>
      </c>
      <c r="N48" s="324">
        <v>178.93199999999999</v>
      </c>
      <c r="O48" s="324">
        <v>131.70599999999999</v>
      </c>
      <c r="P48" s="324">
        <v>115.378</v>
      </c>
      <c r="Q48" s="325">
        <v>154.36000000000001</v>
      </c>
      <c r="R48" s="325">
        <v>58.472299999999997</v>
      </c>
      <c r="S48" s="325">
        <v>24.130199999999999</v>
      </c>
      <c r="T48" s="104">
        <v>1.516172524448673</v>
      </c>
      <c r="U48" s="105">
        <v>0.84436279655679181</v>
      </c>
      <c r="V48" s="106">
        <v>-2.5426571020878863</v>
      </c>
      <c r="W48" s="107">
        <v>-8.2348955604794725</v>
      </c>
    </row>
    <row r="49" spans="1:23" x14ac:dyDescent="0.3">
      <c r="A49" s="284" t="s">
        <v>668</v>
      </c>
      <c r="B49" s="323">
        <v>170.59299999999999</v>
      </c>
      <c r="C49" s="323">
        <v>412.22800000000001</v>
      </c>
      <c r="D49" s="323">
        <v>426.69900000000001</v>
      </c>
      <c r="E49" s="323">
        <v>429.19</v>
      </c>
      <c r="F49" s="323">
        <v>444.8</v>
      </c>
      <c r="G49" s="323">
        <v>450.42500000000001</v>
      </c>
      <c r="H49" s="323">
        <v>468.73</v>
      </c>
      <c r="I49" s="97">
        <v>7.2572796732509426</v>
      </c>
      <c r="J49" s="98">
        <v>7.9250055371734556</v>
      </c>
      <c r="K49" s="100">
        <v>0.49526206269132622</v>
      </c>
      <c r="L49" s="263"/>
      <c r="M49" s="286" t="s">
        <v>668</v>
      </c>
      <c r="N49" s="324">
        <v>462.26400000000001</v>
      </c>
      <c r="O49" s="324">
        <v>577.98299999999995</v>
      </c>
      <c r="P49" s="324">
        <v>666.38900000000001</v>
      </c>
      <c r="Q49" s="325">
        <v>392.32</v>
      </c>
      <c r="R49" s="325">
        <v>334.786</v>
      </c>
      <c r="S49" s="325">
        <v>284.22300000000001</v>
      </c>
      <c r="T49" s="104">
        <v>8.7569613998754257</v>
      </c>
      <c r="U49" s="105">
        <v>9.9455175309678783</v>
      </c>
      <c r="V49" s="106">
        <v>1.8644641812604945</v>
      </c>
      <c r="W49" s="107">
        <v>-1.4198902369685906</v>
      </c>
    </row>
    <row r="50" spans="1:23" x14ac:dyDescent="0.3">
      <c r="A50" s="279" t="s">
        <v>625</v>
      </c>
      <c r="B50" s="321">
        <v>1644.87</v>
      </c>
      <c r="C50" s="321">
        <v>4285.68</v>
      </c>
      <c r="D50" s="321">
        <v>4374.1400000000003</v>
      </c>
      <c r="E50" s="321">
        <v>4534.6099999999997</v>
      </c>
      <c r="F50" s="321">
        <v>4715.2299999999996</v>
      </c>
      <c r="G50" s="321">
        <v>4872.3999999999996</v>
      </c>
      <c r="H50" s="321">
        <v>4956.01</v>
      </c>
      <c r="I50" s="227">
        <v>75.449456005070246</v>
      </c>
      <c r="J50" s="228">
        <v>83.793242788571291</v>
      </c>
      <c r="K50" s="281">
        <v>0.56049473052222076</v>
      </c>
      <c r="L50" s="263"/>
      <c r="M50" s="289" t="s">
        <v>625</v>
      </c>
      <c r="N50" s="322">
        <v>4516.6499999999996</v>
      </c>
      <c r="O50" s="322">
        <v>5428.99</v>
      </c>
      <c r="P50" s="322">
        <v>6257.88</v>
      </c>
      <c r="Q50" s="322">
        <v>4166.0600000000004</v>
      </c>
      <c r="R50" s="322">
        <v>3197.4</v>
      </c>
      <c r="S50" s="322">
        <v>2425.3200000000002</v>
      </c>
      <c r="T50" s="249">
        <v>82.234270981442407</v>
      </c>
      <c r="U50" s="249">
        <v>84.866680663447397</v>
      </c>
      <c r="V50" s="250">
        <v>1.4666600417443387</v>
      </c>
      <c r="W50" s="250">
        <v>-2.1658766143028974</v>
      </c>
    </row>
    <row r="51" spans="1:23" x14ac:dyDescent="0.3">
      <c r="A51" s="284" t="s">
        <v>669</v>
      </c>
      <c r="B51" s="323">
        <v>532.85400000000004</v>
      </c>
      <c r="C51" s="323">
        <v>423.49400000000003</v>
      </c>
      <c r="D51" s="323">
        <v>415.91899999999998</v>
      </c>
      <c r="E51" s="323">
        <v>421.68599999999998</v>
      </c>
      <c r="F51" s="323">
        <v>429.88200000000001</v>
      </c>
      <c r="G51" s="323">
        <v>431.113</v>
      </c>
      <c r="H51" s="323">
        <v>430.58100000000002</v>
      </c>
      <c r="I51" s="97">
        <v>7.4556177599380309</v>
      </c>
      <c r="J51" s="98">
        <v>7.2800051398495587</v>
      </c>
      <c r="K51" s="100">
        <v>6.3851580825691201E-2</v>
      </c>
      <c r="L51" s="263"/>
      <c r="M51" s="286" t="s">
        <v>669</v>
      </c>
      <c r="N51" s="324">
        <v>425.15499999999997</v>
      </c>
      <c r="O51" s="324">
        <v>487.12</v>
      </c>
      <c r="P51" s="324">
        <v>532.75800000000004</v>
      </c>
      <c r="Q51" s="325">
        <v>375.738</v>
      </c>
      <c r="R51" s="325">
        <v>267.70400000000001</v>
      </c>
      <c r="S51" s="325">
        <v>198.76900000000001</v>
      </c>
      <c r="T51" s="104">
        <v>7.0009277486195485</v>
      </c>
      <c r="U51" s="105">
        <v>6.9553152774861777</v>
      </c>
      <c r="V51" s="106">
        <v>0.88670794204639414</v>
      </c>
      <c r="W51" s="107">
        <v>-2.8673051168096375</v>
      </c>
    </row>
    <row r="52" spans="1:23" x14ac:dyDescent="0.3">
      <c r="A52" s="284" t="s">
        <v>670</v>
      </c>
      <c r="B52" s="323">
        <v>936.101</v>
      </c>
      <c r="C52" s="323">
        <v>3549.21</v>
      </c>
      <c r="D52" s="323">
        <v>3646.58</v>
      </c>
      <c r="E52" s="323">
        <v>3797.12</v>
      </c>
      <c r="F52" s="323">
        <v>3954.21</v>
      </c>
      <c r="G52" s="323">
        <v>4096.9799999999996</v>
      </c>
      <c r="H52" s="323">
        <v>4148.91</v>
      </c>
      <c r="I52" s="97">
        <v>62.483891412274218</v>
      </c>
      <c r="J52" s="98">
        <v>70.147280360195253</v>
      </c>
      <c r="K52" s="100">
        <v>0.60227026586996413</v>
      </c>
      <c r="L52" s="263"/>
      <c r="M52" s="286" t="s">
        <v>670</v>
      </c>
      <c r="N52" s="324">
        <v>3763.1</v>
      </c>
      <c r="O52" s="324">
        <v>4535.8900000000003</v>
      </c>
      <c r="P52" s="324">
        <v>5233.8</v>
      </c>
      <c r="Q52" s="325">
        <v>3503.46</v>
      </c>
      <c r="R52" s="325">
        <v>2677.59</v>
      </c>
      <c r="S52" s="325">
        <v>2014.54</v>
      </c>
      <c r="T52" s="104">
        <v>68.776922450202505</v>
      </c>
      <c r="U52" s="105">
        <v>70.492686682063123</v>
      </c>
      <c r="V52" s="106">
        <v>1.5051087927436146</v>
      </c>
      <c r="W52" s="107">
        <v>-2.1546566693671942</v>
      </c>
    </row>
    <row r="53" spans="1:23" x14ac:dyDescent="0.3">
      <c r="A53" s="284" t="s">
        <v>611</v>
      </c>
      <c r="B53" s="323">
        <v>0.79730000000000001</v>
      </c>
      <c r="C53" s="323">
        <v>0.90969999999999995</v>
      </c>
      <c r="D53" s="323">
        <v>1.0619000000000001</v>
      </c>
      <c r="E53" s="323">
        <v>1.0835999999999999</v>
      </c>
      <c r="F53" s="323">
        <v>1.1080000000000001</v>
      </c>
      <c r="G53" s="323">
        <v>1.1357999999999999</v>
      </c>
      <c r="H53" s="323">
        <v>1.1674</v>
      </c>
      <c r="I53" s="97">
        <v>1.6015281152072108E-2</v>
      </c>
      <c r="J53" s="98">
        <v>1.9737698598545628E-2</v>
      </c>
      <c r="K53" s="100">
        <v>0.96392169269108319</v>
      </c>
      <c r="L53" s="263"/>
      <c r="M53" s="286" t="s">
        <v>611</v>
      </c>
      <c r="N53" s="324">
        <v>1.0719000000000001</v>
      </c>
      <c r="O53" s="324">
        <v>1.1456999999999999</v>
      </c>
      <c r="P53" s="324">
        <v>1.2374000000000001</v>
      </c>
      <c r="Q53" s="325">
        <v>1.0619000000000001</v>
      </c>
      <c r="R53" s="325">
        <v>1.0350999999999999</v>
      </c>
      <c r="S53" s="325">
        <v>0.70889999999999997</v>
      </c>
      <c r="T53" s="104">
        <v>1.6260568581122813E-2</v>
      </c>
      <c r="U53" s="105">
        <v>2.4805794667226537E-2</v>
      </c>
      <c r="V53" s="106">
        <v>1.1903084847075585</v>
      </c>
      <c r="W53" s="107">
        <v>-0.95464635712925183</v>
      </c>
    </row>
    <row r="54" spans="1:23" x14ac:dyDescent="0.3">
      <c r="A54" s="284" t="s">
        <v>603</v>
      </c>
      <c r="B54" s="323">
        <v>149.89699999999999</v>
      </c>
      <c r="C54" s="323">
        <v>223.93700000000001</v>
      </c>
      <c r="D54" s="323">
        <v>226.73599999999999</v>
      </c>
      <c r="E54" s="323">
        <v>233.065</v>
      </c>
      <c r="F54" s="323">
        <v>248.25200000000001</v>
      </c>
      <c r="G54" s="323">
        <v>261.303</v>
      </c>
      <c r="H54" s="323">
        <v>293.34899999999999</v>
      </c>
      <c r="I54" s="97">
        <v>3.94241399950706</v>
      </c>
      <c r="J54" s="98">
        <v>4.9597688420290904</v>
      </c>
      <c r="K54" s="100">
        <v>1.0438655175563749</v>
      </c>
      <c r="L54" s="263"/>
      <c r="M54" s="286" t="s">
        <v>603</v>
      </c>
      <c r="N54" s="324">
        <v>235.91900000000001</v>
      </c>
      <c r="O54" s="324">
        <v>297.12799999999999</v>
      </c>
      <c r="P54" s="324">
        <v>379.44</v>
      </c>
      <c r="Q54" s="325">
        <v>210.53700000000001</v>
      </c>
      <c r="R54" s="325">
        <v>181.23699999999999</v>
      </c>
      <c r="S54" s="325">
        <v>158.714</v>
      </c>
      <c r="T54" s="104">
        <v>4.986188898029126</v>
      </c>
      <c r="U54" s="105">
        <v>5.553712646091399</v>
      </c>
      <c r="V54" s="106">
        <v>2.0489066355265484</v>
      </c>
      <c r="W54" s="107">
        <v>-1.3153530850433248</v>
      </c>
    </row>
    <row r="55" spans="1:23" x14ac:dyDescent="0.3">
      <c r="A55" s="292" t="s">
        <v>671</v>
      </c>
      <c r="B55" s="330">
        <v>25.224799999999998</v>
      </c>
      <c r="C55" s="330">
        <v>88.125</v>
      </c>
      <c r="D55" s="330">
        <v>83.838300000000004</v>
      </c>
      <c r="E55" s="330">
        <v>81.659499999999994</v>
      </c>
      <c r="F55" s="330">
        <v>81.771900000000002</v>
      </c>
      <c r="G55" s="330">
        <v>81.873400000000004</v>
      </c>
      <c r="H55" s="330">
        <v>82.001999999999995</v>
      </c>
      <c r="I55" s="213">
        <v>1.5514418506390621</v>
      </c>
      <c r="J55" s="214">
        <v>1.3864406034589158</v>
      </c>
      <c r="K55" s="216">
        <v>-0.27658841792602695</v>
      </c>
      <c r="L55" s="263"/>
      <c r="M55" s="294" t="s">
        <v>671</v>
      </c>
      <c r="N55" s="331">
        <v>91.404200000000003</v>
      </c>
      <c r="O55" s="331">
        <v>107.70399999999999</v>
      </c>
      <c r="P55" s="331">
        <v>110.645</v>
      </c>
      <c r="Q55" s="332">
        <v>75.255600000000001</v>
      </c>
      <c r="R55" s="332">
        <v>69.834999999999994</v>
      </c>
      <c r="S55" s="332">
        <v>52.594799999999999</v>
      </c>
      <c r="T55" s="220">
        <v>1.4539765723762192</v>
      </c>
      <c r="U55" s="221">
        <v>1.84039470921688</v>
      </c>
      <c r="V55" s="222">
        <v>0.87911330529499843</v>
      </c>
      <c r="W55" s="223">
        <v>-1.9655756592752205</v>
      </c>
    </row>
    <row r="56" spans="1:23" x14ac:dyDescent="0.3">
      <c r="A56" s="279" t="s">
        <v>656</v>
      </c>
      <c r="B56" s="321">
        <v>3177.78</v>
      </c>
      <c r="C56" s="321">
        <v>5680.2</v>
      </c>
      <c r="D56" s="321">
        <v>5579.53</v>
      </c>
      <c r="E56" s="321">
        <v>5650.28</v>
      </c>
      <c r="F56" s="321">
        <v>5770.57</v>
      </c>
      <c r="G56" s="321">
        <v>5857.94</v>
      </c>
      <c r="H56" s="321">
        <v>5914.57</v>
      </c>
      <c r="I56" s="227">
        <v>100</v>
      </c>
      <c r="J56" s="228">
        <v>100</v>
      </c>
      <c r="K56" s="281">
        <v>0.15563003524003971</v>
      </c>
      <c r="L56" s="342"/>
      <c r="M56" s="289" t="s">
        <v>656</v>
      </c>
      <c r="N56" s="322">
        <v>5787.71</v>
      </c>
      <c r="O56" s="322">
        <v>6728.53</v>
      </c>
      <c r="P56" s="322">
        <v>7609.82</v>
      </c>
      <c r="Q56" s="322">
        <v>5174.49</v>
      </c>
      <c r="R56" s="322">
        <v>3785.88</v>
      </c>
      <c r="S56" s="322">
        <v>2857.8</v>
      </c>
      <c r="T56" s="249">
        <v>100</v>
      </c>
      <c r="U56" s="249">
        <v>100</v>
      </c>
      <c r="V56" s="250">
        <v>1.1311694003703687</v>
      </c>
      <c r="W56" s="250">
        <v>-2.6074582561616877</v>
      </c>
    </row>
    <row r="57" spans="1:23" x14ac:dyDescent="0.3">
      <c r="A57" s="333" t="s">
        <v>492</v>
      </c>
      <c r="B57" s="334">
        <v>2216.0100000000002</v>
      </c>
      <c r="C57" s="334">
        <v>4374.13</v>
      </c>
      <c r="D57" s="334">
        <v>4285.1899999999996</v>
      </c>
      <c r="E57" s="334">
        <v>4391.58</v>
      </c>
      <c r="F57" s="334">
        <v>4559.91</v>
      </c>
      <c r="G57" s="334">
        <v>4704.1899999999996</v>
      </c>
      <c r="H57" s="334">
        <v>4811.6099999999997</v>
      </c>
      <c r="I57" s="115">
        <v>77.006619485229393</v>
      </c>
      <c r="J57" s="116">
        <v>81.351814248542155</v>
      </c>
      <c r="K57" s="118">
        <v>0.3673040855617149</v>
      </c>
      <c r="L57" s="263"/>
      <c r="M57" s="335" t="s">
        <v>492</v>
      </c>
      <c r="N57" s="336">
        <v>4473.53</v>
      </c>
      <c r="O57" s="336">
        <v>5418.11</v>
      </c>
      <c r="P57" s="336">
        <v>6355.6</v>
      </c>
      <c r="Q57" s="337">
        <v>3940.4</v>
      </c>
      <c r="R57" s="337">
        <v>2822.2</v>
      </c>
      <c r="S57" s="337">
        <v>2099.5</v>
      </c>
      <c r="T57" s="338">
        <v>83.518401223682034</v>
      </c>
      <c r="U57" s="339">
        <v>73.465602911330379</v>
      </c>
      <c r="V57" s="340">
        <v>1.4474083124416115</v>
      </c>
      <c r="W57" s="341">
        <v>-2.7836319521112873</v>
      </c>
    </row>
    <row r="58" spans="1:23" x14ac:dyDescent="0.3">
      <c r="A58" s="343" t="s">
        <v>493</v>
      </c>
      <c r="B58" s="344">
        <v>566.57799999999997</v>
      </c>
      <c r="C58" s="344">
        <v>1015.96</v>
      </c>
      <c r="D58" s="344">
        <v>996.62400000000002</v>
      </c>
      <c r="E58" s="344">
        <v>979.46699999999998</v>
      </c>
      <c r="F58" s="344">
        <v>949.98</v>
      </c>
      <c r="G58" s="344">
        <v>905.43200000000002</v>
      </c>
      <c r="H58" s="344">
        <v>861.20399999999995</v>
      </c>
      <c r="I58" s="345">
        <v>17.885989929932045</v>
      </c>
      <c r="J58" s="346">
        <v>14.560720390493307</v>
      </c>
      <c r="K58" s="347">
        <v>-0.63359139528983421</v>
      </c>
      <c r="L58" s="263"/>
      <c r="M58" s="348" t="s">
        <v>493</v>
      </c>
      <c r="N58" s="349">
        <v>1007.71</v>
      </c>
      <c r="O58" s="349">
        <v>990.73</v>
      </c>
      <c r="P58" s="349">
        <v>928.92100000000005</v>
      </c>
      <c r="Q58" s="350">
        <v>969.875</v>
      </c>
      <c r="R58" s="350">
        <v>815.48199999999997</v>
      </c>
      <c r="S58" s="350">
        <v>639.49699999999996</v>
      </c>
      <c r="T58" s="351">
        <v>12.206872173060599</v>
      </c>
      <c r="U58" s="352">
        <v>22.377248232906428</v>
      </c>
      <c r="V58" s="353">
        <v>-0.34389026047665361</v>
      </c>
      <c r="W58" s="354">
        <v>-1.7646570932929873</v>
      </c>
    </row>
    <row r="59" spans="1:23" x14ac:dyDescent="0.3">
      <c r="A59" s="355" t="s">
        <v>679</v>
      </c>
      <c r="B59" s="356"/>
      <c r="C59" s="356"/>
      <c r="D59" s="356"/>
      <c r="E59" s="356"/>
      <c r="F59" s="356"/>
      <c r="G59" s="356"/>
      <c r="H59" s="356"/>
      <c r="I59" s="356"/>
      <c r="J59" s="356"/>
      <c r="K59" s="357" t="s">
        <v>680</v>
      </c>
      <c r="L59" s="263"/>
      <c r="M59" s="355" t="s">
        <v>679</v>
      </c>
      <c r="N59" s="356"/>
      <c r="O59" s="356"/>
      <c r="P59" s="356"/>
      <c r="Q59" s="356"/>
      <c r="R59" s="356"/>
      <c r="S59" s="356"/>
      <c r="T59" s="356"/>
      <c r="U59" s="356"/>
      <c r="V59" s="356"/>
      <c r="W59" s="357" t="s">
        <v>680</v>
      </c>
    </row>
  </sheetData>
  <mergeCells count="15">
    <mergeCell ref="A45:K45"/>
    <mergeCell ref="M45:W45"/>
    <mergeCell ref="N12:P12"/>
    <mergeCell ref="Q12:S12"/>
    <mergeCell ref="A13:K13"/>
    <mergeCell ref="M13:W13"/>
    <mergeCell ref="A32:K32"/>
    <mergeCell ref="M32:W32"/>
    <mergeCell ref="T11:U11"/>
    <mergeCell ref="V11:W11"/>
    <mergeCell ref="B10:H10"/>
    <mergeCell ref="I10:J10"/>
    <mergeCell ref="N10:S10"/>
    <mergeCell ref="T10:U10"/>
    <mergeCell ref="V10:W10"/>
  </mergeCells>
  <conditionalFormatting sqref="A1:XFD5 A7:XFD7 A6 C6:XFD6">
    <cfRule type="expression" dxfId="36" priority="2">
      <formula>_xlfn.ISFORMULA(A1)</formula>
    </cfRule>
  </conditionalFormatting>
  <conditionalFormatting sqref="B6">
    <cfRule type="expression" dxfId="35" priority="1">
      <formula>_xlfn.ISFORMULA(B6)</formula>
    </cfRule>
  </conditionalFormatting>
  <hyperlinks>
    <hyperlink ref="B3" r:id="rId1" xr:uid="{17C257D0-C067-4F2A-A11A-6F9C1F6D7B55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F8C93-DF8B-41E4-B3AA-71022080E888}">
  <sheetPr>
    <tabColor theme="7" tint="0.39997558519241921"/>
  </sheetPr>
  <dimension ref="A1:AK16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37" s="1" customFormat="1" ht="49.5" customHeight="1" x14ac:dyDescent="0.3">
      <c r="A1" s="1" t="s">
        <v>681</v>
      </c>
    </row>
    <row r="2" spans="1:37" s="2" customFormat="1" x14ac:dyDescent="0.3">
      <c r="A2" s="2" t="s">
        <v>1</v>
      </c>
      <c r="B2" s="2" t="s">
        <v>682</v>
      </c>
    </row>
    <row r="3" spans="1:37" s="2" customFormat="1" x14ac:dyDescent="0.3">
      <c r="A3" s="2" t="s">
        <v>3</v>
      </c>
      <c r="B3" s="6" t="s">
        <v>683</v>
      </c>
    </row>
    <row r="4" spans="1:37" s="2" customFormat="1" x14ac:dyDescent="0.3">
      <c r="A4" s="2" t="s">
        <v>7</v>
      </c>
      <c r="B4" s="7">
        <v>43136</v>
      </c>
    </row>
    <row r="5" spans="1:37" s="2" customFormat="1" x14ac:dyDescent="0.3">
      <c r="A5" s="2" t="s">
        <v>2</v>
      </c>
      <c r="B5" s="2" t="s">
        <v>684</v>
      </c>
    </row>
    <row r="6" spans="1:37" s="2" customFormat="1" x14ac:dyDescent="0.3">
      <c r="A6" s="2" t="s">
        <v>4</v>
      </c>
      <c r="B6" s="2" t="s">
        <v>685</v>
      </c>
    </row>
    <row r="8" spans="1:37" ht="28.8" x14ac:dyDescent="0.3">
      <c r="A8" s="358"/>
      <c r="B8" s="358"/>
      <c r="C8" s="358"/>
      <c r="D8" s="358" t="s">
        <v>686</v>
      </c>
      <c r="E8" s="358"/>
      <c r="F8" s="358"/>
      <c r="G8" s="358"/>
      <c r="H8" s="358"/>
      <c r="I8" s="358"/>
      <c r="J8" s="358"/>
      <c r="K8" s="358"/>
      <c r="L8" s="358"/>
      <c r="M8" s="358"/>
      <c r="N8" s="358"/>
      <c r="O8" s="358"/>
      <c r="P8" s="358"/>
      <c r="Q8" s="358" t="s">
        <v>687</v>
      </c>
      <c r="R8" s="358"/>
      <c r="S8" s="358"/>
      <c r="T8" s="358"/>
      <c r="U8" s="358"/>
      <c r="V8" s="358"/>
      <c r="W8" s="358"/>
      <c r="X8" s="358"/>
      <c r="Y8" s="358"/>
      <c r="Z8" s="358"/>
      <c r="AA8" s="358"/>
      <c r="AB8" s="358"/>
      <c r="AC8" s="358"/>
      <c r="AD8" s="358" t="s">
        <v>688</v>
      </c>
      <c r="AE8" s="358"/>
      <c r="AF8" s="358"/>
      <c r="AG8" s="358"/>
      <c r="AH8" s="358"/>
      <c r="AI8" s="358"/>
      <c r="AJ8" s="358"/>
      <c r="AK8" s="358"/>
    </row>
    <row r="9" spans="1:37" ht="18" x14ac:dyDescent="0.3">
      <c r="A9" s="359"/>
      <c r="B9" s="359"/>
      <c r="C9" s="360">
        <v>2014</v>
      </c>
      <c r="D9" s="360">
        <v>2025</v>
      </c>
      <c r="E9" s="360">
        <v>2030</v>
      </c>
      <c r="F9" s="360">
        <v>2035</v>
      </c>
      <c r="G9" s="360">
        <v>2040</v>
      </c>
      <c r="H9" s="360">
        <v>2045</v>
      </c>
      <c r="I9" s="360">
        <v>2050</v>
      </c>
      <c r="J9" s="360">
        <v>2055</v>
      </c>
      <c r="K9" s="360">
        <v>2060</v>
      </c>
      <c r="L9" s="359"/>
      <c r="M9" s="359"/>
      <c r="N9" s="359"/>
      <c r="O9" s="359"/>
      <c r="P9" s="360">
        <v>2014</v>
      </c>
      <c r="Q9" s="360">
        <v>2025</v>
      </c>
      <c r="R9" s="360">
        <v>2030</v>
      </c>
      <c r="S9" s="360">
        <v>2035</v>
      </c>
      <c r="T9" s="360">
        <v>2040</v>
      </c>
      <c r="U9" s="360">
        <v>2045</v>
      </c>
      <c r="V9" s="360">
        <v>2050</v>
      </c>
      <c r="W9" s="360">
        <v>2055</v>
      </c>
      <c r="X9" s="360">
        <v>2060</v>
      </c>
      <c r="Y9" s="359"/>
      <c r="Z9" s="359"/>
      <c r="AA9" s="359"/>
      <c r="AB9" s="359"/>
      <c r="AC9" s="360">
        <v>2014</v>
      </c>
      <c r="AD9" s="360">
        <v>2025</v>
      </c>
      <c r="AE9" s="360">
        <v>2030</v>
      </c>
      <c r="AF9" s="360">
        <v>2035</v>
      </c>
      <c r="AG9" s="360">
        <v>2040</v>
      </c>
      <c r="AH9" s="360">
        <v>2045</v>
      </c>
      <c r="AI9" s="360">
        <v>2050</v>
      </c>
      <c r="AJ9" s="360">
        <v>2055</v>
      </c>
      <c r="AK9" s="360">
        <v>2060</v>
      </c>
    </row>
    <row r="10" spans="1:37" x14ac:dyDescent="0.3">
      <c r="A10" s="361"/>
      <c r="B10" s="361"/>
      <c r="C10" s="362"/>
      <c r="D10" s="362"/>
      <c r="E10" s="362"/>
      <c r="F10" s="362"/>
      <c r="G10" s="362"/>
      <c r="H10" s="362"/>
      <c r="I10" s="362"/>
      <c r="J10" s="362"/>
      <c r="K10" s="362"/>
      <c r="L10" s="361"/>
      <c r="M10" s="361"/>
      <c r="N10" s="361"/>
      <c r="O10" s="361"/>
      <c r="P10" s="362"/>
      <c r="Q10" s="362"/>
      <c r="R10" s="362"/>
      <c r="S10" s="362"/>
      <c r="T10" s="362"/>
      <c r="U10" s="362"/>
      <c r="V10" s="362"/>
      <c r="W10" s="362"/>
      <c r="X10" s="362"/>
      <c r="Y10" s="361"/>
      <c r="Z10" s="361"/>
      <c r="AA10" s="361"/>
      <c r="AB10" s="361"/>
      <c r="AC10" s="362"/>
      <c r="AD10" s="362"/>
      <c r="AE10" s="362"/>
      <c r="AF10" s="362"/>
      <c r="AG10" s="362"/>
      <c r="AH10" s="362"/>
      <c r="AI10" s="362"/>
      <c r="AJ10" s="362"/>
      <c r="AK10" s="362"/>
    </row>
    <row r="11" spans="1:37" x14ac:dyDescent="0.3">
      <c r="A11" s="363" t="s">
        <v>689</v>
      </c>
      <c r="B11" s="364"/>
      <c r="C11" s="364"/>
      <c r="D11" s="364"/>
      <c r="E11" s="364"/>
      <c r="F11" s="364"/>
      <c r="G11" s="364"/>
      <c r="H11" s="364"/>
      <c r="I11" s="364"/>
      <c r="J11" s="364"/>
      <c r="K11" s="364"/>
      <c r="L11" s="363"/>
      <c r="M11" s="365"/>
      <c r="N11" s="363" t="s">
        <v>689</v>
      </c>
      <c r="O11" s="364"/>
      <c r="P11" s="364"/>
      <c r="Q11" s="364"/>
      <c r="R11" s="364"/>
      <c r="S11" s="364"/>
      <c r="T11" s="364"/>
      <c r="U11" s="364"/>
      <c r="V11" s="364"/>
      <c r="W11" s="364"/>
      <c r="X11" s="364"/>
      <c r="Y11" s="363"/>
      <c r="Z11" s="365"/>
      <c r="AA11" s="363" t="s">
        <v>689</v>
      </c>
      <c r="AB11" s="364"/>
      <c r="AC11" s="364"/>
      <c r="AD11" s="364"/>
      <c r="AE11" s="364"/>
      <c r="AF11" s="364"/>
      <c r="AG11" s="364"/>
      <c r="AH11" s="364"/>
      <c r="AI11" s="364"/>
      <c r="AJ11" s="364"/>
      <c r="AK11" s="364"/>
    </row>
    <row r="12" spans="1:37" x14ac:dyDescent="0.3">
      <c r="A12" s="366"/>
      <c r="B12" s="3" t="s">
        <v>266</v>
      </c>
      <c r="C12" s="366">
        <v>179603.77400539213</v>
      </c>
      <c r="D12" s="366">
        <v>191005.43578083764</v>
      </c>
      <c r="E12" s="366">
        <v>197406.6923135276</v>
      </c>
      <c r="F12" s="366">
        <v>200947.73220399983</v>
      </c>
      <c r="G12" s="366">
        <v>204742.68298506443</v>
      </c>
      <c r="H12" s="366">
        <v>206619.49566900227</v>
      </c>
      <c r="I12" s="366">
        <v>207960.44191028658</v>
      </c>
      <c r="J12" s="366">
        <v>208564.09239051194</v>
      </c>
      <c r="K12" s="366">
        <v>209196.40225715772</v>
      </c>
      <c r="L12" s="366"/>
      <c r="M12" s="366"/>
      <c r="N12" s="366"/>
      <c r="O12" s="366" t="s">
        <v>266</v>
      </c>
      <c r="P12" s="366">
        <v>179603.77400539213</v>
      </c>
      <c r="Q12" s="366">
        <v>167864.03697644838</v>
      </c>
      <c r="R12" s="366">
        <v>159317.83188446047</v>
      </c>
      <c r="S12" s="366">
        <v>149561.8957778312</v>
      </c>
      <c r="T12" s="366">
        <v>139519.10689064197</v>
      </c>
      <c r="U12" s="366">
        <v>127418.18993457334</v>
      </c>
      <c r="V12" s="366">
        <v>115684.21404773994</v>
      </c>
      <c r="W12" s="366">
        <v>105528.41620285725</v>
      </c>
      <c r="X12" s="366">
        <v>98920.465937812871</v>
      </c>
      <c r="Y12" s="366"/>
      <c r="Z12" s="366"/>
      <c r="AA12" s="366"/>
      <c r="AB12" s="366" t="s">
        <v>266</v>
      </c>
      <c r="AC12" s="366">
        <v>179603.77400539213</v>
      </c>
      <c r="AD12" s="366">
        <v>158105.02231551139</v>
      </c>
      <c r="AE12" s="366">
        <v>141923.54122999078</v>
      </c>
      <c r="AF12" s="366">
        <v>125338.67337585498</v>
      </c>
      <c r="AG12" s="366">
        <v>109319.17110454802</v>
      </c>
      <c r="AH12" s="366">
        <v>93987.574485020843</v>
      </c>
      <c r="AI12" s="366">
        <v>81562.191605361179</v>
      </c>
      <c r="AJ12" s="366">
        <v>70989.837818774467</v>
      </c>
      <c r="AK12" s="366">
        <v>64391.321490216127</v>
      </c>
    </row>
    <row r="13" spans="1:37" x14ac:dyDescent="0.3">
      <c r="A13" s="366"/>
      <c r="B13" s="3" t="s">
        <v>254</v>
      </c>
      <c r="C13" s="366">
        <v>163853.62994548801</v>
      </c>
      <c r="D13" s="366">
        <v>162395.89219188763</v>
      </c>
      <c r="E13" s="366">
        <v>162921.73111427567</v>
      </c>
      <c r="F13" s="366">
        <v>164935.01521888917</v>
      </c>
      <c r="G13" s="366">
        <v>168456.54625766998</v>
      </c>
      <c r="H13" s="366">
        <v>167055.82520076376</v>
      </c>
      <c r="I13" s="366">
        <v>163446.66790497277</v>
      </c>
      <c r="J13" s="366">
        <v>164936.60354914173</v>
      </c>
      <c r="K13" s="366">
        <v>163833.11722813317</v>
      </c>
      <c r="L13" s="366"/>
      <c r="M13" s="366"/>
      <c r="N13" s="366"/>
      <c r="O13" s="366" t="s">
        <v>254</v>
      </c>
      <c r="P13" s="366">
        <v>163853.62994548801</v>
      </c>
      <c r="Q13" s="366">
        <v>122844.819680552</v>
      </c>
      <c r="R13" s="366">
        <v>95650.103712068187</v>
      </c>
      <c r="S13" s="366">
        <v>74734.938721281811</v>
      </c>
      <c r="T13" s="366">
        <v>65415.479524564296</v>
      </c>
      <c r="U13" s="366">
        <v>59165.461950682948</v>
      </c>
      <c r="V13" s="366">
        <v>53245.511661229037</v>
      </c>
      <c r="W13" s="366">
        <v>47716.862127264991</v>
      </c>
      <c r="X13" s="366">
        <v>45820.557046194997</v>
      </c>
      <c r="Y13" s="366"/>
      <c r="Z13" s="366"/>
      <c r="AA13" s="366"/>
      <c r="AB13" s="366" t="s">
        <v>254</v>
      </c>
      <c r="AC13" s="366">
        <v>163853.62994548801</v>
      </c>
      <c r="AD13" s="366">
        <v>100592.91215652415</v>
      </c>
      <c r="AE13" s="366">
        <v>74047.871659653523</v>
      </c>
      <c r="AF13" s="366">
        <v>56319.102197604021</v>
      </c>
      <c r="AG13" s="366">
        <v>51673.549600324222</v>
      </c>
      <c r="AH13" s="366">
        <v>51086.141754018259</v>
      </c>
      <c r="AI13" s="366">
        <v>42880.627736086106</v>
      </c>
      <c r="AJ13" s="366">
        <v>38938.509464950039</v>
      </c>
      <c r="AK13" s="366">
        <v>35428.147196183352</v>
      </c>
    </row>
    <row r="14" spans="1:37" x14ac:dyDescent="0.3">
      <c r="A14" s="366"/>
      <c r="B14" s="3" t="s">
        <v>510</v>
      </c>
      <c r="C14" s="366">
        <v>121441.43859937201</v>
      </c>
      <c r="D14" s="366">
        <v>144577.75391101392</v>
      </c>
      <c r="E14" s="366">
        <v>157419.5286941051</v>
      </c>
      <c r="F14" s="366">
        <v>166282.21412672359</v>
      </c>
      <c r="G14" s="366">
        <v>173948.88848311218</v>
      </c>
      <c r="H14" s="366">
        <v>180048.62582986552</v>
      </c>
      <c r="I14" s="366">
        <v>183911.28735033987</v>
      </c>
      <c r="J14" s="366">
        <v>187024.45700405858</v>
      </c>
      <c r="K14" s="366">
        <v>192620.56225737816</v>
      </c>
      <c r="L14" s="366"/>
      <c r="M14" s="366"/>
      <c r="N14" s="366"/>
      <c r="O14" s="366" t="s">
        <v>510</v>
      </c>
      <c r="P14" s="366">
        <v>121441.43859937201</v>
      </c>
      <c r="Q14" s="366">
        <v>137917.28109801293</v>
      </c>
      <c r="R14" s="366">
        <v>132421.50137990084</v>
      </c>
      <c r="S14" s="366">
        <v>128263.13988867433</v>
      </c>
      <c r="T14" s="366">
        <v>119025.19212680159</v>
      </c>
      <c r="U14" s="366">
        <v>109298.67364155094</v>
      </c>
      <c r="V14" s="366">
        <v>100303.98266473763</v>
      </c>
      <c r="W14" s="366">
        <v>97401.100895329844</v>
      </c>
      <c r="X14" s="366">
        <v>89561.589590119635</v>
      </c>
      <c r="Y14" s="366"/>
      <c r="Z14" s="366"/>
      <c r="AA14" s="366"/>
      <c r="AB14" s="366" t="s">
        <v>510</v>
      </c>
      <c r="AC14" s="366">
        <v>121441.43859937201</v>
      </c>
      <c r="AD14" s="366">
        <v>134318.44496602996</v>
      </c>
      <c r="AE14" s="366">
        <v>128627.8786968661</v>
      </c>
      <c r="AF14" s="366">
        <v>120507.11710280113</v>
      </c>
      <c r="AG14" s="366">
        <v>100352.11282422053</v>
      </c>
      <c r="AH14" s="366">
        <v>78747.799000076426</v>
      </c>
      <c r="AI14" s="366">
        <v>67299.638095995033</v>
      </c>
      <c r="AJ14" s="366">
        <v>62067.742133347179</v>
      </c>
      <c r="AK14" s="366">
        <v>63828.817854314097</v>
      </c>
    </row>
    <row r="15" spans="1:37" x14ac:dyDescent="0.3">
      <c r="A15" s="366"/>
      <c r="B15" s="3" t="s">
        <v>257</v>
      </c>
      <c r="C15" s="366">
        <v>27689.539085172</v>
      </c>
      <c r="D15" s="366">
        <v>35559.834692058677</v>
      </c>
      <c r="E15" s="366">
        <v>40109.492771140474</v>
      </c>
      <c r="F15" s="366">
        <v>42925.410641639719</v>
      </c>
      <c r="G15" s="366">
        <v>46981.144447294035</v>
      </c>
      <c r="H15" s="366">
        <v>50750.410685106501</v>
      </c>
      <c r="I15" s="366">
        <v>53282.656124829373</v>
      </c>
      <c r="J15" s="366">
        <v>55836.112650556701</v>
      </c>
      <c r="K15" s="366">
        <v>57499.270485224159</v>
      </c>
      <c r="L15" s="366"/>
      <c r="M15" s="366"/>
      <c r="N15" s="366"/>
      <c r="O15" s="366" t="s">
        <v>257</v>
      </c>
      <c r="P15" s="366">
        <v>27689.539085172</v>
      </c>
      <c r="Q15" s="366">
        <v>38546.448809913236</v>
      </c>
      <c r="R15" s="366">
        <v>49502.93176789557</v>
      </c>
      <c r="S15" s="366">
        <v>57073.001358530848</v>
      </c>
      <c r="T15" s="366">
        <v>64864.445191910199</v>
      </c>
      <c r="U15" s="366">
        <v>71415.511127106671</v>
      </c>
      <c r="V15" s="366">
        <v>74891.155226192335</v>
      </c>
      <c r="W15" s="366">
        <v>79207.159444320409</v>
      </c>
      <c r="X15" s="366">
        <v>82089.032242507819</v>
      </c>
      <c r="Y15" s="366"/>
      <c r="Z15" s="366"/>
      <c r="AA15" s="366"/>
      <c r="AB15" s="366" t="s">
        <v>257</v>
      </c>
      <c r="AC15" s="366">
        <v>27689.539085172</v>
      </c>
      <c r="AD15" s="366">
        <v>39065.899645094338</v>
      </c>
      <c r="AE15" s="366">
        <v>49870.737326783659</v>
      </c>
      <c r="AF15" s="366">
        <v>57644.931537304554</v>
      </c>
      <c r="AG15" s="366">
        <v>65406.038350813542</v>
      </c>
      <c r="AH15" s="366">
        <v>72089.930907857677</v>
      </c>
      <c r="AI15" s="366">
        <v>76388.700952805651</v>
      </c>
      <c r="AJ15" s="366">
        <v>81513.918958283859</v>
      </c>
      <c r="AK15" s="366">
        <v>85505.458919396318</v>
      </c>
    </row>
    <row r="16" spans="1:37" x14ac:dyDescent="0.3">
      <c r="A16" s="366"/>
      <c r="B16" s="3" t="s">
        <v>512</v>
      </c>
      <c r="C16" s="366">
        <v>54727.207129212009</v>
      </c>
      <c r="D16" s="366">
        <v>70498.107471470707</v>
      </c>
      <c r="E16" s="366">
        <v>74552.475154914529</v>
      </c>
      <c r="F16" s="366">
        <v>79723.447504423792</v>
      </c>
      <c r="G16" s="366">
        <v>84595.559668756963</v>
      </c>
      <c r="H16" s="366">
        <v>88714.934143848994</v>
      </c>
      <c r="I16" s="366">
        <v>92911.455462889993</v>
      </c>
      <c r="J16" s="366">
        <v>96734.258713914533</v>
      </c>
      <c r="K16" s="366">
        <v>98896.254567430544</v>
      </c>
      <c r="L16" s="366"/>
      <c r="M16" s="366"/>
      <c r="N16" s="366"/>
      <c r="O16" s="366" t="s">
        <v>512</v>
      </c>
      <c r="P16" s="366">
        <v>54727.207129212009</v>
      </c>
      <c r="Q16" s="366">
        <v>78752.902335334453</v>
      </c>
      <c r="R16" s="366">
        <v>90180.233103137376</v>
      </c>
      <c r="S16" s="366">
        <v>103641.61969210113</v>
      </c>
      <c r="T16" s="366">
        <v>117284.31604837345</v>
      </c>
      <c r="U16" s="366">
        <v>130289.29620153498</v>
      </c>
      <c r="V16" s="366">
        <v>137357.80571970274</v>
      </c>
      <c r="W16" s="366">
        <v>141999.99778003673</v>
      </c>
      <c r="X16" s="366">
        <v>143999.9992924057</v>
      </c>
      <c r="Y16" s="366"/>
      <c r="Z16" s="366"/>
      <c r="AA16" s="366"/>
      <c r="AB16" s="366" t="s">
        <v>512</v>
      </c>
      <c r="AC16" s="366">
        <v>54727.207129212009</v>
      </c>
      <c r="AD16" s="366">
        <v>82380.157066711836</v>
      </c>
      <c r="AE16" s="366">
        <v>93078.876024711935</v>
      </c>
      <c r="AF16" s="366">
        <v>105989.19637769531</v>
      </c>
      <c r="AG16" s="366">
        <v>121153.95449008107</v>
      </c>
      <c r="AH16" s="366">
        <v>133104.00443271748</v>
      </c>
      <c r="AI16" s="366">
        <v>140815.41789151038</v>
      </c>
      <c r="AJ16" s="366">
        <v>146999.99893635249</v>
      </c>
      <c r="AK16" s="366">
        <v>146999.99886866164</v>
      </c>
    </row>
    <row r="17" spans="1:37" x14ac:dyDescent="0.3">
      <c r="A17" s="366"/>
      <c r="B17" s="3" t="s">
        <v>256</v>
      </c>
      <c r="C17" s="366">
        <v>14023.472570784001</v>
      </c>
      <c r="D17" s="366">
        <v>17784.146978225373</v>
      </c>
      <c r="E17" s="366">
        <v>19521.346344109013</v>
      </c>
      <c r="F17" s="366">
        <v>21125.119611584454</v>
      </c>
      <c r="G17" s="366">
        <v>22542.7240900408</v>
      </c>
      <c r="H17" s="366">
        <v>23937.910411058459</v>
      </c>
      <c r="I17" s="366">
        <v>25336.098934741171</v>
      </c>
      <c r="J17" s="366">
        <v>26751.550271835698</v>
      </c>
      <c r="K17" s="366">
        <v>28212.558083921995</v>
      </c>
      <c r="L17" s="366"/>
      <c r="M17" s="366"/>
      <c r="N17" s="366"/>
      <c r="O17" s="366" t="s">
        <v>256</v>
      </c>
      <c r="P17" s="366">
        <v>14023.472570784001</v>
      </c>
      <c r="Q17" s="366">
        <v>18569.70092361105</v>
      </c>
      <c r="R17" s="366">
        <v>20491.966300420339</v>
      </c>
      <c r="S17" s="366">
        <v>21766.48505213721</v>
      </c>
      <c r="T17" s="366">
        <v>23829.259476808154</v>
      </c>
      <c r="U17" s="366">
        <v>25709.513480191403</v>
      </c>
      <c r="V17" s="366">
        <v>27432.314585484259</v>
      </c>
      <c r="W17" s="366">
        <v>29077.588441579246</v>
      </c>
      <c r="X17" s="366">
        <v>30647.354149912699</v>
      </c>
      <c r="Y17" s="366"/>
      <c r="Z17" s="366"/>
      <c r="AA17" s="366"/>
      <c r="AB17" s="366" t="s">
        <v>256</v>
      </c>
      <c r="AC17" s="366">
        <v>14023.472570784001</v>
      </c>
      <c r="AD17" s="366">
        <v>18576.020365702014</v>
      </c>
      <c r="AE17" s="366">
        <v>20572.070793485382</v>
      </c>
      <c r="AF17" s="366">
        <v>21970.882770208471</v>
      </c>
      <c r="AG17" s="366">
        <v>24291.142890585066</v>
      </c>
      <c r="AH17" s="366">
        <v>26507.189908156266</v>
      </c>
      <c r="AI17" s="366">
        <v>28676.454025313975</v>
      </c>
      <c r="AJ17" s="366">
        <v>30897.307699167817</v>
      </c>
      <c r="AK17" s="366">
        <v>33101.084816834053</v>
      </c>
    </row>
    <row r="18" spans="1:37" x14ac:dyDescent="0.3">
      <c r="A18" s="366"/>
      <c r="B18" s="3" t="s">
        <v>258</v>
      </c>
      <c r="C18" s="366">
        <v>7768.6318090440009</v>
      </c>
      <c r="D18" s="366">
        <v>21333.194296368361</v>
      </c>
      <c r="E18" s="366">
        <v>28996.761728250171</v>
      </c>
      <c r="F18" s="366">
        <v>38110.273112632582</v>
      </c>
      <c r="G18" s="366">
        <v>47899.020655953034</v>
      </c>
      <c r="H18" s="366">
        <v>57896.54673278574</v>
      </c>
      <c r="I18" s="366">
        <v>69303.266971006233</v>
      </c>
      <c r="J18" s="366">
        <v>81434.20416997993</v>
      </c>
      <c r="K18" s="366">
        <v>93232.719014700997</v>
      </c>
      <c r="L18" s="366"/>
      <c r="M18" s="366"/>
      <c r="N18" s="366"/>
      <c r="O18" s="366" t="s">
        <v>258</v>
      </c>
      <c r="P18" s="366">
        <v>7768.6318090440009</v>
      </c>
      <c r="Q18" s="366">
        <v>27828.546116921945</v>
      </c>
      <c r="R18" s="366">
        <v>44730.7564804207</v>
      </c>
      <c r="S18" s="366">
        <v>64014.696596722388</v>
      </c>
      <c r="T18" s="366">
        <v>81212.237360962084</v>
      </c>
      <c r="U18" s="366">
        <v>101702.7958434583</v>
      </c>
      <c r="V18" s="366">
        <v>124158.01690898238</v>
      </c>
      <c r="W18" s="366">
        <v>146603.96149440599</v>
      </c>
      <c r="X18" s="366">
        <v>173127.84096977307</v>
      </c>
      <c r="Y18" s="366"/>
      <c r="Z18" s="366"/>
      <c r="AA18" s="366"/>
      <c r="AB18" s="366" t="s">
        <v>258</v>
      </c>
      <c r="AC18" s="366">
        <v>7768.6318090440009</v>
      </c>
      <c r="AD18" s="366">
        <v>28913.488934721285</v>
      </c>
      <c r="AE18" s="366">
        <v>46882.008978181555</v>
      </c>
      <c r="AF18" s="366">
        <v>69105.656442669424</v>
      </c>
      <c r="AG18" s="366">
        <v>92854.305207450074</v>
      </c>
      <c r="AH18" s="366">
        <v>117033.93168384083</v>
      </c>
      <c r="AI18" s="366">
        <v>143495.20570147157</v>
      </c>
      <c r="AJ18" s="366">
        <v>169180.43625405381</v>
      </c>
      <c r="AK18" s="366">
        <v>194914.25686870076</v>
      </c>
    </row>
    <row r="19" spans="1:37" x14ac:dyDescent="0.3">
      <c r="A19" s="366"/>
      <c r="B19" s="367" t="s">
        <v>690</v>
      </c>
      <c r="C19" s="367">
        <v>569107.69314446428</v>
      </c>
      <c r="D19" s="367">
        <v>643154.36532186228</v>
      </c>
      <c r="E19" s="367">
        <v>680928.02812032262</v>
      </c>
      <c r="F19" s="367">
        <v>714049.21241989313</v>
      </c>
      <c r="G19" s="367">
        <v>749166.56658789143</v>
      </c>
      <c r="H19" s="367">
        <v>775023.74867243133</v>
      </c>
      <c r="I19" s="367">
        <v>796151.87465906609</v>
      </c>
      <c r="J19" s="367">
        <v>821281.27874999901</v>
      </c>
      <c r="K19" s="367">
        <v>843490.88389394677</v>
      </c>
      <c r="L19" s="366"/>
      <c r="M19" s="366"/>
      <c r="N19" s="366"/>
      <c r="O19" s="367" t="s">
        <v>690</v>
      </c>
      <c r="P19" s="367">
        <v>569107.69314446428</v>
      </c>
      <c r="Q19" s="367">
        <v>592323.73594079399</v>
      </c>
      <c r="R19" s="367">
        <v>592295.32462830353</v>
      </c>
      <c r="S19" s="367">
        <v>599055.7770872789</v>
      </c>
      <c r="T19" s="367">
        <v>611150.03662006173</v>
      </c>
      <c r="U19" s="367">
        <v>624999.44217909861</v>
      </c>
      <c r="V19" s="367">
        <v>633073.00081406836</v>
      </c>
      <c r="W19" s="367">
        <v>647535.08638579445</v>
      </c>
      <c r="X19" s="367">
        <v>664166.83922872669</v>
      </c>
      <c r="Y19" s="366"/>
      <c r="Z19" s="366"/>
      <c r="AA19" s="366"/>
      <c r="AB19" s="367" t="s">
        <v>690</v>
      </c>
      <c r="AC19" s="367">
        <v>569107.69314446428</v>
      </c>
      <c r="AD19" s="367">
        <v>561951.945450295</v>
      </c>
      <c r="AE19" s="367">
        <v>555002.98470967286</v>
      </c>
      <c r="AF19" s="367">
        <v>556875.5598041378</v>
      </c>
      <c r="AG19" s="367">
        <v>565050.27446802252</v>
      </c>
      <c r="AH19" s="367">
        <v>572556.57217168773</v>
      </c>
      <c r="AI19" s="367">
        <v>581118.23600854387</v>
      </c>
      <c r="AJ19" s="367">
        <v>600587.75126492966</v>
      </c>
      <c r="AK19" s="367">
        <v>624169.08601430641</v>
      </c>
    </row>
    <row r="20" spans="1:37" x14ac:dyDescent="0.3">
      <c r="A20" s="366"/>
      <c r="B20" t="s">
        <v>691</v>
      </c>
      <c r="C20" s="368">
        <v>0</v>
      </c>
      <c r="D20" s="368">
        <v>63683.338634108026</v>
      </c>
      <c r="E20" s="368">
        <v>66797.002793737483</v>
      </c>
      <c r="F20" s="368">
        <v>70255.462598906874</v>
      </c>
      <c r="G20" s="368">
        <v>73759.533272210421</v>
      </c>
      <c r="H20" s="368">
        <v>76642.963420525397</v>
      </c>
      <c r="I20" s="368">
        <v>80063.791320635253</v>
      </c>
      <c r="J20" s="368">
        <v>83760.576319606393</v>
      </c>
      <c r="K20" s="368">
        <v>85972.149491648059</v>
      </c>
      <c r="L20" s="368"/>
      <c r="M20" s="368"/>
      <c r="N20" s="368"/>
      <c r="O20" s="369" t="s">
        <v>691</v>
      </c>
      <c r="P20" s="368">
        <v>0</v>
      </c>
      <c r="Q20" s="368">
        <v>70367.25025025646</v>
      </c>
      <c r="R20" s="368">
        <v>79444.34367730502</v>
      </c>
      <c r="S20" s="368">
        <v>89416.202352821158</v>
      </c>
      <c r="T20" s="368">
        <v>97862.915674252901</v>
      </c>
      <c r="U20" s="368">
        <v>106098.7779716439</v>
      </c>
      <c r="V20" s="368">
        <v>110294.09084243124</v>
      </c>
      <c r="W20" s="368">
        <v>110741.98632624949</v>
      </c>
      <c r="X20" s="368">
        <v>113298.53089703689</v>
      </c>
      <c r="Y20" s="368"/>
      <c r="Z20" s="368"/>
      <c r="AA20" s="368"/>
      <c r="AB20" s="369" t="s">
        <v>691</v>
      </c>
      <c r="AC20" s="368">
        <v>0</v>
      </c>
      <c r="AD20" s="368">
        <v>72638.596727083932</v>
      </c>
      <c r="AE20" s="368">
        <v>81055.745444729168</v>
      </c>
      <c r="AF20" s="368">
        <v>91094.537175136036</v>
      </c>
      <c r="AG20" s="368">
        <v>102401.50575039386</v>
      </c>
      <c r="AH20" s="368">
        <v>111179.86346170551</v>
      </c>
      <c r="AI20" s="368">
        <v>118084.03647381312</v>
      </c>
      <c r="AJ20" s="368">
        <v>121815.45562733291</v>
      </c>
      <c r="AK20" s="368">
        <v>121714.14543753711</v>
      </c>
    </row>
    <row r="21" spans="1:37" x14ac:dyDescent="0.3">
      <c r="A21" s="366"/>
      <c r="B21" s="366"/>
      <c r="C21" s="366"/>
      <c r="D21" s="366"/>
      <c r="E21" s="366"/>
      <c r="F21" s="366"/>
      <c r="G21" s="366"/>
      <c r="H21" s="366"/>
      <c r="I21" s="366"/>
      <c r="J21" s="366"/>
      <c r="K21" s="366"/>
      <c r="L21" s="366"/>
      <c r="M21" s="366"/>
      <c r="N21" s="366"/>
      <c r="O21" s="366"/>
      <c r="P21" s="366"/>
      <c r="Q21" s="366"/>
      <c r="R21" s="366"/>
      <c r="S21" s="366"/>
      <c r="T21" s="366"/>
      <c r="U21" s="366"/>
      <c r="V21" s="366"/>
      <c r="W21" s="366"/>
      <c r="X21" s="366"/>
      <c r="Y21" s="366"/>
      <c r="Z21" s="366"/>
      <c r="AA21" s="366"/>
      <c r="AB21" s="366"/>
      <c r="AC21" s="366"/>
      <c r="AD21" s="366"/>
      <c r="AE21" s="366"/>
      <c r="AF21" s="366"/>
      <c r="AG21" s="366"/>
      <c r="AH21" s="366"/>
      <c r="AI21" s="366"/>
      <c r="AJ21" s="366"/>
      <c r="AK21" s="366"/>
    </row>
    <row r="22" spans="1:37" x14ac:dyDescent="0.3">
      <c r="A22" s="363" t="s">
        <v>692</v>
      </c>
      <c r="B22" s="364"/>
      <c r="C22" s="364"/>
      <c r="D22" s="364"/>
      <c r="E22" s="364"/>
      <c r="F22" s="364"/>
      <c r="G22" s="364"/>
      <c r="H22" s="364"/>
      <c r="I22" s="364"/>
      <c r="J22" s="364"/>
      <c r="K22" s="364"/>
      <c r="L22" s="363"/>
      <c r="M22" s="365"/>
      <c r="N22" s="363" t="s">
        <v>692</v>
      </c>
      <c r="O22" s="364"/>
      <c r="P22" s="364"/>
      <c r="Q22" s="364"/>
      <c r="R22" s="364"/>
      <c r="S22" s="364"/>
      <c r="T22" s="364"/>
      <c r="U22" s="364"/>
      <c r="V22" s="364"/>
      <c r="W22" s="364"/>
      <c r="X22" s="364"/>
      <c r="Y22" s="363"/>
      <c r="Z22" s="365"/>
      <c r="AA22" s="363" t="s">
        <v>692</v>
      </c>
      <c r="AB22" s="364"/>
      <c r="AC22" s="364"/>
      <c r="AD22" s="364"/>
      <c r="AE22" s="364"/>
      <c r="AF22" s="364"/>
      <c r="AG22" s="364"/>
      <c r="AH22" s="364"/>
      <c r="AI22" s="364"/>
      <c r="AJ22" s="364"/>
      <c r="AK22" s="364"/>
    </row>
    <row r="23" spans="1:37" x14ac:dyDescent="0.3">
      <c r="A23" s="366"/>
      <c r="B23" s="366" t="s">
        <v>266</v>
      </c>
      <c r="C23" s="366">
        <v>11566.695216491995</v>
      </c>
      <c r="D23" s="366">
        <v>6789.0933842704217</v>
      </c>
      <c r="E23" s="366">
        <v>5803.8118567605106</v>
      </c>
      <c r="F23" s="366">
        <v>5360.0963621358751</v>
      </c>
      <c r="G23" s="366">
        <v>5298.8862323485773</v>
      </c>
      <c r="H23" s="366">
        <v>4835.4485356156447</v>
      </c>
      <c r="I23" s="366">
        <v>4284.2515222169131</v>
      </c>
      <c r="J23" s="366">
        <v>3933.0610488091102</v>
      </c>
      <c r="K23" s="366">
        <v>3652.7360205736413</v>
      </c>
      <c r="L23" s="366"/>
      <c r="M23" s="366"/>
      <c r="N23" s="366"/>
      <c r="O23" s="366" t="s">
        <v>266</v>
      </c>
      <c r="P23" s="366">
        <v>11566.695216491995</v>
      </c>
      <c r="Q23" s="366">
        <v>5392.249436625194</v>
      </c>
      <c r="R23" s="366">
        <v>3521.0338967077878</v>
      </c>
      <c r="S23" s="366">
        <v>2529.2456405633416</v>
      </c>
      <c r="T23" s="366">
        <v>2011.5460311325537</v>
      </c>
      <c r="U23" s="366">
        <v>1437.6759348342794</v>
      </c>
      <c r="V23" s="366">
        <v>1029.1192350859637</v>
      </c>
      <c r="W23" s="366">
        <v>814.12910768405379</v>
      </c>
      <c r="X23" s="366">
        <v>684.35352855186795</v>
      </c>
      <c r="Y23" s="366"/>
      <c r="Z23" s="366"/>
      <c r="AA23" s="366"/>
      <c r="AB23" s="366" t="s">
        <v>266</v>
      </c>
      <c r="AC23" s="366">
        <v>11566.695216491995</v>
      </c>
      <c r="AD23" s="366">
        <v>5397.9913091563003</v>
      </c>
      <c r="AE23" s="366">
        <v>3666.7308514141396</v>
      </c>
      <c r="AF23" s="366">
        <v>2497.7393353819152</v>
      </c>
      <c r="AG23" s="366">
        <v>2056.9539158028738</v>
      </c>
      <c r="AH23" s="366">
        <v>1524.4951491731758</v>
      </c>
      <c r="AI23" s="366">
        <v>870.87275390239427</v>
      </c>
      <c r="AJ23" s="366">
        <v>510.16572019299753</v>
      </c>
      <c r="AK23" s="366">
        <v>164.01783775704666</v>
      </c>
    </row>
    <row r="24" spans="1:37" x14ac:dyDescent="0.3">
      <c r="A24" s="366"/>
      <c r="B24" s="366" t="s">
        <v>254</v>
      </c>
      <c r="C24" s="366">
        <v>100697.11847513999</v>
      </c>
      <c r="D24" s="366">
        <v>98997.72708213031</v>
      </c>
      <c r="E24" s="366">
        <v>98477.571290269349</v>
      </c>
      <c r="F24" s="366">
        <v>99264.835240946573</v>
      </c>
      <c r="G24" s="366">
        <v>99900.50081868947</v>
      </c>
      <c r="H24" s="366">
        <v>100494.18300659812</v>
      </c>
      <c r="I24" s="366">
        <v>99406.603888736063</v>
      </c>
      <c r="J24" s="366">
        <v>101102.81010293763</v>
      </c>
      <c r="K24" s="366">
        <v>100519.19920553775</v>
      </c>
      <c r="L24" s="366"/>
      <c r="M24" s="366"/>
      <c r="N24" s="366"/>
      <c r="O24" s="366" t="s">
        <v>254</v>
      </c>
      <c r="P24" s="366">
        <v>100697.11847513999</v>
      </c>
      <c r="Q24" s="366">
        <v>68004.895444990296</v>
      </c>
      <c r="R24" s="366">
        <v>46972.929566511179</v>
      </c>
      <c r="S24" s="366">
        <v>31056.08913008291</v>
      </c>
      <c r="T24" s="366">
        <v>26285.199226387394</v>
      </c>
      <c r="U24" s="366">
        <v>24977.055507346748</v>
      </c>
      <c r="V24" s="366">
        <v>21873.830866785283</v>
      </c>
      <c r="W24" s="366">
        <v>17956.317711761574</v>
      </c>
      <c r="X24" s="366">
        <v>17769.80891766585</v>
      </c>
      <c r="Y24" s="366"/>
      <c r="Z24" s="366"/>
      <c r="AA24" s="366"/>
      <c r="AB24" s="366" t="s">
        <v>254</v>
      </c>
      <c r="AC24" s="366">
        <v>100697.11847513999</v>
      </c>
      <c r="AD24" s="366">
        <v>54663.599171128633</v>
      </c>
      <c r="AE24" s="366">
        <v>35330.597633698751</v>
      </c>
      <c r="AF24" s="366">
        <v>21444.537718704662</v>
      </c>
      <c r="AG24" s="366">
        <v>20065.064632802791</v>
      </c>
      <c r="AH24" s="366">
        <v>22523.178595471443</v>
      </c>
      <c r="AI24" s="366">
        <v>16863.994996949135</v>
      </c>
      <c r="AJ24" s="366">
        <v>14752.428238368826</v>
      </c>
      <c r="AK24" s="366">
        <v>13894.590249876381</v>
      </c>
    </row>
    <row r="25" spans="1:37" x14ac:dyDescent="0.3">
      <c r="A25" s="366"/>
      <c r="B25" s="366" t="s">
        <v>510</v>
      </c>
      <c r="C25" s="366">
        <v>48458.714105736006</v>
      </c>
      <c r="D25" s="366">
        <v>55780.017329719805</v>
      </c>
      <c r="E25" s="366">
        <v>63603.173142907224</v>
      </c>
      <c r="F25" s="366">
        <v>69511.346799080609</v>
      </c>
      <c r="G25" s="366">
        <v>74165.763665221748</v>
      </c>
      <c r="H25" s="366">
        <v>77128.730713757861</v>
      </c>
      <c r="I25" s="366">
        <v>79025.751897907277</v>
      </c>
      <c r="J25" s="366">
        <v>81139.307973345436</v>
      </c>
      <c r="K25" s="366">
        <v>85585.034182678646</v>
      </c>
      <c r="L25" s="366"/>
      <c r="M25" s="366"/>
      <c r="N25" s="366"/>
      <c r="O25" s="366" t="s">
        <v>510</v>
      </c>
      <c r="P25" s="366">
        <v>48458.714105736006</v>
      </c>
      <c r="Q25" s="366">
        <v>56775.44645361085</v>
      </c>
      <c r="R25" s="366">
        <v>53834.22080095212</v>
      </c>
      <c r="S25" s="366">
        <v>52072.865130058832</v>
      </c>
      <c r="T25" s="366">
        <v>46684.948532736387</v>
      </c>
      <c r="U25" s="366">
        <v>39052.373840914835</v>
      </c>
      <c r="V25" s="366">
        <v>32569.579991627717</v>
      </c>
      <c r="W25" s="366">
        <v>31220.088949024448</v>
      </c>
      <c r="X25" s="366">
        <v>25829.131060899497</v>
      </c>
      <c r="Y25" s="366"/>
      <c r="Z25" s="366"/>
      <c r="AA25" s="366"/>
      <c r="AB25" s="366" t="s">
        <v>510</v>
      </c>
      <c r="AC25" s="366">
        <v>48458.714105736006</v>
      </c>
      <c r="AD25" s="366">
        <v>60194.747655953484</v>
      </c>
      <c r="AE25" s="366">
        <v>60884.177961891277</v>
      </c>
      <c r="AF25" s="366">
        <v>58870.461554645866</v>
      </c>
      <c r="AG25" s="366">
        <v>44564.11082381395</v>
      </c>
      <c r="AH25" s="366">
        <v>27258.10613163601</v>
      </c>
      <c r="AI25" s="366">
        <v>19232.994299719387</v>
      </c>
      <c r="AJ25" s="366">
        <v>15301.326027670253</v>
      </c>
      <c r="AK25" s="366">
        <v>18489.732175031975</v>
      </c>
    </row>
    <row r="26" spans="1:37" x14ac:dyDescent="0.3">
      <c r="A26" s="366"/>
      <c r="B26" s="366" t="s">
        <v>257</v>
      </c>
      <c r="C26" s="366">
        <v>27689.539085172</v>
      </c>
      <c r="D26" s="366">
        <v>35559.834684327398</v>
      </c>
      <c r="E26" s="366">
        <v>40109.492771140489</v>
      </c>
      <c r="F26" s="366">
        <v>42925.410641639675</v>
      </c>
      <c r="G26" s="366">
        <v>46981.144431679255</v>
      </c>
      <c r="H26" s="366">
        <v>50750.410680130837</v>
      </c>
      <c r="I26" s="366">
        <v>53282.65603062624</v>
      </c>
      <c r="J26" s="366">
        <v>55836.11260855438</v>
      </c>
      <c r="K26" s="366">
        <v>57499.270403978771</v>
      </c>
      <c r="L26" s="366"/>
      <c r="M26" s="366"/>
      <c r="N26" s="366"/>
      <c r="O26" s="366" t="s">
        <v>257</v>
      </c>
      <c r="P26" s="366">
        <v>27689.539085172</v>
      </c>
      <c r="Q26" s="366">
        <v>38546.448808801928</v>
      </c>
      <c r="R26" s="366">
        <v>49502.931764017085</v>
      </c>
      <c r="S26" s="366">
        <v>57073.001358530819</v>
      </c>
      <c r="T26" s="366">
        <v>64864.445191910156</v>
      </c>
      <c r="U26" s="366">
        <v>71415.511127106613</v>
      </c>
      <c r="V26" s="366">
        <v>74891.155226192292</v>
      </c>
      <c r="W26" s="366">
        <v>79207.159444320336</v>
      </c>
      <c r="X26" s="366">
        <v>82089.032149900726</v>
      </c>
      <c r="Y26" s="366"/>
      <c r="Z26" s="366"/>
      <c r="AA26" s="366"/>
      <c r="AB26" s="366" t="s">
        <v>257</v>
      </c>
      <c r="AC26" s="366">
        <v>27689.539085172</v>
      </c>
      <c r="AD26" s="366">
        <v>39065.899644791309</v>
      </c>
      <c r="AE26" s="366">
        <v>49870.737326783739</v>
      </c>
      <c r="AF26" s="366">
        <v>57644.93145805948</v>
      </c>
      <c r="AG26" s="366">
        <v>65406.038334146782</v>
      </c>
      <c r="AH26" s="366">
        <v>72089.930868582233</v>
      </c>
      <c r="AI26" s="366">
        <v>76388.700919887531</v>
      </c>
      <c r="AJ26" s="366">
        <v>81513.918950507636</v>
      </c>
      <c r="AK26" s="366">
        <v>85505.458901258055</v>
      </c>
    </row>
    <row r="27" spans="1:37" x14ac:dyDescent="0.3">
      <c r="A27" s="366"/>
      <c r="B27" s="366" t="s">
        <v>512</v>
      </c>
      <c r="C27" s="366">
        <v>9116.1306128519991</v>
      </c>
      <c r="D27" s="366">
        <v>16296.946814660801</v>
      </c>
      <c r="E27" s="366">
        <v>19809.698891303975</v>
      </c>
      <c r="F27" s="366">
        <v>23329.582986013997</v>
      </c>
      <c r="G27" s="366">
        <v>26116.918949699422</v>
      </c>
      <c r="H27" s="366">
        <v>27804.411287754636</v>
      </c>
      <c r="I27" s="366">
        <v>30336.720670064919</v>
      </c>
      <c r="J27" s="366">
        <v>33248.516042398449</v>
      </c>
      <c r="K27" s="366">
        <v>34666.743135797195</v>
      </c>
      <c r="L27" s="366"/>
      <c r="M27" s="366"/>
      <c r="N27" s="366"/>
      <c r="O27" s="366" t="s">
        <v>512</v>
      </c>
      <c r="P27" s="366">
        <v>9116.1306128519991</v>
      </c>
      <c r="Q27" s="366">
        <v>19465.646522200295</v>
      </c>
      <c r="R27" s="366">
        <v>25811.434466724193</v>
      </c>
      <c r="S27" s="366">
        <v>31668.018351352483</v>
      </c>
      <c r="T27" s="366">
        <v>35550.318697836999</v>
      </c>
      <c r="U27" s="366">
        <v>40161.512856171037</v>
      </c>
      <c r="V27" s="366">
        <v>40195.458852777214</v>
      </c>
      <c r="W27" s="366">
        <v>36595.909833846301</v>
      </c>
      <c r="X27" s="366">
        <v>37703.672070972847</v>
      </c>
      <c r="Y27" s="366"/>
      <c r="Z27" s="366"/>
      <c r="AA27" s="366"/>
      <c r="AB27" s="366" t="s">
        <v>512</v>
      </c>
      <c r="AC27" s="366">
        <v>9116.1306128519991</v>
      </c>
      <c r="AD27" s="366">
        <v>19978.654042250084</v>
      </c>
      <c r="AE27" s="366">
        <v>24609.972594196828</v>
      </c>
      <c r="AF27" s="366">
        <v>30299.429991934638</v>
      </c>
      <c r="AG27" s="366">
        <v>35816.9936207344</v>
      </c>
      <c r="AH27" s="366">
        <v>39595.794565959302</v>
      </c>
      <c r="AI27" s="366">
        <v>42880.694987679788</v>
      </c>
      <c r="AJ27" s="366">
        <v>43823.772907829363</v>
      </c>
      <c r="AK27" s="366">
        <v>41428.075233819327</v>
      </c>
    </row>
    <row r="28" spans="1:37" x14ac:dyDescent="0.3">
      <c r="A28" s="366"/>
      <c r="B28" s="366" t="s">
        <v>256</v>
      </c>
      <c r="C28" s="366">
        <v>14023.472570784001</v>
      </c>
      <c r="D28" s="366">
        <v>18549.977652244845</v>
      </c>
      <c r="E28" s="366">
        <v>20280.070484500415</v>
      </c>
      <c r="F28" s="366">
        <v>21885.263360752379</v>
      </c>
      <c r="G28" s="366">
        <v>23298.958028224719</v>
      </c>
      <c r="H28" s="366">
        <v>24677.971578519489</v>
      </c>
      <c r="I28" s="366">
        <v>26095.463637556673</v>
      </c>
      <c r="J28" s="366">
        <v>27521.111339424373</v>
      </c>
      <c r="K28" s="366">
        <v>28985.298130503706</v>
      </c>
      <c r="L28" s="366"/>
      <c r="M28" s="366"/>
      <c r="N28" s="366"/>
      <c r="O28" s="366" t="s">
        <v>256</v>
      </c>
      <c r="P28" s="366">
        <v>14023.472570784001</v>
      </c>
      <c r="Q28" s="366">
        <v>19373.708383926263</v>
      </c>
      <c r="R28" s="366">
        <v>21302.275903857444</v>
      </c>
      <c r="S28" s="366">
        <v>22594.410805036281</v>
      </c>
      <c r="T28" s="366">
        <v>24727.327583574282</v>
      </c>
      <c r="U28" s="366">
        <v>28099.454649186991</v>
      </c>
      <c r="V28" s="366">
        <v>32043.088358935485</v>
      </c>
      <c r="W28" s="366">
        <v>35964.073502994077</v>
      </c>
      <c r="X28" s="366">
        <v>39875.092022964447</v>
      </c>
      <c r="Y28" s="366"/>
      <c r="Z28" s="366"/>
      <c r="AA28" s="366"/>
      <c r="AB28" s="366" t="s">
        <v>256</v>
      </c>
      <c r="AC28" s="366">
        <v>14023.472570784001</v>
      </c>
      <c r="AD28" s="366">
        <v>19296.910631776769</v>
      </c>
      <c r="AE28" s="366">
        <v>21317.904224767342</v>
      </c>
      <c r="AF28" s="366">
        <v>22804.372756356937</v>
      </c>
      <c r="AG28" s="366">
        <v>25427.732704949289</v>
      </c>
      <c r="AH28" s="366">
        <v>30571.543836531353</v>
      </c>
      <c r="AI28" s="366">
        <v>35576.626057029804</v>
      </c>
      <c r="AJ28" s="366">
        <v>40183.324907553048</v>
      </c>
      <c r="AK28" s="366">
        <v>44635.401574180563</v>
      </c>
    </row>
    <row r="29" spans="1:37" x14ac:dyDescent="0.3">
      <c r="A29" s="366"/>
      <c r="B29" s="366" t="s">
        <v>506</v>
      </c>
      <c r="C29" s="366">
        <v>2650.8275793719999</v>
      </c>
      <c r="D29" s="366">
        <v>6153.1212938084391</v>
      </c>
      <c r="E29" s="366">
        <v>8316.9315907497785</v>
      </c>
      <c r="F29" s="366">
        <v>11263.476744563046</v>
      </c>
      <c r="G29" s="366">
        <v>14850.946731615451</v>
      </c>
      <c r="H29" s="366">
        <v>18632.167523542968</v>
      </c>
      <c r="I29" s="366">
        <v>22443.198158715091</v>
      </c>
      <c r="J29" s="366">
        <v>26299.034383692313</v>
      </c>
      <c r="K29" s="366">
        <v>30029.950398076817</v>
      </c>
      <c r="L29" s="366"/>
      <c r="M29" s="366"/>
      <c r="N29" s="366"/>
      <c r="O29" s="366" t="s">
        <v>506</v>
      </c>
      <c r="P29" s="366">
        <v>2650.8275793719999</v>
      </c>
      <c r="Q29" s="366">
        <v>7904.6367766633375</v>
      </c>
      <c r="R29" s="366">
        <v>11992.956231553031</v>
      </c>
      <c r="S29" s="366">
        <v>17147.572072150408</v>
      </c>
      <c r="T29" s="366">
        <v>22510.834803889287</v>
      </c>
      <c r="U29" s="366">
        <v>28187.583260132062</v>
      </c>
      <c r="V29" s="366">
        <v>33695.538739943186</v>
      </c>
      <c r="W29" s="366">
        <v>39171.107111790079</v>
      </c>
      <c r="X29" s="366">
        <v>44476.452271024267</v>
      </c>
      <c r="Y29" s="366"/>
      <c r="Z29" s="366"/>
      <c r="AA29" s="366"/>
      <c r="AB29" s="366" t="s">
        <v>506</v>
      </c>
      <c r="AC29" s="366">
        <v>2650.8275793719999</v>
      </c>
      <c r="AD29" s="366">
        <v>7966.4818080856376</v>
      </c>
      <c r="AE29" s="366">
        <v>12230.906755213111</v>
      </c>
      <c r="AF29" s="366">
        <v>17553.823698789729</v>
      </c>
      <c r="AG29" s="366">
        <v>23433.488978511203</v>
      </c>
      <c r="AH29" s="366">
        <v>29926.133085380483</v>
      </c>
      <c r="AI29" s="366">
        <v>36569.679203808548</v>
      </c>
      <c r="AJ29" s="366">
        <v>43245.95582536039</v>
      </c>
      <c r="AK29" s="366">
        <v>49679.959742879189</v>
      </c>
    </row>
    <row r="30" spans="1:37" x14ac:dyDescent="0.3">
      <c r="A30" s="366"/>
      <c r="B30" s="366" t="s">
        <v>260</v>
      </c>
      <c r="C30" s="366">
        <v>2582.2556496000002</v>
      </c>
      <c r="D30" s="366">
        <v>7893.4700076002737</v>
      </c>
      <c r="E30" s="366">
        <v>10341.146050807743</v>
      </c>
      <c r="F30" s="366">
        <v>12544.499589008452</v>
      </c>
      <c r="G30" s="366">
        <v>14387.003349144585</v>
      </c>
      <c r="H30" s="366">
        <v>16314.541320079683</v>
      </c>
      <c r="I30" s="366">
        <v>18905.413314534071</v>
      </c>
      <c r="J30" s="366">
        <v>21161.408421283035</v>
      </c>
      <c r="K30" s="366">
        <v>23347.148068417213</v>
      </c>
      <c r="L30" s="366"/>
      <c r="M30" s="366"/>
      <c r="N30" s="366"/>
      <c r="O30" s="366" t="s">
        <v>260</v>
      </c>
      <c r="P30" s="366">
        <v>2582.2556496000002</v>
      </c>
      <c r="Q30" s="366">
        <v>9740.2964211896779</v>
      </c>
      <c r="R30" s="366">
        <v>15532.149789076475</v>
      </c>
      <c r="S30" s="366">
        <v>20138.588931275022</v>
      </c>
      <c r="T30" s="366">
        <v>23337.240979521579</v>
      </c>
      <c r="U30" s="366">
        <v>26093.098436554443</v>
      </c>
      <c r="V30" s="366">
        <v>29443.683804276141</v>
      </c>
      <c r="W30" s="366">
        <v>32749.107127939355</v>
      </c>
      <c r="X30" s="366">
        <v>36487.05865059291</v>
      </c>
      <c r="Y30" s="366"/>
      <c r="Z30" s="366"/>
      <c r="AA30" s="366"/>
      <c r="AB30" s="366" t="s">
        <v>260</v>
      </c>
      <c r="AC30" s="366">
        <v>2582.2556496000002</v>
      </c>
      <c r="AD30" s="366">
        <v>10030.923577103633</v>
      </c>
      <c r="AE30" s="366">
        <v>15059.979408790179</v>
      </c>
      <c r="AF30" s="366">
        <v>19494.3726472034</v>
      </c>
      <c r="AG30" s="366">
        <v>23508.001053271171</v>
      </c>
      <c r="AH30" s="366">
        <v>26953.256844534866</v>
      </c>
      <c r="AI30" s="366">
        <v>31148.880289536952</v>
      </c>
      <c r="AJ30" s="366">
        <v>34706.129215948655</v>
      </c>
      <c r="AK30" s="366">
        <v>38006.621965009996</v>
      </c>
    </row>
    <row r="31" spans="1:37" x14ac:dyDescent="0.3">
      <c r="A31" s="366"/>
      <c r="B31" s="366" t="s">
        <v>504</v>
      </c>
      <c r="C31" s="366">
        <v>683.00331847200005</v>
      </c>
      <c r="D31" s="366">
        <v>3535.6108001020348</v>
      </c>
      <c r="E31" s="366">
        <v>5047.5271255581365</v>
      </c>
      <c r="F31" s="366">
        <v>6588.9130711004773</v>
      </c>
      <c r="G31" s="366">
        <v>8273.8552821706398</v>
      </c>
      <c r="H31" s="366">
        <v>10113.709649086342</v>
      </c>
      <c r="I31" s="366">
        <v>12041.877072990663</v>
      </c>
      <c r="J31" s="366">
        <v>13512.417774703357</v>
      </c>
      <c r="K31" s="366">
        <v>15002.736960736258</v>
      </c>
      <c r="L31" s="366"/>
      <c r="M31" s="366"/>
      <c r="N31" s="366"/>
      <c r="O31" s="366" t="s">
        <v>504</v>
      </c>
      <c r="P31" s="366">
        <v>683.00331847200005</v>
      </c>
      <c r="Q31" s="366">
        <v>4103.4320643257024</v>
      </c>
      <c r="R31" s="366">
        <v>6326.1023476675391</v>
      </c>
      <c r="S31" s="366">
        <v>9103.0668268524314</v>
      </c>
      <c r="T31" s="366">
        <v>11715.835580023457</v>
      </c>
      <c r="U31" s="366">
        <v>15850.072964500068</v>
      </c>
      <c r="V31" s="366">
        <v>19979.441475472195</v>
      </c>
      <c r="W31" s="366">
        <v>24800.502554960924</v>
      </c>
      <c r="X31" s="366">
        <v>31450.042229035033</v>
      </c>
      <c r="Y31" s="366"/>
      <c r="Z31" s="366"/>
      <c r="AA31" s="366"/>
      <c r="AB31" s="366" t="s">
        <v>504</v>
      </c>
      <c r="AC31" s="366">
        <v>683.00331847200005</v>
      </c>
      <c r="AD31" s="366">
        <v>3414.1632945628371</v>
      </c>
      <c r="AE31" s="366">
        <v>5468.0809642723316</v>
      </c>
      <c r="AF31" s="366">
        <v>8636.5776267257897</v>
      </c>
      <c r="AG31" s="366">
        <v>12563.758332104517</v>
      </c>
      <c r="AH31" s="366">
        <v>17305.965431215503</v>
      </c>
      <c r="AI31" s="366">
        <v>21950.582584086034</v>
      </c>
      <c r="AJ31" s="366">
        <v>27407.379213928532</v>
      </c>
      <c r="AK31" s="366">
        <v>33140.431960223374</v>
      </c>
    </row>
    <row r="32" spans="1:37" x14ac:dyDescent="0.3">
      <c r="A32" s="366"/>
      <c r="B32" s="366" t="s">
        <v>517</v>
      </c>
      <c r="C32" s="366">
        <v>117.45845499600001</v>
      </c>
      <c r="D32" s="366">
        <v>632.49247605446465</v>
      </c>
      <c r="E32" s="366">
        <v>1119.2912320348182</v>
      </c>
      <c r="F32" s="366">
        <v>2514.0165603752621</v>
      </c>
      <c r="G32" s="366">
        <v>4198.0655506668609</v>
      </c>
      <c r="H32" s="366">
        <v>5588.7914599205224</v>
      </c>
      <c r="I32" s="366">
        <v>7733.3877675224558</v>
      </c>
      <c r="J32" s="366">
        <v>11455.549434544197</v>
      </c>
      <c r="K32" s="366">
        <v>15085.376374632458</v>
      </c>
      <c r="L32" s="366"/>
      <c r="M32" s="366"/>
      <c r="N32" s="366"/>
      <c r="O32" s="366" t="s">
        <v>517</v>
      </c>
      <c r="P32" s="366">
        <v>117.45845499600001</v>
      </c>
      <c r="Q32" s="366">
        <v>1418.4058537197222</v>
      </c>
      <c r="R32" s="366">
        <v>5474.8073502298575</v>
      </c>
      <c r="S32" s="366">
        <v>10699.62882643585</v>
      </c>
      <c r="T32" s="366">
        <v>15289.841972569408</v>
      </c>
      <c r="U32" s="366">
        <v>21324.470042175799</v>
      </c>
      <c r="V32" s="366">
        <v>28689.101800479657</v>
      </c>
      <c r="W32" s="366">
        <v>35504.784530455479</v>
      </c>
      <c r="X32" s="366">
        <v>44069.458855059573</v>
      </c>
      <c r="Y32" s="366"/>
      <c r="Z32" s="366"/>
      <c r="AA32" s="366"/>
      <c r="AB32" s="366" t="s">
        <v>517</v>
      </c>
      <c r="AC32" s="366">
        <v>117.45845499600001</v>
      </c>
      <c r="AD32" s="366">
        <v>2951.7282727135562</v>
      </c>
      <c r="AE32" s="366">
        <v>7156.3983358544283</v>
      </c>
      <c r="AF32" s="366">
        <v>14153.602814026244</v>
      </c>
      <c r="AG32" s="366">
        <v>22018.204778529565</v>
      </c>
      <c r="AH32" s="366">
        <v>29379.304731365424</v>
      </c>
      <c r="AI32" s="366">
        <v>37871.341911550531</v>
      </c>
      <c r="AJ32" s="366">
        <v>45292.790493109118</v>
      </c>
      <c r="AK32" s="366">
        <v>53133.004366555921</v>
      </c>
    </row>
    <row r="33" spans="1:37" x14ac:dyDescent="0.3">
      <c r="A33" s="366"/>
      <c r="B33" s="366" t="s">
        <v>518</v>
      </c>
      <c r="C33" s="366">
        <v>3.5970473520000001</v>
      </c>
      <c r="D33" s="366">
        <v>22.687945641695602</v>
      </c>
      <c r="E33" s="366">
        <v>58.042794964055688</v>
      </c>
      <c r="F33" s="366">
        <v>110.81003005843172</v>
      </c>
      <c r="G33" s="366">
        <v>196.48821237815091</v>
      </c>
      <c r="H33" s="366">
        <v>271.93043431592844</v>
      </c>
      <c r="I33" s="366">
        <v>349.18653448107409</v>
      </c>
      <c r="J33" s="366">
        <v>435.9940573399283</v>
      </c>
      <c r="K33" s="366">
        <v>517.12697273441324</v>
      </c>
      <c r="L33" s="366"/>
      <c r="M33" s="366"/>
      <c r="N33" s="366"/>
      <c r="O33" s="366" t="s">
        <v>518</v>
      </c>
      <c r="P33" s="366">
        <v>3.5970473520000001</v>
      </c>
      <c r="Q33" s="366">
        <v>26.269368980246956</v>
      </c>
      <c r="R33" s="366">
        <v>74.788030104237407</v>
      </c>
      <c r="S33" s="366">
        <v>210.56646914307038</v>
      </c>
      <c r="T33" s="366">
        <v>434.20589884232436</v>
      </c>
      <c r="U33" s="366">
        <v>930.24167066553332</v>
      </c>
      <c r="V33" s="366">
        <v>1720.0415750124785</v>
      </c>
      <c r="W33" s="366">
        <v>2545.8894323029153</v>
      </c>
      <c r="X33" s="366">
        <v>3154.7477573978376</v>
      </c>
      <c r="Y33" s="366"/>
      <c r="Z33" s="366"/>
      <c r="AA33" s="366"/>
      <c r="AB33" s="366" t="s">
        <v>518</v>
      </c>
      <c r="AC33" s="366">
        <v>3.5970473520000001</v>
      </c>
      <c r="AD33" s="366">
        <v>26.269403473908937</v>
      </c>
      <c r="AE33" s="366">
        <v>74.787706979799111</v>
      </c>
      <c r="AF33" s="366">
        <v>213.43552449149635</v>
      </c>
      <c r="AG33" s="366">
        <v>470.41153460536668</v>
      </c>
      <c r="AH33" s="366">
        <v>1030.4661907661409</v>
      </c>
      <c r="AI33" s="366">
        <v>2036.3099223272766</v>
      </c>
      <c r="AJ33" s="366">
        <v>3035.7997306833995</v>
      </c>
      <c r="AK33" s="366">
        <v>3780.116136674716</v>
      </c>
    </row>
    <row r="34" spans="1:37" x14ac:dyDescent="0.3">
      <c r="A34" s="366"/>
      <c r="B34" s="366" t="s">
        <v>326</v>
      </c>
      <c r="C34" s="366">
        <v>0</v>
      </c>
      <c r="D34" s="366">
        <v>0</v>
      </c>
      <c r="E34" s="366">
        <v>0</v>
      </c>
      <c r="F34" s="366">
        <v>0</v>
      </c>
      <c r="G34" s="366">
        <v>0</v>
      </c>
      <c r="H34" s="366">
        <v>0</v>
      </c>
      <c r="I34" s="366">
        <v>0</v>
      </c>
      <c r="J34" s="366">
        <v>0</v>
      </c>
      <c r="K34" s="366">
        <v>0</v>
      </c>
      <c r="L34" s="366"/>
      <c r="M34" s="366"/>
      <c r="N34" s="366"/>
      <c r="O34" s="366" t="s">
        <v>326</v>
      </c>
      <c r="P34" s="366">
        <v>0</v>
      </c>
      <c r="Q34" s="366">
        <v>0</v>
      </c>
      <c r="R34" s="366">
        <v>0</v>
      </c>
      <c r="S34" s="366">
        <v>0</v>
      </c>
      <c r="T34" s="366">
        <v>0</v>
      </c>
      <c r="U34" s="366">
        <v>0</v>
      </c>
      <c r="V34" s="366">
        <v>0</v>
      </c>
      <c r="W34" s="366">
        <v>0</v>
      </c>
      <c r="X34" s="366">
        <v>0</v>
      </c>
      <c r="Y34" s="366"/>
      <c r="Z34" s="366"/>
      <c r="AA34" s="366"/>
      <c r="AB34" s="366" t="s">
        <v>326</v>
      </c>
      <c r="AC34" s="366">
        <v>0</v>
      </c>
      <c r="AD34" s="366">
        <v>0</v>
      </c>
      <c r="AE34" s="366">
        <v>0</v>
      </c>
      <c r="AF34" s="366">
        <v>0</v>
      </c>
      <c r="AG34" s="366">
        <v>0</v>
      </c>
      <c r="AH34" s="366">
        <v>0</v>
      </c>
      <c r="AI34" s="366">
        <v>0</v>
      </c>
      <c r="AJ34" s="366">
        <v>0</v>
      </c>
      <c r="AK34" s="366">
        <v>0</v>
      </c>
    </row>
    <row r="35" spans="1:37" x14ac:dyDescent="0.3">
      <c r="A35" s="366"/>
      <c r="B35" s="366" t="s">
        <v>258</v>
      </c>
      <c r="C35" s="366">
        <v>10.725241824000001</v>
      </c>
      <c r="D35" s="366">
        <v>0</v>
      </c>
      <c r="E35" s="366">
        <v>0</v>
      </c>
      <c r="F35" s="366">
        <v>0</v>
      </c>
      <c r="G35" s="366">
        <v>0</v>
      </c>
      <c r="H35" s="366">
        <v>0</v>
      </c>
      <c r="I35" s="366">
        <v>0</v>
      </c>
      <c r="J35" s="366">
        <v>0</v>
      </c>
      <c r="K35" s="366">
        <v>0</v>
      </c>
      <c r="L35" s="366"/>
      <c r="M35" s="366"/>
      <c r="N35" s="366"/>
      <c r="O35" s="366" t="s">
        <v>258</v>
      </c>
      <c r="P35" s="366">
        <v>10.725241824000001</v>
      </c>
      <c r="Q35" s="366">
        <v>0</v>
      </c>
      <c r="R35" s="366">
        <v>0</v>
      </c>
      <c r="S35" s="366">
        <v>0</v>
      </c>
      <c r="T35" s="366">
        <v>0</v>
      </c>
      <c r="U35" s="366">
        <v>0</v>
      </c>
      <c r="V35" s="366">
        <v>0</v>
      </c>
      <c r="W35" s="366">
        <v>0</v>
      </c>
      <c r="X35" s="366">
        <v>0</v>
      </c>
      <c r="Y35" s="366"/>
      <c r="Z35" s="366"/>
      <c r="AA35" s="366"/>
      <c r="AB35" s="366" t="s">
        <v>258</v>
      </c>
      <c r="AC35" s="366">
        <v>10.725241824000001</v>
      </c>
      <c r="AD35" s="366">
        <v>0</v>
      </c>
      <c r="AE35" s="366">
        <v>0</v>
      </c>
      <c r="AF35" s="366">
        <v>0</v>
      </c>
      <c r="AG35" s="366">
        <v>0</v>
      </c>
      <c r="AH35" s="366">
        <v>0</v>
      </c>
      <c r="AI35" s="366">
        <v>0</v>
      </c>
      <c r="AJ35" s="366">
        <v>0</v>
      </c>
      <c r="AK35" s="366">
        <v>0</v>
      </c>
    </row>
    <row r="36" spans="1:37" x14ac:dyDescent="0.3">
      <c r="A36" s="367"/>
      <c r="B36" s="367" t="s">
        <v>690</v>
      </c>
      <c r="C36" s="367">
        <v>217599.537357792</v>
      </c>
      <c r="D36" s="367">
        <v>250210.9794705605</v>
      </c>
      <c r="E36" s="367">
        <v>272966.75723099645</v>
      </c>
      <c r="F36" s="367">
        <v>295298.25138567481</v>
      </c>
      <c r="G36" s="367">
        <v>317668.5312518389</v>
      </c>
      <c r="H36" s="367">
        <v>336612.29618932202</v>
      </c>
      <c r="I36" s="367">
        <v>353904.51049535139</v>
      </c>
      <c r="J36" s="367">
        <v>375645.32318703219</v>
      </c>
      <c r="K36" s="367">
        <v>394890.61985366687</v>
      </c>
      <c r="L36" s="367"/>
      <c r="M36" s="367"/>
      <c r="N36" s="367"/>
      <c r="O36" s="367" t="s">
        <v>690</v>
      </c>
      <c r="P36" s="367">
        <v>217599.537357792</v>
      </c>
      <c r="Q36" s="367">
        <v>230751.4355350335</v>
      </c>
      <c r="R36" s="367">
        <v>240345.63014740092</v>
      </c>
      <c r="S36" s="367">
        <v>254293.05354148149</v>
      </c>
      <c r="T36" s="367">
        <v>273411.74449842382</v>
      </c>
      <c r="U36" s="367">
        <v>297529.05028958834</v>
      </c>
      <c r="V36" s="367">
        <v>316130.0399265876</v>
      </c>
      <c r="W36" s="367">
        <v>336529.06930707954</v>
      </c>
      <c r="X36" s="367">
        <v>363588.84951406484</v>
      </c>
      <c r="Y36" s="367"/>
      <c r="Z36" s="367"/>
      <c r="AA36" s="367"/>
      <c r="AB36" s="367" t="s">
        <v>690</v>
      </c>
      <c r="AC36" s="367">
        <v>217599.537357792</v>
      </c>
      <c r="AD36" s="367">
        <v>222987.36881099609</v>
      </c>
      <c r="AE36" s="367">
        <v>235670.27376386194</v>
      </c>
      <c r="AF36" s="367">
        <v>253613.28512632012</v>
      </c>
      <c r="AG36" s="367">
        <v>275330.7587092719</v>
      </c>
      <c r="AH36" s="367">
        <v>298158.1754306159</v>
      </c>
      <c r="AI36" s="367">
        <v>321390.67792647745</v>
      </c>
      <c r="AJ36" s="367">
        <v>349772.99123115215</v>
      </c>
      <c r="AK36" s="367">
        <v>381857.41014326661</v>
      </c>
    </row>
    <row r="37" spans="1:37" x14ac:dyDescent="0.3">
      <c r="A37" s="366"/>
      <c r="B37" s="366"/>
      <c r="C37" s="366"/>
      <c r="D37" s="366"/>
      <c r="E37" s="366"/>
      <c r="F37" s="366"/>
      <c r="G37" s="366"/>
      <c r="H37" s="366"/>
      <c r="I37" s="366"/>
      <c r="J37" s="366"/>
      <c r="K37" s="366"/>
      <c r="L37" s="366"/>
      <c r="M37" s="366"/>
      <c r="N37" s="366"/>
      <c r="O37" s="366"/>
      <c r="P37" s="366"/>
      <c r="Q37" s="366"/>
      <c r="R37" s="366"/>
      <c r="S37" s="366"/>
      <c r="T37" s="366"/>
      <c r="U37" s="366"/>
      <c r="V37" s="366"/>
      <c r="W37" s="366"/>
      <c r="X37" s="366"/>
      <c r="Y37" s="366"/>
      <c r="Z37" s="366"/>
      <c r="AA37" s="366"/>
      <c r="AB37" s="366"/>
      <c r="AC37" s="366"/>
      <c r="AD37" s="366"/>
      <c r="AE37" s="366"/>
      <c r="AF37" s="366"/>
      <c r="AG37" s="366"/>
      <c r="AH37" s="366"/>
      <c r="AI37" s="366"/>
      <c r="AJ37" s="366"/>
      <c r="AK37" s="366"/>
    </row>
    <row r="38" spans="1:37" x14ac:dyDescent="0.3">
      <c r="A38" s="363" t="s">
        <v>693</v>
      </c>
      <c r="B38" s="364"/>
      <c r="C38" s="364"/>
      <c r="D38" s="364"/>
      <c r="E38" s="364"/>
      <c r="F38" s="364"/>
      <c r="G38" s="364"/>
      <c r="H38" s="364"/>
      <c r="I38" s="364"/>
      <c r="J38" s="364"/>
      <c r="K38" s="364"/>
      <c r="L38" s="363"/>
      <c r="M38" s="365"/>
      <c r="N38" s="363" t="s">
        <v>693</v>
      </c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3"/>
      <c r="Z38" s="365"/>
      <c r="AA38" s="363" t="s">
        <v>693</v>
      </c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</row>
    <row r="39" spans="1:37" x14ac:dyDescent="0.3">
      <c r="A39" s="366"/>
      <c r="B39" s="366" t="s">
        <v>266</v>
      </c>
      <c r="C39" s="366">
        <v>157596.28338394797</v>
      </c>
      <c r="D39" s="366">
        <v>175813.9398288939</v>
      </c>
      <c r="E39" s="366">
        <v>183456.88109927808</v>
      </c>
      <c r="F39" s="366">
        <v>188950.39111099002</v>
      </c>
      <c r="G39" s="366">
        <v>193416.76295655535</v>
      </c>
      <c r="H39" s="366">
        <v>197889.49183758884</v>
      </c>
      <c r="I39" s="366">
        <v>201466.49497211073</v>
      </c>
      <c r="J39" s="366">
        <v>202969.40741988271</v>
      </c>
      <c r="K39" s="366">
        <v>205003.68409827887</v>
      </c>
      <c r="L39" s="366"/>
      <c r="M39" s="366"/>
      <c r="N39" s="366"/>
      <c r="O39" s="366" t="s">
        <v>266</v>
      </c>
      <c r="P39" s="366">
        <v>157596.28338394797</v>
      </c>
      <c r="Q39" s="366">
        <v>157350.76058624472</v>
      </c>
      <c r="R39" s="366">
        <v>151064.4812589527</v>
      </c>
      <c r="S39" s="366">
        <v>143081.74443367514</v>
      </c>
      <c r="T39" s="366">
        <v>133410.26040556291</v>
      </c>
      <c r="U39" s="366">
        <v>122331.55058838842</v>
      </c>
      <c r="V39" s="366">
        <v>111222.93928346834</v>
      </c>
      <c r="W39" s="366">
        <v>101360.27794586969</v>
      </c>
      <c r="X39" s="366">
        <v>95135.504593453312</v>
      </c>
      <c r="Y39" s="366"/>
      <c r="Z39" s="366"/>
      <c r="AA39" s="366"/>
      <c r="AB39" s="366" t="s">
        <v>266</v>
      </c>
      <c r="AC39" s="366">
        <v>157596.28338394797</v>
      </c>
      <c r="AD39" s="366">
        <v>146949.14079735189</v>
      </c>
      <c r="AE39" s="366">
        <v>133106.18487580074</v>
      </c>
      <c r="AF39" s="366">
        <v>118803.51900434771</v>
      </c>
      <c r="AG39" s="366">
        <v>103788.18631277459</v>
      </c>
      <c r="AH39" s="366">
        <v>89596.215182473723</v>
      </c>
      <c r="AI39" s="366">
        <v>78225.971629527034</v>
      </c>
      <c r="AJ39" s="366">
        <v>68210.747538097785</v>
      </c>
      <c r="AK39" s="366">
        <v>62016.061903806825</v>
      </c>
    </row>
    <row r="40" spans="1:37" x14ac:dyDescent="0.3">
      <c r="A40" s="366"/>
      <c r="B40" s="366" t="s">
        <v>254</v>
      </c>
      <c r="C40" s="366">
        <v>60603.622353936</v>
      </c>
      <c r="D40" s="366">
        <v>61211.100670708256</v>
      </c>
      <c r="E40" s="366">
        <v>62046.711449822709</v>
      </c>
      <c r="F40" s="366">
        <v>63327.19287844975</v>
      </c>
      <c r="G40" s="366">
        <v>65560.426957032294</v>
      </c>
      <c r="H40" s="366">
        <v>63201.352852267053</v>
      </c>
      <c r="I40" s="366">
        <v>62336.655778321467</v>
      </c>
      <c r="J40" s="366">
        <v>61876.723417212699</v>
      </c>
      <c r="K40" s="366">
        <v>61058.244355100614</v>
      </c>
      <c r="L40" s="366"/>
      <c r="M40" s="366"/>
      <c r="N40" s="366"/>
      <c r="O40" s="366" t="s">
        <v>254</v>
      </c>
      <c r="P40" s="366">
        <v>60603.622353936</v>
      </c>
      <c r="Q40" s="366">
        <v>53094.252620708859</v>
      </c>
      <c r="R40" s="366">
        <v>47677.12781331029</v>
      </c>
      <c r="S40" s="366">
        <v>42929.749667141034</v>
      </c>
      <c r="T40" s="366">
        <v>38523.914596183975</v>
      </c>
      <c r="U40" s="366">
        <v>33736.525991654256</v>
      </c>
      <c r="V40" s="366">
        <v>31025.101737487643</v>
      </c>
      <c r="W40" s="366">
        <v>29544.736581993497</v>
      </c>
      <c r="X40" s="366">
        <v>27945.331009459915</v>
      </c>
      <c r="Y40" s="366"/>
      <c r="Z40" s="366"/>
      <c r="AA40" s="366"/>
      <c r="AB40" s="366" t="s">
        <v>254</v>
      </c>
      <c r="AC40" s="366">
        <v>60603.622353936</v>
      </c>
      <c r="AD40" s="366">
        <v>43840.319553240122</v>
      </c>
      <c r="AE40" s="366">
        <v>37840.267660612306</v>
      </c>
      <c r="AF40" s="366">
        <v>34289.568287784525</v>
      </c>
      <c r="AG40" s="366">
        <v>31124.469567864264</v>
      </c>
      <c r="AH40" s="366">
        <v>28146.69295471696</v>
      </c>
      <c r="AI40" s="366">
        <v>25814.055114936018</v>
      </c>
      <c r="AJ40" s="366">
        <v>24076.837060062444</v>
      </c>
      <c r="AK40" s="366">
        <v>21509.019813362178</v>
      </c>
    </row>
    <row r="41" spans="1:37" x14ac:dyDescent="0.3">
      <c r="A41" s="366"/>
      <c r="B41" s="366" t="s">
        <v>510</v>
      </c>
      <c r="C41" s="366">
        <v>57067.864059888001</v>
      </c>
      <c r="D41" s="366">
        <v>72470.892518838897</v>
      </c>
      <c r="E41" s="366">
        <v>76864.104017856371</v>
      </c>
      <c r="F41" s="366">
        <v>80518.791007711741</v>
      </c>
      <c r="G41" s="366">
        <v>83130.601134718512</v>
      </c>
      <c r="H41" s="366">
        <v>86180.713725781476</v>
      </c>
      <c r="I41" s="366">
        <v>88447.333657986572</v>
      </c>
      <c r="J41" s="366">
        <v>89329.342858338612</v>
      </c>
      <c r="K41" s="366">
        <v>89894.70201303513</v>
      </c>
      <c r="L41" s="366"/>
      <c r="M41" s="366"/>
      <c r="N41" s="366"/>
      <c r="O41" s="366" t="s">
        <v>510</v>
      </c>
      <c r="P41" s="366">
        <v>57067.864059888001</v>
      </c>
      <c r="Q41" s="366">
        <v>66961.858561861925</v>
      </c>
      <c r="R41" s="366">
        <v>65712.034224068018</v>
      </c>
      <c r="S41" s="366">
        <v>64347.482255821953</v>
      </c>
      <c r="T41" s="366">
        <v>61986.51461947897</v>
      </c>
      <c r="U41" s="366">
        <v>61053.535784008178</v>
      </c>
      <c r="V41" s="366">
        <v>59877.085792935999</v>
      </c>
      <c r="W41" s="366">
        <v>58604.679227252796</v>
      </c>
      <c r="X41" s="366">
        <v>57090.499501189843</v>
      </c>
      <c r="Y41" s="366"/>
      <c r="Z41" s="366"/>
      <c r="AA41" s="366"/>
      <c r="AB41" s="366" t="s">
        <v>510</v>
      </c>
      <c r="AC41" s="366">
        <v>57067.864059888001</v>
      </c>
      <c r="AD41" s="366">
        <v>60832.253260924044</v>
      </c>
      <c r="AE41" s="366">
        <v>55827.176376022668</v>
      </c>
      <c r="AF41" s="366">
        <v>51851.517939499128</v>
      </c>
      <c r="AG41" s="366">
        <v>48183.955147578512</v>
      </c>
      <c r="AH41" s="366">
        <v>45944.466762422417</v>
      </c>
      <c r="AI41" s="366">
        <v>43444.761524491936</v>
      </c>
      <c r="AJ41" s="366">
        <v>42955.130834168289</v>
      </c>
      <c r="AK41" s="366">
        <v>41760.054038128052</v>
      </c>
    </row>
    <row r="42" spans="1:37" x14ac:dyDescent="0.3">
      <c r="A42" s="366"/>
      <c r="B42" s="366" t="s">
        <v>341</v>
      </c>
      <c r="C42" s="366">
        <v>71504.264051208011</v>
      </c>
      <c r="D42" s="366">
        <v>92461.859780970452</v>
      </c>
      <c r="E42" s="366">
        <v>103171.85132225935</v>
      </c>
      <c r="F42" s="366">
        <v>113962.79023184851</v>
      </c>
      <c r="G42" s="366">
        <v>123980.17249575164</v>
      </c>
      <c r="H42" s="366">
        <v>134394.7798603705</v>
      </c>
      <c r="I42" s="366">
        <v>144127.78946128002</v>
      </c>
      <c r="J42" s="366">
        <v>154959.80692098636</v>
      </c>
      <c r="K42" s="366">
        <v>165025.03827302047</v>
      </c>
      <c r="L42" s="366"/>
      <c r="M42" s="366"/>
      <c r="N42" s="366"/>
      <c r="O42" s="366" t="s">
        <v>341</v>
      </c>
      <c r="P42" s="366">
        <v>71504.264051208011</v>
      </c>
      <c r="Q42" s="366">
        <v>88786.702387612444</v>
      </c>
      <c r="R42" s="366">
        <v>96331.036938288657</v>
      </c>
      <c r="S42" s="366">
        <v>104022.78861419173</v>
      </c>
      <c r="T42" s="366">
        <v>111762.78978338771</v>
      </c>
      <c r="U42" s="366">
        <v>120973.88033939493</v>
      </c>
      <c r="V42" s="366">
        <v>130169.84812640715</v>
      </c>
      <c r="W42" s="366">
        <v>140447.80803079478</v>
      </c>
      <c r="X42" s="366">
        <v>151813.27940238046</v>
      </c>
      <c r="Y42" s="366"/>
      <c r="Z42" s="366"/>
      <c r="AA42" s="366"/>
      <c r="AB42" s="366" t="s">
        <v>341</v>
      </c>
      <c r="AC42" s="366">
        <v>71504.264051208011</v>
      </c>
      <c r="AD42" s="366">
        <v>86592.196326837497</v>
      </c>
      <c r="AE42" s="366">
        <v>94565.663281302463</v>
      </c>
      <c r="AF42" s="366">
        <v>103638.65007436826</v>
      </c>
      <c r="AG42" s="366">
        <v>113148.48059453553</v>
      </c>
      <c r="AH42" s="366">
        <v>122802.12757051781</v>
      </c>
      <c r="AI42" s="366">
        <v>133581.71271253098</v>
      </c>
      <c r="AJ42" s="366">
        <v>145386.4032215687</v>
      </c>
      <c r="AK42" s="366">
        <v>157907.66509158348</v>
      </c>
    </row>
    <row r="43" spans="1:37" x14ac:dyDescent="0.3">
      <c r="A43" s="366"/>
      <c r="B43" s="366" t="s">
        <v>694</v>
      </c>
      <c r="C43" s="366">
        <v>11477.084340599999</v>
      </c>
      <c r="D43" s="366">
        <v>14790.090830685089</v>
      </c>
      <c r="E43" s="366">
        <v>14667.090646668927</v>
      </c>
      <c r="F43" s="366">
        <v>14870.515722292334</v>
      </c>
      <c r="G43" s="366">
        <v>14813.731787818342</v>
      </c>
      <c r="H43" s="366">
        <v>15154.897609627771</v>
      </c>
      <c r="I43" s="366">
        <v>15225.493885444039</v>
      </c>
      <c r="J43" s="366">
        <v>15313.079666941958</v>
      </c>
      <c r="K43" s="366">
        <v>15243.672858923084</v>
      </c>
      <c r="L43" s="366"/>
      <c r="M43" s="366"/>
      <c r="N43" s="366"/>
      <c r="O43" s="366" t="s">
        <v>694</v>
      </c>
      <c r="P43" s="366">
        <v>11477.084340599999</v>
      </c>
      <c r="Q43" s="366">
        <v>13496.961612215613</v>
      </c>
      <c r="R43" s="366">
        <v>12504.948335626852</v>
      </c>
      <c r="S43" s="366">
        <v>12173.127997361245</v>
      </c>
      <c r="T43" s="366">
        <v>11665.110984915882</v>
      </c>
      <c r="U43" s="366">
        <v>11875.10084036411</v>
      </c>
      <c r="V43" s="366">
        <v>11543.874249262559</v>
      </c>
      <c r="W43" s="366">
        <v>11528.948734985788</v>
      </c>
      <c r="X43" s="366">
        <v>11514.80915797226</v>
      </c>
      <c r="Y43" s="366"/>
      <c r="Z43" s="366"/>
      <c r="AA43" s="366"/>
      <c r="AB43" s="366" t="s">
        <v>694</v>
      </c>
      <c r="AC43" s="366">
        <v>11477.084340599999</v>
      </c>
      <c r="AD43" s="366">
        <v>13670.504567398377</v>
      </c>
      <c r="AE43" s="366">
        <v>12951.01750426438</v>
      </c>
      <c r="AF43" s="366">
        <v>12867.02966489868</v>
      </c>
      <c r="AG43" s="366">
        <v>12248.757791655935</v>
      </c>
      <c r="AH43" s="366">
        <v>12176.289545252066</v>
      </c>
      <c r="AI43" s="366">
        <v>11940.400551202234</v>
      </c>
      <c r="AJ43" s="366">
        <v>12028.787646417111</v>
      </c>
      <c r="AK43" s="366">
        <v>12263.283816938128</v>
      </c>
    </row>
    <row r="44" spans="1:37" x14ac:dyDescent="0.3">
      <c r="A44" s="366"/>
      <c r="B44" s="366" t="s">
        <v>512</v>
      </c>
      <c r="C44" s="366">
        <v>42038.22551892</v>
      </c>
      <c r="D44" s="366">
        <v>48834.858208293983</v>
      </c>
      <c r="E44" s="366">
        <v>50428.984559273791</v>
      </c>
      <c r="F44" s="366">
        <v>52596.778516214144</v>
      </c>
      <c r="G44" s="366">
        <v>54227.040386935041</v>
      </c>
      <c r="H44" s="366">
        <v>55771.198145310904</v>
      </c>
      <c r="I44" s="366">
        <v>56730.073914229913</v>
      </c>
      <c r="J44" s="366">
        <v>57642.844752705525</v>
      </c>
      <c r="K44" s="366">
        <v>58335.701677298493</v>
      </c>
      <c r="L44" s="366"/>
      <c r="M44" s="366"/>
      <c r="N44" s="366"/>
      <c r="O44" s="366" t="s">
        <v>512</v>
      </c>
      <c r="P44" s="366">
        <v>42038.22551892</v>
      </c>
      <c r="Q44" s="366">
        <v>50167.360170029329</v>
      </c>
      <c r="R44" s="366">
        <v>53322.698007363681</v>
      </c>
      <c r="S44" s="366">
        <v>57406.766261190605</v>
      </c>
      <c r="T44" s="366">
        <v>62331.218752720793</v>
      </c>
      <c r="U44" s="366">
        <v>66398.404149079259</v>
      </c>
      <c r="V44" s="366">
        <v>69394.20276637128</v>
      </c>
      <c r="W44" s="366">
        <v>73011.996649239751</v>
      </c>
      <c r="X44" s="366">
        <v>74042.722882250382</v>
      </c>
      <c r="Y44" s="366"/>
      <c r="Z44" s="366"/>
      <c r="AA44" s="366"/>
      <c r="AB44" s="366" t="s">
        <v>512</v>
      </c>
      <c r="AC44" s="366">
        <v>42038.22551892</v>
      </c>
      <c r="AD44" s="366">
        <v>52744.277024114395</v>
      </c>
      <c r="AE44" s="366">
        <v>56975.690718664278</v>
      </c>
      <c r="AF44" s="366">
        <v>61053.12211801004</v>
      </c>
      <c r="AG44" s="366">
        <v>64761.400296835563</v>
      </c>
      <c r="AH44" s="366">
        <v>67995.969661819894</v>
      </c>
      <c r="AI44" s="366">
        <v>70152.522309614782</v>
      </c>
      <c r="AJ44" s="366">
        <v>72106.437841950232</v>
      </c>
      <c r="AK44" s="366">
        <v>73044.654391864911</v>
      </c>
    </row>
    <row r="45" spans="1:37" x14ac:dyDescent="0.3">
      <c r="A45" s="366"/>
      <c r="B45" s="366" t="s">
        <v>326</v>
      </c>
      <c r="C45" s="366">
        <v>0</v>
      </c>
      <c r="D45" s="366">
        <v>5.5821700119025355</v>
      </c>
      <c r="E45" s="366">
        <v>14.027252823030224</v>
      </c>
      <c r="F45" s="366">
        <v>25.462732105835521</v>
      </c>
      <c r="G45" s="366">
        <v>35.915940747429161</v>
      </c>
      <c r="H45" s="366">
        <v>47.777959528919155</v>
      </c>
      <c r="I45" s="366">
        <v>66.098318847191223</v>
      </c>
      <c r="J45" s="366">
        <v>91.669110060198108</v>
      </c>
      <c r="K45" s="366">
        <v>120.03248684099232</v>
      </c>
      <c r="L45" s="366"/>
      <c r="M45" s="366"/>
      <c r="N45" s="366"/>
      <c r="O45" s="366" t="s">
        <v>326</v>
      </c>
      <c r="P45" s="366">
        <v>0</v>
      </c>
      <c r="Q45" s="366">
        <v>53.230146040528837</v>
      </c>
      <c r="R45" s="366">
        <v>116.94187245951748</v>
      </c>
      <c r="S45" s="366">
        <v>191.17825963793504</v>
      </c>
      <c r="T45" s="366">
        <v>259.26061165372749</v>
      </c>
      <c r="U45" s="366">
        <v>333.81720551033436</v>
      </c>
      <c r="V45" s="366">
        <v>417.7015109858022</v>
      </c>
      <c r="W45" s="366">
        <v>504.67694407570974</v>
      </c>
      <c r="X45" s="366">
        <v>593.62579736372493</v>
      </c>
      <c r="Y45" s="366"/>
      <c r="Z45" s="366"/>
      <c r="AA45" s="366"/>
      <c r="AB45" s="366" t="s">
        <v>326</v>
      </c>
      <c r="AC45" s="366">
        <v>0</v>
      </c>
      <c r="AD45" s="366">
        <v>66.552014436706088</v>
      </c>
      <c r="AE45" s="366">
        <v>151.65413499956802</v>
      </c>
      <c r="AF45" s="366">
        <v>254.91818577440949</v>
      </c>
      <c r="AG45" s="366">
        <v>364.85480396439903</v>
      </c>
      <c r="AH45" s="366">
        <v>497.69521862416963</v>
      </c>
      <c r="AI45" s="366">
        <v>639.51289027828591</v>
      </c>
      <c r="AJ45" s="366">
        <v>760.33197528412927</v>
      </c>
      <c r="AK45" s="366">
        <v>851.69649528042407</v>
      </c>
    </row>
    <row r="46" spans="1:37" x14ac:dyDescent="0.3">
      <c r="A46" s="366"/>
      <c r="B46" s="366" t="s">
        <v>258</v>
      </c>
      <c r="C46" s="366">
        <v>1529.8820082719999</v>
      </c>
      <c r="D46" s="366">
        <v>2995.0662116446765</v>
      </c>
      <c r="E46" s="366">
        <v>4003.4233634389698</v>
      </c>
      <c r="F46" s="366">
        <v>5016.8721723892186</v>
      </c>
      <c r="G46" s="366">
        <v>6418.8537343368334</v>
      </c>
      <c r="H46" s="366">
        <v>7617.256945886329</v>
      </c>
      <c r="I46" s="366">
        <v>7388.7256452739748</v>
      </c>
      <c r="J46" s="366">
        <v>8546.0620053018938</v>
      </c>
      <c r="K46" s="366">
        <v>9089.2514503925031</v>
      </c>
      <c r="L46" s="366"/>
      <c r="M46" s="366"/>
      <c r="N46" s="366"/>
      <c r="O46" s="366" t="s">
        <v>258</v>
      </c>
      <c r="P46" s="366">
        <v>1529.8820082719999</v>
      </c>
      <c r="Q46" s="366">
        <v>3686.8295106162154</v>
      </c>
      <c r="R46" s="366">
        <v>5215.7557387682673</v>
      </c>
      <c r="S46" s="366">
        <v>6601.0632925302471</v>
      </c>
      <c r="T46" s="366">
        <v>7799.7974473573704</v>
      </c>
      <c r="U46" s="366">
        <v>9117.7942742699106</v>
      </c>
      <c r="V46" s="366">
        <v>10313.723803386216</v>
      </c>
      <c r="W46" s="366">
        <v>11335.751747364462</v>
      </c>
      <c r="X46" s="366">
        <v>12320.966900551544</v>
      </c>
      <c r="Y46" s="366"/>
      <c r="Z46" s="366"/>
      <c r="AA46" s="366"/>
      <c r="AB46" s="366" t="s">
        <v>258</v>
      </c>
      <c r="AC46" s="366">
        <v>1529.8820082719999</v>
      </c>
      <c r="AD46" s="366">
        <v>4422.1597054288241</v>
      </c>
      <c r="AE46" s="366">
        <v>6789.4599833777456</v>
      </c>
      <c r="AF46" s="366">
        <v>8932.2136017528792</v>
      </c>
      <c r="AG46" s="366">
        <v>10721.408351669541</v>
      </c>
      <c r="AH46" s="366">
        <v>12214.465004273112</v>
      </c>
      <c r="AI46" s="366">
        <v>13511.4722664235</v>
      </c>
      <c r="AJ46" s="366">
        <v>14948.857535223098</v>
      </c>
      <c r="AK46" s="366">
        <v>16172.249457518539</v>
      </c>
    </row>
    <row r="47" spans="1:37" x14ac:dyDescent="0.3">
      <c r="A47" s="366"/>
      <c r="B47" s="367" t="s">
        <v>690</v>
      </c>
      <c r="C47" s="367">
        <v>401817.22571677197</v>
      </c>
      <c r="D47" s="367">
        <v>468583.39022004715</v>
      </c>
      <c r="E47" s="367">
        <v>494653.07371142128</v>
      </c>
      <c r="F47" s="367">
        <v>519268.7943720016</v>
      </c>
      <c r="G47" s="367">
        <v>541583.50539389544</v>
      </c>
      <c r="H47" s="367">
        <v>560257.46893636172</v>
      </c>
      <c r="I47" s="367">
        <v>575788.6656334938</v>
      </c>
      <c r="J47" s="367">
        <v>590728.93615143013</v>
      </c>
      <c r="K47" s="367">
        <v>603770.32721289014</v>
      </c>
      <c r="L47" s="366"/>
      <c r="M47" s="366"/>
      <c r="N47" s="366"/>
      <c r="O47" s="367" t="s">
        <v>690</v>
      </c>
      <c r="P47" s="367">
        <v>401817.22571677197</v>
      </c>
      <c r="Q47" s="367">
        <v>433597.95559532964</v>
      </c>
      <c r="R47" s="367">
        <v>431945.02418883803</v>
      </c>
      <c r="S47" s="367">
        <v>430753.90078154986</v>
      </c>
      <c r="T47" s="367">
        <v>427738.8672012614</v>
      </c>
      <c r="U47" s="367">
        <v>425820.60917266941</v>
      </c>
      <c r="V47" s="367">
        <v>423964.47727030498</v>
      </c>
      <c r="W47" s="367">
        <v>426338.87586157647</v>
      </c>
      <c r="X47" s="367">
        <v>430456.73924462142</v>
      </c>
      <c r="Y47" s="366"/>
      <c r="Z47" s="366"/>
      <c r="AA47" s="366"/>
      <c r="AB47" s="367" t="s">
        <v>690</v>
      </c>
      <c r="AC47" s="367">
        <v>401817.22571677197</v>
      </c>
      <c r="AD47" s="367">
        <v>409117.40324973187</v>
      </c>
      <c r="AE47" s="367">
        <v>398207.11453504406</v>
      </c>
      <c r="AF47" s="367">
        <v>391690.53887643566</v>
      </c>
      <c r="AG47" s="367">
        <v>384341.51286687836</v>
      </c>
      <c r="AH47" s="367">
        <v>379373.92190010019</v>
      </c>
      <c r="AI47" s="367">
        <v>377310.40899900481</v>
      </c>
      <c r="AJ47" s="367">
        <v>380473.53365277173</v>
      </c>
      <c r="AK47" s="367">
        <v>385524.68500848248</v>
      </c>
    </row>
    <row r="48" spans="1:37" x14ac:dyDescent="0.3">
      <c r="A48" s="366"/>
      <c r="B48" s="366"/>
      <c r="C48" s="366"/>
      <c r="D48" s="366"/>
      <c r="E48" s="366"/>
      <c r="F48" s="366"/>
      <c r="G48" s="366"/>
      <c r="H48" s="366"/>
      <c r="I48" s="366"/>
      <c r="J48" s="366"/>
      <c r="K48" s="366"/>
      <c r="L48" s="366"/>
      <c r="M48" s="366"/>
      <c r="N48" s="366"/>
      <c r="O48" s="366"/>
      <c r="P48" s="366"/>
      <c r="Q48" s="366"/>
      <c r="R48" s="366"/>
      <c r="S48" s="366"/>
      <c r="T48" s="366"/>
      <c r="U48" s="366"/>
      <c r="V48" s="366"/>
      <c r="W48" s="366"/>
      <c r="X48" s="366"/>
      <c r="Y48" s="366"/>
      <c r="Z48" s="366"/>
      <c r="AA48" s="366"/>
      <c r="AB48" s="366"/>
      <c r="AC48" s="366"/>
      <c r="AD48" s="366"/>
      <c r="AE48" s="366"/>
      <c r="AF48" s="366"/>
      <c r="AG48" s="366"/>
      <c r="AH48" s="366"/>
      <c r="AI48" s="366"/>
      <c r="AJ48" s="366"/>
      <c r="AK48" s="366"/>
    </row>
    <row r="49" spans="1:37" x14ac:dyDescent="0.3">
      <c r="A49" s="363" t="s">
        <v>695</v>
      </c>
      <c r="B49" s="364"/>
      <c r="C49" s="364"/>
      <c r="D49" s="364"/>
      <c r="E49" s="364"/>
      <c r="F49" s="364"/>
      <c r="G49" s="364"/>
      <c r="H49" s="364"/>
      <c r="I49" s="364"/>
      <c r="J49" s="364"/>
      <c r="K49" s="364"/>
      <c r="L49" s="363"/>
      <c r="M49" s="365"/>
      <c r="N49" s="363" t="s">
        <v>695</v>
      </c>
      <c r="O49" s="364"/>
      <c r="P49" s="364"/>
      <c r="Q49" s="364"/>
      <c r="R49" s="364"/>
      <c r="S49" s="364"/>
      <c r="T49" s="364"/>
      <c r="U49" s="364"/>
      <c r="V49" s="364"/>
      <c r="W49" s="364"/>
      <c r="X49" s="364"/>
      <c r="Y49" s="363"/>
      <c r="Z49" s="365"/>
      <c r="AA49" s="363" t="s">
        <v>695</v>
      </c>
      <c r="AB49" s="364"/>
      <c r="AC49" s="364"/>
      <c r="AD49" s="364"/>
      <c r="AE49" s="364"/>
      <c r="AF49" s="364"/>
      <c r="AG49" s="364"/>
      <c r="AH49" s="364"/>
      <c r="AI49" s="364"/>
      <c r="AJ49" s="364"/>
      <c r="AK49" s="364"/>
    </row>
    <row r="50" spans="1:37" x14ac:dyDescent="0.3">
      <c r="A50" s="366"/>
      <c r="B50" s="366" t="s">
        <v>266</v>
      </c>
      <c r="C50" s="366">
        <v>12757.195174896</v>
      </c>
      <c r="D50" s="366">
        <v>13881.277214655684</v>
      </c>
      <c r="E50" s="366">
        <v>14028.317629972496</v>
      </c>
      <c r="F50" s="366">
        <v>14241.167920734793</v>
      </c>
      <c r="G50" s="366">
        <v>14375.168935004998</v>
      </c>
      <c r="H50" s="366">
        <v>14742.82076624312</v>
      </c>
      <c r="I50" s="366">
        <v>15105.635712144296</v>
      </c>
      <c r="J50" s="366">
        <v>14528.619288286811</v>
      </c>
      <c r="K50" s="366">
        <v>14941.987764405974</v>
      </c>
      <c r="L50" s="366"/>
      <c r="M50" s="366"/>
      <c r="N50" s="366"/>
      <c r="O50" s="366" t="s">
        <v>266</v>
      </c>
      <c r="P50" s="366">
        <v>12757.195174896</v>
      </c>
      <c r="Q50" s="366">
        <v>12234.400213205146</v>
      </c>
      <c r="R50" s="366">
        <v>11372.092400666177</v>
      </c>
      <c r="S50" s="366">
        <v>11036.835006540246</v>
      </c>
      <c r="T50" s="366">
        <v>10905.304687387597</v>
      </c>
      <c r="U50" s="366">
        <v>10288.714503517163</v>
      </c>
      <c r="V50" s="366">
        <v>9243.8574221396939</v>
      </c>
      <c r="W50" s="366">
        <v>8383.8937818132108</v>
      </c>
      <c r="X50" s="366">
        <v>7710.1598905356568</v>
      </c>
      <c r="Y50" s="366"/>
      <c r="Z50" s="366"/>
      <c r="AA50" s="366"/>
      <c r="AB50" s="366" t="s">
        <v>266</v>
      </c>
      <c r="AC50" s="366">
        <v>12757.195174896</v>
      </c>
      <c r="AD50" s="366">
        <v>11184.015901348586</v>
      </c>
      <c r="AE50" s="366">
        <v>10307.719224378887</v>
      </c>
      <c r="AF50" s="366">
        <v>9854.8768895265293</v>
      </c>
      <c r="AG50" s="366">
        <v>9656.3935796201276</v>
      </c>
      <c r="AH50" s="366">
        <v>8920.8376921357121</v>
      </c>
      <c r="AI50" s="366">
        <v>8091.8213268015033</v>
      </c>
      <c r="AJ50" s="366">
        <v>7262.3550007255326</v>
      </c>
      <c r="AK50" s="366">
        <v>6301.2638062142141</v>
      </c>
    </row>
    <row r="51" spans="1:37" x14ac:dyDescent="0.3">
      <c r="A51" s="366"/>
      <c r="B51" s="366" t="s">
        <v>254</v>
      </c>
      <c r="C51" s="366">
        <v>49961.912674644002</v>
      </c>
      <c r="D51" s="366">
        <v>52727.904102137705</v>
      </c>
      <c r="E51" s="366">
        <v>53800.585801503206</v>
      </c>
      <c r="F51" s="366">
        <v>55398.116194074973</v>
      </c>
      <c r="G51" s="366">
        <v>58066.062831698153</v>
      </c>
      <c r="H51" s="366">
        <v>56709.610767683858</v>
      </c>
      <c r="I51" s="366">
        <v>56768.383489985412</v>
      </c>
      <c r="J51" s="366">
        <v>56509.460801871588</v>
      </c>
      <c r="K51" s="366">
        <v>55895.108720272656</v>
      </c>
      <c r="L51" s="366"/>
      <c r="M51" s="366"/>
      <c r="N51" s="366"/>
      <c r="O51" s="366" t="s">
        <v>254</v>
      </c>
      <c r="P51" s="366">
        <v>49961.912674644002</v>
      </c>
      <c r="Q51" s="366">
        <v>45599.012982778702</v>
      </c>
      <c r="R51" s="366">
        <v>41254.930574002079</v>
      </c>
      <c r="S51" s="366">
        <v>37358.715794605188</v>
      </c>
      <c r="T51" s="366">
        <v>33551.627723407539</v>
      </c>
      <c r="U51" s="366">
        <v>29392.032657264514</v>
      </c>
      <c r="V51" s="366">
        <v>27241.620293155429</v>
      </c>
      <c r="W51" s="366">
        <v>26089.62911412583</v>
      </c>
      <c r="X51" s="366">
        <v>24686.953260228955</v>
      </c>
      <c r="Y51" s="366"/>
      <c r="Z51" s="366"/>
      <c r="AA51" s="366"/>
      <c r="AB51" s="366" t="s">
        <v>254</v>
      </c>
      <c r="AC51" s="366">
        <v>49961.912674644002</v>
      </c>
      <c r="AD51" s="366">
        <v>37246.368936976229</v>
      </c>
      <c r="AE51" s="366">
        <v>32766.982694846549</v>
      </c>
      <c r="AF51" s="366">
        <v>29906.925569483043</v>
      </c>
      <c r="AG51" s="366">
        <v>27279.506308476015</v>
      </c>
      <c r="AH51" s="366">
        <v>24697.413948918373</v>
      </c>
      <c r="AI51" s="366">
        <v>22648.770758480361</v>
      </c>
      <c r="AJ51" s="366">
        <v>20953.167944681558</v>
      </c>
      <c r="AK51" s="366">
        <v>18403.410933190902</v>
      </c>
    </row>
    <row r="52" spans="1:37" x14ac:dyDescent="0.3">
      <c r="A52" s="366"/>
      <c r="B52" s="366" t="s">
        <v>510</v>
      </c>
      <c r="C52" s="366">
        <v>23052.196616076002</v>
      </c>
      <c r="D52" s="366">
        <v>32486.297859877352</v>
      </c>
      <c r="E52" s="366">
        <v>34606.967501715713</v>
      </c>
      <c r="F52" s="366">
        <v>36746.932282543748</v>
      </c>
      <c r="G52" s="366">
        <v>37781.808119244786</v>
      </c>
      <c r="H52" s="366">
        <v>39404.843889506839</v>
      </c>
      <c r="I52" s="366">
        <v>40816.491845656958</v>
      </c>
      <c r="J52" s="366">
        <v>41422.807851387042</v>
      </c>
      <c r="K52" s="366">
        <v>42141.940957395549</v>
      </c>
      <c r="L52" s="366"/>
      <c r="M52" s="366"/>
      <c r="N52" s="366"/>
      <c r="O52" s="366" t="s">
        <v>510</v>
      </c>
      <c r="P52" s="366">
        <v>23052.196616076002</v>
      </c>
      <c r="Q52" s="366">
        <v>30947.147648096034</v>
      </c>
      <c r="R52" s="366">
        <v>31111.408807162275</v>
      </c>
      <c r="S52" s="366">
        <v>31627.179258487537</v>
      </c>
      <c r="T52" s="366">
        <v>30652.678294212328</v>
      </c>
      <c r="U52" s="366">
        <v>30557.822969410881</v>
      </c>
      <c r="V52" s="366">
        <v>30140.782014460328</v>
      </c>
      <c r="W52" s="366">
        <v>29861.344434812778</v>
      </c>
      <c r="X52" s="366">
        <v>29558.240689974478</v>
      </c>
      <c r="Y52" s="366"/>
      <c r="Z52" s="366"/>
      <c r="AA52" s="366"/>
      <c r="AB52" s="366" t="s">
        <v>510</v>
      </c>
      <c r="AC52" s="366">
        <v>23052.196616076002</v>
      </c>
      <c r="AD52" s="366">
        <v>28939.030424160286</v>
      </c>
      <c r="AE52" s="366">
        <v>27971.601855651941</v>
      </c>
      <c r="AF52" s="366">
        <v>27802.199825181113</v>
      </c>
      <c r="AG52" s="366">
        <v>27099.385255316676</v>
      </c>
      <c r="AH52" s="366">
        <v>26654.534308885068</v>
      </c>
      <c r="AI52" s="366">
        <v>26763.722033667782</v>
      </c>
      <c r="AJ52" s="366">
        <v>27765.909976807208</v>
      </c>
      <c r="AK52" s="366">
        <v>28108.858996274146</v>
      </c>
    </row>
    <row r="53" spans="1:37" x14ac:dyDescent="0.3">
      <c r="A53" s="366"/>
      <c r="B53" s="366" t="s">
        <v>341</v>
      </c>
      <c r="C53" s="366">
        <v>30134.810820912</v>
      </c>
      <c r="D53" s="366">
        <v>38628.396933158576</v>
      </c>
      <c r="E53" s="366">
        <v>42325.946498777448</v>
      </c>
      <c r="F53" s="366">
        <v>45658.361411356724</v>
      </c>
      <c r="G53" s="366">
        <v>48476.700606778213</v>
      </c>
      <c r="H53" s="366">
        <v>51641.6096246577</v>
      </c>
      <c r="I53" s="366">
        <v>54021.931178445724</v>
      </c>
      <c r="J53" s="366">
        <v>57207.755441435562</v>
      </c>
      <c r="K53" s="366">
        <v>59650.79278443753</v>
      </c>
      <c r="L53" s="366"/>
      <c r="M53" s="366"/>
      <c r="N53" s="366"/>
      <c r="O53" s="366" t="s">
        <v>341</v>
      </c>
      <c r="P53" s="366">
        <v>30134.810820912</v>
      </c>
      <c r="Q53" s="366">
        <v>36715.813214779038</v>
      </c>
      <c r="R53" s="366">
        <v>38027.580614400445</v>
      </c>
      <c r="S53" s="366">
        <v>38920.57331814403</v>
      </c>
      <c r="T53" s="366">
        <v>39971.568893817392</v>
      </c>
      <c r="U53" s="366">
        <v>42054.296409981907</v>
      </c>
      <c r="V53" s="366">
        <v>43576.539341814576</v>
      </c>
      <c r="W53" s="366">
        <v>45456.037042605953</v>
      </c>
      <c r="X53" s="366">
        <v>47640.324939313738</v>
      </c>
      <c r="Y53" s="366"/>
      <c r="Z53" s="366"/>
      <c r="AA53" s="366"/>
      <c r="AB53" s="366" t="s">
        <v>341</v>
      </c>
      <c r="AC53" s="366">
        <v>30134.810820912</v>
      </c>
      <c r="AD53" s="366">
        <v>33886.588709316653</v>
      </c>
      <c r="AE53" s="366">
        <v>34971.006074372825</v>
      </c>
      <c r="AF53" s="366">
        <v>36122.988987739489</v>
      </c>
      <c r="AG53" s="366">
        <v>37088.892573130957</v>
      </c>
      <c r="AH53" s="366">
        <v>37824.20784290084</v>
      </c>
      <c r="AI53" s="366">
        <v>39376.612047871968</v>
      </c>
      <c r="AJ53" s="366">
        <v>41728.927351580802</v>
      </c>
      <c r="AK53" s="366">
        <v>45899.336458001948</v>
      </c>
    </row>
    <row r="54" spans="1:37" x14ac:dyDescent="0.3">
      <c r="A54" s="366"/>
      <c r="B54" s="366" t="s">
        <v>694</v>
      </c>
      <c r="C54" s="366">
        <v>5164.3284955559993</v>
      </c>
      <c r="D54" s="366">
        <v>7895.7154024537558</v>
      </c>
      <c r="E54" s="366">
        <v>8054.6508964465393</v>
      </c>
      <c r="F54" s="366">
        <v>8137.6946237076281</v>
      </c>
      <c r="G54" s="366">
        <v>8015.4083730652155</v>
      </c>
      <c r="H54" s="366">
        <v>8387.6463432328055</v>
      </c>
      <c r="I54" s="366">
        <v>8505.9923996653488</v>
      </c>
      <c r="J54" s="366">
        <v>8739.5326474992999</v>
      </c>
      <c r="K54" s="366">
        <v>8842.2734707841737</v>
      </c>
      <c r="L54" s="366"/>
      <c r="M54" s="366"/>
      <c r="N54" s="366"/>
      <c r="O54" s="366" t="s">
        <v>694</v>
      </c>
      <c r="P54" s="366">
        <v>5164.3284955559993</v>
      </c>
      <c r="Q54" s="366">
        <v>6806.1749895003795</v>
      </c>
      <c r="R54" s="366">
        <v>6296.9356637727124</v>
      </c>
      <c r="S54" s="366">
        <v>5985.5955896086562</v>
      </c>
      <c r="T54" s="366">
        <v>5526.6887196755606</v>
      </c>
      <c r="U54" s="366">
        <v>5900.0386340913728</v>
      </c>
      <c r="V54" s="366">
        <v>5746.4399764219434</v>
      </c>
      <c r="W54" s="366">
        <v>5991.473335846872</v>
      </c>
      <c r="X54" s="366">
        <v>6250.9420472193879</v>
      </c>
      <c r="Y54" s="366"/>
      <c r="Z54" s="366"/>
      <c r="AA54" s="366"/>
      <c r="AB54" s="366" t="s">
        <v>694</v>
      </c>
      <c r="AC54" s="366">
        <v>5164.3284955559993</v>
      </c>
      <c r="AD54" s="366">
        <v>6730.8210251766714</v>
      </c>
      <c r="AE54" s="366">
        <v>6098.3552040426539</v>
      </c>
      <c r="AF54" s="366">
        <v>5813.2419483112353</v>
      </c>
      <c r="AG54" s="366">
        <v>5153.87117081201</v>
      </c>
      <c r="AH54" s="366">
        <v>5176.7613313841221</v>
      </c>
      <c r="AI54" s="366">
        <v>5071.5673559927309</v>
      </c>
      <c r="AJ54" s="366">
        <v>5407.5955465458928</v>
      </c>
      <c r="AK54" s="366">
        <v>5936.6060405232492</v>
      </c>
    </row>
    <row r="55" spans="1:37" x14ac:dyDescent="0.3">
      <c r="A55" s="366"/>
      <c r="B55" s="366" t="s">
        <v>512</v>
      </c>
      <c r="C55" s="366">
        <v>7954.318398708001</v>
      </c>
      <c r="D55" s="366">
        <v>9925.8808322557434</v>
      </c>
      <c r="E55" s="366">
        <v>11115.92615833486</v>
      </c>
      <c r="F55" s="366">
        <v>12530.810058272256</v>
      </c>
      <c r="G55" s="366">
        <v>13839.666256635011</v>
      </c>
      <c r="H55" s="366">
        <v>15653.38045811518</v>
      </c>
      <c r="I55" s="366">
        <v>17173.140303486813</v>
      </c>
      <c r="J55" s="366">
        <v>19397.208502024045</v>
      </c>
      <c r="K55" s="366">
        <v>21936.298883553718</v>
      </c>
      <c r="L55" s="366"/>
      <c r="M55" s="366"/>
      <c r="N55" s="366"/>
      <c r="O55" s="366" t="s">
        <v>512</v>
      </c>
      <c r="P55" s="366">
        <v>7954.318398708001</v>
      </c>
      <c r="Q55" s="366">
        <v>9414.1905015836983</v>
      </c>
      <c r="R55" s="366">
        <v>10266.579695800852</v>
      </c>
      <c r="S55" s="366">
        <v>11348.957318292318</v>
      </c>
      <c r="T55" s="366">
        <v>12724.166233591901</v>
      </c>
      <c r="U55" s="366">
        <v>14277.295370098363</v>
      </c>
      <c r="V55" s="366">
        <v>15991.465777001868</v>
      </c>
      <c r="W55" s="366">
        <v>17851.909021162108</v>
      </c>
      <c r="X55" s="366">
        <v>20788.705040559456</v>
      </c>
      <c r="Y55" s="366"/>
      <c r="Z55" s="366"/>
      <c r="AA55" s="366"/>
      <c r="AB55" s="366" t="s">
        <v>512</v>
      </c>
      <c r="AC55" s="366">
        <v>7954.318398708001</v>
      </c>
      <c r="AD55" s="366">
        <v>10980.000294416599</v>
      </c>
      <c r="AE55" s="366">
        <v>12739.955787284291</v>
      </c>
      <c r="AF55" s="366">
        <v>14304.145107595492</v>
      </c>
      <c r="AG55" s="366">
        <v>15669.241298027411</v>
      </c>
      <c r="AH55" s="366">
        <v>17425.637159625108</v>
      </c>
      <c r="AI55" s="366">
        <v>19764.132405558259</v>
      </c>
      <c r="AJ55" s="366">
        <v>21694.008728792556</v>
      </c>
      <c r="AK55" s="366">
        <v>24411.742824472745</v>
      </c>
    </row>
    <row r="56" spans="1:37" x14ac:dyDescent="0.3">
      <c r="A56" s="366"/>
      <c r="B56" s="366" t="s">
        <v>326</v>
      </c>
      <c r="C56" s="366">
        <v>0</v>
      </c>
      <c r="D56" s="366">
        <v>0</v>
      </c>
      <c r="E56" s="366">
        <v>0</v>
      </c>
      <c r="F56" s="366">
        <v>0</v>
      </c>
      <c r="G56" s="366">
        <v>0</v>
      </c>
      <c r="H56" s="366">
        <v>0</v>
      </c>
      <c r="I56" s="366">
        <v>0</v>
      </c>
      <c r="J56" s="366">
        <v>0</v>
      </c>
      <c r="K56" s="366">
        <v>0</v>
      </c>
      <c r="L56" s="366"/>
      <c r="M56" s="366"/>
      <c r="N56" s="366"/>
      <c r="O56" s="366" t="s">
        <v>326</v>
      </c>
      <c r="P56" s="366">
        <v>0</v>
      </c>
      <c r="Q56" s="366">
        <v>0</v>
      </c>
      <c r="R56" s="366">
        <v>0</v>
      </c>
      <c r="S56" s="366">
        <v>0</v>
      </c>
      <c r="T56" s="366">
        <v>0</v>
      </c>
      <c r="U56" s="366">
        <v>0</v>
      </c>
      <c r="V56" s="366">
        <v>0</v>
      </c>
      <c r="W56" s="366">
        <v>0</v>
      </c>
      <c r="X56" s="366">
        <v>0</v>
      </c>
      <c r="Y56" s="366"/>
      <c r="Z56" s="366"/>
      <c r="AA56" s="366"/>
      <c r="AB56" s="366" t="s">
        <v>326</v>
      </c>
      <c r="AC56" s="366">
        <v>0</v>
      </c>
      <c r="AD56" s="366">
        <v>0</v>
      </c>
      <c r="AE56" s="366">
        <v>0</v>
      </c>
      <c r="AF56" s="366">
        <v>0</v>
      </c>
      <c r="AG56" s="366">
        <v>0</v>
      </c>
      <c r="AH56" s="366">
        <v>0</v>
      </c>
      <c r="AI56" s="366">
        <v>0</v>
      </c>
      <c r="AJ56" s="366">
        <v>0</v>
      </c>
      <c r="AK56" s="366">
        <v>0</v>
      </c>
    </row>
    <row r="57" spans="1:37" x14ac:dyDescent="0.3">
      <c r="A57" s="366"/>
      <c r="B57" s="366" t="s">
        <v>258</v>
      </c>
      <c r="C57" s="366">
        <v>32.617767816000004</v>
      </c>
      <c r="D57" s="366">
        <v>172.48314521305716</v>
      </c>
      <c r="E57" s="366">
        <v>379.39866663211041</v>
      </c>
      <c r="F57" s="366">
        <v>667.5350670675906</v>
      </c>
      <c r="G57" s="366">
        <v>1382.0093430320269</v>
      </c>
      <c r="H57" s="366">
        <v>1904.7424278178328</v>
      </c>
      <c r="I57" s="366">
        <v>1011.9588525750777</v>
      </c>
      <c r="J57" s="366">
        <v>1596.8303590638066</v>
      </c>
      <c r="K57" s="366">
        <v>1622.6332858890305</v>
      </c>
      <c r="L57" s="366"/>
      <c r="M57" s="366"/>
      <c r="N57" s="366"/>
      <c r="O57" s="366" t="s">
        <v>258</v>
      </c>
      <c r="P57" s="366">
        <v>32.617767816000004</v>
      </c>
      <c r="Q57" s="366">
        <v>283.48254095354525</v>
      </c>
      <c r="R57" s="366">
        <v>595.23385642780693</v>
      </c>
      <c r="S57" s="366">
        <v>909.90341856082273</v>
      </c>
      <c r="T57" s="366">
        <v>1183.8833060166846</v>
      </c>
      <c r="U57" s="366">
        <v>1640.3485357365394</v>
      </c>
      <c r="V57" s="366">
        <v>1942.5897497554238</v>
      </c>
      <c r="W57" s="366">
        <v>2232.5952642388229</v>
      </c>
      <c r="X57" s="366">
        <v>2512.8625219079113</v>
      </c>
      <c r="Y57" s="366"/>
      <c r="Z57" s="366"/>
      <c r="AA57" s="366"/>
      <c r="AB57" s="366" t="s">
        <v>258</v>
      </c>
      <c r="AC57" s="366">
        <v>32.617767816000004</v>
      </c>
      <c r="AD57" s="366">
        <v>652.30879952783255</v>
      </c>
      <c r="AE57" s="366">
        <v>1415.9612513613483</v>
      </c>
      <c r="AF57" s="366">
        <v>2139.2696889648942</v>
      </c>
      <c r="AG57" s="366">
        <v>2760.621130991532</v>
      </c>
      <c r="AH57" s="366">
        <v>3235.8000082356266</v>
      </c>
      <c r="AI57" s="366">
        <v>3570.2357860563316</v>
      </c>
      <c r="AJ57" s="366">
        <v>4033.2073870279191</v>
      </c>
      <c r="AK57" s="366">
        <v>4366.1298161111972</v>
      </c>
    </row>
    <row r="58" spans="1:37" x14ac:dyDescent="0.3">
      <c r="A58" s="366"/>
      <c r="B58" s="367" t="s">
        <v>690</v>
      </c>
      <c r="C58" s="367">
        <v>129057.379948608</v>
      </c>
      <c r="D58" s="367">
        <v>155717.95548975185</v>
      </c>
      <c r="E58" s="367">
        <v>164311.79315338237</v>
      </c>
      <c r="F58" s="367">
        <v>173380.61755775771</v>
      </c>
      <c r="G58" s="367">
        <v>181936.8244654584</v>
      </c>
      <c r="H58" s="367">
        <v>188444.65427725736</v>
      </c>
      <c r="I58" s="367">
        <v>193403.53378195962</v>
      </c>
      <c r="J58" s="367">
        <v>199402.21489156815</v>
      </c>
      <c r="K58" s="367">
        <v>205031.03586673862</v>
      </c>
      <c r="L58" s="366"/>
      <c r="M58" s="366"/>
      <c r="N58" s="366"/>
      <c r="O58" s="367" t="s">
        <v>690</v>
      </c>
      <c r="P58" s="367">
        <v>129057.379948608</v>
      </c>
      <c r="Q58" s="367">
        <v>142000.22209089657</v>
      </c>
      <c r="R58" s="367">
        <v>138924.76161223234</v>
      </c>
      <c r="S58" s="367">
        <v>137187.75970423879</v>
      </c>
      <c r="T58" s="367">
        <v>134515.91785810899</v>
      </c>
      <c r="U58" s="367">
        <v>134110.54908010073</v>
      </c>
      <c r="V58" s="367">
        <v>133883.29457474925</v>
      </c>
      <c r="W58" s="367">
        <v>135866.88199460559</v>
      </c>
      <c r="X58" s="367">
        <v>139148.1883897396</v>
      </c>
      <c r="Y58" s="366"/>
      <c r="Z58" s="366"/>
      <c r="AA58" s="366"/>
      <c r="AB58" s="367" t="s">
        <v>690</v>
      </c>
      <c r="AC58" s="367">
        <v>129057.379948608</v>
      </c>
      <c r="AD58" s="367">
        <v>129619.13409092286</v>
      </c>
      <c r="AE58" s="367">
        <v>126271.5820919385</v>
      </c>
      <c r="AF58" s="367">
        <v>125943.6480168018</v>
      </c>
      <c r="AG58" s="367">
        <v>124707.91131637474</v>
      </c>
      <c r="AH58" s="367">
        <v>123935.19229208486</v>
      </c>
      <c r="AI58" s="367">
        <v>125286.86171442895</v>
      </c>
      <c r="AJ58" s="367">
        <v>128845.17193616147</v>
      </c>
      <c r="AK58" s="367">
        <v>133427.34887478841</v>
      </c>
    </row>
    <row r="59" spans="1:37" x14ac:dyDescent="0.3">
      <c r="A59" s="366"/>
      <c r="B59" s="366"/>
      <c r="C59" s="366"/>
      <c r="D59" s="366"/>
      <c r="E59" s="366"/>
      <c r="F59" s="366"/>
      <c r="G59" s="366"/>
      <c r="H59" s="366"/>
      <c r="I59" s="366"/>
      <c r="J59" s="366"/>
      <c r="K59" s="366"/>
      <c r="L59" s="366"/>
      <c r="M59" s="366"/>
      <c r="N59" s="366"/>
      <c r="O59" s="366"/>
      <c r="P59" s="366"/>
      <c r="Q59" s="366"/>
      <c r="R59" s="366"/>
      <c r="S59" s="366"/>
      <c r="T59" s="366"/>
      <c r="U59" s="366"/>
      <c r="V59" s="366"/>
      <c r="W59" s="366"/>
      <c r="X59" s="366"/>
      <c r="Y59" s="366"/>
      <c r="Z59" s="366"/>
      <c r="AA59" s="366"/>
      <c r="AB59" s="366"/>
      <c r="AC59" s="366"/>
      <c r="AD59" s="366"/>
      <c r="AE59" s="366"/>
      <c r="AF59" s="366"/>
      <c r="AG59" s="366"/>
      <c r="AH59" s="366"/>
      <c r="AI59" s="366"/>
      <c r="AJ59" s="366"/>
      <c r="AK59" s="366"/>
    </row>
    <row r="60" spans="1:37" x14ac:dyDescent="0.3">
      <c r="A60" s="363" t="s">
        <v>696</v>
      </c>
      <c r="B60" s="364"/>
      <c r="C60" s="364"/>
      <c r="D60" s="364"/>
      <c r="E60" s="364"/>
      <c r="F60" s="364"/>
      <c r="G60" s="364"/>
      <c r="H60" s="364"/>
      <c r="I60" s="364"/>
      <c r="J60" s="364"/>
      <c r="K60" s="364"/>
      <c r="L60" s="363"/>
      <c r="M60" s="365"/>
      <c r="N60" s="363" t="s">
        <v>696</v>
      </c>
      <c r="O60" s="364"/>
      <c r="P60" s="364"/>
      <c r="Q60" s="364"/>
      <c r="R60" s="364"/>
      <c r="S60" s="364"/>
      <c r="T60" s="364"/>
      <c r="U60" s="364"/>
      <c r="V60" s="364"/>
      <c r="W60" s="364"/>
      <c r="X60" s="364"/>
      <c r="Y60" s="363"/>
      <c r="Z60" s="365"/>
      <c r="AA60" s="363" t="s">
        <v>696</v>
      </c>
      <c r="AB60" s="364"/>
      <c r="AC60" s="364"/>
      <c r="AD60" s="364"/>
      <c r="AE60" s="364"/>
      <c r="AF60" s="364"/>
      <c r="AG60" s="364"/>
      <c r="AH60" s="364"/>
      <c r="AI60" s="364"/>
      <c r="AJ60" s="364"/>
      <c r="AK60" s="364"/>
    </row>
    <row r="61" spans="1:37" x14ac:dyDescent="0.3">
      <c r="A61" s="366"/>
      <c r="B61" s="367" t="s">
        <v>690</v>
      </c>
      <c r="C61" s="367">
        <v>34646.622306876001</v>
      </c>
      <c r="D61" s="367">
        <v>41117.021703069222</v>
      </c>
      <c r="E61" s="367">
        <v>44123.678634679993</v>
      </c>
      <c r="F61" s="367">
        <v>46463.574370934533</v>
      </c>
      <c r="G61" s="367">
        <v>48276.70974664855</v>
      </c>
      <c r="H61" s="367">
        <v>50097.325563560575</v>
      </c>
      <c r="I61" s="367">
        <v>53515.744366849933</v>
      </c>
      <c r="J61" s="367">
        <v>56221.230488132664</v>
      </c>
      <c r="K61" s="367">
        <v>59640.527407151028</v>
      </c>
      <c r="L61" s="366"/>
      <c r="M61" s="366"/>
      <c r="N61" s="366"/>
      <c r="O61" s="367" t="s">
        <v>690</v>
      </c>
      <c r="P61" s="367">
        <v>34646.622306876001</v>
      </c>
      <c r="Q61" s="367">
        <v>40867.512469145455</v>
      </c>
      <c r="R61" s="367">
        <v>42834.466728837986</v>
      </c>
      <c r="S61" s="367">
        <v>44476.47406370828</v>
      </c>
      <c r="T61" s="367">
        <v>46115.233448927735</v>
      </c>
      <c r="U61" s="367">
        <v>46507.700764964306</v>
      </c>
      <c r="V61" s="367">
        <v>46885.384604123334</v>
      </c>
      <c r="W61" s="367">
        <v>47882.088770304021</v>
      </c>
      <c r="X61" s="367">
        <v>49603.179248617453</v>
      </c>
      <c r="Y61" s="366"/>
      <c r="Z61" s="366"/>
      <c r="AA61" s="366"/>
      <c r="AB61" s="367" t="s">
        <v>690</v>
      </c>
      <c r="AC61" s="367">
        <v>34646.622306876001</v>
      </c>
      <c r="AD61" s="367">
        <v>39830.824729726672</v>
      </c>
      <c r="AE61" s="367">
        <v>42144.795369421132</v>
      </c>
      <c r="AF61" s="367">
        <v>44390.64479379337</v>
      </c>
      <c r="AG61" s="367">
        <v>46051.356926011998</v>
      </c>
      <c r="AH61" s="367">
        <v>46629.435934633831</v>
      </c>
      <c r="AI61" s="367">
        <v>46900.637502673715</v>
      </c>
      <c r="AJ61" s="367">
        <v>47816.073425851995</v>
      </c>
      <c r="AK61" s="367">
        <v>48024.841243282688</v>
      </c>
    </row>
    <row r="62" spans="1:37" x14ac:dyDescent="0.3">
      <c r="A62" s="366"/>
      <c r="B62" s="366"/>
      <c r="C62" s="366"/>
      <c r="D62" s="366"/>
      <c r="E62" s="366"/>
      <c r="F62" s="366"/>
      <c r="G62" s="366"/>
      <c r="H62" s="366"/>
      <c r="I62" s="366"/>
      <c r="J62" s="366"/>
      <c r="K62" s="366"/>
      <c r="L62" s="366"/>
      <c r="M62" s="366"/>
      <c r="N62" s="366"/>
      <c r="O62" s="366"/>
      <c r="P62" s="366"/>
      <c r="Q62" s="366"/>
      <c r="R62" s="366"/>
      <c r="S62" s="366"/>
      <c r="T62" s="366"/>
      <c r="U62" s="366"/>
      <c r="V62" s="366"/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366"/>
      <c r="AI62" s="366"/>
      <c r="AJ62" s="366"/>
      <c r="AK62" s="366"/>
    </row>
    <row r="63" spans="1:37" x14ac:dyDescent="0.3">
      <c r="A63" s="363" t="s">
        <v>697</v>
      </c>
      <c r="B63" s="364"/>
      <c r="C63" s="364"/>
      <c r="D63" s="364"/>
      <c r="E63" s="364"/>
      <c r="F63" s="364"/>
      <c r="G63" s="364"/>
      <c r="H63" s="364"/>
      <c r="I63" s="364"/>
      <c r="J63" s="364"/>
      <c r="K63" s="364"/>
      <c r="L63" s="363"/>
      <c r="M63" s="365"/>
      <c r="N63" s="363" t="s">
        <v>697</v>
      </c>
      <c r="O63" s="364"/>
      <c r="P63" s="364"/>
      <c r="Q63" s="364"/>
      <c r="R63" s="364"/>
      <c r="S63" s="364"/>
      <c r="T63" s="364"/>
      <c r="U63" s="364"/>
      <c r="V63" s="364"/>
      <c r="W63" s="364"/>
      <c r="X63" s="364"/>
      <c r="Y63" s="363"/>
      <c r="Z63" s="365"/>
      <c r="AA63" s="363" t="s">
        <v>697</v>
      </c>
      <c r="AB63" s="364"/>
      <c r="AC63" s="364"/>
      <c r="AD63" s="364"/>
      <c r="AE63" s="364"/>
      <c r="AF63" s="364"/>
      <c r="AG63" s="364"/>
      <c r="AH63" s="364"/>
      <c r="AI63" s="364"/>
      <c r="AJ63" s="364"/>
      <c r="AK63" s="364"/>
    </row>
    <row r="64" spans="1:37" x14ac:dyDescent="0.3">
      <c r="A64" s="366"/>
      <c r="B64" s="366" t="s">
        <v>266</v>
      </c>
      <c r="C64" s="366">
        <v>101570.98527774001</v>
      </c>
      <c r="D64" s="366">
        <v>114706.07707739188</v>
      </c>
      <c r="E64" s="366">
        <v>121521.29876809422</v>
      </c>
      <c r="F64" s="366">
        <v>126096.41618599658</v>
      </c>
      <c r="G64" s="366">
        <v>129791.83327441242</v>
      </c>
      <c r="H64" s="366">
        <v>132226.65714921127</v>
      </c>
      <c r="I64" s="366">
        <v>132443.3247047968</v>
      </c>
      <c r="J64" s="366">
        <v>132886.68887209817</v>
      </c>
      <c r="K64" s="366">
        <v>132233.38037600525</v>
      </c>
      <c r="L64" s="366"/>
      <c r="M64" s="366"/>
      <c r="N64" s="366"/>
      <c r="O64" s="366" t="s">
        <v>266</v>
      </c>
      <c r="P64" s="366">
        <v>101570.98527774001</v>
      </c>
      <c r="Q64" s="366">
        <v>99765.84670639204</v>
      </c>
      <c r="R64" s="366">
        <v>94948.511649366337</v>
      </c>
      <c r="S64" s="366">
        <v>87566.223474133352</v>
      </c>
      <c r="T64" s="366">
        <v>78036.456934351954</v>
      </c>
      <c r="U64" s="366">
        <v>68310.601572814674</v>
      </c>
      <c r="V64" s="366">
        <v>59260.886650954177</v>
      </c>
      <c r="W64" s="366">
        <v>50463.226149620765</v>
      </c>
      <c r="X64" s="366">
        <v>44399.912726259194</v>
      </c>
      <c r="Y64" s="366"/>
      <c r="Z64" s="366"/>
      <c r="AA64" s="366"/>
      <c r="AB64" s="366" t="s">
        <v>266</v>
      </c>
      <c r="AC64" s="366">
        <v>101570.98527774001</v>
      </c>
      <c r="AD64" s="366">
        <v>92939.833498498105</v>
      </c>
      <c r="AE64" s="366">
        <v>82374.042413788979</v>
      </c>
      <c r="AF64" s="366">
        <v>69531.033691722172</v>
      </c>
      <c r="AG64" s="366">
        <v>55435.243284345503</v>
      </c>
      <c r="AH64" s="366">
        <v>43423.457339959976</v>
      </c>
      <c r="AI64" s="366">
        <v>33614.89621364489</v>
      </c>
      <c r="AJ64" s="366">
        <v>24443.344571365193</v>
      </c>
      <c r="AK64" s="366">
        <v>19212.791102006791</v>
      </c>
    </row>
    <row r="65" spans="1:37" x14ac:dyDescent="0.3">
      <c r="A65" s="366"/>
      <c r="B65" s="366" t="s">
        <v>254</v>
      </c>
      <c r="C65" s="366">
        <v>119.92389404400001</v>
      </c>
      <c r="D65" s="366">
        <v>0</v>
      </c>
      <c r="E65" s="366">
        <v>0</v>
      </c>
      <c r="F65" s="366">
        <v>0</v>
      </c>
      <c r="G65" s="366">
        <v>0</v>
      </c>
      <c r="H65" s="366">
        <v>0</v>
      </c>
      <c r="I65" s="366">
        <v>0</v>
      </c>
      <c r="J65" s="366">
        <v>0</v>
      </c>
      <c r="K65" s="366">
        <v>0</v>
      </c>
      <c r="L65" s="366"/>
      <c r="M65" s="366"/>
      <c r="N65" s="366"/>
      <c r="O65" s="366" t="s">
        <v>254</v>
      </c>
      <c r="P65" s="366">
        <v>119.92389404400001</v>
      </c>
      <c r="Q65" s="366">
        <v>0</v>
      </c>
      <c r="R65" s="366">
        <v>0</v>
      </c>
      <c r="S65" s="366">
        <v>0</v>
      </c>
      <c r="T65" s="366">
        <v>0</v>
      </c>
      <c r="U65" s="366">
        <v>0</v>
      </c>
      <c r="V65" s="366">
        <v>0</v>
      </c>
      <c r="W65" s="366">
        <v>0</v>
      </c>
      <c r="X65" s="366">
        <v>0</v>
      </c>
      <c r="Y65" s="366"/>
      <c r="Z65" s="366"/>
      <c r="AA65" s="366"/>
      <c r="AB65" s="366" t="s">
        <v>254</v>
      </c>
      <c r="AC65" s="366">
        <v>119.92389404400001</v>
      </c>
      <c r="AD65" s="366">
        <v>0</v>
      </c>
      <c r="AE65" s="366">
        <v>0</v>
      </c>
      <c r="AF65" s="366">
        <v>0</v>
      </c>
      <c r="AG65" s="366">
        <v>0</v>
      </c>
      <c r="AH65" s="366">
        <v>0</v>
      </c>
      <c r="AI65" s="366">
        <v>0</v>
      </c>
      <c r="AJ65" s="366">
        <v>0</v>
      </c>
      <c r="AK65" s="366">
        <v>0</v>
      </c>
    </row>
    <row r="66" spans="1:37" x14ac:dyDescent="0.3">
      <c r="A66" s="366"/>
      <c r="B66" s="366" t="s">
        <v>510</v>
      </c>
      <c r="C66" s="366">
        <v>1628.971757496</v>
      </c>
      <c r="D66" s="366">
        <v>4658.8486601580144</v>
      </c>
      <c r="E66" s="366">
        <v>5084.3252985856116</v>
      </c>
      <c r="F66" s="366">
        <v>5850.1613194209585</v>
      </c>
      <c r="G66" s="366">
        <v>6740.2062915395009</v>
      </c>
      <c r="H66" s="366">
        <v>7613.1285502965738</v>
      </c>
      <c r="I66" s="366">
        <v>8297.2885283169471</v>
      </c>
      <c r="J66" s="366">
        <v>8674.3459511677411</v>
      </c>
      <c r="K66" s="366">
        <v>8962.5739523085776</v>
      </c>
      <c r="L66" s="366"/>
      <c r="M66" s="366"/>
      <c r="N66" s="366"/>
      <c r="O66" s="366" t="s">
        <v>510</v>
      </c>
      <c r="P66" s="366">
        <v>1628.971757496</v>
      </c>
      <c r="Q66" s="366">
        <v>3324.8498369297863</v>
      </c>
      <c r="R66" s="366">
        <v>2163.0295142892282</v>
      </c>
      <c r="S66" s="366">
        <v>1049.3399390885418</v>
      </c>
      <c r="T66" s="366">
        <v>389.06107136600053</v>
      </c>
      <c r="U66" s="366">
        <v>137.8450606689544</v>
      </c>
      <c r="V66" s="366">
        <v>92.455069869989686</v>
      </c>
      <c r="W66" s="366">
        <v>52.828120046301109</v>
      </c>
      <c r="X66" s="366">
        <v>0.22548281690886401</v>
      </c>
      <c r="Y66" s="366"/>
      <c r="Z66" s="366"/>
      <c r="AA66" s="366"/>
      <c r="AB66" s="366" t="s">
        <v>510</v>
      </c>
      <c r="AC66" s="366">
        <v>1628.971757496</v>
      </c>
      <c r="AD66" s="366">
        <v>3187.4333286521528</v>
      </c>
      <c r="AE66" s="366">
        <v>1919.6168380174647</v>
      </c>
      <c r="AF66" s="366">
        <v>856.51410826144979</v>
      </c>
      <c r="AG66" s="366">
        <v>197.41484841971189</v>
      </c>
      <c r="AH66" s="366">
        <v>72.578632419305038</v>
      </c>
      <c r="AI66" s="366">
        <v>41.861517649943103</v>
      </c>
      <c r="AJ66" s="366">
        <v>1.9491871706340016</v>
      </c>
      <c r="AK66" s="366">
        <v>1.6068943390514651E-4</v>
      </c>
    </row>
    <row r="67" spans="1:37" x14ac:dyDescent="0.3">
      <c r="A67" s="366"/>
      <c r="B67" s="366" t="s">
        <v>341</v>
      </c>
      <c r="C67" s="366">
        <v>976.240091592</v>
      </c>
      <c r="D67" s="366">
        <v>1870.4421994878776</v>
      </c>
      <c r="E67" s="366">
        <v>2492.248295316962</v>
      </c>
      <c r="F67" s="366">
        <v>3290.0303681114524</v>
      </c>
      <c r="G67" s="366">
        <v>4117.9707256523307</v>
      </c>
      <c r="H67" s="366">
        <v>5097.515268107567</v>
      </c>
      <c r="I67" s="366">
        <v>6638.0221518265007</v>
      </c>
      <c r="J67" s="366">
        <v>8406.8228066088086</v>
      </c>
      <c r="K67" s="366">
        <v>10360.361717220389</v>
      </c>
      <c r="L67" s="366"/>
      <c r="M67" s="366"/>
      <c r="N67" s="366"/>
      <c r="O67" s="366" t="s">
        <v>341</v>
      </c>
      <c r="P67" s="366">
        <v>976.240091592</v>
      </c>
      <c r="Q67" s="366">
        <v>2911.8556844077921</v>
      </c>
      <c r="R67" s="366">
        <v>4597.5933931384779</v>
      </c>
      <c r="S67" s="366">
        <v>6666.6004185706333</v>
      </c>
      <c r="T67" s="366">
        <v>9068.8216944528067</v>
      </c>
      <c r="U67" s="366">
        <v>12156.77881269858</v>
      </c>
      <c r="V67" s="366">
        <v>16310.574996201516</v>
      </c>
      <c r="W67" s="366">
        <v>21065.962865528141</v>
      </c>
      <c r="X67" s="366">
        <v>26755.21809980099</v>
      </c>
      <c r="Y67" s="366"/>
      <c r="Z67" s="366"/>
      <c r="AA67" s="366"/>
      <c r="AB67" s="366" t="s">
        <v>341</v>
      </c>
      <c r="AC67" s="366">
        <v>976.240091592</v>
      </c>
      <c r="AD67" s="366">
        <v>3323.0832655602358</v>
      </c>
      <c r="AE67" s="366">
        <v>5701.799654245031</v>
      </c>
      <c r="AF67" s="366">
        <v>8995.61123508727</v>
      </c>
      <c r="AG67" s="366">
        <v>13468.000189776831</v>
      </c>
      <c r="AH67" s="366">
        <v>18970.418315915573</v>
      </c>
      <c r="AI67" s="366">
        <v>25421.248232943497</v>
      </c>
      <c r="AJ67" s="366">
        <v>31919.861751491302</v>
      </c>
      <c r="AK67" s="366">
        <v>37607.390568993294</v>
      </c>
    </row>
    <row r="68" spans="1:37" x14ac:dyDescent="0.3">
      <c r="A68" s="366"/>
      <c r="B68" s="366" t="s">
        <v>698</v>
      </c>
      <c r="C68" s="366">
        <v>3090.1167674280005</v>
      </c>
      <c r="D68" s="366">
        <v>5009.1613953774586</v>
      </c>
      <c r="E68" s="366">
        <v>6027.1479335833865</v>
      </c>
      <c r="F68" s="366">
        <v>7755.496293838055</v>
      </c>
      <c r="G68" s="366">
        <v>9415.9099369123942</v>
      </c>
      <c r="H68" s="366">
        <v>11003.822667758091</v>
      </c>
      <c r="I68" s="366">
        <v>12127.430115859395</v>
      </c>
      <c r="J68" s="366">
        <v>12490.684299930072</v>
      </c>
      <c r="K68" s="366">
        <v>12709.828434112527</v>
      </c>
      <c r="L68" s="366"/>
      <c r="M68" s="366"/>
      <c r="N68" s="366"/>
      <c r="O68" s="366" t="s">
        <v>698</v>
      </c>
      <c r="P68" s="366">
        <v>3090.1167674280005</v>
      </c>
      <c r="Q68" s="366">
        <v>7066.322315092094</v>
      </c>
      <c r="R68" s="366">
        <v>9956.6587501034392</v>
      </c>
      <c r="S68" s="366">
        <v>13932.946357265586</v>
      </c>
      <c r="T68" s="366">
        <v>18828.760937093572</v>
      </c>
      <c r="U68" s="366">
        <v>23234.562293797873</v>
      </c>
      <c r="V68" s="366">
        <v>25984.889303947421</v>
      </c>
      <c r="W68" s="366">
        <v>29405.419236041922</v>
      </c>
      <c r="X68" s="366">
        <v>29612.702844998134</v>
      </c>
      <c r="Y68" s="366"/>
      <c r="Z68" s="366"/>
      <c r="AA68" s="366"/>
      <c r="AB68" s="366" t="s">
        <v>698</v>
      </c>
      <c r="AC68" s="366">
        <v>3090.1167674280005</v>
      </c>
      <c r="AD68" s="366">
        <v>7896.8933058712937</v>
      </c>
      <c r="AE68" s="366">
        <v>10765.303883310982</v>
      </c>
      <c r="AF68" s="366">
        <v>14114.224924911323</v>
      </c>
      <c r="AG68" s="366">
        <v>17660.517997039293</v>
      </c>
      <c r="AH68" s="366">
        <v>20893.348096090085</v>
      </c>
      <c r="AI68" s="366">
        <v>22095.507836935361</v>
      </c>
      <c r="AJ68" s="366">
        <v>23604.656086262214</v>
      </c>
      <c r="AK68" s="366">
        <v>23814.085688447663</v>
      </c>
    </row>
    <row r="69" spans="1:37" x14ac:dyDescent="0.3">
      <c r="A69" s="366"/>
      <c r="B69" s="366" t="s">
        <v>326</v>
      </c>
      <c r="C69" s="366">
        <v>0</v>
      </c>
      <c r="D69" s="366">
        <v>5.5821700119025355</v>
      </c>
      <c r="E69" s="366">
        <v>14.027252823030224</v>
      </c>
      <c r="F69" s="366">
        <v>25.462732105835521</v>
      </c>
      <c r="G69" s="366">
        <v>35.915940747429161</v>
      </c>
      <c r="H69" s="366">
        <v>47.777959528919155</v>
      </c>
      <c r="I69" s="366">
        <v>66.098318847191223</v>
      </c>
      <c r="J69" s="366">
        <v>91.669110060198108</v>
      </c>
      <c r="K69" s="366">
        <v>120.03248684099232</v>
      </c>
      <c r="L69" s="366"/>
      <c r="M69" s="366"/>
      <c r="N69" s="366"/>
      <c r="O69" s="366" t="s">
        <v>326</v>
      </c>
      <c r="P69" s="366">
        <v>0</v>
      </c>
      <c r="Q69" s="366">
        <v>53.230146040528837</v>
      </c>
      <c r="R69" s="366">
        <v>116.94187245951748</v>
      </c>
      <c r="S69" s="366">
        <v>191.17825963793504</v>
      </c>
      <c r="T69" s="366">
        <v>259.26061165372749</v>
      </c>
      <c r="U69" s="366">
        <v>333.81720551033436</v>
      </c>
      <c r="V69" s="366">
        <v>417.7015109858022</v>
      </c>
      <c r="W69" s="366">
        <v>504.67694407570974</v>
      </c>
      <c r="X69" s="366">
        <v>593.62579736372493</v>
      </c>
      <c r="Y69" s="366"/>
      <c r="Z69" s="366"/>
      <c r="AA69" s="366"/>
      <c r="AB69" s="366" t="s">
        <v>326</v>
      </c>
      <c r="AC69" s="366">
        <v>0</v>
      </c>
      <c r="AD69" s="366">
        <v>66.552014436706088</v>
      </c>
      <c r="AE69" s="366">
        <v>151.65413499956802</v>
      </c>
      <c r="AF69" s="366">
        <v>254.91818577440949</v>
      </c>
      <c r="AG69" s="366">
        <v>364.85480396439903</v>
      </c>
      <c r="AH69" s="366">
        <v>497.69521862416963</v>
      </c>
      <c r="AI69" s="366">
        <v>639.51289027828591</v>
      </c>
      <c r="AJ69" s="366">
        <v>760.33197528412927</v>
      </c>
      <c r="AK69" s="366">
        <v>851.69649528042407</v>
      </c>
    </row>
    <row r="70" spans="1:37" x14ac:dyDescent="0.3">
      <c r="A70" s="367"/>
      <c r="B70" s="367" t="s">
        <v>690</v>
      </c>
      <c r="C70" s="367">
        <v>107386.2377883</v>
      </c>
      <c r="D70" s="367">
        <v>126250.11150242713</v>
      </c>
      <c r="E70" s="367">
        <v>135139.04754840321</v>
      </c>
      <c r="F70" s="367">
        <v>143017.56689947288</v>
      </c>
      <c r="G70" s="367">
        <v>150101.83616926405</v>
      </c>
      <c r="H70" s="367">
        <v>155988.90159490242</v>
      </c>
      <c r="I70" s="367">
        <v>159572.16381964684</v>
      </c>
      <c r="J70" s="367">
        <v>162550.21103986498</v>
      </c>
      <c r="K70" s="367">
        <v>164386.17696648775</v>
      </c>
      <c r="L70" s="367"/>
      <c r="M70" s="367"/>
      <c r="N70" s="367"/>
      <c r="O70" s="367" t="s">
        <v>690</v>
      </c>
      <c r="P70" s="367">
        <v>107386.2377883</v>
      </c>
      <c r="Q70" s="367">
        <v>113122.10468886225</v>
      </c>
      <c r="R70" s="367">
        <v>111782.735179357</v>
      </c>
      <c r="S70" s="367">
        <v>109406.28844869605</v>
      </c>
      <c r="T70" s="367">
        <v>106582.36124891805</v>
      </c>
      <c r="U70" s="367">
        <v>104173.60494549043</v>
      </c>
      <c r="V70" s="367">
        <v>102066.50753195891</v>
      </c>
      <c r="W70" s="367">
        <v>101492.11331531283</v>
      </c>
      <c r="X70" s="367">
        <v>101361.68495123895</v>
      </c>
      <c r="Y70" s="367"/>
      <c r="Z70" s="367"/>
      <c r="AA70" s="367"/>
      <c r="AB70" s="367" t="s">
        <v>690</v>
      </c>
      <c r="AC70" s="367">
        <v>107386.2377883</v>
      </c>
      <c r="AD70" s="367">
        <v>107413.79541301851</v>
      </c>
      <c r="AE70" s="367">
        <v>100912.41692436203</v>
      </c>
      <c r="AF70" s="367">
        <v>93752.302145756621</v>
      </c>
      <c r="AG70" s="367">
        <v>87126.031123545734</v>
      </c>
      <c r="AH70" s="367">
        <v>83857.497603009106</v>
      </c>
      <c r="AI70" s="367">
        <v>81813.026691451974</v>
      </c>
      <c r="AJ70" s="367">
        <v>80730.14357157347</v>
      </c>
      <c r="AK70" s="367">
        <v>81485.964015417616</v>
      </c>
    </row>
    <row r="71" spans="1:37" x14ac:dyDescent="0.3">
      <c r="A71" s="366"/>
      <c r="B71" s="366"/>
      <c r="C71" s="366"/>
      <c r="D71" s="366"/>
      <c r="E71" s="366"/>
      <c r="F71" s="366"/>
      <c r="G71" s="366"/>
      <c r="H71" s="366"/>
      <c r="I71" s="366"/>
      <c r="J71" s="366"/>
      <c r="K71" s="366"/>
      <c r="L71" s="366"/>
      <c r="M71" s="366"/>
      <c r="N71" s="366"/>
      <c r="O71" s="366"/>
      <c r="P71" s="366"/>
      <c r="Q71" s="366"/>
      <c r="R71" s="366"/>
      <c r="S71" s="366"/>
      <c r="T71" s="366"/>
      <c r="U71" s="366"/>
      <c r="V71" s="366"/>
      <c r="W71" s="366"/>
      <c r="X71" s="366"/>
      <c r="Y71" s="366"/>
      <c r="Z71" s="366"/>
      <c r="AA71" s="366"/>
      <c r="AB71" s="366"/>
      <c r="AC71" s="366"/>
      <c r="AD71" s="366"/>
      <c r="AE71" s="366"/>
      <c r="AF71" s="366"/>
      <c r="AG71" s="366"/>
      <c r="AH71" s="366"/>
      <c r="AI71" s="366"/>
      <c r="AJ71" s="366"/>
      <c r="AK71" s="366"/>
    </row>
    <row r="72" spans="1:37" x14ac:dyDescent="0.3">
      <c r="A72" s="363" t="s">
        <v>699</v>
      </c>
      <c r="B72" s="364"/>
      <c r="C72" s="364"/>
      <c r="D72" s="364"/>
      <c r="E72" s="364"/>
      <c r="F72" s="364"/>
      <c r="G72" s="364"/>
      <c r="H72" s="364"/>
      <c r="I72" s="364"/>
      <c r="J72" s="364"/>
      <c r="K72" s="364"/>
      <c r="L72" s="363"/>
      <c r="M72" s="365"/>
      <c r="N72" s="363" t="s">
        <v>699</v>
      </c>
      <c r="O72" s="364"/>
      <c r="P72" s="364"/>
      <c r="Q72" s="364"/>
      <c r="R72" s="364"/>
      <c r="S72" s="364"/>
      <c r="T72" s="364"/>
      <c r="U72" s="364"/>
      <c r="V72" s="364"/>
      <c r="W72" s="364"/>
      <c r="X72" s="364"/>
      <c r="Y72" s="363"/>
      <c r="Z72" s="365"/>
      <c r="AA72" s="363" t="s">
        <v>699</v>
      </c>
      <c r="AB72" s="364"/>
      <c r="AC72" s="364"/>
      <c r="AD72" s="364"/>
      <c r="AE72" s="364"/>
      <c r="AF72" s="364"/>
      <c r="AG72" s="364"/>
      <c r="AH72" s="364"/>
      <c r="AI72" s="364"/>
      <c r="AJ72" s="364"/>
      <c r="AK72" s="364"/>
    </row>
    <row r="73" spans="1:37" x14ac:dyDescent="0.3">
      <c r="A73" s="366"/>
      <c r="B73" s="366" t="s">
        <v>266</v>
      </c>
      <c r="C73" s="366">
        <v>8669.9752402680024</v>
      </c>
      <c r="D73" s="366">
        <v>8186.918632113202</v>
      </c>
      <c r="E73" s="366">
        <v>7345.1373494304189</v>
      </c>
      <c r="F73" s="366">
        <v>6788.4626801042677</v>
      </c>
      <c r="G73" s="366">
        <v>6553.7568376639101</v>
      </c>
      <c r="H73" s="366">
        <v>6344.927912648026</v>
      </c>
      <c r="I73" s="366">
        <v>6044.5231929879674</v>
      </c>
      <c r="J73" s="366">
        <v>5665.7342708697834</v>
      </c>
      <c r="K73" s="366">
        <v>5245.9164783433362</v>
      </c>
      <c r="L73" s="366"/>
      <c r="M73" s="366"/>
      <c r="N73" s="366"/>
      <c r="O73" s="366" t="s">
        <v>266</v>
      </c>
      <c r="P73" s="366">
        <v>8669.9752402680024</v>
      </c>
      <c r="Q73" s="366">
        <v>7620.7091976358288</v>
      </c>
      <c r="R73" s="366">
        <v>6347.8999847894866</v>
      </c>
      <c r="S73" s="366">
        <v>5451.735913236892</v>
      </c>
      <c r="T73" s="366">
        <v>4936.4414827987539</v>
      </c>
      <c r="U73" s="366">
        <v>4523.4998350866681</v>
      </c>
      <c r="V73" s="366">
        <v>4068.7580592067043</v>
      </c>
      <c r="W73" s="366">
        <v>3598.1639683677417</v>
      </c>
      <c r="X73" s="366">
        <v>3190.2208903704955</v>
      </c>
      <c r="Y73" s="366"/>
      <c r="Z73" s="366"/>
      <c r="AA73" s="366"/>
      <c r="AB73" s="366" t="s">
        <v>266</v>
      </c>
      <c r="AC73" s="366">
        <v>8669.9752402680024</v>
      </c>
      <c r="AD73" s="366">
        <v>6142.1242543553017</v>
      </c>
      <c r="AE73" s="366">
        <v>3560.7443280501689</v>
      </c>
      <c r="AF73" s="366">
        <v>2068.4273443579459</v>
      </c>
      <c r="AG73" s="366">
        <v>1349.6458748766017</v>
      </c>
      <c r="AH73" s="366">
        <v>1028.0840677425122</v>
      </c>
      <c r="AI73" s="366">
        <v>803.79580718529371</v>
      </c>
      <c r="AJ73" s="366">
        <v>573.34355996269755</v>
      </c>
      <c r="AK73" s="366">
        <v>382.41753456187701</v>
      </c>
    </row>
    <row r="74" spans="1:37" x14ac:dyDescent="0.3">
      <c r="A74" s="366"/>
      <c r="B74" s="366" t="s">
        <v>254</v>
      </c>
      <c r="C74" s="366">
        <v>4603.1949282959986</v>
      </c>
      <c r="D74" s="366">
        <v>2443.5771086505442</v>
      </c>
      <c r="E74" s="366">
        <v>1917.372466526873</v>
      </c>
      <c r="F74" s="366">
        <v>1570.2883065067647</v>
      </c>
      <c r="G74" s="366">
        <v>1334.4560775946086</v>
      </c>
      <c r="H74" s="366">
        <v>1179.0526680651883</v>
      </c>
      <c r="I74" s="366">
        <v>1004.3199796463722</v>
      </c>
      <c r="J74" s="366">
        <v>822.13826942838045</v>
      </c>
      <c r="K74" s="366">
        <v>637.84847440560441</v>
      </c>
      <c r="L74" s="366"/>
      <c r="M74" s="366"/>
      <c r="N74" s="366"/>
      <c r="O74" s="366" t="s">
        <v>254</v>
      </c>
      <c r="P74" s="366">
        <v>4603.1949282959986</v>
      </c>
      <c r="Q74" s="366">
        <v>2078.0608789066905</v>
      </c>
      <c r="R74" s="366">
        <v>1429.7372114874229</v>
      </c>
      <c r="S74" s="366">
        <v>1098.0260919762225</v>
      </c>
      <c r="T74" s="366">
        <v>843.24699698886161</v>
      </c>
      <c r="U74" s="366">
        <v>639.48916829204222</v>
      </c>
      <c r="V74" s="366">
        <v>439.62127368825946</v>
      </c>
      <c r="W74" s="366">
        <v>287.42253467009357</v>
      </c>
      <c r="X74" s="366">
        <v>193.03309466190228</v>
      </c>
      <c r="Y74" s="366"/>
      <c r="Z74" s="366"/>
      <c r="AA74" s="366"/>
      <c r="AB74" s="366" t="s">
        <v>254</v>
      </c>
      <c r="AC74" s="366">
        <v>4603.1949282959986</v>
      </c>
      <c r="AD74" s="366">
        <v>1657.533878626449</v>
      </c>
      <c r="AE74" s="366">
        <v>768.18791277034006</v>
      </c>
      <c r="AF74" s="366">
        <v>359.19808597177564</v>
      </c>
      <c r="AG74" s="366">
        <v>172.55468418772247</v>
      </c>
      <c r="AH74" s="366">
        <v>111.31532732592225</v>
      </c>
      <c r="AI74" s="366">
        <v>61.811917064687648</v>
      </c>
      <c r="AJ74" s="366">
        <v>33.065313972374852</v>
      </c>
      <c r="AK74" s="366">
        <v>24.079621212623248</v>
      </c>
    </row>
    <row r="75" spans="1:37" x14ac:dyDescent="0.3">
      <c r="A75" s="366"/>
      <c r="B75" s="366" t="s">
        <v>510</v>
      </c>
      <c r="C75" s="366">
        <v>17570.527646724</v>
      </c>
      <c r="D75" s="366">
        <v>19595.244915633833</v>
      </c>
      <c r="E75" s="366">
        <v>20423.875525221811</v>
      </c>
      <c r="F75" s="366">
        <v>20425.55506479559</v>
      </c>
      <c r="G75" s="366">
        <v>20489.183565317886</v>
      </c>
      <c r="H75" s="366">
        <v>20528.197709948465</v>
      </c>
      <c r="I75" s="366">
        <v>20316.600441159862</v>
      </c>
      <c r="J75" s="366">
        <v>19969.653737634704</v>
      </c>
      <c r="K75" s="366">
        <v>19310.847909280004</v>
      </c>
      <c r="L75" s="366"/>
      <c r="M75" s="366"/>
      <c r="N75" s="366"/>
      <c r="O75" s="366" t="s">
        <v>510</v>
      </c>
      <c r="P75" s="366">
        <v>17570.527646724</v>
      </c>
      <c r="Q75" s="366">
        <v>18247.433153789178</v>
      </c>
      <c r="R75" s="366">
        <v>17817.7581493506</v>
      </c>
      <c r="S75" s="366">
        <v>16720.495193795487</v>
      </c>
      <c r="T75" s="366">
        <v>15871.018870182161</v>
      </c>
      <c r="U75" s="366">
        <v>15165.523116253691</v>
      </c>
      <c r="V75" s="366">
        <v>14355.170954082343</v>
      </c>
      <c r="W75" s="366">
        <v>13520.970861410007</v>
      </c>
      <c r="X75" s="366">
        <v>12486.675546839691</v>
      </c>
      <c r="Y75" s="366"/>
      <c r="Z75" s="366"/>
      <c r="AA75" s="366"/>
      <c r="AB75" s="366" t="s">
        <v>510</v>
      </c>
      <c r="AC75" s="366">
        <v>17570.527646724</v>
      </c>
      <c r="AD75" s="366">
        <v>16581.487326101189</v>
      </c>
      <c r="AE75" s="366">
        <v>14527.596230317227</v>
      </c>
      <c r="AF75" s="366">
        <v>11627.611908224164</v>
      </c>
      <c r="AG75" s="366">
        <v>9355.2174440964391</v>
      </c>
      <c r="AH75" s="366">
        <v>7388.3574400262405</v>
      </c>
      <c r="AI75" s="366">
        <v>5530.196363558387</v>
      </c>
      <c r="AJ75" s="366">
        <v>4108.5150493254541</v>
      </c>
      <c r="AK75" s="366">
        <v>3275.3532099115118</v>
      </c>
    </row>
    <row r="76" spans="1:37" x14ac:dyDescent="0.3">
      <c r="A76" s="366"/>
      <c r="B76" s="366" t="s">
        <v>341</v>
      </c>
      <c r="C76" s="366">
        <v>19355.351736312001</v>
      </c>
      <c r="D76" s="366">
        <v>26759.245079208515</v>
      </c>
      <c r="E76" s="366">
        <v>30987.284388360251</v>
      </c>
      <c r="F76" s="366">
        <v>35471.010467900109</v>
      </c>
      <c r="G76" s="366">
        <v>39866.648647702968</v>
      </c>
      <c r="H76" s="366">
        <v>44255.178307297378</v>
      </c>
      <c r="I76" s="366">
        <v>48397.917708525492</v>
      </c>
      <c r="J76" s="366">
        <v>52440.752999453325</v>
      </c>
      <c r="K76" s="366">
        <v>56590.05784533493</v>
      </c>
      <c r="L76" s="366"/>
      <c r="M76" s="366"/>
      <c r="N76" s="366"/>
      <c r="O76" s="366" t="s">
        <v>341</v>
      </c>
      <c r="P76" s="366">
        <v>19355.351736312001</v>
      </c>
      <c r="Q76" s="366">
        <v>25586.56437226633</v>
      </c>
      <c r="R76" s="366">
        <v>28915.217462202156</v>
      </c>
      <c r="S76" s="366">
        <v>32316.798202211867</v>
      </c>
      <c r="T76" s="366">
        <v>35495.131353853889</v>
      </c>
      <c r="U76" s="366">
        <v>38489.589511770901</v>
      </c>
      <c r="V76" s="366">
        <v>41210.744323427105</v>
      </c>
      <c r="W76" s="366">
        <v>43942.062610572335</v>
      </c>
      <c r="X76" s="366">
        <v>46780.626714361613</v>
      </c>
      <c r="Y76" s="366"/>
      <c r="Z76" s="366"/>
      <c r="AA76" s="366"/>
      <c r="AB76" s="366" t="s">
        <v>341</v>
      </c>
      <c r="AC76" s="366">
        <v>19355.351736312001</v>
      </c>
      <c r="AD76" s="366">
        <v>26255.279729168549</v>
      </c>
      <c r="AE76" s="366">
        <v>29753.106334502369</v>
      </c>
      <c r="AF76" s="366">
        <v>33259.119387878854</v>
      </c>
      <c r="AG76" s="366">
        <v>36499.286147439292</v>
      </c>
      <c r="AH76" s="366">
        <v>39375.520960042333</v>
      </c>
      <c r="AI76" s="366">
        <v>41890.313971833675</v>
      </c>
      <c r="AJ76" s="366">
        <v>44302.437471731901</v>
      </c>
      <c r="AK76" s="366">
        <v>46758.144002297689</v>
      </c>
    </row>
    <row r="77" spans="1:37" x14ac:dyDescent="0.3">
      <c r="A77" s="366"/>
      <c r="B77" s="366" t="s">
        <v>694</v>
      </c>
      <c r="C77" s="366">
        <v>4409.1315147960004</v>
      </c>
      <c r="D77" s="366">
        <v>5025.6131141775968</v>
      </c>
      <c r="E77" s="366">
        <v>4721.1466162125844</v>
      </c>
      <c r="F77" s="366">
        <v>4779.5593211206187</v>
      </c>
      <c r="G77" s="366">
        <v>4808.0250951233083</v>
      </c>
      <c r="H77" s="366">
        <v>4766.0838401414148</v>
      </c>
      <c r="I77" s="366">
        <v>4727.4082718108593</v>
      </c>
      <c r="J77" s="366">
        <v>4595.9915387960773</v>
      </c>
      <c r="K77" s="366">
        <v>4450.0684346160015</v>
      </c>
      <c r="L77" s="366"/>
      <c r="M77" s="366"/>
      <c r="N77" s="366"/>
      <c r="O77" s="366" t="s">
        <v>694</v>
      </c>
      <c r="P77" s="366">
        <v>4409.1315147960004</v>
      </c>
      <c r="Q77" s="366">
        <v>4949.3769126415827</v>
      </c>
      <c r="R77" s="366">
        <v>4513.96678451552</v>
      </c>
      <c r="S77" s="366">
        <v>4492.6280868585209</v>
      </c>
      <c r="T77" s="366">
        <v>4464.0556435868657</v>
      </c>
      <c r="U77" s="366">
        <v>4338.742381925279</v>
      </c>
      <c r="V77" s="366">
        <v>4220.4031869022456</v>
      </c>
      <c r="W77" s="366">
        <v>4031.5579456959567</v>
      </c>
      <c r="X77" s="366">
        <v>3835.879958341945</v>
      </c>
      <c r="Y77" s="366"/>
      <c r="Z77" s="366"/>
      <c r="AA77" s="366"/>
      <c r="AB77" s="366" t="s">
        <v>694</v>
      </c>
      <c r="AC77" s="366">
        <v>4409.1315147960004</v>
      </c>
      <c r="AD77" s="366">
        <v>5063.785702709728</v>
      </c>
      <c r="AE77" s="366">
        <v>4896.3367536566593</v>
      </c>
      <c r="AF77" s="366">
        <v>5052.9128712093097</v>
      </c>
      <c r="AG77" s="366">
        <v>5074.8563522995537</v>
      </c>
      <c r="AH77" s="366">
        <v>4984.5311132765273</v>
      </c>
      <c r="AI77" s="366">
        <v>4884.5085460257196</v>
      </c>
      <c r="AJ77" s="366">
        <v>4712.7262836198879</v>
      </c>
      <c r="AK77" s="366">
        <v>4503.2733411070858</v>
      </c>
    </row>
    <row r="78" spans="1:37" x14ac:dyDescent="0.3">
      <c r="A78" s="366"/>
      <c r="B78" s="366" t="s">
        <v>512</v>
      </c>
      <c r="C78" s="366">
        <v>29546.776672080003</v>
      </c>
      <c r="D78" s="366">
        <v>31872.992927757907</v>
      </c>
      <c r="E78" s="366">
        <v>30998.170310086974</v>
      </c>
      <c r="F78" s="366">
        <v>29703.787555661766</v>
      </c>
      <c r="G78" s="366">
        <v>28075.565343080587</v>
      </c>
      <c r="H78" s="366">
        <v>26027.258795597907</v>
      </c>
      <c r="I78" s="366">
        <v>24194.114785595069</v>
      </c>
      <c r="J78" s="366">
        <v>22389.556269851739</v>
      </c>
      <c r="K78" s="366">
        <v>20216.529048886317</v>
      </c>
      <c r="L78" s="366"/>
      <c r="M78" s="366"/>
      <c r="N78" s="366"/>
      <c r="O78" s="366" t="s">
        <v>512</v>
      </c>
      <c r="P78" s="366">
        <v>29546.776672080003</v>
      </c>
      <c r="Q78" s="366">
        <v>31462.328479282289</v>
      </c>
      <c r="R78" s="366">
        <v>30351.116711287465</v>
      </c>
      <c r="S78" s="366">
        <v>28849.545347829426</v>
      </c>
      <c r="T78" s="366">
        <v>27022.932865577655</v>
      </c>
      <c r="U78" s="366">
        <v>24838.032187262172</v>
      </c>
      <c r="V78" s="366">
        <v>23123.676169497729</v>
      </c>
      <c r="W78" s="366">
        <v>21344.452537831632</v>
      </c>
      <c r="X78" s="366">
        <v>19095.69096623009</v>
      </c>
      <c r="Y78" s="366"/>
      <c r="Z78" s="366"/>
      <c r="AA78" s="366"/>
      <c r="AB78" s="366" t="s">
        <v>512</v>
      </c>
      <c r="AC78" s="366">
        <v>29546.776672080003</v>
      </c>
      <c r="AD78" s="366">
        <v>31461.734941420462</v>
      </c>
      <c r="AE78" s="366">
        <v>30395.251622345193</v>
      </c>
      <c r="AF78" s="366">
        <v>28893.738751306257</v>
      </c>
      <c r="AG78" s="366">
        <v>27075.884485307586</v>
      </c>
      <c r="AH78" s="366">
        <v>24928.204641186781</v>
      </c>
      <c r="AI78" s="366">
        <v>23228.934992192968</v>
      </c>
      <c r="AJ78" s="366">
        <v>21484.47354767401</v>
      </c>
      <c r="AK78" s="366">
        <v>19244.773280368379</v>
      </c>
    </row>
    <row r="79" spans="1:37" x14ac:dyDescent="0.3">
      <c r="A79" s="366"/>
      <c r="B79" s="366" t="s">
        <v>326</v>
      </c>
      <c r="C79" s="366">
        <v>0</v>
      </c>
      <c r="D79" s="366">
        <v>0</v>
      </c>
      <c r="E79" s="366">
        <v>0</v>
      </c>
      <c r="F79" s="366">
        <v>0</v>
      </c>
      <c r="G79" s="366">
        <v>0</v>
      </c>
      <c r="H79" s="366">
        <v>0</v>
      </c>
      <c r="I79" s="366">
        <v>0</v>
      </c>
      <c r="J79" s="366">
        <v>0</v>
      </c>
      <c r="K79" s="366">
        <v>0</v>
      </c>
      <c r="L79" s="366"/>
      <c r="M79" s="366"/>
      <c r="N79" s="366"/>
      <c r="O79" s="366" t="s">
        <v>326</v>
      </c>
      <c r="P79" s="366">
        <v>0</v>
      </c>
      <c r="Q79" s="366">
        <v>0</v>
      </c>
      <c r="R79" s="366">
        <v>0</v>
      </c>
      <c r="S79" s="366">
        <v>0</v>
      </c>
      <c r="T79" s="366">
        <v>0</v>
      </c>
      <c r="U79" s="366">
        <v>0</v>
      </c>
      <c r="V79" s="366">
        <v>0</v>
      </c>
      <c r="W79" s="366">
        <v>0</v>
      </c>
      <c r="X79" s="366">
        <v>0</v>
      </c>
      <c r="Y79" s="366"/>
      <c r="Z79" s="366"/>
      <c r="AA79" s="366"/>
      <c r="AB79" s="366" t="s">
        <v>326</v>
      </c>
      <c r="AC79" s="366">
        <v>0</v>
      </c>
      <c r="AD79" s="366">
        <v>0</v>
      </c>
      <c r="AE79" s="366">
        <v>0</v>
      </c>
      <c r="AF79" s="366">
        <v>0</v>
      </c>
      <c r="AG79" s="366">
        <v>0</v>
      </c>
      <c r="AH79" s="366">
        <v>0</v>
      </c>
      <c r="AI79" s="366">
        <v>0</v>
      </c>
      <c r="AJ79" s="366">
        <v>0</v>
      </c>
      <c r="AK79" s="366">
        <v>0</v>
      </c>
    </row>
    <row r="80" spans="1:37" x14ac:dyDescent="0.3">
      <c r="A80" s="366"/>
      <c r="B80" s="366" t="s">
        <v>258</v>
      </c>
      <c r="C80" s="366">
        <v>1134.314986464</v>
      </c>
      <c r="D80" s="366">
        <v>1993.1381180137118</v>
      </c>
      <c r="E80" s="366">
        <v>2437.3440451734978</v>
      </c>
      <c r="F80" s="366">
        <v>2855.8941699475008</v>
      </c>
      <c r="G80" s="366">
        <v>3225.4498658817156</v>
      </c>
      <c r="H80" s="366">
        <v>3581.3269889494381</v>
      </c>
      <c r="I80" s="366">
        <v>3920.5696127425499</v>
      </c>
      <c r="J80" s="366">
        <v>4216.9957022916151</v>
      </c>
      <c r="K80" s="366">
        <v>4456.6272512337264</v>
      </c>
      <c r="L80" s="366"/>
      <c r="M80" s="366"/>
      <c r="N80" s="366"/>
      <c r="O80" s="366" t="s">
        <v>258</v>
      </c>
      <c r="P80" s="366">
        <v>1134.314986464</v>
      </c>
      <c r="Q80" s="366">
        <v>2200.7679077536932</v>
      </c>
      <c r="R80" s="366">
        <v>2901.8580424967981</v>
      </c>
      <c r="S80" s="366">
        <v>3512.6356551843692</v>
      </c>
      <c r="T80" s="366">
        <v>3974.8351449124089</v>
      </c>
      <c r="U80" s="366">
        <v>4387.2823888283565</v>
      </c>
      <c r="V80" s="366">
        <v>4828.307997570324</v>
      </c>
      <c r="W80" s="366">
        <v>5190.6096788043069</v>
      </c>
      <c r="X80" s="366">
        <v>5532.4647651783544</v>
      </c>
      <c r="Y80" s="366"/>
      <c r="Z80" s="366"/>
      <c r="AA80" s="366"/>
      <c r="AB80" s="366" t="s">
        <v>258</v>
      </c>
      <c r="AC80" s="366">
        <v>1134.314986464</v>
      </c>
      <c r="AD80" s="366">
        <v>2525.4837905773607</v>
      </c>
      <c r="AE80" s="366">
        <v>3574.6378811152681</v>
      </c>
      <c r="AF80" s="366">
        <v>4465.5571233744095</v>
      </c>
      <c r="AG80" s="366">
        <v>5102.3738093512029</v>
      </c>
      <c r="AH80" s="366">
        <v>5651.7449411149564</v>
      </c>
      <c r="AI80" s="366">
        <v>6169.9056262978011</v>
      </c>
      <c r="AJ80" s="366">
        <v>6633.9974610453191</v>
      </c>
      <c r="AK80" s="366">
        <v>7049.2076387418692</v>
      </c>
    </row>
    <row r="81" spans="1:37" x14ac:dyDescent="0.3">
      <c r="A81" s="366"/>
      <c r="B81" s="367" t="s">
        <v>690</v>
      </c>
      <c r="C81" s="367">
        <v>85289.272724940005</v>
      </c>
      <c r="D81" s="367">
        <v>95876.729895555312</v>
      </c>
      <c r="E81" s="367">
        <v>98830.330701012412</v>
      </c>
      <c r="F81" s="367">
        <v>101594.55756603662</v>
      </c>
      <c r="G81" s="367">
        <v>104353.08543236497</v>
      </c>
      <c r="H81" s="367">
        <v>106682.02622264784</v>
      </c>
      <c r="I81" s="367">
        <v>108605.45399246816</v>
      </c>
      <c r="J81" s="367">
        <v>110100.82278832565</v>
      </c>
      <c r="K81" s="367">
        <v>110907.89544209992</v>
      </c>
      <c r="L81" s="366"/>
      <c r="M81" s="366"/>
      <c r="N81" s="366"/>
      <c r="O81" s="367" t="s">
        <v>690</v>
      </c>
      <c r="P81" s="367">
        <v>85289.272724940005</v>
      </c>
      <c r="Q81" s="367">
        <v>92145.240902275589</v>
      </c>
      <c r="R81" s="367">
        <v>92277.554346129444</v>
      </c>
      <c r="S81" s="367">
        <v>92441.864491092783</v>
      </c>
      <c r="T81" s="367">
        <v>92607.662357900597</v>
      </c>
      <c r="U81" s="367">
        <v>92382.158589419108</v>
      </c>
      <c r="V81" s="367">
        <v>92246.681964374715</v>
      </c>
      <c r="W81" s="367">
        <v>91915.24013735207</v>
      </c>
      <c r="X81" s="367">
        <v>91114.591935984092</v>
      </c>
      <c r="Y81" s="366"/>
      <c r="Z81" s="366"/>
      <c r="AA81" s="366"/>
      <c r="AB81" s="367" t="s">
        <v>690</v>
      </c>
      <c r="AC81" s="367">
        <v>85289.272724940005</v>
      </c>
      <c r="AD81" s="367">
        <v>89687.42962295904</v>
      </c>
      <c r="AE81" s="367">
        <v>87475.86106275722</v>
      </c>
      <c r="AF81" s="367">
        <v>85726.56547232272</v>
      </c>
      <c r="AG81" s="367">
        <v>84629.818797558401</v>
      </c>
      <c r="AH81" s="367">
        <v>83467.758490715278</v>
      </c>
      <c r="AI81" s="367">
        <v>82569.467224158536</v>
      </c>
      <c r="AJ81" s="367">
        <v>81848.558687331635</v>
      </c>
      <c r="AK81" s="367">
        <v>81237.248628201036</v>
      </c>
    </row>
    <row r="82" spans="1:37" x14ac:dyDescent="0.3">
      <c r="A82" s="366"/>
      <c r="B82" s="367"/>
      <c r="C82" s="367"/>
      <c r="D82" s="367"/>
      <c r="E82" s="367"/>
      <c r="F82" s="367"/>
      <c r="G82" s="367"/>
      <c r="H82" s="367"/>
      <c r="I82" s="367"/>
      <c r="J82" s="367"/>
      <c r="K82" s="367"/>
      <c r="L82" s="366"/>
      <c r="M82" s="366"/>
      <c r="N82" s="366"/>
      <c r="O82" s="367"/>
      <c r="P82" s="367"/>
      <c r="Q82" s="367"/>
      <c r="R82" s="367"/>
      <c r="S82" s="367"/>
      <c r="T82" s="367"/>
      <c r="U82" s="367"/>
      <c r="V82" s="367"/>
      <c r="W82" s="367"/>
      <c r="X82" s="367"/>
      <c r="Y82" s="366"/>
      <c r="Z82" s="366"/>
      <c r="AA82" s="366"/>
      <c r="AB82" s="367"/>
      <c r="AC82" s="367"/>
      <c r="AD82" s="367"/>
      <c r="AE82" s="367"/>
      <c r="AF82" s="367"/>
      <c r="AG82" s="367"/>
      <c r="AH82" s="367"/>
      <c r="AI82" s="367"/>
      <c r="AJ82" s="367"/>
      <c r="AK82" s="367"/>
    </row>
    <row r="83" spans="1:37" x14ac:dyDescent="0.3">
      <c r="A83" s="363" t="s">
        <v>700</v>
      </c>
      <c r="B83" s="364"/>
      <c r="C83" s="364"/>
      <c r="D83" s="364"/>
      <c r="E83" s="364"/>
      <c r="F83" s="364"/>
      <c r="G83" s="364"/>
      <c r="H83" s="364"/>
      <c r="I83" s="364"/>
      <c r="J83" s="364"/>
      <c r="K83" s="364"/>
      <c r="L83" s="363"/>
      <c r="M83" s="365"/>
      <c r="N83" s="363" t="s">
        <v>700</v>
      </c>
      <c r="O83" s="364"/>
      <c r="P83" s="364"/>
      <c r="Q83" s="364"/>
      <c r="R83" s="364"/>
      <c r="S83" s="364"/>
      <c r="T83" s="364"/>
      <c r="U83" s="364"/>
      <c r="V83" s="364"/>
      <c r="W83" s="364"/>
      <c r="X83" s="364"/>
      <c r="Y83" s="363"/>
      <c r="Z83" s="365"/>
      <c r="AA83" s="363" t="s">
        <v>700</v>
      </c>
      <c r="AB83" s="364"/>
      <c r="AC83" s="364"/>
      <c r="AD83" s="364"/>
      <c r="AE83" s="364"/>
      <c r="AF83" s="364"/>
      <c r="AG83" s="364"/>
      <c r="AH83" s="364"/>
      <c r="AI83" s="364"/>
      <c r="AJ83" s="364"/>
      <c r="AK83" s="364"/>
    </row>
    <row r="84" spans="1:37" x14ac:dyDescent="0.3">
      <c r="A84" s="366"/>
      <c r="B84" s="366" t="s">
        <v>266</v>
      </c>
      <c r="C84" s="366">
        <v>4391.433492516001</v>
      </c>
      <c r="D84" s="366">
        <v>3559.5459915564843</v>
      </c>
      <c r="E84" s="366">
        <v>3161.3374861907168</v>
      </c>
      <c r="F84" s="366">
        <v>2916.7814206018902</v>
      </c>
      <c r="G84" s="366">
        <v>2613.5340869395104</v>
      </c>
      <c r="H84" s="366">
        <v>2280.874826259917</v>
      </c>
      <c r="I84" s="366">
        <v>1925.424874538784</v>
      </c>
      <c r="J84" s="366">
        <v>1743.9989909113833</v>
      </c>
      <c r="K84" s="366">
        <v>1540.3751233738267</v>
      </c>
      <c r="L84" s="366"/>
      <c r="M84" s="366"/>
      <c r="N84" s="366"/>
      <c r="O84" s="366" t="s">
        <v>266</v>
      </c>
      <c r="P84" s="366">
        <v>4391.433492516001</v>
      </c>
      <c r="Q84" s="366">
        <v>2859.6890267412696</v>
      </c>
      <c r="R84" s="366">
        <v>2206.9496332689423</v>
      </c>
      <c r="S84" s="366">
        <v>1914.3380800683285</v>
      </c>
      <c r="T84" s="366">
        <v>1574.2770790167247</v>
      </c>
      <c r="U84" s="366">
        <v>1214.5375175587815</v>
      </c>
      <c r="V84" s="366">
        <v>839.18560229145203</v>
      </c>
      <c r="W84" s="366">
        <v>679.524907992512</v>
      </c>
      <c r="X84" s="366">
        <v>517.04311653649677</v>
      </c>
      <c r="Y84" s="366"/>
      <c r="Z84" s="366"/>
      <c r="AA84" s="366"/>
      <c r="AB84" s="366" t="s">
        <v>266</v>
      </c>
      <c r="AC84" s="366">
        <v>4391.433492516001</v>
      </c>
      <c r="AD84" s="366">
        <v>2121.2826458329155</v>
      </c>
      <c r="AE84" s="366">
        <v>1125.723936174348</v>
      </c>
      <c r="AF84" s="366">
        <v>880.22113112642739</v>
      </c>
      <c r="AG84" s="366">
        <v>600.9326472673938</v>
      </c>
      <c r="AH84" s="366">
        <v>330.15116084814088</v>
      </c>
      <c r="AI84" s="366">
        <v>52.472473432522143</v>
      </c>
      <c r="AJ84" s="366">
        <v>38.671515992761485</v>
      </c>
      <c r="AK84" s="366">
        <v>26.700775332842738</v>
      </c>
    </row>
    <row r="85" spans="1:37" x14ac:dyDescent="0.3">
      <c r="A85" s="366"/>
      <c r="B85" s="366" t="s">
        <v>254</v>
      </c>
      <c r="C85" s="366">
        <v>2827.4384008080001</v>
      </c>
      <c r="D85" s="366">
        <v>1491.4205085737228</v>
      </c>
      <c r="E85" s="366">
        <v>1337.5034350125534</v>
      </c>
      <c r="F85" s="366">
        <v>1161.2197956190678</v>
      </c>
      <c r="G85" s="366">
        <v>937.42051288508299</v>
      </c>
      <c r="H85" s="366">
        <v>685.71243793738847</v>
      </c>
      <c r="I85" s="366">
        <v>419.48880330622512</v>
      </c>
      <c r="J85" s="366">
        <v>341.95957051336848</v>
      </c>
      <c r="K85" s="366">
        <v>266.79338481353341</v>
      </c>
      <c r="L85" s="366"/>
      <c r="M85" s="366"/>
      <c r="N85" s="366"/>
      <c r="O85" s="366" t="s">
        <v>254</v>
      </c>
      <c r="P85" s="366">
        <v>2827.4384008080001</v>
      </c>
      <c r="Q85" s="366">
        <v>1166.1209903988713</v>
      </c>
      <c r="R85" s="366">
        <v>779.46341478155784</v>
      </c>
      <c r="S85" s="366">
        <v>632.23644015125001</v>
      </c>
      <c r="T85" s="366">
        <v>465.84410243889255</v>
      </c>
      <c r="U85" s="366">
        <v>292.92259639205281</v>
      </c>
      <c r="V85" s="366">
        <v>122.20693120399335</v>
      </c>
      <c r="W85" s="366">
        <v>91.831732115678932</v>
      </c>
      <c r="X85" s="366">
        <v>64.090907746682703</v>
      </c>
      <c r="Y85" s="366"/>
      <c r="Z85" s="366"/>
      <c r="AA85" s="366"/>
      <c r="AB85" s="366" t="s">
        <v>254</v>
      </c>
      <c r="AC85" s="366">
        <v>2827.4384008080001</v>
      </c>
      <c r="AD85" s="366">
        <v>1062.3008854097923</v>
      </c>
      <c r="AE85" s="366">
        <v>510.14862926809593</v>
      </c>
      <c r="AF85" s="366">
        <v>343.40024284904734</v>
      </c>
      <c r="AG85" s="366">
        <v>163.35771355588221</v>
      </c>
      <c r="AH85" s="366">
        <v>80.221695899015387</v>
      </c>
      <c r="AI85" s="366">
        <v>0</v>
      </c>
      <c r="AJ85" s="366">
        <v>0</v>
      </c>
      <c r="AK85" s="366">
        <v>0</v>
      </c>
    </row>
    <row r="86" spans="1:37" x14ac:dyDescent="0.3">
      <c r="A86" s="366"/>
      <c r="B86" s="366" t="s">
        <v>510</v>
      </c>
      <c r="C86" s="366">
        <v>7745.9685350400005</v>
      </c>
      <c r="D86" s="366">
        <v>8636.5793638614668</v>
      </c>
      <c r="E86" s="366">
        <v>9157.8036571129214</v>
      </c>
      <c r="F86" s="366">
        <v>9480.7885706499965</v>
      </c>
      <c r="G86" s="366">
        <v>9753.3974724648815</v>
      </c>
      <c r="H86" s="366">
        <v>9987.7698803360709</v>
      </c>
      <c r="I86" s="366">
        <v>10175.206823326898</v>
      </c>
      <c r="J86" s="366">
        <v>10026.012620647372</v>
      </c>
      <c r="K86" s="366">
        <v>9829.3955732432369</v>
      </c>
      <c r="L86" s="366"/>
      <c r="M86" s="366"/>
      <c r="N86" s="366"/>
      <c r="O86" s="366" t="s">
        <v>510</v>
      </c>
      <c r="P86" s="366">
        <v>7745.9685350400005</v>
      </c>
      <c r="Q86" s="366">
        <v>7120.5216434095883</v>
      </c>
      <c r="R86" s="366">
        <v>7103.7924267903281</v>
      </c>
      <c r="S86" s="366">
        <v>6869.9858349351889</v>
      </c>
      <c r="T86" s="366">
        <v>6572.3846988599671</v>
      </c>
      <c r="U86" s="366">
        <v>6227.4841934062279</v>
      </c>
      <c r="V86" s="366">
        <v>5837.94252932769</v>
      </c>
      <c r="W86" s="366">
        <v>5282.3365612260013</v>
      </c>
      <c r="X86" s="366">
        <v>4717.8278780539904</v>
      </c>
      <c r="Y86" s="366"/>
      <c r="Z86" s="366"/>
      <c r="AA86" s="366"/>
      <c r="AB86" s="366" t="s">
        <v>510</v>
      </c>
      <c r="AC86" s="366">
        <v>7745.9685350400005</v>
      </c>
      <c r="AD86" s="366">
        <v>5569.7324791725314</v>
      </c>
      <c r="AE86" s="366">
        <v>4553.1245712943537</v>
      </c>
      <c r="AF86" s="366">
        <v>4052.6665589945078</v>
      </c>
      <c r="AG86" s="366">
        <v>3471.4382876745876</v>
      </c>
      <c r="AH86" s="366">
        <v>2896.8676042701768</v>
      </c>
      <c r="AI86" s="366">
        <v>2283.6977129189472</v>
      </c>
      <c r="AJ86" s="366">
        <v>2042.9091618049777</v>
      </c>
      <c r="AK86" s="366">
        <v>1805.7650799050241</v>
      </c>
    </row>
    <row r="87" spans="1:37" x14ac:dyDescent="0.3">
      <c r="A87" s="366"/>
      <c r="B87" s="366" t="s">
        <v>341</v>
      </c>
      <c r="C87" s="366">
        <v>19010.746987464005</v>
      </c>
      <c r="D87" s="366">
        <v>22129.144560715486</v>
      </c>
      <c r="E87" s="366">
        <v>23959.05381660469</v>
      </c>
      <c r="F87" s="366">
        <v>25817.60909288023</v>
      </c>
      <c r="G87" s="366">
        <v>27499.172824418136</v>
      </c>
      <c r="H87" s="366">
        <v>29021.728552205703</v>
      </c>
      <c r="I87" s="366">
        <v>30360.29519120029</v>
      </c>
      <c r="J87" s="366">
        <v>31863.97731902681</v>
      </c>
      <c r="K87" s="366">
        <v>33052.452448385884</v>
      </c>
      <c r="L87" s="366"/>
      <c r="M87" s="366"/>
      <c r="N87" s="366"/>
      <c r="O87" s="366" t="s">
        <v>341</v>
      </c>
      <c r="P87" s="366">
        <v>19010.746987464005</v>
      </c>
      <c r="Q87" s="366">
        <v>20613.427282159282</v>
      </c>
      <c r="R87" s="366">
        <v>21586.834932947571</v>
      </c>
      <c r="S87" s="366">
        <v>22697.677725265217</v>
      </c>
      <c r="T87" s="366">
        <v>23617.057190063617</v>
      </c>
      <c r="U87" s="366">
        <v>24360.40261324426</v>
      </c>
      <c r="V87" s="366">
        <v>24909.975576991281</v>
      </c>
      <c r="W87" s="366">
        <v>25572.530727842306</v>
      </c>
      <c r="X87" s="366">
        <v>25976.693968384672</v>
      </c>
      <c r="Y87" s="366"/>
      <c r="Z87" s="366"/>
      <c r="AA87" s="366"/>
      <c r="AB87" s="366" t="s">
        <v>341</v>
      </c>
      <c r="AC87" s="366">
        <v>19010.746987464005</v>
      </c>
      <c r="AD87" s="366">
        <v>19984.682156372055</v>
      </c>
      <c r="AE87" s="366">
        <v>20613.557593371843</v>
      </c>
      <c r="AF87" s="366">
        <v>21436.631918460633</v>
      </c>
      <c r="AG87" s="366">
        <v>22036.409493120856</v>
      </c>
      <c r="AH87" s="366">
        <v>22432.591723770274</v>
      </c>
      <c r="AI87" s="366">
        <v>22640.446108941025</v>
      </c>
      <c r="AJ87" s="366">
        <v>23122.176646764692</v>
      </c>
      <c r="AK87" s="366">
        <v>23369.794062290537</v>
      </c>
    </row>
    <row r="88" spans="1:37" x14ac:dyDescent="0.3">
      <c r="A88" s="366"/>
      <c r="B88" s="366" t="s">
        <v>694</v>
      </c>
      <c r="C88" s="366">
        <v>1770.9367251960002</v>
      </c>
      <c r="D88" s="366">
        <v>1737.7699024537362</v>
      </c>
      <c r="E88" s="366">
        <v>1754.7573992098046</v>
      </c>
      <c r="F88" s="366">
        <v>1811.1492250640865</v>
      </c>
      <c r="G88" s="366">
        <v>1843.6849572298202</v>
      </c>
      <c r="H88" s="366">
        <v>1853.7334420172924</v>
      </c>
      <c r="I88" s="366">
        <v>1841.4932559099898</v>
      </c>
      <c r="J88" s="366">
        <v>1823.7895487671556</v>
      </c>
      <c r="K88" s="366">
        <v>1794.3990478219018</v>
      </c>
      <c r="L88" s="366"/>
      <c r="M88" s="366"/>
      <c r="N88" s="366"/>
      <c r="O88" s="366" t="s">
        <v>694</v>
      </c>
      <c r="P88" s="366">
        <v>1770.9367251960002</v>
      </c>
      <c r="Q88" s="366">
        <v>1619.1928312736511</v>
      </c>
      <c r="R88" s="366">
        <v>1575.7729741386202</v>
      </c>
      <c r="S88" s="366">
        <v>1581.4504144940693</v>
      </c>
      <c r="T88" s="366">
        <v>1567.0254432534553</v>
      </c>
      <c r="U88" s="366">
        <v>1533.1982234709099</v>
      </c>
      <c r="V88" s="366">
        <v>1478.8313395495943</v>
      </c>
      <c r="W88" s="366">
        <v>1412.6395615419508</v>
      </c>
      <c r="X88" s="366">
        <v>1339.6311149976902</v>
      </c>
      <c r="Y88" s="366"/>
      <c r="Z88" s="366"/>
      <c r="AA88" s="366"/>
      <c r="AB88" s="366" t="s">
        <v>694</v>
      </c>
      <c r="AC88" s="366">
        <v>1770.9367251960002</v>
      </c>
      <c r="AD88" s="366">
        <v>1751.557803868337</v>
      </c>
      <c r="AE88" s="366">
        <v>1835.5851097093469</v>
      </c>
      <c r="AF88" s="366">
        <v>1885.8801798309364</v>
      </c>
      <c r="AG88" s="366">
        <v>1912.4539100521308</v>
      </c>
      <c r="AH88" s="366">
        <v>1914.7629733234173</v>
      </c>
      <c r="AI88" s="366">
        <v>1890.5816026581826</v>
      </c>
      <c r="AJ88" s="366">
        <v>1822.4658162513313</v>
      </c>
      <c r="AK88" s="366">
        <v>1744.4044353077929</v>
      </c>
    </row>
    <row r="89" spans="1:37" x14ac:dyDescent="0.3">
      <c r="A89" s="366"/>
      <c r="B89" s="366" t="s">
        <v>512</v>
      </c>
      <c r="C89" s="366">
        <v>1036.5383014560002</v>
      </c>
      <c r="D89" s="366">
        <v>1299.7648300648327</v>
      </c>
      <c r="E89" s="366">
        <v>1394.5862845792067</v>
      </c>
      <c r="F89" s="366">
        <v>1544.27972281042</v>
      </c>
      <c r="G89" s="366">
        <v>1663.7498419989604</v>
      </c>
      <c r="H89" s="366">
        <v>1750.225285485697</v>
      </c>
      <c r="I89" s="366">
        <v>1797.9815772550801</v>
      </c>
      <c r="J89" s="366">
        <v>1824.4483402071173</v>
      </c>
      <c r="K89" s="366">
        <v>1830.8977875427249</v>
      </c>
      <c r="L89" s="366"/>
      <c r="M89" s="366"/>
      <c r="N89" s="366"/>
      <c r="O89" s="366" t="s">
        <v>512</v>
      </c>
      <c r="P89" s="366">
        <v>1036.5383014560002</v>
      </c>
      <c r="Q89" s="366">
        <v>1375.3240650581856</v>
      </c>
      <c r="R89" s="366">
        <v>1597.4571341105311</v>
      </c>
      <c r="S89" s="366">
        <v>1809.0546737148743</v>
      </c>
      <c r="T89" s="366">
        <v>1988.4277601449942</v>
      </c>
      <c r="U89" s="366">
        <v>2134.3260637558474</v>
      </c>
      <c r="V89" s="366">
        <v>2242.2032187686459</v>
      </c>
      <c r="W89" s="366">
        <v>2205.8279023126624</v>
      </c>
      <c r="X89" s="366">
        <v>2152.6619611583728</v>
      </c>
      <c r="Y89" s="366"/>
      <c r="Z89" s="366"/>
      <c r="AA89" s="366"/>
      <c r="AB89" s="366" t="s">
        <v>512</v>
      </c>
      <c r="AC89" s="366">
        <v>1036.5383014560002</v>
      </c>
      <c r="AD89" s="366">
        <v>1379.8826243229241</v>
      </c>
      <c r="AE89" s="366">
        <v>1605.3178507247676</v>
      </c>
      <c r="AF89" s="366">
        <v>1829.1728190267004</v>
      </c>
      <c r="AG89" s="366">
        <v>2019.7642568529027</v>
      </c>
      <c r="AH89" s="366">
        <v>2176.0447435784013</v>
      </c>
      <c r="AI89" s="366">
        <v>2294.5265594939369</v>
      </c>
      <c r="AJ89" s="366">
        <v>2254.4299830012828</v>
      </c>
      <c r="AK89" s="366">
        <v>2196.8524106989244</v>
      </c>
    </row>
    <row r="90" spans="1:37" x14ac:dyDescent="0.3">
      <c r="A90" s="366"/>
      <c r="B90" s="366" t="s">
        <v>326</v>
      </c>
      <c r="C90" s="366">
        <v>0</v>
      </c>
      <c r="D90" s="366">
        <v>0</v>
      </c>
      <c r="E90" s="366">
        <v>0</v>
      </c>
      <c r="F90" s="366">
        <v>0</v>
      </c>
      <c r="G90" s="366">
        <v>0</v>
      </c>
      <c r="H90" s="366">
        <v>0</v>
      </c>
      <c r="I90" s="366">
        <v>0</v>
      </c>
      <c r="J90" s="366">
        <v>0</v>
      </c>
      <c r="K90" s="366">
        <v>0</v>
      </c>
      <c r="L90" s="366"/>
      <c r="M90" s="366"/>
      <c r="N90" s="366"/>
      <c r="O90" s="366" t="s">
        <v>326</v>
      </c>
      <c r="P90" s="366">
        <v>0</v>
      </c>
      <c r="Q90" s="366">
        <v>0</v>
      </c>
      <c r="R90" s="366">
        <v>0</v>
      </c>
      <c r="S90" s="366">
        <v>0</v>
      </c>
      <c r="T90" s="366">
        <v>0</v>
      </c>
      <c r="U90" s="366">
        <v>0</v>
      </c>
      <c r="V90" s="366">
        <v>0</v>
      </c>
      <c r="W90" s="366">
        <v>0</v>
      </c>
      <c r="X90" s="366">
        <v>0</v>
      </c>
      <c r="Y90" s="366"/>
      <c r="Z90" s="366"/>
      <c r="AA90" s="366"/>
      <c r="AB90" s="366" t="s">
        <v>326</v>
      </c>
      <c r="AC90" s="366">
        <v>0</v>
      </c>
      <c r="AD90" s="366">
        <v>0</v>
      </c>
      <c r="AE90" s="366">
        <v>0</v>
      </c>
      <c r="AF90" s="366">
        <v>0</v>
      </c>
      <c r="AG90" s="366">
        <v>0</v>
      </c>
      <c r="AH90" s="366">
        <v>0</v>
      </c>
      <c r="AI90" s="366">
        <v>0</v>
      </c>
      <c r="AJ90" s="366">
        <v>0</v>
      </c>
      <c r="AK90" s="366">
        <v>0</v>
      </c>
    </row>
    <row r="91" spans="1:37" x14ac:dyDescent="0.3">
      <c r="A91" s="366"/>
      <c r="B91" s="366" t="s">
        <v>258</v>
      </c>
      <c r="C91" s="366">
        <v>307.65192552000002</v>
      </c>
      <c r="D91" s="366">
        <v>697.37652921790777</v>
      </c>
      <c r="E91" s="366">
        <v>1018.3210500333615</v>
      </c>
      <c r="F91" s="366">
        <v>1286.4726641741272</v>
      </c>
      <c r="G91" s="366">
        <v>1564.3188970230913</v>
      </c>
      <c r="H91" s="366">
        <v>1850.2213842577646</v>
      </c>
      <c r="I91" s="366">
        <v>2138.5383415871402</v>
      </c>
      <c r="J91" s="366">
        <v>2377.8844120693516</v>
      </c>
      <c r="K91" s="366">
        <v>2618.9466878847129</v>
      </c>
      <c r="L91" s="366"/>
      <c r="M91" s="366"/>
      <c r="N91" s="366"/>
      <c r="O91" s="366" t="s">
        <v>258</v>
      </c>
      <c r="P91" s="366">
        <v>307.65192552000002</v>
      </c>
      <c r="Q91" s="366">
        <v>1019.0590575089773</v>
      </c>
      <c r="R91" s="366">
        <v>1449.6368190436617</v>
      </c>
      <c r="S91" s="366">
        <v>1824.3334991850552</v>
      </c>
      <c r="T91" s="366">
        <v>2204.8479308282767</v>
      </c>
      <c r="U91" s="366">
        <v>2587.6749210771</v>
      </c>
      <c r="V91" s="366">
        <v>2963.9692508397466</v>
      </c>
      <c r="W91" s="366">
        <v>3257.3216225078063</v>
      </c>
      <c r="X91" s="366">
        <v>3544.0460550589455</v>
      </c>
      <c r="Y91" s="366"/>
      <c r="Z91" s="366"/>
      <c r="AA91" s="366"/>
      <c r="AB91" s="366" t="s">
        <v>258</v>
      </c>
      <c r="AC91" s="366">
        <v>307.65192552000002</v>
      </c>
      <c r="AD91" s="366">
        <v>1004.651326237687</v>
      </c>
      <c r="AE91" s="366">
        <v>1420.9223925704694</v>
      </c>
      <c r="AF91" s="366">
        <v>1821.2930205575758</v>
      </c>
      <c r="AG91" s="366">
        <v>2238.1671772830869</v>
      </c>
      <c r="AH91" s="366">
        <v>2609.731216769047</v>
      </c>
      <c r="AI91" s="366">
        <v>2978.5665722726067</v>
      </c>
      <c r="AJ91" s="366">
        <v>3349.6526871498618</v>
      </c>
      <c r="AK91" s="366">
        <v>3711.9120026654732</v>
      </c>
    </row>
    <row r="92" spans="1:37" x14ac:dyDescent="0.3">
      <c r="A92" s="366"/>
      <c r="B92" s="367" t="s">
        <v>690</v>
      </c>
      <c r="C92" s="367">
        <v>37090.714368000001</v>
      </c>
      <c r="D92" s="367">
        <v>39551.601686443639</v>
      </c>
      <c r="E92" s="367">
        <v>41783.363128743251</v>
      </c>
      <c r="F92" s="367">
        <v>44018.300491799819</v>
      </c>
      <c r="G92" s="367">
        <v>45875.278592959483</v>
      </c>
      <c r="H92" s="367">
        <v>47430.265808499833</v>
      </c>
      <c r="I92" s="367">
        <v>48658.428867124407</v>
      </c>
      <c r="J92" s="367">
        <v>50002.07080214256</v>
      </c>
      <c r="K92" s="367">
        <v>50933.260053065816</v>
      </c>
      <c r="L92" s="366"/>
      <c r="M92" s="366"/>
      <c r="N92" s="366"/>
      <c r="O92" s="367" t="s">
        <v>690</v>
      </c>
      <c r="P92" s="367">
        <v>37090.714368000001</v>
      </c>
      <c r="Q92" s="367">
        <v>35773.33489654983</v>
      </c>
      <c r="R92" s="367">
        <v>36299.907335081218</v>
      </c>
      <c r="S92" s="367">
        <v>37329.076667813984</v>
      </c>
      <c r="T92" s="367">
        <v>37989.864204605925</v>
      </c>
      <c r="U92" s="367">
        <v>38350.546128905182</v>
      </c>
      <c r="V92" s="367">
        <v>38394.314448972407</v>
      </c>
      <c r="W92" s="367">
        <v>38502.01301553892</v>
      </c>
      <c r="X92" s="367">
        <v>38311.995001936855</v>
      </c>
      <c r="Y92" s="366"/>
      <c r="Z92" s="366"/>
      <c r="AA92" s="366"/>
      <c r="AB92" s="367" t="s">
        <v>690</v>
      </c>
      <c r="AC92" s="367">
        <v>37090.714368000001</v>
      </c>
      <c r="AD92" s="367">
        <v>32874.08992121624</v>
      </c>
      <c r="AE92" s="367">
        <v>31664.380083113225</v>
      </c>
      <c r="AF92" s="367">
        <v>32249.265870845826</v>
      </c>
      <c r="AG92" s="367">
        <v>32442.523485806843</v>
      </c>
      <c r="AH92" s="367">
        <v>32440.371118458472</v>
      </c>
      <c r="AI92" s="367">
        <v>32140.29102971722</v>
      </c>
      <c r="AJ92" s="367">
        <v>32630.305810964903</v>
      </c>
      <c r="AK92" s="367">
        <v>32855.428766200595</v>
      </c>
    </row>
    <row r="93" spans="1:37" x14ac:dyDescent="0.3">
      <c r="A93" s="366"/>
      <c r="B93" s="367"/>
      <c r="C93" s="367"/>
      <c r="D93" s="367"/>
      <c r="E93" s="367"/>
      <c r="F93" s="367"/>
      <c r="G93" s="367"/>
      <c r="H93" s="367"/>
      <c r="I93" s="367"/>
      <c r="J93" s="367"/>
      <c r="K93" s="367"/>
      <c r="L93" s="366"/>
      <c r="M93" s="366"/>
      <c r="N93" s="366"/>
      <c r="O93" s="367"/>
      <c r="P93" s="367"/>
      <c r="Q93" s="367"/>
      <c r="R93" s="367"/>
      <c r="S93" s="367"/>
      <c r="T93" s="367"/>
      <c r="U93" s="367"/>
      <c r="V93" s="367"/>
      <c r="W93" s="367"/>
      <c r="X93" s="367"/>
      <c r="Y93" s="366"/>
      <c r="Z93" s="366"/>
      <c r="AA93" s="366"/>
      <c r="AB93" s="367"/>
      <c r="AC93" s="367"/>
      <c r="AD93" s="367"/>
      <c r="AE93" s="367"/>
      <c r="AF93" s="367"/>
      <c r="AG93" s="367"/>
      <c r="AH93" s="367"/>
      <c r="AI93" s="367"/>
      <c r="AJ93" s="367"/>
      <c r="AK93" s="367"/>
    </row>
    <row r="94" spans="1:37" x14ac:dyDescent="0.3">
      <c r="A94" s="363" t="s">
        <v>701</v>
      </c>
      <c r="B94" s="364"/>
      <c r="C94" s="364"/>
      <c r="D94" s="364"/>
      <c r="E94" s="364"/>
      <c r="F94" s="364"/>
      <c r="G94" s="364"/>
      <c r="H94" s="364"/>
      <c r="I94" s="364"/>
      <c r="J94" s="364"/>
      <c r="K94" s="364"/>
      <c r="L94" s="363"/>
      <c r="M94" s="365"/>
      <c r="N94" s="363" t="s">
        <v>701</v>
      </c>
      <c r="O94" s="364"/>
      <c r="P94" s="364"/>
      <c r="Q94" s="364"/>
      <c r="R94" s="364"/>
      <c r="S94" s="364"/>
      <c r="T94" s="364"/>
      <c r="U94" s="364"/>
      <c r="V94" s="364"/>
      <c r="W94" s="364"/>
      <c r="X94" s="364"/>
      <c r="Y94" s="363"/>
      <c r="Z94" s="365"/>
      <c r="AA94" s="363" t="s">
        <v>701</v>
      </c>
      <c r="AB94" s="364"/>
      <c r="AC94" s="364"/>
      <c r="AD94" s="364"/>
      <c r="AE94" s="364"/>
      <c r="AF94" s="364"/>
      <c r="AG94" s="364"/>
      <c r="AH94" s="364"/>
      <c r="AI94" s="364"/>
      <c r="AJ94" s="364"/>
      <c r="AK94" s="364"/>
    </row>
    <row r="95" spans="1:37" x14ac:dyDescent="0.3">
      <c r="A95" s="366"/>
      <c r="B95" s="366" t="s">
        <v>266</v>
      </c>
      <c r="C95" s="366">
        <v>4720.1042426040003</v>
      </c>
      <c r="D95" s="366">
        <v>4920.599502</v>
      </c>
      <c r="E95" s="366">
        <v>4887.9675827999999</v>
      </c>
      <c r="F95" s="366">
        <v>4807.2963204000007</v>
      </c>
      <c r="G95" s="366">
        <v>4676.0275799999999</v>
      </c>
      <c r="H95" s="366">
        <v>4773.8491408774089</v>
      </c>
      <c r="I95" s="366">
        <v>4761.2979578615814</v>
      </c>
      <c r="J95" s="366">
        <v>4748.7467748457539</v>
      </c>
      <c r="K95" s="366">
        <v>4736.1955918299273</v>
      </c>
      <c r="L95" s="366"/>
      <c r="M95" s="366"/>
      <c r="N95" s="366"/>
      <c r="O95" s="366" t="s">
        <v>266</v>
      </c>
      <c r="P95" s="366">
        <v>4720.1042426040003</v>
      </c>
      <c r="Q95" s="366">
        <v>4678.5564072000006</v>
      </c>
      <c r="R95" s="366">
        <v>4469.3922528000003</v>
      </c>
      <c r="S95" s="366">
        <v>4227.2779824000008</v>
      </c>
      <c r="T95" s="366">
        <v>3950.0029656000002</v>
      </c>
      <c r="U95" s="366">
        <v>3908.9742232143908</v>
      </c>
      <c r="V95" s="366">
        <v>3746.1402337467734</v>
      </c>
      <c r="W95" s="366">
        <v>3583.3062442791415</v>
      </c>
      <c r="X95" s="366">
        <v>3420.4722548115242</v>
      </c>
      <c r="Y95" s="366"/>
      <c r="Z95" s="366"/>
      <c r="AA95" s="366"/>
      <c r="AB95" s="366" t="s">
        <v>266</v>
      </c>
      <c r="AC95" s="366">
        <v>4720.1042426040003</v>
      </c>
      <c r="AD95" s="366">
        <v>4436.8468328880008</v>
      </c>
      <c r="AE95" s="366">
        <v>3940.6926947040001</v>
      </c>
      <c r="AF95" s="366">
        <v>3382.0876615680008</v>
      </c>
      <c r="AG95" s="366">
        <v>2771.4815676000007</v>
      </c>
      <c r="AH95" s="366">
        <v>2160.4652509680004</v>
      </c>
      <c r="AI95" s="366">
        <v>1565.7069611844004</v>
      </c>
      <c r="AJ95" s="366">
        <v>1174.2802208883002</v>
      </c>
      <c r="AK95" s="366">
        <v>782.85348059220007</v>
      </c>
    </row>
    <row r="96" spans="1:37" x14ac:dyDescent="0.3">
      <c r="A96" s="366"/>
      <c r="B96" s="366" t="s">
        <v>254</v>
      </c>
      <c r="C96" s="366">
        <v>635.39940247200002</v>
      </c>
      <c r="D96" s="366">
        <v>800.19377640000016</v>
      </c>
      <c r="E96" s="366">
        <v>740.13413040000012</v>
      </c>
      <c r="F96" s="366">
        <v>676.99299959999996</v>
      </c>
      <c r="G96" s="366">
        <v>612.35299440000006</v>
      </c>
      <c r="H96" s="366">
        <v>584.29543432402716</v>
      </c>
      <c r="I96" s="366">
        <v>536.38410479309096</v>
      </c>
      <c r="J96" s="366">
        <v>488.47277526215476</v>
      </c>
      <c r="K96" s="366">
        <v>440.56144573121856</v>
      </c>
      <c r="L96" s="366"/>
      <c r="M96" s="366"/>
      <c r="N96" s="366"/>
      <c r="O96" s="366" t="s">
        <v>254</v>
      </c>
      <c r="P96" s="366">
        <v>635.39940247200002</v>
      </c>
      <c r="Q96" s="366">
        <v>698.93183160000001</v>
      </c>
      <c r="R96" s="366">
        <v>566.49916080000003</v>
      </c>
      <c r="S96" s="366">
        <v>456.82593480000003</v>
      </c>
      <c r="T96" s="366">
        <v>356.0412852</v>
      </c>
      <c r="U96" s="366">
        <v>263.63557602906803</v>
      </c>
      <c r="V96" s="366">
        <v>160.98484858446318</v>
      </c>
      <c r="W96" s="366">
        <v>58.334121139858325</v>
      </c>
      <c r="X96" s="366">
        <v>0</v>
      </c>
      <c r="Y96" s="366"/>
      <c r="Z96" s="366"/>
      <c r="AA96" s="366"/>
      <c r="AB96" s="366" t="s">
        <v>254</v>
      </c>
      <c r="AC96" s="366">
        <v>635.39940247200002</v>
      </c>
      <c r="AD96" s="366">
        <v>666.35830222455593</v>
      </c>
      <c r="AE96" s="366">
        <v>495.66481434946803</v>
      </c>
      <c r="AF96" s="366">
        <v>341.64318685057196</v>
      </c>
      <c r="AG96" s="366">
        <v>205.25862781080005</v>
      </c>
      <c r="AH96" s="366">
        <v>91.7930821068</v>
      </c>
      <c r="AI96" s="366">
        <v>0</v>
      </c>
      <c r="AJ96" s="366">
        <v>0</v>
      </c>
      <c r="AK96" s="366">
        <v>0</v>
      </c>
    </row>
    <row r="97" spans="1:37" x14ac:dyDescent="0.3">
      <c r="A97" s="366"/>
      <c r="B97" s="366" t="s">
        <v>510</v>
      </c>
      <c r="C97" s="366">
        <v>365.92020727199997</v>
      </c>
      <c r="D97" s="366">
        <v>406.19077560000005</v>
      </c>
      <c r="E97" s="366">
        <v>427.97469599999999</v>
      </c>
      <c r="F97" s="366">
        <v>449.20177200000001</v>
      </c>
      <c r="G97" s="366">
        <v>468.16797600000007</v>
      </c>
      <c r="H97" s="366">
        <v>488.14330422302191</v>
      </c>
      <c r="I97" s="366">
        <v>508.2312844748194</v>
      </c>
      <c r="J97" s="366">
        <v>528.31926472661871</v>
      </c>
      <c r="K97" s="366">
        <v>548.40724497841802</v>
      </c>
      <c r="L97" s="366"/>
      <c r="M97" s="366"/>
      <c r="N97" s="366"/>
      <c r="O97" s="366" t="s">
        <v>510</v>
      </c>
      <c r="P97" s="366">
        <v>365.92020727199997</v>
      </c>
      <c r="Q97" s="366">
        <v>387.28737360000002</v>
      </c>
      <c r="R97" s="366">
        <v>394.55147160000001</v>
      </c>
      <c r="S97" s="366">
        <v>399.55051080000004</v>
      </c>
      <c r="T97" s="366">
        <v>403.36468560000003</v>
      </c>
      <c r="U97" s="366">
        <v>413.33831790733853</v>
      </c>
      <c r="V97" s="366">
        <v>420.33974691884896</v>
      </c>
      <c r="W97" s="366">
        <v>427.3411759303599</v>
      </c>
      <c r="X97" s="366">
        <v>434.34260494187083</v>
      </c>
      <c r="Y97" s="366"/>
      <c r="Z97" s="366"/>
      <c r="AA97" s="366"/>
      <c r="AB97" s="366" t="s">
        <v>510</v>
      </c>
      <c r="AC97" s="366">
        <v>365.92020727199997</v>
      </c>
      <c r="AD97" s="366">
        <v>318.85149951633241</v>
      </c>
      <c r="AE97" s="366">
        <v>257.95953800701454</v>
      </c>
      <c r="AF97" s="366">
        <v>196.66051892470583</v>
      </c>
      <c r="AG97" s="366">
        <v>137.23685674668002</v>
      </c>
      <c r="AH97" s="366">
        <v>93.000273141150004</v>
      </c>
      <c r="AI97" s="366">
        <v>55.2512820456</v>
      </c>
      <c r="AJ97" s="366">
        <v>1</v>
      </c>
      <c r="AK97" s="366">
        <v>0</v>
      </c>
    </row>
    <row r="98" spans="1:37" x14ac:dyDescent="0.3">
      <c r="A98" s="366"/>
      <c r="B98" s="366" t="s">
        <v>341</v>
      </c>
      <c r="C98" s="366">
        <v>2027.1144149279999</v>
      </c>
      <c r="D98" s="366">
        <v>3074.6310084000002</v>
      </c>
      <c r="E98" s="366">
        <v>3407.3183232000001</v>
      </c>
      <c r="F98" s="366">
        <v>3725.7788916</v>
      </c>
      <c r="G98" s="366">
        <v>4019.6796912</v>
      </c>
      <c r="H98" s="366">
        <v>4378.7481081021542</v>
      </c>
      <c r="I98" s="366">
        <v>4709.6232312820212</v>
      </c>
      <c r="J98" s="366">
        <v>5040.498354461859</v>
      </c>
      <c r="K98" s="366">
        <v>5371.3734776417259</v>
      </c>
      <c r="L98" s="366"/>
      <c r="M98" s="366"/>
      <c r="N98" s="366"/>
      <c r="O98" s="366" t="s">
        <v>341</v>
      </c>
      <c r="P98" s="366">
        <v>2027.1144149279999</v>
      </c>
      <c r="Q98" s="366">
        <v>2959.0418340000001</v>
      </c>
      <c r="R98" s="366">
        <v>3203.8105356000001</v>
      </c>
      <c r="S98" s="366">
        <v>3421.1389500000005</v>
      </c>
      <c r="T98" s="366">
        <v>3610.2106512</v>
      </c>
      <c r="U98" s="366">
        <v>3912.8129916992916</v>
      </c>
      <c r="V98" s="366">
        <v>4162.0138879726728</v>
      </c>
      <c r="W98" s="366">
        <v>4411.2147842460545</v>
      </c>
      <c r="X98" s="366">
        <v>4660.4156805194361</v>
      </c>
      <c r="Y98" s="366"/>
      <c r="Z98" s="366"/>
      <c r="AA98" s="366"/>
      <c r="AB98" s="366" t="s">
        <v>341</v>
      </c>
      <c r="AC98" s="366">
        <v>2027.1144149279999</v>
      </c>
      <c r="AD98" s="366">
        <v>3142.5624664200004</v>
      </c>
      <c r="AE98" s="366">
        <v>3526.1936248104007</v>
      </c>
      <c r="AF98" s="366">
        <v>3824.2985452020002</v>
      </c>
      <c r="AG98" s="366">
        <v>4055.8921910676013</v>
      </c>
      <c r="AH98" s="366">
        <v>4199.3887278887996</v>
      </c>
      <c r="AI98" s="366">
        <v>4253.0923509408003</v>
      </c>
      <c r="AJ98" s="366">
        <v>4313</v>
      </c>
      <c r="AK98" s="366">
        <v>4273</v>
      </c>
    </row>
    <row r="99" spans="1:37" x14ac:dyDescent="0.3">
      <c r="A99" s="366"/>
      <c r="B99" s="366" t="s">
        <v>694</v>
      </c>
      <c r="C99" s="366">
        <v>132.68760505200001</v>
      </c>
      <c r="D99" s="366">
        <v>130.9924116</v>
      </c>
      <c r="E99" s="366">
        <v>136.5357348</v>
      </c>
      <c r="F99" s="366">
        <v>142.1125524</v>
      </c>
      <c r="G99" s="366">
        <v>146.6133624</v>
      </c>
      <c r="H99" s="366">
        <v>147.43398423625899</v>
      </c>
      <c r="I99" s="366">
        <v>150.5999580578416</v>
      </c>
      <c r="J99" s="366">
        <v>153.76593187942444</v>
      </c>
      <c r="K99" s="366">
        <v>156.93190570100705</v>
      </c>
      <c r="L99" s="366"/>
      <c r="M99" s="366"/>
      <c r="N99" s="366"/>
      <c r="O99" s="366" t="s">
        <v>694</v>
      </c>
      <c r="P99" s="366">
        <v>132.68760505200001</v>
      </c>
      <c r="Q99" s="366">
        <v>122.2168788</v>
      </c>
      <c r="R99" s="366">
        <v>118.2729132</v>
      </c>
      <c r="S99" s="366">
        <v>113.45390640000001</v>
      </c>
      <c r="T99" s="366">
        <v>107.3411784</v>
      </c>
      <c r="U99" s="366">
        <v>103.12160087654684</v>
      </c>
      <c r="V99" s="366">
        <v>98.199746388777157</v>
      </c>
      <c r="W99" s="366">
        <v>93.277891901007479</v>
      </c>
      <c r="X99" s="366">
        <v>88.356037413237573</v>
      </c>
      <c r="Y99" s="366"/>
      <c r="Z99" s="366"/>
      <c r="AA99" s="366"/>
      <c r="AB99" s="366" t="s">
        <v>694</v>
      </c>
      <c r="AC99" s="366">
        <v>132.68760505200001</v>
      </c>
      <c r="AD99" s="366">
        <v>124.34003564364002</v>
      </c>
      <c r="AE99" s="366">
        <v>120.74043685571999</v>
      </c>
      <c r="AF99" s="366">
        <v>114.9946655472</v>
      </c>
      <c r="AG99" s="366">
        <v>107.57635849224002</v>
      </c>
      <c r="AH99" s="366">
        <v>100.23412726800001</v>
      </c>
      <c r="AI99" s="366">
        <v>93.743046525600008</v>
      </c>
      <c r="AJ99" s="366">
        <v>86</v>
      </c>
      <c r="AK99" s="366">
        <v>79</v>
      </c>
    </row>
    <row r="100" spans="1:37" x14ac:dyDescent="0.3">
      <c r="A100" s="366"/>
      <c r="B100" s="366" t="s">
        <v>512</v>
      </c>
      <c r="C100" s="366">
        <v>410.47537924800014</v>
      </c>
      <c r="D100" s="366">
        <v>605.29404959999999</v>
      </c>
      <c r="E100" s="366">
        <v>696.57047640000008</v>
      </c>
      <c r="F100" s="366">
        <v>785.82467880000013</v>
      </c>
      <c r="G100" s="366">
        <v>869.85375480000016</v>
      </c>
      <c r="H100" s="366">
        <v>960.85935286964389</v>
      </c>
      <c r="I100" s="366">
        <v>1049.545430606333</v>
      </c>
      <c r="J100" s="366">
        <v>1138.2315083430221</v>
      </c>
      <c r="K100" s="366">
        <v>1226.9175860797113</v>
      </c>
      <c r="L100" s="366"/>
      <c r="M100" s="366"/>
      <c r="N100" s="366"/>
      <c r="O100" s="366" t="s">
        <v>512</v>
      </c>
      <c r="P100" s="366">
        <v>410.47537924800014</v>
      </c>
      <c r="Q100" s="366">
        <v>659.98621800000001</v>
      </c>
      <c r="R100" s="366">
        <v>804.04563239999993</v>
      </c>
      <c r="S100" s="366">
        <v>939.99940200000003</v>
      </c>
      <c r="T100" s="366">
        <v>1064.6362512000001</v>
      </c>
      <c r="U100" s="366">
        <v>1191.6785254351053</v>
      </c>
      <c r="V100" s="366">
        <v>1321.7588772941017</v>
      </c>
      <c r="W100" s="366">
        <v>1451.8392291530909</v>
      </c>
      <c r="X100" s="366">
        <v>1581.9195810120873</v>
      </c>
      <c r="Y100" s="366"/>
      <c r="Z100" s="366"/>
      <c r="AA100" s="366"/>
      <c r="AB100" s="366" t="s">
        <v>512</v>
      </c>
      <c r="AC100" s="366">
        <v>410.47537924800014</v>
      </c>
      <c r="AD100" s="366">
        <v>763.45454611008006</v>
      </c>
      <c r="AE100" s="366">
        <v>1018.8894363948</v>
      </c>
      <c r="AF100" s="366">
        <v>1262.3342299668002</v>
      </c>
      <c r="AG100" s="366">
        <v>1486.1793818195999</v>
      </c>
      <c r="AH100" s="366">
        <v>1681.5961616724003</v>
      </c>
      <c r="AI100" s="366">
        <v>1839.5669140812004</v>
      </c>
      <c r="AJ100" s="366">
        <v>2097</v>
      </c>
      <c r="AK100" s="366">
        <v>2314</v>
      </c>
    </row>
    <row r="101" spans="1:37" x14ac:dyDescent="0.3">
      <c r="A101" s="366"/>
      <c r="B101" s="366" t="s">
        <v>326</v>
      </c>
      <c r="C101" s="366">
        <v>0</v>
      </c>
      <c r="D101" s="366">
        <v>0</v>
      </c>
      <c r="E101" s="366">
        <v>0</v>
      </c>
      <c r="F101" s="366">
        <v>0</v>
      </c>
      <c r="G101" s="366">
        <v>0</v>
      </c>
      <c r="H101" s="366">
        <v>0</v>
      </c>
      <c r="I101" s="366">
        <v>0</v>
      </c>
      <c r="J101" s="366">
        <v>0</v>
      </c>
      <c r="K101" s="366">
        <v>0</v>
      </c>
      <c r="L101" s="366"/>
      <c r="M101" s="366"/>
      <c r="N101" s="366"/>
      <c r="O101" s="366" t="s">
        <v>326</v>
      </c>
      <c r="P101" s="366">
        <v>0</v>
      </c>
      <c r="Q101" s="366">
        <v>0</v>
      </c>
      <c r="R101" s="366">
        <v>0</v>
      </c>
      <c r="S101" s="366">
        <v>0</v>
      </c>
      <c r="T101" s="366">
        <v>0</v>
      </c>
      <c r="U101" s="366">
        <v>0</v>
      </c>
      <c r="V101" s="366">
        <v>0</v>
      </c>
      <c r="W101" s="366">
        <v>0</v>
      </c>
      <c r="X101" s="366">
        <v>0</v>
      </c>
      <c r="Y101" s="366"/>
      <c r="Z101" s="366"/>
      <c r="AA101" s="366"/>
      <c r="AB101" s="366" t="s">
        <v>326</v>
      </c>
      <c r="AC101" s="366">
        <v>0</v>
      </c>
      <c r="AD101" s="366">
        <v>0</v>
      </c>
      <c r="AE101" s="366">
        <v>0</v>
      </c>
      <c r="AF101" s="366">
        <v>0</v>
      </c>
      <c r="AG101" s="366">
        <v>0</v>
      </c>
      <c r="AH101" s="366">
        <v>0</v>
      </c>
      <c r="AI101" s="366">
        <v>0</v>
      </c>
      <c r="AJ101" s="366">
        <v>0</v>
      </c>
      <c r="AK101" s="366">
        <v>0</v>
      </c>
    </row>
    <row r="102" spans="1:37" x14ac:dyDescent="0.3">
      <c r="A102" s="366"/>
      <c r="B102" s="366" t="s">
        <v>258</v>
      </c>
      <c r="C102" s="366">
        <v>55.297328472000004</v>
      </c>
      <c r="D102" s="366">
        <v>132.06841919999999</v>
      </c>
      <c r="E102" s="366">
        <v>168.35960160000002</v>
      </c>
      <c r="F102" s="366">
        <v>206.97027119999996</v>
      </c>
      <c r="G102" s="366">
        <v>247.0756284</v>
      </c>
      <c r="H102" s="366">
        <v>280.96614486129329</v>
      </c>
      <c r="I102" s="366">
        <v>317.65883836920693</v>
      </c>
      <c r="J102" s="366">
        <v>354.35153187712058</v>
      </c>
      <c r="K102" s="366">
        <v>391.04422538503422</v>
      </c>
      <c r="L102" s="366"/>
      <c r="M102" s="366"/>
      <c r="N102" s="366"/>
      <c r="O102" s="366" t="s">
        <v>258</v>
      </c>
      <c r="P102" s="366">
        <v>55.297328472000004</v>
      </c>
      <c r="Q102" s="366">
        <v>183.5200044</v>
      </c>
      <c r="R102" s="366">
        <v>269.0270208</v>
      </c>
      <c r="S102" s="366">
        <v>354.19071960000002</v>
      </c>
      <c r="T102" s="366">
        <v>436.23106560000008</v>
      </c>
      <c r="U102" s="366">
        <v>502.48842862791571</v>
      </c>
      <c r="V102" s="366">
        <v>578.85680522072289</v>
      </c>
      <c r="W102" s="366">
        <v>655.22518181352643</v>
      </c>
      <c r="X102" s="366">
        <v>731.59355840633361</v>
      </c>
      <c r="Y102" s="366"/>
      <c r="Z102" s="366"/>
      <c r="AA102" s="366"/>
      <c r="AB102" s="366" t="s">
        <v>258</v>
      </c>
      <c r="AC102" s="366">
        <v>55.297328472000004</v>
      </c>
      <c r="AD102" s="366">
        <v>239.71578908594398</v>
      </c>
      <c r="AE102" s="366">
        <v>377.93845833066007</v>
      </c>
      <c r="AF102" s="366">
        <v>506.09376885600005</v>
      </c>
      <c r="AG102" s="366">
        <v>620.24623404371994</v>
      </c>
      <c r="AH102" s="366">
        <v>717.18883815348022</v>
      </c>
      <c r="AI102" s="366">
        <v>792.76428179675997</v>
      </c>
      <c r="AJ102" s="366">
        <v>932</v>
      </c>
      <c r="AK102" s="366">
        <v>1045</v>
      </c>
    </row>
    <row r="103" spans="1:37" x14ac:dyDescent="0.3">
      <c r="A103" s="366"/>
      <c r="B103" s="367" t="s">
        <v>690</v>
      </c>
      <c r="C103" s="367">
        <v>8346.998580047999</v>
      </c>
      <c r="D103" s="367">
        <v>10069.9699428</v>
      </c>
      <c r="E103" s="367">
        <v>10464.860545199999</v>
      </c>
      <c r="F103" s="367">
        <v>10794.177486</v>
      </c>
      <c r="G103" s="367">
        <v>11039.7709872</v>
      </c>
      <c r="H103" s="367">
        <v>11614.295469493807</v>
      </c>
      <c r="I103" s="367">
        <v>12033.340805444894</v>
      </c>
      <c r="J103" s="367">
        <v>12452.386141395953</v>
      </c>
      <c r="K103" s="367">
        <v>12871.431477347043</v>
      </c>
      <c r="L103" s="366"/>
      <c r="M103" s="366"/>
      <c r="N103" s="366"/>
      <c r="O103" s="367" t="s">
        <v>690</v>
      </c>
      <c r="P103" s="367">
        <v>8346.998580047999</v>
      </c>
      <c r="Q103" s="367">
        <v>9689.5405475999996</v>
      </c>
      <c r="R103" s="367">
        <v>9825.5989872000009</v>
      </c>
      <c r="S103" s="367">
        <v>9912.4374060000009</v>
      </c>
      <c r="T103" s="367">
        <v>9927.8280828000024</v>
      </c>
      <c r="U103" s="367">
        <v>10296.049663789658</v>
      </c>
      <c r="V103" s="367">
        <v>10488.29414612636</v>
      </c>
      <c r="W103" s="367">
        <v>10680.538628463039</v>
      </c>
      <c r="X103" s="367">
        <v>10917.099717104489</v>
      </c>
      <c r="Y103" s="366"/>
      <c r="Z103" s="366"/>
      <c r="AA103" s="366"/>
      <c r="AB103" s="367" t="s">
        <v>690</v>
      </c>
      <c r="AC103" s="367">
        <v>8346.998580047999</v>
      </c>
      <c r="AD103" s="367">
        <v>9692.1294718885529</v>
      </c>
      <c r="AE103" s="367">
        <v>9738.0790034520633</v>
      </c>
      <c r="AF103" s="367">
        <v>9628.1125769152786</v>
      </c>
      <c r="AG103" s="367">
        <v>9383.8712175806413</v>
      </c>
      <c r="AH103" s="367">
        <v>9043.6664611986307</v>
      </c>
      <c r="AI103" s="367">
        <v>8600.1248365743613</v>
      </c>
      <c r="AJ103" s="367">
        <v>8603.2802208883004</v>
      </c>
      <c r="AK103" s="367">
        <v>8493.853480592199</v>
      </c>
    </row>
    <row r="104" spans="1:37" ht="18" x14ac:dyDescent="0.35">
      <c r="A104" s="370"/>
      <c r="B104" s="370"/>
      <c r="C104" s="366"/>
      <c r="D104" s="366"/>
      <c r="E104" s="366"/>
      <c r="F104" s="366"/>
      <c r="G104" s="366"/>
      <c r="H104" s="366"/>
      <c r="I104" s="366"/>
      <c r="J104" s="366"/>
      <c r="K104" s="366"/>
      <c r="L104" s="370"/>
      <c r="M104" s="366"/>
      <c r="N104" s="370"/>
      <c r="O104" s="370"/>
      <c r="P104" s="366"/>
      <c r="Q104" s="366"/>
      <c r="R104" s="366"/>
      <c r="S104" s="366"/>
      <c r="T104" s="366"/>
      <c r="U104" s="366"/>
      <c r="V104" s="366"/>
      <c r="W104" s="366"/>
      <c r="X104" s="366"/>
      <c r="Y104" s="370"/>
      <c r="Z104" s="366"/>
      <c r="AA104" s="370"/>
      <c r="AB104" s="370"/>
      <c r="AC104" s="366"/>
      <c r="AD104" s="366"/>
      <c r="AE104" s="366"/>
      <c r="AF104" s="366"/>
      <c r="AG104" s="366"/>
      <c r="AH104" s="366"/>
      <c r="AI104" s="366"/>
      <c r="AJ104" s="366"/>
      <c r="AK104" s="366"/>
    </row>
    <row r="105" spans="1:37" x14ac:dyDescent="0.3">
      <c r="A105" s="363" t="s">
        <v>702</v>
      </c>
      <c r="B105" s="364"/>
      <c r="C105" s="364"/>
      <c r="D105" s="364"/>
      <c r="E105" s="364"/>
      <c r="F105" s="364"/>
      <c r="G105" s="364"/>
      <c r="H105" s="364"/>
      <c r="I105" s="364"/>
      <c r="J105" s="364"/>
      <c r="K105" s="364"/>
      <c r="L105" s="363"/>
      <c r="M105" s="365"/>
      <c r="N105" s="363" t="s">
        <v>702</v>
      </c>
      <c r="O105" s="364"/>
      <c r="P105" s="364"/>
      <c r="Q105" s="364"/>
      <c r="R105" s="364"/>
      <c r="S105" s="364"/>
      <c r="T105" s="364"/>
      <c r="U105" s="364"/>
      <c r="V105" s="364"/>
      <c r="W105" s="364"/>
      <c r="X105" s="364"/>
      <c r="Y105" s="363"/>
      <c r="Z105" s="365"/>
      <c r="AA105" s="363" t="s">
        <v>702</v>
      </c>
      <c r="AB105" s="364"/>
      <c r="AC105" s="364"/>
      <c r="AD105" s="364"/>
      <c r="AE105" s="364"/>
      <c r="AF105" s="364"/>
      <c r="AG105" s="364"/>
      <c r="AH105" s="364"/>
      <c r="AI105" s="364"/>
      <c r="AJ105" s="364"/>
      <c r="AK105" s="364"/>
    </row>
    <row r="106" spans="1:37" x14ac:dyDescent="0.3">
      <c r="A106" s="366"/>
      <c r="B106" s="3" t="s">
        <v>266</v>
      </c>
      <c r="C106" s="366">
        <v>1033.346</v>
      </c>
      <c r="D106" s="366">
        <v>731.6395074225735</v>
      </c>
      <c r="E106" s="366">
        <v>636.182015274489</v>
      </c>
      <c r="F106" s="366">
        <v>592.2046341563057</v>
      </c>
      <c r="G106" s="366">
        <v>547.13021911998442</v>
      </c>
      <c r="H106" s="366">
        <v>501.70026522699101</v>
      </c>
      <c r="I106" s="366">
        <v>443.3984203392456</v>
      </c>
      <c r="J106" s="366">
        <v>407.03522270854523</v>
      </c>
      <c r="K106" s="366">
        <v>380.81049167807845</v>
      </c>
      <c r="L106" s="366"/>
      <c r="M106" s="366"/>
      <c r="N106" s="366"/>
      <c r="O106" s="366" t="s">
        <v>266</v>
      </c>
      <c r="P106" s="366">
        <v>1033.346</v>
      </c>
      <c r="Q106" s="366">
        <v>579.23910981687584</v>
      </c>
      <c r="R106" s="366">
        <v>394.46039382198529</v>
      </c>
      <c r="S106" s="366">
        <v>299.49948055656614</v>
      </c>
      <c r="T106" s="366">
        <v>218.87477140453467</v>
      </c>
      <c r="U106" s="366">
        <v>161.20958143199837</v>
      </c>
      <c r="V106" s="366">
        <v>112.89470761102676</v>
      </c>
      <c r="W106" s="366">
        <v>89.661282161916432</v>
      </c>
      <c r="X106" s="366">
        <v>76.038103010096734</v>
      </c>
      <c r="Y106" s="366"/>
      <c r="Z106" s="366"/>
      <c r="AA106" s="366"/>
      <c r="AB106" s="366" t="s">
        <v>266</v>
      </c>
      <c r="AC106" s="366">
        <v>1033.346</v>
      </c>
      <c r="AD106" s="366">
        <v>582.43304484154021</v>
      </c>
      <c r="AE106" s="366">
        <v>413.52667336047296</v>
      </c>
      <c r="AF106" s="366">
        <v>284.47916697392691</v>
      </c>
      <c r="AG106" s="366">
        <v>215.47025326481779</v>
      </c>
      <c r="AH106" s="366">
        <v>151.68590833947215</v>
      </c>
      <c r="AI106" s="366">
        <v>90.7571719787597</v>
      </c>
      <c r="AJ106" s="366">
        <v>54.203293702919346</v>
      </c>
      <c r="AK106" s="366">
        <v>14.598272868617316</v>
      </c>
    </row>
    <row r="107" spans="1:37" x14ac:dyDescent="0.3">
      <c r="A107" s="366"/>
      <c r="B107" s="3" t="s">
        <v>254</v>
      </c>
      <c r="C107" s="366">
        <v>9697.148000000001</v>
      </c>
      <c r="D107" s="366">
        <v>10224.331976909791</v>
      </c>
      <c r="E107" s="366">
        <v>10399.385794522841</v>
      </c>
      <c r="F107" s="366">
        <v>10765.576690224972</v>
      </c>
      <c r="G107" s="366">
        <v>11129.281988298022</v>
      </c>
      <c r="H107" s="366">
        <v>11511.428555090468</v>
      </c>
      <c r="I107" s="366">
        <v>11448.663515556824</v>
      </c>
      <c r="J107" s="366">
        <v>11724.780115575504</v>
      </c>
      <c r="K107" s="366">
        <v>11865.168796870825</v>
      </c>
      <c r="L107" s="366"/>
      <c r="M107" s="366"/>
      <c r="N107" s="366"/>
      <c r="O107" s="366" t="s">
        <v>254</v>
      </c>
      <c r="P107" s="366">
        <v>9697.148000000001</v>
      </c>
      <c r="Q107" s="366">
        <v>7135.0608147792636</v>
      </c>
      <c r="R107" s="366">
        <v>4682.2510021362314</v>
      </c>
      <c r="S107" s="366">
        <v>2192.3764701041514</v>
      </c>
      <c r="T107" s="366">
        <v>726.94099597121249</v>
      </c>
      <c r="U107" s="366">
        <v>52.590322029155764</v>
      </c>
      <c r="V107" s="366">
        <v>34.308213247593763</v>
      </c>
      <c r="W107" s="366">
        <v>22.632465232008084</v>
      </c>
      <c r="X107" s="366">
        <v>7.9112207293965513</v>
      </c>
      <c r="Y107" s="366"/>
      <c r="Z107" s="366"/>
      <c r="AA107" s="366"/>
      <c r="AB107" s="366" t="s">
        <v>254</v>
      </c>
      <c r="AC107" s="366">
        <v>9697.148000000001</v>
      </c>
      <c r="AD107" s="366">
        <v>5733.6023266979537</v>
      </c>
      <c r="AE107" s="366">
        <v>3496.4892297199813</v>
      </c>
      <c r="AF107" s="366">
        <v>1272.4154469830535</v>
      </c>
      <c r="AG107" s="366">
        <v>82.168286035892777</v>
      </c>
      <c r="AH107" s="366">
        <v>40.160433231033878</v>
      </c>
      <c r="AI107" s="366">
        <v>18.832441897686685</v>
      </c>
      <c r="AJ107" s="366">
        <v>16.227800027037812</v>
      </c>
      <c r="AK107" s="366">
        <v>7.9112194809746113</v>
      </c>
    </row>
    <row r="108" spans="1:37" x14ac:dyDescent="0.3">
      <c r="A108" s="366"/>
      <c r="B108" s="3" t="s">
        <v>509</v>
      </c>
      <c r="C108" s="366">
        <v>0</v>
      </c>
      <c r="D108" s="366">
        <v>7.328667259068129</v>
      </c>
      <c r="E108" s="366">
        <v>11.306445041755779</v>
      </c>
      <c r="F108" s="366">
        <v>37.015970550771598</v>
      </c>
      <c r="G108" s="366">
        <v>81.88668052102409</v>
      </c>
      <c r="H108" s="366">
        <v>115.36180172680058</v>
      </c>
      <c r="I108" s="366">
        <v>155.70643747834674</v>
      </c>
      <c r="J108" s="366">
        <v>256.45309660938108</v>
      </c>
      <c r="K108" s="366">
        <v>394.29256398396149</v>
      </c>
      <c r="L108" s="366"/>
      <c r="M108" s="366"/>
      <c r="N108" s="366"/>
      <c r="O108" s="366" t="s">
        <v>509</v>
      </c>
      <c r="P108" s="366">
        <v>0</v>
      </c>
      <c r="Q108" s="366">
        <v>50.633801957797303</v>
      </c>
      <c r="R108" s="366">
        <v>397.30460346705877</v>
      </c>
      <c r="S108" s="366">
        <v>1175.2295847883361</v>
      </c>
      <c r="T108" s="366">
        <v>2025.2955435347021</v>
      </c>
      <c r="U108" s="366">
        <v>2545.076601797864</v>
      </c>
      <c r="V108" s="366">
        <v>2273.339724235263</v>
      </c>
      <c r="W108" s="366">
        <v>1916.8679714573184</v>
      </c>
      <c r="X108" s="366">
        <v>1944.3346205481059</v>
      </c>
      <c r="Y108" s="366"/>
      <c r="Z108" s="366"/>
      <c r="AA108" s="366"/>
      <c r="AB108" s="366" t="s">
        <v>509</v>
      </c>
      <c r="AC108" s="366">
        <v>0</v>
      </c>
      <c r="AD108" s="366">
        <v>40.534845538317178</v>
      </c>
      <c r="AE108" s="366">
        <v>304.4959863426007</v>
      </c>
      <c r="AF108" s="366">
        <v>970.13652299558566</v>
      </c>
      <c r="AG108" s="366">
        <v>1933.0217148514007</v>
      </c>
      <c r="AH108" s="366">
        <v>2279.7372471906265</v>
      </c>
      <c r="AI108" s="366">
        <v>1795.6300663941015</v>
      </c>
      <c r="AJ108" s="366">
        <v>1591.7328442759608</v>
      </c>
      <c r="AK108" s="366">
        <v>1485.323003650444</v>
      </c>
    </row>
    <row r="109" spans="1:37" x14ac:dyDescent="0.3">
      <c r="A109" s="366"/>
      <c r="B109" s="3" t="s">
        <v>510</v>
      </c>
      <c r="C109" s="366">
        <v>5154.8270000000002</v>
      </c>
      <c r="D109" s="366">
        <v>6583.3089580030128</v>
      </c>
      <c r="E109" s="366">
        <v>7763.9542006164847</v>
      </c>
      <c r="F109" s="366">
        <v>8695.0780110526503</v>
      </c>
      <c r="G109" s="366">
        <v>9395.0741556384983</v>
      </c>
      <c r="H109" s="366">
        <v>10057.540813895181</v>
      </c>
      <c r="I109" s="366">
        <v>10585.977461581271</v>
      </c>
      <c r="J109" s="366">
        <v>10981.319560540087</v>
      </c>
      <c r="K109" s="366">
        <v>11701.683111283668</v>
      </c>
      <c r="L109" s="366"/>
      <c r="M109" s="366"/>
      <c r="N109" s="366"/>
      <c r="O109" s="366" t="s">
        <v>510</v>
      </c>
      <c r="P109" s="366">
        <v>5154.8270000000002</v>
      </c>
      <c r="Q109" s="366">
        <v>6669.0351096133854</v>
      </c>
      <c r="R109" s="366">
        <v>6596.4333296443137</v>
      </c>
      <c r="S109" s="366">
        <v>6148.1110101372833</v>
      </c>
      <c r="T109" s="366">
        <v>5094.9928274436725</v>
      </c>
      <c r="U109" s="366">
        <v>3521.0391452269255</v>
      </c>
      <c r="V109" s="366">
        <v>2570.4004182087033</v>
      </c>
      <c r="W109" s="366">
        <v>2348.3521302059944</v>
      </c>
      <c r="X109" s="366">
        <v>2066.5071781216016</v>
      </c>
      <c r="Y109" s="366"/>
      <c r="Z109" s="366"/>
      <c r="AA109" s="366"/>
      <c r="AB109" s="366" t="s">
        <v>510</v>
      </c>
      <c r="AC109" s="366">
        <v>5154.8270000000002</v>
      </c>
      <c r="AD109" s="366">
        <v>7287.9937141385826</v>
      </c>
      <c r="AE109" s="366">
        <v>7372.5162215541641</v>
      </c>
      <c r="AF109" s="366">
        <v>6863.2945828533875</v>
      </c>
      <c r="AG109" s="366">
        <v>4459.0967861335857</v>
      </c>
      <c r="AH109" s="366">
        <v>1727.4445126796841</v>
      </c>
      <c r="AI109" s="366">
        <v>667.76722756631136</v>
      </c>
      <c r="AJ109" s="366">
        <v>320.01850198590216</v>
      </c>
      <c r="AK109" s="366">
        <v>240.34278990192982</v>
      </c>
    </row>
    <row r="110" spans="1:37" x14ac:dyDescent="0.3">
      <c r="A110" s="366"/>
      <c r="B110" s="3" t="s">
        <v>511</v>
      </c>
      <c r="C110" s="366">
        <v>0</v>
      </c>
      <c r="D110" s="366">
        <v>0</v>
      </c>
      <c r="E110" s="366">
        <v>0</v>
      </c>
      <c r="F110" s="366">
        <v>0</v>
      </c>
      <c r="G110" s="366">
        <v>0</v>
      </c>
      <c r="H110" s="366">
        <v>0</v>
      </c>
      <c r="I110" s="366">
        <v>0</v>
      </c>
      <c r="J110" s="366">
        <v>0</v>
      </c>
      <c r="K110" s="366">
        <v>0</v>
      </c>
      <c r="L110" s="366"/>
      <c r="M110" s="366"/>
      <c r="N110" s="366"/>
      <c r="O110" s="366" t="s">
        <v>511</v>
      </c>
      <c r="P110" s="366">
        <v>0</v>
      </c>
      <c r="Q110" s="366">
        <v>4.1420488597211271</v>
      </c>
      <c r="R110" s="366">
        <v>111.39111777759055</v>
      </c>
      <c r="S110" s="366">
        <v>461.49042146475068</v>
      </c>
      <c r="T110" s="366">
        <v>778.63057172176775</v>
      </c>
      <c r="U110" s="366">
        <v>1343.6558516921477</v>
      </c>
      <c r="V110" s="366">
        <v>1548.5846864425976</v>
      </c>
      <c r="W110" s="366">
        <v>1683.2422157055023</v>
      </c>
      <c r="X110" s="366">
        <v>1437.0983668440606</v>
      </c>
      <c r="Y110" s="366"/>
      <c r="Z110" s="366"/>
      <c r="AA110" s="366"/>
      <c r="AB110" s="366" t="s">
        <v>511</v>
      </c>
      <c r="AC110" s="366">
        <v>0</v>
      </c>
      <c r="AD110" s="366">
        <v>12.397581986264719</v>
      </c>
      <c r="AE110" s="366">
        <v>152.43151337840857</v>
      </c>
      <c r="AF110" s="366">
        <v>501.01075892467247</v>
      </c>
      <c r="AG110" s="366">
        <v>1031.043378597863</v>
      </c>
      <c r="AH110" s="366">
        <v>1627.3708987599016</v>
      </c>
      <c r="AI110" s="366">
        <v>1733.7358112945678</v>
      </c>
      <c r="AJ110" s="366">
        <v>1598.9291283067816</v>
      </c>
      <c r="AK110" s="366">
        <v>2049.3439553477619</v>
      </c>
    </row>
    <row r="111" spans="1:37" x14ac:dyDescent="0.3">
      <c r="A111" s="366"/>
      <c r="B111" s="3" t="s">
        <v>257</v>
      </c>
      <c r="C111" s="366">
        <v>2535.326</v>
      </c>
      <c r="D111" s="366">
        <v>3476.4352489146872</v>
      </c>
      <c r="E111" s="366">
        <v>3858.309433592467</v>
      </c>
      <c r="F111" s="366">
        <v>4110.6028575443434</v>
      </c>
      <c r="G111" s="366">
        <v>4470.642667725906</v>
      </c>
      <c r="H111" s="366">
        <v>4738.6049947554629</v>
      </c>
      <c r="I111" s="366">
        <v>4951.3005497209251</v>
      </c>
      <c r="J111" s="366">
        <v>5161.0779411879485</v>
      </c>
      <c r="K111" s="366">
        <v>5290.4398973588859</v>
      </c>
      <c r="L111" s="366"/>
      <c r="M111" s="366"/>
      <c r="N111" s="366"/>
      <c r="O111" s="366" t="s">
        <v>257</v>
      </c>
      <c r="P111" s="366">
        <v>2535.326</v>
      </c>
      <c r="Q111" s="366">
        <v>3750.2082103196226</v>
      </c>
      <c r="R111" s="366">
        <v>4719.3746746021179</v>
      </c>
      <c r="S111" s="366">
        <v>5407.4653399235303</v>
      </c>
      <c r="T111" s="366">
        <v>6109.9452374085813</v>
      </c>
      <c r="U111" s="366">
        <v>6632.9058690538641</v>
      </c>
      <c r="V111" s="366">
        <v>6932.0796668110124</v>
      </c>
      <c r="W111" s="366">
        <v>7303.4239097660466</v>
      </c>
      <c r="X111" s="366">
        <v>7544.5015121423357</v>
      </c>
      <c r="Y111" s="366"/>
      <c r="Z111" s="366"/>
      <c r="AA111" s="366"/>
      <c r="AB111" s="366" t="s">
        <v>257</v>
      </c>
      <c r="AC111" s="366">
        <v>2535.326</v>
      </c>
      <c r="AD111" s="366">
        <v>3797.8245369547517</v>
      </c>
      <c r="AE111" s="366">
        <v>4753.0901845248936</v>
      </c>
      <c r="AF111" s="366">
        <v>5459.8922657168641</v>
      </c>
      <c r="AG111" s="366">
        <v>6159.5912754522024</v>
      </c>
      <c r="AH111" s="366">
        <v>6694.7276786941375</v>
      </c>
      <c r="AI111" s="366">
        <v>7069.3546887434977</v>
      </c>
      <c r="AJ111" s="366">
        <v>7514.876982674612</v>
      </c>
      <c r="AK111" s="366">
        <v>7857.6739637223955</v>
      </c>
    </row>
    <row r="112" spans="1:37" x14ac:dyDescent="0.3">
      <c r="A112" s="366"/>
      <c r="B112" s="3" t="s">
        <v>512</v>
      </c>
      <c r="C112" s="366">
        <v>495.94800000000004</v>
      </c>
      <c r="D112" s="366">
        <v>1031.9215251252633</v>
      </c>
      <c r="E112" s="366">
        <v>1267.4188623850657</v>
      </c>
      <c r="F112" s="366">
        <v>1463.2811622450477</v>
      </c>
      <c r="G112" s="366">
        <v>1692.7129640688756</v>
      </c>
      <c r="H112" s="366">
        <v>1893.8729089952822</v>
      </c>
      <c r="I112" s="366">
        <v>2197.8779723738462</v>
      </c>
      <c r="J112" s="366">
        <v>2522.0628215103143</v>
      </c>
      <c r="K112" s="366">
        <v>2731.1723470139859</v>
      </c>
      <c r="L112" s="366"/>
      <c r="M112" s="366"/>
      <c r="N112" s="366"/>
      <c r="O112" s="366" t="s">
        <v>512</v>
      </c>
      <c r="P112" s="366">
        <v>495.94800000000004</v>
      </c>
      <c r="Q112" s="366">
        <v>1341.3165054371525</v>
      </c>
      <c r="R112" s="366">
        <v>1836.1060590865332</v>
      </c>
      <c r="S112" s="366">
        <v>2323.0163754186906</v>
      </c>
      <c r="T112" s="366">
        <v>2575.3238915773322</v>
      </c>
      <c r="U112" s="366">
        <v>2826.887658782186</v>
      </c>
      <c r="V112" s="366">
        <v>2938.7902340545397</v>
      </c>
      <c r="W112" s="366">
        <v>2631.2218962384968</v>
      </c>
      <c r="X112" s="366">
        <v>2538.2663122134445</v>
      </c>
      <c r="Y112" s="366"/>
      <c r="Z112" s="366"/>
      <c r="AA112" s="366"/>
      <c r="AB112" s="366" t="s">
        <v>512</v>
      </c>
      <c r="AC112" s="366">
        <v>495.94800000000004</v>
      </c>
      <c r="AD112" s="366">
        <v>1488.6123878050307</v>
      </c>
      <c r="AE112" s="366">
        <v>1937.855435521318</v>
      </c>
      <c r="AF112" s="366">
        <v>2483.702083086192</v>
      </c>
      <c r="AG112" s="366">
        <v>3076.1374554462427</v>
      </c>
      <c r="AH112" s="366">
        <v>3459.5748022474122</v>
      </c>
      <c r="AI112" s="366">
        <v>3588.7980043099196</v>
      </c>
      <c r="AJ112" s="366">
        <v>3304.7802216972177</v>
      </c>
      <c r="AK112" s="366">
        <v>2472.1261137525148</v>
      </c>
    </row>
    <row r="113" spans="1:37" x14ac:dyDescent="0.3">
      <c r="A113" s="366"/>
      <c r="B113" s="3" t="s">
        <v>513</v>
      </c>
      <c r="C113" s="366">
        <v>0</v>
      </c>
      <c r="D113" s="366">
        <v>0</v>
      </c>
      <c r="E113" s="366">
        <v>0</v>
      </c>
      <c r="F113" s="366">
        <v>0</v>
      </c>
      <c r="G113" s="366">
        <v>2.6661947052923547</v>
      </c>
      <c r="H113" s="366">
        <v>7.0385098799098555</v>
      </c>
      <c r="I113" s="366">
        <v>12.4021523358698</v>
      </c>
      <c r="J113" s="366">
        <v>22.876483411876062</v>
      </c>
      <c r="K113" s="366">
        <v>44.271390324714844</v>
      </c>
      <c r="L113" s="366"/>
      <c r="M113" s="366"/>
      <c r="N113" s="366"/>
      <c r="O113" s="366" t="s">
        <v>513</v>
      </c>
      <c r="P113" s="366">
        <v>0</v>
      </c>
      <c r="Q113" s="366">
        <v>3.7646867873302181</v>
      </c>
      <c r="R113" s="366">
        <v>19.862691233071295</v>
      </c>
      <c r="S113" s="366">
        <v>79.619330097195402</v>
      </c>
      <c r="T113" s="366">
        <v>180.84606229968946</v>
      </c>
      <c r="U113" s="366">
        <v>317.94889883418</v>
      </c>
      <c r="V113" s="366">
        <v>427.06672970860012</v>
      </c>
      <c r="W113" s="366">
        <v>658.3865264007261</v>
      </c>
      <c r="X113" s="366">
        <v>1030.2472504573657</v>
      </c>
      <c r="Y113" s="366"/>
      <c r="Z113" s="366"/>
      <c r="AA113" s="366"/>
      <c r="AB113" s="366" t="s">
        <v>513</v>
      </c>
      <c r="AC113" s="366">
        <v>0</v>
      </c>
      <c r="AD113" s="366">
        <v>3.4569764943445489</v>
      </c>
      <c r="AE113" s="366">
        <v>12.920088575031652</v>
      </c>
      <c r="AF113" s="366">
        <v>69.845187135081972</v>
      </c>
      <c r="AG113" s="366">
        <v>253.09722965482851</v>
      </c>
      <c r="AH113" s="366">
        <v>715.07668659653336</v>
      </c>
      <c r="AI113" s="366">
        <v>1173.7152086759461</v>
      </c>
      <c r="AJ113" s="366">
        <v>1675.140910649382</v>
      </c>
      <c r="AK113" s="366">
        <v>2213.6563171406628</v>
      </c>
    </row>
    <row r="114" spans="1:37" x14ac:dyDescent="0.3">
      <c r="A114" s="366"/>
      <c r="B114" s="3" t="s">
        <v>514</v>
      </c>
      <c r="C114" s="366">
        <v>3894.7080000000001</v>
      </c>
      <c r="D114" s="366">
        <v>4939.2864291594351</v>
      </c>
      <c r="E114" s="366">
        <v>5421.8413407359367</v>
      </c>
      <c r="F114" s="366">
        <v>5867.3347559816748</v>
      </c>
      <c r="G114" s="366">
        <v>6261.1145726070308</v>
      </c>
      <c r="H114" s="366">
        <v>6648.6687900265624</v>
      </c>
      <c r="I114" s="366">
        <v>7037.0596029104772</v>
      </c>
      <c r="J114" s="366">
        <v>7430.2444560580816</v>
      </c>
      <c r="K114" s="366">
        <v>7836.0845022802187</v>
      </c>
      <c r="L114" s="366"/>
      <c r="M114" s="366"/>
      <c r="N114" s="366"/>
      <c r="O114" s="366" t="s">
        <v>514</v>
      </c>
      <c r="P114" s="366">
        <v>3894.7080000000001</v>
      </c>
      <c r="Q114" s="366">
        <v>5157.495122197256</v>
      </c>
      <c r="R114" s="366">
        <v>5691.457396244723</v>
      </c>
      <c r="S114" s="366">
        <v>6045.4950914211513</v>
      </c>
      <c r="T114" s="366">
        <v>6618.4871405593949</v>
      </c>
      <c r="U114" s="366">
        <v>7140.782885501385</v>
      </c>
      <c r="V114" s="366">
        <v>7619.3421636690573</v>
      </c>
      <c r="W114" s="366">
        <v>8076.3666032435867</v>
      </c>
      <c r="X114" s="366">
        <v>8512.4306404255731</v>
      </c>
      <c r="Y114" s="366"/>
      <c r="Z114" s="366"/>
      <c r="AA114" s="366"/>
      <c r="AB114" s="366" t="s">
        <v>514</v>
      </c>
      <c r="AC114" s="366">
        <v>3894.7080000000001</v>
      </c>
      <c r="AD114" s="366">
        <v>5159.2504762681683</v>
      </c>
      <c r="AE114" s="366">
        <v>5713.7086533450283</v>
      </c>
      <c r="AF114" s="366">
        <v>6102.270844518167</v>
      </c>
      <c r="AG114" s="366">
        <v>6746.7868103090632</v>
      </c>
      <c r="AH114" s="366">
        <v>7362.3572617812524</v>
      </c>
      <c r="AI114" s="366">
        <v>7964.9360111745673</v>
      </c>
      <c r="AJ114" s="366">
        <v>8581.8450144875023</v>
      </c>
      <c r="AK114" s="366">
        <v>9194.0300709084968</v>
      </c>
    </row>
    <row r="115" spans="1:37" x14ac:dyDescent="0.3">
      <c r="A115" s="366"/>
      <c r="B115" s="3" t="s">
        <v>506</v>
      </c>
      <c r="C115" s="366">
        <v>77.376999999999995</v>
      </c>
      <c r="D115" s="366">
        <v>173.87445333030885</v>
      </c>
      <c r="E115" s="366">
        <v>234.004778963175</v>
      </c>
      <c r="F115" s="366">
        <v>313.87381015697315</v>
      </c>
      <c r="G115" s="366">
        <v>407.41063769257062</v>
      </c>
      <c r="H115" s="366">
        <v>511.58313482880709</v>
      </c>
      <c r="I115" s="366">
        <v>620.74288416612228</v>
      </c>
      <c r="J115" s="366">
        <v>727.5549873229138</v>
      </c>
      <c r="K115" s="366">
        <v>839.03933998829234</v>
      </c>
      <c r="L115" s="366"/>
      <c r="M115" s="366"/>
      <c r="N115" s="366"/>
      <c r="O115" s="366" t="s">
        <v>506</v>
      </c>
      <c r="P115" s="366">
        <v>77.376999999999995</v>
      </c>
      <c r="Q115" s="366">
        <v>223.05875320662588</v>
      </c>
      <c r="R115" s="366">
        <v>336.32237681838785</v>
      </c>
      <c r="S115" s="366">
        <v>475.69327308601879</v>
      </c>
      <c r="T115" s="366">
        <v>618.95690086972763</v>
      </c>
      <c r="U115" s="366">
        <v>775.11938764904789</v>
      </c>
      <c r="V115" s="366">
        <v>931.46467698757056</v>
      </c>
      <c r="W115" s="366">
        <v>1081.0625674961591</v>
      </c>
      <c r="X115" s="366">
        <v>1229.2722341370356</v>
      </c>
      <c r="Y115" s="366"/>
      <c r="Z115" s="366"/>
      <c r="AA115" s="366"/>
      <c r="AB115" s="366" t="s">
        <v>506</v>
      </c>
      <c r="AC115" s="366">
        <v>77.376999999999995</v>
      </c>
      <c r="AD115" s="366">
        <v>224.70842295503141</v>
      </c>
      <c r="AE115" s="366">
        <v>343.1592661154192</v>
      </c>
      <c r="AF115" s="366">
        <v>489.16273055268647</v>
      </c>
      <c r="AG115" s="366">
        <v>644.88924281322033</v>
      </c>
      <c r="AH115" s="366">
        <v>820.32375047994276</v>
      </c>
      <c r="AI115" s="366">
        <v>1006.6939361437601</v>
      </c>
      <c r="AJ115" s="366">
        <v>1190.4754239507513</v>
      </c>
      <c r="AK115" s="366">
        <v>1369.6500207175693</v>
      </c>
    </row>
    <row r="116" spans="1:37" x14ac:dyDescent="0.3">
      <c r="A116" s="366"/>
      <c r="B116" s="3" t="s">
        <v>515</v>
      </c>
      <c r="C116" s="366">
        <v>692.12371787999996</v>
      </c>
      <c r="D116" s="366">
        <v>2111.5128888490908</v>
      </c>
      <c r="E116" s="366">
        <v>2735.5918940803613</v>
      </c>
      <c r="F116" s="366">
        <v>3279.3961339638399</v>
      </c>
      <c r="G116" s="366">
        <v>3702.5045868342222</v>
      </c>
      <c r="H116" s="366">
        <v>4115.5519676446957</v>
      </c>
      <c r="I116" s="366">
        <v>4678.0110335836871</v>
      </c>
      <c r="J116" s="366">
        <v>5094.6863218475009</v>
      </c>
      <c r="K116" s="366">
        <v>5416.3603228242528</v>
      </c>
      <c r="L116" s="366"/>
      <c r="M116" s="366"/>
      <c r="N116" s="366"/>
      <c r="O116" s="366" t="s">
        <v>515</v>
      </c>
      <c r="P116" s="366">
        <v>692.12371787999996</v>
      </c>
      <c r="Q116" s="366">
        <v>2483.8560216318983</v>
      </c>
      <c r="R116" s="366">
        <v>3841.5457435384405</v>
      </c>
      <c r="S116" s="366">
        <v>4833.7369228036123</v>
      </c>
      <c r="T116" s="366">
        <v>5430.7191696638347</v>
      </c>
      <c r="U116" s="366">
        <v>5885.6907653753569</v>
      </c>
      <c r="V116" s="366">
        <v>6485.5515795750653</v>
      </c>
      <c r="W116" s="366">
        <v>6973.8846717838951</v>
      </c>
      <c r="X116" s="366">
        <v>7457.5960710370937</v>
      </c>
      <c r="Y116" s="366"/>
      <c r="Z116" s="366"/>
      <c r="AA116" s="366"/>
      <c r="AB116" s="366" t="s">
        <v>515</v>
      </c>
      <c r="AC116" s="366">
        <v>692.12371787999996</v>
      </c>
      <c r="AD116" s="366">
        <v>2564.5870851507511</v>
      </c>
      <c r="AE116" s="366">
        <v>3726.0198449096065</v>
      </c>
      <c r="AF116" s="366">
        <v>4666.9741084744164</v>
      </c>
      <c r="AG116" s="366">
        <v>5470.2247279555813</v>
      </c>
      <c r="AH116" s="366">
        <v>6094.0766052582494</v>
      </c>
      <c r="AI116" s="366">
        <v>6850.9596911843264</v>
      </c>
      <c r="AJ116" s="366">
        <v>7356.9770222920852</v>
      </c>
      <c r="AK116" s="366">
        <v>7686.0143252748239</v>
      </c>
    </row>
    <row r="117" spans="1:37" x14ac:dyDescent="0.3">
      <c r="A117" s="366"/>
      <c r="B117" s="3" t="s">
        <v>516</v>
      </c>
      <c r="C117" s="366">
        <v>25.169518119999996</v>
      </c>
      <c r="D117" s="366">
        <v>81.117565309053333</v>
      </c>
      <c r="E117" s="366">
        <v>136.94857356387686</v>
      </c>
      <c r="F117" s="366">
        <v>205.18702956394299</v>
      </c>
      <c r="G117" s="366">
        <v>293.88522430797775</v>
      </c>
      <c r="H117" s="366">
        <v>416.26504883152143</v>
      </c>
      <c r="I117" s="366">
        <v>573.49264135499402</v>
      </c>
      <c r="J117" s="366">
        <v>783.48264971116009</v>
      </c>
      <c r="K117" s="366">
        <v>1068.9585367301961</v>
      </c>
      <c r="L117" s="366"/>
      <c r="M117" s="366"/>
      <c r="N117" s="366"/>
      <c r="O117" s="366" t="s">
        <v>516</v>
      </c>
      <c r="P117" s="366">
        <v>25.169518119999996</v>
      </c>
      <c r="Q117" s="366">
        <v>221.78177286445234</v>
      </c>
      <c r="R117" s="366">
        <v>472.94020459164329</v>
      </c>
      <c r="S117" s="366">
        <v>760.31550167874548</v>
      </c>
      <c r="T117" s="366">
        <v>1051.8477542134247</v>
      </c>
      <c r="U117" s="366">
        <v>1362.3921078008293</v>
      </c>
      <c r="V117" s="366">
        <v>1693.2494071042897</v>
      </c>
      <c r="W117" s="366">
        <v>2123.0893932382542</v>
      </c>
      <c r="X117" s="366">
        <v>2677.6979277746914</v>
      </c>
      <c r="Y117" s="366"/>
      <c r="Z117" s="366"/>
      <c r="AA117" s="366"/>
      <c r="AB117" s="366" t="s">
        <v>516</v>
      </c>
      <c r="AC117" s="366">
        <v>25.169518119999996</v>
      </c>
      <c r="AD117" s="366">
        <v>221.78047089869935</v>
      </c>
      <c r="AE117" s="366">
        <v>457.30766564378109</v>
      </c>
      <c r="AF117" s="366">
        <v>748.12934778901342</v>
      </c>
      <c r="AG117" s="366">
        <v>1059.7755534910161</v>
      </c>
      <c r="AH117" s="366">
        <v>1392.9391652658276</v>
      </c>
      <c r="AI117" s="366">
        <v>1801.5070131232471</v>
      </c>
      <c r="AJ117" s="366">
        <v>2283.6143570850923</v>
      </c>
      <c r="AK117" s="366">
        <v>2829.12017484845</v>
      </c>
    </row>
    <row r="118" spans="1:37" x14ac:dyDescent="0.3">
      <c r="A118" s="366"/>
      <c r="B118" s="3" t="s">
        <v>504</v>
      </c>
      <c r="C118" s="366">
        <v>189.68899999999999</v>
      </c>
      <c r="D118" s="366">
        <v>982.11399161281508</v>
      </c>
      <c r="E118" s="366">
        <v>1402.090776068967</v>
      </c>
      <c r="F118" s="366">
        <v>1830.2536160433738</v>
      </c>
      <c r="G118" s="366">
        <v>2298.2931273896111</v>
      </c>
      <c r="H118" s="366">
        <v>2809.3637794694155</v>
      </c>
      <c r="I118" s="366">
        <v>3344.9658360069461</v>
      </c>
      <c r="J118" s="366">
        <v>3753.4493577511944</v>
      </c>
      <c r="K118" s="366">
        <v>4167.4269018450977</v>
      </c>
      <c r="L118" s="366"/>
      <c r="M118" s="366"/>
      <c r="N118" s="366"/>
      <c r="O118" s="366" t="s">
        <v>504</v>
      </c>
      <c r="P118" s="366">
        <v>189.68899999999999</v>
      </c>
      <c r="Q118" s="366">
        <v>1139.8421198521276</v>
      </c>
      <c r="R118" s="366">
        <v>1757.250558802725</v>
      </c>
      <c r="S118" s="366">
        <v>2528.629660241289</v>
      </c>
      <c r="T118" s="366">
        <v>3254.3987602971297</v>
      </c>
      <c r="U118" s="366">
        <v>4402.7980218990251</v>
      </c>
      <c r="V118" s="366">
        <v>5549.8447806324975</v>
      </c>
      <c r="W118" s="366">
        <v>6885.3337773418525</v>
      </c>
      <c r="X118" s="366">
        <v>8736.1227520699904</v>
      </c>
      <c r="Y118" s="366"/>
      <c r="Z118" s="366"/>
      <c r="AA118" s="366"/>
      <c r="AB118" s="366" t="s">
        <v>504</v>
      </c>
      <c r="AC118" s="366">
        <v>189.68899999999999</v>
      </c>
      <c r="AD118" s="366">
        <v>948.37857442481572</v>
      </c>
      <c r="AE118" s="366">
        <v>1518.9112881261688</v>
      </c>
      <c r="AF118" s="366">
        <v>2399.0493281807398</v>
      </c>
      <c r="AG118" s="366">
        <v>3489.9328641497059</v>
      </c>
      <c r="AH118" s="366">
        <v>4807.212605481679</v>
      </c>
      <c r="AI118" s="366">
        <v>6097.3840090974954</v>
      </c>
      <c r="AJ118" s="366">
        <v>7610.8550656670441</v>
      </c>
      <c r="AK118" s="366">
        <v>9192.7869559124338</v>
      </c>
    </row>
    <row r="119" spans="1:37" x14ac:dyDescent="0.3">
      <c r="A119" s="366"/>
      <c r="B119" s="3" t="s">
        <v>517</v>
      </c>
      <c r="C119" s="366">
        <v>8.49</v>
      </c>
      <c r="D119" s="366">
        <v>65.637475893681824</v>
      </c>
      <c r="E119" s="366">
        <v>115.6414039224553</v>
      </c>
      <c r="F119" s="366">
        <v>258.97805025324158</v>
      </c>
      <c r="G119" s="366">
        <v>432.04011775144664</v>
      </c>
      <c r="H119" s="366">
        <v>577.47162149249948</v>
      </c>
      <c r="I119" s="366">
        <v>797.80673491145581</v>
      </c>
      <c r="J119" s="366">
        <v>1180.1958777413784</v>
      </c>
      <c r="K119" s="366">
        <v>1549.9733805628302</v>
      </c>
      <c r="L119" s="366"/>
      <c r="M119" s="366"/>
      <c r="N119" s="366"/>
      <c r="O119" s="366" t="s">
        <v>517</v>
      </c>
      <c r="P119" s="366">
        <v>8.49</v>
      </c>
      <c r="Q119" s="366">
        <v>146.27896285739675</v>
      </c>
      <c r="R119" s="366">
        <v>563.24452495159539</v>
      </c>
      <c r="S119" s="366">
        <v>1100.1288217436768</v>
      </c>
      <c r="T119" s="366">
        <v>1571.8909763332242</v>
      </c>
      <c r="U119" s="366">
        <v>2194.5620341193521</v>
      </c>
      <c r="V119" s="366">
        <v>2951.1832081331636</v>
      </c>
      <c r="W119" s="366">
        <v>3651.3869047336452</v>
      </c>
      <c r="X119" s="366">
        <v>4527.3331589343761</v>
      </c>
      <c r="Y119" s="366"/>
      <c r="Z119" s="366"/>
      <c r="AA119" s="366"/>
      <c r="AB119" s="366" t="s">
        <v>517</v>
      </c>
      <c r="AC119" s="366">
        <v>8.49</v>
      </c>
      <c r="AD119" s="366">
        <v>304.00209550567251</v>
      </c>
      <c r="AE119" s="366">
        <v>736.08821555283885</v>
      </c>
      <c r="AF119" s="366">
        <v>1455.1666716585403</v>
      </c>
      <c r="AG119" s="366">
        <v>2263.4297583263365</v>
      </c>
      <c r="AH119" s="366">
        <v>3022.3744127771765</v>
      </c>
      <c r="AI119" s="366">
        <v>3895.010035396167</v>
      </c>
      <c r="AJ119" s="366">
        <v>4657.4793213432431</v>
      </c>
      <c r="AK119" s="366">
        <v>5459.9573322180768</v>
      </c>
    </row>
    <row r="120" spans="1:37" x14ac:dyDescent="0.3">
      <c r="A120" s="366"/>
      <c r="B120" s="3" t="s">
        <v>518</v>
      </c>
      <c r="C120" s="366">
        <v>0.999</v>
      </c>
      <c r="D120" s="366">
        <v>6.3021101126092027</v>
      </c>
      <c r="E120" s="366">
        <v>16.122901444144141</v>
      </c>
      <c r="F120" s="366">
        <v>30.780469956664721</v>
      </c>
      <c r="G120" s="366">
        <v>54.579965806412687</v>
      </c>
      <c r="H120" s="366">
        <v>75.536138571781166</v>
      </c>
      <c r="I120" s="366">
        <v>96.996166390653144</v>
      </c>
      <c r="J120" s="366">
        <v>121.1093672910081</v>
      </c>
      <c r="K120" s="366">
        <v>143.64629150810222</v>
      </c>
      <c r="L120" s="366"/>
      <c r="M120" s="366"/>
      <c r="N120" s="366"/>
      <c r="O120" s="366" t="s">
        <v>518</v>
      </c>
      <c r="P120" s="366">
        <v>0.999</v>
      </c>
      <c r="Q120" s="366">
        <v>7.2969497548049507</v>
      </c>
      <c r="R120" s="366">
        <v>20.77435565001446</v>
      </c>
      <c r="S120" s="366">
        <v>58.490591924727973</v>
      </c>
      <c r="T120" s="366">
        <v>120.61265649120239</v>
      </c>
      <c r="U120" s="366">
        <v>258.40037088678747</v>
      </c>
      <c r="V120" s="366">
        <v>477.78923320502986</v>
      </c>
      <c r="W120" s="366">
        <v>707.19141589145852</v>
      </c>
      <c r="X120" s="366">
        <v>876.31873169159667</v>
      </c>
      <c r="Y120" s="366"/>
      <c r="Z120" s="366"/>
      <c r="AA120" s="366"/>
      <c r="AB120" s="366" t="s">
        <v>518</v>
      </c>
      <c r="AC120" s="366">
        <v>0.999</v>
      </c>
      <c r="AD120" s="366">
        <v>7.296959336555731</v>
      </c>
      <c r="AE120" s="366">
        <v>20.774265893279839</v>
      </c>
      <c r="AF120" s="366">
        <v>59.28755174392596</v>
      </c>
      <c r="AG120" s="366">
        <v>130.6697775364936</v>
      </c>
      <c r="AH120" s="366">
        <v>286.24051535865544</v>
      </c>
      <c r="AI120" s="366">
        <v>565.64155190362624</v>
      </c>
      <c r="AJ120" s="366">
        <v>843.27760988590558</v>
      </c>
      <c r="AK120" s="366">
        <v>1050.0321703794982</v>
      </c>
    </row>
    <row r="121" spans="1:37" x14ac:dyDescent="0.3">
      <c r="A121" s="366"/>
      <c r="B121" s="3" t="s">
        <v>258</v>
      </c>
      <c r="C121" s="366">
        <v>13.747999999999999</v>
      </c>
      <c r="D121" s="366">
        <v>0</v>
      </c>
      <c r="E121" s="366">
        <v>0</v>
      </c>
      <c r="F121" s="366">
        <v>0</v>
      </c>
      <c r="G121" s="366">
        <v>0</v>
      </c>
      <c r="H121" s="366">
        <v>0</v>
      </c>
      <c r="I121" s="366">
        <v>0</v>
      </c>
      <c r="J121" s="366">
        <v>0</v>
      </c>
      <c r="K121" s="366">
        <v>0</v>
      </c>
      <c r="L121" s="366"/>
      <c r="M121" s="366"/>
      <c r="N121" s="366"/>
      <c r="O121" s="366" t="s">
        <v>258</v>
      </c>
      <c r="P121" s="366">
        <v>13.747999999999999</v>
      </c>
      <c r="Q121" s="366">
        <v>0</v>
      </c>
      <c r="R121" s="366">
        <v>0</v>
      </c>
      <c r="S121" s="366">
        <v>0</v>
      </c>
      <c r="T121" s="366">
        <v>0</v>
      </c>
      <c r="U121" s="366">
        <v>0</v>
      </c>
      <c r="V121" s="366">
        <v>0</v>
      </c>
      <c r="W121" s="366">
        <v>0</v>
      </c>
      <c r="X121" s="366">
        <v>0</v>
      </c>
      <c r="Y121" s="366"/>
      <c r="Z121" s="366"/>
      <c r="AA121" s="366"/>
      <c r="AB121" s="366" t="s">
        <v>258</v>
      </c>
      <c r="AC121" s="366">
        <v>13.747999999999999</v>
      </c>
      <c r="AD121" s="366">
        <v>0</v>
      </c>
      <c r="AE121" s="366">
        <v>0</v>
      </c>
      <c r="AF121" s="366">
        <v>0</v>
      </c>
      <c r="AG121" s="366">
        <v>0</v>
      </c>
      <c r="AH121" s="366">
        <v>0</v>
      </c>
      <c r="AI121" s="366">
        <v>0</v>
      </c>
      <c r="AJ121" s="366">
        <v>0</v>
      </c>
      <c r="AK121" s="366">
        <v>0</v>
      </c>
    </row>
    <row r="122" spans="1:37" x14ac:dyDescent="0.3">
      <c r="A122" s="367"/>
      <c r="B122" s="4" t="s">
        <v>690</v>
      </c>
      <c r="C122" s="367">
        <v>23818.899236000001</v>
      </c>
      <c r="D122" s="367">
        <v>30414.810797901395</v>
      </c>
      <c r="E122" s="367">
        <v>33998.798420212021</v>
      </c>
      <c r="F122" s="367">
        <v>37449.5631916938</v>
      </c>
      <c r="G122" s="367">
        <v>40769.223102466865</v>
      </c>
      <c r="H122" s="367">
        <v>43979.988330435372</v>
      </c>
      <c r="I122" s="367">
        <v>46944.401408710663</v>
      </c>
      <c r="J122" s="367">
        <v>50166.328259266898</v>
      </c>
      <c r="K122" s="367">
        <v>53429.327874253111</v>
      </c>
      <c r="L122" s="367"/>
      <c r="M122" s="367"/>
      <c r="N122" s="367"/>
      <c r="O122" s="367" t="s">
        <v>690</v>
      </c>
      <c r="P122" s="367">
        <v>23818.899236000001</v>
      </c>
      <c r="Q122" s="367">
        <v>28913.009989935708</v>
      </c>
      <c r="R122" s="367">
        <v>31440.719032366433</v>
      </c>
      <c r="S122" s="367">
        <v>33889.297875389719</v>
      </c>
      <c r="T122" s="367">
        <v>36377.763259789434</v>
      </c>
      <c r="U122" s="367">
        <v>39421.059502080105</v>
      </c>
      <c r="V122" s="367">
        <v>42545.889429626019</v>
      </c>
      <c r="W122" s="367">
        <v>46152.103730896866</v>
      </c>
      <c r="X122" s="367">
        <v>50661.676080136771</v>
      </c>
      <c r="Y122" s="367"/>
      <c r="Z122" s="367"/>
      <c r="AA122" s="367"/>
      <c r="AB122" s="367" t="s">
        <v>690</v>
      </c>
      <c r="AC122" s="367">
        <v>23818.899236000001</v>
      </c>
      <c r="AD122" s="367">
        <v>28376.859498996477</v>
      </c>
      <c r="AE122" s="367">
        <v>30959.294532562992</v>
      </c>
      <c r="AF122" s="367">
        <v>33824.81659758625</v>
      </c>
      <c r="AG122" s="367">
        <v>37015.335114018257</v>
      </c>
      <c r="AH122" s="367">
        <v>40481.30248414159</v>
      </c>
      <c r="AI122" s="367">
        <v>44320.722868883975</v>
      </c>
      <c r="AJ122" s="367">
        <v>48600.433498031431</v>
      </c>
      <c r="AK122" s="367">
        <v>53122.56668612465</v>
      </c>
    </row>
    <row r="123" spans="1:37" x14ac:dyDescent="0.3">
      <c r="A123" s="366"/>
      <c r="B123" s="371"/>
      <c r="C123" s="366"/>
      <c r="D123" s="366"/>
      <c r="E123" s="366"/>
      <c r="F123" s="366"/>
      <c r="G123" s="366"/>
      <c r="H123" s="366"/>
      <c r="I123" s="366"/>
      <c r="J123" s="366"/>
      <c r="K123" s="366"/>
      <c r="L123" s="366"/>
      <c r="M123" s="366"/>
      <c r="N123" s="366"/>
      <c r="O123" s="371"/>
      <c r="P123" s="366"/>
      <c r="Q123" s="366"/>
      <c r="R123" s="366"/>
      <c r="S123" s="366"/>
      <c r="T123" s="366"/>
      <c r="U123" s="366"/>
      <c r="V123" s="366"/>
      <c r="W123" s="366"/>
      <c r="X123" s="366"/>
      <c r="Y123" s="366"/>
      <c r="Z123" s="366"/>
      <c r="AA123" s="366"/>
      <c r="AB123" s="371"/>
      <c r="AC123" s="366"/>
      <c r="AD123" s="366"/>
      <c r="AE123" s="366"/>
      <c r="AF123" s="366"/>
      <c r="AG123" s="366"/>
      <c r="AH123" s="366"/>
      <c r="AI123" s="366"/>
      <c r="AJ123" s="366"/>
      <c r="AK123" s="366"/>
    </row>
    <row r="124" spans="1:37" x14ac:dyDescent="0.3">
      <c r="A124" s="363" t="s">
        <v>703</v>
      </c>
      <c r="B124" s="364"/>
      <c r="C124" s="364"/>
      <c r="D124" s="364"/>
      <c r="E124" s="364"/>
      <c r="F124" s="364"/>
      <c r="G124" s="364"/>
      <c r="H124" s="364"/>
      <c r="I124" s="364"/>
      <c r="J124" s="364"/>
      <c r="K124" s="364"/>
      <c r="L124" s="363"/>
      <c r="M124" s="365"/>
      <c r="N124" s="363" t="s">
        <v>703</v>
      </c>
      <c r="O124" s="364"/>
      <c r="P124" s="364"/>
      <c r="Q124" s="364"/>
      <c r="R124" s="364"/>
      <c r="S124" s="364"/>
      <c r="T124" s="364"/>
      <c r="U124" s="364"/>
      <c r="V124" s="364"/>
      <c r="W124" s="364"/>
      <c r="X124" s="364"/>
      <c r="Y124" s="363"/>
      <c r="Z124" s="365"/>
      <c r="AA124" s="363" t="s">
        <v>703</v>
      </c>
      <c r="AB124" s="364"/>
      <c r="AC124" s="364"/>
      <c r="AD124" s="364"/>
      <c r="AE124" s="364"/>
      <c r="AF124" s="364"/>
      <c r="AG124" s="364"/>
      <c r="AH124" s="364"/>
      <c r="AI124" s="364"/>
      <c r="AJ124" s="364"/>
      <c r="AK124" s="364"/>
    </row>
    <row r="125" spans="1:37" x14ac:dyDescent="0.3">
      <c r="A125" s="366"/>
      <c r="B125" s="366" t="s">
        <v>266</v>
      </c>
      <c r="C125" s="366">
        <v>442.34508278658268</v>
      </c>
      <c r="D125" s="366">
        <v>412.25726398093832</v>
      </c>
      <c r="E125" s="366">
        <v>334.80739288811037</v>
      </c>
      <c r="F125" s="366">
        <v>284.31426209862917</v>
      </c>
      <c r="G125" s="366">
        <v>255.06501813470425</v>
      </c>
      <c r="H125" s="366">
        <v>236.47033425401193</v>
      </c>
      <c r="I125" s="366">
        <v>204.31890877543393</v>
      </c>
      <c r="J125" s="366">
        <v>154.88134483156944</v>
      </c>
      <c r="K125" s="366">
        <v>134.64069795332381</v>
      </c>
      <c r="L125" s="366"/>
      <c r="M125" s="366"/>
      <c r="N125" s="366"/>
      <c r="O125" s="366" t="s">
        <v>266</v>
      </c>
      <c r="P125" s="366">
        <v>442.34508278658268</v>
      </c>
      <c r="Q125" s="366">
        <v>397.29294188450211</v>
      </c>
      <c r="R125" s="366">
        <v>319.75212159696525</v>
      </c>
      <c r="S125" s="366">
        <v>259.71906079217376</v>
      </c>
      <c r="T125" s="366">
        <v>204.38194939348523</v>
      </c>
      <c r="U125" s="366">
        <v>189.51573756941318</v>
      </c>
      <c r="V125" s="366">
        <v>168.75145611529788</v>
      </c>
      <c r="W125" s="366">
        <v>142.51877255371971</v>
      </c>
      <c r="X125" s="366">
        <v>391.49199618837611</v>
      </c>
      <c r="Y125" s="366"/>
      <c r="Z125" s="366"/>
      <c r="AA125" s="366"/>
      <c r="AB125" s="366" t="s">
        <v>266</v>
      </c>
      <c r="AC125" s="366">
        <v>442.34508278658268</v>
      </c>
      <c r="AD125" s="366">
        <v>411.14520964027207</v>
      </c>
      <c r="AE125" s="366">
        <v>331.02827878410483</v>
      </c>
      <c r="AF125" s="366">
        <v>268.96965329296444</v>
      </c>
      <c r="AG125" s="366">
        <v>213.56470202353984</v>
      </c>
      <c r="AH125" s="366">
        <v>190.03840641082587</v>
      </c>
      <c r="AI125" s="366">
        <v>182.1913170976384</v>
      </c>
      <c r="AJ125" s="366">
        <v>152.63290019485376</v>
      </c>
      <c r="AK125" s="366">
        <v>160.94156421877361</v>
      </c>
    </row>
    <row r="126" spans="1:37" x14ac:dyDescent="0.3">
      <c r="A126" s="366"/>
      <c r="B126" s="366" t="s">
        <v>254</v>
      </c>
      <c r="C126" s="366">
        <v>1760.3680667874487</v>
      </c>
      <c r="D126" s="366">
        <v>2006.6100788259769</v>
      </c>
      <c r="E126" s="366">
        <v>2108.5305572703269</v>
      </c>
      <c r="F126" s="366">
        <v>2197.228592832776</v>
      </c>
      <c r="G126" s="366">
        <v>2316.9907006120861</v>
      </c>
      <c r="H126" s="366">
        <v>2336.25892698295</v>
      </c>
      <c r="I126" s="366">
        <v>2199.8617657853497</v>
      </c>
      <c r="J126" s="366">
        <v>2132.8603621226812</v>
      </c>
      <c r="K126" s="366">
        <v>1870.2428322415685</v>
      </c>
      <c r="L126" s="366"/>
      <c r="M126" s="366"/>
      <c r="N126" s="366"/>
      <c r="O126" s="366" t="s">
        <v>254</v>
      </c>
      <c r="P126" s="366">
        <v>1760.3680667874487</v>
      </c>
      <c r="Q126" s="366">
        <v>1796.4920716383367</v>
      </c>
      <c r="R126" s="366">
        <v>1626.0324352822868</v>
      </c>
      <c r="S126" s="366">
        <v>975.92734550235321</v>
      </c>
      <c r="T126" s="366">
        <v>522.98542205199635</v>
      </c>
      <c r="U126" s="366">
        <v>154.35352552394446</v>
      </c>
      <c r="V126" s="366">
        <v>122.98954629073832</v>
      </c>
      <c r="W126" s="366">
        <v>97.933119673013124</v>
      </c>
      <c r="X126" s="366">
        <v>25.070594897012338</v>
      </c>
      <c r="Y126" s="366"/>
      <c r="Z126" s="366"/>
      <c r="AA126" s="366"/>
      <c r="AB126" s="366" t="s">
        <v>254</v>
      </c>
      <c r="AC126" s="366">
        <v>1760.3680667874487</v>
      </c>
      <c r="AD126" s="366">
        <v>1732.8839863861322</v>
      </c>
      <c r="AE126" s="366">
        <v>1391.7185375682607</v>
      </c>
      <c r="AF126" s="366">
        <v>792.67047797498844</v>
      </c>
      <c r="AG126" s="366">
        <v>393.32514395902331</v>
      </c>
      <c r="AH126" s="366">
        <v>136.36691304310267</v>
      </c>
      <c r="AI126" s="366">
        <v>111.88398436425018</v>
      </c>
      <c r="AJ126" s="366">
        <v>89.969241210995634</v>
      </c>
      <c r="AK126" s="366">
        <v>21.716469080241009</v>
      </c>
    </row>
    <row r="127" spans="1:37" x14ac:dyDescent="0.3">
      <c r="A127" s="366"/>
      <c r="B127" s="366" t="s">
        <v>509</v>
      </c>
      <c r="C127" s="366">
        <v>0</v>
      </c>
      <c r="D127" s="366">
        <v>1.2179997207802902</v>
      </c>
      <c r="E127" s="366">
        <v>1.85277391142357</v>
      </c>
      <c r="F127" s="366">
        <v>5.7078007706732699</v>
      </c>
      <c r="G127" s="366">
        <v>11.863736577593787</v>
      </c>
      <c r="H127" s="366">
        <v>16.896753240498573</v>
      </c>
      <c r="I127" s="366">
        <v>22.584218679670549</v>
      </c>
      <c r="J127" s="366">
        <v>36.903583247229776</v>
      </c>
      <c r="K127" s="366">
        <v>55.092619279080779</v>
      </c>
      <c r="L127" s="366"/>
      <c r="M127" s="366"/>
      <c r="N127" s="366"/>
      <c r="O127" s="366" t="s">
        <v>509</v>
      </c>
      <c r="P127" s="366">
        <v>0</v>
      </c>
      <c r="Q127" s="366">
        <v>7.0440112409480253</v>
      </c>
      <c r="R127" s="366">
        <v>55.976613249511949</v>
      </c>
      <c r="S127" s="366">
        <v>163.5409151169404</v>
      </c>
      <c r="T127" s="366">
        <v>278.14886136277369</v>
      </c>
      <c r="U127" s="366">
        <v>348.46479113832004</v>
      </c>
      <c r="V127" s="366">
        <v>350.13302464874249</v>
      </c>
      <c r="W127" s="366">
        <v>315.92104422180819</v>
      </c>
      <c r="X127" s="366">
        <v>314.0123837827785</v>
      </c>
      <c r="Y127" s="366"/>
      <c r="Z127" s="366"/>
      <c r="AA127" s="366"/>
      <c r="AB127" s="366" t="s">
        <v>509</v>
      </c>
      <c r="AC127" s="366">
        <v>0</v>
      </c>
      <c r="AD127" s="366">
        <v>5.8037707251626749</v>
      </c>
      <c r="AE127" s="366">
        <v>42.307733443615199</v>
      </c>
      <c r="AF127" s="366">
        <v>137.12237673639899</v>
      </c>
      <c r="AG127" s="366">
        <v>266.66270406879693</v>
      </c>
      <c r="AH127" s="366">
        <v>345.99520366438639</v>
      </c>
      <c r="AI127" s="366">
        <v>283.90468885114706</v>
      </c>
      <c r="AJ127" s="366">
        <v>241.0643582102245</v>
      </c>
      <c r="AK127" s="366">
        <v>263.79436387210882</v>
      </c>
    </row>
    <row r="128" spans="1:37" x14ac:dyDescent="0.3">
      <c r="A128" s="366"/>
      <c r="B128" s="366" t="s">
        <v>510</v>
      </c>
      <c r="C128" s="366">
        <v>1638.6833129472773</v>
      </c>
      <c r="D128" s="366">
        <v>1954.319627030563</v>
      </c>
      <c r="E128" s="366">
        <v>2088.1335464421131</v>
      </c>
      <c r="F128" s="366">
        <v>2327.5251846210922</v>
      </c>
      <c r="G128" s="366">
        <v>2534.3895713791817</v>
      </c>
      <c r="H128" s="366">
        <v>2966.9193713036702</v>
      </c>
      <c r="I128" s="366">
        <v>3301.0766609601542</v>
      </c>
      <c r="J128" s="366">
        <v>3686.0212675709467</v>
      </c>
      <c r="K128" s="366">
        <v>4145.7975912240117</v>
      </c>
      <c r="L128" s="366"/>
      <c r="M128" s="366"/>
      <c r="N128" s="366"/>
      <c r="O128" s="366" t="s">
        <v>510</v>
      </c>
      <c r="P128" s="366">
        <v>1638.6833129472773</v>
      </c>
      <c r="Q128" s="366">
        <v>1943.1435898448219</v>
      </c>
      <c r="R128" s="366">
        <v>1972.9730620222667</v>
      </c>
      <c r="S128" s="366">
        <v>1947.1174037301369</v>
      </c>
      <c r="T128" s="366">
        <v>1974.8002000885078</v>
      </c>
      <c r="U128" s="366">
        <v>2175.9754826987551</v>
      </c>
      <c r="V128" s="366">
        <v>2110.7678719439305</v>
      </c>
      <c r="W128" s="366">
        <v>2108.0592219257819</v>
      </c>
      <c r="X128" s="366">
        <v>1899.2885804880354</v>
      </c>
      <c r="Y128" s="366"/>
      <c r="Z128" s="366"/>
      <c r="AA128" s="366"/>
      <c r="AB128" s="366" t="s">
        <v>510</v>
      </c>
      <c r="AC128" s="366">
        <v>1638.6833129472773</v>
      </c>
      <c r="AD128" s="366">
        <v>1986.8982877647538</v>
      </c>
      <c r="AE128" s="366">
        <v>2004.0463369479228</v>
      </c>
      <c r="AF128" s="366">
        <v>1929.1321870077982</v>
      </c>
      <c r="AG128" s="366">
        <v>1784.9965311941819</v>
      </c>
      <c r="AH128" s="366">
        <v>1817.7308914488913</v>
      </c>
      <c r="AI128" s="366">
        <v>1632.518596584137</v>
      </c>
      <c r="AJ128" s="366">
        <v>1199.109387832076</v>
      </c>
      <c r="AK128" s="366">
        <v>1250.7570811058636</v>
      </c>
    </row>
    <row r="129" spans="1:37" x14ac:dyDescent="0.3">
      <c r="A129" s="366"/>
      <c r="B129" s="366" t="s">
        <v>511</v>
      </c>
      <c r="C129" s="366">
        <v>0</v>
      </c>
      <c r="D129" s="366">
        <v>0</v>
      </c>
      <c r="E129" s="366">
        <v>0</v>
      </c>
      <c r="F129" s="366">
        <v>0</v>
      </c>
      <c r="G129" s="366">
        <v>0</v>
      </c>
      <c r="H129" s="366">
        <v>0</v>
      </c>
      <c r="I129" s="366">
        <v>0</v>
      </c>
      <c r="J129" s="366">
        <v>0</v>
      </c>
      <c r="K129" s="366">
        <v>0</v>
      </c>
      <c r="L129" s="366"/>
      <c r="M129" s="366"/>
      <c r="N129" s="366"/>
      <c r="O129" s="366" t="s">
        <v>511</v>
      </c>
      <c r="P129" s="366">
        <v>0</v>
      </c>
      <c r="Q129" s="366">
        <v>0.64689352033089076</v>
      </c>
      <c r="R129" s="366">
        <v>16.270766008719541</v>
      </c>
      <c r="S129" s="366">
        <v>67.361580150247207</v>
      </c>
      <c r="T129" s="366">
        <v>110.85095769209101</v>
      </c>
      <c r="U129" s="366">
        <v>188.77559255709278</v>
      </c>
      <c r="V129" s="366">
        <v>235.26360672693929</v>
      </c>
      <c r="W129" s="366">
        <v>299.18270189964113</v>
      </c>
      <c r="X129" s="366">
        <v>322.13177718477283</v>
      </c>
      <c r="Y129" s="366"/>
      <c r="Z129" s="366"/>
      <c r="AA129" s="366"/>
      <c r="AB129" s="366" t="s">
        <v>511</v>
      </c>
      <c r="AC129" s="366">
        <v>0</v>
      </c>
      <c r="AD129" s="366">
        <v>1.7701245852722651</v>
      </c>
      <c r="AE129" s="366">
        <v>21.700085846574652</v>
      </c>
      <c r="AF129" s="366">
        <v>72.486296742580237</v>
      </c>
      <c r="AG129" s="366">
        <v>145.73235723367094</v>
      </c>
      <c r="AH129" s="366">
        <v>224.63400497370054</v>
      </c>
      <c r="AI129" s="366">
        <v>285.93236709488298</v>
      </c>
      <c r="AJ129" s="366">
        <v>334.32082812928832</v>
      </c>
      <c r="AK129" s="366">
        <v>383.0136954130399</v>
      </c>
    </row>
    <row r="130" spans="1:37" x14ac:dyDescent="0.3">
      <c r="A130" s="366"/>
      <c r="B130" s="366" t="s">
        <v>257</v>
      </c>
      <c r="C130" s="366">
        <v>398.27599999996119</v>
      </c>
      <c r="D130" s="366">
        <v>493.18839341189312</v>
      </c>
      <c r="E130" s="366">
        <v>537.13989999735554</v>
      </c>
      <c r="F130" s="366">
        <v>571.26713050902765</v>
      </c>
      <c r="G130" s="366">
        <v>615.21302401816604</v>
      </c>
      <c r="H130" s="366">
        <v>647.61599980504639</v>
      </c>
      <c r="I130" s="366">
        <v>676.89057996139297</v>
      </c>
      <c r="J130" s="366">
        <v>700.37620810473697</v>
      </c>
      <c r="K130" s="366">
        <v>715.35099955085593</v>
      </c>
      <c r="L130" s="366"/>
      <c r="M130" s="366"/>
      <c r="N130" s="366"/>
      <c r="O130" s="366" t="s">
        <v>257</v>
      </c>
      <c r="P130" s="366">
        <v>398.27599999996119</v>
      </c>
      <c r="Q130" s="366">
        <v>529.35157736205383</v>
      </c>
      <c r="R130" s="366">
        <v>651.24257981095093</v>
      </c>
      <c r="S130" s="366">
        <v>743.45346476687553</v>
      </c>
      <c r="T130" s="366">
        <v>834.85458446385337</v>
      </c>
      <c r="U130" s="366">
        <v>904.44428755557931</v>
      </c>
      <c r="V130" s="366">
        <v>948.04174812275699</v>
      </c>
      <c r="W130" s="366">
        <v>991.89918827717543</v>
      </c>
      <c r="X130" s="366">
        <v>1022.0356553110953</v>
      </c>
      <c r="Y130" s="366"/>
      <c r="Z130" s="366"/>
      <c r="AA130" s="366"/>
      <c r="AB130" s="366" t="s">
        <v>257</v>
      </c>
      <c r="AC130" s="366">
        <v>398.27599999996119</v>
      </c>
      <c r="AD130" s="366">
        <v>535.7415229625002</v>
      </c>
      <c r="AE130" s="366">
        <v>655.77058377660831</v>
      </c>
      <c r="AF130" s="366">
        <v>750.25765723057623</v>
      </c>
      <c r="AG130" s="366">
        <v>841.27880379851717</v>
      </c>
      <c r="AH130" s="366">
        <v>912.12714804933876</v>
      </c>
      <c r="AI130" s="366">
        <v>965.18721530781954</v>
      </c>
      <c r="AJ130" s="366">
        <v>1018.8308866427565</v>
      </c>
      <c r="AK130" s="366">
        <v>1062.3414195615587</v>
      </c>
    </row>
    <row r="131" spans="1:37" x14ac:dyDescent="0.3">
      <c r="A131" s="366"/>
      <c r="B131" s="366" t="s">
        <v>512</v>
      </c>
      <c r="C131" s="366">
        <v>130.90315065412221</v>
      </c>
      <c r="D131" s="366">
        <v>250.52101562785074</v>
      </c>
      <c r="E131" s="366">
        <v>291.47523823631684</v>
      </c>
      <c r="F131" s="366">
        <v>320.14315808978597</v>
      </c>
      <c r="G131" s="366">
        <v>358.83470256634291</v>
      </c>
      <c r="H131" s="366">
        <v>397.38753876336949</v>
      </c>
      <c r="I131" s="366">
        <v>454.8912974963431</v>
      </c>
      <c r="J131" s="366">
        <v>477.20202745251055</v>
      </c>
      <c r="K131" s="366">
        <v>489.22655193785994</v>
      </c>
      <c r="L131" s="366"/>
      <c r="M131" s="366"/>
      <c r="N131" s="366"/>
      <c r="O131" s="366" t="s">
        <v>512</v>
      </c>
      <c r="P131" s="366">
        <v>130.90315065412221</v>
      </c>
      <c r="Q131" s="366">
        <v>291.02862747689761</v>
      </c>
      <c r="R131" s="366">
        <v>372.93919740679678</v>
      </c>
      <c r="S131" s="366">
        <v>463.45110944066749</v>
      </c>
      <c r="T131" s="366">
        <v>524.56333277256385</v>
      </c>
      <c r="U131" s="366">
        <v>623.03315504757234</v>
      </c>
      <c r="V131" s="366">
        <v>708.40099506490708</v>
      </c>
      <c r="W131" s="366">
        <v>779.02219916530578</v>
      </c>
      <c r="X131" s="366">
        <v>857.92090651217359</v>
      </c>
      <c r="Y131" s="366"/>
      <c r="Z131" s="366"/>
      <c r="AA131" s="366"/>
      <c r="AB131" s="366" t="s">
        <v>512</v>
      </c>
      <c r="AC131" s="366">
        <v>130.90315065412221</v>
      </c>
      <c r="AD131" s="366">
        <v>339.88436781678109</v>
      </c>
      <c r="AE131" s="366">
        <v>407.94020208538598</v>
      </c>
      <c r="AF131" s="366">
        <v>534.18832695305287</v>
      </c>
      <c r="AG131" s="366">
        <v>707.31303378636301</v>
      </c>
      <c r="AH131" s="366">
        <v>940.52164430883943</v>
      </c>
      <c r="AI131" s="366">
        <v>1126.4947325418148</v>
      </c>
      <c r="AJ131" s="366">
        <v>1329.9973718599138</v>
      </c>
      <c r="AK131" s="366">
        <v>1512.0323248176342</v>
      </c>
    </row>
    <row r="132" spans="1:37" x14ac:dyDescent="0.3">
      <c r="A132" s="366"/>
      <c r="B132" s="366" t="s">
        <v>513</v>
      </c>
      <c r="C132" s="366">
        <v>0</v>
      </c>
      <c r="D132" s="366">
        <v>0.11999998842342412</v>
      </c>
      <c r="E132" s="366">
        <v>6.607201651076533E-8</v>
      </c>
      <c r="F132" s="366">
        <v>8.7923083955804282E-8</v>
      </c>
      <c r="G132" s="366">
        <v>0.3580707599813257</v>
      </c>
      <c r="H132" s="366">
        <v>0.94527398972813281</v>
      </c>
      <c r="I132" s="366">
        <v>1.6656127888392702</v>
      </c>
      <c r="J132" s="366">
        <v>3.000300132228876</v>
      </c>
      <c r="K132" s="366">
        <v>5.9456158464322026</v>
      </c>
      <c r="L132" s="366"/>
      <c r="M132" s="366"/>
      <c r="N132" s="366"/>
      <c r="O132" s="366" t="s">
        <v>513</v>
      </c>
      <c r="P132" s="366">
        <v>0</v>
      </c>
      <c r="Q132" s="366">
        <v>0.50559855496471107</v>
      </c>
      <c r="R132" s="366">
        <v>2.7012709859458433</v>
      </c>
      <c r="S132" s="366">
        <v>10.692899663882876</v>
      </c>
      <c r="T132" s="366">
        <v>24.287679860897988</v>
      </c>
      <c r="U132" s="366">
        <v>42.70063187125001</v>
      </c>
      <c r="V132" s="366">
        <v>62.861040522934303</v>
      </c>
      <c r="W132" s="366">
        <v>94.392029467788333</v>
      </c>
      <c r="X132" s="366">
        <v>141.7085594579618</v>
      </c>
      <c r="Y132" s="366"/>
      <c r="Z132" s="366"/>
      <c r="AA132" s="366"/>
      <c r="AB132" s="366" t="s">
        <v>513</v>
      </c>
      <c r="AC132" s="366">
        <v>0</v>
      </c>
      <c r="AD132" s="366">
        <v>0.62264256674459195</v>
      </c>
      <c r="AE132" s="366">
        <v>1.7351723192051325</v>
      </c>
      <c r="AF132" s="366">
        <v>9.3802299787015944</v>
      </c>
      <c r="AG132" s="366">
        <v>33.990951744409692</v>
      </c>
      <c r="AH132" s="366">
        <v>99.675024209872902</v>
      </c>
      <c r="AI132" s="366">
        <v>162.22484843324102</v>
      </c>
      <c r="AJ132" s="366">
        <v>227.88012931173137</v>
      </c>
      <c r="AK132" s="366">
        <v>306.93643643130338</v>
      </c>
    </row>
    <row r="133" spans="1:37" x14ac:dyDescent="0.3">
      <c r="A133" s="366"/>
      <c r="B133" s="366" t="s">
        <v>514</v>
      </c>
      <c r="C133" s="366">
        <v>1044.0240328563759</v>
      </c>
      <c r="D133" s="366">
        <v>1351.3677490579585</v>
      </c>
      <c r="E133" s="366">
        <v>1485.7671461018708</v>
      </c>
      <c r="F133" s="366">
        <v>1609.902128088891</v>
      </c>
      <c r="G133" s="366">
        <v>1717.5064283675074</v>
      </c>
      <c r="H133" s="366">
        <v>1824.5475013518226</v>
      </c>
      <c r="I133" s="366">
        <v>1933.0265377225926</v>
      </c>
      <c r="J133" s="366">
        <v>2043.0041582487054</v>
      </c>
      <c r="K133" s="366">
        <v>2156.0268394983718</v>
      </c>
      <c r="L133" s="366"/>
      <c r="M133" s="366"/>
      <c r="N133" s="366"/>
      <c r="O133" s="366" t="s">
        <v>514</v>
      </c>
      <c r="P133" s="366">
        <v>1044.0240328563759</v>
      </c>
      <c r="Q133" s="366">
        <v>1412.515004231728</v>
      </c>
      <c r="R133" s="366">
        <v>1570.3106890607328</v>
      </c>
      <c r="S133" s="366">
        <v>1675.2095666888988</v>
      </c>
      <c r="T133" s="366">
        <v>1830.7076654768266</v>
      </c>
      <c r="U133" s="366">
        <v>1991.4642025665044</v>
      </c>
      <c r="V133" s="366">
        <v>2102.6546178695376</v>
      </c>
      <c r="W133" s="366">
        <v>2224.8985736499644</v>
      </c>
      <c r="X133" s="366">
        <v>2386.2204374902353</v>
      </c>
      <c r="Y133" s="366"/>
      <c r="Z133" s="366"/>
      <c r="AA133" s="366"/>
      <c r="AB133" s="366" t="s">
        <v>514</v>
      </c>
      <c r="AC133" s="366">
        <v>1044.0240328563759</v>
      </c>
      <c r="AD133" s="366">
        <v>1414.4699686343704</v>
      </c>
      <c r="AE133" s="366">
        <v>1576.5783991066323</v>
      </c>
      <c r="AF133" s="366">
        <v>1690.2813099302648</v>
      </c>
      <c r="AG133" s="366">
        <v>1863.3158178265594</v>
      </c>
      <c r="AH133" s="366">
        <v>2030.9344822948644</v>
      </c>
      <c r="AI133" s="366">
        <v>2193.1921598591589</v>
      </c>
      <c r="AJ133" s="366">
        <v>2372.0858944870211</v>
      </c>
      <c r="AK133" s="366">
        <v>2607.3858274329127</v>
      </c>
    </row>
    <row r="134" spans="1:37" x14ac:dyDescent="0.3">
      <c r="A134" s="366"/>
      <c r="B134" s="366" t="s">
        <v>506</v>
      </c>
      <c r="C134" s="366">
        <v>12.308314743538201</v>
      </c>
      <c r="D134" s="366">
        <v>25.516736707140542</v>
      </c>
      <c r="E134" s="366">
        <v>33.459372683647572</v>
      </c>
      <c r="F134" s="366">
        <v>44.108180667247318</v>
      </c>
      <c r="G134" s="366">
        <v>56.442199009267156</v>
      </c>
      <c r="H134" s="366">
        <v>70.427573097160163</v>
      </c>
      <c r="I134" s="366">
        <v>85.100363760294172</v>
      </c>
      <c r="J134" s="366">
        <v>99.580145336849796</v>
      </c>
      <c r="K134" s="366">
        <v>115.9286455433903</v>
      </c>
      <c r="L134" s="366"/>
      <c r="M134" s="366"/>
      <c r="N134" s="366"/>
      <c r="O134" s="366" t="s">
        <v>506</v>
      </c>
      <c r="P134" s="366">
        <v>12.308314743538201</v>
      </c>
      <c r="Q134" s="366">
        <v>31.930546599921684</v>
      </c>
      <c r="R134" s="366">
        <v>47.289961257793742</v>
      </c>
      <c r="S134" s="366">
        <v>66.35190437292087</v>
      </c>
      <c r="T134" s="366">
        <v>85.752055062190493</v>
      </c>
      <c r="U134" s="366">
        <v>109.26982882676188</v>
      </c>
      <c r="V134" s="366">
        <v>131.13118165755546</v>
      </c>
      <c r="W134" s="366">
        <v>153.95923375988997</v>
      </c>
      <c r="X134" s="366">
        <v>212.16688443261779</v>
      </c>
      <c r="Y134" s="366"/>
      <c r="Z134" s="366"/>
      <c r="AA134" s="366"/>
      <c r="AB134" s="366" t="s">
        <v>506</v>
      </c>
      <c r="AC134" s="366">
        <v>12.308314743538201</v>
      </c>
      <c r="AD134" s="366">
        <v>34.67982901181125</v>
      </c>
      <c r="AE134" s="366">
        <v>50.32522711431087</v>
      </c>
      <c r="AF134" s="366">
        <v>69.704243160839894</v>
      </c>
      <c r="AG134" s="366">
        <v>90.944845927328146</v>
      </c>
      <c r="AH134" s="366">
        <v>121.30262588940374</v>
      </c>
      <c r="AI134" s="366">
        <v>145.1760884609233</v>
      </c>
      <c r="AJ134" s="366">
        <v>170.25314778850594</v>
      </c>
      <c r="AK134" s="366">
        <v>212.8844884413989</v>
      </c>
    </row>
    <row r="135" spans="1:37" x14ac:dyDescent="0.3">
      <c r="A135" s="366"/>
      <c r="B135" s="366" t="s">
        <v>515</v>
      </c>
      <c r="C135" s="366">
        <v>340.80495537458751</v>
      </c>
      <c r="D135" s="366">
        <v>952.6011148514674</v>
      </c>
      <c r="E135" s="366">
        <v>1217.3069957065907</v>
      </c>
      <c r="F135" s="366">
        <v>1457.1559334885283</v>
      </c>
      <c r="G135" s="366">
        <v>1642.0210775729024</v>
      </c>
      <c r="H135" s="366">
        <v>1812.2936354303483</v>
      </c>
      <c r="I135" s="366">
        <v>2072.8400198583167</v>
      </c>
      <c r="J135" s="366">
        <v>2260.9858303645119</v>
      </c>
      <c r="K135" s="366">
        <v>2410.5694081532329</v>
      </c>
      <c r="L135" s="366"/>
      <c r="M135" s="366"/>
      <c r="N135" s="366"/>
      <c r="O135" s="366" t="s">
        <v>515</v>
      </c>
      <c r="P135" s="366">
        <v>340.80495537458751</v>
      </c>
      <c r="Q135" s="366">
        <v>1114.0589477566341</v>
      </c>
      <c r="R135" s="366">
        <v>1713.5819584642406</v>
      </c>
      <c r="S135" s="366">
        <v>2141.9950801844279</v>
      </c>
      <c r="T135" s="366">
        <v>2405.6840095755579</v>
      </c>
      <c r="U135" s="366">
        <v>2590.4785439468246</v>
      </c>
      <c r="V135" s="366">
        <v>2869.6680710289061</v>
      </c>
      <c r="W135" s="366">
        <v>3101.3497369897</v>
      </c>
      <c r="X135" s="366">
        <v>3376.1890953475131</v>
      </c>
      <c r="Y135" s="366"/>
      <c r="Z135" s="366"/>
      <c r="AA135" s="366"/>
      <c r="AB135" s="366" t="s">
        <v>515</v>
      </c>
      <c r="AC135" s="366">
        <v>340.80495537458751</v>
      </c>
      <c r="AD135" s="366">
        <v>1155.1114527496584</v>
      </c>
      <c r="AE135" s="366">
        <v>1659.7192613891732</v>
      </c>
      <c r="AF135" s="366">
        <v>2073.0673310436641</v>
      </c>
      <c r="AG135" s="366">
        <v>2426.3844278391516</v>
      </c>
      <c r="AH135" s="366">
        <v>2687.9427020035037</v>
      </c>
      <c r="AI135" s="366">
        <v>3036.8571260878175</v>
      </c>
      <c r="AJ135" s="366">
        <v>3275.2988181691894</v>
      </c>
      <c r="AK135" s="366">
        <v>3477.0564194873409</v>
      </c>
    </row>
    <row r="136" spans="1:37" x14ac:dyDescent="0.3">
      <c r="A136" s="366"/>
      <c r="B136" s="366" t="s">
        <v>516</v>
      </c>
      <c r="C136" s="366">
        <v>8.7631800000000002</v>
      </c>
      <c r="D136" s="366">
        <v>24.823762974183584</v>
      </c>
      <c r="E136" s="366">
        <v>38.499804181533804</v>
      </c>
      <c r="F136" s="366">
        <v>54.626882285005649</v>
      </c>
      <c r="G136" s="366">
        <v>74.141846691006918</v>
      </c>
      <c r="H136" s="366">
        <v>99.767413955926244</v>
      </c>
      <c r="I136" s="366">
        <v>135.57703324231764</v>
      </c>
      <c r="J136" s="366">
        <v>185.63974140382376</v>
      </c>
      <c r="K136" s="366">
        <v>251.02139255439084</v>
      </c>
      <c r="L136" s="366"/>
      <c r="M136" s="366"/>
      <c r="N136" s="366"/>
      <c r="O136" s="366" t="s">
        <v>516</v>
      </c>
      <c r="P136" s="366">
        <v>8.7631800000000002</v>
      </c>
      <c r="Q136" s="366">
        <v>62.493721437591738</v>
      </c>
      <c r="R136" s="366">
        <v>125.93542769846947</v>
      </c>
      <c r="S136" s="366">
        <v>196.96275857885988</v>
      </c>
      <c r="T136" s="366">
        <v>265.74704141077598</v>
      </c>
      <c r="U136" s="366">
        <v>334.73413660879203</v>
      </c>
      <c r="V136" s="366">
        <v>410.26374743210852</v>
      </c>
      <c r="W136" s="366">
        <v>516.22055342635178</v>
      </c>
      <c r="X136" s="366">
        <v>655.51645740461538</v>
      </c>
      <c r="Y136" s="366"/>
      <c r="Z136" s="366"/>
      <c r="AA136" s="366"/>
      <c r="AB136" s="366" t="s">
        <v>516</v>
      </c>
      <c r="AC136" s="366">
        <v>8.7631800000000002</v>
      </c>
      <c r="AD136" s="366">
        <v>62.39119618010043</v>
      </c>
      <c r="AE136" s="366">
        <v>121.52503904078114</v>
      </c>
      <c r="AF136" s="366">
        <v>193.44893121370706</v>
      </c>
      <c r="AG136" s="366">
        <v>267.30382937040144</v>
      </c>
      <c r="AH136" s="366">
        <v>341.99749719722951</v>
      </c>
      <c r="AI136" s="366">
        <v>436.82448975406021</v>
      </c>
      <c r="AJ136" s="366">
        <v>555.86988063487161</v>
      </c>
      <c r="AK136" s="366">
        <v>690.1809148467122</v>
      </c>
    </row>
    <row r="137" spans="1:37" x14ac:dyDescent="0.3">
      <c r="A137" s="366"/>
      <c r="B137" s="366" t="s">
        <v>504</v>
      </c>
      <c r="C137" s="366">
        <v>177.99678700200658</v>
      </c>
      <c r="D137" s="366">
        <v>764.11236187634029</v>
      </c>
      <c r="E137" s="366">
        <v>1065.4180950612515</v>
      </c>
      <c r="F137" s="366">
        <v>1348.226740614459</v>
      </c>
      <c r="G137" s="366">
        <v>1677.710602335309</v>
      </c>
      <c r="H137" s="366">
        <v>2024.9811644814256</v>
      </c>
      <c r="I137" s="366">
        <v>2396.4039058194176</v>
      </c>
      <c r="J137" s="366">
        <v>2698.1544284002816</v>
      </c>
      <c r="K137" s="366">
        <v>3000.6385254369993</v>
      </c>
      <c r="L137" s="366"/>
      <c r="M137" s="366"/>
      <c r="N137" s="366"/>
      <c r="O137" s="366" t="s">
        <v>504</v>
      </c>
      <c r="P137" s="366">
        <v>177.99678700200658</v>
      </c>
      <c r="Q137" s="366">
        <v>885.08937840939177</v>
      </c>
      <c r="R137" s="366">
        <v>1321.2585623252153</v>
      </c>
      <c r="S137" s="366">
        <v>1845.9939906377581</v>
      </c>
      <c r="T137" s="366">
        <v>2354.1603103872458</v>
      </c>
      <c r="U137" s="366">
        <v>3177.3833007482149</v>
      </c>
      <c r="V137" s="366">
        <v>4018.6728437742222</v>
      </c>
      <c r="W137" s="366">
        <v>5039.5520367419322</v>
      </c>
      <c r="X137" s="366">
        <v>6394.4322457247272</v>
      </c>
      <c r="Y137" s="366"/>
      <c r="Z137" s="366"/>
      <c r="AA137" s="366"/>
      <c r="AB137" s="366" t="s">
        <v>504</v>
      </c>
      <c r="AC137" s="366">
        <v>177.99678700200658</v>
      </c>
      <c r="AD137" s="366">
        <v>752.95093805125327</v>
      </c>
      <c r="AE137" s="366">
        <v>1162.33799605746</v>
      </c>
      <c r="AF137" s="366">
        <v>1771.2562459937669</v>
      </c>
      <c r="AG137" s="366">
        <v>2540.3906783841362</v>
      </c>
      <c r="AH137" s="366">
        <v>3480.7180174474261</v>
      </c>
      <c r="AI137" s="366">
        <v>4424.1306688407958</v>
      </c>
      <c r="AJ137" s="366">
        <v>5550.1550504998295</v>
      </c>
      <c r="AK137" s="366">
        <v>6697.0570240831321</v>
      </c>
    </row>
    <row r="138" spans="1:37" x14ac:dyDescent="0.3">
      <c r="A138" s="366"/>
      <c r="B138" s="366" t="s">
        <v>517</v>
      </c>
      <c r="C138" s="366">
        <v>7.4322450585597988</v>
      </c>
      <c r="D138" s="366">
        <v>20.601701233277154</v>
      </c>
      <c r="E138" s="366">
        <v>46.666420685477419</v>
      </c>
      <c r="F138" s="366">
        <v>81.000930070684745</v>
      </c>
      <c r="G138" s="366">
        <v>119.84266601844459</v>
      </c>
      <c r="H138" s="366">
        <v>161.61149676151288</v>
      </c>
      <c r="I138" s="366">
        <v>217.01252172511622</v>
      </c>
      <c r="J138" s="366">
        <v>282.19216679895936</v>
      </c>
      <c r="K138" s="366">
        <v>349.61810176379964</v>
      </c>
      <c r="L138" s="366"/>
      <c r="M138" s="366"/>
      <c r="N138" s="366"/>
      <c r="O138" s="366" t="s">
        <v>517</v>
      </c>
      <c r="P138" s="366">
        <v>7.4322450585597988</v>
      </c>
      <c r="Q138" s="366">
        <v>60.038514440775664</v>
      </c>
      <c r="R138" s="366">
        <v>157.61173148913522</v>
      </c>
      <c r="S138" s="366">
        <v>277.45202178445021</v>
      </c>
      <c r="T138" s="366">
        <v>407.33850652985348</v>
      </c>
      <c r="U138" s="366">
        <v>549.51731843357322</v>
      </c>
      <c r="V138" s="366">
        <v>719.9765731112625</v>
      </c>
      <c r="W138" s="366">
        <v>882.90628698381204</v>
      </c>
      <c r="X138" s="366">
        <v>1032.7541912832307</v>
      </c>
      <c r="Y138" s="366"/>
      <c r="Z138" s="366"/>
      <c r="AA138" s="366"/>
      <c r="AB138" s="366" t="s">
        <v>517</v>
      </c>
      <c r="AC138" s="366">
        <v>7.4322450585597988</v>
      </c>
      <c r="AD138" s="366">
        <v>96.426160413322577</v>
      </c>
      <c r="AE138" s="366">
        <v>203.11129953948691</v>
      </c>
      <c r="AF138" s="366">
        <v>373.04736991259136</v>
      </c>
      <c r="AG138" s="366">
        <v>565.14171815073132</v>
      </c>
      <c r="AH138" s="366">
        <v>745.80572226564232</v>
      </c>
      <c r="AI138" s="366">
        <v>939.15719961818252</v>
      </c>
      <c r="AJ138" s="366">
        <v>1128.4563333754509</v>
      </c>
      <c r="AK138" s="366">
        <v>1276.7891871589641</v>
      </c>
    </row>
    <row r="139" spans="1:37" x14ac:dyDescent="0.3">
      <c r="A139" s="366"/>
      <c r="B139" s="366" t="s">
        <v>518</v>
      </c>
      <c r="C139" s="366">
        <v>0.53652000000000011</v>
      </c>
      <c r="D139" s="366">
        <v>2.1954969168989829</v>
      </c>
      <c r="E139" s="366">
        <v>5.3961692788700182</v>
      </c>
      <c r="F139" s="366">
        <v>10.161586857178587</v>
      </c>
      <c r="G139" s="366">
        <v>17.868969541698672</v>
      </c>
      <c r="H139" s="366">
        <v>24.567497382661223</v>
      </c>
      <c r="I139" s="366">
        <v>31.313658772075915</v>
      </c>
      <c r="J139" s="366">
        <v>38.826624846531516</v>
      </c>
      <c r="K139" s="366">
        <v>45.791184351087139</v>
      </c>
      <c r="L139" s="366"/>
      <c r="M139" s="366"/>
      <c r="N139" s="366"/>
      <c r="O139" s="366" t="s">
        <v>518</v>
      </c>
      <c r="P139" s="366">
        <v>0.53652000000000011</v>
      </c>
      <c r="Q139" s="366">
        <v>2.5168314895517954</v>
      </c>
      <c r="R139" s="366">
        <v>6.9099856947123603</v>
      </c>
      <c r="S139" s="366">
        <v>19.102644056325495</v>
      </c>
      <c r="T139" s="366">
        <v>39.031940215447946</v>
      </c>
      <c r="U139" s="366">
        <v>83.064584452115383</v>
      </c>
      <c r="V139" s="366">
        <v>153.02631885290677</v>
      </c>
      <c r="W139" s="366">
        <v>225.8324827049853</v>
      </c>
      <c r="X139" s="366">
        <v>279.29028640535631</v>
      </c>
      <c r="Y139" s="366"/>
      <c r="Z139" s="366"/>
      <c r="AA139" s="366"/>
      <c r="AB139" s="366" t="s">
        <v>518</v>
      </c>
      <c r="AC139" s="366">
        <v>0.53652000000000011</v>
      </c>
      <c r="AD139" s="366">
        <v>2.5168314907359264</v>
      </c>
      <c r="AE139" s="366">
        <v>6.9099857107981491</v>
      </c>
      <c r="AF139" s="366">
        <v>19.381115844225388</v>
      </c>
      <c r="AG139" s="366">
        <v>42.391867599642559</v>
      </c>
      <c r="AH139" s="366">
        <v>92.237369937229573</v>
      </c>
      <c r="AI139" s="366">
        <v>181.58086918544387</v>
      </c>
      <c r="AJ139" s="366">
        <v>269.89954753962672</v>
      </c>
      <c r="AK139" s="366">
        <v>335.29781962298489</v>
      </c>
    </row>
    <row r="140" spans="1:37" x14ac:dyDescent="0.3">
      <c r="A140" s="366"/>
      <c r="B140" s="366" t="s">
        <v>258</v>
      </c>
      <c r="C140" s="366">
        <v>0</v>
      </c>
      <c r="D140" s="366">
        <v>0</v>
      </c>
      <c r="E140" s="366">
        <v>0</v>
      </c>
      <c r="F140" s="366">
        <v>0</v>
      </c>
      <c r="G140" s="366">
        <v>0</v>
      </c>
      <c r="H140" s="366">
        <v>0</v>
      </c>
      <c r="I140" s="366">
        <v>0</v>
      </c>
      <c r="J140" s="366">
        <v>0</v>
      </c>
      <c r="K140" s="366">
        <v>0</v>
      </c>
      <c r="L140" s="366"/>
      <c r="M140" s="366"/>
      <c r="N140" s="366"/>
      <c r="O140" s="366" t="s">
        <v>258</v>
      </c>
      <c r="P140" s="366">
        <v>0</v>
      </c>
      <c r="Q140" s="366">
        <v>0</v>
      </c>
      <c r="R140" s="366">
        <v>0</v>
      </c>
      <c r="S140" s="366">
        <v>0</v>
      </c>
      <c r="T140" s="366">
        <v>0</v>
      </c>
      <c r="U140" s="366">
        <v>0</v>
      </c>
      <c r="V140" s="366">
        <v>0</v>
      </c>
      <c r="W140" s="366">
        <v>0</v>
      </c>
      <c r="X140" s="366">
        <v>0</v>
      </c>
      <c r="Y140" s="366"/>
      <c r="Z140" s="366"/>
      <c r="AA140" s="366"/>
      <c r="AB140" s="366" t="s">
        <v>258</v>
      </c>
      <c r="AC140" s="366">
        <v>0</v>
      </c>
      <c r="AD140" s="366">
        <v>0</v>
      </c>
      <c r="AE140" s="366">
        <v>0</v>
      </c>
      <c r="AF140" s="366">
        <v>0</v>
      </c>
      <c r="AG140" s="366">
        <v>0</v>
      </c>
      <c r="AH140" s="366">
        <v>0</v>
      </c>
      <c r="AI140" s="366">
        <v>0</v>
      </c>
      <c r="AJ140" s="366">
        <v>0</v>
      </c>
      <c r="AK140" s="366">
        <v>0</v>
      </c>
    </row>
    <row r="141" spans="1:37" x14ac:dyDescent="0.3">
      <c r="A141" s="367"/>
      <c r="B141" s="367" t="s">
        <v>690</v>
      </c>
      <c r="C141" s="367">
        <v>5962.4416482104598</v>
      </c>
      <c r="D141" s="367">
        <v>8259.4533022036921</v>
      </c>
      <c r="E141" s="367">
        <v>9254.4534125109585</v>
      </c>
      <c r="F141" s="367">
        <v>10311.368511081901</v>
      </c>
      <c r="G141" s="367">
        <v>11398.248613584194</v>
      </c>
      <c r="H141" s="367">
        <v>12620.690480800131</v>
      </c>
      <c r="I141" s="367">
        <v>13732.563085347316</v>
      </c>
      <c r="J141" s="367">
        <v>14799.628188861567</v>
      </c>
      <c r="K141" s="367">
        <v>15745.891005334403</v>
      </c>
      <c r="L141" s="367"/>
      <c r="M141" s="367"/>
      <c r="N141" s="367"/>
      <c r="O141" s="367" t="s">
        <v>690</v>
      </c>
      <c r="P141" s="367">
        <v>5962.4416482104598</v>
      </c>
      <c r="Q141" s="367">
        <v>8534.1482558884491</v>
      </c>
      <c r="R141" s="367">
        <v>9960.7863623537396</v>
      </c>
      <c r="S141" s="367">
        <v>10854.331745466921</v>
      </c>
      <c r="T141" s="367">
        <v>11863.294516344065</v>
      </c>
      <c r="U141" s="367">
        <v>13463.175119544712</v>
      </c>
      <c r="V141" s="367">
        <v>15112.602643162745</v>
      </c>
      <c r="W141" s="367">
        <v>16973.647181440869</v>
      </c>
      <c r="X141" s="367">
        <v>19310.230051910505</v>
      </c>
      <c r="Y141" s="367"/>
      <c r="Z141" s="367"/>
      <c r="AA141" s="367"/>
      <c r="AB141" s="367" t="s">
        <v>690</v>
      </c>
      <c r="AC141" s="367">
        <v>5962.4416482104598</v>
      </c>
      <c r="AD141" s="367">
        <v>8533.2962889788705</v>
      </c>
      <c r="AE141" s="367">
        <v>9636.754138730319</v>
      </c>
      <c r="AF141" s="367">
        <v>10684.39375301612</v>
      </c>
      <c r="AG141" s="367">
        <v>12182.737412906454</v>
      </c>
      <c r="AH141" s="367">
        <v>14168.027653144258</v>
      </c>
      <c r="AI141" s="367">
        <v>16107.256352081315</v>
      </c>
      <c r="AJ141" s="367">
        <v>17915.823775886336</v>
      </c>
      <c r="AK141" s="367">
        <v>20258.18503557397</v>
      </c>
    </row>
    <row r="142" spans="1:37" x14ac:dyDescent="0.3">
      <c r="A142" s="367"/>
      <c r="B142" s="367"/>
      <c r="C142" s="367"/>
      <c r="D142" s="367"/>
      <c r="E142" s="367"/>
      <c r="F142" s="367"/>
      <c r="G142" s="367"/>
      <c r="H142" s="367"/>
      <c r="I142" s="367"/>
      <c r="J142" s="367"/>
      <c r="K142" s="367"/>
      <c r="L142" s="367"/>
      <c r="M142" s="367"/>
      <c r="N142" s="367"/>
      <c r="O142" s="367"/>
      <c r="P142" s="367"/>
      <c r="Q142" s="367"/>
      <c r="R142" s="367"/>
      <c r="S142" s="367"/>
      <c r="T142" s="367"/>
      <c r="U142" s="367"/>
      <c r="V142" s="367"/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367"/>
      <c r="AH142" s="367"/>
      <c r="AI142" s="367"/>
      <c r="AJ142" s="367"/>
      <c r="AK142" s="367"/>
    </row>
    <row r="143" spans="1:37" x14ac:dyDescent="0.3">
      <c r="A143" s="366"/>
      <c r="B143" s="371"/>
      <c r="C143" s="366"/>
      <c r="D143" s="366"/>
      <c r="E143" s="366"/>
      <c r="F143" s="366"/>
      <c r="G143" s="366"/>
      <c r="H143" s="366"/>
      <c r="I143" s="366"/>
      <c r="J143" s="366"/>
      <c r="K143" s="366"/>
      <c r="L143" s="366"/>
      <c r="M143" s="366"/>
      <c r="N143" s="366"/>
      <c r="O143" s="371"/>
      <c r="P143" s="366"/>
      <c r="Q143" s="366"/>
      <c r="R143" s="366"/>
      <c r="S143" s="366"/>
      <c r="T143" s="366"/>
      <c r="U143" s="366"/>
      <c r="V143" s="366"/>
      <c r="W143" s="366"/>
      <c r="X143" s="366"/>
      <c r="Y143" s="366"/>
      <c r="Z143" s="366"/>
      <c r="AA143" s="366"/>
      <c r="AB143" s="371"/>
      <c r="AC143" s="366"/>
      <c r="AD143" s="366"/>
      <c r="AE143" s="366"/>
      <c r="AF143" s="366"/>
      <c r="AG143" s="366"/>
      <c r="AH143" s="366"/>
      <c r="AI143" s="366"/>
      <c r="AJ143" s="366"/>
      <c r="AK143" s="366"/>
    </row>
    <row r="144" spans="1:37" x14ac:dyDescent="0.3">
      <c r="A144" s="363" t="s">
        <v>704</v>
      </c>
      <c r="B144" s="364"/>
      <c r="C144" s="364"/>
      <c r="D144" s="364"/>
      <c r="E144" s="364"/>
      <c r="F144" s="364"/>
      <c r="G144" s="364"/>
      <c r="H144" s="364"/>
      <c r="I144" s="364"/>
      <c r="J144" s="364"/>
      <c r="K144" s="364"/>
      <c r="L144" s="363"/>
      <c r="M144" s="365"/>
      <c r="N144" s="363" t="s">
        <v>704</v>
      </c>
      <c r="O144" s="363"/>
      <c r="P144" s="364"/>
      <c r="Q144" s="364"/>
      <c r="R144" s="364"/>
      <c r="S144" s="364"/>
      <c r="T144" s="364"/>
      <c r="U144" s="364"/>
      <c r="V144" s="364"/>
      <c r="W144" s="364"/>
      <c r="X144" s="364"/>
      <c r="Y144" s="363"/>
      <c r="Z144" s="365"/>
      <c r="AA144" s="363" t="s">
        <v>704</v>
      </c>
      <c r="AB144" s="364"/>
      <c r="AC144" s="364"/>
      <c r="AD144" s="364"/>
      <c r="AE144" s="364"/>
      <c r="AF144" s="364"/>
      <c r="AG144" s="364"/>
      <c r="AH144" s="364"/>
      <c r="AI144" s="364"/>
      <c r="AJ144" s="364"/>
      <c r="AK144" s="364"/>
    </row>
    <row r="145" spans="1:37" x14ac:dyDescent="0.3">
      <c r="A145" s="366"/>
      <c r="B145" s="366" t="s">
        <v>705</v>
      </c>
      <c r="C145" s="366">
        <v>8346.0621655155301</v>
      </c>
      <c r="D145" s="366">
        <v>9313.5562232960892</v>
      </c>
      <c r="E145" s="366">
        <v>9648.3724825375575</v>
      </c>
      <c r="F145" s="366">
        <v>9972.068003772356</v>
      </c>
      <c r="G145" s="366">
        <v>10338.866132496569</v>
      </c>
      <c r="H145" s="366">
        <v>10357.683465553713</v>
      </c>
      <c r="I145" s="366">
        <v>10358.535652527265</v>
      </c>
      <c r="J145" s="366">
        <v>10365.940129821902</v>
      </c>
      <c r="K145" s="366">
        <v>10222.500046159375</v>
      </c>
      <c r="L145" s="366"/>
      <c r="M145" s="366"/>
      <c r="N145" s="366"/>
      <c r="O145" s="372" t="s">
        <v>705</v>
      </c>
      <c r="P145" s="366">
        <v>8346.0621655155301</v>
      </c>
      <c r="Q145" s="366">
        <v>8333.2461424134708</v>
      </c>
      <c r="R145" s="366">
        <v>7753.9071706360355</v>
      </c>
      <c r="S145" s="366">
        <v>7309.3313198453579</v>
      </c>
      <c r="T145" s="366">
        <v>6795.7708397090273</v>
      </c>
      <c r="U145" s="366">
        <v>6237.8383750588127</v>
      </c>
      <c r="V145" s="366">
        <v>5800.076424207904</v>
      </c>
      <c r="W145" s="366">
        <v>5478.4930256113112</v>
      </c>
      <c r="X145" s="366">
        <v>5134.8590135526747</v>
      </c>
      <c r="Y145" s="366"/>
      <c r="Z145" s="366"/>
      <c r="AA145" s="366"/>
      <c r="AB145" s="372" t="s">
        <v>705</v>
      </c>
      <c r="AC145" s="366">
        <v>8346.0621655155301</v>
      </c>
      <c r="AD145" s="366">
        <v>6980.0299244955286</v>
      </c>
      <c r="AE145" s="366">
        <v>6018.0493382227842</v>
      </c>
      <c r="AF145" s="366">
        <v>5251.3196533144628</v>
      </c>
      <c r="AG145" s="366">
        <v>4600.7551198740875</v>
      </c>
      <c r="AH145" s="366">
        <v>4014.9883285108426</v>
      </c>
      <c r="AI145" s="366">
        <v>3230.5533914542521</v>
      </c>
      <c r="AJ145" s="366">
        <v>2714.7669443002574</v>
      </c>
      <c r="AK145" s="366">
        <v>2091.0231750576386</v>
      </c>
    </row>
    <row r="146" spans="1:37" ht="72" x14ac:dyDescent="0.3">
      <c r="A146" s="366"/>
      <c r="B146" s="372" t="s">
        <v>706</v>
      </c>
      <c r="C146" s="366">
        <v>3295.5354450000004</v>
      </c>
      <c r="D146" s="366">
        <v>3119.9979437877246</v>
      </c>
      <c r="E146" s="366">
        <v>3042.6992717033127</v>
      </c>
      <c r="F146" s="366">
        <v>2947.4556398559912</v>
      </c>
      <c r="G146" s="366">
        <v>2873.6224047318715</v>
      </c>
      <c r="H146" s="366">
        <v>2819.2238999088549</v>
      </c>
      <c r="I146" s="366">
        <v>2880.7591552357098</v>
      </c>
      <c r="J146" s="366">
        <v>2639.4523701065341</v>
      </c>
      <c r="K146" s="366">
        <v>2524.6739087053497</v>
      </c>
      <c r="L146" s="366"/>
      <c r="M146" s="366"/>
      <c r="N146" s="366"/>
      <c r="O146" s="372" t="s">
        <v>706</v>
      </c>
      <c r="P146" s="366">
        <v>3295.5354450000004</v>
      </c>
      <c r="Q146" s="366">
        <v>2868.7970962709123</v>
      </c>
      <c r="R146" s="366">
        <v>2583.3215712740007</v>
      </c>
      <c r="S146" s="366">
        <v>2352.953400330437</v>
      </c>
      <c r="T146" s="366">
        <v>2159.6148742065479</v>
      </c>
      <c r="U146" s="366">
        <v>2000.5141807570817</v>
      </c>
      <c r="V146" s="366">
        <v>1819.8964982352622</v>
      </c>
      <c r="W146" s="366">
        <v>1661.2822284398512</v>
      </c>
      <c r="X146" s="366">
        <v>1505.0818706779341</v>
      </c>
      <c r="Y146" s="366"/>
      <c r="Z146" s="366"/>
      <c r="AA146" s="366"/>
      <c r="AB146" s="372" t="s">
        <v>706</v>
      </c>
      <c r="AC146" s="366">
        <v>3295.5354450000004</v>
      </c>
      <c r="AD146" s="366">
        <v>2464.2192378898408</v>
      </c>
      <c r="AE146" s="366">
        <v>1855.2761990103613</v>
      </c>
      <c r="AF146" s="366">
        <v>1435.3988343445005</v>
      </c>
      <c r="AG146" s="366">
        <v>1113.0733056100305</v>
      </c>
      <c r="AH146" s="366">
        <v>858.87194953710491</v>
      </c>
      <c r="AI146" s="366">
        <v>619.34849355191034</v>
      </c>
      <c r="AJ146" s="366">
        <v>475.40954052360007</v>
      </c>
      <c r="AK146" s="366">
        <v>372.07325486438452</v>
      </c>
    </row>
    <row r="147" spans="1:37" x14ac:dyDescent="0.3">
      <c r="A147" s="366"/>
      <c r="B147" s="366" t="s">
        <v>707</v>
      </c>
      <c r="C147" s="366">
        <v>7407.6321980000002</v>
      </c>
      <c r="D147" s="366">
        <v>8534.9847322557689</v>
      </c>
      <c r="E147" s="366">
        <v>9062.6722713820454</v>
      </c>
      <c r="F147" s="366">
        <v>9449.7487999069144</v>
      </c>
      <c r="G147" s="366">
        <v>9775.5134355974387</v>
      </c>
      <c r="H147" s="366">
        <v>10009.67258763895</v>
      </c>
      <c r="I147" s="366">
        <v>10077.641658745539</v>
      </c>
      <c r="J147" s="366">
        <v>10137.921520648038</v>
      </c>
      <c r="K147" s="366">
        <v>10114.167303328526</v>
      </c>
      <c r="L147" s="366"/>
      <c r="M147" s="366"/>
      <c r="N147" s="366"/>
      <c r="O147" s="372" t="s">
        <v>707</v>
      </c>
      <c r="P147" s="366">
        <v>7407.6321980000002</v>
      </c>
      <c r="Q147" s="366">
        <v>7397.0099639641812</v>
      </c>
      <c r="R147" s="366">
        <v>6994.6862914937719</v>
      </c>
      <c r="S147" s="366">
        <v>6407.0468631873136</v>
      </c>
      <c r="T147" s="366">
        <v>5683.5618127760827</v>
      </c>
      <c r="U147" s="366">
        <v>4969.5450466787097</v>
      </c>
      <c r="V147" s="366">
        <v>4316.3469746936007</v>
      </c>
      <c r="W147" s="366">
        <v>3675.1900014106336</v>
      </c>
      <c r="X147" s="366">
        <v>3230.0121043704789</v>
      </c>
      <c r="Y147" s="366"/>
      <c r="Z147" s="366"/>
      <c r="AA147" s="366"/>
      <c r="AB147" s="372" t="s">
        <v>707</v>
      </c>
      <c r="AC147" s="366">
        <v>7407.6321980000002</v>
      </c>
      <c r="AD147" s="366">
        <v>6895.3344393646566</v>
      </c>
      <c r="AE147" s="366">
        <v>6072.0525608642292</v>
      </c>
      <c r="AF147" s="366">
        <v>5093.7393393613493</v>
      </c>
      <c r="AG147" s="366">
        <v>4040.4734502426327</v>
      </c>
      <c r="AH147" s="366">
        <v>3164.1426217281146</v>
      </c>
      <c r="AI147" s="366">
        <v>2452.1163408562152</v>
      </c>
      <c r="AJ147" s="366">
        <v>1781.9953328802692</v>
      </c>
      <c r="AK147" s="366">
        <v>1400.9403802729269</v>
      </c>
    </row>
    <row r="148" spans="1:37" x14ac:dyDescent="0.3">
      <c r="A148" s="366"/>
      <c r="B148" s="373" t="s">
        <v>708</v>
      </c>
      <c r="C148" s="366">
        <v>13625.004647</v>
      </c>
      <c r="D148" s="366">
        <v>13350.955098573437</v>
      </c>
      <c r="E148" s="366">
        <v>13661.606976456438</v>
      </c>
      <c r="F148" s="366">
        <v>14040.996960478256</v>
      </c>
      <c r="G148" s="366">
        <v>14351.266114083073</v>
      </c>
      <c r="H148" s="366">
        <v>14531.796943398471</v>
      </c>
      <c r="I148" s="366">
        <v>14491.684361842275</v>
      </c>
      <c r="J148" s="366">
        <v>14680.854885652088</v>
      </c>
      <c r="K148" s="366">
        <v>14758.982217708879</v>
      </c>
      <c r="L148" s="366"/>
      <c r="M148" s="366"/>
      <c r="N148" s="366"/>
      <c r="O148" s="372" t="s">
        <v>708</v>
      </c>
      <c r="P148" s="366">
        <v>13625.004647</v>
      </c>
      <c r="Q148" s="366">
        <v>10433.156381113333</v>
      </c>
      <c r="R148" s="366">
        <v>7709.9806262986931</v>
      </c>
      <c r="S148" s="366">
        <v>5112.9084769059173</v>
      </c>
      <c r="T148" s="366">
        <v>3542.3183813584469</v>
      </c>
      <c r="U148" s="366">
        <v>2198.6674374902559</v>
      </c>
      <c r="V148" s="366">
        <v>1552.7616554677954</v>
      </c>
      <c r="W148" s="366">
        <v>798.31353929562283</v>
      </c>
      <c r="X148" s="366">
        <v>128.30710740554093</v>
      </c>
      <c r="Y148" s="366"/>
      <c r="Z148" s="366"/>
      <c r="AA148" s="366"/>
      <c r="AB148" s="372" t="s">
        <v>708</v>
      </c>
      <c r="AC148" s="366">
        <v>13625.004647</v>
      </c>
      <c r="AD148" s="366">
        <v>9369.4364035276667</v>
      </c>
      <c r="AE148" s="366">
        <v>7083.1994249231311</v>
      </c>
      <c r="AF148" s="366">
        <v>4758.6490241959691</v>
      </c>
      <c r="AG148" s="366">
        <v>2661.9039102911465</v>
      </c>
      <c r="AH148" s="366">
        <v>823.65980003171899</v>
      </c>
      <c r="AI148" s="366">
        <v>-355.66926433015539</v>
      </c>
      <c r="AJ148" s="366">
        <v>-1189.020977350287</v>
      </c>
      <c r="AK148" s="366">
        <v>-1743.8363466395458</v>
      </c>
    </row>
    <row r="149" spans="1:37" ht="43.2" x14ac:dyDescent="0.3">
      <c r="A149" s="366"/>
      <c r="B149" s="373" t="s">
        <v>709</v>
      </c>
      <c r="C149" s="366">
        <v>1579.6700180000003</v>
      </c>
      <c r="D149" s="366">
        <v>1828.7766009568777</v>
      </c>
      <c r="E149" s="366">
        <v>1919.0637405256427</v>
      </c>
      <c r="F149" s="366">
        <v>1885.308275147823</v>
      </c>
      <c r="G149" s="366">
        <v>1982.565297361785</v>
      </c>
      <c r="H149" s="366">
        <v>2070.055915824863</v>
      </c>
      <c r="I149" s="366">
        <v>2091.1568878911526</v>
      </c>
      <c r="J149" s="366">
        <v>2156.8022121733602</v>
      </c>
      <c r="K149" s="366">
        <v>2212.98606766081</v>
      </c>
      <c r="L149" s="366"/>
      <c r="M149" s="366"/>
      <c r="N149" s="366"/>
      <c r="O149" s="372" t="s">
        <v>709</v>
      </c>
      <c r="P149" s="366">
        <v>1579.6700180000003</v>
      </c>
      <c r="Q149" s="366">
        <v>1537.0140068740457</v>
      </c>
      <c r="R149" s="366">
        <v>1241.7694218434924</v>
      </c>
      <c r="S149" s="366">
        <v>936.50228025026672</v>
      </c>
      <c r="T149" s="366">
        <v>570.24044279503767</v>
      </c>
      <c r="U149" s="366">
        <v>184.93684708333166</v>
      </c>
      <c r="V149" s="366">
        <v>-202.97882392053603</v>
      </c>
      <c r="W149" s="366">
        <v>-600.50004039249961</v>
      </c>
      <c r="X149" s="366">
        <v>-1023.0000502677868</v>
      </c>
      <c r="Y149" s="366"/>
      <c r="Z149" s="366"/>
      <c r="AA149" s="366"/>
      <c r="AB149" s="372" t="s">
        <v>709</v>
      </c>
      <c r="AC149" s="366">
        <v>1579.6700180000003</v>
      </c>
      <c r="AD149" s="366">
        <v>1447.3992553375358</v>
      </c>
      <c r="AE149" s="366">
        <v>1039.4155714076192</v>
      </c>
      <c r="AF149" s="366">
        <v>541.74676058643399</v>
      </c>
      <c r="AG149" s="366">
        <v>-147.95168616030844</v>
      </c>
      <c r="AH149" s="366">
        <v>-821.4931103360359</v>
      </c>
      <c r="AI149" s="366">
        <v>-1219.9971442934182</v>
      </c>
      <c r="AJ149" s="366">
        <v>-1989.5620830287112</v>
      </c>
      <c r="AK149" s="366">
        <v>-2156.7903330785875</v>
      </c>
    </row>
    <row r="150" spans="1:37" x14ac:dyDescent="0.3">
      <c r="A150" s="366"/>
      <c r="B150" s="367" t="s">
        <v>690</v>
      </c>
      <c r="C150" s="367">
        <v>34253.904473515526</v>
      </c>
      <c r="D150" s="367">
        <v>36148.270598869902</v>
      </c>
      <c r="E150" s="367">
        <v>37334.414742604997</v>
      </c>
      <c r="F150" s="367">
        <v>38295.577679161346</v>
      </c>
      <c r="G150" s="367">
        <v>39321.833384270736</v>
      </c>
      <c r="H150" s="367">
        <v>39788.432812324856</v>
      </c>
      <c r="I150" s="367">
        <v>39899.777716241901</v>
      </c>
      <c r="J150" s="367">
        <v>39980.971118401918</v>
      </c>
      <c r="K150" s="367">
        <v>39833.309543562937</v>
      </c>
      <c r="L150" s="366"/>
      <c r="M150" s="366"/>
      <c r="N150" s="366"/>
      <c r="O150" s="374" t="s">
        <v>690</v>
      </c>
      <c r="P150" s="367">
        <v>34253.904473515526</v>
      </c>
      <c r="Q150" s="367">
        <v>30569.223590635942</v>
      </c>
      <c r="R150" s="367">
        <v>26283.665081545994</v>
      </c>
      <c r="S150" s="367">
        <v>22118.742340519293</v>
      </c>
      <c r="T150" s="367">
        <v>18751.506350845142</v>
      </c>
      <c r="U150" s="367">
        <v>15591.501887068192</v>
      </c>
      <c r="V150" s="367">
        <v>13286.102728684027</v>
      </c>
      <c r="W150" s="367">
        <v>11012.778754364917</v>
      </c>
      <c r="X150" s="367">
        <v>8975.2600457388417</v>
      </c>
      <c r="Y150" s="366"/>
      <c r="Z150" s="366"/>
      <c r="AA150" s="366"/>
      <c r="AB150" s="374" t="s">
        <v>690</v>
      </c>
      <c r="AC150" s="367">
        <v>34253.904473515526</v>
      </c>
      <c r="AD150" s="367">
        <v>27156.419260615228</v>
      </c>
      <c r="AE150" s="367">
        <v>22067.993094428126</v>
      </c>
      <c r="AF150" s="367">
        <v>17080.853611802715</v>
      </c>
      <c r="AG150" s="367">
        <v>12268.25409985759</v>
      </c>
      <c r="AH150" s="367">
        <v>8040.169589471745</v>
      </c>
      <c r="AI150" s="367">
        <v>4726.3518172388031</v>
      </c>
      <c r="AJ150" s="367">
        <v>1793.5887573251284</v>
      </c>
      <c r="AK150" s="367">
        <v>-36.589869523183552</v>
      </c>
    </row>
    <row r="151" spans="1:37" x14ac:dyDescent="0.3">
      <c r="A151" s="366"/>
      <c r="B151" s="366"/>
      <c r="C151" s="366"/>
      <c r="D151" s="366"/>
      <c r="E151" s="366"/>
      <c r="F151" s="366"/>
      <c r="G151" s="366"/>
      <c r="H151" s="366"/>
      <c r="I151" s="366"/>
      <c r="J151" s="366"/>
      <c r="K151" s="366"/>
      <c r="L151" s="366"/>
      <c r="M151" s="366"/>
      <c r="N151" s="366"/>
      <c r="O151" s="366"/>
      <c r="P151" s="366"/>
      <c r="Q151" s="366"/>
      <c r="R151" s="366"/>
      <c r="S151" s="366"/>
      <c r="T151" s="366"/>
      <c r="U151" s="366"/>
      <c r="V151" s="366"/>
      <c r="W151" s="366"/>
      <c r="X151" s="366"/>
      <c r="Y151" s="366"/>
      <c r="Z151" s="366"/>
      <c r="AA151" s="366"/>
      <c r="AB151" s="366"/>
      <c r="AC151" s="366"/>
      <c r="AD151" s="366"/>
      <c r="AE151" s="366"/>
      <c r="AF151" s="366"/>
      <c r="AG151" s="366"/>
      <c r="AH151" s="366"/>
      <c r="AI151" s="366"/>
      <c r="AJ151" s="366"/>
      <c r="AK151" s="366"/>
    </row>
    <row r="152" spans="1:37" x14ac:dyDescent="0.3">
      <c r="A152" s="363" t="s">
        <v>710</v>
      </c>
      <c r="B152" s="364"/>
      <c r="C152" s="364"/>
      <c r="D152" s="364"/>
      <c r="E152" s="364"/>
      <c r="F152" s="364"/>
      <c r="G152" s="364"/>
      <c r="H152" s="364"/>
      <c r="I152" s="364"/>
      <c r="J152" s="364"/>
      <c r="K152" s="364"/>
      <c r="L152" s="363"/>
      <c r="M152" s="365"/>
      <c r="N152" s="363" t="s">
        <v>710</v>
      </c>
      <c r="O152" s="364"/>
      <c r="P152" s="364"/>
      <c r="Q152" s="364"/>
      <c r="R152" s="364"/>
      <c r="S152" s="364"/>
      <c r="T152" s="364"/>
      <c r="U152" s="364"/>
      <c r="V152" s="364"/>
      <c r="W152" s="364"/>
      <c r="X152" s="364"/>
      <c r="Y152" s="363"/>
      <c r="Z152" s="365"/>
      <c r="AA152" s="363" t="s">
        <v>710</v>
      </c>
      <c r="AB152" s="364"/>
      <c r="AC152" s="364"/>
      <c r="AD152" s="364"/>
      <c r="AE152" s="364"/>
      <c r="AF152" s="364"/>
      <c r="AG152" s="364"/>
      <c r="AH152" s="364"/>
      <c r="AI152" s="364"/>
      <c r="AJ152" s="364"/>
      <c r="AK152" s="364"/>
    </row>
    <row r="153" spans="1:37" x14ac:dyDescent="0.3">
      <c r="A153" s="366"/>
      <c r="B153" s="366" t="s">
        <v>705</v>
      </c>
      <c r="C153" s="366">
        <v>0</v>
      </c>
      <c r="D153" s="366">
        <v>289.17933860492309</v>
      </c>
      <c r="E153" s="366">
        <v>298.36406245247582</v>
      </c>
      <c r="F153" s="366">
        <v>367.41742162988504</v>
      </c>
      <c r="G153" s="366">
        <v>460.26058767854875</v>
      </c>
      <c r="H153" s="366">
        <v>510.80721660237015</v>
      </c>
      <c r="I153" s="366">
        <v>645.25886199836145</v>
      </c>
      <c r="J153" s="366">
        <v>592.27041213058112</v>
      </c>
      <c r="K153" s="366">
        <v>717.97392498363843</v>
      </c>
      <c r="L153" s="366"/>
      <c r="M153" s="366"/>
      <c r="N153" s="366"/>
      <c r="O153" s="372" t="s">
        <v>705</v>
      </c>
      <c r="P153" s="366">
        <v>0</v>
      </c>
      <c r="Q153" s="366">
        <v>292.49556395517118</v>
      </c>
      <c r="R153" s="366">
        <v>527.75761296796645</v>
      </c>
      <c r="S153" s="366">
        <v>712.28694807232478</v>
      </c>
      <c r="T153" s="366">
        <v>981.35886559496066</v>
      </c>
      <c r="U153" s="366">
        <v>1180.3975608851908</v>
      </c>
      <c r="V153" s="366">
        <v>1378.0560951985365</v>
      </c>
      <c r="W153" s="366">
        <v>1440.2524522531764</v>
      </c>
      <c r="X153" s="366">
        <v>1619.8204210786289</v>
      </c>
      <c r="Y153" s="366"/>
      <c r="Z153" s="366"/>
      <c r="AA153" s="366"/>
      <c r="AB153" s="372" t="s">
        <v>705</v>
      </c>
      <c r="AC153" s="366">
        <v>0</v>
      </c>
      <c r="AD153" s="366">
        <v>763.94371787255238</v>
      </c>
      <c r="AE153" s="366">
        <v>1325.7685955650568</v>
      </c>
      <c r="AF153" s="366">
        <v>1871.0643202088672</v>
      </c>
      <c r="AG153" s="366">
        <v>2351.3844506999812</v>
      </c>
      <c r="AH153" s="366">
        <v>2679.3416093746423</v>
      </c>
      <c r="AI153" s="366">
        <v>3237.1801169984933</v>
      </c>
      <c r="AJ153" s="366">
        <v>3544.0930330780311</v>
      </c>
      <c r="AK153" s="366">
        <v>3848.7041414872242</v>
      </c>
    </row>
    <row r="154" spans="1:37" x14ac:dyDescent="0.3">
      <c r="A154" s="366"/>
      <c r="B154" s="366" t="s">
        <v>708</v>
      </c>
      <c r="C154" s="366">
        <v>0</v>
      </c>
      <c r="D154" s="366">
        <v>8.5105631081581006</v>
      </c>
      <c r="E154" s="366">
        <v>12.504244927022405</v>
      </c>
      <c r="F154" s="366">
        <v>36.700709818197339</v>
      </c>
      <c r="G154" s="366">
        <v>74.075123893614304</v>
      </c>
      <c r="H154" s="366">
        <v>107.66837116015755</v>
      </c>
      <c r="I154" s="366">
        <v>140.98274447844116</v>
      </c>
      <c r="J154" s="366">
        <v>229.12766455978499</v>
      </c>
      <c r="K154" s="366">
        <v>355.61938084440783</v>
      </c>
      <c r="L154" s="366"/>
      <c r="M154" s="366"/>
      <c r="N154" s="366"/>
      <c r="O154" s="372" t="s">
        <v>708</v>
      </c>
      <c r="P154" s="366">
        <v>0</v>
      </c>
      <c r="Q154" s="366">
        <v>50.258905217862235</v>
      </c>
      <c r="R154" s="366">
        <v>423.27892313987695</v>
      </c>
      <c r="S154" s="366">
        <v>1294.7823395382693</v>
      </c>
      <c r="T154" s="366">
        <v>2156.9657562917869</v>
      </c>
      <c r="U154" s="366">
        <v>2916.5776576826174</v>
      </c>
      <c r="V154" s="366">
        <v>2886.1882157455138</v>
      </c>
      <c r="W154" s="366">
        <v>2900.0360199041597</v>
      </c>
      <c r="X154" s="366">
        <v>3233.5125100841155</v>
      </c>
      <c r="Y154" s="366"/>
      <c r="Z154" s="366"/>
      <c r="AA154" s="366"/>
      <c r="AB154" s="372" t="s">
        <v>708</v>
      </c>
      <c r="AC154" s="366">
        <v>0</v>
      </c>
      <c r="AD154" s="366">
        <v>42.541734104881002</v>
      </c>
      <c r="AE154" s="366">
        <v>349.20373936982844</v>
      </c>
      <c r="AF154" s="366">
        <v>1145.3645746963141</v>
      </c>
      <c r="AG154" s="366">
        <v>2307.6515488165214</v>
      </c>
      <c r="AH154" s="366">
        <v>3313.1807467519188</v>
      </c>
      <c r="AI154" s="366">
        <v>3383.4505186357051</v>
      </c>
      <c r="AJ154" s="366">
        <v>3702.3890404245608</v>
      </c>
      <c r="AK154" s="366">
        <v>4472.3080521099018</v>
      </c>
    </row>
    <row r="155" spans="1:37" ht="43.2" x14ac:dyDescent="0.3">
      <c r="A155" s="366"/>
      <c r="B155" s="366" t="s">
        <v>709</v>
      </c>
      <c r="C155" s="366">
        <v>0</v>
      </c>
      <c r="D155" s="366">
        <v>4.1950366359556792</v>
      </c>
      <c r="E155" s="366">
        <v>16.427593511466871</v>
      </c>
      <c r="F155" s="366">
        <v>44.767725697862566</v>
      </c>
      <c r="G155" s="366">
        <v>71.146727227893564</v>
      </c>
      <c r="H155" s="366">
        <v>99.589758503041509</v>
      </c>
      <c r="I155" s="366">
        <v>133.61743935810051</v>
      </c>
      <c r="J155" s="366">
        <v>146.53982665036199</v>
      </c>
      <c r="K155" s="366">
        <v>159.28004052293466</v>
      </c>
      <c r="L155" s="366"/>
      <c r="M155" s="366"/>
      <c r="N155" s="366"/>
      <c r="O155" s="372" t="s">
        <v>709</v>
      </c>
      <c r="P155" s="366">
        <v>0</v>
      </c>
      <c r="Q155" s="366">
        <v>73.489061417356965</v>
      </c>
      <c r="R155" s="366">
        <v>207.98345327479609</v>
      </c>
      <c r="S155" s="366">
        <v>406.50873741547878</v>
      </c>
      <c r="T155" s="366">
        <v>649.30577874963706</v>
      </c>
      <c r="U155" s="366">
        <v>914.61482490428386</v>
      </c>
      <c r="V155" s="366">
        <v>1168.0985605174346</v>
      </c>
      <c r="W155" s="366">
        <v>1489.5389224141791</v>
      </c>
      <c r="X155" s="366">
        <v>1791.7775223757417</v>
      </c>
      <c r="Y155" s="366"/>
      <c r="Z155" s="366"/>
      <c r="AA155" s="366"/>
      <c r="AB155" s="372" t="s">
        <v>709</v>
      </c>
      <c r="AC155" s="366">
        <v>0</v>
      </c>
      <c r="AD155" s="366">
        <v>92.746617844842532</v>
      </c>
      <c r="AE155" s="366">
        <v>322.71705008094762</v>
      </c>
      <c r="AF155" s="366">
        <v>604.6697183218007</v>
      </c>
      <c r="AG155" s="366">
        <v>1080.0003431585446</v>
      </c>
      <c r="AH155" s="366">
        <v>1527.5639806099837</v>
      </c>
      <c r="AI155" s="366">
        <v>1794.7924329821574</v>
      </c>
      <c r="AJ155" s="366">
        <v>2464.4658808600693</v>
      </c>
      <c r="AK155" s="366">
        <v>2620.1742590495824</v>
      </c>
    </row>
    <row r="156" spans="1:37" x14ac:dyDescent="0.3">
      <c r="A156" s="366"/>
      <c r="B156" s="367" t="s">
        <v>690</v>
      </c>
      <c r="C156" s="367">
        <v>0</v>
      </c>
      <c r="D156" s="367">
        <v>301.88493834903687</v>
      </c>
      <c r="E156" s="367">
        <v>327.29590089096507</v>
      </c>
      <c r="F156" s="367">
        <v>448.88585714594495</v>
      </c>
      <c r="G156" s="367">
        <v>605.48243880005657</v>
      </c>
      <c r="H156" s="367">
        <v>718.06534626556913</v>
      </c>
      <c r="I156" s="367">
        <v>919.8590458349031</v>
      </c>
      <c r="J156" s="367">
        <v>967.9379033407281</v>
      </c>
      <c r="K156" s="367">
        <v>1232.8733463509807</v>
      </c>
      <c r="L156" s="366"/>
      <c r="M156" s="366"/>
      <c r="N156" s="366"/>
      <c r="O156" s="374" t="s">
        <v>690</v>
      </c>
      <c r="P156" s="367">
        <v>0</v>
      </c>
      <c r="Q156" s="367">
        <v>416.24353059039038</v>
      </c>
      <c r="R156" s="367">
        <v>1159.0199893826396</v>
      </c>
      <c r="S156" s="367">
        <v>2413.5780250260727</v>
      </c>
      <c r="T156" s="367">
        <v>3787.6304006363844</v>
      </c>
      <c r="U156" s="367">
        <v>5011.5900434720916</v>
      </c>
      <c r="V156" s="367">
        <v>5432.3428714614847</v>
      </c>
      <c r="W156" s="367">
        <v>5829.8273945715155</v>
      </c>
      <c r="X156" s="367">
        <v>6645.1104535384857</v>
      </c>
      <c r="Y156" s="366"/>
      <c r="Z156" s="366"/>
      <c r="AA156" s="366"/>
      <c r="AB156" s="374" t="s">
        <v>690</v>
      </c>
      <c r="AC156" s="367">
        <v>0</v>
      </c>
      <c r="AD156" s="367">
        <v>899.23206982227589</v>
      </c>
      <c r="AE156" s="367">
        <v>1997.6893850158326</v>
      </c>
      <c r="AF156" s="367">
        <v>3621.0986132269823</v>
      </c>
      <c r="AG156" s="367">
        <v>5739.0363426750473</v>
      </c>
      <c r="AH156" s="367">
        <v>7520.0863367365446</v>
      </c>
      <c r="AI156" s="367">
        <v>8415.4230686163555</v>
      </c>
      <c r="AJ156" s="367">
        <v>9710.9479543626603</v>
      </c>
      <c r="AK156" s="367">
        <v>10941.186452646707</v>
      </c>
    </row>
    <row r="157" spans="1:37" x14ac:dyDescent="0.3">
      <c r="A157" s="366"/>
      <c r="B157" s="366"/>
      <c r="C157" s="366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6"/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</row>
    <row r="158" spans="1:37" x14ac:dyDescent="0.3">
      <c r="A158" s="363" t="s">
        <v>711</v>
      </c>
      <c r="B158" s="364"/>
      <c r="C158" s="364"/>
      <c r="D158" s="364"/>
      <c r="E158" s="364"/>
      <c r="F158" s="364"/>
      <c r="G158" s="364"/>
      <c r="H158" s="364"/>
      <c r="I158" s="364"/>
      <c r="J158" s="364"/>
      <c r="K158" s="364"/>
      <c r="L158" s="363"/>
      <c r="M158" s="366"/>
      <c r="N158" s="363" t="s">
        <v>711</v>
      </c>
      <c r="O158" s="364"/>
      <c r="P158" s="364"/>
      <c r="Q158" s="364"/>
      <c r="R158" s="364"/>
      <c r="S158" s="364"/>
      <c r="T158" s="364"/>
      <c r="U158" s="364"/>
      <c r="V158" s="364"/>
      <c r="W158" s="364"/>
      <c r="X158" s="364"/>
      <c r="Y158" s="363"/>
      <c r="Z158" s="366"/>
      <c r="AA158" s="363" t="s">
        <v>711</v>
      </c>
      <c r="AB158" s="364"/>
      <c r="AC158" s="364"/>
      <c r="AD158" s="364"/>
      <c r="AE158" s="364"/>
      <c r="AF158" s="364"/>
      <c r="AG158" s="364"/>
      <c r="AH158" s="364"/>
      <c r="AI158" s="364"/>
      <c r="AJ158" s="364"/>
      <c r="AK158" s="364"/>
    </row>
    <row r="159" spans="1:37" x14ac:dyDescent="0.3">
      <c r="A159" s="366"/>
      <c r="B159" s="3" t="s">
        <v>705</v>
      </c>
      <c r="C159" s="366">
        <v>0</v>
      </c>
      <c r="D159" s="366">
        <v>1.6343283156892219</v>
      </c>
      <c r="E159" s="366">
        <v>2.4951028094115335</v>
      </c>
      <c r="F159" s="366">
        <v>3.2051736378281399</v>
      </c>
      <c r="G159" s="366">
        <v>6.0192230281491028</v>
      </c>
      <c r="H159" s="366">
        <v>9.1021607240369526</v>
      </c>
      <c r="I159" s="366">
        <v>12.677636618895203</v>
      </c>
      <c r="J159" s="366">
        <v>12.385570945709633</v>
      </c>
      <c r="K159" s="366">
        <v>18.029339863259658</v>
      </c>
      <c r="L159" s="366"/>
      <c r="M159" s="366"/>
      <c r="N159" s="366"/>
      <c r="O159" s="366" t="s">
        <v>705</v>
      </c>
      <c r="P159" s="366">
        <v>0</v>
      </c>
      <c r="Q159" s="366">
        <v>3.8504938648748439</v>
      </c>
      <c r="R159" s="366">
        <v>8.7353037052942586</v>
      </c>
      <c r="S159" s="366">
        <v>14.091427558814029</v>
      </c>
      <c r="T159" s="366">
        <v>27.251301002654657</v>
      </c>
      <c r="U159" s="366">
        <v>48.150559921573311</v>
      </c>
      <c r="V159" s="366">
        <v>81.223499084835424</v>
      </c>
      <c r="W159" s="366">
        <v>87.038339374406434</v>
      </c>
      <c r="X159" s="366">
        <v>131.02305924623775</v>
      </c>
      <c r="Y159" s="366"/>
      <c r="Z159" s="366"/>
      <c r="AA159" s="366"/>
      <c r="AB159" s="366" t="s">
        <v>705</v>
      </c>
      <c r="AC159" s="366">
        <v>0</v>
      </c>
      <c r="AD159" s="366">
        <v>12.091986894602917</v>
      </c>
      <c r="AE159" s="366">
        <v>28.226285490693378</v>
      </c>
      <c r="AF159" s="366">
        <v>48.278228672841848</v>
      </c>
      <c r="AG159" s="366">
        <v>91.011961456652841</v>
      </c>
      <c r="AH159" s="366">
        <v>147.64983851738373</v>
      </c>
      <c r="AI159" s="366">
        <v>198.0160359023171</v>
      </c>
      <c r="AJ159" s="366">
        <v>207.31641045015942</v>
      </c>
      <c r="AK159" s="366">
        <v>306.31227741931792</v>
      </c>
    </row>
    <row r="160" spans="1:37" x14ac:dyDescent="0.3">
      <c r="A160" s="366"/>
      <c r="B160" s="3" t="s">
        <v>708</v>
      </c>
      <c r="C160" s="366">
        <v>0</v>
      </c>
      <c r="D160" s="366">
        <v>0</v>
      </c>
      <c r="E160" s="366">
        <v>0</v>
      </c>
      <c r="F160" s="366">
        <v>0</v>
      </c>
      <c r="G160" s="366">
        <v>2.4086950840401475</v>
      </c>
      <c r="H160" s="366">
        <v>6.6780507407003853</v>
      </c>
      <c r="I160" s="366">
        <v>10.936582566298629</v>
      </c>
      <c r="J160" s="366">
        <v>19.476143754292071</v>
      </c>
      <c r="K160" s="366">
        <v>35.710537337216515</v>
      </c>
      <c r="L160" s="366"/>
      <c r="M160" s="366"/>
      <c r="N160" s="366"/>
      <c r="O160" s="366" t="s">
        <v>708</v>
      </c>
      <c r="P160" s="366">
        <v>0</v>
      </c>
      <c r="Q160" s="366">
        <v>0.76137331260877195</v>
      </c>
      <c r="R160" s="366">
        <v>6.8812482153129899</v>
      </c>
      <c r="S160" s="366">
        <v>22.269878108595286</v>
      </c>
      <c r="T160" s="366">
        <v>48.76128717982305</v>
      </c>
      <c r="U160" s="366">
        <v>151.43594899102084</v>
      </c>
      <c r="V160" s="366">
        <v>277.37852448663256</v>
      </c>
      <c r="W160" s="366">
        <v>560.91552640033683</v>
      </c>
      <c r="X160" s="366">
        <v>940.43143024395579</v>
      </c>
      <c r="Y160" s="366"/>
      <c r="Z160" s="366"/>
      <c r="AA160" s="366"/>
      <c r="AB160" s="366" t="s">
        <v>708</v>
      </c>
      <c r="AC160" s="366">
        <v>0</v>
      </c>
      <c r="AD160" s="366">
        <v>0</v>
      </c>
      <c r="AE160" s="366">
        <v>1.9336858677877706</v>
      </c>
      <c r="AF160" s="366">
        <v>15.007792616388034</v>
      </c>
      <c r="AG160" s="366">
        <v>120.01858671762866</v>
      </c>
      <c r="AH160" s="366">
        <v>569.54406496595925</v>
      </c>
      <c r="AI160" s="366">
        <v>1053.2378206219153</v>
      </c>
      <c r="AJ160" s="366">
        <v>1615.1562368191833</v>
      </c>
      <c r="AK160" s="366">
        <v>2100.142347861085</v>
      </c>
    </row>
    <row r="161" spans="1:37" x14ac:dyDescent="0.3">
      <c r="A161" s="366"/>
      <c r="B161" s="3" t="s">
        <v>709</v>
      </c>
      <c r="C161" s="366">
        <v>0</v>
      </c>
      <c r="D161" s="366">
        <v>1.5499592607617148</v>
      </c>
      <c r="E161" s="366">
        <v>2.1455745528029602</v>
      </c>
      <c r="F161" s="366">
        <v>10.177785960469183</v>
      </c>
      <c r="G161" s="366">
        <v>12.360389465516672</v>
      </c>
      <c r="H161" s="366">
        <v>14.232308178281704</v>
      </c>
      <c r="I161" s="366">
        <v>20.076183977722536</v>
      </c>
      <c r="J161" s="366">
        <v>32.543002720193819</v>
      </c>
      <c r="K161" s="366">
        <v>41.605191057693311</v>
      </c>
      <c r="L161" s="366"/>
      <c r="M161" s="366"/>
      <c r="N161" s="366"/>
      <c r="O161" s="366" t="s">
        <v>709</v>
      </c>
      <c r="P161" s="366">
        <v>0</v>
      </c>
      <c r="Q161" s="366">
        <v>52.393113186227509</v>
      </c>
      <c r="R161" s="366">
        <v>163.15396980418745</v>
      </c>
      <c r="S161" s="366">
        <v>325.83601497447796</v>
      </c>
      <c r="T161" s="366">
        <v>533.24423593401286</v>
      </c>
      <c r="U161" s="366">
        <v>767.19139500803169</v>
      </c>
      <c r="V161" s="366">
        <v>994.00444775432288</v>
      </c>
      <c r="W161" s="366">
        <v>1321.8722183946359</v>
      </c>
      <c r="X161" s="366">
        <v>1642.9757015457772</v>
      </c>
      <c r="Y161" s="366"/>
      <c r="Z161" s="366"/>
      <c r="AA161" s="366"/>
      <c r="AB161" s="366" t="s">
        <v>709</v>
      </c>
      <c r="AC161" s="366">
        <v>0</v>
      </c>
      <c r="AD161" s="366">
        <v>72.657224997448367</v>
      </c>
      <c r="AE161" s="366">
        <v>278.72646273149604</v>
      </c>
      <c r="AF161" s="366">
        <v>529.63062046613948</v>
      </c>
      <c r="AG161" s="366">
        <v>982.5288293525507</v>
      </c>
      <c r="AH161" s="366">
        <v>1421.6439074874154</v>
      </c>
      <c r="AI161" s="366">
        <v>1676.4049467220389</v>
      </c>
      <c r="AJ161" s="366">
        <v>2358.2853624403069</v>
      </c>
      <c r="AK161" s="366">
        <v>2513.01700117159</v>
      </c>
    </row>
    <row r="162" spans="1:37" x14ac:dyDescent="0.3">
      <c r="A162" s="366"/>
      <c r="B162" s="4" t="s">
        <v>690</v>
      </c>
      <c r="C162" s="367">
        <v>0</v>
      </c>
      <c r="D162" s="367">
        <v>3.1842875764509366</v>
      </c>
      <c r="E162" s="367">
        <v>4.6406773622144932</v>
      </c>
      <c r="F162" s="367">
        <v>13.382959598297322</v>
      </c>
      <c r="G162" s="367">
        <v>20.788307577705922</v>
      </c>
      <c r="H162" s="367">
        <v>30.01251964301904</v>
      </c>
      <c r="I162" s="367">
        <v>43.690403162916368</v>
      </c>
      <c r="J162" s="367">
        <v>64.404717420195524</v>
      </c>
      <c r="K162" s="367">
        <v>95.345068258169476</v>
      </c>
      <c r="L162" s="366"/>
      <c r="M162" s="366"/>
      <c r="N162" s="366"/>
      <c r="O162" s="367" t="s">
        <v>690</v>
      </c>
      <c r="P162" s="367">
        <v>0</v>
      </c>
      <c r="Q162" s="367">
        <v>57.004980363711127</v>
      </c>
      <c r="R162" s="367">
        <v>178.77052172479469</v>
      </c>
      <c r="S162" s="367">
        <v>362.19732064188725</v>
      </c>
      <c r="T162" s="367">
        <v>609.25682411649063</v>
      </c>
      <c r="U162" s="367">
        <v>966.77790392062582</v>
      </c>
      <c r="V162" s="367">
        <v>1352.6064713257908</v>
      </c>
      <c r="W162" s="367">
        <v>1969.8260841693791</v>
      </c>
      <c r="X162" s="367">
        <v>2714.4301910359709</v>
      </c>
      <c r="Y162" s="366"/>
      <c r="Z162" s="366"/>
      <c r="AA162" s="366"/>
      <c r="AB162" s="367" t="s">
        <v>690</v>
      </c>
      <c r="AC162" s="367">
        <v>0</v>
      </c>
      <c r="AD162" s="367">
        <v>84.749211892051278</v>
      </c>
      <c r="AE162" s="367">
        <v>308.88643408997717</v>
      </c>
      <c r="AF162" s="367">
        <v>592.91664175536937</v>
      </c>
      <c r="AG162" s="367">
        <v>1193.5593775268321</v>
      </c>
      <c r="AH162" s="367">
        <v>2138.8378109707583</v>
      </c>
      <c r="AI162" s="367">
        <v>2927.6588032462714</v>
      </c>
      <c r="AJ162" s="367">
        <v>4180.7580097096497</v>
      </c>
      <c r="AK162" s="367">
        <v>4919.471626451993</v>
      </c>
    </row>
  </sheetData>
  <conditionalFormatting sqref="A1:XFD7">
    <cfRule type="expression" dxfId="34" priority="1">
      <formula>_xlfn.ISFORMULA(A1)</formula>
    </cfRule>
  </conditionalFormatting>
  <hyperlinks>
    <hyperlink ref="B3" r:id="rId1" xr:uid="{8F34E75F-63BA-4334-854F-A14BC2FDABF8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6858-E4A9-4AAE-B612-B98A49C81025}">
  <sheetPr>
    <tabColor theme="7" tint="0.39997558519241921"/>
  </sheetPr>
  <dimension ref="A1:AA335"/>
  <sheetViews>
    <sheetView workbookViewId="0"/>
  </sheetViews>
  <sheetFormatPr defaultColWidth="10.33203125" defaultRowHeight="14.4" x14ac:dyDescent="0.3"/>
  <cols>
    <col min="1" max="1" width="10.77734375" style="3" customWidth="1"/>
    <col min="2" max="2" width="40.6640625" style="3" customWidth="1"/>
    <col min="3" max="29" width="10.77734375" style="3" customWidth="1"/>
    <col min="30" max="16384" width="10.33203125" style="3"/>
  </cols>
  <sheetData>
    <row r="1" spans="1:27" s="1" customFormat="1" ht="49.5" customHeight="1" x14ac:dyDescent="0.3">
      <c r="A1" s="1" t="s">
        <v>712</v>
      </c>
    </row>
    <row r="2" spans="1:27" s="2" customFormat="1" x14ac:dyDescent="0.3">
      <c r="A2" s="2" t="s">
        <v>1</v>
      </c>
      <c r="B2" s="2" t="s">
        <v>404</v>
      </c>
    </row>
    <row r="3" spans="1:27" s="2" customFormat="1" x14ac:dyDescent="0.3">
      <c r="A3" s="2" t="s">
        <v>3</v>
      </c>
      <c r="B3" s="6" t="s">
        <v>713</v>
      </c>
    </row>
    <row r="4" spans="1:27" s="2" customFormat="1" x14ac:dyDescent="0.3">
      <c r="A4" s="2" t="s">
        <v>7</v>
      </c>
      <c r="B4" s="7">
        <v>43501</v>
      </c>
    </row>
    <row r="5" spans="1:27" s="2" customFormat="1" x14ac:dyDescent="0.3">
      <c r="A5" s="2" t="s">
        <v>2</v>
      </c>
      <c r="B5" s="2" t="s">
        <v>684</v>
      </c>
    </row>
    <row r="6" spans="1:27" s="2" customFormat="1" x14ac:dyDescent="0.3">
      <c r="A6" s="2" t="s">
        <v>4</v>
      </c>
      <c r="B6" s="2" t="s">
        <v>714</v>
      </c>
    </row>
    <row r="8" spans="1:27" ht="93" customHeight="1" thickBot="1" x14ac:dyDescent="0.35">
      <c r="A8" s="375"/>
      <c r="B8" s="375"/>
      <c r="C8" s="376"/>
      <c r="D8" s="376"/>
      <c r="E8" s="376"/>
      <c r="F8" s="376"/>
      <c r="G8" s="376"/>
      <c r="H8" s="376"/>
      <c r="I8" s="376"/>
      <c r="J8" s="376"/>
      <c r="K8" s="376"/>
      <c r="L8" s="376"/>
      <c r="M8" s="376"/>
      <c r="N8" s="377"/>
      <c r="O8" s="377"/>
      <c r="P8" s="377"/>
      <c r="Q8" s="377"/>
      <c r="R8" s="377"/>
      <c r="S8" s="377"/>
      <c r="T8" s="377"/>
      <c r="U8" s="377"/>
      <c r="V8" s="377"/>
      <c r="W8" s="377"/>
      <c r="X8" s="377"/>
      <c r="Y8" s="377"/>
      <c r="Z8" s="377"/>
      <c r="AA8" s="377"/>
    </row>
    <row r="9" spans="1:27" ht="15.6" thickTop="1" thickBot="1" x14ac:dyDescent="0.35">
      <c r="A9" s="378"/>
      <c r="B9" s="379" t="s">
        <v>192</v>
      </c>
      <c r="C9" s="380">
        <v>1980</v>
      </c>
      <c r="D9" s="380">
        <v>1985</v>
      </c>
      <c r="E9" s="380">
        <v>1990</v>
      </c>
      <c r="F9" s="380">
        <v>1995</v>
      </c>
      <c r="G9" s="380">
        <v>2000</v>
      </c>
      <c r="H9" s="380">
        <v>2005</v>
      </c>
      <c r="I9" s="380">
        <v>2010</v>
      </c>
      <c r="J9" s="380">
        <v>2015</v>
      </c>
      <c r="K9" s="381">
        <v>2020</v>
      </c>
      <c r="L9" s="381">
        <v>2025</v>
      </c>
      <c r="M9" s="381">
        <v>2030</v>
      </c>
      <c r="N9" s="381">
        <v>2035</v>
      </c>
      <c r="O9" s="382">
        <v>2040</v>
      </c>
      <c r="P9" s="382">
        <v>2045</v>
      </c>
      <c r="Q9" s="382">
        <v>2050</v>
      </c>
      <c r="R9" s="382">
        <v>2055</v>
      </c>
      <c r="S9" s="382">
        <v>2060</v>
      </c>
      <c r="T9" s="382">
        <v>2065</v>
      </c>
      <c r="U9" s="382">
        <v>2070</v>
      </c>
      <c r="V9" s="383">
        <v>2075</v>
      </c>
      <c r="W9" s="383">
        <v>2080</v>
      </c>
      <c r="X9" s="383">
        <v>2085</v>
      </c>
      <c r="Y9" s="383">
        <v>2090</v>
      </c>
      <c r="Z9" s="383">
        <v>2095</v>
      </c>
      <c r="AA9" s="383">
        <v>2100</v>
      </c>
    </row>
    <row r="10" spans="1:27" ht="15" thickTop="1" x14ac:dyDescent="0.3">
      <c r="A10" s="384">
        <v>1</v>
      </c>
      <c r="B10" s="385" t="s">
        <v>715</v>
      </c>
      <c r="C10" s="814" t="s">
        <v>716</v>
      </c>
      <c r="D10" s="814"/>
      <c r="E10" s="814"/>
      <c r="F10" s="814"/>
      <c r="G10" s="814"/>
      <c r="H10" s="814"/>
      <c r="I10" s="814"/>
      <c r="J10" s="814"/>
      <c r="K10" s="814"/>
      <c r="L10" s="814"/>
      <c r="M10" s="814"/>
      <c r="N10" s="814"/>
      <c r="O10" s="814"/>
      <c r="P10" s="814"/>
      <c r="Q10" s="814"/>
      <c r="R10" s="814"/>
      <c r="S10" s="814"/>
      <c r="T10" s="814"/>
      <c r="U10" s="814"/>
      <c r="V10" s="814"/>
      <c r="W10" s="814"/>
      <c r="X10" s="814"/>
      <c r="Y10" s="814"/>
      <c r="Z10" s="814"/>
      <c r="AA10" s="814"/>
    </row>
    <row r="11" spans="1:27" x14ac:dyDescent="0.3">
      <c r="A11" s="386">
        <v>1</v>
      </c>
      <c r="B11" s="387" t="s">
        <v>592</v>
      </c>
      <c r="C11" s="388">
        <v>254.21716100000003</v>
      </c>
      <c r="D11" s="388">
        <v>266.65794899999997</v>
      </c>
      <c r="E11" s="388">
        <v>280.63306300000005</v>
      </c>
      <c r="F11" s="388">
        <v>295.69981000000001</v>
      </c>
      <c r="G11" s="388">
        <v>313.72412399999996</v>
      </c>
      <c r="H11" s="388">
        <v>328.52430400000003</v>
      </c>
      <c r="I11" s="388">
        <v>344.12911699999995</v>
      </c>
      <c r="J11" s="389">
        <v>357.83803600000005</v>
      </c>
      <c r="K11" s="390">
        <v>371.26860900000008</v>
      </c>
      <c r="L11" s="388">
        <v>384.27371899999997</v>
      </c>
      <c r="M11" s="388">
        <v>396.27812900000004</v>
      </c>
      <c r="N11" s="389">
        <v>406.90512799999999</v>
      </c>
      <c r="O11" s="390">
        <v>416.36438699999997</v>
      </c>
      <c r="P11" s="388">
        <v>424.93047200000007</v>
      </c>
      <c r="Q11" s="388">
        <v>433.11373099999997</v>
      </c>
      <c r="R11" s="388">
        <v>441.08887700000002</v>
      </c>
      <c r="S11" s="388">
        <v>449.145826</v>
      </c>
      <c r="T11" s="388">
        <v>457.19958600000001</v>
      </c>
      <c r="U11" s="389">
        <v>464.95859300000001</v>
      </c>
      <c r="V11" s="390">
        <v>472.164197</v>
      </c>
      <c r="W11" s="388">
        <v>478.68141200000002</v>
      </c>
      <c r="X11" s="388">
        <v>484.60154899999992</v>
      </c>
      <c r="Y11" s="388">
        <v>490.11289399999998</v>
      </c>
      <c r="Z11" s="388">
        <v>495.29962399999994</v>
      </c>
      <c r="AA11" s="388">
        <v>500.14319799999998</v>
      </c>
    </row>
    <row r="12" spans="1:27" x14ac:dyDescent="0.3">
      <c r="A12" s="386">
        <v>2</v>
      </c>
      <c r="B12" s="387" t="s">
        <v>601</v>
      </c>
      <c r="C12" s="391">
        <v>505.02805599999982</v>
      </c>
      <c r="D12" s="391">
        <v>513.34162500000002</v>
      </c>
      <c r="E12" s="391">
        <v>521.68738199999996</v>
      </c>
      <c r="F12" s="391">
        <v>527.65947599999993</v>
      </c>
      <c r="G12" s="391">
        <v>530.0711490000001</v>
      </c>
      <c r="H12" s="391">
        <v>537.47175099999993</v>
      </c>
      <c r="I12" s="391">
        <v>545.4144970000001</v>
      </c>
      <c r="J12" s="392">
        <v>548.84838500000001</v>
      </c>
      <c r="K12" s="393">
        <v>552.01660900000013</v>
      </c>
      <c r="L12" s="391">
        <v>553.54187200000013</v>
      </c>
      <c r="M12" s="391">
        <v>553.568262</v>
      </c>
      <c r="N12" s="392">
        <v>552.34499900000003</v>
      </c>
      <c r="O12" s="393">
        <v>550.05064599999992</v>
      </c>
      <c r="P12" s="391">
        <v>546.80955799999992</v>
      </c>
      <c r="Q12" s="391">
        <v>542.56544299999996</v>
      </c>
      <c r="R12" s="391">
        <v>537.29579200000001</v>
      </c>
      <c r="S12" s="391">
        <v>531.34045400000014</v>
      </c>
      <c r="T12" s="391">
        <v>525.29233099999999</v>
      </c>
      <c r="U12" s="392">
        <v>519.83227399999998</v>
      </c>
      <c r="V12" s="393">
        <v>515.17481899999996</v>
      </c>
      <c r="W12" s="391">
        <v>511.28825599999993</v>
      </c>
      <c r="X12" s="391">
        <v>508.07942600000007</v>
      </c>
      <c r="Y12" s="391">
        <v>505.36178400000011</v>
      </c>
      <c r="Z12" s="391">
        <v>502.88429699999995</v>
      </c>
      <c r="AA12" s="391">
        <v>500.43377499999997</v>
      </c>
    </row>
    <row r="13" spans="1:27" x14ac:dyDescent="0.3">
      <c r="A13" s="386">
        <v>3</v>
      </c>
      <c r="B13" s="387" t="s">
        <v>618</v>
      </c>
      <c r="C13" s="391">
        <v>303.93417299999999</v>
      </c>
      <c r="D13" s="391">
        <v>319.02989600000006</v>
      </c>
      <c r="E13" s="391">
        <v>335.03843000000006</v>
      </c>
      <c r="F13" s="391">
        <v>347.80619900000005</v>
      </c>
      <c r="G13" s="391">
        <v>353.67396400000001</v>
      </c>
      <c r="H13" s="391">
        <v>361.45185999999995</v>
      </c>
      <c r="I13" s="391">
        <v>372.52153699999997</v>
      </c>
      <c r="J13" s="392">
        <v>388.99603600000006</v>
      </c>
      <c r="K13" s="393">
        <v>399.93163300000003</v>
      </c>
      <c r="L13" s="391">
        <v>407.43418800000001</v>
      </c>
      <c r="M13" s="391">
        <v>413.16408799999999</v>
      </c>
      <c r="N13" s="392">
        <v>417.699071</v>
      </c>
      <c r="O13" s="393">
        <v>421.57848499999994</v>
      </c>
      <c r="P13" s="391">
        <v>424.95327499999996</v>
      </c>
      <c r="Q13" s="391">
        <v>427.27069699999993</v>
      </c>
      <c r="R13" s="391">
        <v>428.08205900000002</v>
      </c>
      <c r="S13" s="391">
        <v>427.28819699999991</v>
      </c>
      <c r="T13" s="391">
        <v>425.19672499999996</v>
      </c>
      <c r="U13" s="392">
        <v>422.40265999999997</v>
      </c>
      <c r="V13" s="393">
        <v>419.39286399999997</v>
      </c>
      <c r="W13" s="391">
        <v>416.36635000000001</v>
      </c>
      <c r="X13" s="391">
        <v>413.21303500000005</v>
      </c>
      <c r="Y13" s="391">
        <v>409.59785800000003</v>
      </c>
      <c r="Z13" s="391">
        <v>405.31657899999999</v>
      </c>
      <c r="AA13" s="391">
        <v>400.50588100000004</v>
      </c>
    </row>
    <row r="14" spans="1:27" x14ac:dyDescent="0.3">
      <c r="A14" s="386">
        <v>4</v>
      </c>
      <c r="B14" s="387" t="s">
        <v>717</v>
      </c>
      <c r="C14" s="391">
        <v>191.44255200000003</v>
      </c>
      <c r="D14" s="391">
        <v>201.483969</v>
      </c>
      <c r="E14" s="391">
        <v>208.964696</v>
      </c>
      <c r="F14" s="391">
        <v>215.57431099999999</v>
      </c>
      <c r="G14" s="391">
        <v>220.74005699999998</v>
      </c>
      <c r="H14" s="391">
        <v>226.19318799999999</v>
      </c>
      <c r="I14" s="391">
        <v>231.22109900000001</v>
      </c>
      <c r="J14" s="392">
        <v>234.34919699999998</v>
      </c>
      <c r="K14" s="393">
        <v>236.02690999999999</v>
      </c>
      <c r="L14" s="391">
        <v>236.35795199999998</v>
      </c>
      <c r="M14" s="391">
        <v>235.76557000000003</v>
      </c>
      <c r="N14" s="392">
        <v>234.196731</v>
      </c>
      <c r="O14" s="393">
        <v>231.57956300000004</v>
      </c>
      <c r="P14" s="391">
        <v>228.25175199999998</v>
      </c>
      <c r="Q14" s="391">
        <v>224.567035</v>
      </c>
      <c r="R14" s="391">
        <v>220.61150000000001</v>
      </c>
      <c r="S14" s="391">
        <v>216.34542199999999</v>
      </c>
      <c r="T14" s="391">
        <v>211.84022699999997</v>
      </c>
      <c r="U14" s="392">
        <v>207.263002</v>
      </c>
      <c r="V14" s="393">
        <v>202.92064400000001</v>
      </c>
      <c r="W14" s="391">
        <v>199.08140300000005</v>
      </c>
      <c r="X14" s="391">
        <v>195.72352200000003</v>
      </c>
      <c r="Y14" s="391">
        <v>192.86828299999999</v>
      </c>
      <c r="Z14" s="391">
        <v>190.40766900000003</v>
      </c>
      <c r="AA14" s="391">
        <v>188.27297399999998</v>
      </c>
    </row>
    <row r="15" spans="1:27" x14ac:dyDescent="0.3">
      <c r="A15" s="386">
        <v>5</v>
      </c>
      <c r="B15" s="387" t="s">
        <v>622</v>
      </c>
      <c r="C15" s="391">
        <v>977.83743299999992</v>
      </c>
      <c r="D15" s="394">
        <v>1052.6224099999999</v>
      </c>
      <c r="E15" s="391">
        <v>1154.605773</v>
      </c>
      <c r="F15" s="391">
        <v>1227.841281</v>
      </c>
      <c r="G15" s="391">
        <v>1269.9745719999999</v>
      </c>
      <c r="H15" s="391">
        <v>1305.6006299999999</v>
      </c>
      <c r="I15" s="391">
        <v>1340.9687369999999</v>
      </c>
      <c r="J15" s="392">
        <v>1376.048943</v>
      </c>
      <c r="K15" s="393">
        <v>1402.8478379999999</v>
      </c>
      <c r="L15" s="391">
        <v>1414.8723419999999</v>
      </c>
      <c r="M15" s="391">
        <v>1415.5451089999999</v>
      </c>
      <c r="N15" s="392">
        <v>1408.3160519999999</v>
      </c>
      <c r="O15" s="393">
        <v>1394.7148910000001</v>
      </c>
      <c r="P15" s="391">
        <v>1374.6570609999999</v>
      </c>
      <c r="Q15" s="391">
        <v>1348.0563300000001</v>
      </c>
      <c r="R15" s="391">
        <v>1315.1481370000001</v>
      </c>
      <c r="S15" s="391">
        <v>1276.7570470000001</v>
      </c>
      <c r="T15" s="391">
        <v>1236.6640949999999</v>
      </c>
      <c r="U15" s="392">
        <v>1197.5330660000002</v>
      </c>
      <c r="V15" s="393">
        <v>1159.6448929999999</v>
      </c>
      <c r="W15" s="391">
        <v>1122.5692609999999</v>
      </c>
      <c r="X15" s="391">
        <v>1087.0737220000001</v>
      </c>
      <c r="Y15" s="391">
        <v>1055.0726440000001</v>
      </c>
      <c r="Z15" s="391">
        <v>1028.079962</v>
      </c>
      <c r="AA15" s="391">
        <v>1004.3919649999999</v>
      </c>
    </row>
    <row r="16" spans="1:27" x14ac:dyDescent="0.3">
      <c r="A16" s="386">
        <v>6</v>
      </c>
      <c r="B16" s="387" t="s">
        <v>623</v>
      </c>
      <c r="C16" s="391">
        <v>697.22974499999998</v>
      </c>
      <c r="D16" s="391">
        <v>782.08512699999994</v>
      </c>
      <c r="E16" s="391">
        <v>870.60177599999997</v>
      </c>
      <c r="F16" s="391">
        <v>960.87498199999993</v>
      </c>
      <c r="G16" s="391">
        <v>1053.481072</v>
      </c>
      <c r="H16" s="391">
        <v>1144.3262930000001</v>
      </c>
      <c r="I16" s="391">
        <v>1230.984504</v>
      </c>
      <c r="J16" s="392">
        <v>1311.0505270000001</v>
      </c>
      <c r="K16" s="393">
        <v>1388.8589169999998</v>
      </c>
      <c r="L16" s="391">
        <v>1461.6252339999999</v>
      </c>
      <c r="M16" s="391">
        <v>1527.6579879999999</v>
      </c>
      <c r="N16" s="392">
        <v>1585.3498520000001</v>
      </c>
      <c r="O16" s="393">
        <v>1633.727672</v>
      </c>
      <c r="P16" s="391">
        <v>1673.6187669999999</v>
      </c>
      <c r="Q16" s="391">
        <v>1705.3325440000001</v>
      </c>
      <c r="R16" s="391">
        <v>1729.3540600000001</v>
      </c>
      <c r="S16" s="391">
        <v>1745.1824059999999</v>
      </c>
      <c r="T16" s="391">
        <v>1752.843331</v>
      </c>
      <c r="U16" s="392">
        <v>1753.603938</v>
      </c>
      <c r="V16" s="393">
        <v>1747.9458319999999</v>
      </c>
      <c r="W16" s="391">
        <v>1737.1500449999999</v>
      </c>
      <c r="X16" s="391">
        <v>1722.03944</v>
      </c>
      <c r="Y16" s="391">
        <v>1704.072952</v>
      </c>
      <c r="Z16" s="391">
        <v>1683.3390449999999</v>
      </c>
      <c r="AA16" s="391">
        <v>1659.7859480000002</v>
      </c>
    </row>
    <row r="17" spans="1:27" x14ac:dyDescent="0.3">
      <c r="A17" s="386">
        <v>7</v>
      </c>
      <c r="B17" s="387" t="s">
        <v>718</v>
      </c>
      <c r="C17" s="391">
        <v>573.41410400000018</v>
      </c>
      <c r="D17" s="391">
        <v>648.04002500000013</v>
      </c>
      <c r="E17" s="391">
        <v>725.89510599999994</v>
      </c>
      <c r="F17" s="391">
        <v>800.38924800000018</v>
      </c>
      <c r="G17" s="391">
        <v>873.31807400000002</v>
      </c>
      <c r="H17" s="391">
        <v>941.02132499999993</v>
      </c>
      <c r="I17" s="391">
        <v>1003.327223</v>
      </c>
      <c r="J17" s="392">
        <v>1072.0384560000002</v>
      </c>
      <c r="K17" s="393">
        <v>1138.833128</v>
      </c>
      <c r="L17" s="391">
        <v>1200.1480759999999</v>
      </c>
      <c r="M17" s="391">
        <v>1254.9157099999998</v>
      </c>
      <c r="N17" s="392">
        <v>1303.414671</v>
      </c>
      <c r="O17" s="393">
        <v>1345.6121440000002</v>
      </c>
      <c r="P17" s="391">
        <v>1381.0975030000002</v>
      </c>
      <c r="Q17" s="391">
        <v>1409.1448170000003</v>
      </c>
      <c r="R17" s="391">
        <v>1429.8202220000001</v>
      </c>
      <c r="S17" s="391">
        <v>1443.828366</v>
      </c>
      <c r="T17" s="391">
        <v>1452.0059910000004</v>
      </c>
      <c r="U17" s="392">
        <v>1455.2292299999999</v>
      </c>
      <c r="V17" s="393">
        <v>1453.9495410000002</v>
      </c>
      <c r="W17" s="391">
        <v>1448.54063</v>
      </c>
      <c r="X17" s="391">
        <v>1439.6438470000001</v>
      </c>
      <c r="Y17" s="391">
        <v>1428.0101769999999</v>
      </c>
      <c r="Z17" s="391">
        <v>1414.5536000000002</v>
      </c>
      <c r="AA17" s="391">
        <v>1399.83268</v>
      </c>
    </row>
    <row r="18" spans="1:27" x14ac:dyDescent="0.3">
      <c r="A18" s="386">
        <v>8</v>
      </c>
      <c r="B18" s="387" t="s">
        <v>671</v>
      </c>
      <c r="C18" s="391">
        <v>365.03484000000003</v>
      </c>
      <c r="D18" s="391">
        <v>405.90617000000009</v>
      </c>
      <c r="E18" s="391">
        <v>446.88876699999997</v>
      </c>
      <c r="F18" s="391">
        <v>487.32592699999992</v>
      </c>
      <c r="G18" s="391">
        <v>526.889948</v>
      </c>
      <c r="H18" s="391">
        <v>563.825875</v>
      </c>
      <c r="I18" s="391">
        <v>599.82299599999999</v>
      </c>
      <c r="J18" s="392">
        <v>634.38656700000001</v>
      </c>
      <c r="K18" s="393">
        <v>666.50205700000015</v>
      </c>
      <c r="L18" s="391">
        <v>695.58439699999997</v>
      </c>
      <c r="M18" s="391">
        <v>721.06651600000021</v>
      </c>
      <c r="N18" s="392">
        <v>742.74692800000014</v>
      </c>
      <c r="O18" s="393">
        <v>760.48402199999998</v>
      </c>
      <c r="P18" s="391">
        <v>774.30508000000009</v>
      </c>
      <c r="Q18" s="391">
        <v>784.24722299999996</v>
      </c>
      <c r="R18" s="391">
        <v>790.44997999999998</v>
      </c>
      <c r="S18" s="391">
        <v>792.95944399999985</v>
      </c>
      <c r="T18" s="391">
        <v>791.91702800000007</v>
      </c>
      <c r="U18" s="392">
        <v>787.63097000000005</v>
      </c>
      <c r="V18" s="393">
        <v>780.54587299999992</v>
      </c>
      <c r="W18" s="391">
        <v>771.20106700000019</v>
      </c>
      <c r="X18" s="391">
        <v>760.08994000000007</v>
      </c>
      <c r="Y18" s="391">
        <v>747.78139799999997</v>
      </c>
      <c r="Z18" s="391">
        <v>734.67851300000007</v>
      </c>
      <c r="AA18" s="391">
        <v>721.22418700000003</v>
      </c>
    </row>
    <row r="19" spans="1:27" x14ac:dyDescent="0.3">
      <c r="A19" s="386">
        <v>9</v>
      </c>
      <c r="B19" s="387" t="s">
        <v>611</v>
      </c>
      <c r="C19" s="391">
        <v>93.529271999999992</v>
      </c>
      <c r="D19" s="391">
        <v>113.34567199999998</v>
      </c>
      <c r="E19" s="391">
        <v>133.73840200000001</v>
      </c>
      <c r="F19" s="391">
        <v>151.53546400000002</v>
      </c>
      <c r="G19" s="391">
        <v>170.68601200000001</v>
      </c>
      <c r="H19" s="391">
        <v>190.98167900000004</v>
      </c>
      <c r="I19" s="391">
        <v>217.22847099999998</v>
      </c>
      <c r="J19" s="392">
        <v>239.73766999999998</v>
      </c>
      <c r="K19" s="393">
        <v>261.40526699999992</v>
      </c>
      <c r="L19" s="391">
        <v>282.58286000000004</v>
      </c>
      <c r="M19" s="391">
        <v>301.52500400000008</v>
      </c>
      <c r="N19" s="392">
        <v>318.912668</v>
      </c>
      <c r="O19" s="393">
        <v>335.59876600000001</v>
      </c>
      <c r="P19" s="391">
        <v>351.15489000000002</v>
      </c>
      <c r="Q19" s="391">
        <v>364.87189899999993</v>
      </c>
      <c r="R19" s="391">
        <v>376.13856099999992</v>
      </c>
      <c r="S19" s="391">
        <v>384.88991100000004</v>
      </c>
      <c r="T19" s="391">
        <v>391.46120700000006</v>
      </c>
      <c r="U19" s="392">
        <v>396.29730199999995</v>
      </c>
      <c r="V19" s="393">
        <v>399.79110199999997</v>
      </c>
      <c r="W19" s="391">
        <v>402.14495400000004</v>
      </c>
      <c r="X19" s="391">
        <v>403.42930799999999</v>
      </c>
      <c r="Y19" s="391">
        <v>403.61977299999995</v>
      </c>
      <c r="Z19" s="391">
        <v>402.62127800000002</v>
      </c>
      <c r="AA19" s="391">
        <v>400.46267899999998</v>
      </c>
    </row>
    <row r="20" spans="1:27" x14ac:dyDescent="0.3">
      <c r="A20" s="386">
        <v>10</v>
      </c>
      <c r="B20" s="387" t="s">
        <v>603</v>
      </c>
      <c r="C20" s="391">
        <v>477.96512899999999</v>
      </c>
      <c r="D20" s="391">
        <v>550.02772600000003</v>
      </c>
      <c r="E20" s="391">
        <v>631.61430399999995</v>
      </c>
      <c r="F20" s="391">
        <v>720.41638600000022</v>
      </c>
      <c r="G20" s="391">
        <v>814.06314899999995</v>
      </c>
      <c r="H20" s="391">
        <v>920.23894500000006</v>
      </c>
      <c r="I20" s="391">
        <v>1044.1068620000003</v>
      </c>
      <c r="J20" s="392">
        <v>1186.1782820000001</v>
      </c>
      <c r="K20" s="393">
        <v>1331.2730549999999</v>
      </c>
      <c r="L20" s="391">
        <v>1479.0914089999999</v>
      </c>
      <c r="M20" s="391">
        <v>1630.6500779999997</v>
      </c>
      <c r="N20" s="392">
        <v>1789.7099390000001</v>
      </c>
      <c r="O20" s="393">
        <v>1953.2361449999996</v>
      </c>
      <c r="P20" s="391">
        <v>2116.1507839999999</v>
      </c>
      <c r="Q20" s="391">
        <v>2274.2072840000001</v>
      </c>
      <c r="R20" s="391">
        <v>2424.9940200000001</v>
      </c>
      <c r="S20" s="391">
        <v>2567.0574739999997</v>
      </c>
      <c r="T20" s="391">
        <v>2698.9889969999995</v>
      </c>
      <c r="U20" s="392">
        <v>2818.9487099999997</v>
      </c>
      <c r="V20" s="393">
        <v>2924.577241</v>
      </c>
      <c r="W20" s="391">
        <v>3013.8634500000003</v>
      </c>
      <c r="X20" s="391">
        <v>3085.6287379999999</v>
      </c>
      <c r="Y20" s="391">
        <v>3139.7509289999994</v>
      </c>
      <c r="Z20" s="391">
        <v>3176.0153749999999</v>
      </c>
      <c r="AA20" s="391">
        <v>3195.0866089999995</v>
      </c>
    </row>
    <row r="21" spans="1:27" x14ac:dyDescent="0.3">
      <c r="A21" s="386">
        <v>11</v>
      </c>
      <c r="B21" s="387" t="s">
        <v>719</v>
      </c>
      <c r="C21" s="391">
        <v>0</v>
      </c>
      <c r="D21" s="391">
        <v>0</v>
      </c>
      <c r="E21" s="391">
        <v>0</v>
      </c>
      <c r="F21" s="391">
        <v>0</v>
      </c>
      <c r="G21" s="391">
        <v>0</v>
      </c>
      <c r="H21" s="391">
        <v>0</v>
      </c>
      <c r="I21" s="391">
        <v>0</v>
      </c>
      <c r="J21" s="392">
        <v>0</v>
      </c>
      <c r="K21" s="393">
        <v>0</v>
      </c>
      <c r="L21" s="391">
        <v>0</v>
      </c>
      <c r="M21" s="391">
        <v>0</v>
      </c>
      <c r="N21" s="392">
        <v>0</v>
      </c>
      <c r="O21" s="393">
        <v>0</v>
      </c>
      <c r="P21" s="391">
        <v>0</v>
      </c>
      <c r="Q21" s="391">
        <v>0</v>
      </c>
      <c r="R21" s="391">
        <v>0</v>
      </c>
      <c r="S21" s="391">
        <v>0</v>
      </c>
      <c r="T21" s="391">
        <v>0</v>
      </c>
      <c r="U21" s="392">
        <v>0</v>
      </c>
      <c r="V21" s="393">
        <v>0</v>
      </c>
      <c r="W21" s="391">
        <v>0</v>
      </c>
      <c r="X21" s="391">
        <v>0</v>
      </c>
      <c r="Y21" s="391">
        <v>0</v>
      </c>
      <c r="Z21" s="391">
        <v>0</v>
      </c>
      <c r="AA21" s="391">
        <v>0</v>
      </c>
    </row>
    <row r="22" spans="1:27" ht="15" thickBot="1" x14ac:dyDescent="0.35">
      <c r="A22" s="395"/>
      <c r="B22" s="396" t="s">
        <v>690</v>
      </c>
      <c r="C22" s="397">
        <f t="shared" ref="C22:AA22" si="0">SUM(C11:C21)</f>
        <v>4439.6324649999997</v>
      </c>
      <c r="D22" s="397">
        <f t="shared" si="0"/>
        <v>4852.5405690000007</v>
      </c>
      <c r="E22" s="397">
        <f t="shared" si="0"/>
        <v>5309.6676989999996</v>
      </c>
      <c r="F22" s="397">
        <f t="shared" si="0"/>
        <v>5735.1230839999989</v>
      </c>
      <c r="G22" s="397">
        <f t="shared" si="0"/>
        <v>6126.6221209999994</v>
      </c>
      <c r="H22" s="397">
        <f t="shared" si="0"/>
        <v>6519.6358499999997</v>
      </c>
      <c r="I22" s="397">
        <f t="shared" si="0"/>
        <v>6929.7250430000013</v>
      </c>
      <c r="J22" s="397">
        <f t="shared" si="0"/>
        <v>7349.4720990000014</v>
      </c>
      <c r="K22" s="398">
        <f t="shared" si="0"/>
        <v>7748.9640230000005</v>
      </c>
      <c r="L22" s="398">
        <f t="shared" si="0"/>
        <v>8115.512048999999</v>
      </c>
      <c r="M22" s="398">
        <f t="shared" si="0"/>
        <v>8450.1364539999995</v>
      </c>
      <c r="N22" s="398">
        <f t="shared" si="0"/>
        <v>8759.596039</v>
      </c>
      <c r="O22" s="399">
        <f t="shared" si="0"/>
        <v>9042.9467209999984</v>
      </c>
      <c r="P22" s="399">
        <f t="shared" si="0"/>
        <v>9295.929141999999</v>
      </c>
      <c r="Q22" s="399">
        <f t="shared" si="0"/>
        <v>9513.3770030000014</v>
      </c>
      <c r="R22" s="399">
        <f t="shared" si="0"/>
        <v>9692.9832080000015</v>
      </c>
      <c r="S22" s="399">
        <f t="shared" si="0"/>
        <v>9834.7945469999995</v>
      </c>
      <c r="T22" s="399">
        <f t="shared" si="0"/>
        <v>9943.4095180000004</v>
      </c>
      <c r="U22" s="399">
        <f t="shared" si="0"/>
        <v>10023.699745</v>
      </c>
      <c r="V22" s="400">
        <f t="shared" si="0"/>
        <v>10076.107005999998</v>
      </c>
      <c r="W22" s="400">
        <f t="shared" si="0"/>
        <v>10100.886827999999</v>
      </c>
      <c r="X22" s="400">
        <f t="shared" si="0"/>
        <v>10099.522526999999</v>
      </c>
      <c r="Y22" s="400">
        <f t="shared" si="0"/>
        <v>10076.248691999999</v>
      </c>
      <c r="Z22" s="400">
        <f t="shared" si="0"/>
        <v>10033.195941999998</v>
      </c>
      <c r="AA22" s="400">
        <f t="shared" si="0"/>
        <v>9970.1398960000006</v>
      </c>
    </row>
    <row r="23" spans="1:27" ht="15" thickTop="1" x14ac:dyDescent="0.3">
      <c r="A23" s="395"/>
      <c r="B23" s="395"/>
      <c r="C23" s="395"/>
      <c r="D23" s="395"/>
      <c r="E23" s="395"/>
      <c r="F23" s="395"/>
      <c r="G23" s="395"/>
      <c r="H23" s="395"/>
      <c r="I23" s="395"/>
      <c r="J23" s="395"/>
      <c r="K23" s="395"/>
      <c r="L23" s="395"/>
      <c r="M23" s="395"/>
      <c r="N23" s="395"/>
      <c r="O23" s="395"/>
      <c r="P23" s="395"/>
      <c r="Q23" s="395"/>
      <c r="R23" s="395"/>
      <c r="S23" s="395"/>
      <c r="T23" s="395"/>
      <c r="U23" s="395"/>
      <c r="V23" s="395"/>
      <c r="W23" s="395"/>
      <c r="X23" s="395"/>
      <c r="Y23" s="395"/>
      <c r="Z23" s="395"/>
      <c r="AA23" s="395"/>
    </row>
    <row r="24" spans="1:27" x14ac:dyDescent="0.3">
      <c r="A24" s="401">
        <v>2</v>
      </c>
      <c r="B24" s="402" t="s">
        <v>720</v>
      </c>
      <c r="C24" s="813" t="s">
        <v>721</v>
      </c>
      <c r="D24" s="813"/>
      <c r="E24" s="813"/>
      <c r="F24" s="813"/>
      <c r="G24" s="813"/>
      <c r="H24" s="813"/>
      <c r="I24" s="813"/>
      <c r="J24" s="813"/>
      <c r="K24" s="813"/>
      <c r="L24" s="813"/>
      <c r="M24" s="813"/>
      <c r="N24" s="813"/>
      <c r="O24" s="813"/>
      <c r="P24" s="813"/>
      <c r="Q24" s="813"/>
      <c r="R24" s="813"/>
      <c r="S24" s="813"/>
      <c r="T24" s="813"/>
      <c r="U24" s="813"/>
      <c r="V24" s="813"/>
      <c r="W24" s="813"/>
      <c r="X24" s="813"/>
      <c r="Y24" s="813"/>
      <c r="Z24" s="813"/>
      <c r="AA24" s="813"/>
    </row>
    <row r="25" spans="1:27" x14ac:dyDescent="0.3">
      <c r="A25" s="386">
        <v>1</v>
      </c>
      <c r="B25" s="387" t="s">
        <v>592</v>
      </c>
      <c r="C25" s="403">
        <v>7193.1488735665998</v>
      </c>
      <c r="D25" s="403">
        <v>8443.1047232869951</v>
      </c>
      <c r="E25" s="403">
        <v>9925.5514207628203</v>
      </c>
      <c r="F25" s="403">
        <v>11235.247141081938</v>
      </c>
      <c r="G25" s="403">
        <v>13853.121149537174</v>
      </c>
      <c r="H25" s="403">
        <v>15702.501144406979</v>
      </c>
      <c r="I25" s="403">
        <v>16334.078285421707</v>
      </c>
      <c r="J25" s="404">
        <v>18069.094835158656</v>
      </c>
      <c r="K25" s="405">
        <v>20001.87540415784</v>
      </c>
      <c r="L25" s="403">
        <v>22059.321468362028</v>
      </c>
      <c r="M25" s="403">
        <v>24307.415641937092</v>
      </c>
      <c r="N25" s="404">
        <v>27045.7102769183</v>
      </c>
      <c r="O25" s="405">
        <v>30183.623108034957</v>
      </c>
      <c r="P25" s="403">
        <v>33665.032150763691</v>
      </c>
      <c r="Q25" s="403">
        <v>37274.986030883716</v>
      </c>
      <c r="R25" s="403">
        <v>41014.419838949005</v>
      </c>
      <c r="S25" s="403">
        <v>44869.597260117589</v>
      </c>
      <c r="T25" s="403">
        <v>49075.273770903208</v>
      </c>
      <c r="U25" s="404">
        <v>53641.767737776536</v>
      </c>
      <c r="V25" s="405">
        <v>58426.404550956264</v>
      </c>
      <c r="W25" s="403">
        <v>63433.495894160602</v>
      </c>
      <c r="X25" s="403">
        <v>68603.550317178728</v>
      </c>
      <c r="Y25" s="403">
        <v>73853.622236671392</v>
      </c>
      <c r="Z25" s="403">
        <v>79230.02487197025</v>
      </c>
      <c r="AA25" s="403">
        <v>84777.596355181391</v>
      </c>
    </row>
    <row r="26" spans="1:27" x14ac:dyDescent="0.3">
      <c r="A26" s="386">
        <v>2</v>
      </c>
      <c r="B26" s="387" t="s">
        <v>601</v>
      </c>
      <c r="C26" s="406">
        <v>9955.6137769748329</v>
      </c>
      <c r="D26" s="406">
        <v>10757.18479716862</v>
      </c>
      <c r="E26" s="406">
        <v>12419.390150614538</v>
      </c>
      <c r="F26" s="406">
        <v>13126.7305507169</v>
      </c>
      <c r="G26" s="406">
        <v>15186.887680868776</v>
      </c>
      <c r="H26" s="406">
        <v>16823.258944039517</v>
      </c>
      <c r="I26" s="406">
        <v>17731.307618118481</v>
      </c>
      <c r="J26" s="407">
        <v>18664.837740957086</v>
      </c>
      <c r="K26" s="408">
        <v>20329.921621540445</v>
      </c>
      <c r="L26" s="406">
        <v>22061.211277812479</v>
      </c>
      <c r="M26" s="406">
        <v>23873.328142546419</v>
      </c>
      <c r="N26" s="407">
        <v>26002.528065850442</v>
      </c>
      <c r="O26" s="408">
        <v>28433.083510602144</v>
      </c>
      <c r="P26" s="406">
        <v>31100.488930140546</v>
      </c>
      <c r="Q26" s="406">
        <v>33943.942636612985</v>
      </c>
      <c r="R26" s="406">
        <v>36991.371005823632</v>
      </c>
      <c r="S26" s="406">
        <v>40341.916997117849</v>
      </c>
      <c r="T26" s="406">
        <v>44041.270161097127</v>
      </c>
      <c r="U26" s="407">
        <v>47989.262663549962</v>
      </c>
      <c r="V26" s="408">
        <v>52000.577006859021</v>
      </c>
      <c r="W26" s="406">
        <v>56047.039436068815</v>
      </c>
      <c r="X26" s="406">
        <v>60225.837378932818</v>
      </c>
      <c r="Y26" s="406">
        <v>64576.083997759612</v>
      </c>
      <c r="Z26" s="406">
        <v>69125.299192212537</v>
      </c>
      <c r="AA26" s="406">
        <v>73839.302108670265</v>
      </c>
    </row>
    <row r="27" spans="1:27" x14ac:dyDescent="0.3">
      <c r="A27" s="386">
        <v>3</v>
      </c>
      <c r="B27" s="387" t="s">
        <v>618</v>
      </c>
      <c r="C27" s="406">
        <v>3487.2447529938568</v>
      </c>
      <c r="D27" s="406">
        <v>3930.3577186771727</v>
      </c>
      <c r="E27" s="406">
        <v>4325.8589535427182</v>
      </c>
      <c r="F27" s="406">
        <v>2921.6475128644711</v>
      </c>
      <c r="G27" s="406">
        <v>3243.1145047306704</v>
      </c>
      <c r="H27" s="406">
        <v>4385.6350739969075</v>
      </c>
      <c r="I27" s="406">
        <v>5335.444474589377</v>
      </c>
      <c r="J27" s="407">
        <v>5983.3735733032818</v>
      </c>
      <c r="K27" s="408">
        <v>6586.7637502435582</v>
      </c>
      <c r="L27" s="406">
        <v>7451.2666885032368</v>
      </c>
      <c r="M27" s="406">
        <v>8455.3680005024398</v>
      </c>
      <c r="N27" s="407">
        <v>9679.8591709837565</v>
      </c>
      <c r="O27" s="408">
        <v>10945.768514919411</v>
      </c>
      <c r="P27" s="406">
        <v>12190.519739011284</v>
      </c>
      <c r="Q27" s="406">
        <v>13403.34216211497</v>
      </c>
      <c r="R27" s="406">
        <v>14670.054285557984</v>
      </c>
      <c r="S27" s="406">
        <v>16242.214074237232</v>
      </c>
      <c r="T27" s="406">
        <v>18149.859599071176</v>
      </c>
      <c r="U27" s="407">
        <v>20160.546954062458</v>
      </c>
      <c r="V27" s="408">
        <v>22063.718200563515</v>
      </c>
      <c r="W27" s="406">
        <v>23811.425892551502</v>
      </c>
      <c r="X27" s="406">
        <v>25601.745647764194</v>
      </c>
      <c r="Y27" s="406">
        <v>27604.410325995395</v>
      </c>
      <c r="Z27" s="406">
        <v>29845.140276811188</v>
      </c>
      <c r="AA27" s="406">
        <v>32224.168207021419</v>
      </c>
    </row>
    <row r="28" spans="1:27" x14ac:dyDescent="0.3">
      <c r="A28" s="386">
        <v>4</v>
      </c>
      <c r="B28" s="387" t="s">
        <v>717</v>
      </c>
      <c r="C28" s="406">
        <v>3079.6981086035789</v>
      </c>
      <c r="D28" s="406">
        <v>3831.4648230699277</v>
      </c>
      <c r="E28" s="406">
        <v>5031.7606596404339</v>
      </c>
      <c r="F28" s="406">
        <v>5782.1674939567147</v>
      </c>
      <c r="G28" s="406">
        <v>6485.7950373757749</v>
      </c>
      <c r="H28" s="406">
        <v>7294.9193368888755</v>
      </c>
      <c r="I28" s="406">
        <v>8021.3153142150359</v>
      </c>
      <c r="J28" s="407">
        <v>8719.3081939548811</v>
      </c>
      <c r="K28" s="408">
        <v>9444.6147679693622</v>
      </c>
      <c r="L28" s="406">
        <v>10261.630770649404</v>
      </c>
      <c r="M28" s="406">
        <v>11070.615960459972</v>
      </c>
      <c r="N28" s="407">
        <v>11937.345669872397</v>
      </c>
      <c r="O28" s="408">
        <v>12785.285470424904</v>
      </c>
      <c r="P28" s="406">
        <v>13679.863373933589</v>
      </c>
      <c r="Q28" s="406">
        <v>14647.081829987954</v>
      </c>
      <c r="R28" s="406">
        <v>15685.548246069309</v>
      </c>
      <c r="S28" s="406">
        <v>16792.012826073013</v>
      </c>
      <c r="T28" s="406">
        <v>17959.053570902568</v>
      </c>
      <c r="U28" s="407">
        <v>19239.274197162438</v>
      </c>
      <c r="V28" s="408">
        <v>20663.468205010751</v>
      </c>
      <c r="W28" s="406">
        <v>22160.602720078554</v>
      </c>
      <c r="X28" s="406">
        <v>23669.06614595899</v>
      </c>
      <c r="Y28" s="406">
        <v>25188.661097604167</v>
      </c>
      <c r="Z28" s="406">
        <v>26731.967360034541</v>
      </c>
      <c r="AA28" s="406">
        <v>28287.576711260423</v>
      </c>
    </row>
    <row r="29" spans="1:27" x14ac:dyDescent="0.3">
      <c r="A29" s="386">
        <v>5</v>
      </c>
      <c r="B29" s="387" t="s">
        <v>622</v>
      </c>
      <c r="C29" s="406">
        <v>691.96475406009461</v>
      </c>
      <c r="D29" s="406">
        <v>1149.496621601626</v>
      </c>
      <c r="E29" s="406">
        <v>1686.365827338693</v>
      </c>
      <c r="F29" s="406">
        <v>3011.2397228150357</v>
      </c>
      <c r="G29" s="406">
        <v>4550.2647792582529</v>
      </c>
      <c r="H29" s="406">
        <v>7249.5238414160121</v>
      </c>
      <c r="I29" s="406">
        <v>12358.729118026453</v>
      </c>
      <c r="J29" s="407">
        <v>18003.018801904796</v>
      </c>
      <c r="K29" s="408">
        <v>24303.923925317136</v>
      </c>
      <c r="L29" s="406">
        <v>31485.596941328095</v>
      </c>
      <c r="M29" s="406">
        <v>38592.955362689667</v>
      </c>
      <c r="N29" s="407">
        <v>44242.1565419947</v>
      </c>
      <c r="O29" s="408">
        <v>49073.889781058679</v>
      </c>
      <c r="P29" s="406">
        <v>54183.953600850749</v>
      </c>
      <c r="Q29" s="406">
        <v>59261.028352204477</v>
      </c>
      <c r="R29" s="406">
        <v>63210.344730019606</v>
      </c>
      <c r="S29" s="406">
        <v>67297.322244505252</v>
      </c>
      <c r="T29" s="406">
        <v>72881.790135688861</v>
      </c>
      <c r="U29" s="407">
        <v>79377.259075072492</v>
      </c>
      <c r="V29" s="408">
        <v>85641.834616894237</v>
      </c>
      <c r="W29" s="406">
        <v>91256.812851740935</v>
      </c>
      <c r="X29" s="406">
        <v>96696.427149551731</v>
      </c>
      <c r="Y29" s="406">
        <v>102826.14959661037</v>
      </c>
      <c r="Z29" s="406">
        <v>109873.53630520465</v>
      </c>
      <c r="AA29" s="406">
        <v>117312.92861168177</v>
      </c>
    </row>
    <row r="30" spans="1:27" x14ac:dyDescent="0.3">
      <c r="A30" s="386">
        <v>6</v>
      </c>
      <c r="B30" s="387" t="s">
        <v>623</v>
      </c>
      <c r="C30" s="406">
        <v>880.80746701944133</v>
      </c>
      <c r="D30" s="406">
        <v>1132.7380802386228</v>
      </c>
      <c r="E30" s="406">
        <v>1512.4574107370527</v>
      </c>
      <c r="F30" s="406">
        <v>1937.7269030372902</v>
      </c>
      <c r="G30" s="406">
        <v>2602.4566051672159</v>
      </c>
      <c r="H30" s="406">
        <v>3602.4143474414846</v>
      </c>
      <c r="I30" s="406">
        <v>5312.2398249508515</v>
      </c>
      <c r="J30" s="407">
        <v>7360.5322255898591</v>
      </c>
      <c r="K30" s="408">
        <v>10464.053388068829</v>
      </c>
      <c r="L30" s="406">
        <v>14256.863708458206</v>
      </c>
      <c r="M30" s="406">
        <v>18518.327569383382</v>
      </c>
      <c r="N30" s="407">
        <v>23451.968371212217</v>
      </c>
      <c r="O30" s="408">
        <v>29107.665788338949</v>
      </c>
      <c r="P30" s="406">
        <v>35466.5676246027</v>
      </c>
      <c r="Q30" s="406">
        <v>42409.428074274176</v>
      </c>
      <c r="R30" s="406">
        <v>49889.554706852279</v>
      </c>
      <c r="S30" s="406">
        <v>57921.23491368346</v>
      </c>
      <c r="T30" s="406">
        <v>66451.561055004087</v>
      </c>
      <c r="U30" s="407">
        <v>75414.620234619098</v>
      </c>
      <c r="V30" s="408">
        <v>84794.252904922032</v>
      </c>
      <c r="W30" s="406">
        <v>94656.29316384955</v>
      </c>
      <c r="X30" s="406">
        <v>104828.65478471486</v>
      </c>
      <c r="Y30" s="406">
        <v>115190.90631438426</v>
      </c>
      <c r="Z30" s="406">
        <v>125732.46966617202</v>
      </c>
      <c r="AA30" s="406">
        <v>136468.99263932559</v>
      </c>
    </row>
    <row r="31" spans="1:27" x14ac:dyDescent="0.3">
      <c r="A31" s="386">
        <v>7</v>
      </c>
      <c r="B31" s="387" t="s">
        <v>718</v>
      </c>
      <c r="C31" s="406">
        <v>1539.9013755870265</v>
      </c>
      <c r="D31" s="406">
        <v>1958.5344306927127</v>
      </c>
      <c r="E31" s="406">
        <v>2653.3589197472797</v>
      </c>
      <c r="F31" s="406">
        <v>3555.075204461828</v>
      </c>
      <c r="G31" s="406">
        <v>3991.6674271525289</v>
      </c>
      <c r="H31" s="406">
        <v>5088.6602203105704</v>
      </c>
      <c r="I31" s="406">
        <v>6460.4986366537405</v>
      </c>
      <c r="J31" s="407">
        <v>8251.6025668741058</v>
      </c>
      <c r="K31" s="408">
        <v>10521.056393747302</v>
      </c>
      <c r="L31" s="406">
        <v>13270.138955324066</v>
      </c>
      <c r="M31" s="406">
        <v>16333.022487127908</v>
      </c>
      <c r="N31" s="407">
        <v>19591.030591394552</v>
      </c>
      <c r="O31" s="408">
        <v>23085.210671215551</v>
      </c>
      <c r="P31" s="406">
        <v>26845.06813273023</v>
      </c>
      <c r="Q31" s="406">
        <v>30867.151176951418</v>
      </c>
      <c r="R31" s="406">
        <v>35222.646971179951</v>
      </c>
      <c r="S31" s="406">
        <v>39891.130775927682</v>
      </c>
      <c r="T31" s="406">
        <v>44860.8594201343</v>
      </c>
      <c r="U31" s="407">
        <v>50153.720034766731</v>
      </c>
      <c r="V31" s="408">
        <v>55725.744349428205</v>
      </c>
      <c r="W31" s="406">
        <v>61430.978888677368</v>
      </c>
      <c r="X31" s="406">
        <v>67278.23826963047</v>
      </c>
      <c r="Y31" s="406">
        <v>73381.769384518018</v>
      </c>
      <c r="Z31" s="406">
        <v>79761.488160999317</v>
      </c>
      <c r="AA31" s="406">
        <v>86366.328729065368</v>
      </c>
    </row>
    <row r="32" spans="1:27" x14ac:dyDescent="0.3">
      <c r="A32" s="386">
        <v>8</v>
      </c>
      <c r="B32" s="387" t="s">
        <v>671</v>
      </c>
      <c r="C32" s="406">
        <v>3696.5614148131144</v>
      </c>
      <c r="D32" s="406">
        <v>3872.1795622788668</v>
      </c>
      <c r="E32" s="406">
        <v>4275.6233410463719</v>
      </c>
      <c r="F32" s="406">
        <v>5017.6476598115223</v>
      </c>
      <c r="G32" s="406">
        <v>5814.867543539357</v>
      </c>
      <c r="H32" s="406">
        <v>6652.3361056524245</v>
      </c>
      <c r="I32" s="406">
        <v>8011.1738026173352</v>
      </c>
      <c r="J32" s="407">
        <v>8946.3349090743468</v>
      </c>
      <c r="K32" s="408">
        <v>9786.0799945806793</v>
      </c>
      <c r="L32" s="406">
        <v>11373.655153061765</v>
      </c>
      <c r="M32" s="406">
        <v>13228.288017900923</v>
      </c>
      <c r="N32" s="407">
        <v>15517.143739726502</v>
      </c>
      <c r="O32" s="408">
        <v>18134.664837698267</v>
      </c>
      <c r="P32" s="406">
        <v>20973.965123947226</v>
      </c>
      <c r="Q32" s="406">
        <v>23971.405972586297</v>
      </c>
      <c r="R32" s="406">
        <v>27100.279679058396</v>
      </c>
      <c r="S32" s="406">
        <v>30353.765154998968</v>
      </c>
      <c r="T32" s="406">
        <v>33706.777156609482</v>
      </c>
      <c r="U32" s="407">
        <v>37138.706973144814</v>
      </c>
      <c r="V32" s="408">
        <v>40692.893230414993</v>
      </c>
      <c r="W32" s="406">
        <v>44369.699231442828</v>
      </c>
      <c r="X32" s="406">
        <v>48114.064224549904</v>
      </c>
      <c r="Y32" s="406">
        <v>51939.883837065237</v>
      </c>
      <c r="Z32" s="406">
        <v>55867.20190489239</v>
      </c>
      <c r="AA32" s="406">
        <v>59893.458594132127</v>
      </c>
    </row>
    <row r="33" spans="1:27" x14ac:dyDescent="0.3">
      <c r="A33" s="386">
        <v>9</v>
      </c>
      <c r="B33" s="387" t="s">
        <v>611</v>
      </c>
      <c r="C33" s="406">
        <v>1728.8609661942044</v>
      </c>
      <c r="D33" s="406">
        <v>1714.9115533125591</v>
      </c>
      <c r="E33" s="406">
        <v>1945.8870826190696</v>
      </c>
      <c r="F33" s="406">
        <v>2276.3395329801392</v>
      </c>
      <c r="G33" s="406">
        <v>2843.3778028564493</v>
      </c>
      <c r="H33" s="406">
        <v>3570.5416450966259</v>
      </c>
      <c r="I33" s="406">
        <v>4575.7020520332444</v>
      </c>
      <c r="J33" s="407">
        <v>5324.1574148123264</v>
      </c>
      <c r="K33" s="408">
        <v>6203.491615424351</v>
      </c>
      <c r="L33" s="406">
        <v>7505.2607945170439</v>
      </c>
      <c r="M33" s="406">
        <v>8869.7083797208397</v>
      </c>
      <c r="N33" s="407">
        <v>10334.928314163451</v>
      </c>
      <c r="O33" s="408">
        <v>11861.497568249284</v>
      </c>
      <c r="P33" s="406">
        <v>13420.910117540441</v>
      </c>
      <c r="Q33" s="406">
        <v>14991.540059234772</v>
      </c>
      <c r="R33" s="406">
        <v>16624.68613410079</v>
      </c>
      <c r="S33" s="406">
        <v>18426.122566288592</v>
      </c>
      <c r="T33" s="406">
        <v>20406.858914926604</v>
      </c>
      <c r="U33" s="407">
        <v>22497.984433767226</v>
      </c>
      <c r="V33" s="408">
        <v>24585.01098507331</v>
      </c>
      <c r="W33" s="406">
        <v>26624.948750204971</v>
      </c>
      <c r="X33" s="406">
        <v>28710.564780710196</v>
      </c>
      <c r="Y33" s="406">
        <v>30944.471861080256</v>
      </c>
      <c r="Z33" s="406">
        <v>33317.256417522716</v>
      </c>
      <c r="AA33" s="406">
        <v>35749.945155669229</v>
      </c>
    </row>
    <row r="34" spans="1:27" x14ac:dyDescent="0.3">
      <c r="A34" s="386">
        <v>10</v>
      </c>
      <c r="B34" s="387" t="s">
        <v>603</v>
      </c>
      <c r="C34" s="406">
        <v>1780.3961475897945</v>
      </c>
      <c r="D34" s="406">
        <v>1911.5593446851653</v>
      </c>
      <c r="E34" s="406">
        <v>2124.8863975031877</v>
      </c>
      <c r="F34" s="406">
        <v>2255.6114504677471</v>
      </c>
      <c r="G34" s="406">
        <v>2715.8418819809781</v>
      </c>
      <c r="H34" s="406">
        <v>3510.5463104824034</v>
      </c>
      <c r="I34" s="406">
        <v>4549.810686385752</v>
      </c>
      <c r="J34" s="407">
        <v>5337.5931901658205</v>
      </c>
      <c r="K34" s="408">
        <v>6393.372492681011</v>
      </c>
      <c r="L34" s="406">
        <v>7949.4393725856935</v>
      </c>
      <c r="M34" s="406">
        <v>9892.784217376342</v>
      </c>
      <c r="N34" s="407">
        <v>12413.482824199313</v>
      </c>
      <c r="O34" s="408">
        <v>15486.260192409343</v>
      </c>
      <c r="P34" s="406">
        <v>19105.418270084443</v>
      </c>
      <c r="Q34" s="406">
        <v>23338.416058025552</v>
      </c>
      <c r="R34" s="406">
        <v>28261.988443004011</v>
      </c>
      <c r="S34" s="406">
        <v>33939.380635297086</v>
      </c>
      <c r="T34" s="406">
        <v>40363.343862647635</v>
      </c>
      <c r="U34" s="407">
        <v>47431.718379178215</v>
      </c>
      <c r="V34" s="408">
        <v>54978.940174364041</v>
      </c>
      <c r="W34" s="406">
        <v>62866.558326330261</v>
      </c>
      <c r="X34" s="406">
        <v>71268.001429991651</v>
      </c>
      <c r="Y34" s="406">
        <v>80238.842672677958</v>
      </c>
      <c r="Z34" s="406">
        <v>89637.56058388087</v>
      </c>
      <c r="AA34" s="406">
        <v>99259.595651507174</v>
      </c>
    </row>
    <row r="35" spans="1:27" x14ac:dyDescent="0.3">
      <c r="A35" s="386">
        <v>11</v>
      </c>
      <c r="B35" s="387" t="s">
        <v>719</v>
      </c>
      <c r="C35" s="406">
        <v>0</v>
      </c>
      <c r="D35" s="406">
        <v>0</v>
      </c>
      <c r="E35" s="406">
        <v>0</v>
      </c>
      <c r="F35" s="406">
        <v>0</v>
      </c>
      <c r="G35" s="406">
        <v>0</v>
      </c>
      <c r="H35" s="406">
        <v>0</v>
      </c>
      <c r="I35" s="406">
        <v>0</v>
      </c>
      <c r="J35" s="407">
        <v>0</v>
      </c>
      <c r="K35" s="408">
        <v>0</v>
      </c>
      <c r="L35" s="406">
        <v>0</v>
      </c>
      <c r="M35" s="406">
        <v>0</v>
      </c>
      <c r="N35" s="407">
        <v>0</v>
      </c>
      <c r="O35" s="408">
        <v>0</v>
      </c>
      <c r="P35" s="406">
        <v>0</v>
      </c>
      <c r="Q35" s="406">
        <v>0</v>
      </c>
      <c r="R35" s="406">
        <v>0</v>
      </c>
      <c r="S35" s="406">
        <v>0</v>
      </c>
      <c r="T35" s="406">
        <v>0</v>
      </c>
      <c r="U35" s="407">
        <v>0</v>
      </c>
      <c r="V35" s="408">
        <v>0</v>
      </c>
      <c r="W35" s="406">
        <v>0</v>
      </c>
      <c r="X35" s="406">
        <v>0</v>
      </c>
      <c r="Y35" s="406">
        <v>0</v>
      </c>
      <c r="Z35" s="406">
        <v>0</v>
      </c>
      <c r="AA35" s="406">
        <v>0</v>
      </c>
    </row>
    <row r="36" spans="1:27" ht="15" thickBot="1" x14ac:dyDescent="0.35">
      <c r="A36" s="395"/>
      <c r="B36" s="396" t="s">
        <v>690</v>
      </c>
      <c r="C36" s="409">
        <f t="shared" ref="C36:AA36" si="1">SUM(C25:C35)</f>
        <v>34034.19763740254</v>
      </c>
      <c r="D36" s="409">
        <f t="shared" si="1"/>
        <v>38701.531655012259</v>
      </c>
      <c r="E36" s="409">
        <f t="shared" si="1"/>
        <v>45901.140163552162</v>
      </c>
      <c r="F36" s="409">
        <f t="shared" si="1"/>
        <v>51119.433172193596</v>
      </c>
      <c r="G36" s="409">
        <f t="shared" si="1"/>
        <v>61287.394412467176</v>
      </c>
      <c r="H36" s="409">
        <f t="shared" si="1"/>
        <v>73880.336969731798</v>
      </c>
      <c r="I36" s="409">
        <f t="shared" si="1"/>
        <v>88690.299813011967</v>
      </c>
      <c r="J36" s="409">
        <f t="shared" si="1"/>
        <v>104659.85345179516</v>
      </c>
      <c r="K36" s="410">
        <f t="shared" si="1"/>
        <v>124035.15335373052</v>
      </c>
      <c r="L36" s="410">
        <f t="shared" si="1"/>
        <v>147674.38513060199</v>
      </c>
      <c r="M36" s="410">
        <f t="shared" si="1"/>
        <v>173141.81377964499</v>
      </c>
      <c r="N36" s="410">
        <f t="shared" si="1"/>
        <v>200216.15356631565</v>
      </c>
      <c r="O36" s="411">
        <f t="shared" si="1"/>
        <v>229096.9494429515</v>
      </c>
      <c r="P36" s="411">
        <f t="shared" si="1"/>
        <v>260631.78706360492</v>
      </c>
      <c r="Q36" s="411">
        <f t="shared" si="1"/>
        <v>294108.3223528763</v>
      </c>
      <c r="R36" s="411">
        <f t="shared" si="1"/>
        <v>328670.89404061495</v>
      </c>
      <c r="S36" s="411">
        <f t="shared" si="1"/>
        <v>366074.6974482467</v>
      </c>
      <c r="T36" s="411">
        <f t="shared" si="1"/>
        <v>407896.64764698502</v>
      </c>
      <c r="U36" s="411">
        <f t="shared" si="1"/>
        <v>453044.86068309989</v>
      </c>
      <c r="V36" s="412">
        <f t="shared" si="1"/>
        <v>499572.84422448633</v>
      </c>
      <c r="W36" s="412">
        <f t="shared" si="1"/>
        <v>546657.85515510535</v>
      </c>
      <c r="X36" s="412">
        <f t="shared" si="1"/>
        <v>594996.15012898354</v>
      </c>
      <c r="Y36" s="412">
        <f t="shared" si="1"/>
        <v>645744.80132436671</v>
      </c>
      <c r="Z36" s="412">
        <f t="shared" si="1"/>
        <v>699121.94473970041</v>
      </c>
      <c r="AA36" s="412">
        <f t="shared" si="1"/>
        <v>754179.89276351465</v>
      </c>
    </row>
    <row r="37" spans="1:27" ht="15" thickTop="1" x14ac:dyDescent="0.3">
      <c r="A37"/>
      <c r="B37"/>
      <c r="C37" s="395"/>
      <c r="D37" s="395"/>
      <c r="E37" s="395"/>
      <c r="F37" s="395"/>
      <c r="G37" s="395"/>
      <c r="H37" s="395"/>
      <c r="I37" s="395"/>
      <c r="J37" s="395"/>
      <c r="K37" s="395"/>
      <c r="L37" s="395"/>
      <c r="M37" s="395"/>
      <c r="N37" s="395"/>
      <c r="O37" s="395"/>
      <c r="P37" s="395"/>
      <c r="Q37" s="395"/>
      <c r="R37" s="395"/>
      <c r="S37" s="395"/>
      <c r="T37" s="395"/>
      <c r="U37" s="395"/>
      <c r="V37" s="395"/>
      <c r="W37" s="395"/>
      <c r="X37" s="395"/>
      <c r="Y37" s="395"/>
      <c r="Z37" s="395"/>
      <c r="AA37" s="395"/>
    </row>
    <row r="38" spans="1:27" x14ac:dyDescent="0.3">
      <c r="A38" s="401">
        <v>3</v>
      </c>
      <c r="B38" s="413" t="s">
        <v>722</v>
      </c>
      <c r="C38" s="813" t="s">
        <v>723</v>
      </c>
      <c r="D38" s="813"/>
      <c r="E38" s="813"/>
      <c r="F38" s="813"/>
      <c r="G38" s="813"/>
      <c r="H38" s="813"/>
      <c r="I38" s="813"/>
      <c r="J38" s="813"/>
      <c r="K38" s="813"/>
      <c r="L38" s="813"/>
      <c r="M38" s="813"/>
      <c r="N38" s="813"/>
      <c r="O38" s="813"/>
      <c r="P38" s="813"/>
      <c r="Q38" s="813"/>
      <c r="R38" s="813"/>
      <c r="S38" s="813"/>
      <c r="T38" s="813"/>
      <c r="U38" s="813"/>
      <c r="V38" s="813"/>
      <c r="W38" s="813"/>
      <c r="X38" s="813"/>
      <c r="Y38" s="813"/>
      <c r="Z38" s="813"/>
      <c r="AA38" s="813"/>
    </row>
    <row r="39" spans="1:27" x14ac:dyDescent="0.3">
      <c r="A39" s="386">
        <v>1</v>
      </c>
      <c r="B39" s="387" t="s">
        <v>724</v>
      </c>
      <c r="C39" s="414">
        <v>36.307112269094809</v>
      </c>
      <c r="D39" s="414">
        <v>37.412554192060718</v>
      </c>
      <c r="E39" s="414">
        <v>36.74077558637827</v>
      </c>
      <c r="F39" s="414">
        <v>40.641225967959912</v>
      </c>
      <c r="G39" s="414">
        <v>43.020191334287432</v>
      </c>
      <c r="H39" s="414">
        <v>51.224785821213274</v>
      </c>
      <c r="I39" s="414">
        <v>62.056553584957605</v>
      </c>
      <c r="J39" s="415">
        <v>67.057281487944891</v>
      </c>
      <c r="K39" s="416">
        <v>70.085766081076173</v>
      </c>
      <c r="L39" s="414">
        <v>73.949481951042998</v>
      </c>
      <c r="M39" s="414">
        <v>76.152466506177149</v>
      </c>
      <c r="N39" s="415">
        <v>79.380509195653488</v>
      </c>
      <c r="O39" s="416">
        <v>82.468891229676132</v>
      </c>
      <c r="P39" s="414">
        <v>85.790202914517749</v>
      </c>
      <c r="Q39" s="414">
        <v>87.39984715106695</v>
      </c>
      <c r="R39" s="414">
        <v>88.317464051192559</v>
      </c>
      <c r="S39" s="414">
        <v>87.426890769611603</v>
      </c>
      <c r="T39" s="414">
        <v>85.09068543270844</v>
      </c>
      <c r="U39" s="415">
        <v>81.997294041642789</v>
      </c>
      <c r="V39" s="416">
        <v>79.427514420516957</v>
      </c>
      <c r="W39" s="414">
        <v>77.209962690512356</v>
      </c>
      <c r="X39" s="414">
        <v>75.745596873030735</v>
      </c>
      <c r="Y39" s="414">
        <v>74.775979366590022</v>
      </c>
      <c r="Z39" s="414">
        <v>73.813301352239932</v>
      </c>
      <c r="AA39" s="414">
        <v>72.726070022506832</v>
      </c>
    </row>
    <row r="40" spans="1:27" x14ac:dyDescent="0.3">
      <c r="A40" s="386">
        <v>2</v>
      </c>
      <c r="B40" s="387" t="s">
        <v>725</v>
      </c>
      <c r="C40" s="417">
        <v>51.207027021848781</v>
      </c>
      <c r="D40" s="417">
        <v>48.903911675943135</v>
      </c>
      <c r="E40" s="417">
        <v>56.553852158769836</v>
      </c>
      <c r="F40" s="417">
        <v>45.118412479816108</v>
      </c>
      <c r="G40" s="417">
        <v>44.317949652841364</v>
      </c>
      <c r="H40" s="417">
        <v>51.422911404208563</v>
      </c>
      <c r="I40" s="417">
        <v>57.482650363391933</v>
      </c>
      <c r="J40" s="418">
        <v>59.682055236147143</v>
      </c>
      <c r="K40" s="419">
        <v>64.308898227710571</v>
      </c>
      <c r="L40" s="417">
        <v>69.853127778216546</v>
      </c>
      <c r="M40" s="417">
        <v>73.622363866792526</v>
      </c>
      <c r="N40" s="418">
        <v>76.660208297259473</v>
      </c>
      <c r="O40" s="419">
        <v>78.689935353477807</v>
      </c>
      <c r="P40" s="417">
        <v>80.473470106803831</v>
      </c>
      <c r="Q40" s="417">
        <v>82.428711169329475</v>
      </c>
      <c r="R40" s="417">
        <v>84.272243226404768</v>
      </c>
      <c r="S40" s="417">
        <v>85.967364014488481</v>
      </c>
      <c r="T40" s="417">
        <v>87.056746757168284</v>
      </c>
      <c r="U40" s="418">
        <v>87.746079571562987</v>
      </c>
      <c r="V40" s="419">
        <v>87.583696159739816</v>
      </c>
      <c r="W40" s="417">
        <v>86.808365106170683</v>
      </c>
      <c r="X40" s="417">
        <v>85.97199968432794</v>
      </c>
      <c r="Y40" s="417">
        <v>85.358619132194974</v>
      </c>
      <c r="Z40" s="417">
        <v>84.708930897685022</v>
      </c>
      <c r="AA40" s="417">
        <v>84.032080888952791</v>
      </c>
    </row>
    <row r="41" spans="1:27" x14ac:dyDescent="0.3">
      <c r="A41" s="386">
        <v>3</v>
      </c>
      <c r="B41" s="387" t="s">
        <v>726</v>
      </c>
      <c r="C41" s="417">
        <v>16.826111696987915</v>
      </c>
      <c r="D41" s="417">
        <v>17.548851925768332</v>
      </c>
      <c r="E41" s="417">
        <v>18.83424401234242</v>
      </c>
      <c r="F41" s="417">
        <v>21.089067483635933</v>
      </c>
      <c r="G41" s="417">
        <v>23.314665892493736</v>
      </c>
      <c r="H41" s="417">
        <v>27.012309877839066</v>
      </c>
      <c r="I41" s="417">
        <v>29.936288214837148</v>
      </c>
      <c r="J41" s="418">
        <v>31.591119815230762</v>
      </c>
      <c r="K41" s="419">
        <v>34.729138387437665</v>
      </c>
      <c r="L41" s="417">
        <v>39.642421930522218</v>
      </c>
      <c r="M41" s="417">
        <v>44.892599223095907</v>
      </c>
      <c r="N41" s="418">
        <v>50.745981847560053</v>
      </c>
      <c r="O41" s="419">
        <v>56.976459925037645</v>
      </c>
      <c r="P41" s="417">
        <v>64.321849850630471</v>
      </c>
      <c r="Q41" s="417">
        <v>71.864306481820648</v>
      </c>
      <c r="R41" s="417">
        <v>78.892515548909387</v>
      </c>
      <c r="S41" s="417">
        <v>85.936743267269591</v>
      </c>
      <c r="T41" s="417">
        <v>91.427293256455172</v>
      </c>
      <c r="U41" s="418">
        <v>95.454508267200808</v>
      </c>
      <c r="V41" s="419">
        <v>97.943068043915773</v>
      </c>
      <c r="W41" s="417">
        <v>99.497934547862059</v>
      </c>
      <c r="X41" s="417">
        <v>98.698648653653322</v>
      </c>
      <c r="Y41" s="417">
        <v>97.286564986117398</v>
      </c>
      <c r="Z41" s="417">
        <v>95.873562284918918</v>
      </c>
      <c r="AA41" s="417">
        <v>93.779374605994676</v>
      </c>
    </row>
    <row r="42" spans="1:27" x14ac:dyDescent="0.3">
      <c r="A42" s="386">
        <v>4</v>
      </c>
      <c r="B42" s="387" t="s">
        <v>727</v>
      </c>
      <c r="C42" s="417">
        <v>0.33184050956620575</v>
      </c>
      <c r="D42" s="417">
        <v>0.54430446863210746</v>
      </c>
      <c r="E42" s="417">
        <v>0.50147210565581479</v>
      </c>
      <c r="F42" s="417">
        <v>0.47474493438682069</v>
      </c>
      <c r="G42" s="417">
        <v>0.56477078272082371</v>
      </c>
      <c r="H42" s="417">
        <v>0.63570776467389778</v>
      </c>
      <c r="I42" s="417">
        <v>0.73301498016971733</v>
      </c>
      <c r="J42" s="418">
        <v>0.95985108557588383</v>
      </c>
      <c r="K42" s="419">
        <v>1.0151454634109696</v>
      </c>
      <c r="L42" s="417">
        <v>1.0501266838023826</v>
      </c>
      <c r="M42" s="417">
        <v>1.0764972146551293</v>
      </c>
      <c r="N42" s="418">
        <v>1.1135333698365739</v>
      </c>
      <c r="O42" s="419">
        <v>1.1255742827054167</v>
      </c>
      <c r="P42" s="417">
        <v>1.1116348727843359</v>
      </c>
      <c r="Q42" s="417">
        <v>1.0891741752610695</v>
      </c>
      <c r="R42" s="417">
        <v>1.0607551261378296</v>
      </c>
      <c r="S42" s="417">
        <v>1.0306518325450953</v>
      </c>
      <c r="T42" s="417">
        <v>0.99639634289701118</v>
      </c>
      <c r="U42" s="418">
        <v>0.96087594689116507</v>
      </c>
      <c r="V42" s="419">
        <v>0.92367293639387082</v>
      </c>
      <c r="W42" s="417">
        <v>0.88444518343853096</v>
      </c>
      <c r="X42" s="417">
        <v>0.8428907456149366</v>
      </c>
      <c r="Y42" s="417">
        <v>0.79934571429652312</v>
      </c>
      <c r="Z42" s="417">
        <v>0.75494993385789388</v>
      </c>
      <c r="AA42" s="417">
        <v>0.7102014549878769</v>
      </c>
    </row>
    <row r="43" spans="1:27" x14ac:dyDescent="0.3">
      <c r="A43" s="386">
        <v>5</v>
      </c>
      <c r="B43" s="387" t="s">
        <v>728</v>
      </c>
      <c r="C43" s="417">
        <v>0.69197001381376133</v>
      </c>
      <c r="D43" s="417">
        <v>0.722943833738108</v>
      </c>
      <c r="E43" s="417">
        <v>0.85293613059534024</v>
      </c>
      <c r="F43" s="417">
        <v>0.68287748225792011</v>
      </c>
      <c r="G43" s="417">
        <v>0.66882140570129645</v>
      </c>
      <c r="H43" s="417">
        <v>0.71605017295386042</v>
      </c>
      <c r="I43" s="417">
        <v>0.71701846776155698</v>
      </c>
      <c r="J43" s="418">
        <v>0.78087289808210958</v>
      </c>
      <c r="K43" s="419">
        <v>0.81428956057448687</v>
      </c>
      <c r="L43" s="417">
        <v>0.83539061979201379</v>
      </c>
      <c r="M43" s="417">
        <v>0.86734375152168253</v>
      </c>
      <c r="N43" s="418">
        <v>0.89033916946509239</v>
      </c>
      <c r="O43" s="419">
        <v>0.9123787353511249</v>
      </c>
      <c r="P43" s="417">
        <v>0.93577837171374323</v>
      </c>
      <c r="Q43" s="417">
        <v>0.97144796241272713</v>
      </c>
      <c r="R43" s="417">
        <v>0.99539878045703689</v>
      </c>
      <c r="S43" s="417">
        <v>1.0009903575751282</v>
      </c>
      <c r="T43" s="417">
        <v>1.003290009887599</v>
      </c>
      <c r="U43" s="418">
        <v>0.99487476785468232</v>
      </c>
      <c r="V43" s="419">
        <v>0.98011598697857072</v>
      </c>
      <c r="W43" s="417">
        <v>0.96633765956434303</v>
      </c>
      <c r="X43" s="417">
        <v>0.95414238840319809</v>
      </c>
      <c r="Y43" s="417">
        <v>0.94235147695228538</v>
      </c>
      <c r="Z43" s="417">
        <v>0.92842311892052798</v>
      </c>
      <c r="AA43" s="417">
        <v>0.91122856652037632</v>
      </c>
    </row>
    <row r="44" spans="1:27" x14ac:dyDescent="0.3">
      <c r="A44" s="386">
        <v>6</v>
      </c>
      <c r="B44" s="387" t="s">
        <v>729</v>
      </c>
      <c r="C44" s="417">
        <v>24.144786800708676</v>
      </c>
      <c r="D44" s="417">
        <v>25.264518578280605</v>
      </c>
      <c r="E44" s="417">
        <v>28.23535344883387</v>
      </c>
      <c r="F44" s="417">
        <v>31.311339100456269</v>
      </c>
      <c r="G44" s="417">
        <v>35.59679890623179</v>
      </c>
      <c r="H44" s="417">
        <v>40.605639683352855</v>
      </c>
      <c r="I44" s="417">
        <v>46.289719037093512</v>
      </c>
      <c r="J44" s="418">
        <v>51.227113182879528</v>
      </c>
      <c r="K44" s="419">
        <v>55.138018856265333</v>
      </c>
      <c r="L44" s="417">
        <v>56.708564161773516</v>
      </c>
      <c r="M44" s="417">
        <v>51.876614423335091</v>
      </c>
      <c r="N44" s="418">
        <v>51.510116575382668</v>
      </c>
      <c r="O44" s="419">
        <v>50.121865526851693</v>
      </c>
      <c r="P44" s="417">
        <v>48.057768266332587</v>
      </c>
      <c r="Q44" s="417">
        <v>47.473264457807289</v>
      </c>
      <c r="R44" s="417">
        <v>47.575396802839023</v>
      </c>
      <c r="S44" s="417">
        <v>47.568186307486684</v>
      </c>
      <c r="T44" s="417">
        <v>46.897562108991316</v>
      </c>
      <c r="U44" s="418">
        <v>47.50973332570365</v>
      </c>
      <c r="V44" s="419">
        <v>47.688549928016698</v>
      </c>
      <c r="W44" s="417">
        <v>47.642309989580752</v>
      </c>
      <c r="X44" s="417">
        <v>47.73413640981336</v>
      </c>
      <c r="Y44" s="417">
        <v>47.851887981220408</v>
      </c>
      <c r="Z44" s="417">
        <v>47.885470442557541</v>
      </c>
      <c r="AA44" s="417">
        <v>47.86962857843664</v>
      </c>
    </row>
    <row r="45" spans="1:27" x14ac:dyDescent="0.3">
      <c r="A45" s="386">
        <v>7</v>
      </c>
      <c r="B45" s="387" t="s">
        <v>730</v>
      </c>
      <c r="C45" s="417">
        <v>4.842660204119106</v>
      </c>
      <c r="D45" s="417">
        <v>5.3154213177900278</v>
      </c>
      <c r="E45" s="417">
        <v>6.2018847964617789</v>
      </c>
      <c r="F45" s="417">
        <v>6.3056328970888122</v>
      </c>
      <c r="G45" s="417">
        <v>7.497225003342554</v>
      </c>
      <c r="H45" s="417">
        <v>8.1351454583579841</v>
      </c>
      <c r="I45" s="417">
        <v>8.3537498162853367</v>
      </c>
      <c r="J45" s="418">
        <v>9.6770159655464099</v>
      </c>
      <c r="K45" s="419">
        <v>9.9193812900981424</v>
      </c>
      <c r="L45" s="417">
        <v>10.846175791603477</v>
      </c>
      <c r="M45" s="417">
        <v>11.383067797074727</v>
      </c>
      <c r="N45" s="418">
        <v>13.285499307229868</v>
      </c>
      <c r="O45" s="419">
        <v>15.454038708180033</v>
      </c>
      <c r="P45" s="417">
        <v>17.584360686073872</v>
      </c>
      <c r="Q45" s="417">
        <v>20.018695568543347</v>
      </c>
      <c r="R45" s="417">
        <v>22.150136802860938</v>
      </c>
      <c r="S45" s="417">
        <v>24.508749767700671</v>
      </c>
      <c r="T45" s="417">
        <v>26.703520766877663</v>
      </c>
      <c r="U45" s="418">
        <v>29.005064420553726</v>
      </c>
      <c r="V45" s="419">
        <v>31.084870147146102</v>
      </c>
      <c r="W45" s="417">
        <v>32.936060468690819</v>
      </c>
      <c r="X45" s="417">
        <v>34.662900088833602</v>
      </c>
      <c r="Y45" s="417">
        <v>36.344477383538326</v>
      </c>
      <c r="Z45" s="417">
        <v>37.973136404536255</v>
      </c>
      <c r="AA45" s="417">
        <v>39.476931113302108</v>
      </c>
    </row>
    <row r="46" spans="1:27" x14ac:dyDescent="0.3">
      <c r="A46" s="386">
        <v>8</v>
      </c>
      <c r="B46" s="387" t="s">
        <v>731</v>
      </c>
      <c r="C46" s="417">
        <v>5.7900101207546344</v>
      </c>
      <c r="D46" s="417">
        <v>5.027924958165614</v>
      </c>
      <c r="E46" s="417">
        <v>5.9071383310712493</v>
      </c>
      <c r="F46" s="417">
        <v>6.6394235430622652</v>
      </c>
      <c r="G46" s="417">
        <v>7.7706858539468326</v>
      </c>
      <c r="H46" s="417">
        <v>8.8445302423530023</v>
      </c>
      <c r="I46" s="417">
        <v>9.9709012143887854</v>
      </c>
      <c r="J46" s="418">
        <v>9.997499470525069</v>
      </c>
      <c r="K46" s="419">
        <v>10.623846144643695</v>
      </c>
      <c r="L46" s="417">
        <v>11.5292858648594</v>
      </c>
      <c r="M46" s="417">
        <v>12.239681985156524</v>
      </c>
      <c r="N46" s="418">
        <v>13.037853057040646</v>
      </c>
      <c r="O46" s="419">
        <v>13.709889271945825</v>
      </c>
      <c r="P46" s="417">
        <v>14.248299455250132</v>
      </c>
      <c r="Q46" s="417">
        <v>14.682829085042053</v>
      </c>
      <c r="R46" s="417">
        <v>14.970436995852724</v>
      </c>
      <c r="S46" s="417">
        <v>15.165391488405612</v>
      </c>
      <c r="T46" s="417">
        <v>15.251140287186576</v>
      </c>
      <c r="U46" s="418">
        <v>15.273736043770825</v>
      </c>
      <c r="V46" s="419">
        <v>15.222691241132164</v>
      </c>
      <c r="W46" s="417">
        <v>15.138758791124893</v>
      </c>
      <c r="X46" s="417">
        <v>15.045477480070703</v>
      </c>
      <c r="Y46" s="417">
        <v>14.951334107633851</v>
      </c>
      <c r="Z46" s="417">
        <v>14.824323287014835</v>
      </c>
      <c r="AA46" s="417">
        <v>14.661103456666003</v>
      </c>
    </row>
    <row r="47" spans="1:27" x14ac:dyDescent="0.3">
      <c r="A47" s="386">
        <v>9</v>
      </c>
      <c r="B47" s="387" t="s">
        <v>732</v>
      </c>
      <c r="C47" s="417">
        <v>2.4869363982541159</v>
      </c>
      <c r="D47" s="417">
        <v>2.2914465121820968</v>
      </c>
      <c r="E47" s="417">
        <v>1.6332141836296881</v>
      </c>
      <c r="F47" s="417">
        <v>1.2621442065155839</v>
      </c>
      <c r="G47" s="417">
        <v>1.2993225695721371</v>
      </c>
      <c r="H47" s="417">
        <v>1.5709822567394753</v>
      </c>
      <c r="I47" s="417">
        <v>1.4303708424832455</v>
      </c>
      <c r="J47" s="418">
        <v>1.5084821325699671</v>
      </c>
      <c r="K47" s="419">
        <v>1.5519934160251811</v>
      </c>
      <c r="L47" s="417">
        <v>1.567793558320044</v>
      </c>
      <c r="M47" s="417">
        <v>1.5372191422055153</v>
      </c>
      <c r="N47" s="418">
        <v>1.5847213943431404</v>
      </c>
      <c r="O47" s="419">
        <v>1.6539498107357611</v>
      </c>
      <c r="P47" s="417">
        <v>1.7316331285190443</v>
      </c>
      <c r="Q47" s="417">
        <v>1.8217739698113731</v>
      </c>
      <c r="R47" s="417">
        <v>1.891578360205302</v>
      </c>
      <c r="S47" s="417">
        <v>1.9550225556162817</v>
      </c>
      <c r="T47" s="417">
        <v>2.0075816127784076</v>
      </c>
      <c r="U47" s="418">
        <v>2.0645141003002854</v>
      </c>
      <c r="V47" s="419">
        <v>2.1299676908391332</v>
      </c>
      <c r="W47" s="417">
        <v>2.1989808696090249</v>
      </c>
      <c r="X47" s="417">
        <v>2.2784441947522218</v>
      </c>
      <c r="Y47" s="417">
        <v>2.3604640613772294</v>
      </c>
      <c r="Z47" s="417">
        <v>2.4500819530430822</v>
      </c>
      <c r="AA47" s="417">
        <v>2.5406219000663528</v>
      </c>
    </row>
    <row r="48" spans="1:27" x14ac:dyDescent="0.3">
      <c r="A48" s="386">
        <v>10</v>
      </c>
      <c r="B48" s="387" t="s">
        <v>733</v>
      </c>
      <c r="C48" s="417">
        <v>12.296564246599061</v>
      </c>
      <c r="D48" s="417">
        <v>13.989513909329688</v>
      </c>
      <c r="E48" s="417">
        <v>18.905432557930563</v>
      </c>
      <c r="F48" s="417">
        <v>21.199650638961053</v>
      </c>
      <c r="G48" s="417">
        <v>24.517496411863032</v>
      </c>
      <c r="H48" s="417">
        <v>27.490542372871793</v>
      </c>
      <c r="I48" s="417">
        <v>29.722713687097961</v>
      </c>
      <c r="J48" s="418">
        <v>34.274669744202683</v>
      </c>
      <c r="K48" s="419">
        <v>36.957935003159982</v>
      </c>
      <c r="L48" s="417">
        <v>40.41412933293617</v>
      </c>
      <c r="M48" s="417">
        <v>42.516266325531738</v>
      </c>
      <c r="N48" s="418">
        <v>45.716804360588526</v>
      </c>
      <c r="O48" s="419">
        <v>48.750310467107226</v>
      </c>
      <c r="P48" s="417">
        <v>51.788263240486529</v>
      </c>
      <c r="Q48" s="417">
        <v>55.397819454402899</v>
      </c>
      <c r="R48" s="417">
        <v>58.975085285429103</v>
      </c>
      <c r="S48" s="417">
        <v>62.807900389766026</v>
      </c>
      <c r="T48" s="417">
        <v>66.305563553777759</v>
      </c>
      <c r="U48" s="418">
        <v>69.715371087727689</v>
      </c>
      <c r="V48" s="419">
        <v>72.66032415396063</v>
      </c>
      <c r="W48" s="417">
        <v>75.123613758000317</v>
      </c>
      <c r="X48" s="417">
        <v>77.213745445970432</v>
      </c>
      <c r="Y48" s="417">
        <v>79.010321439666328</v>
      </c>
      <c r="Z48" s="417">
        <v>80.540702337670723</v>
      </c>
      <c r="AA48" s="417">
        <v>81.82925447897378</v>
      </c>
    </row>
    <row r="49" spans="1:27" x14ac:dyDescent="0.3">
      <c r="A49" s="386">
        <v>11</v>
      </c>
      <c r="B49" s="387" t="s">
        <v>734</v>
      </c>
      <c r="C49" s="417">
        <v>1.0094275981901937</v>
      </c>
      <c r="D49" s="417">
        <v>1.1907087753588452</v>
      </c>
      <c r="E49" s="417">
        <v>1.4328210685919796</v>
      </c>
      <c r="F49" s="417">
        <v>1.6949360175161421</v>
      </c>
      <c r="G49" s="417">
        <v>1.9653068068356569</v>
      </c>
      <c r="H49" s="417">
        <v>2.1193638077475194</v>
      </c>
      <c r="I49" s="417">
        <v>2.0999714230982112</v>
      </c>
      <c r="J49" s="418">
        <v>2.4979250247445979</v>
      </c>
      <c r="K49" s="419">
        <v>2.8478519766535824</v>
      </c>
      <c r="L49" s="417">
        <v>3.0071526710339405</v>
      </c>
      <c r="M49" s="417">
        <v>3.1031756700745259</v>
      </c>
      <c r="N49" s="418">
        <v>3.5042345902858778</v>
      </c>
      <c r="O49" s="419">
        <v>3.9413402243844797</v>
      </c>
      <c r="P49" s="417">
        <v>4.3542334452907685</v>
      </c>
      <c r="Q49" s="417">
        <v>4.8126239806893629</v>
      </c>
      <c r="R49" s="417">
        <v>5.2010780170368971</v>
      </c>
      <c r="S49" s="417">
        <v>5.6513909040554458</v>
      </c>
      <c r="T49" s="417">
        <v>6.0729093443483562</v>
      </c>
      <c r="U49" s="418">
        <v>6.4887112933693771</v>
      </c>
      <c r="V49" s="419">
        <v>6.83714024600879</v>
      </c>
      <c r="W49" s="417">
        <v>7.1227123520614652</v>
      </c>
      <c r="X49" s="417">
        <v>7.3742952049085222</v>
      </c>
      <c r="Y49" s="417">
        <v>7.6156391828878043</v>
      </c>
      <c r="Z49" s="417">
        <v>7.8536852328553755</v>
      </c>
      <c r="AA49" s="417">
        <v>8.0810045795853771</v>
      </c>
    </row>
    <row r="50" spans="1:27" x14ac:dyDescent="0.3">
      <c r="A50" s="386">
        <v>12</v>
      </c>
      <c r="B50" s="387" t="s">
        <v>735</v>
      </c>
      <c r="C50" s="417">
        <v>49.267664431869512</v>
      </c>
      <c r="D50" s="417">
        <v>55.326482148314227</v>
      </c>
      <c r="E50" s="417">
        <v>58.23222815379463</v>
      </c>
      <c r="F50" s="417">
        <v>65.075410974794423</v>
      </c>
      <c r="G50" s="417">
        <v>66.958080237880267</v>
      </c>
      <c r="H50" s="417">
        <v>69.067511678107707</v>
      </c>
      <c r="I50" s="417">
        <v>70.734804174711329</v>
      </c>
      <c r="J50" s="418">
        <v>71.8591684387073</v>
      </c>
      <c r="K50" s="419">
        <v>74.606497403926625</v>
      </c>
      <c r="L50" s="417">
        <v>75.272589041118678</v>
      </c>
      <c r="M50" s="417">
        <v>73.142769852045518</v>
      </c>
      <c r="N50" s="418">
        <v>71.503875406914716</v>
      </c>
      <c r="O50" s="419">
        <v>69.002362612759129</v>
      </c>
      <c r="P50" s="417">
        <v>67.475904749459858</v>
      </c>
      <c r="Q50" s="417">
        <v>66.248691721332747</v>
      </c>
      <c r="R50" s="417">
        <v>65.708687813333711</v>
      </c>
      <c r="S50" s="417">
        <v>65.644422177771574</v>
      </c>
      <c r="T50" s="417">
        <v>65.845824769211305</v>
      </c>
      <c r="U50" s="418">
        <v>65.87344848850816</v>
      </c>
      <c r="V50" s="419">
        <v>65.279024814574939</v>
      </c>
      <c r="W50" s="417">
        <v>64.456121061183879</v>
      </c>
      <c r="X50" s="417">
        <v>63.024546873365409</v>
      </c>
      <c r="Y50" s="417">
        <v>61.297693067463548</v>
      </c>
      <c r="Z50" s="417">
        <v>59.416829815426034</v>
      </c>
      <c r="AA50" s="417">
        <v>57.237152980956132</v>
      </c>
    </row>
    <row r="51" spans="1:27" x14ac:dyDescent="0.3">
      <c r="A51" s="386">
        <v>13</v>
      </c>
      <c r="B51" s="387" t="s">
        <v>736</v>
      </c>
      <c r="C51" s="417">
        <v>3.9877472152175857</v>
      </c>
      <c r="D51" s="417">
        <v>4.8358273842972954</v>
      </c>
      <c r="E51" s="417">
        <v>5.9464632144787721</v>
      </c>
      <c r="F51" s="417">
        <v>7.2593070409044884</v>
      </c>
      <c r="G51" s="417">
        <v>8.7920576694685</v>
      </c>
      <c r="H51" s="417">
        <v>10.714521882981963</v>
      </c>
      <c r="I51" s="417">
        <v>12.731083227219072</v>
      </c>
      <c r="J51" s="418">
        <v>14.095044217350024</v>
      </c>
      <c r="K51" s="419">
        <v>15.637838711652005</v>
      </c>
      <c r="L51" s="417">
        <v>17.450405731434294</v>
      </c>
      <c r="M51" s="417">
        <v>18.704156405232435</v>
      </c>
      <c r="N51" s="418">
        <v>19.969829410143831</v>
      </c>
      <c r="O51" s="419">
        <v>20.828974458623343</v>
      </c>
      <c r="P51" s="417">
        <v>21.911514027704794</v>
      </c>
      <c r="Q51" s="417">
        <v>22.990530386544286</v>
      </c>
      <c r="R51" s="417">
        <v>24.089288914985513</v>
      </c>
      <c r="S51" s="417">
        <v>25.096024244158887</v>
      </c>
      <c r="T51" s="417">
        <v>25.424309627724419</v>
      </c>
      <c r="U51" s="418">
        <v>25.480875580593501</v>
      </c>
      <c r="V51" s="419">
        <v>24.919257575558394</v>
      </c>
      <c r="W51" s="417">
        <v>25.055026622249301</v>
      </c>
      <c r="X51" s="417">
        <v>25.195791415715323</v>
      </c>
      <c r="Y51" s="417">
        <v>25.125411754411786</v>
      </c>
      <c r="Z51" s="417">
        <v>25.047405847204789</v>
      </c>
      <c r="AA51" s="417">
        <v>24.816254652171594</v>
      </c>
    </row>
    <row r="52" spans="1:27" x14ac:dyDescent="0.3">
      <c r="A52" s="386">
        <v>14</v>
      </c>
      <c r="B52" s="387" t="s">
        <v>737</v>
      </c>
      <c r="C52" s="417">
        <v>14.806411874910751</v>
      </c>
      <c r="D52" s="417">
        <v>16.167553777840027</v>
      </c>
      <c r="E52" s="417">
        <v>19.997299951456842</v>
      </c>
      <c r="F52" s="417">
        <v>22.488462854425222</v>
      </c>
      <c r="G52" s="417">
        <v>25.826367415371639</v>
      </c>
      <c r="H52" s="417">
        <v>29.885681157752359</v>
      </c>
      <c r="I52" s="417">
        <v>32.58745682650796</v>
      </c>
      <c r="J52" s="418">
        <v>35.005613201154233</v>
      </c>
      <c r="K52" s="419">
        <v>38.376399914908802</v>
      </c>
      <c r="L52" s="417">
        <v>43.156036585583621</v>
      </c>
      <c r="M52" s="417">
        <v>47.280638783766477</v>
      </c>
      <c r="N52" s="418">
        <v>52.82497437087499</v>
      </c>
      <c r="O52" s="419">
        <v>58.802246545673093</v>
      </c>
      <c r="P52" s="417">
        <v>64.961032727724714</v>
      </c>
      <c r="Q52" s="417">
        <v>71.594934789368025</v>
      </c>
      <c r="R52" s="417">
        <v>77.750370938940748</v>
      </c>
      <c r="S52" s="417">
        <v>83.634176540451222</v>
      </c>
      <c r="T52" s="417">
        <v>89.176762393250627</v>
      </c>
      <c r="U52" s="418">
        <v>94.364733608294074</v>
      </c>
      <c r="V52" s="419">
        <v>99.142930743317834</v>
      </c>
      <c r="W52" s="417">
        <v>103.56933933784707</v>
      </c>
      <c r="X52" s="417">
        <v>107.82525584286063</v>
      </c>
      <c r="Y52" s="417">
        <v>111.87039595448464</v>
      </c>
      <c r="Z52" s="417">
        <v>115.72480000231997</v>
      </c>
      <c r="AA52" s="417">
        <v>119.25104418480988</v>
      </c>
    </row>
    <row r="53" spans="1:27" ht="15" thickBot="1" x14ac:dyDescent="0.35">
      <c r="A53" s="395"/>
      <c r="B53" s="396" t="s">
        <v>690</v>
      </c>
      <c r="C53" s="420">
        <f t="shared" ref="C53:AA53" si="2">SUM(C39:C52)</f>
        <v>223.99627040193513</v>
      </c>
      <c r="D53" s="420">
        <f t="shared" si="2"/>
        <v>234.54196345770083</v>
      </c>
      <c r="E53" s="420">
        <f t="shared" si="2"/>
        <v>259.97511569999108</v>
      </c>
      <c r="F53" s="420">
        <f t="shared" si="2"/>
        <v>271.24263562178095</v>
      </c>
      <c r="G53" s="420">
        <f t="shared" si="2"/>
        <v>292.10973994255704</v>
      </c>
      <c r="H53" s="420">
        <f t="shared" si="2"/>
        <v>329.44568358115328</v>
      </c>
      <c r="I53" s="420">
        <f t="shared" si="2"/>
        <v>364.84629586000335</v>
      </c>
      <c r="J53" s="420">
        <f t="shared" si="2"/>
        <v>390.2137119006606</v>
      </c>
      <c r="K53" s="421">
        <f t="shared" si="2"/>
        <v>416.61300043754323</v>
      </c>
      <c r="L53" s="421">
        <f t="shared" si="2"/>
        <v>445.28268170203933</v>
      </c>
      <c r="M53" s="421">
        <f t="shared" si="2"/>
        <v>458.39486094666495</v>
      </c>
      <c r="N53" s="421">
        <f t="shared" si="2"/>
        <v>481.72848035257891</v>
      </c>
      <c r="O53" s="422">
        <f t="shared" si="2"/>
        <v>502.43821715250874</v>
      </c>
      <c r="P53" s="422">
        <f t="shared" si="2"/>
        <v>524.74594584329236</v>
      </c>
      <c r="Q53" s="422">
        <f t="shared" si="2"/>
        <v>548.7946503534323</v>
      </c>
      <c r="R53" s="422">
        <f t="shared" si="2"/>
        <v>571.85043666458546</v>
      </c>
      <c r="S53" s="422">
        <f t="shared" si="2"/>
        <v>593.39390461690232</v>
      </c>
      <c r="T53" s="422">
        <f t="shared" si="2"/>
        <v>609.25958626326292</v>
      </c>
      <c r="U53" s="422">
        <f t="shared" si="2"/>
        <v>622.92982054397373</v>
      </c>
      <c r="V53" s="423">
        <f t="shared" si="2"/>
        <v>631.82282408809965</v>
      </c>
      <c r="W53" s="423">
        <f t="shared" si="2"/>
        <v>638.60996843789542</v>
      </c>
      <c r="X53" s="423">
        <f t="shared" si="2"/>
        <v>642.56787130132034</v>
      </c>
      <c r="Y53" s="423">
        <f t="shared" si="2"/>
        <v>645.59048560883502</v>
      </c>
      <c r="Z53" s="423">
        <f t="shared" si="2"/>
        <v>647.79560291025086</v>
      </c>
      <c r="AA53" s="423">
        <f t="shared" si="2"/>
        <v>647.92195146393044</v>
      </c>
    </row>
    <row r="54" spans="1:27" ht="15" thickTop="1" x14ac:dyDescent="0.3">
      <c r="A54"/>
      <c r="B54"/>
      <c r="C54" s="395"/>
      <c r="D54" s="395"/>
      <c r="E54" s="395"/>
      <c r="F54" s="395"/>
      <c r="G54" s="395"/>
      <c r="H54" s="395"/>
      <c r="I54" s="395"/>
      <c r="J54" s="395"/>
      <c r="K54" s="395"/>
      <c r="L54" s="395"/>
      <c r="M54" s="395"/>
      <c r="N54" s="395"/>
      <c r="O54" s="395"/>
      <c r="P54" s="395"/>
      <c r="Q54" s="395"/>
      <c r="R54" s="395"/>
      <c r="S54" s="395"/>
      <c r="T54" s="395"/>
      <c r="U54" s="395"/>
      <c r="V54" s="395"/>
      <c r="W54" s="395"/>
      <c r="X54" s="395"/>
      <c r="Y54" s="395"/>
      <c r="Z54" s="395"/>
      <c r="AA54" s="395"/>
    </row>
    <row r="55" spans="1:27" x14ac:dyDescent="0.3">
      <c r="A55" s="401">
        <v>4</v>
      </c>
      <c r="B55" s="413" t="s">
        <v>738</v>
      </c>
      <c r="C55" s="813" t="s">
        <v>723</v>
      </c>
      <c r="D55" s="813"/>
      <c r="E55" s="813"/>
      <c r="F55" s="813"/>
      <c r="G55" s="813"/>
      <c r="H55" s="813"/>
      <c r="I55" s="813"/>
      <c r="J55" s="813"/>
      <c r="K55" s="813"/>
      <c r="L55" s="813"/>
      <c r="M55" s="813"/>
      <c r="N55" s="813"/>
      <c r="O55" s="813"/>
      <c r="P55" s="813"/>
      <c r="Q55" s="813"/>
      <c r="R55" s="813"/>
      <c r="S55" s="813"/>
      <c r="T55" s="813"/>
      <c r="U55" s="813"/>
      <c r="V55" s="813"/>
      <c r="W55" s="813"/>
      <c r="X55" s="813"/>
      <c r="Y55" s="813"/>
      <c r="Z55" s="813"/>
      <c r="AA55" s="813"/>
    </row>
    <row r="56" spans="1:27" x14ac:dyDescent="0.3">
      <c r="A56" s="386">
        <v>1</v>
      </c>
      <c r="B56" s="387" t="s">
        <v>739</v>
      </c>
      <c r="C56" s="414">
        <v>26.956075009630954</v>
      </c>
      <c r="D56" s="414">
        <v>29.527984975469508</v>
      </c>
      <c r="E56" s="414">
        <v>29.298807675199132</v>
      </c>
      <c r="F56" s="414">
        <v>25.776541956714802</v>
      </c>
      <c r="G56" s="414">
        <v>21.430038126113587</v>
      </c>
      <c r="H56" s="414">
        <v>31.577651587005604</v>
      </c>
      <c r="I56" s="414">
        <v>39.462317615533003</v>
      </c>
      <c r="J56" s="415">
        <v>41.16383621777188</v>
      </c>
      <c r="K56" s="416">
        <v>40.052681812514159</v>
      </c>
      <c r="L56" s="414">
        <v>41.78366873578711</v>
      </c>
      <c r="M56" s="414">
        <v>43.1181143003842</v>
      </c>
      <c r="N56" s="415">
        <v>45.389944598642494</v>
      </c>
      <c r="O56" s="416">
        <v>48.929777382866682</v>
      </c>
      <c r="P56" s="414">
        <v>53.816585073404262</v>
      </c>
      <c r="Q56" s="414">
        <v>57.977769343287875</v>
      </c>
      <c r="R56" s="414">
        <v>59.30406274938619</v>
      </c>
      <c r="S56" s="414">
        <v>56.847363516504345</v>
      </c>
      <c r="T56" s="414">
        <v>52.330648954145865</v>
      </c>
      <c r="U56" s="415">
        <v>47.489396224355801</v>
      </c>
      <c r="V56" s="416">
        <v>44.341633678892542</v>
      </c>
      <c r="W56" s="414">
        <v>42.856132533833112</v>
      </c>
      <c r="X56" s="414">
        <v>42.553930180350058</v>
      </c>
      <c r="Y56" s="414">
        <v>43.231189435701843</v>
      </c>
      <c r="Z56" s="414">
        <v>44.131905828153769</v>
      </c>
      <c r="AA56" s="414">
        <v>44.850748906974907</v>
      </c>
    </row>
    <row r="57" spans="1:27" x14ac:dyDescent="0.3">
      <c r="A57" s="386">
        <v>2</v>
      </c>
      <c r="B57" s="387" t="s">
        <v>740</v>
      </c>
      <c r="C57" s="417">
        <v>96.864074048713704</v>
      </c>
      <c r="D57" s="417">
        <v>92.605190814590586</v>
      </c>
      <c r="E57" s="417">
        <v>101.23429556362645</v>
      </c>
      <c r="F57" s="417">
        <v>107.61486683380022</v>
      </c>
      <c r="G57" s="417">
        <v>118.60298325571756</v>
      </c>
      <c r="H57" s="417">
        <v>131.24721725154907</v>
      </c>
      <c r="I57" s="417">
        <v>137.90213466303982</v>
      </c>
      <c r="J57" s="418">
        <v>146.22857085449729</v>
      </c>
      <c r="K57" s="419">
        <v>156.94993387128861</v>
      </c>
      <c r="L57" s="417">
        <v>164.5629091339589</v>
      </c>
      <c r="M57" s="417">
        <v>158.34106858050509</v>
      </c>
      <c r="N57" s="418">
        <v>157.18222148053556</v>
      </c>
      <c r="O57" s="419">
        <v>154.55430245047245</v>
      </c>
      <c r="P57" s="417">
        <v>149.5575469311288</v>
      </c>
      <c r="Q57" s="417">
        <v>144.81068980447128</v>
      </c>
      <c r="R57" s="417">
        <v>139.99597394999262</v>
      </c>
      <c r="S57" s="417">
        <v>133.744409320085</v>
      </c>
      <c r="T57" s="417">
        <v>124.48057320054556</v>
      </c>
      <c r="U57" s="418">
        <v>115.43197290688435</v>
      </c>
      <c r="V57" s="419">
        <v>109.70329403470987</v>
      </c>
      <c r="W57" s="417">
        <v>105.90872434343083</v>
      </c>
      <c r="X57" s="417">
        <v>103.54172166041917</v>
      </c>
      <c r="Y57" s="417">
        <v>101.92047054827316</v>
      </c>
      <c r="Z57" s="417">
        <v>100.17876153127223</v>
      </c>
      <c r="AA57" s="417">
        <v>97.648780815857378</v>
      </c>
    </row>
    <row r="58" spans="1:27" x14ac:dyDescent="0.3">
      <c r="A58" s="386">
        <v>3</v>
      </c>
      <c r="B58" s="387" t="s">
        <v>741</v>
      </c>
      <c r="C58" s="417">
        <v>41.533961091405246</v>
      </c>
      <c r="D58" s="417">
        <v>44.855865343663027</v>
      </c>
      <c r="E58" s="417">
        <v>47.469077872276941</v>
      </c>
      <c r="F58" s="417">
        <v>51.686471784978757</v>
      </c>
      <c r="G58" s="417">
        <v>58.373199001419565</v>
      </c>
      <c r="H58" s="417">
        <v>62.56012775080854</v>
      </c>
      <c r="I58" s="417">
        <v>71.507716294731324</v>
      </c>
      <c r="J58" s="418">
        <v>77.103346253777275</v>
      </c>
      <c r="K58" s="419">
        <v>83.668733433453255</v>
      </c>
      <c r="L58" s="417">
        <v>87.750299561068729</v>
      </c>
      <c r="M58" s="417">
        <v>85.054453510844638</v>
      </c>
      <c r="N58" s="418">
        <v>80.056507518190628</v>
      </c>
      <c r="O58" s="419">
        <v>73.921245645765609</v>
      </c>
      <c r="P58" s="417">
        <v>66.314408136589151</v>
      </c>
      <c r="Q58" s="417">
        <v>58.461433659118804</v>
      </c>
      <c r="R58" s="417">
        <v>52.605922275149503</v>
      </c>
      <c r="S58" s="417">
        <v>47.842916071962833</v>
      </c>
      <c r="T58" s="417">
        <v>44.077956207253081</v>
      </c>
      <c r="U58" s="418">
        <v>43.465773716256443</v>
      </c>
      <c r="V58" s="419">
        <v>43.48968174872455</v>
      </c>
      <c r="W58" s="417">
        <v>43.429743701117026</v>
      </c>
      <c r="X58" s="417">
        <v>43.040948672513188</v>
      </c>
      <c r="Y58" s="417">
        <v>42.741455998898978</v>
      </c>
      <c r="Z58" s="417">
        <v>42.325957955051621</v>
      </c>
      <c r="AA58" s="417">
        <v>41.614458132724572</v>
      </c>
    </row>
    <row r="59" spans="1:27" x14ac:dyDescent="0.3">
      <c r="A59" s="386">
        <v>4</v>
      </c>
      <c r="B59" s="387" t="s">
        <v>341</v>
      </c>
      <c r="C59" s="417">
        <v>24.497993516003692</v>
      </c>
      <c r="D59" s="417">
        <v>28.874994525638048</v>
      </c>
      <c r="E59" s="417">
        <v>34.82030880365744</v>
      </c>
      <c r="F59" s="417">
        <v>39.136205125497803</v>
      </c>
      <c r="G59" s="417">
        <v>45.673982137111601</v>
      </c>
      <c r="H59" s="417">
        <v>54.511252965377693</v>
      </c>
      <c r="I59" s="417">
        <v>64.493462468113805</v>
      </c>
      <c r="J59" s="418">
        <v>72.779112447323129</v>
      </c>
      <c r="K59" s="419">
        <v>83.264215098105865</v>
      </c>
      <c r="L59" s="417">
        <v>99.98070446165147</v>
      </c>
      <c r="M59" s="417">
        <v>120.60650883690759</v>
      </c>
      <c r="N59" s="418">
        <v>146.87895436592231</v>
      </c>
      <c r="O59" s="419">
        <v>173.71455907108651</v>
      </c>
      <c r="P59" s="417">
        <v>204.11362815386889</v>
      </c>
      <c r="Q59" s="417">
        <v>235.55554458053439</v>
      </c>
      <c r="R59" s="417">
        <v>264.71411581565195</v>
      </c>
      <c r="S59" s="417">
        <v>294.6430677882484</v>
      </c>
      <c r="T59" s="417">
        <v>323.20867250106403</v>
      </c>
      <c r="U59" s="418">
        <v>347.44050590500706</v>
      </c>
      <c r="V59" s="419">
        <v>361.99185453639154</v>
      </c>
      <c r="W59" s="417">
        <v>370.16951938758314</v>
      </c>
      <c r="X59" s="417">
        <v>372.37958722965641</v>
      </c>
      <c r="Y59" s="417">
        <v>371.20507343562258</v>
      </c>
      <c r="Z59" s="417">
        <v>368.35799774417183</v>
      </c>
      <c r="AA59" s="417">
        <v>363.75454204647588</v>
      </c>
    </row>
    <row r="60" spans="1:27" x14ac:dyDescent="0.3">
      <c r="A60" s="386">
        <v>5</v>
      </c>
      <c r="B60" s="387" t="s">
        <v>326</v>
      </c>
      <c r="C60" s="417">
        <v>0</v>
      </c>
      <c r="D60" s="417">
        <v>0</v>
      </c>
      <c r="E60" s="417">
        <v>0</v>
      </c>
      <c r="F60" s="417">
        <v>0</v>
      </c>
      <c r="G60" s="417">
        <v>0</v>
      </c>
      <c r="H60" s="417">
        <v>0</v>
      </c>
      <c r="I60" s="417">
        <v>0</v>
      </c>
      <c r="J60" s="418">
        <v>0</v>
      </c>
      <c r="K60" s="419">
        <v>3.7252738416561432E-2</v>
      </c>
      <c r="L60" s="417">
        <v>0.13655336571117668</v>
      </c>
      <c r="M60" s="417">
        <v>0.43199642172627906</v>
      </c>
      <c r="N60" s="418">
        <v>1.0417970883971273</v>
      </c>
      <c r="O60" s="419">
        <v>2.1763258885007248</v>
      </c>
      <c r="P60" s="417">
        <v>4.3685749987996205</v>
      </c>
      <c r="Q60" s="417">
        <v>8.737903436174399</v>
      </c>
      <c r="R60" s="417">
        <v>15.201662368107009</v>
      </c>
      <c r="S60" s="417">
        <v>23.523823360262494</v>
      </c>
      <c r="T60" s="417">
        <v>31.609489522269609</v>
      </c>
      <c r="U60" s="418">
        <v>38.695362806517807</v>
      </c>
      <c r="V60" s="419">
        <v>44.352798913888513</v>
      </c>
      <c r="W60" s="417">
        <v>49.268700712723131</v>
      </c>
      <c r="X60" s="417">
        <v>53.889220232562153</v>
      </c>
      <c r="Y60" s="417">
        <v>58.493276272596212</v>
      </c>
      <c r="Z60" s="417">
        <v>63.464141996017325</v>
      </c>
      <c r="AA60" s="417">
        <v>68.808522351850641</v>
      </c>
    </row>
    <row r="61" spans="1:27" x14ac:dyDescent="0.3">
      <c r="A61" s="386">
        <v>6</v>
      </c>
      <c r="B61" s="387" t="s">
        <v>694</v>
      </c>
      <c r="C61" s="417">
        <v>5.0525104458808956</v>
      </c>
      <c r="D61" s="417">
        <v>6.7855643406329422</v>
      </c>
      <c r="E61" s="417">
        <v>14.166629273040797</v>
      </c>
      <c r="F61" s="417">
        <v>12.110171370012829</v>
      </c>
      <c r="G61" s="417">
        <v>10.600561014060746</v>
      </c>
      <c r="H61" s="417">
        <v>11.162623419541459</v>
      </c>
      <c r="I61" s="417">
        <v>12.116632513660592</v>
      </c>
      <c r="J61" s="418">
        <v>12.594538047711064</v>
      </c>
      <c r="K61" s="419">
        <v>13.363092414125868</v>
      </c>
      <c r="L61" s="417">
        <v>14.189840784149164</v>
      </c>
      <c r="M61" s="417">
        <v>14.163199818093561</v>
      </c>
      <c r="N61" s="418">
        <v>14.016062256322414</v>
      </c>
      <c r="O61" s="419">
        <v>13.977427136134009</v>
      </c>
      <c r="P61" s="417">
        <v>13.526122017127076</v>
      </c>
      <c r="Q61" s="417">
        <v>12.507905145666179</v>
      </c>
      <c r="R61" s="417">
        <v>11.631453695842406</v>
      </c>
      <c r="S61" s="417">
        <v>10.675889906068861</v>
      </c>
      <c r="T61" s="417">
        <v>9.6198996182539283</v>
      </c>
      <c r="U61" s="418">
        <v>8.4977988357222412</v>
      </c>
      <c r="V61" s="419">
        <v>7.5845693336742013</v>
      </c>
      <c r="W61" s="417">
        <v>7.2648935129010592</v>
      </c>
      <c r="X61" s="417">
        <v>7.0400636655041922</v>
      </c>
      <c r="Y61" s="417">
        <v>6.8675346072643295</v>
      </c>
      <c r="Z61" s="417">
        <v>6.7377318614353054</v>
      </c>
      <c r="AA61" s="417">
        <v>6.5733127420961006</v>
      </c>
    </row>
    <row r="62" spans="1:27" x14ac:dyDescent="0.3">
      <c r="A62" s="386">
        <v>7</v>
      </c>
      <c r="B62" s="387" t="s">
        <v>742</v>
      </c>
      <c r="C62" s="417">
        <v>7.7547511230054402</v>
      </c>
      <c r="D62" s="417">
        <v>8.6143943416138491</v>
      </c>
      <c r="E62" s="417">
        <v>6.9919375260685532</v>
      </c>
      <c r="F62" s="417">
        <v>7.0606764788949192</v>
      </c>
      <c r="G62" s="417">
        <v>8.6168674636907188</v>
      </c>
      <c r="H62" s="417">
        <v>9.2269274800880936</v>
      </c>
      <c r="I62" s="417">
        <v>10.18642515646687</v>
      </c>
      <c r="J62" s="418">
        <v>10.991913439890114</v>
      </c>
      <c r="K62" s="419">
        <v>10.501362946727335</v>
      </c>
      <c r="L62" s="417">
        <v>10.098624086097592</v>
      </c>
      <c r="M62" s="417">
        <v>12.33789334384921</v>
      </c>
      <c r="N62" s="418">
        <v>15.914440588062256</v>
      </c>
      <c r="O62" s="419">
        <v>18.045439159956921</v>
      </c>
      <c r="P62" s="417">
        <v>19.83844005672935</v>
      </c>
      <c r="Q62" s="417">
        <v>21.3378316734271</v>
      </c>
      <c r="R62" s="417">
        <v>22.12284568336964</v>
      </c>
      <c r="S62" s="417">
        <v>22.090106308520653</v>
      </c>
      <c r="T62" s="417">
        <v>21.368069260961935</v>
      </c>
      <c r="U62" s="418">
        <v>20.381611504579624</v>
      </c>
      <c r="V62" s="419">
        <v>19.532250330139465</v>
      </c>
      <c r="W62" s="417">
        <v>19.176179405152425</v>
      </c>
      <c r="X62" s="417">
        <v>19.797526060486305</v>
      </c>
      <c r="Y62" s="417">
        <v>20.933454196067103</v>
      </c>
      <c r="Z62" s="417">
        <v>22.499368372853581</v>
      </c>
      <c r="AA62" s="417">
        <v>24.635751450551023</v>
      </c>
    </row>
    <row r="63" spans="1:27" x14ac:dyDescent="0.3">
      <c r="A63" s="386">
        <v>8</v>
      </c>
      <c r="B63" s="387" t="s">
        <v>743</v>
      </c>
      <c r="C63" s="417">
        <v>21.336905167295239</v>
      </c>
      <c r="D63" s="417">
        <v>23.277969116092937</v>
      </c>
      <c r="E63" s="417">
        <v>25.994058986121651</v>
      </c>
      <c r="F63" s="417">
        <v>27.85770207188158</v>
      </c>
      <c r="G63" s="417">
        <v>28.812108944443345</v>
      </c>
      <c r="H63" s="417">
        <v>29.159883126782752</v>
      </c>
      <c r="I63" s="417">
        <v>29.177607148458023</v>
      </c>
      <c r="J63" s="418">
        <v>29.35239463968977</v>
      </c>
      <c r="K63" s="419">
        <v>28.775728122911726</v>
      </c>
      <c r="L63" s="417">
        <v>26.780081573615075</v>
      </c>
      <c r="M63" s="417">
        <v>24.341626134354414</v>
      </c>
      <c r="N63" s="418">
        <v>21.248552456506054</v>
      </c>
      <c r="O63" s="419">
        <v>17.11914041772588</v>
      </c>
      <c r="P63" s="417">
        <v>13.2106404756455</v>
      </c>
      <c r="Q63" s="417">
        <v>9.4055727107520788</v>
      </c>
      <c r="R63" s="417">
        <v>6.2744001270862952</v>
      </c>
      <c r="S63" s="417">
        <v>4.0263283452495289</v>
      </c>
      <c r="T63" s="417">
        <v>2.5642769987689227</v>
      </c>
      <c r="U63" s="418">
        <v>1.5273986446504748</v>
      </c>
      <c r="V63" s="419">
        <v>0.82674151167903798</v>
      </c>
      <c r="W63" s="417">
        <v>0.53607484115528803</v>
      </c>
      <c r="X63" s="417">
        <v>0.32487359982900821</v>
      </c>
      <c r="Y63" s="417">
        <v>0.19803111441076063</v>
      </c>
      <c r="Z63" s="417">
        <v>9.9737621295191953E-2</v>
      </c>
      <c r="AA63" s="417">
        <v>3.5835017399598365E-2</v>
      </c>
    </row>
    <row r="64" spans="1:27" ht="15" thickBot="1" x14ac:dyDescent="0.35">
      <c r="A64" s="395"/>
      <c r="B64" s="396" t="s">
        <v>690</v>
      </c>
      <c r="C64" s="420">
        <f t="shared" ref="C64:AA64" si="3">SUM(C56:C63)</f>
        <v>223.99627040193516</v>
      </c>
      <c r="D64" s="420">
        <f t="shared" si="3"/>
        <v>234.54196345770089</v>
      </c>
      <c r="E64" s="420">
        <f t="shared" si="3"/>
        <v>259.97511569999097</v>
      </c>
      <c r="F64" s="420">
        <f t="shared" si="3"/>
        <v>271.24263562178089</v>
      </c>
      <c r="G64" s="420">
        <f t="shared" si="3"/>
        <v>292.10973994255716</v>
      </c>
      <c r="H64" s="420">
        <f t="shared" si="3"/>
        <v>329.44568358115316</v>
      </c>
      <c r="I64" s="420">
        <f t="shared" si="3"/>
        <v>364.84629586000347</v>
      </c>
      <c r="J64" s="420">
        <f t="shared" si="3"/>
        <v>390.21371190066054</v>
      </c>
      <c r="K64" s="421">
        <f t="shared" si="3"/>
        <v>416.61300043754335</v>
      </c>
      <c r="L64" s="421">
        <f t="shared" si="3"/>
        <v>445.28268170203921</v>
      </c>
      <c r="M64" s="421">
        <f t="shared" si="3"/>
        <v>458.39486094666506</v>
      </c>
      <c r="N64" s="421">
        <f t="shared" si="3"/>
        <v>481.7284803525788</v>
      </c>
      <c r="O64" s="422">
        <f t="shared" si="3"/>
        <v>502.4382171525088</v>
      </c>
      <c r="P64" s="422">
        <f t="shared" si="3"/>
        <v>524.74594584329259</v>
      </c>
      <c r="Q64" s="422">
        <f t="shared" si="3"/>
        <v>548.79465035343208</v>
      </c>
      <c r="R64" s="422">
        <f t="shared" si="3"/>
        <v>571.85043666458569</v>
      </c>
      <c r="S64" s="422">
        <f t="shared" si="3"/>
        <v>593.39390461690209</v>
      </c>
      <c r="T64" s="422">
        <f t="shared" si="3"/>
        <v>609.25958626326303</v>
      </c>
      <c r="U64" s="422">
        <f t="shared" si="3"/>
        <v>622.92982054397385</v>
      </c>
      <c r="V64" s="423">
        <f t="shared" si="3"/>
        <v>631.82282408809976</v>
      </c>
      <c r="W64" s="423">
        <f t="shared" si="3"/>
        <v>638.60996843789599</v>
      </c>
      <c r="X64" s="423">
        <f t="shared" si="3"/>
        <v>642.56787130132068</v>
      </c>
      <c r="Y64" s="423">
        <f t="shared" si="3"/>
        <v>645.59048560883502</v>
      </c>
      <c r="Z64" s="423">
        <f t="shared" si="3"/>
        <v>647.79560291025098</v>
      </c>
      <c r="AA64" s="423">
        <f t="shared" si="3"/>
        <v>647.92195146392999</v>
      </c>
    </row>
    <row r="65" spans="1:27" ht="15" thickTop="1" x14ac:dyDescent="0.3">
      <c r="A65"/>
      <c r="B65"/>
      <c r="C65" s="395"/>
      <c r="D65" s="395"/>
      <c r="E65" s="395"/>
      <c r="F65" s="395"/>
      <c r="G65" s="395"/>
      <c r="H65" s="395"/>
      <c r="I65" s="395"/>
      <c r="J65" s="395"/>
      <c r="K65" s="395"/>
      <c r="L65" s="395"/>
      <c r="M65" s="395"/>
      <c r="N65" s="395"/>
      <c r="O65" s="395"/>
      <c r="P65" s="395"/>
      <c r="Q65" s="395"/>
      <c r="R65" s="395"/>
      <c r="S65" s="395"/>
      <c r="T65" s="395"/>
      <c r="U65" s="395"/>
      <c r="V65" s="395"/>
      <c r="W65" s="395"/>
      <c r="X65" s="395"/>
      <c r="Y65" s="395"/>
      <c r="Z65" s="395"/>
      <c r="AA65" s="395"/>
    </row>
    <row r="66" spans="1:27" x14ac:dyDescent="0.3">
      <c r="A66" s="401">
        <v>5</v>
      </c>
      <c r="B66" s="413" t="s">
        <v>744</v>
      </c>
      <c r="C66" s="813" t="s">
        <v>723</v>
      </c>
      <c r="D66" s="813"/>
      <c r="E66" s="813"/>
      <c r="F66" s="813"/>
      <c r="G66" s="813"/>
      <c r="H66" s="813"/>
      <c r="I66" s="813"/>
      <c r="J66" s="813"/>
      <c r="K66" s="813"/>
      <c r="L66" s="813"/>
      <c r="M66" s="813"/>
      <c r="N66" s="813"/>
      <c r="O66" s="813"/>
      <c r="P66" s="813"/>
      <c r="Q66" s="813"/>
      <c r="R66" s="813"/>
      <c r="S66" s="813"/>
      <c r="T66" s="813"/>
      <c r="U66" s="813"/>
      <c r="V66" s="813"/>
      <c r="W66" s="813"/>
      <c r="X66" s="813"/>
      <c r="Y66" s="813"/>
      <c r="Z66" s="813"/>
      <c r="AA66" s="813"/>
    </row>
    <row r="67" spans="1:27" x14ac:dyDescent="0.3">
      <c r="A67" s="386">
        <v>1</v>
      </c>
      <c r="B67" s="387" t="s">
        <v>266</v>
      </c>
      <c r="C67" s="414">
        <v>130.42076967027896</v>
      </c>
      <c r="D67" s="414">
        <v>121.95751648748175</v>
      </c>
      <c r="E67" s="414">
        <v>136.26379074646772</v>
      </c>
      <c r="F67" s="414">
        <v>141.69660141171605</v>
      </c>
      <c r="G67" s="414">
        <v>153.65873096784597</v>
      </c>
      <c r="H67" s="414">
        <v>168.37627396502785</v>
      </c>
      <c r="I67" s="414">
        <v>173.9982248521089</v>
      </c>
      <c r="J67" s="415">
        <v>182.2935195968733</v>
      </c>
      <c r="K67" s="416">
        <v>195.69578966569784</v>
      </c>
      <c r="L67" s="414">
        <v>204.88767300874642</v>
      </c>
      <c r="M67" s="414">
        <v>196.16907002700958</v>
      </c>
      <c r="N67" s="415">
        <v>187.63363569902972</v>
      </c>
      <c r="O67" s="416">
        <v>179.64112383165093</v>
      </c>
      <c r="P67" s="414">
        <v>170.31119394531831</v>
      </c>
      <c r="Q67" s="414">
        <v>159.91401279986701</v>
      </c>
      <c r="R67" s="414">
        <v>146.50408322174837</v>
      </c>
      <c r="S67" s="414">
        <v>129.21511972974898</v>
      </c>
      <c r="T67" s="414">
        <v>113.77504371888506</v>
      </c>
      <c r="U67" s="415">
        <v>97.137020528503612</v>
      </c>
      <c r="V67" s="416">
        <v>83.163196254426538</v>
      </c>
      <c r="W67" s="414">
        <v>72.439540351535342</v>
      </c>
      <c r="X67" s="414">
        <v>64.647777896935665</v>
      </c>
      <c r="Y67" s="414">
        <v>58.933838666142314</v>
      </c>
      <c r="Z67" s="414">
        <v>54.224162072628516</v>
      </c>
      <c r="AA67" s="414">
        <v>50.08094015782757</v>
      </c>
    </row>
    <row r="68" spans="1:27" x14ac:dyDescent="0.3">
      <c r="A68" s="386">
        <v>2</v>
      </c>
      <c r="B68" s="387" t="s">
        <v>253</v>
      </c>
      <c r="C68" s="417">
        <v>0.10446066</v>
      </c>
      <c r="D68" s="417">
        <v>0.22608720000000002</v>
      </c>
      <c r="E68" s="417">
        <v>0.30119839200000004</v>
      </c>
      <c r="F68" s="417">
        <v>0.444386952</v>
      </c>
      <c r="G68" s="417">
        <v>0.45168706785896745</v>
      </c>
      <c r="H68" s="417">
        <v>0.87572711704424555</v>
      </c>
      <c r="I68" s="417">
        <v>2.4750855653710575</v>
      </c>
      <c r="J68" s="418">
        <v>3.3017379006876344</v>
      </c>
      <c r="K68" s="419">
        <v>4.1195614141907546</v>
      </c>
      <c r="L68" s="417">
        <v>4.6502969793384583</v>
      </c>
      <c r="M68" s="417">
        <v>4.9339770035453281</v>
      </c>
      <c r="N68" s="418">
        <v>8.7067525383537863</v>
      </c>
      <c r="O68" s="419">
        <v>12.327779619824192</v>
      </c>
      <c r="P68" s="417">
        <v>14.533254254478161</v>
      </c>
      <c r="Q68" s="417">
        <v>18.822837179117368</v>
      </c>
      <c r="R68" s="417">
        <v>26.48179723988434</v>
      </c>
      <c r="S68" s="417">
        <v>36.307987406089701</v>
      </c>
      <c r="T68" s="417">
        <v>42.433697749394724</v>
      </c>
      <c r="U68" s="418">
        <v>45.940447249716641</v>
      </c>
      <c r="V68" s="419">
        <v>50.000726173941558</v>
      </c>
      <c r="W68" s="417">
        <v>53.690959869098769</v>
      </c>
      <c r="X68" s="417">
        <v>56.703241365389353</v>
      </c>
      <c r="Y68" s="417">
        <v>59.090203413769501</v>
      </c>
      <c r="Z68" s="417">
        <v>60.595957790380552</v>
      </c>
      <c r="AA68" s="417">
        <v>60.96572640756137</v>
      </c>
    </row>
    <row r="69" spans="1:27" x14ac:dyDescent="0.3">
      <c r="A69" s="386">
        <v>3</v>
      </c>
      <c r="B69" s="387" t="s">
        <v>532</v>
      </c>
      <c r="C69" s="417">
        <v>51.486438521014875</v>
      </c>
      <c r="D69" s="417">
        <v>59.119712832156772</v>
      </c>
      <c r="E69" s="417">
        <v>70.292364466200837</v>
      </c>
      <c r="F69" s="417">
        <v>75.820439687966797</v>
      </c>
      <c r="G69" s="417">
        <v>87.217327333996366</v>
      </c>
      <c r="H69" s="417">
        <v>99.320032287764732</v>
      </c>
      <c r="I69" s="417">
        <v>115.13811282515181</v>
      </c>
      <c r="J69" s="418">
        <v>123.75028805907607</v>
      </c>
      <c r="K69" s="419">
        <v>136.79367482536392</v>
      </c>
      <c r="L69" s="417">
        <v>151.60539065069904</v>
      </c>
      <c r="M69" s="417">
        <v>158.26005276285613</v>
      </c>
      <c r="N69" s="418">
        <v>158.54256294734805</v>
      </c>
      <c r="O69" s="419">
        <v>150.75192480446057</v>
      </c>
      <c r="P69" s="417">
        <v>135.38157717177245</v>
      </c>
      <c r="Q69" s="417">
        <v>115.03896303997654</v>
      </c>
      <c r="R69" s="417">
        <v>95.038687658102404</v>
      </c>
      <c r="S69" s="417">
        <v>76.695684610420699</v>
      </c>
      <c r="T69" s="417">
        <v>60.434408246277684</v>
      </c>
      <c r="U69" s="418">
        <v>53.662886970671842</v>
      </c>
      <c r="V69" s="419">
        <v>53.230558343118204</v>
      </c>
      <c r="W69" s="417">
        <v>53.271126123261745</v>
      </c>
      <c r="X69" s="417">
        <v>53.125796173502771</v>
      </c>
      <c r="Y69" s="417">
        <v>53.611587382264297</v>
      </c>
      <c r="Z69" s="417">
        <v>53.96652640492978</v>
      </c>
      <c r="AA69" s="417">
        <v>53.79091302262308</v>
      </c>
    </row>
    <row r="70" spans="1:27" x14ac:dyDescent="0.3">
      <c r="A70" s="386">
        <v>4</v>
      </c>
      <c r="B70" s="387" t="s">
        <v>533</v>
      </c>
      <c r="C70" s="417">
        <v>4.0149410236977982E-3</v>
      </c>
      <c r="D70" s="417">
        <v>5.5003581384696007E-3</v>
      </c>
      <c r="E70" s="417">
        <v>7.1750075810777067E-2</v>
      </c>
      <c r="F70" s="417">
        <v>0.14431521011563633</v>
      </c>
      <c r="G70" s="417">
        <v>0.32504064207795835</v>
      </c>
      <c r="H70" s="417">
        <v>0.5702660720452537</v>
      </c>
      <c r="I70" s="417">
        <v>1.032473271328012</v>
      </c>
      <c r="J70" s="418">
        <v>1.7329060397752893</v>
      </c>
      <c r="K70" s="419">
        <v>3.5744171099309487</v>
      </c>
      <c r="L70" s="417">
        <v>5.5913783697400614</v>
      </c>
      <c r="M70" s="417">
        <v>7.6100222643992605</v>
      </c>
      <c r="N70" s="418">
        <v>10.008884182578999</v>
      </c>
      <c r="O70" s="419">
        <v>14.453743001239474</v>
      </c>
      <c r="P70" s="417">
        <v>20.723384581185304</v>
      </c>
      <c r="Q70" s="417">
        <v>23.548886410558652</v>
      </c>
      <c r="R70" s="417">
        <v>26.010703053330648</v>
      </c>
      <c r="S70" s="417">
        <v>27.595613405287907</v>
      </c>
      <c r="T70" s="417">
        <v>27.88304293552774</v>
      </c>
      <c r="U70" s="418">
        <v>28.513104300344008</v>
      </c>
      <c r="V70" s="419">
        <v>32.672795295728307</v>
      </c>
      <c r="W70" s="417">
        <v>33.771429671541853</v>
      </c>
      <c r="X70" s="417">
        <v>32.863158864282674</v>
      </c>
      <c r="Y70" s="417">
        <v>31.74823573794907</v>
      </c>
      <c r="Z70" s="417">
        <v>30.83544038521477</v>
      </c>
      <c r="AA70" s="417">
        <v>30.235296822833654</v>
      </c>
    </row>
    <row r="71" spans="1:27" x14ac:dyDescent="0.3">
      <c r="A71" s="386">
        <v>5</v>
      </c>
      <c r="B71" s="387" t="s">
        <v>254</v>
      </c>
      <c r="C71" s="417">
        <v>75.763329470832829</v>
      </c>
      <c r="D71" s="417">
        <v>82.888196644917443</v>
      </c>
      <c r="E71" s="417">
        <v>93.518629820373533</v>
      </c>
      <c r="F71" s="417">
        <v>92.863583817461489</v>
      </c>
      <c r="G71" s="417">
        <v>97.232163903071267</v>
      </c>
      <c r="H71" s="417">
        <v>125.72872845033793</v>
      </c>
      <c r="I71" s="417">
        <v>153.35627073357247</v>
      </c>
      <c r="J71" s="418">
        <v>160.88654239427973</v>
      </c>
      <c r="K71" s="419">
        <v>157.38733929015748</v>
      </c>
      <c r="L71" s="417">
        <v>159.46297498326544</v>
      </c>
      <c r="M71" s="417">
        <v>154.40034866234001</v>
      </c>
      <c r="N71" s="418">
        <v>144.9824153000441</v>
      </c>
      <c r="O71" s="419">
        <v>129.85228687079737</v>
      </c>
      <c r="P71" s="417">
        <v>113.37627736803422</v>
      </c>
      <c r="Q71" s="417">
        <v>99.745344523724526</v>
      </c>
      <c r="R71" s="417">
        <v>84.505369304365004</v>
      </c>
      <c r="S71" s="417">
        <v>73.037442577603613</v>
      </c>
      <c r="T71" s="417">
        <v>64.174481441594608</v>
      </c>
      <c r="U71" s="418">
        <v>56.231449275801168</v>
      </c>
      <c r="V71" s="419">
        <v>51.924192803551612</v>
      </c>
      <c r="W71" s="417">
        <v>50.222629465355652</v>
      </c>
      <c r="X71" s="417">
        <v>49.821979167239078</v>
      </c>
      <c r="Y71" s="417">
        <v>50.516930201622529</v>
      </c>
      <c r="Z71" s="417">
        <v>51.469531761218256</v>
      </c>
      <c r="AA71" s="417">
        <v>52.252153513097781</v>
      </c>
    </row>
    <row r="72" spans="1:27" x14ac:dyDescent="0.3">
      <c r="A72" s="386">
        <v>6</v>
      </c>
      <c r="B72" s="387" t="s">
        <v>534</v>
      </c>
      <c r="C72" s="417">
        <v>9.8457503128785753</v>
      </c>
      <c r="D72" s="417">
        <v>11.350042454971192</v>
      </c>
      <c r="E72" s="417">
        <v>11.731516377333399</v>
      </c>
      <c r="F72" s="417">
        <v>12.327561062153315</v>
      </c>
      <c r="G72" s="417">
        <v>13.418794362015145</v>
      </c>
      <c r="H72" s="417">
        <v>15.533593608194177</v>
      </c>
      <c r="I72" s="417">
        <v>18.387350243797609</v>
      </c>
      <c r="J72" s="418">
        <v>21.750033664474234</v>
      </c>
      <c r="K72" s="419">
        <v>23.918790196292591</v>
      </c>
      <c r="L72" s="417">
        <v>24.456404576130232</v>
      </c>
      <c r="M72" s="417">
        <v>26.558547970520593</v>
      </c>
      <c r="N72" s="418">
        <v>30.962613293978055</v>
      </c>
      <c r="O72" s="419">
        <v>39.621085819137498</v>
      </c>
      <c r="P72" s="417">
        <v>50.637855527695223</v>
      </c>
      <c r="Q72" s="417">
        <v>57.917381254129026</v>
      </c>
      <c r="R72" s="417">
        <v>64.686779215427336</v>
      </c>
      <c r="S72" s="417">
        <v>69.70723899292318</v>
      </c>
      <c r="T72" s="417">
        <v>71.897951408861047</v>
      </c>
      <c r="U72" s="418">
        <v>75.342062644133279</v>
      </c>
      <c r="V72" s="419">
        <v>87.764060037481158</v>
      </c>
      <c r="W72" s="417">
        <v>92.605939982559065</v>
      </c>
      <c r="X72" s="417">
        <v>92.499248634935469</v>
      </c>
      <c r="Y72" s="417">
        <v>91.772733458029805</v>
      </c>
      <c r="Z72" s="417">
        <v>91.27136478013108</v>
      </c>
      <c r="AA72" s="417">
        <v>91.845224229763176</v>
      </c>
    </row>
    <row r="73" spans="1:27" x14ac:dyDescent="0.3">
      <c r="A73" s="386">
        <v>7</v>
      </c>
      <c r="B73" s="387" t="s">
        <v>535</v>
      </c>
      <c r="C73" s="417">
        <v>21.336905167295239</v>
      </c>
      <c r="D73" s="417">
        <v>23.277969116092937</v>
      </c>
      <c r="E73" s="417">
        <v>25.994058986121651</v>
      </c>
      <c r="F73" s="417">
        <v>27.85770207188158</v>
      </c>
      <c r="G73" s="417">
        <v>28.812108944443345</v>
      </c>
      <c r="H73" s="417">
        <v>29.159883126782752</v>
      </c>
      <c r="I73" s="417">
        <v>29.177607148458023</v>
      </c>
      <c r="J73" s="418">
        <v>29.35239463968977</v>
      </c>
      <c r="K73" s="419">
        <v>28.775728122911726</v>
      </c>
      <c r="L73" s="417">
        <v>26.780081573615078</v>
      </c>
      <c r="M73" s="417">
        <v>24.341626134354421</v>
      </c>
      <c r="N73" s="418">
        <v>21.248552456506058</v>
      </c>
      <c r="O73" s="419">
        <v>17.119140417725884</v>
      </c>
      <c r="P73" s="417">
        <v>13.210640475645503</v>
      </c>
      <c r="Q73" s="417">
        <v>9.4055727107520788</v>
      </c>
      <c r="R73" s="417">
        <v>6.274400127086297</v>
      </c>
      <c r="S73" s="417">
        <v>4.0263283452495298</v>
      </c>
      <c r="T73" s="417">
        <v>2.5642769987689231</v>
      </c>
      <c r="U73" s="418">
        <v>1.527398644650475</v>
      </c>
      <c r="V73" s="419">
        <v>0.82674151167903809</v>
      </c>
      <c r="W73" s="417">
        <v>0.53607484115528814</v>
      </c>
      <c r="X73" s="417">
        <v>0.32487359982900832</v>
      </c>
      <c r="Y73" s="417">
        <v>0.19803111441076068</v>
      </c>
      <c r="Z73" s="417">
        <v>9.9737621295192008E-2</v>
      </c>
      <c r="AA73" s="417">
        <v>3.5835017399598379E-2</v>
      </c>
    </row>
    <row r="74" spans="1:27" x14ac:dyDescent="0.3">
      <c r="A74" s="386">
        <v>8</v>
      </c>
      <c r="B74" s="387" t="s">
        <v>257</v>
      </c>
      <c r="C74" s="417">
        <v>7.8052191764428072</v>
      </c>
      <c r="D74" s="417">
        <v>16.309286984895671</v>
      </c>
      <c r="E74" s="417">
        <v>22.012001919811041</v>
      </c>
      <c r="F74" s="417">
        <v>25.470605362624259</v>
      </c>
      <c r="G74" s="417">
        <v>28.291530040562286</v>
      </c>
      <c r="H74" s="417">
        <v>30.229630179809305</v>
      </c>
      <c r="I74" s="417">
        <v>30.107265674319528</v>
      </c>
      <c r="J74" s="418">
        <v>28.087886945472643</v>
      </c>
      <c r="K74" s="419">
        <v>31.66477068274844</v>
      </c>
      <c r="L74" s="417">
        <v>36.657568078258805</v>
      </c>
      <c r="M74" s="417">
        <v>44.003397985382271</v>
      </c>
      <c r="N74" s="418">
        <v>54.438744923379446</v>
      </c>
      <c r="O74" s="419">
        <v>63.852353804245048</v>
      </c>
      <c r="P74" s="417">
        <v>72.590788079294015</v>
      </c>
      <c r="Q74" s="417">
        <v>80.228152111748471</v>
      </c>
      <c r="R74" s="417">
        <v>88.683527177998229</v>
      </c>
      <c r="S74" s="417">
        <v>96.748558816119569</v>
      </c>
      <c r="T74" s="417">
        <v>104.63776633878804</v>
      </c>
      <c r="U74" s="418">
        <v>111.89929577078344</v>
      </c>
      <c r="V74" s="419">
        <v>116.55435566943508</v>
      </c>
      <c r="W74" s="417">
        <v>119.53517680584034</v>
      </c>
      <c r="X74" s="417">
        <v>121.6704052801667</v>
      </c>
      <c r="Y74" s="417">
        <v>123.04695513558717</v>
      </c>
      <c r="Z74" s="417">
        <v>123.87473656721261</v>
      </c>
      <c r="AA74" s="417">
        <v>124.48473125208304</v>
      </c>
    </row>
    <row r="75" spans="1:27" x14ac:dyDescent="0.3">
      <c r="A75" s="386">
        <v>9</v>
      </c>
      <c r="B75" s="387" t="s">
        <v>536</v>
      </c>
      <c r="C75" s="417">
        <v>6.2021716526057578</v>
      </c>
      <c r="D75" s="417">
        <v>7.1299533532498458</v>
      </c>
      <c r="E75" s="417">
        <v>7.7319384716989816</v>
      </c>
      <c r="F75" s="417">
        <v>8.9395585712747625</v>
      </c>
      <c r="G75" s="417">
        <v>9.4582300533240176</v>
      </c>
      <c r="H75" s="417">
        <v>10.593539340497674</v>
      </c>
      <c r="I75" s="417">
        <v>12.406896577376719</v>
      </c>
      <c r="J75" s="418">
        <v>14.027620208487081</v>
      </c>
      <c r="K75" s="419">
        <v>14.198569143761546</v>
      </c>
      <c r="L75" s="417">
        <v>14.982546123002344</v>
      </c>
      <c r="M75" s="417">
        <v>15.654168805931048</v>
      </c>
      <c r="N75" s="418">
        <v>16.602918857680073</v>
      </c>
      <c r="O75" s="419">
        <v>17.545812110545612</v>
      </c>
      <c r="P75" s="417">
        <v>18.443187585397123</v>
      </c>
      <c r="Q75" s="417">
        <v>19.356530813995825</v>
      </c>
      <c r="R75" s="417">
        <v>20.274259958812962</v>
      </c>
      <c r="S75" s="417">
        <v>21.169350868937226</v>
      </c>
      <c r="T75" s="417">
        <v>21.915103541859096</v>
      </c>
      <c r="U75" s="418">
        <v>22.621542407955797</v>
      </c>
      <c r="V75" s="419">
        <v>22.729026543676277</v>
      </c>
      <c r="W75" s="417">
        <v>22.847843028088224</v>
      </c>
      <c r="X75" s="417">
        <v>22.966072835343951</v>
      </c>
      <c r="Y75" s="417">
        <v>23.082022718605657</v>
      </c>
      <c r="Z75" s="417">
        <v>23.197804234796624</v>
      </c>
      <c r="AA75" s="417">
        <v>23.326295212614035</v>
      </c>
    </row>
    <row r="76" spans="1:27" x14ac:dyDescent="0.3">
      <c r="A76" s="386">
        <v>10</v>
      </c>
      <c r="B76" s="387" t="s">
        <v>506</v>
      </c>
      <c r="C76" s="417">
        <v>0.49866798034212151</v>
      </c>
      <c r="D76" s="417">
        <v>0.8652419239604161</v>
      </c>
      <c r="E76" s="417">
        <v>1.4036083257151242</v>
      </c>
      <c r="F76" s="417">
        <v>1.5670432299606145</v>
      </c>
      <c r="G76" s="417">
        <v>2.0779313335376219</v>
      </c>
      <c r="H76" s="417">
        <v>2.09693748102073</v>
      </c>
      <c r="I76" s="417">
        <v>2.3776341539289381</v>
      </c>
      <c r="J76" s="418">
        <v>2.8596084899943528</v>
      </c>
      <c r="K76" s="419">
        <v>3.3480923523817139</v>
      </c>
      <c r="L76" s="417">
        <v>4.0222295988580852</v>
      </c>
      <c r="M76" s="417">
        <v>5.1160781281145864</v>
      </c>
      <c r="N76" s="418">
        <v>7.4101847406461907</v>
      </c>
      <c r="O76" s="419">
        <v>12.007321090539294</v>
      </c>
      <c r="P76" s="417">
        <v>19.54861399981024</v>
      </c>
      <c r="Q76" s="417">
        <v>27.792879601785778</v>
      </c>
      <c r="R76" s="417">
        <v>34.218001809897075</v>
      </c>
      <c r="S76" s="417">
        <v>36.771412935188884</v>
      </c>
      <c r="T76" s="417">
        <v>37.603834836399578</v>
      </c>
      <c r="U76" s="418">
        <v>38.265402066424734</v>
      </c>
      <c r="V76" s="419">
        <v>38.698293473299088</v>
      </c>
      <c r="W76" s="417">
        <v>38.610591190712078</v>
      </c>
      <c r="X76" s="417">
        <v>38.490388098868401</v>
      </c>
      <c r="Y76" s="417">
        <v>38.395671471486899</v>
      </c>
      <c r="Z76" s="417">
        <v>38.491288195242028</v>
      </c>
      <c r="AA76" s="417">
        <v>38.517261699679224</v>
      </c>
    </row>
    <row r="77" spans="1:27" x14ac:dyDescent="0.3">
      <c r="A77" s="386">
        <v>11</v>
      </c>
      <c r="B77" s="387" t="s">
        <v>259</v>
      </c>
      <c r="C77" s="417">
        <v>1.1304360000000001E-3</v>
      </c>
      <c r="D77" s="417">
        <v>1.2602268E-2</v>
      </c>
      <c r="E77" s="417">
        <v>9.6673785219780692E-2</v>
      </c>
      <c r="F77" s="417">
        <v>0.12045652035046171</v>
      </c>
      <c r="G77" s="417">
        <v>0.21866940168449792</v>
      </c>
      <c r="H77" s="417">
        <v>0.31652682750882305</v>
      </c>
      <c r="I77" s="417">
        <v>0.77833314501807171</v>
      </c>
      <c r="J77" s="418">
        <v>2.2604857407714118</v>
      </c>
      <c r="K77" s="419">
        <v>5.9319806163814519</v>
      </c>
      <c r="L77" s="417">
        <v>12.62717799551344</v>
      </c>
      <c r="M77" s="417">
        <v>27.181400207564426</v>
      </c>
      <c r="N77" s="418">
        <v>47.989256980870039</v>
      </c>
      <c r="O77" s="419">
        <v>70.249363009898232</v>
      </c>
      <c r="P77" s="417">
        <v>96.566200638282822</v>
      </c>
      <c r="Q77" s="417">
        <v>127.40297274398978</v>
      </c>
      <c r="R77" s="417">
        <v>165.81894029021427</v>
      </c>
      <c r="S77" s="417">
        <v>217.86043220108027</v>
      </c>
      <c r="T77" s="417">
        <v>269.26290332613496</v>
      </c>
      <c r="U77" s="418">
        <v>313.03203996705662</v>
      </c>
      <c r="V77" s="419">
        <v>334.49598382815907</v>
      </c>
      <c r="W77" s="417">
        <v>352.82534465140424</v>
      </c>
      <c r="X77" s="417">
        <v>367.58830212427767</v>
      </c>
      <c r="Y77" s="417">
        <v>378.95716760105967</v>
      </c>
      <c r="Z77" s="417">
        <v>389.5341053162814</v>
      </c>
      <c r="AA77" s="417">
        <v>399.42604846973029</v>
      </c>
    </row>
    <row r="78" spans="1:27" x14ac:dyDescent="0.3">
      <c r="A78" s="386">
        <v>12</v>
      </c>
      <c r="B78" s="387" t="s">
        <v>260</v>
      </c>
      <c r="C78" s="417">
        <v>4.1868E-5</v>
      </c>
      <c r="D78" s="417">
        <v>2.0934E-4</v>
      </c>
      <c r="E78" s="417">
        <v>1.4234404022373463E-2</v>
      </c>
      <c r="F78" s="417">
        <v>2.8728681974362576E-2</v>
      </c>
      <c r="G78" s="417">
        <v>0.11445145492654601</v>
      </c>
      <c r="H78" s="417">
        <v>0.37489248420976679</v>
      </c>
      <c r="I78" s="417">
        <v>1.2299466339984244</v>
      </c>
      <c r="J78" s="418">
        <v>3.030511438550592</v>
      </c>
      <c r="K78" s="419">
        <v>5.9817815348779337</v>
      </c>
      <c r="L78" s="417">
        <v>10.201958785559629</v>
      </c>
      <c r="M78" s="417">
        <v>16.038651451905018</v>
      </c>
      <c r="N78" s="418">
        <v>27.017859139612934</v>
      </c>
      <c r="O78" s="419">
        <v>41.885149235062968</v>
      </c>
      <c r="P78" s="417">
        <v>61.636619270738613</v>
      </c>
      <c r="Q78" s="417">
        <v>88.441583248835187</v>
      </c>
      <c r="R78" s="417">
        <v>110.29734301785409</v>
      </c>
      <c r="S78" s="417">
        <v>120.3973281430151</v>
      </c>
      <c r="T78" s="417">
        <v>127.71329231718887</v>
      </c>
      <c r="U78" s="418">
        <v>130.32987291288967</v>
      </c>
      <c r="V78" s="419">
        <v>132.10280129103521</v>
      </c>
      <c r="W78" s="417">
        <v>132.54792139046273</v>
      </c>
      <c r="X78" s="417">
        <v>131.47223236061501</v>
      </c>
      <c r="Y78" s="417">
        <v>129.46239377576646</v>
      </c>
      <c r="Z78" s="417">
        <v>126.68558390946033</v>
      </c>
      <c r="AA78" s="417">
        <v>123.24652175204486</v>
      </c>
    </row>
    <row r="79" spans="1:27" x14ac:dyDescent="0.3">
      <c r="A79" s="386">
        <v>13</v>
      </c>
      <c r="B79" s="387" t="s">
        <v>537</v>
      </c>
      <c r="C79" s="417">
        <v>1.8003240000000001E-3</v>
      </c>
      <c r="D79" s="417">
        <v>2.2608719999999997E-3</v>
      </c>
      <c r="E79" s="417">
        <v>1.9260963421852577E-3</v>
      </c>
      <c r="F79" s="417">
        <v>2.0099032851272841E-3</v>
      </c>
      <c r="G79" s="417">
        <v>2.0098938459592623E-3</v>
      </c>
      <c r="H79" s="417">
        <v>1.8423398623013264E-3</v>
      </c>
      <c r="I79" s="417">
        <v>1.8499104879227007E-3</v>
      </c>
      <c r="J79" s="418">
        <v>3.6504353805425411E-3</v>
      </c>
      <c r="K79" s="419">
        <v>6.7884462033553278E-2</v>
      </c>
      <c r="L79" s="417">
        <v>0.20393835669503371</v>
      </c>
      <c r="M79" s="417">
        <v>0.33695697113095718</v>
      </c>
      <c r="N79" s="418">
        <v>0.51322198332228308</v>
      </c>
      <c r="O79" s="419">
        <v>0.56738659525778834</v>
      </c>
      <c r="P79" s="417">
        <v>0.629623516299613</v>
      </c>
      <c r="Q79" s="417">
        <v>0.71337349187126609</v>
      </c>
      <c r="R79" s="417">
        <v>0.81866793773708413</v>
      </c>
      <c r="S79" s="417">
        <v>0.864028011744855</v>
      </c>
      <c r="T79" s="417">
        <v>0.86919749906312715</v>
      </c>
      <c r="U79" s="418">
        <v>0.866799231618541</v>
      </c>
      <c r="V79" s="419">
        <v>0.85635630521048822</v>
      </c>
      <c r="W79" s="417">
        <v>0.82869517593311137</v>
      </c>
      <c r="X79" s="417">
        <v>0.80276917862454966</v>
      </c>
      <c r="Y79" s="417">
        <v>0.77858611737984884</v>
      </c>
      <c r="Z79" s="417">
        <v>0.75622523651368956</v>
      </c>
      <c r="AA79" s="417">
        <v>0.7355021735494307</v>
      </c>
    </row>
    <row r="80" spans="1:27" ht="15" thickBot="1" x14ac:dyDescent="0.35">
      <c r="A80" s="395"/>
      <c r="B80" s="396" t="s">
        <v>690</v>
      </c>
      <c r="C80" s="420">
        <f t="shared" ref="C80:AA80" si="4">SUM(C67:C79)</f>
        <v>303.47070018071486</v>
      </c>
      <c r="D80" s="420">
        <f t="shared" si="4"/>
        <v>323.14457983586453</v>
      </c>
      <c r="E80" s="420">
        <f t="shared" si="4"/>
        <v>369.43369186711737</v>
      </c>
      <c r="F80" s="420">
        <f t="shared" si="4"/>
        <v>387.28299248276448</v>
      </c>
      <c r="G80" s="420">
        <f t="shared" si="4"/>
        <v>421.27867539918998</v>
      </c>
      <c r="H80" s="420">
        <f t="shared" si="4"/>
        <v>483.17787328010559</v>
      </c>
      <c r="I80" s="420">
        <f t="shared" si="4"/>
        <v>540.46705073491762</v>
      </c>
      <c r="J80" s="420">
        <f t="shared" si="4"/>
        <v>573.33718555351265</v>
      </c>
      <c r="K80" s="421">
        <f t="shared" si="4"/>
        <v>611.45837941672983</v>
      </c>
      <c r="L80" s="421">
        <f t="shared" si="4"/>
        <v>656.12961907942213</v>
      </c>
      <c r="M80" s="421">
        <f t="shared" si="4"/>
        <v>680.60429837505376</v>
      </c>
      <c r="N80" s="421">
        <f t="shared" si="4"/>
        <v>716.05760304334979</v>
      </c>
      <c r="O80" s="422">
        <f t="shared" si="4"/>
        <v>749.87447021038486</v>
      </c>
      <c r="P80" s="422">
        <f t="shared" si="4"/>
        <v>787.58921641395148</v>
      </c>
      <c r="Q80" s="422">
        <f t="shared" si="4"/>
        <v>828.32848993035145</v>
      </c>
      <c r="R80" s="422">
        <f t="shared" si="4"/>
        <v>869.61256001245829</v>
      </c>
      <c r="S80" s="422">
        <f t="shared" si="4"/>
        <v>910.39652604340949</v>
      </c>
      <c r="T80" s="422">
        <f t="shared" si="4"/>
        <v>945.16500035874344</v>
      </c>
      <c r="U80" s="422">
        <f t="shared" si="4"/>
        <v>975.36932197054978</v>
      </c>
      <c r="V80" s="423">
        <f t="shared" si="4"/>
        <v>1005.0190875307417</v>
      </c>
      <c r="W80" s="423">
        <f t="shared" si="4"/>
        <v>1023.7332725469486</v>
      </c>
      <c r="X80" s="423">
        <f t="shared" si="4"/>
        <v>1032.9762455800105</v>
      </c>
      <c r="Y80" s="423">
        <f t="shared" si="4"/>
        <v>1039.594356794074</v>
      </c>
      <c r="Z80" s="423">
        <f t="shared" si="4"/>
        <v>1045.0024642753051</v>
      </c>
      <c r="AA80" s="423">
        <f t="shared" si="4"/>
        <v>1048.9424497308071</v>
      </c>
    </row>
    <row r="81" spans="1:27" ht="15" thickTop="1" x14ac:dyDescent="0.3">
      <c r="A81"/>
      <c r="B81"/>
      <c r="C81" s="395"/>
      <c r="D81" s="395"/>
      <c r="E81" s="395"/>
      <c r="F81" s="395"/>
      <c r="G81" s="395"/>
      <c r="H81" s="395"/>
      <c r="I81" s="395"/>
      <c r="J81" s="395"/>
      <c r="K81" s="395"/>
      <c r="L81" s="395"/>
      <c r="M81" s="395"/>
      <c r="N81" s="395"/>
      <c r="O81" s="395"/>
      <c r="P81" s="395"/>
      <c r="Q81" s="395"/>
      <c r="R81" s="395"/>
      <c r="S81" s="395"/>
      <c r="T81" s="395"/>
      <c r="U81" s="395"/>
      <c r="V81" s="395"/>
      <c r="W81" s="395"/>
      <c r="X81" s="395"/>
      <c r="Y81" s="395"/>
      <c r="Z81" s="395"/>
      <c r="AA81" s="395"/>
    </row>
    <row r="82" spans="1:27" ht="26.4" x14ac:dyDescent="0.3">
      <c r="A82" s="401" t="s">
        <v>745</v>
      </c>
      <c r="B82" s="413" t="s">
        <v>746</v>
      </c>
      <c r="C82" s="813" t="s">
        <v>747</v>
      </c>
      <c r="D82" s="813"/>
      <c r="E82" s="813"/>
      <c r="F82" s="813"/>
      <c r="G82" s="813"/>
      <c r="H82" s="813"/>
      <c r="I82" s="813"/>
      <c r="J82" s="813"/>
      <c r="K82" s="813"/>
      <c r="L82" s="813"/>
      <c r="M82" s="813"/>
      <c r="N82" s="813"/>
      <c r="O82" s="813"/>
      <c r="P82" s="813"/>
      <c r="Q82" s="813"/>
      <c r="R82" s="813"/>
      <c r="S82" s="813"/>
      <c r="T82" s="813"/>
      <c r="U82" s="813"/>
      <c r="V82" s="813"/>
      <c r="W82" s="813"/>
      <c r="X82" s="813"/>
      <c r="Y82" s="813"/>
      <c r="Z82" s="813"/>
      <c r="AA82" s="813"/>
    </row>
    <row r="83" spans="1:27" x14ac:dyDescent="0.3">
      <c r="A83" s="386">
        <v>1</v>
      </c>
      <c r="B83" s="387" t="s">
        <v>740</v>
      </c>
      <c r="C83" s="414">
        <v>5.4745157241179587</v>
      </c>
      <c r="D83" s="414">
        <v>6.3350372218490731</v>
      </c>
      <c r="E83" s="414">
        <v>7.8801653933218647</v>
      </c>
      <c r="F83" s="414">
        <v>9.1861060171153515</v>
      </c>
      <c r="G83" s="414">
        <v>10.443628249249453</v>
      </c>
      <c r="H83" s="414">
        <v>11.823752169327841</v>
      </c>
      <c r="I83" s="414">
        <v>13.659321658200973</v>
      </c>
      <c r="J83" s="415">
        <v>15.713343903111021</v>
      </c>
      <c r="K83" s="416">
        <v>17.345287999239048</v>
      </c>
      <c r="L83" s="414">
        <v>18.405016635149451</v>
      </c>
      <c r="M83" s="414">
        <v>18.2060776227544</v>
      </c>
      <c r="N83" s="415">
        <v>18.936478819297452</v>
      </c>
      <c r="O83" s="416">
        <v>19.128538458831699</v>
      </c>
      <c r="P83" s="414">
        <v>18.256801804500384</v>
      </c>
      <c r="Q83" s="414">
        <v>16.731933053840425</v>
      </c>
      <c r="R83" s="414">
        <v>15.031590352061233</v>
      </c>
      <c r="S83" s="414">
        <v>12.346025886288997</v>
      </c>
      <c r="T83" s="414">
        <v>8.2078619493693541</v>
      </c>
      <c r="U83" s="415">
        <v>4.4995359224510247</v>
      </c>
      <c r="V83" s="416">
        <v>3.4557789899122233</v>
      </c>
      <c r="W83" s="414">
        <v>2.7928346250863956</v>
      </c>
      <c r="X83" s="414">
        <v>2.3120389589266601</v>
      </c>
      <c r="Y83" s="414">
        <v>2.0262290529880191</v>
      </c>
      <c r="Z83" s="414">
        <v>1.8274574858219408</v>
      </c>
      <c r="AA83" s="414">
        <v>1.6903940115312084</v>
      </c>
    </row>
    <row r="84" spans="1:27" x14ac:dyDescent="0.3">
      <c r="A84" s="386">
        <v>2</v>
      </c>
      <c r="B84" s="387" t="s">
        <v>741</v>
      </c>
      <c r="C84" s="417">
        <v>6.1437586493689467E-2</v>
      </c>
      <c r="D84" s="417">
        <v>0.10468040141685166</v>
      </c>
      <c r="E84" s="417">
        <v>0.11503311374570697</v>
      </c>
      <c r="F84" s="417">
        <v>0.14366296192107536</v>
      </c>
      <c r="G84" s="417">
        <v>0.22288688304582532</v>
      </c>
      <c r="H84" s="417">
        <v>0.35932440514377539</v>
      </c>
      <c r="I84" s="417">
        <v>0.54889431802545896</v>
      </c>
      <c r="J84" s="418">
        <v>0.70415991568746228</v>
      </c>
      <c r="K84" s="419">
        <v>0.80175560903448628</v>
      </c>
      <c r="L84" s="417">
        <v>0.69563921566407894</v>
      </c>
      <c r="M84" s="417">
        <v>0.65444615382155968</v>
      </c>
      <c r="N84" s="418">
        <v>0.74104520411613251</v>
      </c>
      <c r="O84" s="419">
        <v>0.78488938551320575</v>
      </c>
      <c r="P84" s="417">
        <v>0.5305897522835179</v>
      </c>
      <c r="Q84" s="417">
        <v>0.2860474386291027</v>
      </c>
      <c r="R84" s="417">
        <v>0.20353515446979262</v>
      </c>
      <c r="S84" s="417">
        <v>0.14820118020848588</v>
      </c>
      <c r="T84" s="417">
        <v>0.11892331478544142</v>
      </c>
      <c r="U84" s="418">
        <v>8.8026744188259412E-2</v>
      </c>
      <c r="V84" s="419">
        <v>8.2444929898471103E-2</v>
      </c>
      <c r="W84" s="417">
        <v>8.7075463430426145E-2</v>
      </c>
      <c r="X84" s="417">
        <v>8.7952682466174908E-2</v>
      </c>
      <c r="Y84" s="417">
        <v>8.7467332970274522E-2</v>
      </c>
      <c r="Z84" s="417">
        <v>8.666601049735892E-2</v>
      </c>
      <c r="AA84" s="417">
        <v>8.7052631377946388E-2</v>
      </c>
    </row>
    <row r="85" spans="1:27" x14ac:dyDescent="0.3">
      <c r="A85" s="386">
        <v>3</v>
      </c>
      <c r="B85" s="387" t="s">
        <v>341</v>
      </c>
      <c r="C85" s="417">
        <v>0</v>
      </c>
      <c r="D85" s="417">
        <v>0</v>
      </c>
      <c r="E85" s="417">
        <v>7.1992529703286245E-3</v>
      </c>
      <c r="F85" s="417">
        <v>6.556443597857833E-3</v>
      </c>
      <c r="G85" s="417">
        <v>7.0827042488334508E-3</v>
      </c>
      <c r="H85" s="417">
        <v>9.2983217426437448E-2</v>
      </c>
      <c r="I85" s="417">
        <v>0.40607743944530073</v>
      </c>
      <c r="J85" s="418">
        <v>0.62001841340176644</v>
      </c>
      <c r="K85" s="419">
        <v>0.82535680323328842</v>
      </c>
      <c r="L85" s="417">
        <v>2.5223144779974618</v>
      </c>
      <c r="M85" s="417">
        <v>5.4353839563577795</v>
      </c>
      <c r="N85" s="418">
        <v>8.6832014081723177</v>
      </c>
      <c r="O85" s="419">
        <v>12.687098738377406</v>
      </c>
      <c r="P85" s="417">
        <v>18.109509977343045</v>
      </c>
      <c r="Q85" s="417">
        <v>24.901337333291579</v>
      </c>
      <c r="R85" s="417">
        <v>30.874255385917085</v>
      </c>
      <c r="S85" s="417">
        <v>37.746392331968131</v>
      </c>
      <c r="T85" s="417">
        <v>46.042674283231165</v>
      </c>
      <c r="U85" s="418">
        <v>54.868822091983262</v>
      </c>
      <c r="V85" s="419">
        <v>57.480801947297259</v>
      </c>
      <c r="W85" s="417">
        <v>58.885030914554008</v>
      </c>
      <c r="X85" s="417">
        <v>60.029320424989635</v>
      </c>
      <c r="Y85" s="417">
        <v>60.708620972895709</v>
      </c>
      <c r="Z85" s="417">
        <v>60.952462464310962</v>
      </c>
      <c r="AA85" s="417">
        <v>60.821042999256797</v>
      </c>
    </row>
    <row r="86" spans="1:27" x14ac:dyDescent="0.3">
      <c r="A86" s="386">
        <v>4</v>
      </c>
      <c r="B86" s="387" t="s">
        <v>326</v>
      </c>
      <c r="C86" s="417">
        <v>0</v>
      </c>
      <c r="D86" s="417">
        <v>0</v>
      </c>
      <c r="E86" s="417">
        <v>0</v>
      </c>
      <c r="F86" s="417">
        <v>0</v>
      </c>
      <c r="G86" s="417">
        <v>0</v>
      </c>
      <c r="H86" s="417">
        <v>0</v>
      </c>
      <c r="I86" s="417">
        <v>0</v>
      </c>
      <c r="J86" s="418">
        <v>0</v>
      </c>
      <c r="K86" s="419">
        <v>3.6274778156303723E-3</v>
      </c>
      <c r="L86" s="417">
        <v>1.7169925315308626E-2</v>
      </c>
      <c r="M86" s="417">
        <v>6.5788996848606021E-2</v>
      </c>
      <c r="N86" s="418">
        <v>0.16034468232588583</v>
      </c>
      <c r="O86" s="419">
        <v>0.33142214333215797</v>
      </c>
      <c r="P86" s="417">
        <v>0.61060614248457878</v>
      </c>
      <c r="Q86" s="417">
        <v>0.99408262043673457</v>
      </c>
      <c r="R86" s="417">
        <v>1.4832927655533166</v>
      </c>
      <c r="S86" s="417">
        <v>2.1708949759169647</v>
      </c>
      <c r="T86" s="417">
        <v>3.052771458639258</v>
      </c>
      <c r="U86" s="418">
        <v>4.1081111633621932</v>
      </c>
      <c r="V86" s="419">
        <v>4.77095655509852</v>
      </c>
      <c r="W86" s="417">
        <v>5.3840368636565019</v>
      </c>
      <c r="X86" s="417">
        <v>6.0352845680555998</v>
      </c>
      <c r="Y86" s="417">
        <v>6.7184490702415047</v>
      </c>
      <c r="Z86" s="417">
        <v>7.4805787946773306</v>
      </c>
      <c r="AA86" s="417">
        <v>8.3468627642128457</v>
      </c>
    </row>
    <row r="87" spans="1:27" ht="15" thickBot="1" x14ac:dyDescent="0.35">
      <c r="A87" s="395"/>
      <c r="B87" s="396" t="s">
        <v>690</v>
      </c>
      <c r="C87" s="420">
        <f t="shared" ref="C87:AA87" si="5">SUM(C83:C86)</f>
        <v>5.5359533106116485</v>
      </c>
      <c r="D87" s="420">
        <f t="shared" si="5"/>
        <v>6.439717623265925</v>
      </c>
      <c r="E87" s="420">
        <f t="shared" si="5"/>
        <v>8.0023977600378995</v>
      </c>
      <c r="F87" s="420">
        <f t="shared" si="5"/>
        <v>9.3363254226342853</v>
      </c>
      <c r="G87" s="420">
        <f t="shared" si="5"/>
        <v>10.673597836544113</v>
      </c>
      <c r="H87" s="420">
        <f t="shared" si="5"/>
        <v>12.276059791898055</v>
      </c>
      <c r="I87" s="420">
        <f t="shared" si="5"/>
        <v>14.614293415671733</v>
      </c>
      <c r="J87" s="420">
        <f t="shared" si="5"/>
        <v>17.037522232200249</v>
      </c>
      <c r="K87" s="421">
        <f t="shared" si="5"/>
        <v>18.976027889322452</v>
      </c>
      <c r="L87" s="421">
        <f t="shared" si="5"/>
        <v>21.640140254126301</v>
      </c>
      <c r="M87" s="421">
        <f t="shared" si="5"/>
        <v>24.361696729782345</v>
      </c>
      <c r="N87" s="421">
        <f t="shared" si="5"/>
        <v>28.52107011391179</v>
      </c>
      <c r="O87" s="422">
        <f t="shared" si="5"/>
        <v>32.931948726054465</v>
      </c>
      <c r="P87" s="422">
        <f t="shared" si="5"/>
        <v>37.507507676611525</v>
      </c>
      <c r="Q87" s="422">
        <f t="shared" si="5"/>
        <v>42.913400446197841</v>
      </c>
      <c r="R87" s="422">
        <f t="shared" si="5"/>
        <v>47.592673658001424</v>
      </c>
      <c r="S87" s="422">
        <f t="shared" si="5"/>
        <v>52.411514374382577</v>
      </c>
      <c r="T87" s="422">
        <f t="shared" si="5"/>
        <v>57.422231006025214</v>
      </c>
      <c r="U87" s="422">
        <f t="shared" si="5"/>
        <v>63.564495921984744</v>
      </c>
      <c r="V87" s="423">
        <f t="shared" si="5"/>
        <v>65.789982422206478</v>
      </c>
      <c r="W87" s="423">
        <f t="shared" si="5"/>
        <v>67.148977866727336</v>
      </c>
      <c r="X87" s="423">
        <f t="shared" si="5"/>
        <v>68.464596634438067</v>
      </c>
      <c r="Y87" s="423">
        <f t="shared" si="5"/>
        <v>69.540766429095498</v>
      </c>
      <c r="Z87" s="423">
        <f t="shared" si="5"/>
        <v>70.347164755307588</v>
      </c>
      <c r="AA87" s="423">
        <f t="shared" si="5"/>
        <v>70.945352406378802</v>
      </c>
    </row>
    <row r="88" spans="1:27" ht="15" thickTop="1" x14ac:dyDescent="0.3">
      <c r="A88"/>
      <c r="B88"/>
      <c r="C88" s="395"/>
      <c r="D88" s="395"/>
      <c r="E88" s="395"/>
      <c r="F88" s="395"/>
      <c r="G88" s="395"/>
      <c r="H88" s="395"/>
      <c r="I88" s="395"/>
      <c r="J88" s="395"/>
      <c r="K88" s="395"/>
      <c r="L88" s="395"/>
      <c r="M88" s="395"/>
      <c r="N88" s="395"/>
      <c r="O88" s="395"/>
      <c r="P88" s="395"/>
      <c r="Q88" s="395"/>
      <c r="R88" s="395"/>
      <c r="S88" s="395"/>
      <c r="T88" s="395"/>
      <c r="U88" s="395"/>
      <c r="V88" s="395"/>
      <c r="W88" s="395"/>
      <c r="X88" s="395"/>
      <c r="Y88" s="395"/>
      <c r="Z88" s="395"/>
      <c r="AA88" s="395"/>
    </row>
    <row r="89" spans="1:27" ht="26.4" x14ac:dyDescent="0.3">
      <c r="A89" s="401" t="s">
        <v>748</v>
      </c>
      <c r="B89" s="413" t="s">
        <v>749</v>
      </c>
      <c r="C89" s="813" t="s">
        <v>750</v>
      </c>
      <c r="D89" s="813"/>
      <c r="E89" s="813"/>
      <c r="F89" s="813"/>
      <c r="G89" s="813"/>
      <c r="H89" s="813"/>
      <c r="I89" s="813"/>
      <c r="J89" s="813"/>
      <c r="K89" s="813"/>
      <c r="L89" s="813"/>
      <c r="M89" s="813"/>
      <c r="N89" s="813"/>
      <c r="O89" s="813"/>
      <c r="P89" s="813"/>
      <c r="Q89" s="813"/>
      <c r="R89" s="813"/>
      <c r="S89" s="813"/>
      <c r="T89" s="813"/>
      <c r="U89" s="813"/>
      <c r="V89" s="813"/>
      <c r="W89" s="813"/>
      <c r="X89" s="813"/>
      <c r="Y89" s="813"/>
      <c r="Z89" s="813"/>
      <c r="AA89" s="813"/>
    </row>
    <row r="90" spans="1:27" x14ac:dyDescent="0.3">
      <c r="A90" s="386">
        <v>1</v>
      </c>
      <c r="B90" s="387" t="s">
        <v>740</v>
      </c>
      <c r="C90" s="414">
        <v>3.4026238944452114</v>
      </c>
      <c r="D90" s="414">
        <v>4.1097220376383827</v>
      </c>
      <c r="E90" s="414">
        <v>5.8453532883435031</v>
      </c>
      <c r="F90" s="414">
        <v>7.0170697300239473</v>
      </c>
      <c r="G90" s="414">
        <v>8.6246089870627038</v>
      </c>
      <c r="H90" s="414">
        <v>10.187985100625109</v>
      </c>
      <c r="I90" s="414">
        <v>11.488974964980489</v>
      </c>
      <c r="J90" s="415">
        <v>13.858517175016997</v>
      </c>
      <c r="K90" s="416">
        <v>15.749229449392375</v>
      </c>
      <c r="L90" s="414">
        <v>17.896660047388121</v>
      </c>
      <c r="M90" s="414">
        <v>19.752518353475772</v>
      </c>
      <c r="N90" s="415">
        <v>22.116477530364115</v>
      </c>
      <c r="O90" s="416">
        <v>24.277696565891553</v>
      </c>
      <c r="P90" s="414">
        <v>25.751289212400671</v>
      </c>
      <c r="Q90" s="414">
        <v>26.477666548841622</v>
      </c>
      <c r="R90" s="414">
        <v>26.235987059415685</v>
      </c>
      <c r="S90" s="414">
        <v>24.887912383316529</v>
      </c>
      <c r="T90" s="414">
        <v>22.257393630311423</v>
      </c>
      <c r="U90" s="415">
        <v>18.575893597231143</v>
      </c>
      <c r="V90" s="416">
        <v>14.531908029761919</v>
      </c>
      <c r="W90" s="414">
        <v>11.579229493903149</v>
      </c>
      <c r="X90" s="414">
        <v>9.7920649264234694</v>
      </c>
      <c r="Y90" s="414">
        <v>8.8288590970279905</v>
      </c>
      <c r="Z90" s="414">
        <v>8.1412723316151059</v>
      </c>
      <c r="AA90" s="414">
        <v>7.2548775716080813</v>
      </c>
    </row>
    <row r="91" spans="1:27" x14ac:dyDescent="0.3">
      <c r="A91" s="386">
        <v>2</v>
      </c>
      <c r="B91" s="387" t="s">
        <v>741</v>
      </c>
      <c r="C91" s="417">
        <v>1.0304663995693361E-2</v>
      </c>
      <c r="D91" s="417">
        <v>2.9001966982497979E-2</v>
      </c>
      <c r="E91" s="417">
        <v>2.0286407339424814E-2</v>
      </c>
      <c r="F91" s="417">
        <v>1.3970809583076636E-2</v>
      </c>
      <c r="G91" s="417">
        <v>2.6189601555860968E-2</v>
      </c>
      <c r="H91" s="417">
        <v>5.5097969770406763E-2</v>
      </c>
      <c r="I91" s="417">
        <v>0.18772844439169567</v>
      </c>
      <c r="J91" s="418">
        <v>0.32521791689053614</v>
      </c>
      <c r="K91" s="419">
        <v>0.21865091288542896</v>
      </c>
      <c r="L91" s="417">
        <v>0.22610186398233389</v>
      </c>
      <c r="M91" s="417">
        <v>0.20489999323217681</v>
      </c>
      <c r="N91" s="418">
        <v>0.24504075183475998</v>
      </c>
      <c r="O91" s="419">
        <v>0.29261769762846146</v>
      </c>
      <c r="P91" s="417">
        <v>0.35888396184231547</v>
      </c>
      <c r="Q91" s="417">
        <v>0.40765243030749254</v>
      </c>
      <c r="R91" s="417">
        <v>0.38199510081449106</v>
      </c>
      <c r="S91" s="417">
        <v>0.34462378128318455</v>
      </c>
      <c r="T91" s="417">
        <v>0.31905648610696041</v>
      </c>
      <c r="U91" s="418">
        <v>0.35058023057228938</v>
      </c>
      <c r="V91" s="419">
        <v>0.39265149306187946</v>
      </c>
      <c r="W91" s="417">
        <v>0.40467026682141422</v>
      </c>
      <c r="X91" s="417">
        <v>0.38710859030751454</v>
      </c>
      <c r="Y91" s="417">
        <v>0.38570279697322374</v>
      </c>
      <c r="Z91" s="417">
        <v>0.40027045271277806</v>
      </c>
      <c r="AA91" s="417">
        <v>0.42102216392314007</v>
      </c>
    </row>
    <row r="92" spans="1:27" x14ac:dyDescent="0.3">
      <c r="A92" s="386">
        <v>3</v>
      </c>
      <c r="B92" s="387" t="s">
        <v>341</v>
      </c>
      <c r="C92" s="417">
        <v>0</v>
      </c>
      <c r="D92" s="417">
        <v>0</v>
      </c>
      <c r="E92" s="417">
        <v>0</v>
      </c>
      <c r="F92" s="417">
        <v>0</v>
      </c>
      <c r="G92" s="417">
        <v>0</v>
      </c>
      <c r="H92" s="417">
        <v>0</v>
      </c>
      <c r="I92" s="417">
        <v>0</v>
      </c>
      <c r="J92" s="418">
        <v>0</v>
      </c>
      <c r="K92" s="419">
        <v>1.2560761129322114E-2</v>
      </c>
      <c r="L92" s="417">
        <v>0.10316792762715671</v>
      </c>
      <c r="M92" s="417">
        <v>0.32381351371463041</v>
      </c>
      <c r="N92" s="418">
        <v>0.67957501105046658</v>
      </c>
      <c r="O92" s="419">
        <v>1.1874135984538337</v>
      </c>
      <c r="P92" s="417">
        <v>2.0800906105279515</v>
      </c>
      <c r="Q92" s="417">
        <v>3.637076976801199</v>
      </c>
      <c r="R92" s="417">
        <v>5.7628449562446882</v>
      </c>
      <c r="S92" s="417">
        <v>8.6558989279400667</v>
      </c>
      <c r="T92" s="417">
        <v>12.318564797462665</v>
      </c>
      <c r="U92" s="418">
        <v>16.796507159209806</v>
      </c>
      <c r="V92" s="419">
        <v>21.283952717206557</v>
      </c>
      <c r="W92" s="417">
        <v>24.471191480050571</v>
      </c>
      <c r="X92" s="417">
        <v>26.556046207140273</v>
      </c>
      <c r="Y92" s="417">
        <v>27.839981370395183</v>
      </c>
      <c r="Z92" s="417">
        <v>28.687341808105845</v>
      </c>
      <c r="AA92" s="417">
        <v>29.478778250502337</v>
      </c>
    </row>
    <row r="93" spans="1:27" x14ac:dyDescent="0.3">
      <c r="A93" s="386">
        <v>4</v>
      </c>
      <c r="B93" s="387" t="s">
        <v>326</v>
      </c>
      <c r="C93" s="417">
        <v>0</v>
      </c>
      <c r="D93" s="417">
        <v>0</v>
      </c>
      <c r="E93" s="417">
        <v>0</v>
      </c>
      <c r="F93" s="417">
        <v>0</v>
      </c>
      <c r="G93" s="417">
        <v>0</v>
      </c>
      <c r="H93" s="417">
        <v>0</v>
      </c>
      <c r="I93" s="417">
        <v>0</v>
      </c>
      <c r="J93" s="418">
        <v>0</v>
      </c>
      <c r="K93" s="419">
        <v>2.5336033913043485E-3</v>
      </c>
      <c r="L93" s="417">
        <v>1.6703089940182454E-2</v>
      </c>
      <c r="M93" s="417">
        <v>7.7596403861383736E-2</v>
      </c>
      <c r="N93" s="418">
        <v>0.19062345453313548</v>
      </c>
      <c r="O93" s="419">
        <v>0.38282804583277552</v>
      </c>
      <c r="P93" s="417">
        <v>0.71372812748249981</v>
      </c>
      <c r="Q93" s="417">
        <v>1.1781266493041271</v>
      </c>
      <c r="R93" s="417">
        <v>1.8767862496503844</v>
      </c>
      <c r="S93" s="417">
        <v>2.92627476522392</v>
      </c>
      <c r="T93" s="417">
        <v>4.2251291378428268</v>
      </c>
      <c r="U93" s="418">
        <v>5.6473885181700378</v>
      </c>
      <c r="V93" s="419">
        <v>7.1939385924031054</v>
      </c>
      <c r="W93" s="417">
        <v>8.7795355472127135</v>
      </c>
      <c r="X93" s="417">
        <v>10.190638846192805</v>
      </c>
      <c r="Y93" s="417">
        <v>11.450670188997675</v>
      </c>
      <c r="Z93" s="417">
        <v>12.70287918457492</v>
      </c>
      <c r="AA93" s="417">
        <v>14.018709672388347</v>
      </c>
    </row>
    <row r="94" spans="1:27" ht="15" thickBot="1" x14ac:dyDescent="0.35">
      <c r="A94" s="395"/>
      <c r="B94" s="396" t="s">
        <v>690</v>
      </c>
      <c r="C94" s="420">
        <f t="shared" ref="C94:AA94" si="6">SUM(C90:C93)</f>
        <v>3.4129285584409046</v>
      </c>
      <c r="D94" s="420">
        <f t="shared" si="6"/>
        <v>4.1387240046208804</v>
      </c>
      <c r="E94" s="420">
        <f t="shared" si="6"/>
        <v>5.865639695682928</v>
      </c>
      <c r="F94" s="420">
        <f t="shared" si="6"/>
        <v>7.0310405396070239</v>
      </c>
      <c r="G94" s="420">
        <f t="shared" si="6"/>
        <v>8.6507985886185654</v>
      </c>
      <c r="H94" s="420">
        <f t="shared" si="6"/>
        <v>10.243083070395516</v>
      </c>
      <c r="I94" s="420">
        <f t="shared" si="6"/>
        <v>11.676703409372184</v>
      </c>
      <c r="J94" s="420">
        <f t="shared" si="6"/>
        <v>14.183735091907533</v>
      </c>
      <c r="K94" s="421">
        <f t="shared" si="6"/>
        <v>15.982974726798432</v>
      </c>
      <c r="L94" s="421">
        <f t="shared" si="6"/>
        <v>18.242632928937795</v>
      </c>
      <c r="M94" s="421">
        <f t="shared" si="6"/>
        <v>20.358828264283964</v>
      </c>
      <c r="N94" s="421">
        <f t="shared" si="6"/>
        <v>23.231716747782478</v>
      </c>
      <c r="O94" s="422">
        <f t="shared" si="6"/>
        <v>26.140555907806622</v>
      </c>
      <c r="P94" s="422">
        <f t="shared" si="6"/>
        <v>28.903991912253439</v>
      </c>
      <c r="Q94" s="422">
        <f t="shared" si="6"/>
        <v>31.700522605254442</v>
      </c>
      <c r="R94" s="422">
        <f t="shared" si="6"/>
        <v>34.257613366125248</v>
      </c>
      <c r="S94" s="422">
        <f t="shared" si="6"/>
        <v>36.814709857763702</v>
      </c>
      <c r="T94" s="422">
        <f t="shared" si="6"/>
        <v>39.120144051723877</v>
      </c>
      <c r="U94" s="422">
        <f t="shared" si="6"/>
        <v>41.370369505183284</v>
      </c>
      <c r="V94" s="423">
        <f t="shared" si="6"/>
        <v>43.402450832433466</v>
      </c>
      <c r="W94" s="423">
        <f t="shared" si="6"/>
        <v>45.23462678798785</v>
      </c>
      <c r="X94" s="423">
        <f t="shared" si="6"/>
        <v>46.925858570064058</v>
      </c>
      <c r="Y94" s="423">
        <f t="shared" si="6"/>
        <v>48.505213453394077</v>
      </c>
      <c r="Z94" s="423">
        <f t="shared" si="6"/>
        <v>49.931763777008648</v>
      </c>
      <c r="AA94" s="423">
        <f t="shared" si="6"/>
        <v>51.173387658421909</v>
      </c>
    </row>
    <row r="95" spans="1:27" ht="15" thickTop="1" x14ac:dyDescent="0.3">
      <c r="A95"/>
      <c r="B95"/>
      <c r="C95" s="395"/>
      <c r="D95" s="395"/>
      <c r="E95" s="395"/>
      <c r="F95" s="395"/>
      <c r="G95" s="395"/>
      <c r="H95" s="395"/>
      <c r="I95" s="395"/>
      <c r="J95" s="395"/>
      <c r="K95" s="395"/>
      <c r="L95" s="395"/>
      <c r="M95" s="395"/>
      <c r="N95" s="395"/>
      <c r="O95" s="395"/>
      <c r="P95" s="395"/>
      <c r="Q95" s="395"/>
      <c r="R95" s="395"/>
      <c r="S95" s="395"/>
      <c r="T95" s="395"/>
      <c r="U95" s="395"/>
      <c r="V95" s="395"/>
      <c r="W95" s="395"/>
      <c r="X95" s="395"/>
      <c r="Y95" s="395"/>
      <c r="Z95" s="395"/>
      <c r="AA95" s="395"/>
    </row>
    <row r="96" spans="1:27" ht="26.4" x14ac:dyDescent="0.3">
      <c r="A96" s="401" t="s">
        <v>751</v>
      </c>
      <c r="B96" s="413" t="s">
        <v>752</v>
      </c>
      <c r="C96" s="813" t="s">
        <v>753</v>
      </c>
      <c r="D96" s="813"/>
      <c r="E96" s="813"/>
      <c r="F96" s="813"/>
      <c r="G96" s="813"/>
      <c r="H96" s="813"/>
      <c r="I96" s="813"/>
      <c r="J96" s="813"/>
      <c r="K96" s="813"/>
      <c r="L96" s="813"/>
      <c r="M96" s="813"/>
      <c r="N96" s="813"/>
      <c r="O96" s="813"/>
      <c r="P96" s="813"/>
      <c r="Q96" s="813"/>
      <c r="R96" s="813"/>
      <c r="S96" s="813"/>
      <c r="T96" s="813"/>
      <c r="U96" s="813"/>
      <c r="V96" s="813"/>
      <c r="W96" s="813"/>
      <c r="X96" s="813"/>
      <c r="Y96" s="813"/>
      <c r="Z96" s="813"/>
      <c r="AA96" s="813"/>
    </row>
    <row r="97" spans="1:27" x14ac:dyDescent="0.3">
      <c r="A97" s="386">
        <v>1</v>
      </c>
      <c r="B97" s="387" t="s">
        <v>739</v>
      </c>
      <c r="C97" s="414">
        <v>9.5666420754634025</v>
      </c>
      <c r="D97" s="414">
        <v>10.667061643470229</v>
      </c>
      <c r="E97" s="414">
        <v>10.320337100470569</v>
      </c>
      <c r="F97" s="414">
        <v>11.846005738712741</v>
      </c>
      <c r="G97" s="414">
        <v>10.573954049792999</v>
      </c>
      <c r="H97" s="414">
        <v>17.231663436954594</v>
      </c>
      <c r="I97" s="414">
        <v>22.783361337296114</v>
      </c>
      <c r="J97" s="415">
        <v>25.23811813959902</v>
      </c>
      <c r="K97" s="416">
        <v>24.627280136336864</v>
      </c>
      <c r="L97" s="414">
        <v>26.227034631512044</v>
      </c>
      <c r="M97" s="414">
        <v>28.572808157968332</v>
      </c>
      <c r="N97" s="415">
        <v>31.642871334115906</v>
      </c>
      <c r="O97" s="416">
        <v>35.094100891186201</v>
      </c>
      <c r="P97" s="414">
        <v>38.676620704179548</v>
      </c>
      <c r="Q97" s="414">
        <v>40.183410814710669</v>
      </c>
      <c r="R97" s="414">
        <v>39.31954117782449</v>
      </c>
      <c r="S97" s="414">
        <v>35.726279229728028</v>
      </c>
      <c r="T97" s="414">
        <v>30.530056054983969</v>
      </c>
      <c r="U97" s="415">
        <v>25.195581108300004</v>
      </c>
      <c r="V97" s="416">
        <v>21.595189608010163</v>
      </c>
      <c r="W97" s="414">
        <v>19.677924071177681</v>
      </c>
      <c r="X97" s="414">
        <v>18.899323437504208</v>
      </c>
      <c r="Y97" s="414">
        <v>19.013968843764498</v>
      </c>
      <c r="Z97" s="414">
        <v>19.278229447810929</v>
      </c>
      <c r="AA97" s="414">
        <v>19.287457137452414</v>
      </c>
    </row>
    <row r="98" spans="1:27" x14ac:dyDescent="0.3">
      <c r="A98" s="386">
        <v>2</v>
      </c>
      <c r="B98" s="387" t="s">
        <v>740</v>
      </c>
      <c r="C98" s="417">
        <v>6.3281964047753387</v>
      </c>
      <c r="D98" s="417">
        <v>4.5690175049171655</v>
      </c>
      <c r="E98" s="417">
        <v>4.5687298471749456</v>
      </c>
      <c r="F98" s="417">
        <v>4.3943979670456441</v>
      </c>
      <c r="G98" s="417">
        <v>4.2972124966950593</v>
      </c>
      <c r="H98" s="417">
        <v>4.1482336520451781</v>
      </c>
      <c r="I98" s="417">
        <v>3.9353168475914999</v>
      </c>
      <c r="J98" s="418">
        <v>2.4475090323716846</v>
      </c>
      <c r="K98" s="419">
        <v>3.1179394813934191</v>
      </c>
      <c r="L98" s="417">
        <v>3.1276178423997991</v>
      </c>
      <c r="M98" s="417">
        <v>2.2051937494709759</v>
      </c>
      <c r="N98" s="418">
        <v>1.3024876569942136</v>
      </c>
      <c r="O98" s="419">
        <v>0.95707688100496535</v>
      </c>
      <c r="P98" s="417">
        <v>0.65478989564795298</v>
      </c>
      <c r="Q98" s="417">
        <v>0.35912976629166599</v>
      </c>
      <c r="R98" s="417">
        <v>0.19050396383225277</v>
      </c>
      <c r="S98" s="417">
        <v>0.13080203373864968</v>
      </c>
      <c r="T98" s="417">
        <v>8.1846531554075772E-2</v>
      </c>
      <c r="U98" s="418">
        <v>4.9937626187980047E-2</v>
      </c>
      <c r="V98" s="419">
        <v>3.2511050364375453E-2</v>
      </c>
      <c r="W98" s="417">
        <v>2.1498105734900429E-2</v>
      </c>
      <c r="X98" s="417">
        <v>1.1823834757074599E-2</v>
      </c>
      <c r="Y98" s="417">
        <v>1.0450492962468687E-2</v>
      </c>
      <c r="Z98" s="417">
        <v>1.2295324421984527E-2</v>
      </c>
      <c r="AA98" s="417">
        <v>1.8020317142000333E-2</v>
      </c>
    </row>
    <row r="99" spans="1:27" x14ac:dyDescent="0.3">
      <c r="A99" s="386">
        <v>3</v>
      </c>
      <c r="B99" s="387" t="s">
        <v>741</v>
      </c>
      <c r="C99" s="417">
        <v>11.614779977325409</v>
      </c>
      <c r="D99" s="417">
        <v>12.098273356141059</v>
      </c>
      <c r="E99" s="417">
        <v>11.478903538447822</v>
      </c>
      <c r="F99" s="417">
        <v>11.687447659081821</v>
      </c>
      <c r="G99" s="417">
        <v>13.286052902051466</v>
      </c>
      <c r="H99" s="417">
        <v>13.181038582788252</v>
      </c>
      <c r="I99" s="417">
        <v>15.579508917224761</v>
      </c>
      <c r="J99" s="418">
        <v>17.166229711433111</v>
      </c>
      <c r="K99" s="419">
        <v>17.966704849013905</v>
      </c>
      <c r="L99" s="417">
        <v>18.076284733617197</v>
      </c>
      <c r="M99" s="417">
        <v>17.644058215435191</v>
      </c>
      <c r="N99" s="418">
        <v>16.736970387559335</v>
      </c>
      <c r="O99" s="419">
        <v>14.888269792736047</v>
      </c>
      <c r="P99" s="417">
        <v>12.29071580378481</v>
      </c>
      <c r="Q99" s="417">
        <v>9.2780965302349401</v>
      </c>
      <c r="R99" s="417">
        <v>6.7959451514568476</v>
      </c>
      <c r="S99" s="417">
        <v>4.8296313818593779</v>
      </c>
      <c r="T99" s="417">
        <v>3.3608910858639236</v>
      </c>
      <c r="U99" s="418">
        <v>2.3469765885972462</v>
      </c>
      <c r="V99" s="419">
        <v>1.782911852913879</v>
      </c>
      <c r="W99" s="417">
        <v>1.3449940950218637</v>
      </c>
      <c r="X99" s="417">
        <v>0.99877590512931358</v>
      </c>
      <c r="Y99" s="417">
        <v>0.72538286799176133</v>
      </c>
      <c r="Z99" s="417">
        <v>0.72302294166765535</v>
      </c>
      <c r="AA99" s="417">
        <v>0.8284177448200426</v>
      </c>
    </row>
    <row r="100" spans="1:27" x14ac:dyDescent="0.3">
      <c r="A100" s="386">
        <v>4</v>
      </c>
      <c r="B100" s="387" t="s">
        <v>754</v>
      </c>
      <c r="C100" s="417">
        <v>6.9394293465283683</v>
      </c>
      <c r="D100" s="417">
        <v>7.7046237122088073</v>
      </c>
      <c r="E100" s="417">
        <v>8.4225983110955163</v>
      </c>
      <c r="F100" s="417">
        <v>8.9981576991875709</v>
      </c>
      <c r="G100" s="417">
        <v>10.080640875174302</v>
      </c>
      <c r="H100" s="417">
        <v>11.286073922575948</v>
      </c>
      <c r="I100" s="417">
        <v>13.525900344300885</v>
      </c>
      <c r="J100" s="418">
        <v>15.544213199118175</v>
      </c>
      <c r="K100" s="419">
        <v>17.647181296304964</v>
      </c>
      <c r="L100" s="417">
        <v>19.694419108573694</v>
      </c>
      <c r="M100" s="417">
        <v>20.464821072371063</v>
      </c>
      <c r="N100" s="418">
        <v>21.484070525062421</v>
      </c>
      <c r="O100" s="419">
        <v>22.497459519100275</v>
      </c>
      <c r="P100" s="417">
        <v>23.993006751781365</v>
      </c>
      <c r="Q100" s="417">
        <v>25.858623416238576</v>
      </c>
      <c r="R100" s="417">
        <v>28.333260642464285</v>
      </c>
      <c r="S100" s="417">
        <v>31.008774524168654</v>
      </c>
      <c r="T100" s="417">
        <v>33.471505349880736</v>
      </c>
      <c r="U100" s="418">
        <v>35.452981190634226</v>
      </c>
      <c r="V100" s="419">
        <v>36.415830047822276</v>
      </c>
      <c r="W100" s="417">
        <v>36.410054158838221</v>
      </c>
      <c r="X100" s="417">
        <v>36.17664314862229</v>
      </c>
      <c r="Y100" s="417">
        <v>35.678790263786922</v>
      </c>
      <c r="Z100" s="417">
        <v>34.94955989016411</v>
      </c>
      <c r="AA100" s="417">
        <v>34.183339854831225</v>
      </c>
    </row>
    <row r="101" spans="1:27" x14ac:dyDescent="0.3">
      <c r="A101" s="386">
        <v>5</v>
      </c>
      <c r="B101" s="387" t="s">
        <v>326</v>
      </c>
      <c r="C101" s="417">
        <v>0</v>
      </c>
      <c r="D101" s="417">
        <v>0</v>
      </c>
      <c r="E101" s="417">
        <v>0</v>
      </c>
      <c r="F101" s="417">
        <v>0</v>
      </c>
      <c r="G101" s="417">
        <v>0</v>
      </c>
      <c r="H101" s="417">
        <v>0</v>
      </c>
      <c r="I101" s="417">
        <v>0</v>
      </c>
      <c r="J101" s="418">
        <v>0</v>
      </c>
      <c r="K101" s="419">
        <v>0</v>
      </c>
      <c r="L101" s="417">
        <v>0</v>
      </c>
      <c r="M101" s="417">
        <v>0</v>
      </c>
      <c r="N101" s="418">
        <v>0</v>
      </c>
      <c r="O101" s="419">
        <v>0</v>
      </c>
      <c r="P101" s="417">
        <v>3.5604478415723187E-2</v>
      </c>
      <c r="Q101" s="417">
        <v>0.5825676996468282</v>
      </c>
      <c r="R101" s="417">
        <v>1.5043327792998913</v>
      </c>
      <c r="S101" s="417">
        <v>3.1523248533823662</v>
      </c>
      <c r="T101" s="417">
        <v>5.2098692338628894</v>
      </c>
      <c r="U101" s="418">
        <v>7.0301860442853394</v>
      </c>
      <c r="V101" s="419">
        <v>8.3697354381953328</v>
      </c>
      <c r="W101" s="417">
        <v>9.3028646781699784</v>
      </c>
      <c r="X101" s="417">
        <v>10.025510602871488</v>
      </c>
      <c r="Y101" s="417">
        <v>10.536754278140871</v>
      </c>
      <c r="Z101" s="417">
        <v>10.872356997708563</v>
      </c>
      <c r="AA101" s="417">
        <v>11.179713685950492</v>
      </c>
    </row>
    <row r="102" spans="1:27" x14ac:dyDescent="0.3">
      <c r="A102" s="386">
        <v>6</v>
      </c>
      <c r="B102" s="387" t="s">
        <v>755</v>
      </c>
      <c r="C102" s="417">
        <v>1.1704082980305837</v>
      </c>
      <c r="D102" s="417">
        <v>1.3103603135631228</v>
      </c>
      <c r="E102" s="417">
        <v>0.82540718626499476</v>
      </c>
      <c r="F102" s="417">
        <v>2.2272572058491256</v>
      </c>
      <c r="G102" s="417">
        <v>2.1997795216629021</v>
      </c>
      <c r="H102" s="417">
        <v>2.7048432852223572</v>
      </c>
      <c r="I102" s="417">
        <v>3.3567127378376034</v>
      </c>
      <c r="J102" s="418">
        <v>3.60960682548551</v>
      </c>
      <c r="K102" s="419">
        <v>3.5390563368149199</v>
      </c>
      <c r="L102" s="417">
        <v>3.3152882557183729</v>
      </c>
      <c r="M102" s="417">
        <v>2.8294314736160535</v>
      </c>
      <c r="N102" s="418">
        <v>2.2862122852988818</v>
      </c>
      <c r="O102" s="419">
        <v>1.7073411203713404</v>
      </c>
      <c r="P102" s="417">
        <v>1.167394044338157</v>
      </c>
      <c r="Q102" s="417">
        <v>0.66593783684319785</v>
      </c>
      <c r="R102" s="417">
        <v>0.53562547536859217</v>
      </c>
      <c r="S102" s="417">
        <v>0.43318516956866893</v>
      </c>
      <c r="T102" s="417">
        <v>0.35853830871363701</v>
      </c>
      <c r="U102" s="418">
        <v>0.30065976659796079</v>
      </c>
      <c r="V102" s="419">
        <v>0.29991256965020757</v>
      </c>
      <c r="W102" s="417">
        <v>0.2751556429273247</v>
      </c>
      <c r="X102" s="417">
        <v>0.25366763825741151</v>
      </c>
      <c r="Y102" s="417">
        <v>0.23517653069248706</v>
      </c>
      <c r="Z102" s="417">
        <v>0.2232279300853014</v>
      </c>
      <c r="AA102" s="417">
        <v>0.21383616964281391</v>
      </c>
    </row>
    <row r="103" spans="1:27" x14ac:dyDescent="0.3">
      <c r="A103" s="386">
        <v>7</v>
      </c>
      <c r="B103" s="387" t="s">
        <v>742</v>
      </c>
      <c r="C103" s="417">
        <v>0.68765616697171139</v>
      </c>
      <c r="D103" s="417">
        <v>1.063217661760312</v>
      </c>
      <c r="E103" s="417">
        <v>1.1247996029244443</v>
      </c>
      <c r="F103" s="417">
        <v>1.487959698082973</v>
      </c>
      <c r="G103" s="417">
        <v>2.5825514889107151</v>
      </c>
      <c r="H103" s="417">
        <v>2.6729329416269398</v>
      </c>
      <c r="I103" s="417">
        <v>2.8757534007067749</v>
      </c>
      <c r="J103" s="418">
        <v>3.0516045799373894</v>
      </c>
      <c r="K103" s="419">
        <v>3.1876039812121424</v>
      </c>
      <c r="L103" s="417">
        <v>3.5088373792219429</v>
      </c>
      <c r="M103" s="417">
        <v>4.4361538373156257</v>
      </c>
      <c r="N103" s="418">
        <v>5.9278970066227306</v>
      </c>
      <c r="O103" s="419">
        <v>7.3246430252772976</v>
      </c>
      <c r="P103" s="417">
        <v>8.9720712363702155</v>
      </c>
      <c r="Q103" s="417">
        <v>10.472081087101035</v>
      </c>
      <c r="R103" s="417">
        <v>11.638254860946196</v>
      </c>
      <c r="S103" s="417">
        <v>12.145893577165738</v>
      </c>
      <c r="T103" s="417">
        <v>12.077978867849177</v>
      </c>
      <c r="U103" s="418">
        <v>11.620971717039991</v>
      </c>
      <c r="V103" s="419">
        <v>10.931423853560826</v>
      </c>
      <c r="W103" s="417">
        <v>10.177471938642464</v>
      </c>
      <c r="X103" s="417">
        <v>9.3798523058889103</v>
      </c>
      <c r="Y103" s="417">
        <v>8.5754560892510572</v>
      </c>
      <c r="Z103" s="417">
        <v>7.7546088203813879</v>
      </c>
      <c r="AA103" s="417">
        <v>7.0152851126678195</v>
      </c>
    </row>
    <row r="104" spans="1:27" ht="15" thickBot="1" x14ac:dyDescent="0.35">
      <c r="A104" s="395"/>
      <c r="B104" s="396" t="s">
        <v>690</v>
      </c>
      <c r="C104" s="420">
        <f t="shared" ref="C104:AA104" si="7">SUM(C97:C103)</f>
        <v>36.307112269094823</v>
      </c>
      <c r="D104" s="420">
        <f t="shared" si="7"/>
        <v>37.412554192060696</v>
      </c>
      <c r="E104" s="420">
        <f t="shared" si="7"/>
        <v>36.740775586378298</v>
      </c>
      <c r="F104" s="420">
        <f t="shared" si="7"/>
        <v>40.641225967959883</v>
      </c>
      <c r="G104" s="420">
        <f t="shared" si="7"/>
        <v>43.020191334287446</v>
      </c>
      <c r="H104" s="420">
        <f t="shared" si="7"/>
        <v>51.224785821213267</v>
      </c>
      <c r="I104" s="420">
        <f t="shared" si="7"/>
        <v>62.056553584957648</v>
      </c>
      <c r="J104" s="420">
        <f t="shared" si="7"/>
        <v>67.057281487944891</v>
      </c>
      <c r="K104" s="421">
        <f t="shared" si="7"/>
        <v>70.08576608107623</v>
      </c>
      <c r="L104" s="421">
        <f t="shared" si="7"/>
        <v>73.949481951043055</v>
      </c>
      <c r="M104" s="421">
        <f t="shared" si="7"/>
        <v>76.152466506177248</v>
      </c>
      <c r="N104" s="421">
        <f t="shared" si="7"/>
        <v>79.380509195653488</v>
      </c>
      <c r="O104" s="422">
        <f t="shared" si="7"/>
        <v>82.468891229676132</v>
      </c>
      <c r="P104" s="422">
        <f t="shared" si="7"/>
        <v>85.790202914517764</v>
      </c>
      <c r="Q104" s="422">
        <f t="shared" si="7"/>
        <v>87.399847151066908</v>
      </c>
      <c r="R104" s="422">
        <f t="shared" si="7"/>
        <v>88.317464051192545</v>
      </c>
      <c r="S104" s="422">
        <f t="shared" si="7"/>
        <v>87.426890769611489</v>
      </c>
      <c r="T104" s="422">
        <f t="shared" si="7"/>
        <v>85.090685432708412</v>
      </c>
      <c r="U104" s="422">
        <f t="shared" si="7"/>
        <v>81.997294041642746</v>
      </c>
      <c r="V104" s="423">
        <f t="shared" si="7"/>
        <v>79.427514420517056</v>
      </c>
      <c r="W104" s="423">
        <f t="shared" si="7"/>
        <v>77.209962690512441</v>
      </c>
      <c r="X104" s="423">
        <f t="shared" si="7"/>
        <v>75.745596873030706</v>
      </c>
      <c r="Y104" s="423">
        <f t="shared" si="7"/>
        <v>74.775979366590079</v>
      </c>
      <c r="Z104" s="423">
        <f t="shared" si="7"/>
        <v>73.813301352239932</v>
      </c>
      <c r="AA104" s="423">
        <f t="shared" si="7"/>
        <v>72.726070022506818</v>
      </c>
    </row>
    <row r="105" spans="1:27" ht="15" thickTop="1" x14ac:dyDescent="0.3">
      <c r="A105"/>
      <c r="B105"/>
      <c r="C105" s="395"/>
      <c r="D105" s="395"/>
      <c r="E105" s="395"/>
      <c r="F105" s="395"/>
      <c r="G105" s="395"/>
      <c r="H105" s="395"/>
      <c r="I105" s="395"/>
      <c r="J105" s="395"/>
      <c r="K105" s="395"/>
      <c r="L105" s="395"/>
      <c r="M105" s="395"/>
      <c r="N105" s="395"/>
      <c r="O105" s="395"/>
      <c r="P105" s="395"/>
      <c r="Q105" s="395"/>
      <c r="R105" s="395"/>
      <c r="S105" s="395"/>
      <c r="T105" s="395"/>
      <c r="U105" s="395"/>
      <c r="V105" s="395"/>
      <c r="W105" s="395"/>
      <c r="X105" s="395"/>
      <c r="Y105" s="395"/>
      <c r="Z105" s="395"/>
      <c r="AA105" s="395"/>
    </row>
    <row r="106" spans="1:27" ht="26.4" x14ac:dyDescent="0.3">
      <c r="A106" s="401" t="s">
        <v>756</v>
      </c>
      <c r="B106" s="413" t="s">
        <v>757</v>
      </c>
      <c r="C106" s="813" t="s">
        <v>753</v>
      </c>
      <c r="D106" s="813"/>
      <c r="E106" s="813"/>
      <c r="F106" s="813"/>
      <c r="G106" s="813"/>
      <c r="H106" s="813"/>
      <c r="I106" s="813"/>
      <c r="J106" s="813"/>
      <c r="K106" s="813"/>
      <c r="L106" s="813"/>
      <c r="M106" s="813"/>
      <c r="N106" s="813"/>
      <c r="O106" s="813"/>
      <c r="P106" s="813"/>
      <c r="Q106" s="813"/>
      <c r="R106" s="813"/>
      <c r="S106" s="813"/>
      <c r="T106" s="813"/>
      <c r="U106" s="813"/>
      <c r="V106" s="813"/>
      <c r="W106" s="813"/>
      <c r="X106" s="813"/>
      <c r="Y106" s="813"/>
      <c r="Z106" s="813"/>
      <c r="AA106" s="813"/>
    </row>
    <row r="107" spans="1:27" x14ac:dyDescent="0.3">
      <c r="A107" s="386">
        <v>1</v>
      </c>
      <c r="B107" s="387" t="s">
        <v>739</v>
      </c>
      <c r="C107" s="414">
        <v>7.7661387670258124</v>
      </c>
      <c r="D107" s="414">
        <v>8.2314097009010272</v>
      </c>
      <c r="E107" s="414">
        <v>8.6731563089940238</v>
      </c>
      <c r="F107" s="414">
        <v>6.8279713694687105</v>
      </c>
      <c r="G107" s="414">
        <v>5.292506548518662</v>
      </c>
      <c r="H107" s="414">
        <v>7.6070619993535287</v>
      </c>
      <c r="I107" s="414">
        <v>9.5153659494683485</v>
      </c>
      <c r="J107" s="415">
        <v>8.0434549875986825</v>
      </c>
      <c r="K107" s="416">
        <v>7.8668916149279822</v>
      </c>
      <c r="L107" s="414">
        <v>7.9813143784195368</v>
      </c>
      <c r="M107" s="414">
        <v>7.5418762416748262</v>
      </c>
      <c r="N107" s="415">
        <v>6.4324271807532369</v>
      </c>
      <c r="O107" s="416">
        <v>5.1884518575611978</v>
      </c>
      <c r="P107" s="414">
        <v>3.7896580674107003</v>
      </c>
      <c r="Q107" s="414">
        <v>2.8011890866970832</v>
      </c>
      <c r="R107" s="414">
        <v>1.8401993027249179</v>
      </c>
      <c r="S107" s="414">
        <v>0.91721746658713699</v>
      </c>
      <c r="T107" s="414">
        <v>0.32870138005484273</v>
      </c>
      <c r="U107" s="415">
        <v>0.18737697305412035</v>
      </c>
      <c r="V107" s="416">
        <v>9.9126699844948193E-2</v>
      </c>
      <c r="W107" s="414">
        <v>2.7495381898775043E-2</v>
      </c>
      <c r="X107" s="414">
        <v>9.4539247668171177E-4</v>
      </c>
      <c r="Y107" s="414">
        <v>4.6282026170065558E-4</v>
      </c>
      <c r="Z107" s="414">
        <v>2.2077642662082087E-4</v>
      </c>
      <c r="AA107" s="414">
        <v>1.0332896535158817E-4</v>
      </c>
    </row>
    <row r="108" spans="1:27" x14ac:dyDescent="0.3">
      <c r="A108" s="386">
        <v>2</v>
      </c>
      <c r="B108" s="387" t="s">
        <v>740</v>
      </c>
      <c r="C108" s="417">
        <v>18.442388809946912</v>
      </c>
      <c r="D108" s="417">
        <v>15.163246122159286</v>
      </c>
      <c r="E108" s="417">
        <v>12.989701315855768</v>
      </c>
      <c r="F108" s="417">
        <v>11.845146633976121</v>
      </c>
      <c r="G108" s="417">
        <v>11.098228824024504</v>
      </c>
      <c r="H108" s="417">
        <v>12.203990048021648</v>
      </c>
      <c r="I108" s="417">
        <v>12.170784533610702</v>
      </c>
      <c r="J108" s="418">
        <v>12.081903142128045</v>
      </c>
      <c r="K108" s="419">
        <v>13.11913204416404</v>
      </c>
      <c r="L108" s="417">
        <v>14.382983512877693</v>
      </c>
      <c r="M108" s="417">
        <v>13.084498207304176</v>
      </c>
      <c r="N108" s="418">
        <v>9.814552775357928</v>
      </c>
      <c r="O108" s="419">
        <v>6.9135569922514097</v>
      </c>
      <c r="P108" s="417">
        <v>4.3252419625690779</v>
      </c>
      <c r="Q108" s="417">
        <v>2.4398160998299048</v>
      </c>
      <c r="R108" s="417">
        <v>1.4989362347391635</v>
      </c>
      <c r="S108" s="417">
        <v>0.55907528481364099</v>
      </c>
      <c r="T108" s="417">
        <v>1.6606814769828466E-2</v>
      </c>
      <c r="U108" s="418">
        <v>1.122203413094642E-10</v>
      </c>
      <c r="V108" s="419">
        <v>1.5029197066222164E-13</v>
      </c>
      <c r="W108" s="417">
        <v>2.0073664488402408E-16</v>
      </c>
      <c r="X108" s="417">
        <v>2.374258513294342E-19</v>
      </c>
      <c r="Y108" s="417">
        <v>3.0157312742496249E-22</v>
      </c>
      <c r="Z108" s="417">
        <v>3.8926978128401665E-25</v>
      </c>
      <c r="AA108" s="417">
        <v>5.0222740729276685E-28</v>
      </c>
    </row>
    <row r="109" spans="1:27" x14ac:dyDescent="0.3">
      <c r="A109" s="386">
        <v>3</v>
      </c>
      <c r="B109" s="387" t="s">
        <v>741</v>
      </c>
      <c r="C109" s="417">
        <v>11.351849029216712</v>
      </c>
      <c r="D109" s="417">
        <v>10.203760544870098</v>
      </c>
      <c r="E109" s="417">
        <v>9.8781541152206103</v>
      </c>
      <c r="F109" s="417">
        <v>8.5495764807364303</v>
      </c>
      <c r="G109" s="417">
        <v>9.6502186468997504</v>
      </c>
      <c r="H109" s="417">
        <v>10.14651286427209</v>
      </c>
      <c r="I109" s="417">
        <v>11.68089747035641</v>
      </c>
      <c r="J109" s="418">
        <v>12.348813312200438</v>
      </c>
      <c r="K109" s="419">
        <v>12.764743232578073</v>
      </c>
      <c r="L109" s="417">
        <v>12.803680401456694</v>
      </c>
      <c r="M109" s="417">
        <v>11.609849661695458</v>
      </c>
      <c r="N109" s="418">
        <v>9.596435961174695</v>
      </c>
      <c r="O109" s="419">
        <v>8.0113920498427476</v>
      </c>
      <c r="P109" s="417">
        <v>6.4597005550740443</v>
      </c>
      <c r="Q109" s="417">
        <v>4.7887351284164481</v>
      </c>
      <c r="R109" s="417">
        <v>3.4378095592469218</v>
      </c>
      <c r="S109" s="417">
        <v>2.1621184313213635</v>
      </c>
      <c r="T109" s="417">
        <v>0.92460114560419004</v>
      </c>
      <c r="U109" s="418">
        <v>0.41943830592866349</v>
      </c>
      <c r="V109" s="419">
        <v>0.18489406146308038</v>
      </c>
      <c r="W109" s="417">
        <v>0.10065461263146944</v>
      </c>
      <c r="X109" s="417">
        <v>4.7156410499909214E-2</v>
      </c>
      <c r="Y109" s="417">
        <v>9.1447861660420484E-3</v>
      </c>
      <c r="Z109" s="417">
        <v>9.2082924284555567E-5</v>
      </c>
      <c r="AA109" s="417">
        <v>3.3937363673636199E-5</v>
      </c>
    </row>
    <row r="110" spans="1:27" x14ac:dyDescent="0.3">
      <c r="A110" s="386">
        <v>4</v>
      </c>
      <c r="B110" s="387" t="s">
        <v>754</v>
      </c>
      <c r="C110" s="417">
        <v>6.421442169712507</v>
      </c>
      <c r="D110" s="417">
        <v>7.2800334669235687</v>
      </c>
      <c r="E110" s="417">
        <v>9.5586504976804818</v>
      </c>
      <c r="F110" s="417">
        <v>9.8582257891220237</v>
      </c>
      <c r="G110" s="417">
        <v>11.167464366199107</v>
      </c>
      <c r="H110" s="417">
        <v>14.102765214813534</v>
      </c>
      <c r="I110" s="417">
        <v>16.534086686498899</v>
      </c>
      <c r="J110" s="418">
        <v>19.548008907894108</v>
      </c>
      <c r="K110" s="419">
        <v>22.778137967173699</v>
      </c>
      <c r="L110" s="417">
        <v>26.398023945499759</v>
      </c>
      <c r="M110" s="417">
        <v>29.570172617532346</v>
      </c>
      <c r="N110" s="418">
        <v>34.89819333950237</v>
      </c>
      <c r="O110" s="419">
        <v>39.965378798476934</v>
      </c>
      <c r="P110" s="417">
        <v>44.58607041658491</v>
      </c>
      <c r="Q110" s="417">
        <v>47.790664881274729</v>
      </c>
      <c r="R110" s="417">
        <v>49.009405211676665</v>
      </c>
      <c r="S110" s="417">
        <v>49.980187814876395</v>
      </c>
      <c r="T110" s="417">
        <v>50.992483675098462</v>
      </c>
      <c r="U110" s="418">
        <v>51.299687450070223</v>
      </c>
      <c r="V110" s="419">
        <v>52.338652639880479</v>
      </c>
      <c r="W110" s="417">
        <v>52.976945841066239</v>
      </c>
      <c r="X110" s="417">
        <v>53.449313026763839</v>
      </c>
      <c r="Y110" s="417">
        <v>53.910465567635896</v>
      </c>
      <c r="Z110" s="417">
        <v>54.342822257600538</v>
      </c>
      <c r="AA110" s="417">
        <v>54.663897016030262</v>
      </c>
    </row>
    <row r="111" spans="1:27" x14ac:dyDescent="0.3">
      <c r="A111" s="386">
        <v>5</v>
      </c>
      <c r="B111" s="387" t="s">
        <v>758</v>
      </c>
      <c r="C111" s="417">
        <v>0</v>
      </c>
      <c r="D111" s="417">
        <v>0</v>
      </c>
      <c r="E111" s="417">
        <v>0</v>
      </c>
      <c r="F111" s="417">
        <v>5.7107444796626808E-6</v>
      </c>
      <c r="G111" s="417">
        <v>4.1910905274329651E-5</v>
      </c>
      <c r="H111" s="417">
        <v>2.4415773919980793E-3</v>
      </c>
      <c r="I111" s="417">
        <v>2.531753975898619E-2</v>
      </c>
      <c r="J111" s="418">
        <v>0.15746207976112234</v>
      </c>
      <c r="K111" s="419">
        <v>0.43325918494703142</v>
      </c>
      <c r="L111" s="417">
        <v>1.0417975083246314</v>
      </c>
      <c r="M111" s="417">
        <v>3.2123212898510243</v>
      </c>
      <c r="N111" s="418">
        <v>5.573036643023368</v>
      </c>
      <c r="O111" s="419">
        <v>7.3969882681689745</v>
      </c>
      <c r="P111" s="417">
        <v>9.279106434852233</v>
      </c>
      <c r="Q111" s="417">
        <v>11.108084316110391</v>
      </c>
      <c r="R111" s="417">
        <v>12.921487438166187</v>
      </c>
      <c r="S111" s="417">
        <v>14.740781316768675</v>
      </c>
      <c r="T111" s="417">
        <v>16.610156702593134</v>
      </c>
      <c r="U111" s="418">
        <v>18.346670612666756</v>
      </c>
      <c r="V111" s="419">
        <v>18.801803328817012</v>
      </c>
      <c r="W111" s="417">
        <v>19.065592087660189</v>
      </c>
      <c r="X111" s="417">
        <v>19.199294080504789</v>
      </c>
      <c r="Y111" s="417">
        <v>19.293251958377212</v>
      </c>
      <c r="Z111" s="417">
        <v>19.324182080524977</v>
      </c>
      <c r="AA111" s="417">
        <v>19.33607951190266</v>
      </c>
    </row>
    <row r="112" spans="1:27" x14ac:dyDescent="0.3">
      <c r="A112" s="386">
        <v>6</v>
      </c>
      <c r="B112" s="387" t="s">
        <v>326</v>
      </c>
      <c r="C112" s="417">
        <v>0</v>
      </c>
      <c r="D112" s="417">
        <v>0</v>
      </c>
      <c r="E112" s="417">
        <v>0</v>
      </c>
      <c r="F112" s="417">
        <v>0</v>
      </c>
      <c r="G112" s="417">
        <v>0</v>
      </c>
      <c r="H112" s="417">
        <v>0</v>
      </c>
      <c r="I112" s="417">
        <v>0</v>
      </c>
      <c r="J112" s="418">
        <v>0</v>
      </c>
      <c r="K112" s="419">
        <v>2.5197596747257568E-2</v>
      </c>
      <c r="L112" s="417">
        <v>7.1330767514669491E-2</v>
      </c>
      <c r="M112" s="417">
        <v>0.17217653130282204</v>
      </c>
      <c r="N112" s="418">
        <v>0.44312132183034453</v>
      </c>
      <c r="O112" s="419">
        <v>1.0082674200241477</v>
      </c>
      <c r="P112" s="417">
        <v>2.2263017716210336</v>
      </c>
      <c r="Q112" s="417">
        <v>4.6250467695887032</v>
      </c>
      <c r="R112" s="417">
        <v>7.8574691102959386</v>
      </c>
      <c r="S112" s="417">
        <v>11.21380203162394</v>
      </c>
      <c r="T112" s="417">
        <v>13.188854660850339</v>
      </c>
      <c r="U112" s="418">
        <v>13.923441673195637</v>
      </c>
      <c r="V112" s="419">
        <v>13.920066184672086</v>
      </c>
      <c r="W112" s="417">
        <v>13.408200023857841</v>
      </c>
      <c r="X112" s="417">
        <v>12.674373249031637</v>
      </c>
      <c r="Y112" s="417">
        <v>11.839864740751594</v>
      </c>
      <c r="Z112" s="417">
        <v>10.992440286646792</v>
      </c>
      <c r="AA112" s="417">
        <v>9.9894250735823835</v>
      </c>
    </row>
    <row r="113" spans="1:27" x14ac:dyDescent="0.3">
      <c r="A113" s="386">
        <v>7</v>
      </c>
      <c r="B113" s="387" t="s">
        <v>755</v>
      </c>
      <c r="C113" s="417">
        <v>1.5284725030694146</v>
      </c>
      <c r="D113" s="417">
        <v>1.63449459597545</v>
      </c>
      <c r="E113" s="417">
        <v>10.859677123293164</v>
      </c>
      <c r="F113" s="417">
        <v>3.8544244688618341</v>
      </c>
      <c r="G113" s="417">
        <v>2.5989096378874708</v>
      </c>
      <c r="H113" s="417">
        <v>2.6150775994301436</v>
      </c>
      <c r="I113" s="417">
        <v>2.269877286068803</v>
      </c>
      <c r="J113" s="418">
        <v>2.0014026466055124</v>
      </c>
      <c r="K113" s="419">
        <v>2.1490365403498148</v>
      </c>
      <c r="L113" s="417">
        <v>2.2004611075724951</v>
      </c>
      <c r="M113" s="417">
        <v>2.3824236265970122</v>
      </c>
      <c r="N113" s="418">
        <v>2.4725166967446151</v>
      </c>
      <c r="O113" s="419">
        <v>2.4490934837589977</v>
      </c>
      <c r="P113" s="417">
        <v>2.3231761375254796</v>
      </c>
      <c r="Q113" s="417">
        <v>2.1222770492367773</v>
      </c>
      <c r="R113" s="417">
        <v>1.8744829362763047</v>
      </c>
      <c r="S113" s="417">
        <v>1.4414832249140495</v>
      </c>
      <c r="T113" s="417">
        <v>0.94099011546934908</v>
      </c>
      <c r="U113" s="418">
        <v>0.45361390529180695</v>
      </c>
      <c r="V113" s="419">
        <v>6.4837037947004864E-2</v>
      </c>
      <c r="W113" s="417">
        <v>6.6478796247034372E-3</v>
      </c>
      <c r="X113" s="417">
        <v>2.193792521616405E-3</v>
      </c>
      <c r="Y113" s="417">
        <v>5.619349519813059E-7</v>
      </c>
      <c r="Z113" s="417">
        <v>1.1086003399622331E-7</v>
      </c>
      <c r="AA113" s="417">
        <v>2.8878369654695704E-8</v>
      </c>
    </row>
    <row r="114" spans="1:27" x14ac:dyDescent="0.3">
      <c r="A114" s="386">
        <v>8</v>
      </c>
      <c r="B114" s="387" t="s">
        <v>759</v>
      </c>
      <c r="C114" s="417">
        <v>0</v>
      </c>
      <c r="D114" s="417">
        <v>0</v>
      </c>
      <c r="E114" s="417">
        <v>9.1928452410629355E-4</v>
      </c>
      <c r="F114" s="417">
        <v>3.7687088908275406E-3</v>
      </c>
      <c r="G114" s="417">
        <v>7.5781114347341708E-3</v>
      </c>
      <c r="H114" s="417">
        <v>1.2097309450945778E-2</v>
      </c>
      <c r="I114" s="417">
        <v>2.9221920618043844E-2</v>
      </c>
      <c r="J114" s="418">
        <v>5.5472575717986E-2</v>
      </c>
      <c r="K114" s="419">
        <v>0.19419418868835461</v>
      </c>
      <c r="L114" s="417">
        <v>0.6664936484239784</v>
      </c>
      <c r="M114" s="417">
        <v>0.55853201463533775</v>
      </c>
      <c r="N114" s="418">
        <v>0.11951398140788409</v>
      </c>
      <c r="O114" s="419">
        <v>1.7667391094362056E-3</v>
      </c>
      <c r="P114" s="417">
        <v>3.5656503372985539E-5</v>
      </c>
      <c r="Q114" s="417">
        <v>9.8751649282285521E-7</v>
      </c>
      <c r="R114" s="417">
        <v>2.9229778987767752E-8</v>
      </c>
      <c r="S114" s="417">
        <v>3.0068930550668924E-8</v>
      </c>
      <c r="T114" s="417">
        <v>2.9214436025429636E-8</v>
      </c>
      <c r="U114" s="418">
        <v>2.7424709835920291E-8</v>
      </c>
      <c r="V114" s="419">
        <v>2.6188373753572694E-8</v>
      </c>
      <c r="W114" s="417">
        <v>2.4849196903754488E-8</v>
      </c>
      <c r="X114" s="417">
        <v>2.2960252162921698E-8</v>
      </c>
      <c r="Y114" s="417">
        <v>2.1799754462056752E-8</v>
      </c>
      <c r="Z114" s="417">
        <v>2.0917240537861728E-8</v>
      </c>
      <c r="AA114" s="417">
        <v>2.0493561962587528E-8</v>
      </c>
    </row>
    <row r="115" spans="1:27" x14ac:dyDescent="0.3">
      <c r="A115" s="386">
        <v>9</v>
      </c>
      <c r="B115" s="387" t="s">
        <v>742</v>
      </c>
      <c r="C115" s="417">
        <v>5.6967357428774577</v>
      </c>
      <c r="D115" s="417">
        <v>6.3909672451137141</v>
      </c>
      <c r="E115" s="417">
        <v>4.5935935132016485</v>
      </c>
      <c r="F115" s="417">
        <v>4.179293318015687</v>
      </c>
      <c r="G115" s="417">
        <v>4.503001606971865</v>
      </c>
      <c r="H115" s="417">
        <v>4.7329647914746671</v>
      </c>
      <c r="I115" s="417">
        <v>5.2570989770117116</v>
      </c>
      <c r="J115" s="418">
        <v>5.4455375842412348</v>
      </c>
      <c r="K115" s="419">
        <v>4.9783058581342967</v>
      </c>
      <c r="L115" s="417">
        <v>4.3070425081270809</v>
      </c>
      <c r="M115" s="417">
        <v>5.4905136761994981</v>
      </c>
      <c r="N115" s="418">
        <v>7.3104103974650165</v>
      </c>
      <c r="O115" s="419">
        <v>7.7550397442839509</v>
      </c>
      <c r="P115" s="417">
        <v>7.4841791046630117</v>
      </c>
      <c r="Q115" s="417">
        <v>6.7528968506589422</v>
      </c>
      <c r="R115" s="417">
        <v>5.8324534040489375</v>
      </c>
      <c r="S115" s="417">
        <v>4.9526984135142866</v>
      </c>
      <c r="T115" s="417">
        <v>4.0543522335137405</v>
      </c>
      <c r="U115" s="418">
        <v>3.1158506238188486</v>
      </c>
      <c r="V115" s="419">
        <v>2.1743161809267133</v>
      </c>
      <c r="W115" s="417">
        <v>1.222829254582273</v>
      </c>
      <c r="X115" s="417">
        <v>0.59872370956917542</v>
      </c>
      <c r="Y115" s="417">
        <v>0.30542867526778722</v>
      </c>
      <c r="Z115" s="417">
        <v>4.9173281784533104E-2</v>
      </c>
      <c r="AA115" s="417">
        <v>4.2541971736551366E-2</v>
      </c>
    </row>
    <row r="116" spans="1:27" ht="15" thickBot="1" x14ac:dyDescent="0.35">
      <c r="A116" s="395"/>
      <c r="B116" s="396" t="s">
        <v>690</v>
      </c>
      <c r="C116" s="420">
        <f t="shared" ref="C116:AA116" si="8">SUM(C107:C115)</f>
        <v>51.207027021848816</v>
      </c>
      <c r="D116" s="420">
        <f t="shared" si="8"/>
        <v>48.903911675943142</v>
      </c>
      <c r="E116" s="420">
        <f t="shared" si="8"/>
        <v>56.5538521587698</v>
      </c>
      <c r="F116" s="420">
        <f t="shared" si="8"/>
        <v>45.118412479816115</v>
      </c>
      <c r="G116" s="420">
        <f t="shared" si="8"/>
        <v>44.317949652841364</v>
      </c>
      <c r="H116" s="420">
        <f t="shared" si="8"/>
        <v>51.422911404208548</v>
      </c>
      <c r="I116" s="420">
        <f t="shared" si="8"/>
        <v>57.482650363391897</v>
      </c>
      <c r="J116" s="420">
        <f t="shared" si="8"/>
        <v>59.682055236147136</v>
      </c>
      <c r="K116" s="421">
        <f t="shared" si="8"/>
        <v>64.308898227710543</v>
      </c>
      <c r="L116" s="421">
        <f t="shared" si="8"/>
        <v>69.853127778216546</v>
      </c>
      <c r="M116" s="421">
        <f t="shared" si="8"/>
        <v>73.622363866792497</v>
      </c>
      <c r="N116" s="421">
        <f t="shared" si="8"/>
        <v>76.660208297259459</v>
      </c>
      <c r="O116" s="422">
        <f t="shared" si="8"/>
        <v>78.689935353477807</v>
      </c>
      <c r="P116" s="422">
        <f t="shared" si="8"/>
        <v>80.473470106803873</v>
      </c>
      <c r="Q116" s="422">
        <f t="shared" si="8"/>
        <v>82.428711169329461</v>
      </c>
      <c r="R116" s="422">
        <f t="shared" si="8"/>
        <v>84.272243226404811</v>
      </c>
      <c r="S116" s="422">
        <f t="shared" si="8"/>
        <v>85.967364014488425</v>
      </c>
      <c r="T116" s="422">
        <f t="shared" si="8"/>
        <v>87.056746757168312</v>
      </c>
      <c r="U116" s="422">
        <f t="shared" si="8"/>
        <v>87.746079571562973</v>
      </c>
      <c r="V116" s="423">
        <f t="shared" si="8"/>
        <v>87.58369615973983</v>
      </c>
      <c r="W116" s="423">
        <f t="shared" si="8"/>
        <v>86.808365106170712</v>
      </c>
      <c r="X116" s="423">
        <f t="shared" si="8"/>
        <v>85.971999684327884</v>
      </c>
      <c r="Y116" s="423">
        <f t="shared" si="8"/>
        <v>85.358619132194931</v>
      </c>
      <c r="Z116" s="423">
        <f t="shared" si="8"/>
        <v>84.708930897685022</v>
      </c>
      <c r="AA116" s="423">
        <f t="shared" si="8"/>
        <v>84.032080888952819</v>
      </c>
    </row>
    <row r="117" spans="1:27" ht="15" thickTop="1" x14ac:dyDescent="0.3">
      <c r="A117"/>
      <c r="B117"/>
      <c r="C117" s="395"/>
      <c r="D117" s="395"/>
      <c r="E117" s="395"/>
      <c r="F117" s="395"/>
      <c r="G117" s="395"/>
      <c r="H117" s="395"/>
      <c r="I117" s="395"/>
      <c r="J117" s="395"/>
      <c r="K117" s="395"/>
      <c r="L117" s="395"/>
      <c r="M117" s="395"/>
      <c r="N117" s="395"/>
      <c r="O117" s="395"/>
      <c r="P117" s="395"/>
      <c r="Q117" s="395"/>
      <c r="R117" s="395"/>
      <c r="S117" s="395"/>
      <c r="T117" s="395"/>
      <c r="U117" s="395"/>
      <c r="V117" s="395"/>
      <c r="W117" s="395"/>
      <c r="X117" s="395"/>
      <c r="Y117" s="395"/>
      <c r="Z117" s="395"/>
      <c r="AA117" s="395"/>
    </row>
    <row r="118" spans="1:27" ht="26.4" x14ac:dyDescent="0.3">
      <c r="A118" s="401" t="s">
        <v>760</v>
      </c>
      <c r="B118" s="413" t="s">
        <v>761</v>
      </c>
      <c r="C118" s="813" t="s">
        <v>753</v>
      </c>
      <c r="D118" s="813"/>
      <c r="E118" s="813"/>
      <c r="F118" s="813"/>
      <c r="G118" s="813"/>
      <c r="H118" s="813"/>
      <c r="I118" s="813"/>
      <c r="J118" s="813"/>
      <c r="K118" s="813"/>
      <c r="L118" s="813"/>
      <c r="M118" s="813"/>
      <c r="N118" s="813"/>
      <c r="O118" s="813"/>
      <c r="P118" s="813"/>
      <c r="Q118" s="813"/>
      <c r="R118" s="813"/>
      <c r="S118" s="813"/>
      <c r="T118" s="813"/>
      <c r="U118" s="813"/>
      <c r="V118" s="813"/>
      <c r="W118" s="813"/>
      <c r="X118" s="813"/>
      <c r="Y118" s="813"/>
      <c r="Z118" s="813"/>
      <c r="AA118" s="813"/>
    </row>
    <row r="119" spans="1:27" x14ac:dyDescent="0.3">
      <c r="A119" s="386">
        <v>1</v>
      </c>
      <c r="B119" s="387" t="s">
        <v>739</v>
      </c>
      <c r="C119" s="414">
        <v>2.9855078220421039</v>
      </c>
      <c r="D119" s="414">
        <v>2.704619802725968</v>
      </c>
      <c r="E119" s="414">
        <v>1.9836636679627984</v>
      </c>
      <c r="F119" s="414">
        <v>0.7347685162562182</v>
      </c>
      <c r="G119" s="414">
        <v>0.65654809889286725</v>
      </c>
      <c r="H119" s="414">
        <v>1.0635513398920518</v>
      </c>
      <c r="I119" s="414">
        <v>1.218252641695053</v>
      </c>
      <c r="J119" s="415">
        <v>1.4927514898425771</v>
      </c>
      <c r="K119" s="416">
        <v>1.3509025368131409</v>
      </c>
      <c r="L119" s="414">
        <v>0.79017107606225712</v>
      </c>
      <c r="M119" s="414">
        <v>0.22215794036173606</v>
      </c>
      <c r="N119" s="415">
        <v>7.0251194050514415E-2</v>
      </c>
      <c r="O119" s="416">
        <v>1.8228945738293461E-2</v>
      </c>
      <c r="P119" s="414">
        <v>5.6508645369638134E-37</v>
      </c>
      <c r="Q119" s="414">
        <v>7.4054122294994307E-44</v>
      </c>
      <c r="R119" s="414">
        <v>2.6857290161670038E-44</v>
      </c>
      <c r="S119" s="414">
        <v>1.3878901246787182E-44</v>
      </c>
      <c r="T119" s="414">
        <v>6.9406293099580748E-45</v>
      </c>
      <c r="U119" s="415">
        <v>5.2205702257932423E-45</v>
      </c>
      <c r="V119" s="416">
        <v>4.341122320263713E-45</v>
      </c>
      <c r="W119" s="414">
        <v>3.9384326561394393E-45</v>
      </c>
      <c r="X119" s="414">
        <v>3.9947272856895461E-45</v>
      </c>
      <c r="Y119" s="414">
        <v>4.3868833230722963E-45</v>
      </c>
      <c r="Z119" s="414">
        <v>4.9829214065775481E-45</v>
      </c>
      <c r="AA119" s="414">
        <v>5.674274098170635E-45</v>
      </c>
    </row>
    <row r="120" spans="1:27" x14ac:dyDescent="0.3">
      <c r="A120" s="386">
        <v>2</v>
      </c>
      <c r="B120" s="387" t="s">
        <v>740</v>
      </c>
      <c r="C120" s="417">
        <v>4.6284055572060803</v>
      </c>
      <c r="D120" s="417">
        <v>3.5822317534701855</v>
      </c>
      <c r="E120" s="417">
        <v>3.5098884101612366</v>
      </c>
      <c r="F120" s="417">
        <v>3.8028222623732382</v>
      </c>
      <c r="G120" s="417">
        <v>3.5120981672691003</v>
      </c>
      <c r="H120" s="417">
        <v>3.5858361380854911</v>
      </c>
      <c r="I120" s="417">
        <v>3.1313505785552169</v>
      </c>
      <c r="J120" s="418">
        <v>2.6236760747795134</v>
      </c>
      <c r="K120" s="419">
        <v>2.3601522878411525</v>
      </c>
      <c r="L120" s="417">
        <v>1.2819952209689838</v>
      </c>
      <c r="M120" s="417">
        <v>0.47408122472737368</v>
      </c>
      <c r="N120" s="418">
        <v>0.20697122755257313</v>
      </c>
      <c r="O120" s="419">
        <v>2.0866615690106522E-2</v>
      </c>
      <c r="P120" s="417">
        <v>6.169057771803709E-3</v>
      </c>
      <c r="Q120" s="417">
        <v>5.6742023363294623E-4</v>
      </c>
      <c r="R120" s="417">
        <v>2.1004444402785197E-14</v>
      </c>
      <c r="S120" s="417">
        <v>2.6616302306800862E-15</v>
      </c>
      <c r="T120" s="417">
        <v>2.9261277669542289E-16</v>
      </c>
      <c r="U120" s="418">
        <v>3.8446864223885385E-17</v>
      </c>
      <c r="V120" s="419">
        <v>5.3348861178656345E-18</v>
      </c>
      <c r="W120" s="417">
        <v>7.8577764900167509E-19</v>
      </c>
      <c r="X120" s="417">
        <v>1.2569935202485232E-19</v>
      </c>
      <c r="Y120" s="417">
        <v>2.1431487085032263E-20</v>
      </c>
      <c r="Z120" s="417">
        <v>3.8734788799423382E-21</v>
      </c>
      <c r="AA120" s="417">
        <v>7.3369818159342401E-22</v>
      </c>
    </row>
    <row r="121" spans="1:27" x14ac:dyDescent="0.3">
      <c r="A121" s="386">
        <v>3</v>
      </c>
      <c r="B121" s="387" t="s">
        <v>741</v>
      </c>
      <c r="C121" s="417">
        <v>4.3429610121982094</v>
      </c>
      <c r="D121" s="417">
        <v>4.8735066241590932</v>
      </c>
      <c r="E121" s="417">
        <v>5.4300028420665507</v>
      </c>
      <c r="F121" s="417">
        <v>6.4210872557483007</v>
      </c>
      <c r="G121" s="417">
        <v>6.7165971015934076</v>
      </c>
      <c r="H121" s="417">
        <v>7.3294162486452503</v>
      </c>
      <c r="I121" s="417">
        <v>7.9993011281342952</v>
      </c>
      <c r="J121" s="418">
        <v>8.6674737357497182</v>
      </c>
      <c r="K121" s="419">
        <v>10.336690541295379</v>
      </c>
      <c r="L121" s="417">
        <v>11.929018246026994</v>
      </c>
      <c r="M121" s="417">
        <v>11.724052576011402</v>
      </c>
      <c r="N121" s="418">
        <v>10.322232755284261</v>
      </c>
      <c r="O121" s="419">
        <v>8.5471754560793158</v>
      </c>
      <c r="P121" s="417">
        <v>6.764147958969188</v>
      </c>
      <c r="Q121" s="417">
        <v>5.0437158557083137</v>
      </c>
      <c r="R121" s="417">
        <v>3.2637186230370996</v>
      </c>
      <c r="S121" s="417">
        <v>1.5187115660528816</v>
      </c>
      <c r="T121" s="417">
        <v>0.24517188187148456</v>
      </c>
      <c r="U121" s="418">
        <v>5.8835969842047628E-2</v>
      </c>
      <c r="V121" s="419">
        <v>5.8309416949296573E-3</v>
      </c>
      <c r="W121" s="417">
        <v>5.0425121107157069E-6</v>
      </c>
      <c r="X121" s="417">
        <v>1.5948630218898185E-6</v>
      </c>
      <c r="Y121" s="417">
        <v>5.5596604956193546E-7</v>
      </c>
      <c r="Z121" s="417">
        <v>2.022107298665524E-7</v>
      </c>
      <c r="AA121" s="417">
        <v>7.3571989658189207E-8</v>
      </c>
    </row>
    <row r="122" spans="1:27" x14ac:dyDescent="0.3">
      <c r="A122" s="386">
        <v>4</v>
      </c>
      <c r="B122" s="387" t="s">
        <v>754</v>
      </c>
      <c r="C122" s="417">
        <v>4.3554151601553803</v>
      </c>
      <c r="D122" s="417">
        <v>5.6714735533237128</v>
      </c>
      <c r="E122" s="417">
        <v>7.0311106280294364</v>
      </c>
      <c r="F122" s="417">
        <v>8.5877338600351294</v>
      </c>
      <c r="G122" s="417">
        <v>10.843602997609249</v>
      </c>
      <c r="H122" s="417">
        <v>12.97940776226072</v>
      </c>
      <c r="I122" s="417">
        <v>15.185039883683164</v>
      </c>
      <c r="J122" s="418">
        <v>16.024810432718883</v>
      </c>
      <c r="K122" s="419">
        <v>17.880832280438383</v>
      </c>
      <c r="L122" s="417">
        <v>22.386453576968229</v>
      </c>
      <c r="M122" s="417">
        <v>27.607823574287771</v>
      </c>
      <c r="N122" s="418">
        <v>33.717169166471727</v>
      </c>
      <c r="O122" s="419">
        <v>40.389429810049847</v>
      </c>
      <c r="P122" s="417">
        <v>48.201312398118297</v>
      </c>
      <c r="Q122" s="417">
        <v>56.125665224034478</v>
      </c>
      <c r="R122" s="417">
        <v>63.612038771780668</v>
      </c>
      <c r="S122" s="417">
        <v>71.078084035124476</v>
      </c>
      <c r="T122" s="417">
        <v>76.434935608918963</v>
      </c>
      <c r="U122" s="418">
        <v>79.120455857642042</v>
      </c>
      <c r="V122" s="419">
        <v>81.054873080213</v>
      </c>
      <c r="W122" s="417">
        <v>81.815600049912661</v>
      </c>
      <c r="X122" s="417">
        <v>80.348801208799614</v>
      </c>
      <c r="Y122" s="417">
        <v>78.385045056815727</v>
      </c>
      <c r="Z122" s="417">
        <v>76.310786601970094</v>
      </c>
      <c r="AA122" s="417">
        <v>73.712551085843032</v>
      </c>
    </row>
    <row r="123" spans="1:27" x14ac:dyDescent="0.3">
      <c r="A123" s="386">
        <v>5</v>
      </c>
      <c r="B123" s="387" t="s">
        <v>758</v>
      </c>
      <c r="C123" s="417">
        <v>0</v>
      </c>
      <c r="D123" s="417">
        <v>0</v>
      </c>
      <c r="E123" s="417">
        <v>0</v>
      </c>
      <c r="F123" s="417">
        <v>5.7107444796626808E-6</v>
      </c>
      <c r="G123" s="417">
        <v>4.1910905274329651E-5</v>
      </c>
      <c r="H123" s="417">
        <v>2.4415773919980793E-3</v>
      </c>
      <c r="I123" s="417">
        <v>2.531753975898619E-2</v>
      </c>
      <c r="J123" s="418">
        <v>0.15746207976112234</v>
      </c>
      <c r="K123" s="419">
        <v>0.42113112556511578</v>
      </c>
      <c r="L123" s="417">
        <v>0.98983657711456152</v>
      </c>
      <c r="M123" s="417">
        <v>3.1298192733772137</v>
      </c>
      <c r="N123" s="418">
        <v>5.1148079756312042</v>
      </c>
      <c r="O123" s="419">
        <v>6.8592520359907336</v>
      </c>
      <c r="P123" s="417">
        <v>8.3990408711766609</v>
      </c>
      <c r="Q123" s="417">
        <v>9.8906719214724266</v>
      </c>
      <c r="R123" s="417">
        <v>11.336427751180741</v>
      </c>
      <c r="S123" s="417">
        <v>12.798090812620062</v>
      </c>
      <c r="T123" s="417">
        <v>14.326900488033321</v>
      </c>
      <c r="U123" s="418">
        <v>15.980384069501868</v>
      </c>
      <c r="V123" s="419">
        <v>16.69017552355163</v>
      </c>
      <c r="W123" s="417">
        <v>17.526628681205118</v>
      </c>
      <c r="X123" s="417">
        <v>18.225560646973534</v>
      </c>
      <c r="Y123" s="417">
        <v>18.806007803401585</v>
      </c>
      <c r="Z123" s="417">
        <v>19.492417697808314</v>
      </c>
      <c r="AA123" s="417">
        <v>20.013512789138918</v>
      </c>
    </row>
    <row r="124" spans="1:27" x14ac:dyDescent="0.3">
      <c r="A124" s="386">
        <v>6</v>
      </c>
      <c r="B124" s="387" t="s">
        <v>326</v>
      </c>
      <c r="C124" s="417">
        <v>0</v>
      </c>
      <c r="D124" s="417">
        <v>0</v>
      </c>
      <c r="E124" s="417">
        <v>0</v>
      </c>
      <c r="F124" s="417">
        <v>0</v>
      </c>
      <c r="G124" s="417">
        <v>0</v>
      </c>
      <c r="H124" s="417">
        <v>0</v>
      </c>
      <c r="I124" s="417">
        <v>0</v>
      </c>
      <c r="J124" s="418">
        <v>0</v>
      </c>
      <c r="K124" s="419">
        <v>0</v>
      </c>
      <c r="L124" s="417">
        <v>0</v>
      </c>
      <c r="M124" s="417">
        <v>0</v>
      </c>
      <c r="N124" s="418">
        <v>0</v>
      </c>
      <c r="O124" s="419">
        <v>0</v>
      </c>
      <c r="P124" s="417">
        <v>0</v>
      </c>
      <c r="Q124" s="417">
        <v>0</v>
      </c>
      <c r="R124" s="417">
        <v>0</v>
      </c>
      <c r="S124" s="417">
        <v>0</v>
      </c>
      <c r="T124" s="417">
        <v>0</v>
      </c>
      <c r="U124" s="418">
        <v>0</v>
      </c>
      <c r="V124" s="419">
        <v>0</v>
      </c>
      <c r="W124" s="417">
        <v>0</v>
      </c>
      <c r="X124" s="417">
        <v>0</v>
      </c>
      <c r="Y124" s="417">
        <v>0</v>
      </c>
      <c r="Z124" s="417">
        <v>0</v>
      </c>
      <c r="AA124" s="417">
        <v>0</v>
      </c>
    </row>
    <row r="125" spans="1:27" x14ac:dyDescent="0.3">
      <c r="A125" s="386">
        <v>7</v>
      </c>
      <c r="B125" s="387" t="s">
        <v>755</v>
      </c>
      <c r="C125" s="417">
        <v>0.19315339112119739</v>
      </c>
      <c r="D125" s="417">
        <v>0.36060054996439184</v>
      </c>
      <c r="E125" s="417">
        <v>0.38866817535937315</v>
      </c>
      <c r="F125" s="417">
        <v>0.97656343156890602</v>
      </c>
      <c r="G125" s="417">
        <v>0.996170744631101</v>
      </c>
      <c r="H125" s="417">
        <v>1.3306936074777955</v>
      </c>
      <c r="I125" s="417">
        <v>1.4724695904956246</v>
      </c>
      <c r="J125" s="418">
        <v>1.4492549557153609</v>
      </c>
      <c r="K125" s="419">
        <v>1.4042719247449018</v>
      </c>
      <c r="L125" s="417">
        <v>1.5155237663225036</v>
      </c>
      <c r="M125" s="417">
        <v>1.4979591493358049</v>
      </c>
      <c r="N125" s="418">
        <v>1.208051488844285</v>
      </c>
      <c r="O125" s="419">
        <v>1.0762142652165125</v>
      </c>
      <c r="P125" s="417">
        <v>0.91922842822999484</v>
      </c>
      <c r="Q125" s="417">
        <v>0.78533129776944521</v>
      </c>
      <c r="R125" s="417">
        <v>0.67135877674215183</v>
      </c>
      <c r="S125" s="417">
        <v>0.53687651676855797</v>
      </c>
      <c r="T125" s="417">
        <v>0.41754049630402246</v>
      </c>
      <c r="U125" s="418">
        <v>0.29336018461675689</v>
      </c>
      <c r="V125" s="419">
        <v>0.19140222482369662</v>
      </c>
      <c r="W125" s="417">
        <v>0.15523924086489008</v>
      </c>
      <c r="X125" s="417">
        <v>0.1239574151037995</v>
      </c>
      <c r="Y125" s="417">
        <v>9.5347328151486652E-2</v>
      </c>
      <c r="Z125" s="417">
        <v>7.0267775931906404E-2</v>
      </c>
      <c r="AA125" s="417">
        <v>5.3255438015212923E-2</v>
      </c>
    </row>
    <row r="126" spans="1:27" x14ac:dyDescent="0.3">
      <c r="A126" s="386">
        <v>8</v>
      </c>
      <c r="B126" s="387" t="s">
        <v>759</v>
      </c>
      <c r="C126" s="417">
        <v>0</v>
      </c>
      <c r="D126" s="417">
        <v>0</v>
      </c>
      <c r="E126" s="417">
        <v>3.7212239924812036E-3</v>
      </c>
      <c r="F126" s="417">
        <v>5.8782665698786842E-3</v>
      </c>
      <c r="G126" s="417">
        <v>8.839606577977159E-3</v>
      </c>
      <c r="H126" s="417">
        <v>1.8720370576200157E-2</v>
      </c>
      <c r="I126" s="417">
        <v>0.12500042464328159</v>
      </c>
      <c r="J126" s="418">
        <v>0.19767785541557009</v>
      </c>
      <c r="K126" s="419">
        <v>0.38879361007684637</v>
      </c>
      <c r="L126" s="417">
        <v>0.38512219554460475</v>
      </c>
      <c r="M126" s="417">
        <v>2.849191277739771E-2</v>
      </c>
      <c r="N126" s="418">
        <v>9.5347658387329474E-4</v>
      </c>
      <c r="O126" s="419">
        <v>2.1494584697269301E-5</v>
      </c>
      <c r="P126" s="417">
        <v>8.7913768746999126E-7</v>
      </c>
      <c r="Q126" s="417">
        <v>3.5542681648336677E-8</v>
      </c>
      <c r="R126" s="417">
        <v>4.2144414249520927E-8</v>
      </c>
      <c r="S126" s="417">
        <v>4.9086283144589299E-8</v>
      </c>
      <c r="T126" s="417">
        <v>5.6643641274143056E-8</v>
      </c>
      <c r="U126" s="418">
        <v>6.5992524844576586E-8</v>
      </c>
      <c r="V126" s="419">
        <v>7.9261809763774169E-8</v>
      </c>
      <c r="W126" s="417">
        <v>1.0174538996018121E-7</v>
      </c>
      <c r="X126" s="417">
        <v>1.4178796008228177E-7</v>
      </c>
      <c r="Y126" s="417">
        <v>2.1322001009596466E-7</v>
      </c>
      <c r="Z126" s="417">
        <v>3.3636203417536011E-7</v>
      </c>
      <c r="AA126" s="417">
        <v>5.3621112866019926E-7</v>
      </c>
    </row>
    <row r="127" spans="1:27" x14ac:dyDescent="0.3">
      <c r="A127" s="386">
        <v>9</v>
      </c>
      <c r="B127" s="387" t="s">
        <v>742</v>
      </c>
      <c r="C127" s="417">
        <v>0.32066875426493829</v>
      </c>
      <c r="D127" s="417">
        <v>0.3564196421249804</v>
      </c>
      <c r="E127" s="417">
        <v>0.48718906477053336</v>
      </c>
      <c r="F127" s="417">
        <v>0.56020818033979169</v>
      </c>
      <c r="G127" s="417">
        <v>0.58076726501477149</v>
      </c>
      <c r="H127" s="417">
        <v>0.7022428335095553</v>
      </c>
      <c r="I127" s="417">
        <v>0.77955642787153967</v>
      </c>
      <c r="J127" s="418">
        <v>0.97801319124802699</v>
      </c>
      <c r="K127" s="419">
        <v>0.58636408066275481</v>
      </c>
      <c r="L127" s="417">
        <v>0.36430127151405584</v>
      </c>
      <c r="M127" s="417">
        <v>0.2082135722172376</v>
      </c>
      <c r="N127" s="418">
        <v>0.10554456314167331</v>
      </c>
      <c r="O127" s="419">
        <v>6.5271301688122535E-2</v>
      </c>
      <c r="P127" s="417">
        <v>3.1950257226811128E-2</v>
      </c>
      <c r="Q127" s="417">
        <v>1.835472705964997E-2</v>
      </c>
      <c r="R127" s="417">
        <v>8.9715840242952458E-3</v>
      </c>
      <c r="S127" s="417">
        <v>4.9802876173067777E-3</v>
      </c>
      <c r="T127" s="417">
        <v>2.7447246836309301E-3</v>
      </c>
      <c r="U127" s="418">
        <v>1.4721196056188511E-3</v>
      </c>
      <c r="V127" s="419">
        <v>7.8619437074911049E-4</v>
      </c>
      <c r="W127" s="417">
        <v>4.6143162198456834E-4</v>
      </c>
      <c r="X127" s="417">
        <v>3.2764612541491583E-4</v>
      </c>
      <c r="Y127" s="417">
        <v>1.6402856243677953E-4</v>
      </c>
      <c r="Z127" s="417">
        <v>8.967063595610821E-5</v>
      </c>
      <c r="AA127" s="417">
        <v>5.468321428027582E-5</v>
      </c>
    </row>
    <row r="128" spans="1:27" ht="15" thickBot="1" x14ac:dyDescent="0.35">
      <c r="A128" s="395"/>
      <c r="B128" s="396" t="s">
        <v>690</v>
      </c>
      <c r="C128" s="420">
        <f t="shared" ref="C128:AA128" si="9">SUM(C119:C127)</f>
        <v>16.826111696987912</v>
      </c>
      <c r="D128" s="420">
        <f t="shared" si="9"/>
        <v>17.548851925768332</v>
      </c>
      <c r="E128" s="420">
        <f t="shared" si="9"/>
        <v>18.83424401234241</v>
      </c>
      <c r="F128" s="420">
        <f t="shared" si="9"/>
        <v>21.089067483635944</v>
      </c>
      <c r="G128" s="420">
        <f t="shared" si="9"/>
        <v>23.314665892493746</v>
      </c>
      <c r="H128" s="420">
        <f t="shared" si="9"/>
        <v>27.012309877839062</v>
      </c>
      <c r="I128" s="420">
        <f t="shared" si="9"/>
        <v>29.936288214837163</v>
      </c>
      <c r="J128" s="420">
        <f t="shared" si="9"/>
        <v>31.591119815230773</v>
      </c>
      <c r="K128" s="421">
        <f t="shared" si="9"/>
        <v>34.729138387437679</v>
      </c>
      <c r="L128" s="421">
        <f t="shared" si="9"/>
        <v>39.64242193052219</v>
      </c>
      <c r="M128" s="421">
        <f t="shared" si="9"/>
        <v>44.892599223095942</v>
      </c>
      <c r="N128" s="421">
        <f t="shared" si="9"/>
        <v>50.745981847560103</v>
      </c>
      <c r="O128" s="422">
        <f t="shared" si="9"/>
        <v>56.976459925037631</v>
      </c>
      <c r="P128" s="422">
        <f t="shared" si="9"/>
        <v>64.321849850630443</v>
      </c>
      <c r="Q128" s="422">
        <f t="shared" si="9"/>
        <v>71.864306481820634</v>
      </c>
      <c r="R128" s="422">
        <f t="shared" si="9"/>
        <v>78.892515548909387</v>
      </c>
      <c r="S128" s="422">
        <f t="shared" si="9"/>
        <v>85.936743267269563</v>
      </c>
      <c r="T128" s="422">
        <f t="shared" si="9"/>
        <v>91.427293256455073</v>
      </c>
      <c r="U128" s="422">
        <f t="shared" si="9"/>
        <v>95.454508267200865</v>
      </c>
      <c r="V128" s="423">
        <f t="shared" si="9"/>
        <v>97.943068043915801</v>
      </c>
      <c r="W128" s="423">
        <f t="shared" si="9"/>
        <v>99.497934547862144</v>
      </c>
      <c r="X128" s="423">
        <f t="shared" si="9"/>
        <v>98.69864865365335</v>
      </c>
      <c r="Y128" s="423">
        <f t="shared" si="9"/>
        <v>97.286564986117298</v>
      </c>
      <c r="Z128" s="423">
        <f t="shared" si="9"/>
        <v>95.873562284919046</v>
      </c>
      <c r="AA128" s="423">
        <f t="shared" si="9"/>
        <v>93.779374605994576</v>
      </c>
    </row>
    <row r="129" spans="1:27" ht="15" thickTop="1" x14ac:dyDescent="0.3">
      <c r="A129"/>
      <c r="B129"/>
      <c r="C129" s="395"/>
      <c r="D129" s="395"/>
      <c r="E129" s="395"/>
      <c r="F129" s="395"/>
      <c r="G129" s="395"/>
      <c r="H129" s="395"/>
      <c r="I129" s="395"/>
      <c r="J129" s="395"/>
      <c r="K129" s="395"/>
      <c r="L129" s="395"/>
      <c r="M129" s="395"/>
      <c r="N129" s="395"/>
      <c r="O129" s="395"/>
      <c r="P129" s="395"/>
      <c r="Q129" s="395"/>
      <c r="R129" s="395"/>
      <c r="S129" s="395"/>
      <c r="T129" s="395"/>
      <c r="U129" s="395"/>
      <c r="V129" s="395"/>
      <c r="W129" s="395"/>
      <c r="X129" s="395"/>
      <c r="Y129" s="395"/>
      <c r="Z129" s="395"/>
      <c r="AA129" s="395"/>
    </row>
    <row r="130" spans="1:27" ht="26.4" x14ac:dyDescent="0.3">
      <c r="A130" s="401" t="s">
        <v>762</v>
      </c>
      <c r="B130" s="413" t="s">
        <v>763</v>
      </c>
      <c r="C130" s="813" t="s">
        <v>753</v>
      </c>
      <c r="D130" s="813"/>
      <c r="E130" s="813"/>
      <c r="F130" s="813"/>
      <c r="G130" s="813"/>
      <c r="H130" s="813"/>
      <c r="I130" s="813"/>
      <c r="J130" s="813"/>
      <c r="K130" s="813"/>
      <c r="L130" s="813"/>
      <c r="M130" s="813"/>
      <c r="N130" s="813"/>
      <c r="O130" s="813"/>
      <c r="P130" s="813"/>
      <c r="Q130" s="813"/>
      <c r="R130" s="813"/>
      <c r="S130" s="813"/>
      <c r="T130" s="813"/>
      <c r="U130" s="813"/>
      <c r="V130" s="813"/>
      <c r="W130" s="813"/>
      <c r="X130" s="813"/>
      <c r="Y130" s="813"/>
      <c r="Z130" s="813"/>
      <c r="AA130" s="813"/>
    </row>
    <row r="131" spans="1:27" x14ac:dyDescent="0.3">
      <c r="A131" s="386">
        <v>1</v>
      </c>
      <c r="B131" s="387" t="s">
        <v>739</v>
      </c>
      <c r="C131" s="414">
        <v>6.028186829125497E-3</v>
      </c>
      <c r="D131" s="414">
        <v>4.8976240946601657E-3</v>
      </c>
      <c r="E131" s="414">
        <v>4.9017778389888926E-3</v>
      </c>
      <c r="F131" s="414">
        <v>4.9833230006758244E-3</v>
      </c>
      <c r="G131" s="414">
        <v>4.3955387346450159E-3</v>
      </c>
      <c r="H131" s="414">
        <v>8.1264035235778E-3</v>
      </c>
      <c r="I131" s="414">
        <v>4.3948877591992392E-3</v>
      </c>
      <c r="J131" s="415">
        <v>4.1856621280065229E-5</v>
      </c>
      <c r="K131" s="416">
        <v>4.3275912444600529E-5</v>
      </c>
      <c r="L131" s="414">
        <v>2.1860970805930068E-5</v>
      </c>
      <c r="M131" s="414">
        <v>4.3529180670847208E-7</v>
      </c>
      <c r="N131" s="415">
        <v>2.3472660199226785E-7</v>
      </c>
      <c r="O131" s="416">
        <v>1.1657075466124941E-7</v>
      </c>
      <c r="P131" s="414">
        <v>7.7396229885273349E-9</v>
      </c>
      <c r="Q131" s="414">
        <v>4.9949563764841682E-10</v>
      </c>
      <c r="R131" s="414">
        <v>5.0813707853503675E-11</v>
      </c>
      <c r="S131" s="414">
        <v>2.6742162129367939E-12</v>
      </c>
      <c r="T131" s="414">
        <v>2.7966889258109719E-13</v>
      </c>
      <c r="U131" s="415">
        <v>1.8815274774277679E-13</v>
      </c>
      <c r="V131" s="416">
        <v>1.3983671760062334E-13</v>
      </c>
      <c r="W131" s="414">
        <v>1.0615559127276804E-13</v>
      </c>
      <c r="X131" s="414">
        <v>6.7935912734900083E-14</v>
      </c>
      <c r="Y131" s="414">
        <v>5.4430555795068561E-14</v>
      </c>
      <c r="Z131" s="414">
        <v>4.424427130395037E-14</v>
      </c>
      <c r="AA131" s="414">
        <v>3.105332718613159E-14</v>
      </c>
    </row>
    <row r="132" spans="1:27" x14ac:dyDescent="0.3">
      <c r="A132" s="386">
        <v>2</v>
      </c>
      <c r="B132" s="387" t="s">
        <v>740</v>
      </c>
      <c r="C132" s="417">
        <v>0.32551927131574515</v>
      </c>
      <c r="D132" s="417">
        <v>0.5391138024412766</v>
      </c>
      <c r="E132" s="417">
        <v>0.49636095487583459</v>
      </c>
      <c r="F132" s="417">
        <v>0.46971974156429203</v>
      </c>
      <c r="G132" s="417">
        <v>0.56029104968846954</v>
      </c>
      <c r="H132" s="417">
        <v>0.62523275424126223</v>
      </c>
      <c r="I132" s="417">
        <v>0.72541629956971887</v>
      </c>
      <c r="J132" s="418">
        <v>0.9505072057050088</v>
      </c>
      <c r="K132" s="419">
        <v>1.0002426224086489</v>
      </c>
      <c r="L132" s="417">
        <v>1.0254221887316526</v>
      </c>
      <c r="M132" s="417">
        <v>1.0362301298237133</v>
      </c>
      <c r="N132" s="418">
        <v>1.0460444353373906</v>
      </c>
      <c r="O132" s="419">
        <v>1.0212284541445411</v>
      </c>
      <c r="P132" s="417">
        <v>0.97056805970238158</v>
      </c>
      <c r="Q132" s="417">
        <v>0.90549708486700753</v>
      </c>
      <c r="R132" s="417">
        <v>0.83031457443114498</v>
      </c>
      <c r="S132" s="417">
        <v>0.76372637403456645</v>
      </c>
      <c r="T132" s="417">
        <v>0.70283615064106675</v>
      </c>
      <c r="U132" s="418">
        <v>0.64481186140488433</v>
      </c>
      <c r="V132" s="419">
        <v>0.58935401431009582</v>
      </c>
      <c r="W132" s="417">
        <v>0.53605093672389847</v>
      </c>
      <c r="X132" s="417">
        <v>0.48486107468360534</v>
      </c>
      <c r="Y132" s="417">
        <v>0.43604027509367421</v>
      </c>
      <c r="Z132" s="417">
        <v>0.3899339097769749</v>
      </c>
      <c r="AA132" s="417">
        <v>0.34613398946271007</v>
      </c>
    </row>
    <row r="133" spans="1:27" x14ac:dyDescent="0.3">
      <c r="A133" s="386">
        <v>3</v>
      </c>
      <c r="B133" s="387" t="s">
        <v>741</v>
      </c>
      <c r="C133" s="417">
        <v>2.9305142133512235E-4</v>
      </c>
      <c r="D133" s="417">
        <v>2.9304209617090195E-4</v>
      </c>
      <c r="E133" s="417">
        <v>2.0937294099134535E-4</v>
      </c>
      <c r="F133" s="417">
        <v>4.1869821852834955E-5</v>
      </c>
      <c r="G133" s="417">
        <v>8.4194297709104629E-5</v>
      </c>
      <c r="H133" s="417">
        <v>2.3486069090576686E-3</v>
      </c>
      <c r="I133" s="417">
        <v>3.2037928407989981E-3</v>
      </c>
      <c r="J133" s="418">
        <v>9.3020232495948998E-3</v>
      </c>
      <c r="K133" s="419">
        <v>1.4859565089876445E-2</v>
      </c>
      <c r="L133" s="417">
        <v>2.4682634099924092E-2</v>
      </c>
      <c r="M133" s="417">
        <v>4.0266649539609171E-2</v>
      </c>
      <c r="N133" s="418">
        <v>6.745119203802373E-2</v>
      </c>
      <c r="O133" s="419">
        <v>0.10373206687523273</v>
      </c>
      <c r="P133" s="417">
        <v>0.13702497851133649</v>
      </c>
      <c r="Q133" s="417">
        <v>0.16127938773555567</v>
      </c>
      <c r="R133" s="417">
        <v>0.17653575400691021</v>
      </c>
      <c r="S133" s="417">
        <v>0.18249362563624696</v>
      </c>
      <c r="T133" s="417">
        <v>0.18143069862137171</v>
      </c>
      <c r="U133" s="418">
        <v>0.17909455348415917</v>
      </c>
      <c r="V133" s="419">
        <v>0.17782541385516612</v>
      </c>
      <c r="W133" s="417">
        <v>0.17681637257208405</v>
      </c>
      <c r="X133" s="417">
        <v>0.17524629833644167</v>
      </c>
      <c r="Y133" s="417">
        <v>0.17258689597976487</v>
      </c>
      <c r="Z133" s="417">
        <v>0.16848293980617279</v>
      </c>
      <c r="AA133" s="417">
        <v>0.16345696397447357</v>
      </c>
    </row>
    <row r="134" spans="1:27" x14ac:dyDescent="0.3">
      <c r="A134" s="386">
        <v>4</v>
      </c>
      <c r="B134" s="387" t="s">
        <v>326</v>
      </c>
      <c r="C134" s="417">
        <v>0</v>
      </c>
      <c r="D134" s="417">
        <v>0</v>
      </c>
      <c r="E134" s="417">
        <v>0</v>
      </c>
      <c r="F134" s="417">
        <v>0</v>
      </c>
      <c r="G134" s="417">
        <v>0</v>
      </c>
      <c r="H134" s="417">
        <v>0</v>
      </c>
      <c r="I134" s="417">
        <v>0</v>
      </c>
      <c r="J134" s="418">
        <v>0</v>
      </c>
      <c r="K134" s="419">
        <v>0</v>
      </c>
      <c r="L134" s="417">
        <v>0</v>
      </c>
      <c r="M134" s="417">
        <v>0</v>
      </c>
      <c r="N134" s="418">
        <v>3.7507734558366185E-5</v>
      </c>
      <c r="O134" s="419">
        <v>6.1364511488905097E-4</v>
      </c>
      <c r="P134" s="417">
        <v>4.0418268309948147E-3</v>
      </c>
      <c r="Q134" s="417">
        <v>2.2397702159010737E-2</v>
      </c>
      <c r="R134" s="417">
        <v>5.3904797648960688E-2</v>
      </c>
      <c r="S134" s="417">
        <v>8.4431832871607368E-2</v>
      </c>
      <c r="T134" s="417">
        <v>0.1121294936342936</v>
      </c>
      <c r="U134" s="418">
        <v>0.13696953200193293</v>
      </c>
      <c r="V134" s="419">
        <v>0.15649350822846941</v>
      </c>
      <c r="W134" s="417">
        <v>0.17157787414244224</v>
      </c>
      <c r="X134" s="417">
        <v>0.18278337259482125</v>
      </c>
      <c r="Y134" s="417">
        <v>0.19071854322302939</v>
      </c>
      <c r="Z134" s="417">
        <v>0.19653308427470231</v>
      </c>
      <c r="AA134" s="417">
        <v>0.20061050155066251</v>
      </c>
    </row>
    <row r="135" spans="1:27" ht="15" thickBot="1" x14ac:dyDescent="0.35">
      <c r="A135" s="395"/>
      <c r="B135" s="396" t="s">
        <v>690</v>
      </c>
      <c r="C135" s="420">
        <f t="shared" ref="C135:AA135" si="10">SUM(C131:C134)</f>
        <v>0.33184050956620575</v>
      </c>
      <c r="D135" s="420">
        <f t="shared" si="10"/>
        <v>0.54430446863210769</v>
      </c>
      <c r="E135" s="420">
        <f t="shared" si="10"/>
        <v>0.50147210565581479</v>
      </c>
      <c r="F135" s="420">
        <f t="shared" si="10"/>
        <v>0.47474493438682069</v>
      </c>
      <c r="G135" s="420">
        <f t="shared" si="10"/>
        <v>0.56477078272082371</v>
      </c>
      <c r="H135" s="420">
        <f t="shared" si="10"/>
        <v>0.63570776467389778</v>
      </c>
      <c r="I135" s="420">
        <f t="shared" si="10"/>
        <v>0.73301498016971711</v>
      </c>
      <c r="J135" s="420">
        <f t="shared" si="10"/>
        <v>0.95985108557588383</v>
      </c>
      <c r="K135" s="421">
        <f t="shared" si="10"/>
        <v>1.01514546341097</v>
      </c>
      <c r="L135" s="421">
        <f t="shared" si="10"/>
        <v>1.0501266838023826</v>
      </c>
      <c r="M135" s="421">
        <f t="shared" si="10"/>
        <v>1.076497214655129</v>
      </c>
      <c r="N135" s="421">
        <f t="shared" si="10"/>
        <v>1.1135333698365746</v>
      </c>
      <c r="O135" s="422">
        <f t="shared" si="10"/>
        <v>1.1255742827054176</v>
      </c>
      <c r="P135" s="422">
        <f t="shared" si="10"/>
        <v>1.1116348727843357</v>
      </c>
      <c r="Q135" s="422">
        <f t="shared" si="10"/>
        <v>1.0891741752610695</v>
      </c>
      <c r="R135" s="422">
        <f t="shared" si="10"/>
        <v>1.0607551261378294</v>
      </c>
      <c r="S135" s="422">
        <f t="shared" si="10"/>
        <v>1.0306518325450948</v>
      </c>
      <c r="T135" s="422">
        <f t="shared" si="10"/>
        <v>0.99639634289701173</v>
      </c>
      <c r="U135" s="422">
        <f t="shared" si="10"/>
        <v>0.96087594689116462</v>
      </c>
      <c r="V135" s="423">
        <f t="shared" si="10"/>
        <v>0.92367293639387127</v>
      </c>
      <c r="W135" s="423">
        <f t="shared" si="10"/>
        <v>0.88444518343853096</v>
      </c>
      <c r="X135" s="423">
        <f t="shared" si="10"/>
        <v>0.84289074561493627</v>
      </c>
      <c r="Y135" s="423">
        <f t="shared" si="10"/>
        <v>0.7993457142965229</v>
      </c>
      <c r="Z135" s="423">
        <f t="shared" si="10"/>
        <v>0.75494993385789422</v>
      </c>
      <c r="AA135" s="423">
        <f t="shared" si="10"/>
        <v>0.71020145498787723</v>
      </c>
    </row>
    <row r="136" spans="1:27" ht="15" thickTop="1" x14ac:dyDescent="0.3">
      <c r="A136"/>
      <c r="B136"/>
      <c r="C136" s="395"/>
      <c r="D136" s="395"/>
      <c r="E136" s="395"/>
      <c r="F136" s="395"/>
      <c r="G136" s="395"/>
      <c r="H136" s="395"/>
      <c r="I136" s="395"/>
      <c r="J136" s="395"/>
      <c r="K136" s="395"/>
      <c r="L136" s="395"/>
      <c r="M136" s="395"/>
      <c r="N136" s="395"/>
      <c r="O136" s="395"/>
      <c r="P136" s="395"/>
      <c r="Q136" s="395"/>
      <c r="R136" s="395"/>
      <c r="S136" s="395"/>
      <c r="T136" s="395"/>
      <c r="U136" s="395"/>
      <c r="V136" s="395"/>
      <c r="W136" s="395"/>
      <c r="X136" s="395"/>
      <c r="Y136" s="395"/>
      <c r="Z136" s="395"/>
      <c r="AA136" s="395"/>
    </row>
    <row r="137" spans="1:27" ht="26.4" x14ac:dyDescent="0.3">
      <c r="A137" s="401" t="s">
        <v>764</v>
      </c>
      <c r="B137" s="413" t="s">
        <v>765</v>
      </c>
      <c r="C137" s="813" t="s">
        <v>753</v>
      </c>
      <c r="D137" s="813"/>
      <c r="E137" s="813"/>
      <c r="F137" s="813"/>
      <c r="G137" s="813"/>
      <c r="H137" s="813"/>
      <c r="I137" s="813"/>
      <c r="J137" s="813"/>
      <c r="K137" s="813"/>
      <c r="L137" s="813"/>
      <c r="M137" s="813"/>
      <c r="N137" s="813"/>
      <c r="O137" s="813"/>
      <c r="P137" s="813"/>
      <c r="Q137" s="813"/>
      <c r="R137" s="813"/>
      <c r="S137" s="813"/>
      <c r="T137" s="813"/>
      <c r="U137" s="813"/>
      <c r="V137" s="813"/>
      <c r="W137" s="813"/>
      <c r="X137" s="813"/>
      <c r="Y137" s="813"/>
      <c r="Z137" s="813"/>
      <c r="AA137" s="813"/>
    </row>
    <row r="138" spans="1:27" x14ac:dyDescent="0.3">
      <c r="A138" s="386">
        <v>1</v>
      </c>
      <c r="B138" s="387" t="s">
        <v>739</v>
      </c>
      <c r="C138" s="414">
        <v>0.11869025104646937</v>
      </c>
      <c r="D138" s="414">
        <v>0.106347621875153</v>
      </c>
      <c r="E138" s="414">
        <v>5.628780965688332E-2</v>
      </c>
      <c r="F138" s="414">
        <v>2.7959183193944581E-2</v>
      </c>
      <c r="G138" s="414">
        <v>1.8459159540541378E-2</v>
      </c>
      <c r="H138" s="414">
        <v>1.7534248833762082E-2</v>
      </c>
      <c r="I138" s="414">
        <v>1.5814247201171642E-2</v>
      </c>
      <c r="J138" s="415">
        <v>1.2590008279646287E-2</v>
      </c>
      <c r="K138" s="416">
        <v>1.904982195008971E-6</v>
      </c>
      <c r="L138" s="414">
        <v>8.6006901059248478E-7</v>
      </c>
      <c r="M138" s="414">
        <v>1.2754072250021364E-10</v>
      </c>
      <c r="N138" s="415">
        <v>3.8700000626010423E-11</v>
      </c>
      <c r="O138" s="416">
        <v>1.586477392207389E-11</v>
      </c>
      <c r="P138" s="414">
        <v>1.4528295334864588E-13</v>
      </c>
      <c r="Q138" s="414">
        <v>7.7272570921380852E-16</v>
      </c>
      <c r="R138" s="414">
        <v>1.4482804389132343E-18</v>
      </c>
      <c r="S138" s="414">
        <v>4.7565130046709095E-22</v>
      </c>
      <c r="T138" s="414">
        <v>1.33712409154888E-26</v>
      </c>
      <c r="U138" s="415">
        <v>3.863722369860867E-28</v>
      </c>
      <c r="V138" s="416">
        <v>1.2571511861744148E-29</v>
      </c>
      <c r="W138" s="414">
        <v>4.8254952062153634E-31</v>
      </c>
      <c r="X138" s="414">
        <v>1.7189486489262797E-32</v>
      </c>
      <c r="Y138" s="414">
        <v>6.7168486338144931E-34</v>
      </c>
      <c r="Z138" s="414">
        <v>3.0536240535812019E-35</v>
      </c>
      <c r="AA138" s="414">
        <v>1.5829034303198667E-36</v>
      </c>
    </row>
    <row r="139" spans="1:27" x14ac:dyDescent="0.3">
      <c r="A139" s="386">
        <v>2</v>
      </c>
      <c r="B139" s="387" t="s">
        <v>740</v>
      </c>
      <c r="C139" s="417">
        <v>0.32905529785095505</v>
      </c>
      <c r="D139" s="417">
        <v>0.33189269691155099</v>
      </c>
      <c r="E139" s="417">
        <v>0.27512544165525904</v>
      </c>
      <c r="F139" s="417">
        <v>0.25064490377034143</v>
      </c>
      <c r="G139" s="417">
        <v>0.25093208291901153</v>
      </c>
      <c r="H139" s="417">
        <v>0.24181308580205887</v>
      </c>
      <c r="I139" s="417">
        <v>0.22168674313730324</v>
      </c>
      <c r="J139" s="418">
        <v>0.23780184256912087</v>
      </c>
      <c r="K139" s="419">
        <v>0.2880491254900871</v>
      </c>
      <c r="L139" s="417">
        <v>0.29497342636680096</v>
      </c>
      <c r="M139" s="417">
        <v>0.26599003625920059</v>
      </c>
      <c r="N139" s="418">
        <v>0.22986413742323736</v>
      </c>
      <c r="O139" s="419">
        <v>0.19785845081860995</v>
      </c>
      <c r="P139" s="417">
        <v>0.17450247966441174</v>
      </c>
      <c r="Q139" s="417">
        <v>0.15669294163334654</v>
      </c>
      <c r="R139" s="417">
        <v>0.13374348821913673</v>
      </c>
      <c r="S139" s="417">
        <v>0.11231143105305663</v>
      </c>
      <c r="T139" s="417">
        <v>9.2490296529991883E-2</v>
      </c>
      <c r="U139" s="418">
        <v>7.4804494658373993E-2</v>
      </c>
      <c r="V139" s="419">
        <v>5.8651872764037688E-2</v>
      </c>
      <c r="W139" s="417">
        <v>4.3612536892444952E-2</v>
      </c>
      <c r="X139" s="417">
        <v>3.0936321194234707E-2</v>
      </c>
      <c r="Y139" s="417">
        <v>2.3017368039531923E-2</v>
      </c>
      <c r="Z139" s="417">
        <v>1.6622796240074834E-2</v>
      </c>
      <c r="AA139" s="417">
        <v>1.0585264827924294E-2</v>
      </c>
    </row>
    <row r="140" spans="1:27" x14ac:dyDescent="0.3">
      <c r="A140" s="386">
        <v>3</v>
      </c>
      <c r="B140" s="387" t="s">
        <v>741</v>
      </c>
      <c r="C140" s="417">
        <v>0</v>
      </c>
      <c r="D140" s="417">
        <v>0</v>
      </c>
      <c r="E140" s="417">
        <v>0</v>
      </c>
      <c r="F140" s="417">
        <v>0</v>
      </c>
      <c r="G140" s="417">
        <v>0</v>
      </c>
      <c r="H140" s="417">
        <v>0</v>
      </c>
      <c r="I140" s="417">
        <v>0</v>
      </c>
      <c r="J140" s="418">
        <v>0</v>
      </c>
      <c r="K140" s="419">
        <v>9.369674012486426E-7</v>
      </c>
      <c r="L140" s="417">
        <v>3.9943289126362495E-6</v>
      </c>
      <c r="M140" s="417">
        <v>5.9987139557928226E-6</v>
      </c>
      <c r="N140" s="418">
        <v>8.0610802321474109E-6</v>
      </c>
      <c r="O140" s="419">
        <v>1.4749357766174546E-5</v>
      </c>
      <c r="P140" s="417">
        <v>1.5090982033374127E-5</v>
      </c>
      <c r="Q140" s="417">
        <v>1.3995460174197739E-5</v>
      </c>
      <c r="R140" s="417">
        <v>5.5443925091025816E-10</v>
      </c>
      <c r="S140" s="417">
        <v>1.8830472792180269E-10</v>
      </c>
      <c r="T140" s="417">
        <v>4.035263193747203E-11</v>
      </c>
      <c r="U140" s="418">
        <v>2.5987779755922179E-11</v>
      </c>
      <c r="V140" s="419">
        <v>1.513924401799255E-11</v>
      </c>
      <c r="W140" s="417">
        <v>7.8957767399178702E-12</v>
      </c>
      <c r="X140" s="417">
        <v>4.5276357853315285E-12</v>
      </c>
      <c r="Y140" s="417">
        <v>2.8812096189217514E-12</v>
      </c>
      <c r="Z140" s="417">
        <v>1.9222761010135539E-12</v>
      </c>
      <c r="AA140" s="417">
        <v>1.3061440321733838E-12</v>
      </c>
    </row>
    <row r="141" spans="1:27" x14ac:dyDescent="0.3">
      <c r="A141" s="386">
        <v>4</v>
      </c>
      <c r="B141" s="387" t="s">
        <v>754</v>
      </c>
      <c r="C141" s="417">
        <v>0.24422446491633684</v>
      </c>
      <c r="D141" s="417">
        <v>0.28470351495140428</v>
      </c>
      <c r="E141" s="417">
        <v>0.52152287928319807</v>
      </c>
      <c r="F141" s="417">
        <v>0.4042733952936341</v>
      </c>
      <c r="G141" s="417">
        <v>0.39943016324174424</v>
      </c>
      <c r="H141" s="417">
        <v>0.45670283831803909</v>
      </c>
      <c r="I141" s="417">
        <v>0.47951747742308237</v>
      </c>
      <c r="J141" s="418">
        <v>0.53048104723334222</v>
      </c>
      <c r="K141" s="419">
        <v>0.52623759313480323</v>
      </c>
      <c r="L141" s="417">
        <v>0.54041233902729036</v>
      </c>
      <c r="M141" s="417">
        <v>0.60134771642098572</v>
      </c>
      <c r="N141" s="418">
        <v>0.66046697092292284</v>
      </c>
      <c r="O141" s="419">
        <v>0.71312607692376107</v>
      </c>
      <c r="P141" s="417">
        <v>0.7488587227434701</v>
      </c>
      <c r="Q141" s="417">
        <v>0.77603710845346974</v>
      </c>
      <c r="R141" s="417">
        <v>0.79680027570294021</v>
      </c>
      <c r="S141" s="417">
        <v>0.80250543679093689</v>
      </c>
      <c r="T141" s="417">
        <v>0.80550398949114899</v>
      </c>
      <c r="U141" s="418">
        <v>0.80228527881210665</v>
      </c>
      <c r="V141" s="419">
        <v>0.80017469216719195</v>
      </c>
      <c r="W141" s="417">
        <v>0.80339524560020192</v>
      </c>
      <c r="X141" s="417">
        <v>0.80928442875470374</v>
      </c>
      <c r="Y141" s="417">
        <v>0.81390563641446978</v>
      </c>
      <c r="Z141" s="417">
        <v>0.81554703870930778</v>
      </c>
      <c r="AA141" s="417">
        <v>0.81330707787569578</v>
      </c>
    </row>
    <row r="142" spans="1:27" x14ac:dyDescent="0.3">
      <c r="A142" s="386">
        <v>5</v>
      </c>
      <c r="B142" s="387" t="s">
        <v>326</v>
      </c>
      <c r="C142" s="417">
        <v>0</v>
      </c>
      <c r="D142" s="417">
        <v>0</v>
      </c>
      <c r="E142" s="417">
        <v>0</v>
      </c>
      <c r="F142" s="417">
        <v>0</v>
      </c>
      <c r="G142" s="417">
        <v>0</v>
      </c>
      <c r="H142" s="417">
        <v>0</v>
      </c>
      <c r="I142" s="417">
        <v>0</v>
      </c>
      <c r="J142" s="418">
        <v>0</v>
      </c>
      <c r="K142" s="419">
        <v>0</v>
      </c>
      <c r="L142" s="417">
        <v>0</v>
      </c>
      <c r="M142" s="417">
        <v>0</v>
      </c>
      <c r="N142" s="418">
        <v>0</v>
      </c>
      <c r="O142" s="419">
        <v>1.379458235122592E-3</v>
      </c>
      <c r="P142" s="417">
        <v>1.2402078323683109E-2</v>
      </c>
      <c r="Q142" s="417">
        <v>3.8703916865736467E-2</v>
      </c>
      <c r="R142" s="417">
        <v>6.4855015980521111E-2</v>
      </c>
      <c r="S142" s="417">
        <v>8.6173489542830356E-2</v>
      </c>
      <c r="T142" s="417">
        <v>0.10529572382610471</v>
      </c>
      <c r="U142" s="418">
        <v>0.11778499435821391</v>
      </c>
      <c r="V142" s="419">
        <v>0.12128942203220186</v>
      </c>
      <c r="W142" s="417">
        <v>0.11932987706380069</v>
      </c>
      <c r="X142" s="417">
        <v>0.11392163844973198</v>
      </c>
      <c r="Y142" s="417">
        <v>0.10542847249540267</v>
      </c>
      <c r="Z142" s="417">
        <v>9.6253283969223238E-2</v>
      </c>
      <c r="AA142" s="417">
        <v>8.7336223815450378E-2</v>
      </c>
    </row>
    <row r="143" spans="1:27" ht="15" thickBot="1" x14ac:dyDescent="0.35">
      <c r="A143" s="395"/>
      <c r="B143" s="396" t="s">
        <v>690</v>
      </c>
      <c r="C143" s="420">
        <f t="shared" ref="C143:AA143" si="11">SUM(C138:C142)</f>
        <v>0.69197001381376122</v>
      </c>
      <c r="D143" s="420">
        <f t="shared" si="11"/>
        <v>0.72294383373810822</v>
      </c>
      <c r="E143" s="420">
        <f t="shared" si="11"/>
        <v>0.85293613059534046</v>
      </c>
      <c r="F143" s="420">
        <f t="shared" si="11"/>
        <v>0.68287748225792011</v>
      </c>
      <c r="G143" s="420">
        <f t="shared" si="11"/>
        <v>0.66882140570129711</v>
      </c>
      <c r="H143" s="420">
        <f t="shared" si="11"/>
        <v>0.71605017295385998</v>
      </c>
      <c r="I143" s="420">
        <f t="shared" si="11"/>
        <v>0.7170184677615572</v>
      </c>
      <c r="J143" s="420">
        <f t="shared" si="11"/>
        <v>0.78087289808210936</v>
      </c>
      <c r="K143" s="421">
        <f t="shared" si="11"/>
        <v>0.81428956057448654</v>
      </c>
      <c r="L143" s="421">
        <f t="shared" si="11"/>
        <v>0.83539061979201445</v>
      </c>
      <c r="M143" s="421">
        <f t="shared" si="11"/>
        <v>0.86734375152168286</v>
      </c>
      <c r="N143" s="421">
        <f t="shared" si="11"/>
        <v>0.89033916946509239</v>
      </c>
      <c r="O143" s="422">
        <f t="shared" si="11"/>
        <v>0.91237873535112468</v>
      </c>
      <c r="P143" s="422">
        <f t="shared" si="11"/>
        <v>0.93577837171374356</v>
      </c>
      <c r="Q143" s="422">
        <f t="shared" si="11"/>
        <v>0.97144796241272779</v>
      </c>
      <c r="R143" s="422">
        <f t="shared" si="11"/>
        <v>0.99539878045703734</v>
      </c>
      <c r="S143" s="422">
        <f t="shared" si="11"/>
        <v>1.0009903575751287</v>
      </c>
      <c r="T143" s="422">
        <f t="shared" si="11"/>
        <v>1.0032900098875983</v>
      </c>
      <c r="U143" s="422">
        <f t="shared" si="11"/>
        <v>0.99487476785468232</v>
      </c>
      <c r="V143" s="423">
        <f t="shared" si="11"/>
        <v>0.98011598697857072</v>
      </c>
      <c r="W143" s="423">
        <f t="shared" si="11"/>
        <v>0.96633765956434337</v>
      </c>
      <c r="X143" s="423">
        <f t="shared" si="11"/>
        <v>0.95414238840319809</v>
      </c>
      <c r="Y143" s="423">
        <f t="shared" si="11"/>
        <v>0.9423514769522856</v>
      </c>
      <c r="Z143" s="423">
        <f t="shared" si="11"/>
        <v>0.9284231189205282</v>
      </c>
      <c r="AA143" s="423">
        <f t="shared" si="11"/>
        <v>0.91122856652037654</v>
      </c>
    </row>
    <row r="144" spans="1:27" ht="15" thickTop="1" x14ac:dyDescent="0.3">
      <c r="A144"/>
      <c r="B144"/>
      <c r="C144" s="395"/>
      <c r="D144" s="395"/>
      <c r="E144" s="395"/>
      <c r="F144" s="395"/>
      <c r="G144" s="395"/>
      <c r="H144" s="395"/>
      <c r="I144" s="395"/>
      <c r="J144" s="395"/>
      <c r="K144" s="395"/>
      <c r="L144" s="395"/>
      <c r="M144" s="395"/>
      <c r="N144" s="395"/>
      <c r="O144" s="395"/>
      <c r="P144" s="395"/>
      <c r="Q144" s="395"/>
      <c r="R144" s="395"/>
      <c r="S144" s="395"/>
      <c r="T144" s="395"/>
      <c r="U144" s="395"/>
      <c r="V144" s="395"/>
      <c r="W144" s="395"/>
      <c r="X144" s="395"/>
      <c r="Y144" s="395"/>
      <c r="Z144" s="395"/>
      <c r="AA144" s="395"/>
    </row>
    <row r="145" spans="1:27" ht="26.4" x14ac:dyDescent="0.3">
      <c r="A145" s="401" t="s">
        <v>766</v>
      </c>
      <c r="B145" s="413" t="s">
        <v>767</v>
      </c>
      <c r="C145" s="813" t="s">
        <v>753</v>
      </c>
      <c r="D145" s="813"/>
      <c r="E145" s="813"/>
      <c r="F145" s="813"/>
      <c r="G145" s="813"/>
      <c r="H145" s="813"/>
      <c r="I145" s="813"/>
      <c r="J145" s="813"/>
      <c r="K145" s="813"/>
      <c r="L145" s="813"/>
      <c r="M145" s="813"/>
      <c r="N145" s="813"/>
      <c r="O145" s="813"/>
      <c r="P145" s="813"/>
      <c r="Q145" s="813"/>
      <c r="R145" s="813"/>
      <c r="S145" s="813"/>
      <c r="T145" s="813"/>
      <c r="U145" s="813"/>
      <c r="V145" s="813"/>
      <c r="W145" s="813"/>
      <c r="X145" s="813"/>
      <c r="Y145" s="813"/>
      <c r="Z145" s="813"/>
      <c r="AA145" s="813"/>
    </row>
    <row r="146" spans="1:27" x14ac:dyDescent="0.3">
      <c r="A146" s="386">
        <v>1</v>
      </c>
      <c r="B146" s="387" t="s">
        <v>740</v>
      </c>
      <c r="C146" s="414">
        <v>23.934620010662151</v>
      </c>
      <c r="D146" s="414">
        <v>24.911644797058884</v>
      </c>
      <c r="E146" s="414">
        <v>27.863819268731479</v>
      </c>
      <c r="F146" s="414">
        <v>30.858836938817383</v>
      </c>
      <c r="G146" s="414">
        <v>34.908520994923563</v>
      </c>
      <c r="H146" s="414">
        <v>39.463304059082311</v>
      </c>
      <c r="I146" s="414">
        <v>44.389505349715186</v>
      </c>
      <c r="J146" s="415">
        <v>48.739237434474227</v>
      </c>
      <c r="K146" s="416">
        <v>52.240294122486816</v>
      </c>
      <c r="L146" s="414">
        <v>52.997683971271684</v>
      </c>
      <c r="M146" s="414">
        <v>46.358666420863713</v>
      </c>
      <c r="N146" s="415">
        <v>43.599868361159977</v>
      </c>
      <c r="O146" s="416">
        <v>39.368958153894937</v>
      </c>
      <c r="P146" s="414">
        <v>33.898744016957686</v>
      </c>
      <c r="Q146" s="414">
        <v>28.810555884561989</v>
      </c>
      <c r="R146" s="414">
        <v>24.68010401964316</v>
      </c>
      <c r="S146" s="414">
        <v>19.673580486709096</v>
      </c>
      <c r="T146" s="414">
        <v>12.935773328185492</v>
      </c>
      <c r="U146" s="415">
        <v>7.1026493473051673</v>
      </c>
      <c r="V146" s="416">
        <v>5.3957977366158847</v>
      </c>
      <c r="W146" s="414">
        <v>4.3262136246540024</v>
      </c>
      <c r="X146" s="414">
        <v>3.5586761684612127</v>
      </c>
      <c r="Y146" s="414">
        <v>3.1076131721744504</v>
      </c>
      <c r="Z146" s="414">
        <v>2.7884233118912727</v>
      </c>
      <c r="AA146" s="414">
        <v>2.5677004607955647</v>
      </c>
    </row>
    <row r="147" spans="1:27" x14ac:dyDescent="0.3">
      <c r="A147" s="386">
        <v>2</v>
      </c>
      <c r="B147" s="387" t="s">
        <v>741</v>
      </c>
      <c r="C147" s="417">
        <v>0.21016679004654104</v>
      </c>
      <c r="D147" s="417">
        <v>0.35287378122174579</v>
      </c>
      <c r="E147" s="417">
        <v>0.36637971184768686</v>
      </c>
      <c r="F147" s="417">
        <v>0.44780792731647373</v>
      </c>
      <c r="G147" s="417">
        <v>0.68320688875093727</v>
      </c>
      <c r="H147" s="417">
        <v>1.0757621833288229</v>
      </c>
      <c r="I147" s="417">
        <v>1.609473345401284</v>
      </c>
      <c r="J147" s="418">
        <v>2.0439595195433591</v>
      </c>
      <c r="K147" s="419">
        <v>2.3012366913480458</v>
      </c>
      <c r="L147" s="417">
        <v>1.8798730591372386</v>
      </c>
      <c r="M147" s="417">
        <v>1.5343728963265766</v>
      </c>
      <c r="N147" s="418">
        <v>1.5532685403020541</v>
      </c>
      <c r="O147" s="419">
        <v>1.4589790002952123</v>
      </c>
      <c r="P147" s="417">
        <v>0.89493796133759451</v>
      </c>
      <c r="Q147" s="417">
        <v>0.46480733922921136</v>
      </c>
      <c r="R147" s="417">
        <v>0.31772310619695371</v>
      </c>
      <c r="S147" s="417">
        <v>0.22430197887743139</v>
      </c>
      <c r="T147" s="417">
        <v>0.17577609817542342</v>
      </c>
      <c r="U147" s="418">
        <v>0.12937919599532005</v>
      </c>
      <c r="V147" s="419">
        <v>0.11966792686857505</v>
      </c>
      <c r="W147" s="417">
        <v>0.12555978078050603</v>
      </c>
      <c r="X147" s="417">
        <v>0.12642584382361047</v>
      </c>
      <c r="Y147" s="417">
        <v>0.12546513859448563</v>
      </c>
      <c r="Z147" s="417">
        <v>0.1241940220338444</v>
      </c>
      <c r="AA147" s="417">
        <v>0.12480286040750924</v>
      </c>
    </row>
    <row r="148" spans="1:27" x14ac:dyDescent="0.3">
      <c r="A148" s="386">
        <v>3</v>
      </c>
      <c r="B148" s="387" t="s">
        <v>754</v>
      </c>
      <c r="C148" s="417">
        <v>0</v>
      </c>
      <c r="D148" s="417">
        <v>0</v>
      </c>
      <c r="E148" s="417">
        <v>5.1544682547038992E-3</v>
      </c>
      <c r="F148" s="417">
        <v>4.6942343223941741E-3</v>
      </c>
      <c r="G148" s="417">
        <v>5.0710225572754113E-3</v>
      </c>
      <c r="H148" s="417">
        <v>6.6573440941737672E-2</v>
      </c>
      <c r="I148" s="417">
        <v>0.29074034197699589</v>
      </c>
      <c r="J148" s="418">
        <v>0.44391622886192356</v>
      </c>
      <c r="K148" s="419">
        <v>0.59093290076118621</v>
      </c>
      <c r="L148" s="417">
        <v>1.8059081905861258</v>
      </c>
      <c r="M148" s="417">
        <v>3.8915862757763597</v>
      </c>
      <c r="N148" s="418">
        <v>6.1421209518075823</v>
      </c>
      <c r="O148" s="419">
        <v>8.867593182265054</v>
      </c>
      <c r="P148" s="417">
        <v>12.508824539972014</v>
      </c>
      <c r="Q148" s="417">
        <v>17.000387040248771</v>
      </c>
      <c r="R148" s="417">
        <v>20.836153798282357</v>
      </c>
      <c r="S148" s="417">
        <v>25.184810564657813</v>
      </c>
      <c r="T148" s="417">
        <v>30.375393705971405</v>
      </c>
      <c r="U148" s="418">
        <v>35.796441696250042</v>
      </c>
      <c r="V148" s="419">
        <v>37.088851794057419</v>
      </c>
      <c r="W148" s="417">
        <v>37.582369682451017</v>
      </c>
      <c r="X148" s="417">
        <v>37.901165603320919</v>
      </c>
      <c r="Y148" s="417">
        <v>37.922722108531083</v>
      </c>
      <c r="Z148" s="417">
        <v>37.674668368864829</v>
      </c>
      <c r="AA148" s="417">
        <v>37.202242253771836</v>
      </c>
    </row>
    <row r="149" spans="1:27" x14ac:dyDescent="0.3">
      <c r="A149" s="386">
        <v>4</v>
      </c>
      <c r="B149" s="387" t="s">
        <v>326</v>
      </c>
      <c r="C149" s="417">
        <v>0</v>
      </c>
      <c r="D149" s="417">
        <v>0</v>
      </c>
      <c r="E149" s="417">
        <v>0</v>
      </c>
      <c r="F149" s="417">
        <v>0</v>
      </c>
      <c r="G149" s="417">
        <v>0</v>
      </c>
      <c r="H149" s="417">
        <v>0</v>
      </c>
      <c r="I149" s="417">
        <v>0</v>
      </c>
      <c r="J149" s="418">
        <v>0</v>
      </c>
      <c r="K149" s="419">
        <v>5.5551416693038497E-3</v>
      </c>
      <c r="L149" s="417">
        <v>2.5098940778497274E-2</v>
      </c>
      <c r="M149" s="417">
        <v>9.198883036838329E-2</v>
      </c>
      <c r="N149" s="418">
        <v>0.21485872211306653</v>
      </c>
      <c r="O149" s="419">
        <v>0.42633519039647083</v>
      </c>
      <c r="P149" s="417">
        <v>0.75526174806529878</v>
      </c>
      <c r="Q149" s="417">
        <v>1.1975141937673055</v>
      </c>
      <c r="R149" s="417">
        <v>1.7414158787164966</v>
      </c>
      <c r="S149" s="417">
        <v>2.4854932772423561</v>
      </c>
      <c r="T149" s="417">
        <v>3.4106189766589519</v>
      </c>
      <c r="U149" s="418">
        <v>4.4812630861531053</v>
      </c>
      <c r="V149" s="419">
        <v>5.0842324704747934</v>
      </c>
      <c r="W149" s="417">
        <v>5.60816690169524</v>
      </c>
      <c r="X149" s="417">
        <v>6.1478687942076586</v>
      </c>
      <c r="Y149" s="417">
        <v>6.6960875619203684</v>
      </c>
      <c r="Z149" s="417">
        <v>7.2981847397676214</v>
      </c>
      <c r="AA149" s="417">
        <v>7.9748830034617439</v>
      </c>
    </row>
    <row r="150" spans="1:27" ht="15" thickBot="1" x14ac:dyDescent="0.35">
      <c r="A150" s="395"/>
      <c r="B150" s="396" t="s">
        <v>690</v>
      </c>
      <c r="C150" s="420">
        <f t="shared" ref="C150:AA150" si="12">SUM(C146:C149)</f>
        <v>24.14478680070869</v>
      </c>
      <c r="D150" s="420">
        <f t="shared" si="12"/>
        <v>25.264518578280629</v>
      </c>
      <c r="E150" s="420">
        <f t="shared" si="12"/>
        <v>28.235353448833873</v>
      </c>
      <c r="F150" s="420">
        <f t="shared" si="12"/>
        <v>31.311339100456252</v>
      </c>
      <c r="G150" s="420">
        <f t="shared" si="12"/>
        <v>35.596798906231776</v>
      </c>
      <c r="H150" s="420">
        <f t="shared" si="12"/>
        <v>40.605639683352869</v>
      </c>
      <c r="I150" s="420">
        <f t="shared" si="12"/>
        <v>46.289719037093469</v>
      </c>
      <c r="J150" s="420">
        <f t="shared" si="12"/>
        <v>51.227113182879506</v>
      </c>
      <c r="K150" s="421">
        <f t="shared" si="12"/>
        <v>55.138018856265354</v>
      </c>
      <c r="L150" s="421">
        <f t="shared" si="12"/>
        <v>56.708564161773545</v>
      </c>
      <c r="M150" s="421">
        <f t="shared" si="12"/>
        <v>51.876614423335035</v>
      </c>
      <c r="N150" s="421">
        <f t="shared" si="12"/>
        <v>51.510116575382682</v>
      </c>
      <c r="O150" s="422">
        <f t="shared" si="12"/>
        <v>50.121865526851678</v>
      </c>
      <c r="P150" s="422">
        <f t="shared" si="12"/>
        <v>48.057768266332594</v>
      </c>
      <c r="Q150" s="422">
        <f t="shared" si="12"/>
        <v>47.473264457807275</v>
      </c>
      <c r="R150" s="422">
        <f t="shared" si="12"/>
        <v>47.575396802838966</v>
      </c>
      <c r="S150" s="422">
        <f t="shared" si="12"/>
        <v>47.568186307486698</v>
      </c>
      <c r="T150" s="422">
        <f t="shared" si="12"/>
        <v>46.897562108991274</v>
      </c>
      <c r="U150" s="422">
        <f t="shared" si="12"/>
        <v>47.509733325703635</v>
      </c>
      <c r="V150" s="423">
        <f t="shared" si="12"/>
        <v>47.688549928016677</v>
      </c>
      <c r="W150" s="423">
        <f t="shared" si="12"/>
        <v>47.642309989580767</v>
      </c>
      <c r="X150" s="423">
        <f t="shared" si="12"/>
        <v>47.734136409813402</v>
      </c>
      <c r="Y150" s="423">
        <f t="shared" si="12"/>
        <v>47.851887981220386</v>
      </c>
      <c r="Z150" s="423">
        <f t="shared" si="12"/>
        <v>47.885470442557569</v>
      </c>
      <c r="AA150" s="423">
        <f t="shared" si="12"/>
        <v>47.869628578436654</v>
      </c>
    </row>
    <row r="151" spans="1:27" ht="15" thickTop="1" x14ac:dyDescent="0.3">
      <c r="A151"/>
      <c r="B151"/>
      <c r="C151" s="395"/>
      <c r="D151" s="395"/>
      <c r="E151" s="395"/>
      <c r="F151" s="395"/>
      <c r="G151" s="395"/>
      <c r="H151" s="395"/>
      <c r="I151" s="395"/>
      <c r="J151" s="395"/>
      <c r="K151" s="395"/>
      <c r="L151" s="395"/>
      <c r="M151" s="395"/>
      <c r="N151" s="395"/>
      <c r="O151" s="395"/>
      <c r="P151" s="395"/>
      <c r="Q151" s="395"/>
      <c r="R151" s="395"/>
      <c r="S151" s="395"/>
      <c r="T151" s="395"/>
      <c r="U151" s="395"/>
      <c r="V151" s="395"/>
      <c r="W151" s="395"/>
      <c r="X151" s="395"/>
      <c r="Y151" s="395"/>
      <c r="Z151" s="395"/>
      <c r="AA151" s="395"/>
    </row>
    <row r="152" spans="1:27" ht="26.4" x14ac:dyDescent="0.3">
      <c r="A152" s="401" t="s">
        <v>768</v>
      </c>
      <c r="B152" s="413" t="s">
        <v>769</v>
      </c>
      <c r="C152" s="813" t="s">
        <v>753</v>
      </c>
      <c r="D152" s="813"/>
      <c r="E152" s="813"/>
      <c r="F152" s="813"/>
      <c r="G152" s="813"/>
      <c r="H152" s="813"/>
      <c r="I152" s="813"/>
      <c r="J152" s="813"/>
      <c r="K152" s="813"/>
      <c r="L152" s="813"/>
      <c r="M152" s="813"/>
      <c r="N152" s="813"/>
      <c r="O152" s="813"/>
      <c r="P152" s="813"/>
      <c r="Q152" s="813"/>
      <c r="R152" s="813"/>
      <c r="S152" s="813"/>
      <c r="T152" s="813"/>
      <c r="U152" s="813"/>
      <c r="V152" s="813"/>
      <c r="W152" s="813"/>
      <c r="X152" s="813"/>
      <c r="Y152" s="813"/>
      <c r="Z152" s="813"/>
      <c r="AA152" s="813"/>
    </row>
    <row r="153" spans="1:27" x14ac:dyDescent="0.3">
      <c r="A153" s="386">
        <v>1</v>
      </c>
      <c r="B153" s="387" t="s">
        <v>740</v>
      </c>
      <c r="C153" s="414">
        <v>4.842660204119106</v>
      </c>
      <c r="D153" s="414">
        <v>5.3154213177900278</v>
      </c>
      <c r="E153" s="414">
        <v>6.2018847964617789</v>
      </c>
      <c r="F153" s="414">
        <v>6.3056328970888122</v>
      </c>
      <c r="G153" s="414">
        <v>7.497225003342554</v>
      </c>
      <c r="H153" s="414">
        <v>8.1351454583579841</v>
      </c>
      <c r="I153" s="414">
        <v>8.3537498162853367</v>
      </c>
      <c r="J153" s="415">
        <v>9.6770159655464099</v>
      </c>
      <c r="K153" s="416">
        <v>9.9193812900981424</v>
      </c>
      <c r="L153" s="414">
        <v>10.846175791603477</v>
      </c>
      <c r="M153" s="414">
        <v>11.383067797074727</v>
      </c>
      <c r="N153" s="415">
        <v>13.285499307229868</v>
      </c>
      <c r="O153" s="416">
        <v>15.454038708180033</v>
      </c>
      <c r="P153" s="414">
        <v>17.584360686073872</v>
      </c>
      <c r="Q153" s="414">
        <v>19.966099565254957</v>
      </c>
      <c r="R153" s="414">
        <v>21.778049117809587</v>
      </c>
      <c r="S153" s="414">
        <v>23.76781149827389</v>
      </c>
      <c r="T153" s="414">
        <v>25.51510398340417</v>
      </c>
      <c r="U153" s="415">
        <v>27.164925845358947</v>
      </c>
      <c r="V153" s="416">
        <v>28.445938848331465</v>
      </c>
      <c r="W153" s="414">
        <v>29.289512015847123</v>
      </c>
      <c r="X153" s="414">
        <v>29.703701511528205</v>
      </c>
      <c r="Y153" s="414">
        <v>29.68271079593713</v>
      </c>
      <c r="Z153" s="414">
        <v>29.216545198973815</v>
      </c>
      <c r="AA153" s="414">
        <v>28.320152516230785</v>
      </c>
    </row>
    <row r="154" spans="1:27" x14ac:dyDescent="0.3">
      <c r="A154" s="386">
        <v>2</v>
      </c>
      <c r="B154" s="387" t="s">
        <v>326</v>
      </c>
      <c r="C154" s="417">
        <v>0</v>
      </c>
      <c r="D154" s="417">
        <v>0</v>
      </c>
      <c r="E154" s="417">
        <v>0</v>
      </c>
      <c r="F154" s="417">
        <v>0</v>
      </c>
      <c r="G154" s="417">
        <v>0</v>
      </c>
      <c r="H154" s="417">
        <v>0</v>
      </c>
      <c r="I154" s="417">
        <v>0</v>
      </c>
      <c r="J154" s="418">
        <v>0</v>
      </c>
      <c r="K154" s="419">
        <v>0</v>
      </c>
      <c r="L154" s="417">
        <v>0</v>
      </c>
      <c r="M154" s="417">
        <v>0</v>
      </c>
      <c r="N154" s="418">
        <v>0</v>
      </c>
      <c r="O154" s="419">
        <v>0</v>
      </c>
      <c r="P154" s="417">
        <v>0</v>
      </c>
      <c r="Q154" s="417">
        <v>5.2596003288400216E-2</v>
      </c>
      <c r="R154" s="417">
        <v>0.37208768505134504</v>
      </c>
      <c r="S154" s="417">
        <v>0.74093826942677898</v>
      </c>
      <c r="T154" s="417">
        <v>1.1884167834735049</v>
      </c>
      <c r="U154" s="418">
        <v>1.8401385751947763</v>
      </c>
      <c r="V154" s="419">
        <v>2.6389312988146405</v>
      </c>
      <c r="W154" s="417">
        <v>3.6465484528437146</v>
      </c>
      <c r="X154" s="417">
        <v>4.9591985773054112</v>
      </c>
      <c r="Y154" s="417">
        <v>6.661766587601206</v>
      </c>
      <c r="Z154" s="417">
        <v>8.7565912055623958</v>
      </c>
      <c r="AA154" s="417">
        <v>11.156778597071344</v>
      </c>
    </row>
    <row r="155" spans="1:27" ht="15" thickBot="1" x14ac:dyDescent="0.35">
      <c r="A155" s="395"/>
      <c r="B155" s="396" t="s">
        <v>690</v>
      </c>
      <c r="C155" s="420">
        <f t="shared" ref="C155:AA155" si="13">SUM(C153:C154)</f>
        <v>4.842660204119106</v>
      </c>
      <c r="D155" s="420">
        <f t="shared" si="13"/>
        <v>5.3154213177900278</v>
      </c>
      <c r="E155" s="420">
        <f t="shared" si="13"/>
        <v>6.2018847964617789</v>
      </c>
      <c r="F155" s="420">
        <f t="shared" si="13"/>
        <v>6.3056328970888122</v>
      </c>
      <c r="G155" s="420">
        <f t="shared" si="13"/>
        <v>7.497225003342554</v>
      </c>
      <c r="H155" s="420">
        <f t="shared" si="13"/>
        <v>8.1351454583579841</v>
      </c>
      <c r="I155" s="420">
        <f t="shared" si="13"/>
        <v>8.3537498162853367</v>
      </c>
      <c r="J155" s="420">
        <f t="shared" si="13"/>
        <v>9.6770159655464099</v>
      </c>
      <c r="K155" s="421">
        <f t="shared" si="13"/>
        <v>9.9193812900981424</v>
      </c>
      <c r="L155" s="421">
        <f t="shared" si="13"/>
        <v>10.846175791603477</v>
      </c>
      <c r="M155" s="421">
        <f t="shared" si="13"/>
        <v>11.383067797074727</v>
      </c>
      <c r="N155" s="421">
        <f t="shared" si="13"/>
        <v>13.285499307229868</v>
      </c>
      <c r="O155" s="422">
        <f t="shared" si="13"/>
        <v>15.454038708180033</v>
      </c>
      <c r="P155" s="422">
        <f t="shared" si="13"/>
        <v>17.584360686073872</v>
      </c>
      <c r="Q155" s="422">
        <f t="shared" si="13"/>
        <v>20.018695568543357</v>
      </c>
      <c r="R155" s="422">
        <f t="shared" si="13"/>
        <v>22.150136802860931</v>
      </c>
      <c r="S155" s="422">
        <f t="shared" si="13"/>
        <v>24.508749767700667</v>
      </c>
      <c r="T155" s="422">
        <f t="shared" si="13"/>
        <v>26.703520766877674</v>
      </c>
      <c r="U155" s="422">
        <f t="shared" si="13"/>
        <v>29.005064420553722</v>
      </c>
      <c r="V155" s="423">
        <f t="shared" si="13"/>
        <v>31.084870147146106</v>
      </c>
      <c r="W155" s="423">
        <f t="shared" si="13"/>
        <v>32.93606046869084</v>
      </c>
      <c r="X155" s="423">
        <f t="shared" si="13"/>
        <v>34.662900088833617</v>
      </c>
      <c r="Y155" s="423">
        <f t="shared" si="13"/>
        <v>36.344477383538333</v>
      </c>
      <c r="Z155" s="423">
        <f t="shared" si="13"/>
        <v>37.973136404536213</v>
      </c>
      <c r="AA155" s="423">
        <f t="shared" si="13"/>
        <v>39.476931113302129</v>
      </c>
    </row>
    <row r="156" spans="1:27" ht="15" thickTop="1" x14ac:dyDescent="0.3">
      <c r="A156"/>
      <c r="B156"/>
      <c r="C156" s="395"/>
      <c r="D156" s="395"/>
      <c r="E156" s="395"/>
      <c r="F156" s="395"/>
      <c r="G156" s="395"/>
      <c r="H156" s="395"/>
      <c r="I156" s="395"/>
      <c r="J156" s="395"/>
      <c r="K156" s="395"/>
      <c r="L156" s="395"/>
      <c r="M156" s="395"/>
      <c r="N156" s="395"/>
      <c r="O156" s="395"/>
      <c r="P156" s="395"/>
      <c r="Q156" s="395"/>
      <c r="R156" s="395"/>
      <c r="S156" s="395"/>
      <c r="T156" s="395"/>
      <c r="U156" s="395"/>
      <c r="V156" s="395"/>
      <c r="W156" s="395"/>
      <c r="X156" s="395"/>
      <c r="Y156" s="395"/>
      <c r="Z156" s="395"/>
      <c r="AA156" s="395"/>
    </row>
    <row r="157" spans="1:27" ht="26.4" x14ac:dyDescent="0.3">
      <c r="A157" s="401" t="s">
        <v>770</v>
      </c>
      <c r="B157" s="413" t="s">
        <v>771</v>
      </c>
      <c r="C157" s="813" t="s">
        <v>753</v>
      </c>
      <c r="D157" s="813"/>
      <c r="E157" s="813"/>
      <c r="F157" s="813"/>
      <c r="G157" s="813"/>
      <c r="H157" s="813"/>
      <c r="I157" s="813"/>
      <c r="J157" s="813"/>
      <c r="K157" s="813"/>
      <c r="L157" s="813"/>
      <c r="M157" s="813"/>
      <c r="N157" s="813"/>
      <c r="O157" s="813"/>
      <c r="P157" s="813"/>
      <c r="Q157" s="813"/>
      <c r="R157" s="813"/>
      <c r="S157" s="813"/>
      <c r="T157" s="813"/>
      <c r="U157" s="813"/>
      <c r="V157" s="813"/>
      <c r="W157" s="813"/>
      <c r="X157" s="813"/>
      <c r="Y157" s="813"/>
      <c r="Z157" s="813"/>
      <c r="AA157" s="813"/>
    </row>
    <row r="158" spans="1:27" x14ac:dyDescent="0.3">
      <c r="A158" s="386">
        <v>1</v>
      </c>
      <c r="B158" s="387" t="s">
        <v>739</v>
      </c>
      <c r="C158" s="414">
        <v>0</v>
      </c>
      <c r="D158" s="414">
        <v>0</v>
      </c>
      <c r="E158" s="414">
        <v>0</v>
      </c>
      <c r="F158" s="414">
        <v>0</v>
      </c>
      <c r="G158" s="414">
        <v>0</v>
      </c>
      <c r="H158" s="414">
        <v>0</v>
      </c>
      <c r="I158" s="414">
        <v>0</v>
      </c>
      <c r="J158" s="415">
        <v>0</v>
      </c>
      <c r="K158" s="416">
        <v>1.6454539390623804E-3</v>
      </c>
      <c r="L158" s="414">
        <v>1.3905331355105956E-3</v>
      </c>
      <c r="M158" s="414">
        <v>1.1023656243514411E-4</v>
      </c>
      <c r="N158" s="415">
        <v>5.2423062135781183E-5</v>
      </c>
      <c r="O158" s="416">
        <v>2.159006865663529E-5</v>
      </c>
      <c r="P158" s="414">
        <v>3.126166030981217E-6</v>
      </c>
      <c r="Q158" s="414">
        <v>5.3474152292674775E-7</v>
      </c>
      <c r="R158" s="414">
        <v>2.9848862370717982E-7</v>
      </c>
      <c r="S158" s="414">
        <v>7.319263182107527E-7</v>
      </c>
      <c r="T158" s="414">
        <v>6.2295225237729698E-7</v>
      </c>
      <c r="U158" s="415">
        <v>6.7605942026333137E-7</v>
      </c>
      <c r="V158" s="416">
        <v>7.133481769151836E-7</v>
      </c>
      <c r="W158" s="414">
        <v>7.8541361994785961E-7</v>
      </c>
      <c r="X158" s="414">
        <v>8.7645308231698646E-7</v>
      </c>
      <c r="Y158" s="414">
        <v>9.8792328090469435E-7</v>
      </c>
      <c r="Z158" s="414">
        <v>1.1008321785639204E-6</v>
      </c>
      <c r="AA158" s="414">
        <v>1.2220011470929957E-6</v>
      </c>
    </row>
    <row r="159" spans="1:27" x14ac:dyDescent="0.3">
      <c r="A159" s="386">
        <v>2</v>
      </c>
      <c r="B159" s="387" t="s">
        <v>740</v>
      </c>
      <c r="C159" s="417">
        <v>5.7900101207546344</v>
      </c>
      <c r="D159" s="417">
        <v>5.027924958165614</v>
      </c>
      <c r="E159" s="417">
        <v>5.9071383310712493</v>
      </c>
      <c r="F159" s="417">
        <v>6.6394235430622652</v>
      </c>
      <c r="G159" s="417">
        <v>7.7706858539468326</v>
      </c>
      <c r="H159" s="417">
        <v>8.8445302423530023</v>
      </c>
      <c r="I159" s="417">
        <v>9.9709012143887854</v>
      </c>
      <c r="J159" s="418">
        <v>9.997499470525069</v>
      </c>
      <c r="K159" s="419">
        <v>10.469411858177443</v>
      </c>
      <c r="L159" s="417">
        <v>11.139597502654006</v>
      </c>
      <c r="M159" s="417">
        <v>11.632820477127728</v>
      </c>
      <c r="N159" s="418">
        <v>12.194412318271612</v>
      </c>
      <c r="O159" s="419">
        <v>12.613441210960778</v>
      </c>
      <c r="P159" s="417">
        <v>12.937917494976613</v>
      </c>
      <c r="Q159" s="417">
        <v>13.179550939805834</v>
      </c>
      <c r="R159" s="417">
        <v>13.193056672250222</v>
      </c>
      <c r="S159" s="417">
        <v>12.83694686336141</v>
      </c>
      <c r="T159" s="417">
        <v>12.290720188021179</v>
      </c>
      <c r="U159" s="418">
        <v>11.804271947955884</v>
      </c>
      <c r="V159" s="419">
        <v>11.370455474793285</v>
      </c>
      <c r="W159" s="417">
        <v>11.005518183754761</v>
      </c>
      <c r="X159" s="417">
        <v>10.707318601312025</v>
      </c>
      <c r="Y159" s="417">
        <v>10.463024415465185</v>
      </c>
      <c r="Z159" s="417">
        <v>10.236948846949675</v>
      </c>
      <c r="AA159" s="417">
        <v>10.014135122844181</v>
      </c>
    </row>
    <row r="160" spans="1:27" x14ac:dyDescent="0.3">
      <c r="A160" s="386">
        <v>3</v>
      </c>
      <c r="B160" s="387" t="s">
        <v>741</v>
      </c>
      <c r="C160" s="417">
        <v>0</v>
      </c>
      <c r="D160" s="417">
        <v>0</v>
      </c>
      <c r="E160" s="417">
        <v>0</v>
      </c>
      <c r="F160" s="417">
        <v>0</v>
      </c>
      <c r="G160" s="417">
        <v>0</v>
      </c>
      <c r="H160" s="417">
        <v>0</v>
      </c>
      <c r="I160" s="417">
        <v>0</v>
      </c>
      <c r="J160" s="418">
        <v>0</v>
      </c>
      <c r="K160" s="419">
        <v>0.15263539546178367</v>
      </c>
      <c r="L160" s="417">
        <v>0.38792470048299782</v>
      </c>
      <c r="M160" s="417">
        <v>0.60615192946623797</v>
      </c>
      <c r="N160" s="418">
        <v>0.84235226247184114</v>
      </c>
      <c r="O160" s="419">
        <v>1.0918405457511706</v>
      </c>
      <c r="P160" s="417">
        <v>1.2941222803665449</v>
      </c>
      <c r="Q160" s="417">
        <v>1.449494561225029</v>
      </c>
      <c r="R160" s="417">
        <v>1.5966911316595982</v>
      </c>
      <c r="S160" s="417">
        <v>1.7334279388384533</v>
      </c>
      <c r="T160" s="417">
        <v>1.828706728701744</v>
      </c>
      <c r="U160" s="418">
        <v>1.9010832534174205</v>
      </c>
      <c r="V160" s="419">
        <v>1.9424171383796092</v>
      </c>
      <c r="W160" s="417">
        <v>1.9668612105951511</v>
      </c>
      <c r="X160" s="417">
        <v>1.9826181364810858</v>
      </c>
      <c r="Y160" s="417">
        <v>1.993777793661244</v>
      </c>
      <c r="Z160" s="417">
        <v>1.9975985093910134</v>
      </c>
      <c r="AA160" s="417">
        <v>1.9961845990539659</v>
      </c>
    </row>
    <row r="161" spans="1:27" x14ac:dyDescent="0.3">
      <c r="A161" s="386">
        <v>4</v>
      </c>
      <c r="B161" s="387" t="s">
        <v>754</v>
      </c>
      <c r="C161" s="417">
        <v>0</v>
      </c>
      <c r="D161" s="417">
        <v>0</v>
      </c>
      <c r="E161" s="417">
        <v>0</v>
      </c>
      <c r="F161" s="417">
        <v>0</v>
      </c>
      <c r="G161" s="417">
        <v>0</v>
      </c>
      <c r="H161" s="417">
        <v>0</v>
      </c>
      <c r="I161" s="417">
        <v>0</v>
      </c>
      <c r="J161" s="418">
        <v>0</v>
      </c>
      <c r="K161" s="419">
        <v>1.534370654042327E-4</v>
      </c>
      <c r="L161" s="417">
        <v>3.7312858688393871E-4</v>
      </c>
      <c r="M161" s="417">
        <v>5.9934200012850907E-4</v>
      </c>
      <c r="N161" s="418">
        <v>7.5436324522101567E-4</v>
      </c>
      <c r="O161" s="419">
        <v>8.0248285495538132E-4</v>
      </c>
      <c r="P161" s="417">
        <v>7.8510587325909765E-4</v>
      </c>
      <c r="Q161" s="417">
        <v>7.3960523459521386E-4</v>
      </c>
      <c r="R161" s="417">
        <v>6.8534830516352716E-4</v>
      </c>
      <c r="S161" s="417">
        <v>6.2848132439922056E-4</v>
      </c>
      <c r="T161" s="417">
        <v>5.8015035033886109E-4</v>
      </c>
      <c r="U161" s="418">
        <v>5.4345869279485818E-4</v>
      </c>
      <c r="V161" s="419">
        <v>5.1400379282614877E-4</v>
      </c>
      <c r="W161" s="417">
        <v>4.9074524952239179E-4</v>
      </c>
      <c r="X161" s="417">
        <v>4.7363706118038254E-4</v>
      </c>
      <c r="Y161" s="417">
        <v>4.6245176987121236E-4</v>
      </c>
      <c r="Z161" s="417">
        <v>4.5426557207679054E-4</v>
      </c>
      <c r="AA161" s="417">
        <v>4.4781736077042616E-4</v>
      </c>
    </row>
    <row r="162" spans="1:27" x14ac:dyDescent="0.3">
      <c r="A162" s="386">
        <v>5</v>
      </c>
      <c r="B162" s="387" t="s">
        <v>326</v>
      </c>
      <c r="C162" s="417">
        <v>0</v>
      </c>
      <c r="D162" s="417">
        <v>0</v>
      </c>
      <c r="E162" s="417">
        <v>0</v>
      </c>
      <c r="F162" s="417">
        <v>0</v>
      </c>
      <c r="G162" s="417">
        <v>0</v>
      </c>
      <c r="H162" s="417">
        <v>0</v>
      </c>
      <c r="I162" s="417">
        <v>0</v>
      </c>
      <c r="J162" s="418">
        <v>0</v>
      </c>
      <c r="K162" s="419">
        <v>0</v>
      </c>
      <c r="L162" s="417">
        <v>0</v>
      </c>
      <c r="M162" s="417">
        <v>0</v>
      </c>
      <c r="N162" s="418">
        <v>2.8168998983238712E-4</v>
      </c>
      <c r="O162" s="419">
        <v>3.783442310265847E-3</v>
      </c>
      <c r="P162" s="417">
        <v>1.5471447867690811E-2</v>
      </c>
      <c r="Q162" s="417">
        <v>5.304344403506691E-2</v>
      </c>
      <c r="R162" s="417">
        <v>0.18000354514911771</v>
      </c>
      <c r="S162" s="417">
        <v>0.5943874729550348</v>
      </c>
      <c r="T162" s="417">
        <v>1.1311325971610584</v>
      </c>
      <c r="U162" s="418">
        <v>1.5678367076453088</v>
      </c>
      <c r="V162" s="419">
        <v>1.9093039108182666</v>
      </c>
      <c r="W162" s="417">
        <v>2.1658878661118361</v>
      </c>
      <c r="X162" s="417">
        <v>2.3550662287633322</v>
      </c>
      <c r="Y162" s="417">
        <v>2.4940684588142705</v>
      </c>
      <c r="Z162" s="417">
        <v>2.5893205642698831</v>
      </c>
      <c r="AA162" s="417">
        <v>2.6503346954059444</v>
      </c>
    </row>
    <row r="163" spans="1:27" ht="15" thickBot="1" x14ac:dyDescent="0.35">
      <c r="A163" s="395"/>
      <c r="B163" s="396" t="s">
        <v>690</v>
      </c>
      <c r="C163" s="420">
        <f t="shared" ref="C163:AA163" si="14">SUM(C158:C162)</f>
        <v>5.7900101207546344</v>
      </c>
      <c r="D163" s="420">
        <f t="shared" si="14"/>
        <v>5.027924958165614</v>
      </c>
      <c r="E163" s="420">
        <f t="shared" si="14"/>
        <v>5.9071383310712493</v>
      </c>
      <c r="F163" s="420">
        <f t="shared" si="14"/>
        <v>6.6394235430622652</v>
      </c>
      <c r="G163" s="420">
        <f t="shared" si="14"/>
        <v>7.7706858539468326</v>
      </c>
      <c r="H163" s="420">
        <f t="shared" si="14"/>
        <v>8.8445302423530023</v>
      </c>
      <c r="I163" s="420">
        <f t="shared" si="14"/>
        <v>9.9709012143887854</v>
      </c>
      <c r="J163" s="420">
        <f t="shared" si="14"/>
        <v>9.997499470525069</v>
      </c>
      <c r="K163" s="421">
        <f t="shared" si="14"/>
        <v>10.623846144643693</v>
      </c>
      <c r="L163" s="421">
        <f t="shared" si="14"/>
        <v>11.529285864859396</v>
      </c>
      <c r="M163" s="421">
        <f t="shared" si="14"/>
        <v>12.23968198515653</v>
      </c>
      <c r="N163" s="421">
        <f t="shared" si="14"/>
        <v>13.037853057040643</v>
      </c>
      <c r="O163" s="422">
        <f t="shared" si="14"/>
        <v>13.709889271945826</v>
      </c>
      <c r="P163" s="422">
        <f t="shared" si="14"/>
        <v>14.248299455250139</v>
      </c>
      <c r="Q163" s="422">
        <f t="shared" si="14"/>
        <v>14.682829085042048</v>
      </c>
      <c r="R163" s="422">
        <f t="shared" si="14"/>
        <v>14.970436995852726</v>
      </c>
      <c r="S163" s="422">
        <f t="shared" si="14"/>
        <v>15.165391488405616</v>
      </c>
      <c r="T163" s="422">
        <f t="shared" si="14"/>
        <v>15.251140287186573</v>
      </c>
      <c r="U163" s="422">
        <f t="shared" si="14"/>
        <v>15.273736043770828</v>
      </c>
      <c r="V163" s="423">
        <f t="shared" si="14"/>
        <v>15.222691241132164</v>
      </c>
      <c r="W163" s="423">
        <f t="shared" si="14"/>
        <v>15.138758791124891</v>
      </c>
      <c r="X163" s="423">
        <f t="shared" si="14"/>
        <v>15.045477480070707</v>
      </c>
      <c r="Y163" s="423">
        <f t="shared" si="14"/>
        <v>14.951334107633851</v>
      </c>
      <c r="Z163" s="423">
        <f t="shared" si="14"/>
        <v>14.824323287014828</v>
      </c>
      <c r="AA163" s="423">
        <f t="shared" si="14"/>
        <v>14.661103456666009</v>
      </c>
    </row>
    <row r="164" spans="1:27" ht="15" thickTop="1" x14ac:dyDescent="0.3">
      <c r="A164"/>
      <c r="B164"/>
      <c r="C164" s="395"/>
      <c r="D164" s="395"/>
      <c r="E164" s="395"/>
      <c r="F164" s="395"/>
      <c r="G164" s="395"/>
      <c r="H164" s="395"/>
      <c r="I164" s="395"/>
      <c r="J164" s="395"/>
      <c r="K164" s="395"/>
      <c r="L164" s="395"/>
      <c r="M164" s="395"/>
      <c r="N164" s="395"/>
      <c r="O164" s="395"/>
      <c r="P164" s="395"/>
      <c r="Q164" s="395"/>
      <c r="R164" s="395"/>
      <c r="S164" s="395"/>
      <c r="T164" s="395"/>
      <c r="U164" s="395"/>
      <c r="V164" s="395"/>
      <c r="W164" s="395"/>
      <c r="X164" s="395"/>
      <c r="Y164" s="395"/>
      <c r="Z164" s="395"/>
      <c r="AA164" s="395"/>
    </row>
    <row r="165" spans="1:27" ht="26.4" x14ac:dyDescent="0.3">
      <c r="A165" s="401" t="s">
        <v>772</v>
      </c>
      <c r="B165" s="413" t="s">
        <v>773</v>
      </c>
      <c r="C165" s="813" t="s">
        <v>753</v>
      </c>
      <c r="D165" s="813"/>
      <c r="E165" s="813"/>
      <c r="F165" s="813"/>
      <c r="G165" s="813"/>
      <c r="H165" s="813"/>
      <c r="I165" s="813"/>
      <c r="J165" s="813"/>
      <c r="K165" s="813"/>
      <c r="L165" s="813"/>
      <c r="M165" s="813"/>
      <c r="N165" s="813"/>
      <c r="O165" s="813"/>
      <c r="P165" s="813"/>
      <c r="Q165" s="813"/>
      <c r="R165" s="813"/>
      <c r="S165" s="813"/>
      <c r="T165" s="813"/>
      <c r="U165" s="813"/>
      <c r="V165" s="813"/>
      <c r="W165" s="813"/>
      <c r="X165" s="813"/>
      <c r="Y165" s="813"/>
      <c r="Z165" s="813"/>
      <c r="AA165" s="813"/>
    </row>
    <row r="166" spans="1:27" x14ac:dyDescent="0.3">
      <c r="A166" s="386">
        <v>1</v>
      </c>
      <c r="B166" s="387" t="s">
        <v>739</v>
      </c>
      <c r="C166" s="414">
        <v>0.85710806877688361</v>
      </c>
      <c r="D166" s="414">
        <v>0.7768069913149882</v>
      </c>
      <c r="E166" s="414">
        <v>0.47230166107185173</v>
      </c>
      <c r="F166" s="414">
        <v>0.24635939905192433</v>
      </c>
      <c r="G166" s="414">
        <v>0.16236732560526732</v>
      </c>
      <c r="H166" s="414">
        <v>0.15403957047904529</v>
      </c>
      <c r="I166" s="414">
        <v>0.12318701134438381</v>
      </c>
      <c r="J166" s="415">
        <v>9.3377921197850697E-2</v>
      </c>
      <c r="K166" s="416">
        <v>8.5665247469710396E-2</v>
      </c>
      <c r="L166" s="414">
        <v>5.4778376073806909E-2</v>
      </c>
      <c r="M166" s="414">
        <v>8.7824393193884718E-3</v>
      </c>
      <c r="N166" s="415">
        <v>5.8994214566614128E-7</v>
      </c>
      <c r="O166" s="416">
        <v>1.9661201579567143E-7</v>
      </c>
      <c r="P166" s="414">
        <v>3.0262236793534967E-8</v>
      </c>
      <c r="Q166" s="414">
        <v>9.3897541026749046E-9</v>
      </c>
      <c r="R166" s="414">
        <v>5.5224525315622402E-9</v>
      </c>
      <c r="S166" s="414">
        <v>3.1761527592292976E-9</v>
      </c>
      <c r="T166" s="414">
        <v>1.4893675217318839E-9</v>
      </c>
      <c r="U166" s="415">
        <v>9.8579425870629854E-10</v>
      </c>
      <c r="V166" s="416">
        <v>7.2950670598719188E-10</v>
      </c>
      <c r="W166" s="414">
        <v>6.1142638798407366E-10</v>
      </c>
      <c r="X166" s="414">
        <v>5.5213824435545906E-10</v>
      </c>
      <c r="Y166" s="414">
        <v>5.2315933335458144E-10</v>
      </c>
      <c r="Z166" s="414">
        <v>5.0845657975989344E-10</v>
      </c>
      <c r="AA166" s="414">
        <v>4.8677909674180874E-10</v>
      </c>
    </row>
    <row r="167" spans="1:27" x14ac:dyDescent="0.3">
      <c r="A167" s="386">
        <v>2</v>
      </c>
      <c r="B167" s="387" t="s">
        <v>740</v>
      </c>
      <c r="C167" s="417">
        <v>1.3060937577593694</v>
      </c>
      <c r="D167" s="417">
        <v>1.1663060775184642</v>
      </c>
      <c r="E167" s="417">
        <v>0.96315625270360727</v>
      </c>
      <c r="F167" s="417">
        <v>0.76545656803764694</v>
      </c>
      <c r="G167" s="417">
        <v>0.87622645882205907</v>
      </c>
      <c r="H167" s="417">
        <v>1.1072820630747977</v>
      </c>
      <c r="I167" s="417">
        <v>0.93649714775107673</v>
      </c>
      <c r="J167" s="418">
        <v>1.0109638603701492</v>
      </c>
      <c r="K167" s="419">
        <v>1.0442109347944917</v>
      </c>
      <c r="L167" s="417">
        <v>1.0785826748286238</v>
      </c>
      <c r="M167" s="417">
        <v>1.0794805099747726</v>
      </c>
      <c r="N167" s="418">
        <v>1.0880367912409876</v>
      </c>
      <c r="O167" s="419">
        <v>1.0853946425792635</v>
      </c>
      <c r="P167" s="417">
        <v>1.0596209675281862</v>
      </c>
      <c r="Q167" s="417">
        <v>0.99981036389938949</v>
      </c>
      <c r="R167" s="417">
        <v>0.90808549521782822</v>
      </c>
      <c r="S167" s="417">
        <v>0.81573880763029849</v>
      </c>
      <c r="T167" s="417">
        <v>0.72122759298708672</v>
      </c>
      <c r="U167" s="418">
        <v>0.6293727137600188</v>
      </c>
      <c r="V167" s="419">
        <v>0.54383213171178502</v>
      </c>
      <c r="W167" s="417">
        <v>0.46450674738328185</v>
      </c>
      <c r="X167" s="417">
        <v>0.38936610338438277</v>
      </c>
      <c r="Y167" s="417">
        <v>0.3166311899203777</v>
      </c>
      <c r="Z167" s="417">
        <v>0.25224834956962078</v>
      </c>
      <c r="AA167" s="417">
        <v>0.18815677187077567</v>
      </c>
    </row>
    <row r="168" spans="1:27" x14ac:dyDescent="0.3">
      <c r="A168" s="386">
        <v>3</v>
      </c>
      <c r="B168" s="387" t="s">
        <v>741</v>
      </c>
      <c r="C168" s="417">
        <v>0</v>
      </c>
      <c r="D168" s="417">
        <v>0</v>
      </c>
      <c r="E168" s="417">
        <v>4.1864445236882327E-5</v>
      </c>
      <c r="F168" s="417">
        <v>4.1865057351700876E-5</v>
      </c>
      <c r="G168" s="417">
        <v>4.1913832512315267E-5</v>
      </c>
      <c r="H168" s="417">
        <v>0</v>
      </c>
      <c r="I168" s="417">
        <v>1.2559709836401856E-4</v>
      </c>
      <c r="J168" s="418">
        <v>8.3732848342329169E-5</v>
      </c>
      <c r="K168" s="419">
        <v>2.777735315945099E-3</v>
      </c>
      <c r="L168" s="417">
        <v>4.5656416137210519E-3</v>
      </c>
      <c r="M168" s="417">
        <v>4.4140326919578851E-3</v>
      </c>
      <c r="N168" s="418">
        <v>3.8206798158013726E-3</v>
      </c>
      <c r="O168" s="419">
        <v>3.1825870568523516E-3</v>
      </c>
      <c r="P168" s="417">
        <v>2.6550731019485381E-3</v>
      </c>
      <c r="Q168" s="417">
        <v>2.2562728804647234E-3</v>
      </c>
      <c r="R168" s="417">
        <v>9.3884195924900846E-8</v>
      </c>
      <c r="S168" s="417">
        <v>5.4085852646692335E-8</v>
      </c>
      <c r="T168" s="417">
        <v>3.0469168519520637E-8</v>
      </c>
      <c r="U168" s="418">
        <v>2.208144878215492E-8</v>
      </c>
      <c r="V168" s="419">
        <v>1.6401258699450862E-8</v>
      </c>
      <c r="W168" s="417">
        <v>1.1751394066890829E-8</v>
      </c>
      <c r="X168" s="417">
        <v>8.262409567499898E-9</v>
      </c>
      <c r="Y168" s="417">
        <v>5.8913260876790142E-9</v>
      </c>
      <c r="Z168" s="417">
        <v>4.1717656402081343E-9</v>
      </c>
      <c r="AA168" s="417">
        <v>2.9728131349195809E-9</v>
      </c>
    </row>
    <row r="169" spans="1:27" x14ac:dyDescent="0.3">
      <c r="A169" s="386">
        <v>4</v>
      </c>
      <c r="B169" s="387" t="s">
        <v>754</v>
      </c>
      <c r="C169" s="417">
        <v>0.32373457171786246</v>
      </c>
      <c r="D169" s="417">
        <v>0.34833344334864347</v>
      </c>
      <c r="E169" s="417">
        <v>0.19771440540899241</v>
      </c>
      <c r="F169" s="417">
        <v>0.25028637436866114</v>
      </c>
      <c r="G169" s="417">
        <v>0.26068687131229928</v>
      </c>
      <c r="H169" s="417">
        <v>0.30966062318563331</v>
      </c>
      <c r="I169" s="417">
        <v>0.37056108628942275</v>
      </c>
      <c r="J169" s="418">
        <v>0.40405661815362398</v>
      </c>
      <c r="K169" s="419">
        <v>0.41933949844503371</v>
      </c>
      <c r="L169" s="417">
        <v>0.42986686580389255</v>
      </c>
      <c r="M169" s="417">
        <v>0.44454216021939713</v>
      </c>
      <c r="N169" s="418">
        <v>0.49286333334420601</v>
      </c>
      <c r="O169" s="419">
        <v>0.56424283638562478</v>
      </c>
      <c r="P169" s="417">
        <v>0.65314606866826419</v>
      </c>
      <c r="Q169" s="417">
        <v>0.74426188097147405</v>
      </c>
      <c r="R169" s="417">
        <v>0.82680137656346664</v>
      </c>
      <c r="S169" s="417">
        <v>0.91283142686211549</v>
      </c>
      <c r="T169" s="417">
        <v>0.9970584513478925</v>
      </c>
      <c r="U169" s="418">
        <v>1.0851407999525431</v>
      </c>
      <c r="V169" s="419">
        <v>1.1762492171356329</v>
      </c>
      <c r="W169" s="417">
        <v>1.2653213981026403</v>
      </c>
      <c r="X169" s="417">
        <v>1.3621051101990658</v>
      </c>
      <c r="Y169" s="417">
        <v>1.4604462401350851</v>
      </c>
      <c r="Z169" s="417">
        <v>1.5568218335525681</v>
      </c>
      <c r="AA169" s="417">
        <v>1.6519230874960622</v>
      </c>
    </row>
    <row r="170" spans="1:27" x14ac:dyDescent="0.3">
      <c r="A170" s="386">
        <v>5</v>
      </c>
      <c r="B170" s="387" t="s">
        <v>326</v>
      </c>
      <c r="C170" s="417">
        <v>0</v>
      </c>
      <c r="D170" s="417">
        <v>0</v>
      </c>
      <c r="E170" s="417">
        <v>0</v>
      </c>
      <c r="F170" s="417">
        <v>0</v>
      </c>
      <c r="G170" s="417">
        <v>0</v>
      </c>
      <c r="H170" s="417">
        <v>0</v>
      </c>
      <c r="I170" s="417">
        <v>0</v>
      </c>
      <c r="J170" s="418">
        <v>0</v>
      </c>
      <c r="K170" s="419">
        <v>0</v>
      </c>
      <c r="L170" s="417">
        <v>0</v>
      </c>
      <c r="M170" s="417">
        <v>0</v>
      </c>
      <c r="N170" s="418">
        <v>0</v>
      </c>
      <c r="O170" s="419">
        <v>1.1295481020037672E-3</v>
      </c>
      <c r="P170" s="417">
        <v>1.6210988958408119E-2</v>
      </c>
      <c r="Q170" s="417">
        <v>7.5445442670291046E-2</v>
      </c>
      <c r="R170" s="417">
        <v>0.15669138901735757</v>
      </c>
      <c r="S170" s="417">
        <v>0.22645226386186187</v>
      </c>
      <c r="T170" s="417">
        <v>0.28929553648489292</v>
      </c>
      <c r="U170" s="418">
        <v>0.35000056352047876</v>
      </c>
      <c r="V170" s="419">
        <v>0.40988632486095067</v>
      </c>
      <c r="W170" s="417">
        <v>0.46915271176028189</v>
      </c>
      <c r="X170" s="417">
        <v>0.52697297235422591</v>
      </c>
      <c r="Y170" s="417">
        <v>0.58338662490728077</v>
      </c>
      <c r="Z170" s="417">
        <v>0.64101176524067149</v>
      </c>
      <c r="AA170" s="417">
        <v>0.70054203723992281</v>
      </c>
    </row>
    <row r="171" spans="1:27" ht="15" thickBot="1" x14ac:dyDescent="0.35">
      <c r="A171" s="395"/>
      <c r="B171" s="396" t="s">
        <v>690</v>
      </c>
      <c r="C171" s="420">
        <f t="shared" ref="C171:AA171" si="15">SUM(C166:C170)</f>
        <v>2.4869363982541155</v>
      </c>
      <c r="D171" s="420">
        <f t="shared" si="15"/>
        <v>2.2914465121820959</v>
      </c>
      <c r="E171" s="420">
        <f t="shared" si="15"/>
        <v>1.6332141836296883</v>
      </c>
      <c r="F171" s="420">
        <f t="shared" si="15"/>
        <v>1.2621442065155841</v>
      </c>
      <c r="G171" s="420">
        <f t="shared" si="15"/>
        <v>1.299322569572138</v>
      </c>
      <c r="H171" s="420">
        <f t="shared" si="15"/>
        <v>1.5709822567394764</v>
      </c>
      <c r="I171" s="420">
        <f t="shared" si="15"/>
        <v>1.4303708424832475</v>
      </c>
      <c r="J171" s="420">
        <f t="shared" si="15"/>
        <v>1.5084821325699662</v>
      </c>
      <c r="K171" s="421">
        <f t="shared" si="15"/>
        <v>1.5519934160251809</v>
      </c>
      <c r="L171" s="421">
        <f t="shared" si="15"/>
        <v>1.5677935583200444</v>
      </c>
      <c r="M171" s="421">
        <f t="shared" si="15"/>
        <v>1.5372191422055161</v>
      </c>
      <c r="N171" s="421">
        <f t="shared" si="15"/>
        <v>1.5847213943431406</v>
      </c>
      <c r="O171" s="422">
        <f t="shared" si="15"/>
        <v>1.65394981073576</v>
      </c>
      <c r="P171" s="422">
        <f t="shared" si="15"/>
        <v>1.7316331285190438</v>
      </c>
      <c r="Q171" s="422">
        <f t="shared" si="15"/>
        <v>1.8217739698113735</v>
      </c>
      <c r="R171" s="422">
        <f t="shared" si="15"/>
        <v>1.8915783602053009</v>
      </c>
      <c r="S171" s="422">
        <f t="shared" si="15"/>
        <v>1.9550225556162812</v>
      </c>
      <c r="T171" s="422">
        <f t="shared" si="15"/>
        <v>2.0075816127784081</v>
      </c>
      <c r="U171" s="422">
        <f t="shared" si="15"/>
        <v>2.0645141003002836</v>
      </c>
      <c r="V171" s="423">
        <f t="shared" si="15"/>
        <v>2.1299676908391341</v>
      </c>
      <c r="W171" s="423">
        <f t="shared" si="15"/>
        <v>2.1989808696090245</v>
      </c>
      <c r="X171" s="423">
        <f t="shared" si="15"/>
        <v>2.2784441947522223</v>
      </c>
      <c r="Y171" s="423">
        <f t="shared" si="15"/>
        <v>2.360464061377229</v>
      </c>
      <c r="Z171" s="423">
        <f t="shared" si="15"/>
        <v>2.4500819530430826</v>
      </c>
      <c r="AA171" s="423">
        <f t="shared" si="15"/>
        <v>2.5406219000663528</v>
      </c>
    </row>
    <row r="172" spans="1:27" ht="15" thickTop="1" x14ac:dyDescent="0.3">
      <c r="A172"/>
      <c r="B172"/>
      <c r="C172" s="395"/>
      <c r="D172" s="395"/>
      <c r="E172" s="395"/>
      <c r="F172" s="395"/>
      <c r="G172" s="395"/>
      <c r="H172" s="395"/>
      <c r="I172" s="395"/>
      <c r="J172" s="395"/>
      <c r="K172" s="395"/>
      <c r="L172" s="395"/>
      <c r="M172" s="395"/>
      <c r="N172" s="395"/>
      <c r="O172" s="395"/>
      <c r="P172" s="395"/>
      <c r="Q172" s="395"/>
      <c r="R172" s="395"/>
      <c r="S172" s="395"/>
      <c r="T172" s="395"/>
      <c r="U172" s="395"/>
      <c r="V172" s="395"/>
      <c r="W172" s="395"/>
      <c r="X172" s="395"/>
      <c r="Y172" s="395"/>
      <c r="Z172" s="395"/>
      <c r="AA172" s="395"/>
    </row>
    <row r="173" spans="1:27" ht="26.4" x14ac:dyDescent="0.3">
      <c r="A173" s="401" t="s">
        <v>774</v>
      </c>
      <c r="B173" s="413" t="s">
        <v>775</v>
      </c>
      <c r="C173" s="813" t="s">
        <v>753</v>
      </c>
      <c r="D173" s="813"/>
      <c r="E173" s="813"/>
      <c r="F173" s="813"/>
      <c r="G173" s="813"/>
      <c r="H173" s="813"/>
      <c r="I173" s="813"/>
      <c r="J173" s="813"/>
      <c r="K173" s="813"/>
      <c r="L173" s="813"/>
      <c r="M173" s="813"/>
      <c r="N173" s="813"/>
      <c r="O173" s="813"/>
      <c r="P173" s="813"/>
      <c r="Q173" s="813"/>
      <c r="R173" s="813"/>
      <c r="S173" s="813"/>
      <c r="T173" s="813"/>
      <c r="U173" s="813"/>
      <c r="V173" s="813"/>
      <c r="W173" s="813"/>
      <c r="X173" s="813"/>
      <c r="Y173" s="813"/>
      <c r="Z173" s="813"/>
      <c r="AA173" s="813"/>
    </row>
    <row r="174" spans="1:27" x14ac:dyDescent="0.3">
      <c r="A174" s="386">
        <v>1</v>
      </c>
      <c r="B174" s="387" t="s">
        <v>740</v>
      </c>
      <c r="C174" s="414">
        <v>12.254740424257383</v>
      </c>
      <c r="D174" s="414">
        <v>13.878382428176453</v>
      </c>
      <c r="E174" s="414">
        <v>18.833890114526135</v>
      </c>
      <c r="F174" s="414">
        <v>21.156618064387033</v>
      </c>
      <c r="G174" s="414">
        <v>24.443032910625</v>
      </c>
      <c r="H174" s="414">
        <v>27.344391933706689</v>
      </c>
      <c r="I174" s="414">
        <v>29.253045308201333</v>
      </c>
      <c r="J174" s="415">
        <v>33.499544813819959</v>
      </c>
      <c r="K174" s="416">
        <v>36.433643373676325</v>
      </c>
      <c r="L174" s="414">
        <v>39.640724438565044</v>
      </c>
      <c r="M174" s="414">
        <v>41.189798354873609</v>
      </c>
      <c r="N174" s="415">
        <v>43.370946309313155</v>
      </c>
      <c r="O174" s="416">
        <v>45.011236368826275</v>
      </c>
      <c r="P174" s="414">
        <v>45.674127110620297</v>
      </c>
      <c r="Q174" s="414">
        <v>45.495176655012536</v>
      </c>
      <c r="R174" s="414">
        <v>44.07019449920611</v>
      </c>
      <c r="S174" s="414">
        <v>41.17738483035108</v>
      </c>
      <c r="T174" s="414">
        <v>36.324214541098975</v>
      </c>
      <c r="U174" s="415">
        <v>29.802333924808657</v>
      </c>
      <c r="V174" s="416">
        <v>22.944797225536519</v>
      </c>
      <c r="W174" s="414">
        <v>18.309122924765212</v>
      </c>
      <c r="X174" s="414">
        <v>15.603862542089914</v>
      </c>
      <c r="Y174" s="414">
        <v>14.127526560962476</v>
      </c>
      <c r="Z174" s="414">
        <v>13.050289718822764</v>
      </c>
      <c r="AA174" s="414">
        <v>11.721965875668596</v>
      </c>
    </row>
    <row r="175" spans="1:27" x14ac:dyDescent="0.3">
      <c r="A175" s="386">
        <v>2</v>
      </c>
      <c r="B175" s="387" t="s">
        <v>741</v>
      </c>
      <c r="C175" s="417">
        <v>4.1823822341674227E-2</v>
      </c>
      <c r="D175" s="417">
        <v>0.11113148115323318</v>
      </c>
      <c r="E175" s="417">
        <v>7.1542443404426476E-2</v>
      </c>
      <c r="F175" s="417">
        <v>4.3032574574031375E-2</v>
      </c>
      <c r="G175" s="417">
        <v>7.4463501238047028E-2</v>
      </c>
      <c r="H175" s="417">
        <v>0.14615043916511097</v>
      </c>
      <c r="I175" s="417">
        <v>0.46966837889662305</v>
      </c>
      <c r="J175" s="418">
        <v>0.77512493038271379</v>
      </c>
      <c r="K175" s="419">
        <v>0.48646661322312024</v>
      </c>
      <c r="L175" s="417">
        <v>0.48835000257129701</v>
      </c>
      <c r="M175" s="417">
        <v>0.42348360429962978</v>
      </c>
      <c r="N175" s="418">
        <v>0.47607276552717798</v>
      </c>
      <c r="O175" s="419">
        <v>0.53399558596543362</v>
      </c>
      <c r="P175" s="417">
        <v>0.61472484360144442</v>
      </c>
      <c r="Q175" s="417">
        <v>0.66217163548396851</v>
      </c>
      <c r="R175" s="417">
        <v>0.59816260621817774</v>
      </c>
      <c r="S175" s="417">
        <v>0.52725666869226906</v>
      </c>
      <c r="T175" s="417">
        <v>0.48139786702573878</v>
      </c>
      <c r="U175" s="418">
        <v>0.51850756584827762</v>
      </c>
      <c r="V175" s="419">
        <v>0.57349541559835271</v>
      </c>
      <c r="W175" s="417">
        <v>0.58765368304045895</v>
      </c>
      <c r="X175" s="417">
        <v>0.5623175809331924</v>
      </c>
      <c r="Y175" s="417">
        <v>0.55957699026712304</v>
      </c>
      <c r="Z175" s="417">
        <v>0.57831339943047699</v>
      </c>
      <c r="AA175" s="417">
        <v>0.60530607158884475</v>
      </c>
    </row>
    <row r="176" spans="1:27" x14ac:dyDescent="0.3">
      <c r="A176" s="386">
        <v>3</v>
      </c>
      <c r="B176" s="387" t="s">
        <v>754</v>
      </c>
      <c r="C176" s="417">
        <v>0</v>
      </c>
      <c r="D176" s="417">
        <v>0</v>
      </c>
      <c r="E176" s="417">
        <v>0</v>
      </c>
      <c r="F176" s="417">
        <v>0</v>
      </c>
      <c r="G176" s="417">
        <v>0</v>
      </c>
      <c r="H176" s="417">
        <v>0</v>
      </c>
      <c r="I176" s="417">
        <v>0</v>
      </c>
      <c r="J176" s="418">
        <v>0</v>
      </c>
      <c r="K176" s="419">
        <v>3.1325016260540843E-2</v>
      </c>
      <c r="L176" s="417">
        <v>0.24493123438181916</v>
      </c>
      <c r="M176" s="417">
        <v>0.73515330630341214</v>
      </c>
      <c r="N176" s="418">
        <v>1.4862874390188523</v>
      </c>
      <c r="O176" s="419">
        <v>2.470261327997727</v>
      </c>
      <c r="P176" s="417">
        <v>4.1961306275480581</v>
      </c>
      <c r="Q176" s="417">
        <v>7.1602645179250439</v>
      </c>
      <c r="R176" s="417">
        <v>11.106165440248859</v>
      </c>
      <c r="S176" s="417">
        <v>16.313238688140604</v>
      </c>
      <c r="T176" s="417">
        <v>22.781480920664585</v>
      </c>
      <c r="U176" s="418">
        <v>30.549960676846638</v>
      </c>
      <c r="V176" s="419">
        <v>37.983956559136878</v>
      </c>
      <c r="W176" s="417">
        <v>42.658245096269759</v>
      </c>
      <c r="X176" s="417">
        <v>45.230791866953368</v>
      </c>
      <c r="Y176" s="417">
        <v>46.370452922200414</v>
      </c>
      <c r="Z176" s="417">
        <v>46.740413604401553</v>
      </c>
      <c r="AA176" s="417">
        <v>46.962706089792498</v>
      </c>
    </row>
    <row r="177" spans="1:27" x14ac:dyDescent="0.3">
      <c r="A177" s="386">
        <v>4</v>
      </c>
      <c r="B177" s="387" t="s">
        <v>326</v>
      </c>
      <c r="C177" s="417">
        <v>0</v>
      </c>
      <c r="D177" s="417">
        <v>0</v>
      </c>
      <c r="E177" s="417">
        <v>0</v>
      </c>
      <c r="F177" s="417">
        <v>0</v>
      </c>
      <c r="G177" s="417">
        <v>0</v>
      </c>
      <c r="H177" s="417">
        <v>0</v>
      </c>
      <c r="I177" s="417">
        <v>0</v>
      </c>
      <c r="J177" s="418">
        <v>0</v>
      </c>
      <c r="K177" s="419">
        <v>6.4999999999999997E-3</v>
      </c>
      <c r="L177" s="417">
        <v>4.0123657418009835E-2</v>
      </c>
      <c r="M177" s="417">
        <v>0.1678310600550737</v>
      </c>
      <c r="N177" s="418">
        <v>0.38349784672932585</v>
      </c>
      <c r="O177" s="419">
        <v>0.73481718431782672</v>
      </c>
      <c r="P177" s="417">
        <v>1.3032806587167896</v>
      </c>
      <c r="Q177" s="417">
        <v>2.080206645981352</v>
      </c>
      <c r="R177" s="417">
        <v>3.2005627397559366</v>
      </c>
      <c r="S177" s="417">
        <v>4.7900202025820882</v>
      </c>
      <c r="T177" s="417">
        <v>6.7184702249884589</v>
      </c>
      <c r="U177" s="418">
        <v>8.844568920224102</v>
      </c>
      <c r="V177" s="419">
        <v>11.158074953688843</v>
      </c>
      <c r="W177" s="417">
        <v>13.568592053924881</v>
      </c>
      <c r="X177" s="417">
        <v>15.816773455993935</v>
      </c>
      <c r="Y177" s="417">
        <v>17.952764966236312</v>
      </c>
      <c r="Z177" s="417">
        <v>20.171685615015914</v>
      </c>
      <c r="AA177" s="417">
        <v>22.539276441923878</v>
      </c>
    </row>
    <row r="178" spans="1:27" ht="15" thickBot="1" x14ac:dyDescent="0.35">
      <c r="A178" s="395"/>
      <c r="B178" s="396" t="s">
        <v>690</v>
      </c>
      <c r="C178" s="420">
        <f t="shared" ref="C178:AA178" si="16">SUM(C174:C177)</f>
        <v>12.296564246599058</v>
      </c>
      <c r="D178" s="420">
        <f t="shared" si="16"/>
        <v>13.989513909329686</v>
      </c>
      <c r="E178" s="420">
        <f t="shared" si="16"/>
        <v>18.90543255793056</v>
      </c>
      <c r="F178" s="420">
        <f t="shared" si="16"/>
        <v>21.199650638961064</v>
      </c>
      <c r="G178" s="420">
        <f t="shared" si="16"/>
        <v>24.517496411863046</v>
      </c>
      <c r="H178" s="420">
        <f t="shared" si="16"/>
        <v>27.490542372871801</v>
      </c>
      <c r="I178" s="420">
        <f t="shared" si="16"/>
        <v>29.722713687097958</v>
      </c>
      <c r="J178" s="420">
        <f t="shared" si="16"/>
        <v>34.274669744202676</v>
      </c>
      <c r="K178" s="421">
        <f t="shared" si="16"/>
        <v>36.957935003159989</v>
      </c>
      <c r="L178" s="421">
        <f t="shared" si="16"/>
        <v>40.414129332936163</v>
      </c>
      <c r="M178" s="421">
        <f t="shared" si="16"/>
        <v>42.516266325531717</v>
      </c>
      <c r="N178" s="421">
        <f t="shared" si="16"/>
        <v>45.716804360588512</v>
      </c>
      <c r="O178" s="422">
        <f t="shared" si="16"/>
        <v>48.750310467107262</v>
      </c>
      <c r="P178" s="422">
        <f t="shared" si="16"/>
        <v>51.788263240486586</v>
      </c>
      <c r="Q178" s="422">
        <f t="shared" si="16"/>
        <v>55.397819454402899</v>
      </c>
      <c r="R178" s="422">
        <f t="shared" si="16"/>
        <v>58.975085285429081</v>
      </c>
      <c r="S178" s="422">
        <f t="shared" si="16"/>
        <v>62.807900389766033</v>
      </c>
      <c r="T178" s="422">
        <f t="shared" si="16"/>
        <v>66.305563553777759</v>
      </c>
      <c r="U178" s="422">
        <f t="shared" si="16"/>
        <v>69.715371087727675</v>
      </c>
      <c r="V178" s="423">
        <f t="shared" si="16"/>
        <v>72.660324153960588</v>
      </c>
      <c r="W178" s="423">
        <f t="shared" si="16"/>
        <v>75.123613758000317</v>
      </c>
      <c r="X178" s="423">
        <f t="shared" si="16"/>
        <v>77.213745445970417</v>
      </c>
      <c r="Y178" s="423">
        <f t="shared" si="16"/>
        <v>79.010321439666328</v>
      </c>
      <c r="Z178" s="423">
        <f t="shared" si="16"/>
        <v>80.540702337670709</v>
      </c>
      <c r="AA178" s="423">
        <f t="shared" si="16"/>
        <v>81.829254478973809</v>
      </c>
    </row>
    <row r="179" spans="1:27" ht="15" thickTop="1" x14ac:dyDescent="0.3">
      <c r="A179"/>
      <c r="B179"/>
      <c r="C179" s="395"/>
      <c r="D179" s="395"/>
      <c r="E179" s="395"/>
      <c r="F179" s="395"/>
      <c r="G179" s="395"/>
      <c r="H179" s="395"/>
      <c r="I179" s="395"/>
      <c r="J179" s="395"/>
      <c r="K179" s="395"/>
      <c r="L179" s="395"/>
      <c r="M179" s="395"/>
      <c r="N179" s="395"/>
      <c r="O179" s="395"/>
      <c r="P179" s="395"/>
      <c r="Q179" s="395"/>
      <c r="R179" s="395"/>
      <c r="S179" s="395"/>
      <c r="T179" s="395"/>
      <c r="U179" s="395"/>
      <c r="V179" s="395"/>
      <c r="W179" s="395"/>
      <c r="X179" s="395"/>
      <c r="Y179" s="395"/>
      <c r="Z179" s="395"/>
      <c r="AA179" s="395"/>
    </row>
    <row r="180" spans="1:27" ht="26.4" x14ac:dyDescent="0.3">
      <c r="A180" s="401" t="s">
        <v>776</v>
      </c>
      <c r="B180" s="413" t="s">
        <v>777</v>
      </c>
      <c r="C180" s="813" t="s">
        <v>753</v>
      </c>
      <c r="D180" s="813"/>
      <c r="E180" s="813"/>
      <c r="F180" s="813"/>
      <c r="G180" s="813"/>
      <c r="H180" s="813"/>
      <c r="I180" s="813"/>
      <c r="J180" s="813"/>
      <c r="K180" s="813"/>
      <c r="L180" s="813"/>
      <c r="M180" s="813"/>
      <c r="N180" s="813"/>
      <c r="O180" s="813"/>
      <c r="P180" s="813"/>
      <c r="Q180" s="813"/>
      <c r="R180" s="813"/>
      <c r="S180" s="813"/>
      <c r="T180" s="813"/>
      <c r="U180" s="813"/>
      <c r="V180" s="813"/>
      <c r="W180" s="813"/>
      <c r="X180" s="813"/>
      <c r="Y180" s="813"/>
      <c r="Z180" s="813"/>
      <c r="AA180" s="813"/>
    </row>
    <row r="181" spans="1:27" x14ac:dyDescent="0.3">
      <c r="A181" s="386">
        <v>1</v>
      </c>
      <c r="B181" s="387" t="s">
        <v>740</v>
      </c>
      <c r="C181" s="414">
        <v>1.0094275981901937</v>
      </c>
      <c r="D181" s="414">
        <v>1.1907087753588452</v>
      </c>
      <c r="E181" s="414">
        <v>1.4328210685919796</v>
      </c>
      <c r="F181" s="414">
        <v>1.6949360175161421</v>
      </c>
      <c r="G181" s="414">
        <v>1.9653068068356569</v>
      </c>
      <c r="H181" s="414">
        <v>2.1193638077475194</v>
      </c>
      <c r="I181" s="414">
        <v>2.0999714230982112</v>
      </c>
      <c r="J181" s="415">
        <v>2.4979250247445979</v>
      </c>
      <c r="K181" s="416">
        <v>2.8478519766535824</v>
      </c>
      <c r="L181" s="414">
        <v>3.0071526710339405</v>
      </c>
      <c r="M181" s="414">
        <v>3.1031756700745259</v>
      </c>
      <c r="N181" s="415">
        <v>3.5042345902858778</v>
      </c>
      <c r="O181" s="416">
        <v>3.9413402243844797</v>
      </c>
      <c r="P181" s="414">
        <v>4.3542334452907685</v>
      </c>
      <c r="Q181" s="414">
        <v>4.802242362517668</v>
      </c>
      <c r="R181" s="414">
        <v>5.1307385898454578</v>
      </c>
      <c r="S181" s="414">
        <v>5.5015912372818203</v>
      </c>
      <c r="T181" s="414">
        <v>5.8175030530192462</v>
      </c>
      <c r="U181" s="415">
        <v>6.0855385834304698</v>
      </c>
      <c r="V181" s="416">
        <v>6.2523548439058843</v>
      </c>
      <c r="W181" s="414">
        <v>6.3143320789083566</v>
      </c>
      <c r="X181" s="414">
        <v>6.2875438639186116</v>
      </c>
      <c r="Y181" s="414">
        <v>6.1832031443819044</v>
      </c>
      <c r="Z181" s="414">
        <v>6.0039207792937761</v>
      </c>
      <c r="AA181" s="414">
        <v>5.7513824877365405</v>
      </c>
    </row>
    <row r="182" spans="1:27" x14ac:dyDescent="0.3">
      <c r="A182" s="386">
        <v>2</v>
      </c>
      <c r="B182" s="387" t="s">
        <v>326</v>
      </c>
      <c r="C182" s="417">
        <v>0</v>
      </c>
      <c r="D182" s="417">
        <v>0</v>
      </c>
      <c r="E182" s="417">
        <v>0</v>
      </c>
      <c r="F182" s="417">
        <v>0</v>
      </c>
      <c r="G182" s="417">
        <v>0</v>
      </c>
      <c r="H182" s="417">
        <v>0</v>
      </c>
      <c r="I182" s="417">
        <v>0</v>
      </c>
      <c r="J182" s="418">
        <v>0</v>
      </c>
      <c r="K182" s="419">
        <v>0</v>
      </c>
      <c r="L182" s="417">
        <v>0</v>
      </c>
      <c r="M182" s="417">
        <v>0</v>
      </c>
      <c r="N182" s="418">
        <v>0</v>
      </c>
      <c r="O182" s="419">
        <v>0</v>
      </c>
      <c r="P182" s="417">
        <v>0</v>
      </c>
      <c r="Q182" s="417">
        <v>1.0381618171698326E-2</v>
      </c>
      <c r="R182" s="417">
        <v>7.0339427191440887E-2</v>
      </c>
      <c r="S182" s="417">
        <v>0.14979966677362666</v>
      </c>
      <c r="T182" s="417">
        <v>0.25540629132910964</v>
      </c>
      <c r="U182" s="418">
        <v>0.40317270993891247</v>
      </c>
      <c r="V182" s="419">
        <v>0.58478540210290564</v>
      </c>
      <c r="W182" s="417">
        <v>0.80838027315310856</v>
      </c>
      <c r="X182" s="417">
        <v>1.0867513409899088</v>
      </c>
      <c r="Y182" s="417">
        <v>1.4324360385058921</v>
      </c>
      <c r="Z182" s="417">
        <v>1.8497644535615976</v>
      </c>
      <c r="AA182" s="417">
        <v>2.3296220918488468</v>
      </c>
    </row>
    <row r="183" spans="1:27" ht="15" thickBot="1" x14ac:dyDescent="0.35">
      <c r="A183" s="395"/>
      <c r="B183" s="396" t="s">
        <v>690</v>
      </c>
      <c r="C183" s="420">
        <f t="shared" ref="C183:AA183" si="17">SUM(C181:C182)</f>
        <v>1.0094275981901937</v>
      </c>
      <c r="D183" s="420">
        <f t="shared" si="17"/>
        <v>1.1907087753588452</v>
      </c>
      <c r="E183" s="420">
        <f t="shared" si="17"/>
        <v>1.4328210685919796</v>
      </c>
      <c r="F183" s="420">
        <f t="shared" si="17"/>
        <v>1.6949360175161421</v>
      </c>
      <c r="G183" s="420">
        <f t="shared" si="17"/>
        <v>1.9653068068356569</v>
      </c>
      <c r="H183" s="420">
        <f t="shared" si="17"/>
        <v>2.1193638077475194</v>
      </c>
      <c r="I183" s="420">
        <f t="shared" si="17"/>
        <v>2.0999714230982112</v>
      </c>
      <c r="J183" s="420">
        <f t="shared" si="17"/>
        <v>2.4979250247445979</v>
      </c>
      <c r="K183" s="421">
        <f t="shared" si="17"/>
        <v>2.8478519766535824</v>
      </c>
      <c r="L183" s="421">
        <f t="shared" si="17"/>
        <v>3.0071526710339405</v>
      </c>
      <c r="M183" s="421">
        <f t="shared" si="17"/>
        <v>3.1031756700745259</v>
      </c>
      <c r="N183" s="421">
        <f t="shared" si="17"/>
        <v>3.5042345902858778</v>
      </c>
      <c r="O183" s="422">
        <f t="shared" si="17"/>
        <v>3.9413402243844797</v>
      </c>
      <c r="P183" s="422">
        <f t="shared" si="17"/>
        <v>4.3542334452907685</v>
      </c>
      <c r="Q183" s="422">
        <f t="shared" si="17"/>
        <v>4.8126239806893665</v>
      </c>
      <c r="R183" s="422">
        <f t="shared" si="17"/>
        <v>5.2010780170368989</v>
      </c>
      <c r="S183" s="422">
        <f t="shared" si="17"/>
        <v>5.6513909040554466</v>
      </c>
      <c r="T183" s="422">
        <f t="shared" si="17"/>
        <v>6.0729093443483562</v>
      </c>
      <c r="U183" s="422">
        <f t="shared" si="17"/>
        <v>6.4887112933693825</v>
      </c>
      <c r="V183" s="423">
        <f t="shared" si="17"/>
        <v>6.83714024600879</v>
      </c>
      <c r="W183" s="423">
        <f t="shared" si="17"/>
        <v>7.1227123520614652</v>
      </c>
      <c r="X183" s="423">
        <f t="shared" si="17"/>
        <v>7.3742952049085204</v>
      </c>
      <c r="Y183" s="423">
        <f t="shared" si="17"/>
        <v>7.6156391828877963</v>
      </c>
      <c r="Z183" s="423">
        <f t="shared" si="17"/>
        <v>7.8536852328553737</v>
      </c>
      <c r="AA183" s="423">
        <f t="shared" si="17"/>
        <v>8.0810045795853878</v>
      </c>
    </row>
    <row r="184" spans="1:27" ht="15" thickTop="1" x14ac:dyDescent="0.3">
      <c r="A184"/>
      <c r="B184"/>
      <c r="C184" s="395"/>
      <c r="D184" s="395"/>
      <c r="E184" s="395"/>
      <c r="F184" s="395"/>
      <c r="G184" s="395"/>
      <c r="H184" s="395"/>
      <c r="I184" s="395"/>
      <c r="J184" s="395"/>
      <c r="K184" s="395"/>
      <c r="L184" s="395"/>
      <c r="M184" s="395"/>
      <c r="N184" s="395"/>
      <c r="O184" s="395"/>
      <c r="P184" s="395"/>
      <c r="Q184" s="395"/>
      <c r="R184" s="395"/>
      <c r="S184" s="395"/>
      <c r="T184" s="395"/>
      <c r="U184" s="395"/>
      <c r="V184" s="395"/>
      <c r="W184" s="395"/>
      <c r="X184" s="395"/>
      <c r="Y184" s="395"/>
      <c r="Z184" s="395"/>
      <c r="AA184" s="395"/>
    </row>
    <row r="185" spans="1:27" ht="26.4" x14ac:dyDescent="0.3">
      <c r="A185" s="401" t="s">
        <v>778</v>
      </c>
      <c r="B185" s="413" t="s">
        <v>779</v>
      </c>
      <c r="C185" s="813" t="s">
        <v>753</v>
      </c>
      <c r="D185" s="813"/>
      <c r="E185" s="813"/>
      <c r="F185" s="813"/>
      <c r="G185" s="813"/>
      <c r="H185" s="813"/>
      <c r="I185" s="813"/>
      <c r="J185" s="813"/>
      <c r="K185" s="813"/>
      <c r="L185" s="813"/>
      <c r="M185" s="813"/>
      <c r="N185" s="813"/>
      <c r="O185" s="813"/>
      <c r="P185" s="813"/>
      <c r="Q185" s="813"/>
      <c r="R185" s="813"/>
      <c r="S185" s="813"/>
      <c r="T185" s="813"/>
      <c r="U185" s="813"/>
      <c r="V185" s="813"/>
      <c r="W185" s="813"/>
      <c r="X185" s="813"/>
      <c r="Y185" s="813"/>
      <c r="Z185" s="813"/>
      <c r="AA185" s="813"/>
    </row>
    <row r="186" spans="1:27" x14ac:dyDescent="0.3">
      <c r="A186" s="386">
        <v>1</v>
      </c>
      <c r="B186" s="387" t="s">
        <v>739</v>
      </c>
      <c r="C186" s="414">
        <v>5.0179862061362748</v>
      </c>
      <c r="D186" s="414">
        <v>6.0196001618311863</v>
      </c>
      <c r="E186" s="414">
        <v>6.3062288689934656</v>
      </c>
      <c r="F186" s="414">
        <v>4.6782002227130466</v>
      </c>
      <c r="G186" s="414">
        <v>3.120149462889338</v>
      </c>
      <c r="H186" s="414">
        <v>3.2010574852320386</v>
      </c>
      <c r="I186" s="414">
        <v>3.202680947966702</v>
      </c>
      <c r="J186" s="415">
        <v>3.0214363937993545</v>
      </c>
      <c r="K186" s="416">
        <v>2.7004426636870296</v>
      </c>
      <c r="L186" s="414">
        <v>2.2418759265102941</v>
      </c>
      <c r="M186" s="414">
        <v>1.4535595438220754</v>
      </c>
      <c r="N186" s="415">
        <v>0.83199201014854329</v>
      </c>
      <c r="O186" s="416">
        <v>0.26242304194467392</v>
      </c>
      <c r="P186" s="414">
        <v>0.14868814224226121</v>
      </c>
      <c r="Q186" s="414">
        <v>9.3545375253699992E-2</v>
      </c>
      <c r="R186" s="414">
        <v>5.4488020177625773E-2</v>
      </c>
      <c r="S186" s="414">
        <v>3.3308116453846043E-2</v>
      </c>
      <c r="T186" s="414">
        <v>1.2935144542181269E-2</v>
      </c>
      <c r="U186" s="415">
        <v>6.7197776370709236E-8</v>
      </c>
      <c r="V186" s="416">
        <v>1.6096428473182235E-8</v>
      </c>
      <c r="W186" s="414">
        <v>4.2921691674339851E-9</v>
      </c>
      <c r="X186" s="414">
        <v>1.2073786733346621E-9</v>
      </c>
      <c r="Y186" s="414">
        <v>3.4355171784339009E-10</v>
      </c>
      <c r="Z186" s="414">
        <v>9.7298881933367697E-11</v>
      </c>
      <c r="AA186" s="414">
        <v>2.7609836889874687E-11</v>
      </c>
    </row>
    <row r="187" spans="1:27" x14ac:dyDescent="0.3">
      <c r="A187" s="386">
        <v>2</v>
      </c>
      <c r="B187" s="387" t="s">
        <v>740</v>
      </c>
      <c r="C187" s="417">
        <v>6.576658294325064</v>
      </c>
      <c r="D187" s="417">
        <v>6.1806289419877762</v>
      </c>
      <c r="E187" s="417">
        <v>5.9082078790015258</v>
      </c>
      <c r="F187" s="417">
        <v>5.9739460444091765</v>
      </c>
      <c r="G187" s="417">
        <v>5.9191118425434812</v>
      </c>
      <c r="H187" s="417">
        <v>5.4199620349302231</v>
      </c>
      <c r="I187" s="417">
        <v>4.1526901929922913</v>
      </c>
      <c r="J187" s="418">
        <v>3.2014348046933239</v>
      </c>
      <c r="K187" s="419">
        <v>2.7823480117245927</v>
      </c>
      <c r="L187" s="417">
        <v>2.0608287456105923</v>
      </c>
      <c r="M187" s="417">
        <v>1.3169409242081556</v>
      </c>
      <c r="N187" s="418">
        <v>0.89052198876633071</v>
      </c>
      <c r="O187" s="419">
        <v>0.66825420785635503</v>
      </c>
      <c r="P187" s="417">
        <v>0.48889570437224872</v>
      </c>
      <c r="Q187" s="417">
        <v>0.40288003000683459</v>
      </c>
      <c r="R187" s="417">
        <v>0.3355046371869575</v>
      </c>
      <c r="S187" s="417">
        <v>0.25038468826377275</v>
      </c>
      <c r="T187" s="417">
        <v>0.18541939427167284</v>
      </c>
      <c r="U187" s="418">
        <v>0.14766380383987268</v>
      </c>
      <c r="V187" s="419">
        <v>0.11401547294965676</v>
      </c>
      <c r="W187" s="417">
        <v>7.7884967949546552E-2</v>
      </c>
      <c r="X187" s="417">
        <v>5.6427904152106072E-2</v>
      </c>
      <c r="Y187" s="417">
        <v>4.1180645600130683E-2</v>
      </c>
      <c r="Z187" s="417">
        <v>2.5244976701647357E-2</v>
      </c>
      <c r="AA187" s="417">
        <v>1.0445233375127686E-2</v>
      </c>
    </row>
    <row r="188" spans="1:27" x14ac:dyDescent="0.3">
      <c r="A188" s="386">
        <v>3</v>
      </c>
      <c r="B188" s="387" t="s">
        <v>741</v>
      </c>
      <c r="C188" s="417">
        <v>10.89994746380626</v>
      </c>
      <c r="D188" s="417">
        <v>12.814385804072913</v>
      </c>
      <c r="E188" s="417">
        <v>14.012046395472989</v>
      </c>
      <c r="F188" s="417">
        <v>16.916552754286958</v>
      </c>
      <c r="G188" s="417">
        <v>19.241935143605566</v>
      </c>
      <c r="H188" s="417">
        <v>21.095966744785571</v>
      </c>
      <c r="I188" s="417">
        <v>22.738560639215876</v>
      </c>
      <c r="J188" s="418">
        <v>23.612363690819471</v>
      </c>
      <c r="K188" s="419">
        <v>26.057204719361124</v>
      </c>
      <c r="L188" s="417">
        <v>27.29161451744622</v>
      </c>
      <c r="M188" s="417">
        <v>24.975928868785996</v>
      </c>
      <c r="N188" s="418">
        <v>21.140942197748394</v>
      </c>
      <c r="O188" s="419">
        <v>16.77405241594797</v>
      </c>
      <c r="P188" s="417">
        <v>12.370041747557385</v>
      </c>
      <c r="Q188" s="417">
        <v>8.3591957139706352</v>
      </c>
      <c r="R188" s="417">
        <v>5.5526572421085119</v>
      </c>
      <c r="S188" s="417">
        <v>3.4072931496101324</v>
      </c>
      <c r="T188" s="417">
        <v>1.6020010066942341</v>
      </c>
      <c r="U188" s="418">
        <v>0.99586585765830982</v>
      </c>
      <c r="V188" s="419">
        <v>0.70436991306636787</v>
      </c>
      <c r="W188" s="417">
        <v>0.46497067770408956</v>
      </c>
      <c r="X188" s="417">
        <v>0.31192855811744119</v>
      </c>
      <c r="Y188" s="417">
        <v>0.19937384390173962</v>
      </c>
      <c r="Z188" s="417">
        <v>0.10882547931096744</v>
      </c>
      <c r="AA188" s="417">
        <v>4.3279957678366385E-2</v>
      </c>
    </row>
    <row r="189" spans="1:27" x14ac:dyDescent="0.3">
      <c r="A189" s="386">
        <v>4</v>
      </c>
      <c r="B189" s="387" t="s">
        <v>754</v>
      </c>
      <c r="C189" s="417">
        <v>2.2260005877556366</v>
      </c>
      <c r="D189" s="417">
        <v>2.7499994505846117</v>
      </c>
      <c r="E189" s="417">
        <v>3.137094399426358</v>
      </c>
      <c r="F189" s="417">
        <v>3.7735153107749291</v>
      </c>
      <c r="G189" s="417">
        <v>4.1249443497385849</v>
      </c>
      <c r="H189" s="417">
        <v>4.5906641255161293</v>
      </c>
      <c r="I189" s="417">
        <v>5.3258983412043275</v>
      </c>
      <c r="J189" s="418">
        <v>5.8736576364708064</v>
      </c>
      <c r="K189" s="419">
        <v>6.7823788504664853</v>
      </c>
      <c r="L189" s="417">
        <v>8.5595375763490935</v>
      </c>
      <c r="M189" s="417">
        <v>10.864420118511148</v>
      </c>
      <c r="N189" s="418">
        <v>14.462967959261771</v>
      </c>
      <c r="O189" s="419">
        <v>18.852033133319352</v>
      </c>
      <c r="P189" s="417">
        <v>24.092519703759969</v>
      </c>
      <c r="Q189" s="417">
        <v>30.000971690304997</v>
      </c>
      <c r="R189" s="417">
        <v>35.482037774775989</v>
      </c>
      <c r="S189" s="417">
        <v>40.034633113536167</v>
      </c>
      <c r="T189" s="417">
        <v>43.97117609018251</v>
      </c>
      <c r="U189" s="418">
        <v>46.14354493509471</v>
      </c>
      <c r="V189" s="419">
        <v>46.670335043095456</v>
      </c>
      <c r="W189" s="417">
        <v>45.914056698300605</v>
      </c>
      <c r="X189" s="417">
        <v>44.150517878520766</v>
      </c>
      <c r="Y189" s="417">
        <v>41.862339118552136</v>
      </c>
      <c r="Z189" s="417">
        <v>39.038737572401757</v>
      </c>
      <c r="AA189" s="417">
        <v>35.854786546931123</v>
      </c>
    </row>
    <row r="190" spans="1:27" x14ac:dyDescent="0.3">
      <c r="A190" s="386">
        <v>5</v>
      </c>
      <c r="B190" s="387" t="s">
        <v>758</v>
      </c>
      <c r="C190" s="417">
        <v>0</v>
      </c>
      <c r="D190" s="417">
        <v>0</v>
      </c>
      <c r="E190" s="417">
        <v>0</v>
      </c>
      <c r="F190" s="417">
        <v>0</v>
      </c>
      <c r="G190" s="417">
        <v>0</v>
      </c>
      <c r="H190" s="417">
        <v>0</v>
      </c>
      <c r="I190" s="417">
        <v>0</v>
      </c>
      <c r="J190" s="418">
        <v>0</v>
      </c>
      <c r="K190" s="419">
        <v>0.11546723589117602</v>
      </c>
      <c r="L190" s="417">
        <v>0.4387386790011385</v>
      </c>
      <c r="M190" s="417">
        <v>1.3797456850243066</v>
      </c>
      <c r="N190" s="418">
        <v>2.8763862884868834</v>
      </c>
      <c r="O190" s="419">
        <v>4.3090171409298881</v>
      </c>
      <c r="P190" s="417">
        <v>5.5433124850855213</v>
      </c>
      <c r="Q190" s="417">
        <v>6.1086425917211642</v>
      </c>
      <c r="R190" s="417">
        <v>6.3635630715190921</v>
      </c>
      <c r="S190" s="417">
        <v>6.6924773292192254</v>
      </c>
      <c r="T190" s="417">
        <v>7.0171877408070564</v>
      </c>
      <c r="U190" s="418">
        <v>7.3815342982494698</v>
      </c>
      <c r="V190" s="419">
        <v>8.0511810311633365</v>
      </c>
      <c r="W190" s="417">
        <v>9.0957930806773906</v>
      </c>
      <c r="X190" s="417">
        <v>10.329845177466916</v>
      </c>
      <c r="Y190" s="417">
        <v>11.575772553590408</v>
      </c>
      <c r="Z190" s="417">
        <v>13.064180685397034</v>
      </c>
      <c r="AA190" s="417">
        <v>14.543494263330336</v>
      </c>
    </row>
    <row r="191" spans="1:27" x14ac:dyDescent="0.3">
      <c r="A191" s="386">
        <v>6</v>
      </c>
      <c r="B191" s="387" t="s">
        <v>326</v>
      </c>
      <c r="C191" s="417">
        <v>0</v>
      </c>
      <c r="D191" s="417">
        <v>0</v>
      </c>
      <c r="E191" s="417">
        <v>0</v>
      </c>
      <c r="F191" s="417">
        <v>0</v>
      </c>
      <c r="G191" s="417">
        <v>0</v>
      </c>
      <c r="H191" s="417">
        <v>0</v>
      </c>
      <c r="I191" s="417">
        <v>0</v>
      </c>
      <c r="J191" s="418">
        <v>0</v>
      </c>
      <c r="K191" s="419">
        <v>0</v>
      </c>
      <c r="L191" s="417">
        <v>0</v>
      </c>
      <c r="M191" s="417">
        <v>0</v>
      </c>
      <c r="N191" s="418">
        <v>0</v>
      </c>
      <c r="O191" s="419">
        <v>0</v>
      </c>
      <c r="P191" s="417">
        <v>0</v>
      </c>
      <c r="Q191" s="417">
        <v>0</v>
      </c>
      <c r="R191" s="417">
        <v>0</v>
      </c>
      <c r="S191" s="417">
        <v>0</v>
      </c>
      <c r="T191" s="417">
        <v>0</v>
      </c>
      <c r="U191" s="418">
        <v>0</v>
      </c>
      <c r="V191" s="419">
        <v>0</v>
      </c>
      <c r="W191" s="417">
        <v>0</v>
      </c>
      <c r="X191" s="417">
        <v>0</v>
      </c>
      <c r="Y191" s="417">
        <v>0</v>
      </c>
      <c r="Z191" s="417">
        <v>0</v>
      </c>
      <c r="AA191" s="417">
        <v>0</v>
      </c>
    </row>
    <row r="192" spans="1:27" x14ac:dyDescent="0.3">
      <c r="A192" s="386">
        <v>7</v>
      </c>
      <c r="B192" s="387" t="s">
        <v>755</v>
      </c>
      <c r="C192" s="417">
        <v>2.1593458176596969</v>
      </c>
      <c r="D192" s="417">
        <v>3.4675484811299775</v>
      </c>
      <c r="E192" s="417">
        <v>2.003529961599162</v>
      </c>
      <c r="F192" s="417">
        <v>4.9409319792008848</v>
      </c>
      <c r="G192" s="417">
        <v>4.5962746666975089</v>
      </c>
      <c r="H192" s="417">
        <v>4.2154933523048594</v>
      </c>
      <c r="I192" s="417">
        <v>4.3767235895684697</v>
      </c>
      <c r="J192" s="418">
        <v>4.2894705022566137</v>
      </c>
      <c r="K192" s="419">
        <v>4.2447980322443959</v>
      </c>
      <c r="L192" s="417">
        <v>4.2278264965567116</v>
      </c>
      <c r="M192" s="417">
        <v>3.9241018265424925</v>
      </c>
      <c r="N192" s="418">
        <v>3.4877633269940476</v>
      </c>
      <c r="O192" s="419">
        <v>3.0624161602923579</v>
      </c>
      <c r="P192" s="417">
        <v>2.6131408073023272</v>
      </c>
      <c r="Q192" s="417">
        <v>2.1776551209765218</v>
      </c>
      <c r="R192" s="417">
        <v>1.6654709826639627</v>
      </c>
      <c r="S192" s="417">
        <v>1.2708570941850335</v>
      </c>
      <c r="T192" s="417">
        <v>0.89901725502534113</v>
      </c>
      <c r="U192" s="418">
        <v>0.56991841315874736</v>
      </c>
      <c r="V192" s="419">
        <v>0.32430342277073076</v>
      </c>
      <c r="W192" s="417">
        <v>0.24400719152380945</v>
      </c>
      <c r="X192" s="417">
        <v>0.18058451715575621</v>
      </c>
      <c r="Y192" s="417">
        <v>0.12612989533086158</v>
      </c>
      <c r="Z192" s="417">
        <v>8.1912655218943239E-2</v>
      </c>
      <c r="AA192" s="417">
        <v>4.3264209814688787E-2</v>
      </c>
    </row>
    <row r="193" spans="1:27" x14ac:dyDescent="0.3">
      <c r="A193" s="386">
        <v>8</v>
      </c>
      <c r="B193" s="387" t="s">
        <v>759</v>
      </c>
      <c r="C193" s="417">
        <v>1.1304360000000001E-3</v>
      </c>
      <c r="D193" s="417">
        <v>1.2560399999999999E-2</v>
      </c>
      <c r="E193" s="417">
        <v>8.4706318007518808E-2</v>
      </c>
      <c r="F193" s="417">
        <v>0.10134730907137011</v>
      </c>
      <c r="G193" s="417">
        <v>0.19300872516905151</v>
      </c>
      <c r="H193" s="417">
        <v>0.26569789507915936</v>
      </c>
      <c r="I193" s="417">
        <v>0.48662696442877457</v>
      </c>
      <c r="J193" s="418">
        <v>0.99165268651450966</v>
      </c>
      <c r="K193" s="419">
        <v>1.4429417812066296</v>
      </c>
      <c r="L193" s="417">
        <v>1.8791253140104931</v>
      </c>
      <c r="M193" s="417">
        <v>2.9422598145894723</v>
      </c>
      <c r="N193" s="418">
        <v>4.4410510004488195</v>
      </c>
      <c r="O193" s="419">
        <v>5.6805738728006663</v>
      </c>
      <c r="P193" s="417">
        <v>6.5031460640900596</v>
      </c>
      <c r="Q193" s="417">
        <v>6.7567028177810675</v>
      </c>
      <c r="R193" s="417">
        <v>6.8845154534171984</v>
      </c>
      <c r="S193" s="417">
        <v>6.9934878214773377</v>
      </c>
      <c r="T193" s="417">
        <v>7.0038133568835015</v>
      </c>
      <c r="U193" s="418">
        <v>6.8802464726397323</v>
      </c>
      <c r="V193" s="419">
        <v>6.7041139730323733</v>
      </c>
      <c r="W193" s="417">
        <v>6.5838434313657457</v>
      </c>
      <c r="X193" s="417">
        <v>6.4796601377173921</v>
      </c>
      <c r="Y193" s="417">
        <v>6.4108800561347739</v>
      </c>
      <c r="Z193" s="417">
        <v>6.3623230320598472</v>
      </c>
      <c r="AA193" s="417">
        <v>6.2629563390403211</v>
      </c>
    </row>
    <row r="194" spans="1:27" x14ac:dyDescent="0.3">
      <c r="A194" s="386">
        <v>9</v>
      </c>
      <c r="B194" s="387" t="s">
        <v>742</v>
      </c>
      <c r="C194" s="417">
        <v>1.0496904588913363</v>
      </c>
      <c r="D194" s="417">
        <v>0.80378979261484007</v>
      </c>
      <c r="E194" s="417">
        <v>0.78635534517192685</v>
      </c>
      <c r="F194" s="417">
        <v>0.83321528245646237</v>
      </c>
      <c r="G194" s="417">
        <v>0.95054710279337118</v>
      </c>
      <c r="H194" s="417">
        <v>1.1187869134769304</v>
      </c>
      <c r="I194" s="417">
        <v>1.2740163508768458</v>
      </c>
      <c r="J194" s="418">
        <v>1.5167580844634614</v>
      </c>
      <c r="K194" s="419">
        <v>1.7051879864334667</v>
      </c>
      <c r="L194" s="417">
        <v>1.7929602120190553</v>
      </c>
      <c r="M194" s="417">
        <v>1.9441869362074133</v>
      </c>
      <c r="N194" s="418">
        <v>2.1236981785538989</v>
      </c>
      <c r="O194" s="419">
        <v>2.2744522219419614</v>
      </c>
      <c r="P194" s="417">
        <v>2.5055196194046161</v>
      </c>
      <c r="Q194" s="417">
        <v>2.9435256705657422</v>
      </c>
      <c r="R194" s="417">
        <v>3.0960505043981179</v>
      </c>
      <c r="S194" s="417">
        <v>2.9356525197765357</v>
      </c>
      <c r="T194" s="417">
        <v>2.5899977820358848</v>
      </c>
      <c r="U194" s="418">
        <v>2.2272759960190811</v>
      </c>
      <c r="V194" s="419">
        <v>1.8839644307215189</v>
      </c>
      <c r="W194" s="417">
        <v>1.5394901682152478</v>
      </c>
      <c r="X194" s="417">
        <v>1.1907090991986364</v>
      </c>
      <c r="Y194" s="417">
        <v>0.88398583959914434</v>
      </c>
      <c r="Z194" s="417">
        <v>0.63586779294333839</v>
      </c>
      <c r="AA194" s="417">
        <v>0.44309141335893376</v>
      </c>
    </row>
    <row r="195" spans="1:27" x14ac:dyDescent="0.3">
      <c r="A195" s="386">
        <v>10</v>
      </c>
      <c r="B195" s="387" t="s">
        <v>743</v>
      </c>
      <c r="C195" s="417">
        <v>21.336905167295239</v>
      </c>
      <c r="D195" s="417">
        <v>23.277969116092937</v>
      </c>
      <c r="E195" s="417">
        <v>25.994058986121651</v>
      </c>
      <c r="F195" s="417">
        <v>27.85770207188158</v>
      </c>
      <c r="G195" s="417">
        <v>28.812108944443345</v>
      </c>
      <c r="H195" s="417">
        <v>29.159883126782752</v>
      </c>
      <c r="I195" s="417">
        <v>29.177607148458023</v>
      </c>
      <c r="J195" s="418">
        <v>29.35239463968977</v>
      </c>
      <c r="K195" s="419">
        <v>28.775728122911726</v>
      </c>
      <c r="L195" s="417">
        <v>26.780081573615075</v>
      </c>
      <c r="M195" s="417">
        <v>24.341626134354414</v>
      </c>
      <c r="N195" s="418">
        <v>21.248552456506054</v>
      </c>
      <c r="O195" s="419">
        <v>17.11914041772588</v>
      </c>
      <c r="P195" s="417">
        <v>13.2106404756455</v>
      </c>
      <c r="Q195" s="417">
        <v>9.4055727107520788</v>
      </c>
      <c r="R195" s="417">
        <v>6.2744001270862952</v>
      </c>
      <c r="S195" s="417">
        <v>4.0263283452495289</v>
      </c>
      <c r="T195" s="417">
        <v>2.5642769987689227</v>
      </c>
      <c r="U195" s="418">
        <v>1.5273986446504748</v>
      </c>
      <c r="V195" s="419">
        <v>0.82674151167903798</v>
      </c>
      <c r="W195" s="417">
        <v>0.53607484115528803</v>
      </c>
      <c r="X195" s="417">
        <v>0.32487359982900821</v>
      </c>
      <c r="Y195" s="417">
        <v>0.19803111441076063</v>
      </c>
      <c r="Z195" s="417">
        <v>9.9737621295191953E-2</v>
      </c>
      <c r="AA195" s="417">
        <v>3.5835017399598365E-2</v>
      </c>
    </row>
    <row r="196" spans="1:27" ht="15" thickBot="1" x14ac:dyDescent="0.35">
      <c r="A196" s="395"/>
      <c r="B196" s="396" t="s">
        <v>690</v>
      </c>
      <c r="C196" s="420">
        <f t="shared" ref="C196:AA196" si="18">SUM(C186:C195)</f>
        <v>49.267664431869505</v>
      </c>
      <c r="D196" s="420">
        <f t="shared" si="18"/>
        <v>55.326482148314241</v>
      </c>
      <c r="E196" s="420">
        <f t="shared" si="18"/>
        <v>58.232228153794601</v>
      </c>
      <c r="F196" s="420">
        <f t="shared" si="18"/>
        <v>65.075410974794409</v>
      </c>
      <c r="G196" s="420">
        <f t="shared" si="18"/>
        <v>66.958080237880253</v>
      </c>
      <c r="H196" s="420">
        <f t="shared" si="18"/>
        <v>69.067511678107664</v>
      </c>
      <c r="I196" s="420">
        <f t="shared" si="18"/>
        <v>70.734804174711314</v>
      </c>
      <c r="J196" s="420">
        <f t="shared" si="18"/>
        <v>71.859168438707314</v>
      </c>
      <c r="K196" s="421">
        <f t="shared" si="18"/>
        <v>74.606497403926625</v>
      </c>
      <c r="L196" s="421">
        <f t="shared" si="18"/>
        <v>75.272589041118678</v>
      </c>
      <c r="M196" s="421">
        <f t="shared" si="18"/>
        <v>73.142769852045461</v>
      </c>
      <c r="N196" s="421">
        <f t="shared" si="18"/>
        <v>71.503875406914744</v>
      </c>
      <c r="O196" s="422">
        <f t="shared" si="18"/>
        <v>69.0023626127591</v>
      </c>
      <c r="P196" s="422">
        <f t="shared" si="18"/>
        <v>67.475904749459886</v>
      </c>
      <c r="Q196" s="422">
        <f t="shared" si="18"/>
        <v>66.248691721332747</v>
      </c>
      <c r="R196" s="422">
        <f t="shared" si="18"/>
        <v>65.708687813333754</v>
      </c>
      <c r="S196" s="422">
        <f t="shared" si="18"/>
        <v>65.644422177771574</v>
      </c>
      <c r="T196" s="422">
        <f t="shared" si="18"/>
        <v>65.845824769211305</v>
      </c>
      <c r="U196" s="422">
        <f t="shared" si="18"/>
        <v>65.873448488508174</v>
      </c>
      <c r="V196" s="423">
        <f t="shared" si="18"/>
        <v>65.279024814574896</v>
      </c>
      <c r="W196" s="423">
        <f t="shared" si="18"/>
        <v>64.456121061183879</v>
      </c>
      <c r="X196" s="423">
        <f t="shared" si="18"/>
        <v>63.024546873365409</v>
      </c>
      <c r="Y196" s="423">
        <f t="shared" si="18"/>
        <v>61.297693067463499</v>
      </c>
      <c r="Z196" s="423">
        <f t="shared" si="18"/>
        <v>59.41682981542602</v>
      </c>
      <c r="AA196" s="423">
        <f t="shared" si="18"/>
        <v>57.237152980956111</v>
      </c>
    </row>
    <row r="197" spans="1:27" ht="15" thickTop="1" x14ac:dyDescent="0.3">
      <c r="A197"/>
      <c r="B197"/>
      <c r="C197" s="395"/>
      <c r="D197" s="395"/>
      <c r="E197" s="395"/>
      <c r="F197" s="395"/>
      <c r="G197" s="395"/>
      <c r="H197" s="395"/>
      <c r="I197" s="395"/>
      <c r="J197" s="395"/>
      <c r="K197" s="395"/>
      <c r="L197" s="395"/>
      <c r="M197" s="395"/>
      <c r="N197" s="395"/>
      <c r="O197" s="395"/>
      <c r="P197" s="395"/>
      <c r="Q197" s="395"/>
      <c r="R197" s="395"/>
      <c r="S197" s="395"/>
      <c r="T197" s="395"/>
      <c r="U197" s="395"/>
      <c r="V197" s="395"/>
      <c r="W197" s="395"/>
      <c r="X197" s="395"/>
      <c r="Y197" s="395"/>
      <c r="Z197" s="395"/>
      <c r="AA197" s="395"/>
    </row>
    <row r="198" spans="1:27" ht="26.4" x14ac:dyDescent="0.3">
      <c r="A198" s="401" t="s">
        <v>780</v>
      </c>
      <c r="B198" s="413" t="s">
        <v>781</v>
      </c>
      <c r="C198" s="813" t="s">
        <v>753</v>
      </c>
      <c r="D198" s="813"/>
      <c r="E198" s="813"/>
      <c r="F198" s="813"/>
      <c r="G198" s="813"/>
      <c r="H198" s="813"/>
      <c r="I198" s="813"/>
      <c r="J198" s="813"/>
      <c r="K198" s="813"/>
      <c r="L198" s="813"/>
      <c r="M198" s="813"/>
      <c r="N198" s="813"/>
      <c r="O198" s="813"/>
      <c r="P198" s="813"/>
      <c r="Q198" s="813"/>
      <c r="R198" s="813"/>
      <c r="S198" s="813"/>
      <c r="T198" s="813"/>
      <c r="U198" s="813"/>
      <c r="V198" s="813"/>
      <c r="W198" s="813"/>
      <c r="X198" s="813"/>
      <c r="Y198" s="813"/>
      <c r="Z198" s="813"/>
      <c r="AA198" s="813"/>
    </row>
    <row r="199" spans="1:27" x14ac:dyDescent="0.3">
      <c r="A199" s="386">
        <v>1</v>
      </c>
      <c r="B199" s="387" t="s">
        <v>754</v>
      </c>
      <c r="C199" s="414">
        <v>3.9877472152175857</v>
      </c>
      <c r="D199" s="414">
        <v>4.8358273842972954</v>
      </c>
      <c r="E199" s="414">
        <v>5.9464632144787721</v>
      </c>
      <c r="F199" s="414">
        <v>7.2590265753038583</v>
      </c>
      <c r="G199" s="414">
        <v>8.789999344627903</v>
      </c>
      <c r="H199" s="414">
        <v>10.709105995562286</v>
      </c>
      <c r="I199" s="414">
        <v>12.716358570660665</v>
      </c>
      <c r="J199" s="415">
        <v>13.985333322217166</v>
      </c>
      <c r="K199" s="416">
        <v>15.392056056392288</v>
      </c>
      <c r="L199" s="414">
        <v>16.905427100679791</v>
      </c>
      <c r="M199" s="414">
        <v>17.220050722578886</v>
      </c>
      <c r="N199" s="415">
        <v>17.467342843194942</v>
      </c>
      <c r="O199" s="416">
        <v>17.424189040486581</v>
      </c>
      <c r="P199" s="414">
        <v>17.68340063960142</v>
      </c>
      <c r="Q199" s="414">
        <v>18.256471568162798</v>
      </c>
      <c r="R199" s="414">
        <v>18.778753056920895</v>
      </c>
      <c r="S199" s="414">
        <v>18.903942083493398</v>
      </c>
      <c r="T199" s="414">
        <v>18.307792285205974</v>
      </c>
      <c r="U199" s="415">
        <v>17.204716379452133</v>
      </c>
      <c r="V199" s="416">
        <v>15.13355105324694</v>
      </c>
      <c r="W199" s="414">
        <v>13.113406236828853</v>
      </c>
      <c r="X199" s="414">
        <v>10.990296392189329</v>
      </c>
      <c r="Y199" s="414">
        <v>8.8804893221620826</v>
      </c>
      <c r="Z199" s="414">
        <v>7.0141645169691307</v>
      </c>
      <c r="AA199" s="414">
        <v>5.4242102309743325</v>
      </c>
    </row>
    <row r="200" spans="1:27" x14ac:dyDescent="0.3">
      <c r="A200" s="386">
        <v>2</v>
      </c>
      <c r="B200" s="387" t="s">
        <v>758</v>
      </c>
      <c r="C200" s="417">
        <v>0</v>
      </c>
      <c r="D200" s="417">
        <v>0</v>
      </c>
      <c r="E200" s="417">
        <v>0</v>
      </c>
      <c r="F200" s="417">
        <v>2.8046560063167133E-4</v>
      </c>
      <c r="G200" s="417">
        <v>2.0583248405952599E-3</v>
      </c>
      <c r="H200" s="417">
        <v>5.4158874196748481E-3</v>
      </c>
      <c r="I200" s="417">
        <v>1.4724656558406025E-2</v>
      </c>
      <c r="J200" s="418">
        <v>0.10971089513285322</v>
      </c>
      <c r="K200" s="419">
        <v>0.24578265525972229</v>
      </c>
      <c r="L200" s="417">
        <v>0.54497863075450326</v>
      </c>
      <c r="M200" s="417">
        <v>1.4841056826535448</v>
      </c>
      <c r="N200" s="418">
        <v>2.5024865669488969</v>
      </c>
      <c r="O200" s="419">
        <v>3.4047854181367523</v>
      </c>
      <c r="P200" s="417">
        <v>4.2281133881033641</v>
      </c>
      <c r="Q200" s="417">
        <v>4.7340588183814765</v>
      </c>
      <c r="R200" s="417">
        <v>5.310535858064604</v>
      </c>
      <c r="S200" s="417">
        <v>6.1920821606654748</v>
      </c>
      <c r="T200" s="417">
        <v>7.1165173425184252</v>
      </c>
      <c r="U200" s="418">
        <v>8.2761592011413843</v>
      </c>
      <c r="V200" s="419">
        <v>9.7857065223114379</v>
      </c>
      <c r="W200" s="417">
        <v>11.941620385420444</v>
      </c>
      <c r="X200" s="417">
        <v>14.205495023525991</v>
      </c>
      <c r="Y200" s="417">
        <v>16.244922432249702</v>
      </c>
      <c r="Z200" s="417">
        <v>18.033241330235661</v>
      </c>
      <c r="AA200" s="417">
        <v>19.392044421197266</v>
      </c>
    </row>
    <row r="201" spans="1:27" x14ac:dyDescent="0.3">
      <c r="A201" s="386">
        <v>3</v>
      </c>
      <c r="B201" s="387" t="s">
        <v>326</v>
      </c>
      <c r="C201" s="417">
        <v>0</v>
      </c>
      <c r="D201" s="417">
        <v>0</v>
      </c>
      <c r="E201" s="417">
        <v>0</v>
      </c>
      <c r="F201" s="417">
        <v>0</v>
      </c>
      <c r="G201" s="417">
        <v>0</v>
      </c>
      <c r="H201" s="417">
        <v>0</v>
      </c>
      <c r="I201" s="417">
        <v>0</v>
      </c>
      <c r="J201" s="418">
        <v>0</v>
      </c>
      <c r="K201" s="419">
        <v>0</v>
      </c>
      <c r="L201" s="417">
        <v>0</v>
      </c>
      <c r="M201" s="417">
        <v>0</v>
      </c>
      <c r="N201" s="418">
        <v>0</v>
      </c>
      <c r="O201" s="419">
        <v>0</v>
      </c>
      <c r="P201" s="417">
        <v>0</v>
      </c>
      <c r="Q201" s="417">
        <v>0</v>
      </c>
      <c r="R201" s="417">
        <v>0</v>
      </c>
      <c r="S201" s="417">
        <v>0</v>
      </c>
      <c r="T201" s="417">
        <v>0</v>
      </c>
      <c r="U201" s="418">
        <v>0</v>
      </c>
      <c r="V201" s="419">
        <v>0</v>
      </c>
      <c r="W201" s="417">
        <v>0</v>
      </c>
      <c r="X201" s="417">
        <v>0</v>
      </c>
      <c r="Y201" s="417">
        <v>0</v>
      </c>
      <c r="Z201" s="417">
        <v>0</v>
      </c>
      <c r="AA201" s="417">
        <v>0</v>
      </c>
    </row>
    <row r="202" spans="1:27" ht="15" thickBot="1" x14ac:dyDescent="0.35">
      <c r="A202" s="395"/>
      <c r="B202" s="396" t="s">
        <v>690</v>
      </c>
      <c r="C202" s="420">
        <f t="shared" ref="C202:AA202" si="19">SUM(C199:C201)</f>
        <v>3.9877472152175857</v>
      </c>
      <c r="D202" s="420">
        <f t="shared" si="19"/>
        <v>4.8358273842972954</v>
      </c>
      <c r="E202" s="420">
        <f t="shared" si="19"/>
        <v>5.9464632144787721</v>
      </c>
      <c r="F202" s="420">
        <f t="shared" si="19"/>
        <v>7.2593070409044902</v>
      </c>
      <c r="G202" s="420">
        <f t="shared" si="19"/>
        <v>8.7920576694684982</v>
      </c>
      <c r="H202" s="420">
        <f t="shared" si="19"/>
        <v>10.714521882981961</v>
      </c>
      <c r="I202" s="420">
        <f t="shared" si="19"/>
        <v>12.73108322721907</v>
      </c>
      <c r="J202" s="420">
        <f t="shared" si="19"/>
        <v>14.095044217350019</v>
      </c>
      <c r="K202" s="421">
        <f t="shared" si="19"/>
        <v>15.637838711652011</v>
      </c>
      <c r="L202" s="421">
        <f t="shared" si="19"/>
        <v>17.450405731434294</v>
      </c>
      <c r="M202" s="421">
        <f t="shared" si="19"/>
        <v>18.704156405232432</v>
      </c>
      <c r="N202" s="421">
        <f t="shared" si="19"/>
        <v>19.969829410143838</v>
      </c>
      <c r="O202" s="422">
        <f t="shared" si="19"/>
        <v>20.828974458623335</v>
      </c>
      <c r="P202" s="422">
        <f t="shared" si="19"/>
        <v>21.911514027704783</v>
      </c>
      <c r="Q202" s="422">
        <f t="shared" si="19"/>
        <v>22.990530386544275</v>
      </c>
      <c r="R202" s="422">
        <f t="shared" si="19"/>
        <v>24.089288914985499</v>
      </c>
      <c r="S202" s="422">
        <f t="shared" si="19"/>
        <v>25.096024244158873</v>
      </c>
      <c r="T202" s="422">
        <f t="shared" si="19"/>
        <v>25.424309627724398</v>
      </c>
      <c r="U202" s="422">
        <f t="shared" si="19"/>
        <v>25.480875580593519</v>
      </c>
      <c r="V202" s="423">
        <f t="shared" si="19"/>
        <v>24.919257575558376</v>
      </c>
      <c r="W202" s="423">
        <f t="shared" si="19"/>
        <v>25.055026622249297</v>
      </c>
      <c r="X202" s="423">
        <f t="shared" si="19"/>
        <v>25.19579141571532</v>
      </c>
      <c r="Y202" s="423">
        <f t="shared" si="19"/>
        <v>25.125411754411786</v>
      </c>
      <c r="Z202" s="423">
        <f t="shared" si="19"/>
        <v>25.047405847204793</v>
      </c>
      <c r="AA202" s="423">
        <f t="shared" si="19"/>
        <v>24.816254652171597</v>
      </c>
    </row>
    <row r="203" spans="1:27" ht="15" thickTop="1" x14ac:dyDescent="0.3">
      <c r="A203"/>
      <c r="B203"/>
      <c r="C203" s="395"/>
      <c r="D203" s="395"/>
      <c r="E203" s="395"/>
      <c r="F203" s="395"/>
      <c r="G203" s="395"/>
      <c r="H203" s="395"/>
      <c r="I203" s="395"/>
      <c r="J203" s="395"/>
      <c r="K203" s="395"/>
      <c r="L203" s="395"/>
      <c r="M203" s="395"/>
      <c r="N203" s="395"/>
      <c r="O203" s="395"/>
      <c r="P203" s="395"/>
      <c r="Q203" s="395"/>
      <c r="R203" s="395"/>
      <c r="S203" s="395"/>
      <c r="T203" s="395"/>
      <c r="U203" s="395"/>
      <c r="V203" s="395"/>
      <c r="W203" s="395"/>
      <c r="X203" s="395"/>
      <c r="Y203" s="395"/>
      <c r="Z203" s="395"/>
      <c r="AA203" s="395"/>
    </row>
    <row r="204" spans="1:27" ht="26.4" x14ac:dyDescent="0.3">
      <c r="A204" s="401" t="s">
        <v>782</v>
      </c>
      <c r="B204" s="413" t="s">
        <v>783</v>
      </c>
      <c r="C204" s="813" t="s">
        <v>753</v>
      </c>
      <c r="D204" s="813"/>
      <c r="E204" s="813"/>
      <c r="F204" s="813"/>
      <c r="G204" s="813"/>
      <c r="H204" s="813"/>
      <c r="I204" s="813"/>
      <c r="J204" s="813"/>
      <c r="K204" s="813"/>
      <c r="L204" s="813"/>
      <c r="M204" s="813"/>
      <c r="N204" s="813"/>
      <c r="O204" s="813"/>
      <c r="P204" s="813"/>
      <c r="Q204" s="813"/>
      <c r="R204" s="813"/>
      <c r="S204" s="813"/>
      <c r="T204" s="813"/>
      <c r="U204" s="813"/>
      <c r="V204" s="813"/>
      <c r="W204" s="813"/>
      <c r="X204" s="813"/>
      <c r="Y204" s="813"/>
      <c r="Z204" s="813"/>
      <c r="AA204" s="813"/>
    </row>
    <row r="205" spans="1:27" x14ac:dyDescent="0.3">
      <c r="A205" s="386">
        <v>1</v>
      </c>
      <c r="B205" s="387" t="s">
        <v>739</v>
      </c>
      <c r="C205" s="414">
        <v>0.6379736323108578</v>
      </c>
      <c r="D205" s="414">
        <v>1.0172414292562817</v>
      </c>
      <c r="E205" s="414">
        <v>1.4819304802105646</v>
      </c>
      <c r="F205" s="414">
        <v>1.4102942043175482</v>
      </c>
      <c r="G205" s="414">
        <v>1.6016579421392574</v>
      </c>
      <c r="H205" s="414">
        <v>2.2946171027370164</v>
      </c>
      <c r="I205" s="414">
        <v>2.5992605928019912</v>
      </c>
      <c r="J205" s="415">
        <v>3.2620654208334869</v>
      </c>
      <c r="K205" s="416">
        <v>3.4198089784457464</v>
      </c>
      <c r="L205" s="414">
        <v>4.4870810930338667</v>
      </c>
      <c r="M205" s="414">
        <v>5.3188193052560537</v>
      </c>
      <c r="N205" s="415">
        <v>6.4123496318046938</v>
      </c>
      <c r="O205" s="416">
        <v>8.3665507431689718</v>
      </c>
      <c r="P205" s="414">
        <v>11.201614995403714</v>
      </c>
      <c r="Q205" s="414">
        <v>14.899623521995629</v>
      </c>
      <c r="R205" s="414">
        <v>18.089833944597242</v>
      </c>
      <c r="S205" s="414">
        <v>20.170557968630156</v>
      </c>
      <c r="T205" s="414">
        <v>21.458955750122929</v>
      </c>
      <c r="U205" s="415">
        <v>22.106437398758541</v>
      </c>
      <c r="V205" s="416">
        <v>22.647316640863199</v>
      </c>
      <c r="W205" s="414">
        <v>23.150712290439341</v>
      </c>
      <c r="X205" s="414">
        <v>23.653660472156524</v>
      </c>
      <c r="Y205" s="414">
        <v>24.216756782885614</v>
      </c>
      <c r="Z205" s="414">
        <v>24.853454502478236</v>
      </c>
      <c r="AA205" s="414">
        <v>25.563187218041534</v>
      </c>
    </row>
    <row r="206" spans="1:27" x14ac:dyDescent="0.3">
      <c r="A206" s="386">
        <v>2</v>
      </c>
      <c r="B206" s="387" t="s">
        <v>740</v>
      </c>
      <c r="C206" s="417">
        <v>11.096298297550806</v>
      </c>
      <c r="D206" s="417">
        <v>10.748671638634988</v>
      </c>
      <c r="E206" s="417">
        <v>12.283571882815632</v>
      </c>
      <c r="F206" s="417">
        <v>13.45728525175211</v>
      </c>
      <c r="G206" s="417">
        <v>15.504110764082235</v>
      </c>
      <c r="H206" s="417">
        <v>18.008131974100976</v>
      </c>
      <c r="I206" s="417">
        <v>18.561219208143033</v>
      </c>
      <c r="J206" s="418">
        <v>19.263552182770233</v>
      </c>
      <c r="K206" s="419">
        <v>21.327276742379819</v>
      </c>
      <c r="L206" s="417">
        <v>23.679171147046727</v>
      </c>
      <c r="M206" s="417">
        <v>25.21112507872235</v>
      </c>
      <c r="N206" s="418">
        <v>26.648781581602517</v>
      </c>
      <c r="O206" s="419">
        <v>27.301051539880667</v>
      </c>
      <c r="P206" s="417">
        <v>27.428376049953449</v>
      </c>
      <c r="Q206" s="417">
        <v>27.292670690556541</v>
      </c>
      <c r="R206" s="417">
        <v>27.246742657611577</v>
      </c>
      <c r="S206" s="417">
        <v>28.155055784573683</v>
      </c>
      <c r="T206" s="417">
        <v>29.796831326062762</v>
      </c>
      <c r="U206" s="418">
        <v>31.925662758061922</v>
      </c>
      <c r="V206" s="419">
        <v>33.955585363426756</v>
      </c>
      <c r="W206" s="417">
        <v>35.520472220817361</v>
      </c>
      <c r="X206" s="417">
        <v>36.707203734937679</v>
      </c>
      <c r="Y206" s="417">
        <v>37.529072487735796</v>
      </c>
      <c r="Z206" s="417">
        <v>38.18628831863056</v>
      </c>
      <c r="AA206" s="417">
        <v>38.700102775903247</v>
      </c>
    </row>
    <row r="207" spans="1:27" x14ac:dyDescent="0.3">
      <c r="A207" s="386">
        <v>3</v>
      </c>
      <c r="B207" s="387" t="s">
        <v>741</v>
      </c>
      <c r="C207" s="417">
        <v>3.0721399450490932</v>
      </c>
      <c r="D207" s="417">
        <v>4.4016407099487544</v>
      </c>
      <c r="E207" s="417">
        <v>6.2317975884306422</v>
      </c>
      <c r="F207" s="417">
        <v>7.6208833983555557</v>
      </c>
      <c r="G207" s="417">
        <v>8.7205987091501367</v>
      </c>
      <c r="H207" s="417">
        <v>9.5829320809143699</v>
      </c>
      <c r="I207" s="417">
        <v>11.426977025562941</v>
      </c>
      <c r="J207" s="418">
        <v>12.47999559755049</v>
      </c>
      <c r="K207" s="419">
        <v>13.585413153798603</v>
      </c>
      <c r="L207" s="417">
        <v>14.864301630287555</v>
      </c>
      <c r="M207" s="417">
        <v>16.491869077878636</v>
      </c>
      <c r="N207" s="418">
        <v>19.316952715188808</v>
      </c>
      <c r="O207" s="419">
        <v>22.508611395857905</v>
      </c>
      <c r="P207" s="417">
        <v>25.486321843302829</v>
      </c>
      <c r="Q207" s="417">
        <v>28.251667238774107</v>
      </c>
      <c r="R207" s="417">
        <v>30.866679006779822</v>
      </c>
      <c r="S207" s="417">
        <v>33.257681276800554</v>
      </c>
      <c r="T207" s="417">
        <v>35.277979664185445</v>
      </c>
      <c r="U207" s="418">
        <v>36.916592403377578</v>
      </c>
      <c r="V207" s="419">
        <v>37.998269068468169</v>
      </c>
      <c r="W207" s="417">
        <v>38.662228214499976</v>
      </c>
      <c r="X207" s="417">
        <v>38.836478336062228</v>
      </c>
      <c r="Y207" s="417">
        <v>38.956147120476544</v>
      </c>
      <c r="Z207" s="417">
        <v>38.625428374102768</v>
      </c>
      <c r="AA207" s="417">
        <v>37.852975921291581</v>
      </c>
    </row>
    <row r="208" spans="1:27" x14ac:dyDescent="0.3">
      <c r="A208" s="386">
        <v>4</v>
      </c>
      <c r="B208" s="387" t="s">
        <v>742</v>
      </c>
      <c r="C208" s="417">
        <v>0</v>
      </c>
      <c r="D208" s="417">
        <v>0</v>
      </c>
      <c r="E208" s="417">
        <v>0</v>
      </c>
      <c r="F208" s="417">
        <v>0</v>
      </c>
      <c r="G208" s="417">
        <v>0</v>
      </c>
      <c r="H208" s="417">
        <v>0</v>
      </c>
      <c r="I208" s="417">
        <v>0</v>
      </c>
      <c r="J208" s="418">
        <v>0</v>
      </c>
      <c r="K208" s="419">
        <v>4.3901040284671997E-2</v>
      </c>
      <c r="L208" s="417">
        <v>0.1254827152154635</v>
      </c>
      <c r="M208" s="417">
        <v>0.25882532190943669</v>
      </c>
      <c r="N208" s="418">
        <v>0.44689044227893188</v>
      </c>
      <c r="O208" s="419">
        <v>0.62603286676559078</v>
      </c>
      <c r="P208" s="417">
        <v>0.84471983906469561</v>
      </c>
      <c r="Q208" s="417">
        <v>1.1509733380417475</v>
      </c>
      <c r="R208" s="417">
        <v>1.5471153299520894</v>
      </c>
      <c r="S208" s="417">
        <v>2.0508815104467839</v>
      </c>
      <c r="T208" s="417">
        <v>2.6429956528795153</v>
      </c>
      <c r="U208" s="418">
        <v>3.416041048096083</v>
      </c>
      <c r="V208" s="419">
        <v>4.5417596705596841</v>
      </c>
      <c r="W208" s="417">
        <v>6.2359266120904566</v>
      </c>
      <c r="X208" s="417">
        <v>8.6279132997041579</v>
      </c>
      <c r="Y208" s="417">
        <v>11.168419563386676</v>
      </c>
      <c r="Z208" s="417">
        <v>14.059628807108375</v>
      </c>
      <c r="AA208" s="417">
        <v>17.13477826957347</v>
      </c>
    </row>
    <row r="209" spans="1:27" ht="15" thickBot="1" x14ac:dyDescent="0.35">
      <c r="A209" s="395"/>
      <c r="B209" s="396" t="s">
        <v>690</v>
      </c>
      <c r="C209" s="420">
        <f t="shared" ref="C209:AA209" si="20">SUM(C205:C208)</f>
        <v>14.806411874910758</v>
      </c>
      <c r="D209" s="420">
        <f t="shared" si="20"/>
        <v>16.167553777840027</v>
      </c>
      <c r="E209" s="420">
        <f t="shared" si="20"/>
        <v>19.997299951456839</v>
      </c>
      <c r="F209" s="420">
        <f t="shared" si="20"/>
        <v>22.488462854425215</v>
      </c>
      <c r="G209" s="420">
        <f t="shared" si="20"/>
        <v>25.826367415371628</v>
      </c>
      <c r="H209" s="420">
        <f t="shared" si="20"/>
        <v>29.885681157752366</v>
      </c>
      <c r="I209" s="420">
        <f t="shared" si="20"/>
        <v>32.58745682650796</v>
      </c>
      <c r="J209" s="420">
        <f t="shared" si="20"/>
        <v>35.005613201154212</v>
      </c>
      <c r="K209" s="421">
        <f t="shared" si="20"/>
        <v>38.376399914908845</v>
      </c>
      <c r="L209" s="421">
        <f t="shared" si="20"/>
        <v>43.156036585583614</v>
      </c>
      <c r="M209" s="421">
        <f t="shared" si="20"/>
        <v>47.28063878376647</v>
      </c>
      <c r="N209" s="421">
        <f t="shared" si="20"/>
        <v>52.824974370874948</v>
      </c>
      <c r="O209" s="422">
        <f t="shared" si="20"/>
        <v>58.802246545673135</v>
      </c>
      <c r="P209" s="422">
        <f t="shared" si="20"/>
        <v>64.961032727724685</v>
      </c>
      <c r="Q209" s="422">
        <f t="shared" si="20"/>
        <v>71.594934789368025</v>
      </c>
      <c r="R209" s="422">
        <f t="shared" si="20"/>
        <v>77.750370938940733</v>
      </c>
      <c r="S209" s="422">
        <f t="shared" si="20"/>
        <v>83.634176540451179</v>
      </c>
      <c r="T209" s="422">
        <f t="shared" si="20"/>
        <v>89.176762393250655</v>
      </c>
      <c r="U209" s="422">
        <f t="shared" si="20"/>
        <v>94.364733608294117</v>
      </c>
      <c r="V209" s="423">
        <f t="shared" si="20"/>
        <v>99.142930743317805</v>
      </c>
      <c r="W209" s="423">
        <f t="shared" si="20"/>
        <v>103.56933933784713</v>
      </c>
      <c r="X209" s="423">
        <f t="shared" si="20"/>
        <v>107.82525584286059</v>
      </c>
      <c r="Y209" s="423">
        <f t="shared" si="20"/>
        <v>111.87039595448464</v>
      </c>
      <c r="Z209" s="423">
        <f t="shared" si="20"/>
        <v>115.72480000231994</v>
      </c>
      <c r="AA209" s="423">
        <f t="shared" si="20"/>
        <v>119.25104418480984</v>
      </c>
    </row>
    <row r="210" spans="1:27" ht="15" thickTop="1" x14ac:dyDescent="0.3">
      <c r="A210"/>
      <c r="B210"/>
      <c r="C210" s="395"/>
      <c r="D210" s="395"/>
      <c r="E210" s="395"/>
      <c r="F210" s="395"/>
      <c r="G210" s="395"/>
      <c r="H210" s="395"/>
      <c r="I210" s="395"/>
      <c r="J210" s="395"/>
      <c r="K210" s="395"/>
      <c r="L210" s="395"/>
      <c r="M210" s="395"/>
      <c r="N210" s="395"/>
      <c r="O210" s="395"/>
      <c r="P210" s="395"/>
      <c r="Q210" s="395"/>
      <c r="R210" s="395"/>
      <c r="S210" s="395"/>
      <c r="T210" s="395"/>
      <c r="U210" s="395"/>
      <c r="V210" s="395"/>
      <c r="W210" s="395"/>
      <c r="X210" s="395"/>
      <c r="Y210" s="395"/>
      <c r="Z210" s="395"/>
      <c r="AA210" s="395"/>
    </row>
    <row r="211" spans="1:27" x14ac:dyDescent="0.3">
      <c r="A211" s="401" t="s">
        <v>784</v>
      </c>
      <c r="B211" s="413" t="s">
        <v>785</v>
      </c>
      <c r="C211" s="813" t="s">
        <v>753</v>
      </c>
      <c r="D211" s="813"/>
      <c r="E211" s="813"/>
      <c r="F211" s="813"/>
      <c r="G211" s="813"/>
      <c r="H211" s="813"/>
      <c r="I211" s="813"/>
      <c r="J211" s="813"/>
      <c r="K211" s="813"/>
      <c r="L211" s="813"/>
      <c r="M211" s="813"/>
      <c r="N211" s="813"/>
      <c r="O211" s="813"/>
      <c r="P211" s="813"/>
      <c r="Q211" s="813"/>
      <c r="R211" s="813"/>
      <c r="S211" s="813"/>
      <c r="T211" s="813"/>
      <c r="U211" s="813"/>
      <c r="V211" s="813"/>
      <c r="W211" s="813"/>
      <c r="X211" s="813"/>
      <c r="Y211" s="813"/>
      <c r="Z211" s="813"/>
      <c r="AA211" s="813"/>
    </row>
    <row r="212" spans="1:27" x14ac:dyDescent="0.3">
      <c r="A212" s="386">
        <v>1</v>
      </c>
      <c r="B212" s="387" t="s">
        <v>739</v>
      </c>
      <c r="C212" s="414">
        <v>0.60338648799506511</v>
      </c>
      <c r="D212" s="414">
        <v>0.7655318023994242</v>
      </c>
      <c r="E212" s="414">
        <v>1.0077068556897488</v>
      </c>
      <c r="F212" s="414">
        <v>1.2885897949415919</v>
      </c>
      <c r="G212" s="414">
        <v>1.736685901857056</v>
      </c>
      <c r="H212" s="414">
        <v>2.5571434213854718</v>
      </c>
      <c r="I212" s="414">
        <v>2.6361725764765929</v>
      </c>
      <c r="J212" s="415">
        <v>3.4842420186273415</v>
      </c>
      <c r="K212" s="416">
        <v>4.5648112034861699</v>
      </c>
      <c r="L212" s="414">
        <v>5.2546205347619441</v>
      </c>
      <c r="M212" s="414">
        <v>5.3840163096928508</v>
      </c>
      <c r="N212" s="415">
        <v>5.2907542344083325</v>
      </c>
      <c r="O212" s="416">
        <v>5.1207112829911479</v>
      </c>
      <c r="P212" s="414">
        <v>4.8812712573511821</v>
      </c>
      <c r="Q212" s="414">
        <v>4.6790388687055371</v>
      </c>
      <c r="R212" s="414">
        <v>4.4513272772523091</v>
      </c>
      <c r="S212" s="414">
        <v>4.0003198090722449</v>
      </c>
      <c r="T212" s="414">
        <v>3.5282518688175548</v>
      </c>
      <c r="U212" s="415">
        <v>2.9746942193178687</v>
      </c>
      <c r="V212" s="416">
        <v>2.5333137108725006</v>
      </c>
      <c r="W212" s="414">
        <v>2.2237855384733072</v>
      </c>
      <c r="X212" s="414">
        <v>2.0165650901275485</v>
      </c>
      <c r="Y212" s="414">
        <v>1.8557697699580471</v>
      </c>
      <c r="Z212" s="414">
        <v>1.7191850466428942</v>
      </c>
      <c r="AA212" s="414">
        <v>1.5984361856186222</v>
      </c>
    </row>
    <row r="213" spans="1:27" x14ac:dyDescent="0.3">
      <c r="A213" s="386">
        <v>2</v>
      </c>
      <c r="B213" s="387" t="s">
        <v>740</v>
      </c>
      <c r="C213" s="417">
        <v>106.24569351907537</v>
      </c>
      <c r="D213" s="417">
        <v>100.63389445147395</v>
      </c>
      <c r="E213" s="417">
        <v>111.64574934477399</v>
      </c>
      <c r="F213" s="417">
        <v>116.76565594911669</v>
      </c>
      <c r="G213" s="417">
        <v>127.42548549871198</v>
      </c>
      <c r="H213" s="417">
        <v>141.09549545581837</v>
      </c>
      <c r="I213" s="417">
        <v>146.69955161586728</v>
      </c>
      <c r="J213" s="418">
        <v>152.1298411887575</v>
      </c>
      <c r="K213" s="419">
        <v>162.34325779319178</v>
      </c>
      <c r="L213" s="417">
        <v>170.27577607280364</v>
      </c>
      <c r="M213" s="417">
        <v>163.58939824562131</v>
      </c>
      <c r="N213" s="418">
        <v>158.94955358060758</v>
      </c>
      <c r="O213" s="419">
        <v>154.14989349816284</v>
      </c>
      <c r="P213" s="417">
        <v>147.93970394918298</v>
      </c>
      <c r="Q213" s="417">
        <v>140.34173227636995</v>
      </c>
      <c r="R213" s="417">
        <v>129.20223807971956</v>
      </c>
      <c r="S213" s="417">
        <v>114.50354775010399</v>
      </c>
      <c r="T213" s="417">
        <v>100.74674040040577</v>
      </c>
      <c r="U213" s="418">
        <v>85.792113429061885</v>
      </c>
      <c r="V213" s="419">
        <v>73.358899943391108</v>
      </c>
      <c r="W213" s="417">
        <v>63.838050218381142</v>
      </c>
      <c r="X213" s="417">
        <v>56.997227391279523</v>
      </c>
      <c r="Y213" s="417">
        <v>51.987463182750105</v>
      </c>
      <c r="Z213" s="417">
        <v>47.8526136173354</v>
      </c>
      <c r="AA213" s="417">
        <v>44.201733080203724</v>
      </c>
    </row>
    <row r="214" spans="1:27" x14ac:dyDescent="0.3">
      <c r="A214" s="386">
        <v>3</v>
      </c>
      <c r="B214" s="387" t="s">
        <v>741</v>
      </c>
      <c r="C214" s="417">
        <v>5.2068356124722959</v>
      </c>
      <c r="D214" s="417">
        <v>6.3649578361897321</v>
      </c>
      <c r="E214" s="417">
        <v>7.1510707154058091</v>
      </c>
      <c r="F214" s="417">
        <v>8.9937216819338381</v>
      </c>
      <c r="G214" s="417">
        <v>10.968687607207753</v>
      </c>
      <c r="H214" s="417">
        <v>11.648915249657833</v>
      </c>
      <c r="I214" s="417">
        <v>13.159101946905079</v>
      </c>
      <c r="J214" s="418">
        <v>15.1613283574476</v>
      </c>
      <c r="K214" s="419">
        <v>16.55822455048251</v>
      </c>
      <c r="L214" s="417">
        <v>17.783153284400374</v>
      </c>
      <c r="M214" s="417">
        <v>17.431029888336525</v>
      </c>
      <c r="N214" s="418">
        <v>16.603609673896731</v>
      </c>
      <c r="O214" s="419">
        <v>15.634312199383745</v>
      </c>
      <c r="P214" s="417">
        <v>14.585582040591007</v>
      </c>
      <c r="Q214" s="417">
        <v>13.352960696642487</v>
      </c>
      <c r="R214" s="417">
        <v>12.060727588367435</v>
      </c>
      <c r="S214" s="417">
        <v>10.587294343060858</v>
      </c>
      <c r="T214" s="417">
        <v>9.4484051280043921</v>
      </c>
      <c r="U214" s="418">
        <v>8.3053625588669604</v>
      </c>
      <c r="V214" s="419">
        <v>7.2651224455119205</v>
      </c>
      <c r="W214" s="417">
        <v>6.3715026155214387</v>
      </c>
      <c r="X214" s="417">
        <v>5.6274090015939722</v>
      </c>
      <c r="Y214" s="417">
        <v>5.0835891992941704</v>
      </c>
      <c r="Z214" s="417">
        <v>4.6448058311604425</v>
      </c>
      <c r="AA214" s="417">
        <v>4.2728302797070299</v>
      </c>
    </row>
    <row r="215" spans="1:27" x14ac:dyDescent="0.3">
      <c r="A215" s="386">
        <v>4</v>
      </c>
      <c r="B215" s="387" t="s">
        <v>754</v>
      </c>
      <c r="C215" s="417">
        <v>16.607295534742242</v>
      </c>
      <c r="D215" s="417">
        <v>11.827039723482663</v>
      </c>
      <c r="E215" s="417">
        <v>13.664875546001875</v>
      </c>
      <c r="F215" s="417">
        <v>12.681834173213904</v>
      </c>
      <c r="G215" s="417">
        <v>12.210145882144925</v>
      </c>
      <c r="H215" s="417">
        <v>11.868544357454873</v>
      </c>
      <c r="I215" s="417">
        <v>10.412957694703453</v>
      </c>
      <c r="J215" s="418">
        <v>10.6046134319892</v>
      </c>
      <c r="K215" s="419">
        <v>11.570604959028872</v>
      </c>
      <c r="L215" s="417">
        <v>11.334169639031842</v>
      </c>
      <c r="M215" s="417">
        <v>9.7222830336728645</v>
      </c>
      <c r="N215" s="418">
        <v>6.7640467767819352</v>
      </c>
      <c r="O215" s="419">
        <v>4.7224995014821936</v>
      </c>
      <c r="P215" s="417">
        <v>2.8996176439276931</v>
      </c>
      <c r="Q215" s="417">
        <v>1.5347976243993009</v>
      </c>
      <c r="R215" s="417">
        <v>0.77500115285444926</v>
      </c>
      <c r="S215" s="417">
        <v>8.9542442476765058E-2</v>
      </c>
      <c r="T215" s="417">
        <v>7.3220633890090815E-5</v>
      </c>
      <c r="U215" s="418">
        <v>7.5292934523775161E-5</v>
      </c>
      <c r="V215" s="419">
        <v>6.1790730450870881E-5</v>
      </c>
      <c r="W215" s="417">
        <v>1.1159591778992311E-4</v>
      </c>
      <c r="X215" s="417">
        <v>7.9947535554336906E-5</v>
      </c>
      <c r="Y215" s="417">
        <v>6.2302151172432985E-5</v>
      </c>
      <c r="Z215" s="417">
        <v>1.3917832507017372E-4</v>
      </c>
      <c r="AA215" s="417">
        <v>1.1030608847284671E-4</v>
      </c>
    </row>
    <row r="216" spans="1:27" x14ac:dyDescent="0.3">
      <c r="A216" s="386">
        <v>5</v>
      </c>
      <c r="B216" s="387" t="s">
        <v>326</v>
      </c>
      <c r="C216" s="417">
        <v>0</v>
      </c>
      <c r="D216" s="417">
        <v>0</v>
      </c>
      <c r="E216" s="417">
        <v>0</v>
      </c>
      <c r="F216" s="417">
        <v>0</v>
      </c>
      <c r="G216" s="417">
        <v>0</v>
      </c>
      <c r="H216" s="417">
        <v>0</v>
      </c>
      <c r="I216" s="417">
        <v>0</v>
      </c>
      <c r="J216" s="418">
        <v>0</v>
      </c>
      <c r="K216" s="419">
        <v>2.5287005137787497E-4</v>
      </c>
      <c r="L216" s="417">
        <v>5.8760840343427729E-4</v>
      </c>
      <c r="M216" s="417">
        <v>7.2606194567661705E-4</v>
      </c>
      <c r="N216" s="418">
        <v>8.4441069296582814E-4</v>
      </c>
      <c r="O216" s="419">
        <v>1.1203266075498666E-3</v>
      </c>
      <c r="P216" s="417">
        <v>1.7393050202264828E-3</v>
      </c>
      <c r="Q216" s="417">
        <v>4.8621524106745532E-3</v>
      </c>
      <c r="R216" s="417">
        <v>1.475113639062043E-2</v>
      </c>
      <c r="S216" s="417">
        <v>3.4386844808021115E-2</v>
      </c>
      <c r="T216" s="417">
        <v>5.1557731233207969E-2</v>
      </c>
      <c r="U216" s="418">
        <v>6.4760530200222086E-2</v>
      </c>
      <c r="V216" s="419">
        <v>5.7849429896791133E-3</v>
      </c>
      <c r="W216" s="417">
        <v>6.0807934985076788E-3</v>
      </c>
      <c r="X216" s="417">
        <v>6.4835689133937871E-3</v>
      </c>
      <c r="Y216" s="417">
        <v>6.9363223229660402E-3</v>
      </c>
      <c r="Z216" s="417">
        <v>7.3663685539165531E-3</v>
      </c>
      <c r="AA216" s="417">
        <v>7.8062485619182715E-3</v>
      </c>
    </row>
    <row r="217" spans="1:27" x14ac:dyDescent="0.3">
      <c r="A217" s="386">
        <v>6</v>
      </c>
      <c r="B217" s="387" t="s">
        <v>755</v>
      </c>
      <c r="C217" s="417">
        <v>1.7575585159939366</v>
      </c>
      <c r="D217" s="417">
        <v>2.3660926739358827</v>
      </c>
      <c r="E217" s="417">
        <v>2.7943882845962853</v>
      </c>
      <c r="F217" s="417">
        <v>1.9667998125100463</v>
      </c>
      <c r="G217" s="417">
        <v>1.3177260779242654</v>
      </c>
      <c r="H217" s="417">
        <v>1.206175480711049</v>
      </c>
      <c r="I217" s="417">
        <v>1.0904410181566606</v>
      </c>
      <c r="J217" s="418">
        <v>0.91349460005161953</v>
      </c>
      <c r="K217" s="419">
        <v>0.65863828945705383</v>
      </c>
      <c r="L217" s="417">
        <v>0.23936586934524953</v>
      </c>
      <c r="M217" s="417">
        <v>4.1616487740356471E-2</v>
      </c>
      <c r="N217" s="418">
        <v>2.4827022642091287E-2</v>
      </c>
      <c r="O217" s="419">
        <v>1.2587023023335536E-2</v>
      </c>
      <c r="P217" s="417">
        <v>3.279749245332871E-3</v>
      </c>
      <c r="Q217" s="417">
        <v>6.211813389551857E-4</v>
      </c>
      <c r="R217" s="417">
        <v>3.7987163973802954E-5</v>
      </c>
      <c r="S217" s="417">
        <v>2.8540227114216835E-5</v>
      </c>
      <c r="T217" s="417">
        <v>1.5369790348295387E-5</v>
      </c>
      <c r="U217" s="418">
        <v>1.4498122216332556E-5</v>
      </c>
      <c r="V217" s="419">
        <v>1.3420930892598383E-5</v>
      </c>
      <c r="W217" s="417">
        <v>9.5897431849413583E-6</v>
      </c>
      <c r="X217" s="417">
        <v>1.2897485656392425E-5</v>
      </c>
      <c r="Y217" s="417">
        <v>1.7889665840324199E-5</v>
      </c>
      <c r="Z217" s="417">
        <v>5.2030610787216934E-5</v>
      </c>
      <c r="AA217" s="417">
        <v>2.4057647807362088E-5</v>
      </c>
    </row>
    <row r="218" spans="1:27" ht="15" thickBot="1" x14ac:dyDescent="0.35">
      <c r="A218" s="395"/>
      <c r="B218" s="396" t="s">
        <v>690</v>
      </c>
      <c r="C218" s="420">
        <f t="shared" ref="C218:AA218" si="21">SUM(C212:C217)</f>
        <v>130.4207696702789</v>
      </c>
      <c r="D218" s="420">
        <f t="shared" si="21"/>
        <v>121.95751648748164</v>
      </c>
      <c r="E218" s="420">
        <f t="shared" si="21"/>
        <v>136.26379074646772</v>
      </c>
      <c r="F218" s="420">
        <f t="shared" si="21"/>
        <v>141.69660141171605</v>
      </c>
      <c r="G218" s="420">
        <f t="shared" si="21"/>
        <v>153.658730967846</v>
      </c>
      <c r="H218" s="420">
        <f t="shared" si="21"/>
        <v>168.37627396502759</v>
      </c>
      <c r="I218" s="420">
        <f t="shared" si="21"/>
        <v>173.99822485210908</v>
      </c>
      <c r="J218" s="420">
        <f t="shared" si="21"/>
        <v>182.29351959687327</v>
      </c>
      <c r="K218" s="421">
        <f t="shared" si="21"/>
        <v>195.69578966569779</v>
      </c>
      <c r="L218" s="421">
        <f t="shared" si="21"/>
        <v>204.8876730087465</v>
      </c>
      <c r="M218" s="421">
        <f t="shared" si="21"/>
        <v>196.16907002700955</v>
      </c>
      <c r="N218" s="421">
        <f t="shared" si="21"/>
        <v>187.63363569902961</v>
      </c>
      <c r="O218" s="422">
        <f t="shared" si="21"/>
        <v>179.64112383165082</v>
      </c>
      <c r="P218" s="422">
        <f t="shared" si="21"/>
        <v>170.31119394531845</v>
      </c>
      <c r="Q218" s="422">
        <f t="shared" si="21"/>
        <v>159.9140127998669</v>
      </c>
      <c r="R218" s="422">
        <f t="shared" si="21"/>
        <v>146.50408322174837</v>
      </c>
      <c r="S218" s="422">
        <f t="shared" si="21"/>
        <v>129.21511972974895</v>
      </c>
      <c r="T218" s="422">
        <f t="shared" si="21"/>
        <v>113.77504371888516</v>
      </c>
      <c r="U218" s="422">
        <f t="shared" si="21"/>
        <v>97.137020528503669</v>
      </c>
      <c r="V218" s="423">
        <f t="shared" si="21"/>
        <v>83.163196254426566</v>
      </c>
      <c r="W218" s="423">
        <f t="shared" si="21"/>
        <v>72.439540351535371</v>
      </c>
      <c r="X218" s="423">
        <f t="shared" si="21"/>
        <v>64.647777896935651</v>
      </c>
      <c r="Y218" s="423">
        <f t="shared" si="21"/>
        <v>58.933838666142293</v>
      </c>
      <c r="Z218" s="423">
        <f t="shared" si="21"/>
        <v>54.224162072628509</v>
      </c>
      <c r="AA218" s="423">
        <f t="shared" si="21"/>
        <v>50.080940157827577</v>
      </c>
    </row>
    <row r="219" spans="1:27" ht="15" thickTop="1" x14ac:dyDescent="0.3">
      <c r="A219"/>
      <c r="B219"/>
      <c r="C219" s="395"/>
      <c r="D219" s="395"/>
      <c r="E219" s="395"/>
      <c r="F219" s="395"/>
      <c r="G219" s="395"/>
      <c r="H219" s="395"/>
      <c r="I219" s="395"/>
      <c r="J219" s="395"/>
      <c r="K219" s="395"/>
      <c r="L219" s="395"/>
      <c r="M219" s="395"/>
      <c r="N219" s="395"/>
      <c r="O219" s="395"/>
      <c r="P219" s="395"/>
      <c r="Q219" s="395"/>
      <c r="R219" s="395"/>
      <c r="S219" s="395"/>
      <c r="T219" s="395"/>
      <c r="U219" s="395"/>
      <c r="V219" s="395"/>
      <c r="W219" s="395"/>
      <c r="X219" s="395"/>
      <c r="Y219" s="395"/>
      <c r="Z219" s="395"/>
      <c r="AA219" s="395"/>
    </row>
    <row r="220" spans="1:27" ht="26.4" x14ac:dyDescent="0.3">
      <c r="A220" s="401" t="s">
        <v>786</v>
      </c>
      <c r="B220" s="413" t="s">
        <v>787</v>
      </c>
      <c r="C220" s="813" t="s">
        <v>753</v>
      </c>
      <c r="D220" s="813"/>
      <c r="E220" s="813"/>
      <c r="F220" s="813"/>
      <c r="G220" s="813"/>
      <c r="H220" s="813"/>
      <c r="I220" s="813"/>
      <c r="J220" s="813"/>
      <c r="K220" s="813"/>
      <c r="L220" s="813"/>
      <c r="M220" s="813"/>
      <c r="N220" s="813"/>
      <c r="O220" s="813"/>
      <c r="P220" s="813"/>
      <c r="Q220" s="813"/>
      <c r="R220" s="813"/>
      <c r="S220" s="813"/>
      <c r="T220" s="813"/>
      <c r="U220" s="813"/>
      <c r="V220" s="813"/>
      <c r="W220" s="813"/>
      <c r="X220" s="813"/>
      <c r="Y220" s="813"/>
      <c r="Z220" s="813"/>
      <c r="AA220" s="813"/>
    </row>
    <row r="221" spans="1:27" x14ac:dyDescent="0.3">
      <c r="A221" s="386">
        <v>1</v>
      </c>
      <c r="B221" s="387" t="s">
        <v>740</v>
      </c>
      <c r="C221" s="414">
        <v>0.10446066</v>
      </c>
      <c r="D221" s="414">
        <v>0.22608720000000002</v>
      </c>
      <c r="E221" s="414">
        <v>0.30119839200000004</v>
      </c>
      <c r="F221" s="414">
        <v>0.444135744</v>
      </c>
      <c r="G221" s="414">
        <v>0.45164519985896745</v>
      </c>
      <c r="H221" s="414">
        <v>0.85230164771302874</v>
      </c>
      <c r="I221" s="414">
        <v>2.4255425955049206</v>
      </c>
      <c r="J221" s="415">
        <v>3.2325089180372983</v>
      </c>
      <c r="K221" s="416">
        <v>4.0145308248668083</v>
      </c>
      <c r="L221" s="414">
        <v>4.5501928024739682</v>
      </c>
      <c r="M221" s="414">
        <v>4.8437328067927901</v>
      </c>
      <c r="N221" s="415">
        <v>8.6191882408235205</v>
      </c>
      <c r="O221" s="416">
        <v>12.205506450023496</v>
      </c>
      <c r="P221" s="414">
        <v>14.304252335706634</v>
      </c>
      <c r="Q221" s="414">
        <v>18.52947082392631</v>
      </c>
      <c r="R221" s="414">
        <v>26.394940229525584</v>
      </c>
      <c r="S221" s="414">
        <v>36.142297583843671</v>
      </c>
      <c r="T221" s="414">
        <v>42.176005146554729</v>
      </c>
      <c r="U221" s="415">
        <v>45.66365878328088</v>
      </c>
      <c r="V221" s="416">
        <v>49.820080191705358</v>
      </c>
      <c r="W221" s="414">
        <v>53.575264247889095</v>
      </c>
      <c r="X221" s="414">
        <v>56.628809835331218</v>
      </c>
      <c r="Y221" s="414">
        <v>58.989186463962426</v>
      </c>
      <c r="Z221" s="414">
        <v>60.532799166866724</v>
      </c>
      <c r="AA221" s="414">
        <v>60.897312540358023</v>
      </c>
    </row>
    <row r="222" spans="1:27" x14ac:dyDescent="0.3">
      <c r="A222" s="386">
        <v>2</v>
      </c>
      <c r="B222" s="387" t="s">
        <v>754</v>
      </c>
      <c r="C222" s="417">
        <v>0</v>
      </c>
      <c r="D222" s="417">
        <v>0</v>
      </c>
      <c r="E222" s="417">
        <v>0</v>
      </c>
      <c r="F222" s="417">
        <v>0</v>
      </c>
      <c r="G222" s="417">
        <v>0</v>
      </c>
      <c r="H222" s="417">
        <v>1.9347888091173524E-2</v>
      </c>
      <c r="I222" s="417">
        <v>3.7327122117605097E-2</v>
      </c>
      <c r="J222" s="418">
        <v>6.5015666717867654E-2</v>
      </c>
      <c r="K222" s="419">
        <v>0.10307576207314904</v>
      </c>
      <c r="L222" s="417">
        <v>9.8689560979255922E-2</v>
      </c>
      <c r="M222" s="417">
        <v>8.9787812649239601E-2</v>
      </c>
      <c r="N222" s="418">
        <v>8.734810161052721E-2</v>
      </c>
      <c r="O222" s="419">
        <v>0.12215437104888714</v>
      </c>
      <c r="P222" s="417">
        <v>0.22897439327443572</v>
      </c>
      <c r="Q222" s="417">
        <v>0.293359305292623</v>
      </c>
      <c r="R222" s="417">
        <v>8.6852814370036377E-2</v>
      </c>
      <c r="S222" s="417">
        <v>0.16568580407287314</v>
      </c>
      <c r="T222" s="417">
        <v>0.25769019460993842</v>
      </c>
      <c r="U222" s="418">
        <v>0.27678655725969259</v>
      </c>
      <c r="V222" s="419">
        <v>0.18064408288896294</v>
      </c>
      <c r="W222" s="417">
        <v>0.11569419408211054</v>
      </c>
      <c r="X222" s="417">
        <v>7.442998599342622E-2</v>
      </c>
      <c r="Y222" s="417">
        <v>0.101014477852232</v>
      </c>
      <c r="Z222" s="417">
        <v>6.3149431419392332E-2</v>
      </c>
      <c r="AA222" s="417">
        <v>6.8410678169183128E-2</v>
      </c>
    </row>
    <row r="223" spans="1:27" x14ac:dyDescent="0.3">
      <c r="A223" s="386">
        <v>3</v>
      </c>
      <c r="B223" s="387" t="s">
        <v>755</v>
      </c>
      <c r="C223" s="417">
        <v>0</v>
      </c>
      <c r="D223" s="417">
        <v>0</v>
      </c>
      <c r="E223" s="417">
        <v>0</v>
      </c>
      <c r="F223" s="417">
        <v>2.5120800000000005E-4</v>
      </c>
      <c r="G223" s="417">
        <v>4.1868E-5</v>
      </c>
      <c r="H223" s="417">
        <v>4.0775812400433804E-3</v>
      </c>
      <c r="I223" s="417">
        <v>1.2215847748532172E-2</v>
      </c>
      <c r="J223" s="418">
        <v>4.2133159324686279E-3</v>
      </c>
      <c r="K223" s="419">
        <v>1.9548272507975725E-3</v>
      </c>
      <c r="L223" s="417">
        <v>1.4146158852328108E-3</v>
      </c>
      <c r="M223" s="417">
        <v>4.5638410329309435E-4</v>
      </c>
      <c r="N223" s="418">
        <v>2.1619591973425314E-4</v>
      </c>
      <c r="O223" s="419">
        <v>1.1879875180728267E-4</v>
      </c>
      <c r="P223" s="417">
        <v>2.7525497091318108E-5</v>
      </c>
      <c r="Q223" s="417">
        <v>7.0498984350894496E-6</v>
      </c>
      <c r="R223" s="417">
        <v>4.1959887185927656E-6</v>
      </c>
      <c r="S223" s="417">
        <v>4.0181731610276788E-6</v>
      </c>
      <c r="T223" s="417">
        <v>2.4082300558069216E-6</v>
      </c>
      <c r="U223" s="418">
        <v>1.9091760702034129E-6</v>
      </c>
      <c r="V223" s="419">
        <v>1.8993472355958511E-6</v>
      </c>
      <c r="W223" s="417">
        <v>1.4271275692225933E-6</v>
      </c>
      <c r="X223" s="417">
        <v>1.5440647096906215E-6</v>
      </c>
      <c r="Y223" s="417">
        <v>2.4719548404696758E-6</v>
      </c>
      <c r="Z223" s="417">
        <v>9.1920944318172422E-6</v>
      </c>
      <c r="AA223" s="417">
        <v>3.1890341630032711E-6</v>
      </c>
    </row>
    <row r="224" spans="1:27" ht="15" thickBot="1" x14ac:dyDescent="0.35">
      <c r="A224" s="395"/>
      <c r="B224" s="396" t="s">
        <v>690</v>
      </c>
      <c r="C224" s="420">
        <f t="shared" ref="C224:AA224" si="22">SUM(C221:C223)</f>
        <v>0.10446066</v>
      </c>
      <c r="D224" s="420">
        <f t="shared" si="22"/>
        <v>0.22608720000000002</v>
      </c>
      <c r="E224" s="420">
        <f t="shared" si="22"/>
        <v>0.30119839200000004</v>
      </c>
      <c r="F224" s="420">
        <f t="shared" si="22"/>
        <v>0.444386952</v>
      </c>
      <c r="G224" s="420">
        <f t="shared" si="22"/>
        <v>0.45168706785896745</v>
      </c>
      <c r="H224" s="420">
        <f t="shared" si="22"/>
        <v>0.87572711704424566</v>
      </c>
      <c r="I224" s="420">
        <f t="shared" si="22"/>
        <v>2.4750855653710579</v>
      </c>
      <c r="J224" s="420">
        <f t="shared" si="22"/>
        <v>3.3017379006876348</v>
      </c>
      <c r="K224" s="421">
        <f t="shared" si="22"/>
        <v>4.1195614141907546</v>
      </c>
      <c r="L224" s="421">
        <f t="shared" si="22"/>
        <v>4.6502969793384574</v>
      </c>
      <c r="M224" s="421">
        <f t="shared" si="22"/>
        <v>4.9339770035453228</v>
      </c>
      <c r="N224" s="421">
        <f t="shared" si="22"/>
        <v>8.7067525383537809</v>
      </c>
      <c r="O224" s="422">
        <f t="shared" si="22"/>
        <v>12.32777961982419</v>
      </c>
      <c r="P224" s="422">
        <f t="shared" si="22"/>
        <v>14.533254254478161</v>
      </c>
      <c r="Q224" s="422">
        <f t="shared" si="22"/>
        <v>18.822837179117368</v>
      </c>
      <c r="R224" s="422">
        <f t="shared" si="22"/>
        <v>26.48179723988434</v>
      </c>
      <c r="S224" s="422">
        <f t="shared" si="22"/>
        <v>36.307987406089701</v>
      </c>
      <c r="T224" s="422">
        <f t="shared" si="22"/>
        <v>42.433697749394717</v>
      </c>
      <c r="U224" s="422">
        <f t="shared" si="22"/>
        <v>45.940447249716641</v>
      </c>
      <c r="V224" s="423">
        <f t="shared" si="22"/>
        <v>50.000726173941551</v>
      </c>
      <c r="W224" s="423">
        <f t="shared" si="22"/>
        <v>53.690959869098776</v>
      </c>
      <c r="X224" s="423">
        <f t="shared" si="22"/>
        <v>56.703241365389353</v>
      </c>
      <c r="Y224" s="423">
        <f t="shared" si="22"/>
        <v>59.090203413769501</v>
      </c>
      <c r="Z224" s="423">
        <f t="shared" si="22"/>
        <v>60.595957790380545</v>
      </c>
      <c r="AA224" s="423">
        <f t="shared" si="22"/>
        <v>60.96572640756137</v>
      </c>
    </row>
    <row r="225" spans="1:27" ht="15" thickTop="1" x14ac:dyDescent="0.3">
      <c r="A225"/>
      <c r="B225"/>
      <c r="C225" s="395"/>
      <c r="D225" s="395"/>
      <c r="E225" s="395"/>
      <c r="F225" s="395"/>
      <c r="G225" s="395"/>
      <c r="H225" s="395"/>
      <c r="I225" s="395"/>
      <c r="J225" s="395"/>
      <c r="K225" s="395"/>
      <c r="L225" s="395"/>
      <c r="M225" s="395"/>
      <c r="N225" s="395"/>
      <c r="O225" s="395"/>
      <c r="P225" s="395"/>
      <c r="Q225" s="395"/>
      <c r="R225" s="395"/>
      <c r="S225" s="395"/>
      <c r="T225" s="395"/>
      <c r="U225" s="395"/>
      <c r="V225" s="395"/>
      <c r="W225" s="395"/>
      <c r="X225" s="395"/>
      <c r="Y225" s="395"/>
      <c r="Z225" s="395"/>
      <c r="AA225" s="395"/>
    </row>
    <row r="226" spans="1:27" ht="26.4" x14ac:dyDescent="0.3">
      <c r="A226" s="401" t="s">
        <v>788</v>
      </c>
      <c r="B226" s="413" t="s">
        <v>789</v>
      </c>
      <c r="C226" s="813" t="s">
        <v>753</v>
      </c>
      <c r="D226" s="813"/>
      <c r="E226" s="813"/>
      <c r="F226" s="813"/>
      <c r="G226" s="813"/>
      <c r="H226" s="813"/>
      <c r="I226" s="813"/>
      <c r="J226" s="813"/>
      <c r="K226" s="813"/>
      <c r="L226" s="813"/>
      <c r="M226" s="813"/>
      <c r="N226" s="813"/>
      <c r="O226" s="813"/>
      <c r="P226" s="813"/>
      <c r="Q226" s="813"/>
      <c r="R226" s="813"/>
      <c r="S226" s="813"/>
      <c r="T226" s="813"/>
      <c r="U226" s="813"/>
      <c r="V226" s="813"/>
      <c r="W226" s="813"/>
      <c r="X226" s="813"/>
      <c r="Y226" s="813"/>
      <c r="Z226" s="813"/>
      <c r="AA226" s="813"/>
    </row>
    <row r="227" spans="1:27" x14ac:dyDescent="0.3">
      <c r="A227" s="386">
        <v>1</v>
      </c>
      <c r="B227" s="387" t="s">
        <v>740</v>
      </c>
      <c r="C227" s="414">
        <v>0</v>
      </c>
      <c r="D227" s="414">
        <v>3.2206153846153847E-3</v>
      </c>
      <c r="E227" s="414">
        <v>9.4370471999999983E-2</v>
      </c>
      <c r="F227" s="414">
        <v>0.11916010614162126</v>
      </c>
      <c r="G227" s="414">
        <v>7.7372064000000018E-2</v>
      </c>
      <c r="H227" s="414">
        <v>0.18103723200000002</v>
      </c>
      <c r="I227" s="414">
        <v>0.28687953599999999</v>
      </c>
      <c r="J227" s="415">
        <v>0.72892188000000024</v>
      </c>
      <c r="K227" s="416">
        <v>1.1499338298534736</v>
      </c>
      <c r="L227" s="414">
        <v>1.1046705639561136</v>
      </c>
      <c r="M227" s="414">
        <v>1.069442852210263</v>
      </c>
      <c r="N227" s="415">
        <v>1.0518118868789232</v>
      </c>
      <c r="O227" s="416">
        <v>1.0416770383163647</v>
      </c>
      <c r="P227" s="414">
        <v>1.0306722822957584</v>
      </c>
      <c r="Q227" s="414">
        <v>1.0291946067046343</v>
      </c>
      <c r="R227" s="414">
        <v>1.0382751573527964</v>
      </c>
      <c r="S227" s="414">
        <v>1.0602545730265955</v>
      </c>
      <c r="T227" s="414">
        <v>1.1005062253473208</v>
      </c>
      <c r="U227" s="415">
        <v>1.0983004583089826</v>
      </c>
      <c r="V227" s="416">
        <v>1.0572404937039501</v>
      </c>
      <c r="W227" s="414">
        <v>1.053438140177503</v>
      </c>
      <c r="X227" s="414">
        <v>1.0513258349442689</v>
      </c>
      <c r="Y227" s="414">
        <v>1.0501177934782948</v>
      </c>
      <c r="Z227" s="414">
        <v>1.0494333817517936</v>
      </c>
      <c r="AA227" s="414">
        <v>1.0490102367709453</v>
      </c>
    </row>
    <row r="228" spans="1:27" x14ac:dyDescent="0.3">
      <c r="A228" s="386">
        <v>2</v>
      </c>
      <c r="B228" s="387" t="s">
        <v>741</v>
      </c>
      <c r="C228" s="417">
        <v>40.075276104846409</v>
      </c>
      <c r="D228" s="417">
        <v>43.956471390854894</v>
      </c>
      <c r="E228" s="417">
        <v>45.310585174956813</v>
      </c>
      <c r="F228" s="417">
        <v>49.334508328716176</v>
      </c>
      <c r="G228" s="417">
        <v>55.544374747847151</v>
      </c>
      <c r="H228" s="417">
        <v>60.016998339686928</v>
      </c>
      <c r="I228" s="417">
        <v>67.694357122227444</v>
      </c>
      <c r="J228" s="418">
        <v>72.158081616345257</v>
      </c>
      <c r="K228" s="419">
        <v>78.116072259785355</v>
      </c>
      <c r="L228" s="417">
        <v>81.466415295343381</v>
      </c>
      <c r="M228" s="417">
        <v>78.867273748456327</v>
      </c>
      <c r="N228" s="418">
        <v>74.119525014014883</v>
      </c>
      <c r="O228" s="419">
        <v>68.363222405789344</v>
      </c>
      <c r="P228" s="417">
        <v>61.105972664960838</v>
      </c>
      <c r="Q228" s="417">
        <v>54.25643395674286</v>
      </c>
      <c r="R228" s="417">
        <v>49.769736902870648</v>
      </c>
      <c r="S228" s="417">
        <v>45.680509722911928</v>
      </c>
      <c r="T228" s="417">
        <v>42.258839229292761</v>
      </c>
      <c r="U228" s="418">
        <v>42.55784905767274</v>
      </c>
      <c r="V228" s="419">
        <v>43.39562928436019</v>
      </c>
      <c r="W228" s="417">
        <v>43.98138155604039</v>
      </c>
      <c r="X228" s="417">
        <v>44.103727804737083</v>
      </c>
      <c r="Y228" s="417">
        <v>44.338321420784808</v>
      </c>
      <c r="Z228" s="417">
        <v>44.244839870664691</v>
      </c>
      <c r="AA228" s="417">
        <v>43.954108346221147</v>
      </c>
    </row>
    <row r="229" spans="1:27" x14ac:dyDescent="0.3">
      <c r="A229" s="386">
        <v>3</v>
      </c>
      <c r="B229" s="387" t="s">
        <v>754</v>
      </c>
      <c r="C229" s="417">
        <v>9.6606252463471591</v>
      </c>
      <c r="D229" s="417">
        <v>12.437850598883418</v>
      </c>
      <c r="E229" s="417">
        <v>16.877142217833285</v>
      </c>
      <c r="F229" s="417">
        <v>19.290717614121551</v>
      </c>
      <c r="G229" s="417">
        <v>25.076216859947611</v>
      </c>
      <c r="H229" s="417">
        <v>32.500577278175136</v>
      </c>
      <c r="I229" s="417">
        <v>40.726996052407564</v>
      </c>
      <c r="J229" s="418">
        <v>45.577186313170557</v>
      </c>
      <c r="K229" s="419">
        <v>52.450035022395355</v>
      </c>
      <c r="L229" s="417">
        <v>64.229243042674781</v>
      </c>
      <c r="M229" s="417">
        <v>73.963155120708322</v>
      </c>
      <c r="N229" s="418">
        <v>79.441227486062587</v>
      </c>
      <c r="O229" s="419">
        <v>77.911723407599936</v>
      </c>
      <c r="P229" s="417">
        <v>70.445400911427555</v>
      </c>
      <c r="Q229" s="417">
        <v>57.531795139803336</v>
      </c>
      <c r="R229" s="417">
        <v>42.404658715659288</v>
      </c>
      <c r="S229" s="417">
        <v>28.051417771076327</v>
      </c>
      <c r="T229" s="417">
        <v>14.88553424118359</v>
      </c>
      <c r="U229" s="418">
        <v>7.4032381480604732</v>
      </c>
      <c r="V229" s="419">
        <v>5.8520796652554061</v>
      </c>
      <c r="W229" s="417">
        <v>4.9638404193889274</v>
      </c>
      <c r="X229" s="417">
        <v>4.4486705189991946</v>
      </c>
      <c r="Y229" s="417">
        <v>4.5209120932419795</v>
      </c>
      <c r="Z229" s="417">
        <v>4.8444152755197498</v>
      </c>
      <c r="AA229" s="417">
        <v>4.8817080509367194</v>
      </c>
    </row>
    <row r="230" spans="1:27" x14ac:dyDescent="0.3">
      <c r="A230" s="386">
        <v>4</v>
      </c>
      <c r="B230" s="387" t="s">
        <v>326</v>
      </c>
      <c r="C230" s="417">
        <v>0</v>
      </c>
      <c r="D230" s="417">
        <v>0</v>
      </c>
      <c r="E230" s="417">
        <v>0</v>
      </c>
      <c r="F230" s="417">
        <v>0</v>
      </c>
      <c r="G230" s="417">
        <v>0</v>
      </c>
      <c r="H230" s="417">
        <v>0</v>
      </c>
      <c r="I230" s="417">
        <v>0</v>
      </c>
      <c r="J230" s="418">
        <v>0</v>
      </c>
      <c r="K230" s="419">
        <v>3.1247690121231922E-2</v>
      </c>
      <c r="L230" s="417">
        <v>0.10379976970828969</v>
      </c>
      <c r="M230" s="417">
        <v>0.20561067909312544</v>
      </c>
      <c r="N230" s="418">
        <v>0.32384211305928101</v>
      </c>
      <c r="O230" s="419">
        <v>0.41386198807483032</v>
      </c>
      <c r="P230" s="417">
        <v>0.41835527563556324</v>
      </c>
      <c r="Q230" s="417">
        <v>0.43791966763363349</v>
      </c>
      <c r="R230" s="417">
        <v>0.57734854663280255</v>
      </c>
      <c r="S230" s="417">
        <v>1.1506515338251848</v>
      </c>
      <c r="T230" s="417">
        <v>1.9082802634014766</v>
      </c>
      <c r="U230" s="418">
        <v>2.4960444588082913</v>
      </c>
      <c r="V230" s="419">
        <v>2.843560384699185</v>
      </c>
      <c r="W230" s="417">
        <v>3.2092713085219864</v>
      </c>
      <c r="X230" s="417">
        <v>3.4743894780122022</v>
      </c>
      <c r="Y230" s="417">
        <v>3.6682294312816301</v>
      </c>
      <c r="Z230" s="417">
        <v>3.8007251844464114</v>
      </c>
      <c r="AA230" s="417">
        <v>3.886118069409255</v>
      </c>
    </row>
    <row r="231" spans="1:27" x14ac:dyDescent="0.3">
      <c r="A231" s="386">
        <v>5</v>
      </c>
      <c r="B231" s="387" t="s">
        <v>755</v>
      </c>
      <c r="C231" s="417">
        <v>1.7505371698213261</v>
      </c>
      <c r="D231" s="417">
        <v>2.722170227033839</v>
      </c>
      <c r="E231" s="417">
        <v>8.01026660141072</v>
      </c>
      <c r="F231" s="417">
        <v>7.0760536389874726</v>
      </c>
      <c r="G231" s="417">
        <v>6.5193636622016093</v>
      </c>
      <c r="H231" s="417">
        <v>6.6214194379026443</v>
      </c>
      <c r="I231" s="417">
        <v>6.429880114516731</v>
      </c>
      <c r="J231" s="418">
        <v>5.2860982495602844</v>
      </c>
      <c r="K231" s="419">
        <v>5.0463860232085649</v>
      </c>
      <c r="L231" s="417">
        <v>4.7012619790163823</v>
      </c>
      <c r="M231" s="417">
        <v>4.1545703623881121</v>
      </c>
      <c r="N231" s="418">
        <v>3.6061564473322774</v>
      </c>
      <c r="O231" s="419">
        <v>3.0214399646801464</v>
      </c>
      <c r="P231" s="417">
        <v>2.3811760374527142</v>
      </c>
      <c r="Q231" s="417">
        <v>1.7836196690920665</v>
      </c>
      <c r="R231" s="417">
        <v>1.248668335586824</v>
      </c>
      <c r="S231" s="417">
        <v>0.75285100958076356</v>
      </c>
      <c r="T231" s="417">
        <v>0.28124828705253763</v>
      </c>
      <c r="U231" s="418">
        <v>0.10745484782137958</v>
      </c>
      <c r="V231" s="419">
        <v>8.2048515099458944E-2</v>
      </c>
      <c r="W231" s="417">
        <v>6.3194699132957124E-2</v>
      </c>
      <c r="X231" s="417">
        <v>4.768253681003156E-2</v>
      </c>
      <c r="Y231" s="417">
        <v>3.40066434775953E-2</v>
      </c>
      <c r="Z231" s="417">
        <v>2.7112692547137305E-2</v>
      </c>
      <c r="AA231" s="417">
        <v>1.996831928501927E-2</v>
      </c>
    </row>
    <row r="232" spans="1:27" ht="15" thickBot="1" x14ac:dyDescent="0.35">
      <c r="A232" s="395"/>
      <c r="B232" s="396" t="s">
        <v>690</v>
      </c>
      <c r="C232" s="420">
        <f t="shared" ref="C232:AA232" si="23">SUM(C227:C231)</f>
        <v>51.486438521014897</v>
      </c>
      <c r="D232" s="420">
        <f t="shared" si="23"/>
        <v>59.119712832156765</v>
      </c>
      <c r="E232" s="420">
        <f t="shared" si="23"/>
        <v>70.292364466200823</v>
      </c>
      <c r="F232" s="420">
        <f t="shared" si="23"/>
        <v>75.820439687966825</v>
      </c>
      <c r="G232" s="420">
        <f t="shared" si="23"/>
        <v>87.21732733399638</v>
      </c>
      <c r="H232" s="420">
        <f t="shared" si="23"/>
        <v>99.320032287764704</v>
      </c>
      <c r="I232" s="420">
        <f t="shared" si="23"/>
        <v>115.13811282515174</v>
      </c>
      <c r="J232" s="420">
        <f t="shared" si="23"/>
        <v>123.7502880590761</v>
      </c>
      <c r="K232" s="421">
        <f t="shared" si="23"/>
        <v>136.79367482536398</v>
      </c>
      <c r="L232" s="421">
        <f t="shared" si="23"/>
        <v>151.60539065069898</v>
      </c>
      <c r="M232" s="421">
        <f t="shared" si="23"/>
        <v>158.26005276285613</v>
      </c>
      <c r="N232" s="421">
        <f t="shared" si="23"/>
        <v>158.54256294734793</v>
      </c>
      <c r="O232" s="422">
        <f t="shared" si="23"/>
        <v>150.75192480446063</v>
      </c>
      <c r="P232" s="422">
        <f t="shared" si="23"/>
        <v>135.38157717177245</v>
      </c>
      <c r="Q232" s="422">
        <f t="shared" si="23"/>
        <v>115.03896303997652</v>
      </c>
      <c r="R232" s="422">
        <f t="shared" si="23"/>
        <v>95.038687658102376</v>
      </c>
      <c r="S232" s="422">
        <f t="shared" si="23"/>
        <v>76.695684610420798</v>
      </c>
      <c r="T232" s="422">
        <f t="shared" si="23"/>
        <v>60.434408246277691</v>
      </c>
      <c r="U232" s="422">
        <f t="shared" si="23"/>
        <v>53.66288697067187</v>
      </c>
      <c r="V232" s="423">
        <f t="shared" si="23"/>
        <v>53.23055834311819</v>
      </c>
      <c r="W232" s="423">
        <f t="shared" si="23"/>
        <v>53.271126123261766</v>
      </c>
      <c r="X232" s="423">
        <f t="shared" si="23"/>
        <v>53.125796173502778</v>
      </c>
      <c r="Y232" s="423">
        <f t="shared" si="23"/>
        <v>53.611587382264311</v>
      </c>
      <c r="Z232" s="423">
        <f t="shared" si="23"/>
        <v>53.966526404929787</v>
      </c>
      <c r="AA232" s="423">
        <f t="shared" si="23"/>
        <v>53.790913022623087</v>
      </c>
    </row>
    <row r="233" spans="1:27" ht="15" thickTop="1" x14ac:dyDescent="0.3">
      <c r="A233"/>
      <c r="B233"/>
      <c r="C233" s="395"/>
      <c r="D233" s="395"/>
      <c r="E233" s="395"/>
      <c r="F233" s="395"/>
      <c r="G233" s="395"/>
      <c r="H233" s="395"/>
      <c r="I233" s="395"/>
      <c r="J233" s="395"/>
      <c r="K233" s="395"/>
      <c r="L233" s="395"/>
      <c r="M233" s="395"/>
      <c r="N233" s="395"/>
      <c r="O233" s="395"/>
      <c r="P233" s="395"/>
      <c r="Q233" s="395"/>
      <c r="R233" s="395"/>
      <c r="S233" s="395"/>
      <c r="T233" s="395"/>
      <c r="U233" s="395"/>
      <c r="V233" s="395"/>
      <c r="W233" s="395"/>
      <c r="X233" s="395"/>
      <c r="Y233" s="395"/>
      <c r="Z233" s="395"/>
      <c r="AA233" s="395"/>
    </row>
    <row r="234" spans="1:27" x14ac:dyDescent="0.3">
      <c r="A234" s="401" t="s">
        <v>790</v>
      </c>
      <c r="B234" s="413" t="s">
        <v>791</v>
      </c>
      <c r="C234" s="813" t="s">
        <v>753</v>
      </c>
      <c r="D234" s="813"/>
      <c r="E234" s="813"/>
      <c r="F234" s="813"/>
      <c r="G234" s="813"/>
      <c r="H234" s="813"/>
      <c r="I234" s="813"/>
      <c r="J234" s="813"/>
      <c r="K234" s="813"/>
      <c r="L234" s="813"/>
      <c r="M234" s="813"/>
      <c r="N234" s="813"/>
      <c r="O234" s="813"/>
      <c r="P234" s="813"/>
      <c r="Q234" s="813"/>
      <c r="R234" s="813"/>
      <c r="S234" s="813"/>
      <c r="T234" s="813"/>
      <c r="U234" s="813"/>
      <c r="V234" s="813"/>
      <c r="W234" s="813"/>
      <c r="X234" s="813"/>
      <c r="Y234" s="813"/>
      <c r="Z234" s="813"/>
      <c r="AA234" s="813"/>
    </row>
    <row r="235" spans="1:27" x14ac:dyDescent="0.3">
      <c r="A235" s="386">
        <v>1</v>
      </c>
      <c r="B235" s="387" t="s">
        <v>739</v>
      </c>
      <c r="C235" s="414">
        <v>36.070731182518827</v>
      </c>
      <c r="D235" s="414">
        <v>36.901185878849752</v>
      </c>
      <c r="E235" s="414">
        <v>38.424689915314772</v>
      </c>
      <c r="F235" s="414">
        <v>32.659499473011863</v>
      </c>
      <c r="G235" s="414">
        <v>28.005339609458794</v>
      </c>
      <c r="H235" s="414">
        <v>40.81013642324961</v>
      </c>
      <c r="I235" s="414">
        <v>55.709144885271755</v>
      </c>
      <c r="J235" s="415">
        <v>55.887381978574609</v>
      </c>
      <c r="K235" s="416">
        <v>52.001335528626093</v>
      </c>
      <c r="L235" s="414">
        <v>51.795248453185629</v>
      </c>
      <c r="M235" s="414">
        <v>52.191701446728921</v>
      </c>
      <c r="N235" s="415">
        <v>54.166077410769503</v>
      </c>
      <c r="O235" s="416">
        <v>57.614995321293662</v>
      </c>
      <c r="P235" s="414">
        <v>62.697629380308179</v>
      </c>
      <c r="Q235" s="414">
        <v>66.735727609675166</v>
      </c>
      <c r="R235" s="414">
        <v>67.465280012022319</v>
      </c>
      <c r="S235" s="414">
        <v>64.25241365274232</v>
      </c>
      <c r="T235" s="414">
        <v>58.991625807305077</v>
      </c>
      <c r="U235" s="415">
        <v>53.598029294323908</v>
      </c>
      <c r="V235" s="416">
        <v>50.099203538991567</v>
      </c>
      <c r="W235" s="414">
        <v>48.43027974920161</v>
      </c>
      <c r="X235" s="414">
        <v>48.064674912271698</v>
      </c>
      <c r="Y235" s="414">
        <v>48.800776545027482</v>
      </c>
      <c r="Z235" s="414">
        <v>49.803353398575211</v>
      </c>
      <c r="AA235" s="414">
        <v>50.627273360961937</v>
      </c>
    </row>
    <row r="236" spans="1:27" x14ac:dyDescent="0.3">
      <c r="A236" s="386">
        <v>2</v>
      </c>
      <c r="B236" s="387" t="s">
        <v>740</v>
      </c>
      <c r="C236" s="417">
        <v>9.1350006659877192E-2</v>
      </c>
      <c r="D236" s="417">
        <v>0.53335405708636374</v>
      </c>
      <c r="E236" s="417">
        <v>0.5971113777700886</v>
      </c>
      <c r="F236" s="417">
        <v>0.60902937300000004</v>
      </c>
      <c r="G236" s="417">
        <v>0.64142124900000008</v>
      </c>
      <c r="H236" s="417">
        <v>0.27447963000000003</v>
      </c>
      <c r="I236" s="417">
        <v>0.31184681999999997</v>
      </c>
      <c r="J236" s="418">
        <v>0.43910809500000003</v>
      </c>
      <c r="K236" s="419">
        <v>1.0623417307333944</v>
      </c>
      <c r="L236" s="417">
        <v>1.0661006538190896</v>
      </c>
      <c r="M236" s="417">
        <v>1.0713987212151943</v>
      </c>
      <c r="N236" s="418">
        <v>1.080600391264686</v>
      </c>
      <c r="O236" s="419">
        <v>1.1010588993746122</v>
      </c>
      <c r="P236" s="417">
        <v>1.1213446344213376</v>
      </c>
      <c r="Q236" s="417">
        <v>1.1518949674571191</v>
      </c>
      <c r="R236" s="417">
        <v>1.1965461761945122</v>
      </c>
      <c r="S236" s="417">
        <v>1.2580889886630597</v>
      </c>
      <c r="T236" s="417">
        <v>1.3424376531675302</v>
      </c>
      <c r="U236" s="418">
        <v>1.3735196490875416</v>
      </c>
      <c r="V236" s="419">
        <v>1.4154428963017542</v>
      </c>
      <c r="W236" s="417">
        <v>1.4301785886510689</v>
      </c>
      <c r="X236" s="417">
        <v>1.438207573777017</v>
      </c>
      <c r="Y236" s="417">
        <v>1.4440289779157245</v>
      </c>
      <c r="Z236" s="417">
        <v>1.4484739556940387</v>
      </c>
      <c r="AA236" s="417">
        <v>1.4518653845465497</v>
      </c>
    </row>
    <row r="237" spans="1:27" x14ac:dyDescent="0.3">
      <c r="A237" s="386">
        <v>3</v>
      </c>
      <c r="B237" s="387" t="s">
        <v>741</v>
      </c>
      <c r="C237" s="417">
        <v>2.9276125359837093</v>
      </c>
      <c r="D237" s="417">
        <v>2.8015599426936197</v>
      </c>
      <c r="E237" s="417">
        <v>3.008771207610299</v>
      </c>
      <c r="F237" s="417">
        <v>2.8928052176196197</v>
      </c>
      <c r="G237" s="417">
        <v>2.7912732002028817</v>
      </c>
      <c r="H237" s="417">
        <v>3.4798668305668947</v>
      </c>
      <c r="I237" s="417">
        <v>4.5701367872896537</v>
      </c>
      <c r="J237" s="418">
        <v>5.1477808018881817</v>
      </c>
      <c r="K237" s="419">
        <v>5.0709637262518568</v>
      </c>
      <c r="L237" s="417">
        <v>4.9541255085934566</v>
      </c>
      <c r="M237" s="417">
        <v>4.6668075654649641</v>
      </c>
      <c r="N237" s="418">
        <v>4.1674432096740581</v>
      </c>
      <c r="O237" s="419">
        <v>3.3825661858448632</v>
      </c>
      <c r="P237" s="417">
        <v>2.5782775985220483</v>
      </c>
      <c r="Q237" s="417">
        <v>1.3768634295355051</v>
      </c>
      <c r="R237" s="417">
        <v>0.27472352831446972</v>
      </c>
      <c r="S237" s="417">
        <v>0.26117943336022931</v>
      </c>
      <c r="T237" s="417">
        <v>0.25364769336829718</v>
      </c>
      <c r="U237" s="418">
        <v>0.24910489278109521</v>
      </c>
      <c r="V237" s="419">
        <v>0.24248215548349325</v>
      </c>
      <c r="W237" s="417">
        <v>0.2348876857637405</v>
      </c>
      <c r="X237" s="417">
        <v>0.22380705817090155</v>
      </c>
      <c r="Y237" s="417">
        <v>0.20190152602950728</v>
      </c>
      <c r="Z237" s="417">
        <v>0.15622746457647005</v>
      </c>
      <c r="AA237" s="417">
        <v>0.12088581637019856</v>
      </c>
    </row>
    <row r="238" spans="1:27" x14ac:dyDescent="0.3">
      <c r="A238" s="386">
        <v>4</v>
      </c>
      <c r="B238" s="387" t="s">
        <v>754</v>
      </c>
      <c r="C238" s="417">
        <v>32.015823432641405</v>
      </c>
      <c r="D238" s="417">
        <v>37.641093624799204</v>
      </c>
      <c r="E238" s="417">
        <v>45.536546123835066</v>
      </c>
      <c r="F238" s="417">
        <v>51.791351976701996</v>
      </c>
      <c r="G238" s="417">
        <v>60.702587270889907</v>
      </c>
      <c r="H238" s="417">
        <v>75.189690907866407</v>
      </c>
      <c r="I238" s="417">
        <v>85.861370687871457</v>
      </c>
      <c r="J238" s="418">
        <v>91.770470853213325</v>
      </c>
      <c r="K238" s="419">
        <v>91.110034938417726</v>
      </c>
      <c r="L238" s="417">
        <v>92.71090451437712</v>
      </c>
      <c r="M238" s="417">
        <v>88.05183258767201</v>
      </c>
      <c r="N238" s="418">
        <v>78.753157290862006</v>
      </c>
      <c r="O238" s="419">
        <v>62.300140968831769</v>
      </c>
      <c r="P238" s="417">
        <v>42.707933759594773</v>
      </c>
      <c r="Q238" s="417">
        <v>27.203370054430248</v>
      </c>
      <c r="R238" s="417">
        <v>13.069919263651968</v>
      </c>
      <c r="S238" s="417">
        <v>5.4027308081806762</v>
      </c>
      <c r="T238" s="417">
        <v>2.4483150606408159</v>
      </c>
      <c r="U238" s="418">
        <v>0.63786469005002566</v>
      </c>
      <c r="V238" s="419">
        <v>7.4547722193598634E-2</v>
      </c>
      <c r="W238" s="417">
        <v>5.5633981097284166E-2</v>
      </c>
      <c r="X238" s="417">
        <v>4.044403712952168E-2</v>
      </c>
      <c r="Y238" s="417">
        <v>2.9937132951410182E-2</v>
      </c>
      <c r="Z238" s="417">
        <v>3.1039026501108707E-2</v>
      </c>
      <c r="AA238" s="417">
        <v>3.1087476562952042E-2</v>
      </c>
    </row>
    <row r="239" spans="1:27" x14ac:dyDescent="0.3">
      <c r="A239" s="386">
        <v>5</v>
      </c>
      <c r="B239" s="387" t="s">
        <v>326</v>
      </c>
      <c r="C239" s="417">
        <v>0</v>
      </c>
      <c r="D239" s="417">
        <v>0</v>
      </c>
      <c r="E239" s="417">
        <v>0</v>
      </c>
      <c r="F239" s="417">
        <v>0</v>
      </c>
      <c r="G239" s="417">
        <v>0</v>
      </c>
      <c r="H239" s="417">
        <v>0</v>
      </c>
      <c r="I239" s="417">
        <v>0</v>
      </c>
      <c r="J239" s="418">
        <v>0</v>
      </c>
      <c r="K239" s="419">
        <v>2.0379880381098069E-2</v>
      </c>
      <c r="L239" s="417">
        <v>5.0769673495230094E-2</v>
      </c>
      <c r="M239" s="417">
        <v>5.6503798081063157E-2</v>
      </c>
      <c r="N239" s="418">
        <v>6.0964566816852098E-2</v>
      </c>
      <c r="O239" s="419">
        <v>6.4536545067459886E-2</v>
      </c>
      <c r="P239" s="417">
        <v>6.2341677570753894E-2</v>
      </c>
      <c r="Q239" s="417">
        <v>5.7417049143601809E-2</v>
      </c>
      <c r="R239" s="417">
        <v>5.0335850023747693E-2</v>
      </c>
      <c r="S239" s="417">
        <v>4.3564204455202316E-2</v>
      </c>
      <c r="T239" s="417">
        <v>3.7030870699869274E-2</v>
      </c>
      <c r="U239" s="418">
        <v>2.9653028719237119E-2</v>
      </c>
      <c r="V239" s="419">
        <v>4.7912662253512593E-5</v>
      </c>
      <c r="W239" s="417">
        <v>3.5151348139539382E-5</v>
      </c>
      <c r="X239" s="417">
        <v>6.2710584207753572E-5</v>
      </c>
      <c r="Y239" s="417">
        <v>6.5712591693271457E-5</v>
      </c>
      <c r="Z239" s="417">
        <v>9.0982385597196714E-5</v>
      </c>
      <c r="AA239" s="417">
        <v>1.293325917573248E-4</v>
      </c>
    </row>
    <row r="240" spans="1:27" x14ac:dyDescent="0.3">
      <c r="A240" s="386">
        <v>6</v>
      </c>
      <c r="B240" s="387" t="s">
        <v>755</v>
      </c>
      <c r="C240" s="417">
        <v>4.657812313028975</v>
      </c>
      <c r="D240" s="417">
        <v>5.0110031414884793</v>
      </c>
      <c r="E240" s="417">
        <v>5.9515111958432323</v>
      </c>
      <c r="F240" s="417">
        <v>4.9108977771280093</v>
      </c>
      <c r="G240" s="417">
        <v>5.0915425735196287</v>
      </c>
      <c r="H240" s="417">
        <v>5.9745546586549594</v>
      </c>
      <c r="I240" s="417">
        <v>6.9037715531395918</v>
      </c>
      <c r="J240" s="418">
        <v>7.6418006656035953</v>
      </c>
      <c r="K240" s="419">
        <v>8.1222834857472375</v>
      </c>
      <c r="L240" s="417">
        <v>8.8858261797948046</v>
      </c>
      <c r="M240" s="417">
        <v>8.3621045431778178</v>
      </c>
      <c r="N240" s="418">
        <v>6.7541724306569382</v>
      </c>
      <c r="O240" s="419">
        <v>5.38898895038513</v>
      </c>
      <c r="P240" s="417">
        <v>4.2087503176171959</v>
      </c>
      <c r="Q240" s="417">
        <v>3.2200714134828643</v>
      </c>
      <c r="R240" s="417">
        <v>2.4485644741580104</v>
      </c>
      <c r="S240" s="417">
        <v>1.8194654902021057</v>
      </c>
      <c r="T240" s="417">
        <v>1.1014243564129949</v>
      </c>
      <c r="U240" s="418">
        <v>0.3432777208393708</v>
      </c>
      <c r="V240" s="419">
        <v>9.2468577918922462E-2</v>
      </c>
      <c r="W240" s="417">
        <v>7.1614309293765999E-2</v>
      </c>
      <c r="X240" s="417">
        <v>5.4782875305735196E-2</v>
      </c>
      <c r="Y240" s="417">
        <v>4.0220307106736748E-2</v>
      </c>
      <c r="Z240" s="417">
        <v>3.0346933485830407E-2</v>
      </c>
      <c r="AA240" s="417">
        <v>2.0912142064412061E-2</v>
      </c>
    </row>
    <row r="241" spans="1:27" ht="15" thickBot="1" x14ac:dyDescent="0.35">
      <c r="A241" s="395"/>
      <c r="B241" s="396" t="s">
        <v>690</v>
      </c>
      <c r="C241" s="420">
        <f t="shared" ref="C241:AA241" si="24">SUM(C235:C240)</f>
        <v>75.763329470832801</v>
      </c>
      <c r="D241" s="420">
        <f t="shared" si="24"/>
        <v>82.888196644917414</v>
      </c>
      <c r="E241" s="420">
        <f t="shared" si="24"/>
        <v>93.518629820373462</v>
      </c>
      <c r="F241" s="420">
        <f t="shared" si="24"/>
        <v>92.863583817461489</v>
      </c>
      <c r="G241" s="420">
        <f t="shared" si="24"/>
        <v>97.232163903071211</v>
      </c>
      <c r="H241" s="420">
        <f t="shared" si="24"/>
        <v>125.72872845033788</v>
      </c>
      <c r="I241" s="420">
        <f t="shared" si="24"/>
        <v>153.35627073357247</v>
      </c>
      <c r="J241" s="420">
        <f t="shared" si="24"/>
        <v>160.8865423942797</v>
      </c>
      <c r="K241" s="421">
        <f t="shared" si="24"/>
        <v>157.3873392901574</v>
      </c>
      <c r="L241" s="421">
        <f t="shared" si="24"/>
        <v>159.46297498326533</v>
      </c>
      <c r="M241" s="421">
        <f t="shared" si="24"/>
        <v>154.40034866233995</v>
      </c>
      <c r="N241" s="421">
        <f t="shared" si="24"/>
        <v>144.98241530004407</v>
      </c>
      <c r="O241" s="422">
        <f t="shared" si="24"/>
        <v>129.85228687079751</v>
      </c>
      <c r="P241" s="422">
        <f t="shared" si="24"/>
        <v>113.37627736803429</v>
      </c>
      <c r="Q241" s="422">
        <f t="shared" si="24"/>
        <v>99.745344523724512</v>
      </c>
      <c r="R241" s="422">
        <f t="shared" si="24"/>
        <v>84.505369304365018</v>
      </c>
      <c r="S241" s="422">
        <f t="shared" si="24"/>
        <v>73.037442577603599</v>
      </c>
      <c r="T241" s="422">
        <f t="shared" si="24"/>
        <v>64.174481441594594</v>
      </c>
      <c r="U241" s="422">
        <f t="shared" si="24"/>
        <v>56.231449275801175</v>
      </c>
      <c r="V241" s="423">
        <f t="shared" si="24"/>
        <v>51.924192803551591</v>
      </c>
      <c r="W241" s="423">
        <f t="shared" si="24"/>
        <v>50.222629465355602</v>
      </c>
      <c r="X241" s="423">
        <f t="shared" si="24"/>
        <v>49.821979167239078</v>
      </c>
      <c r="Y241" s="423">
        <f t="shared" si="24"/>
        <v>50.51693020162255</v>
      </c>
      <c r="Z241" s="423">
        <f t="shared" si="24"/>
        <v>51.469531761218263</v>
      </c>
      <c r="AA241" s="423">
        <f t="shared" si="24"/>
        <v>52.252153513097802</v>
      </c>
    </row>
    <row r="242" spans="1:27" ht="15" thickTop="1" x14ac:dyDescent="0.3">
      <c r="A242"/>
      <c r="B242"/>
      <c r="C242" s="395"/>
      <c r="D242" s="395"/>
      <c r="E242" s="395"/>
      <c r="F242" s="395"/>
      <c r="G242" s="395"/>
      <c r="H242" s="395"/>
      <c r="I242" s="395"/>
      <c r="J242" s="395"/>
      <c r="K242" s="395"/>
      <c r="L242" s="395"/>
      <c r="M242" s="395"/>
      <c r="N242" s="395"/>
      <c r="O242" s="395"/>
      <c r="P242" s="395"/>
      <c r="Q242" s="395"/>
      <c r="R242" s="395"/>
      <c r="S242" s="395"/>
      <c r="T242" s="395"/>
      <c r="U242" s="395"/>
      <c r="V242" s="395"/>
      <c r="W242" s="395"/>
      <c r="X242" s="395"/>
      <c r="Y242" s="395"/>
      <c r="Z242" s="395"/>
      <c r="AA242" s="395"/>
    </row>
    <row r="243" spans="1:27" ht="26.4" x14ac:dyDescent="0.3">
      <c r="A243" s="401" t="s">
        <v>792</v>
      </c>
      <c r="B243" s="413" t="s">
        <v>793</v>
      </c>
      <c r="C243" s="813" t="s">
        <v>753</v>
      </c>
      <c r="D243" s="813"/>
      <c r="E243" s="813"/>
      <c r="F243" s="813"/>
      <c r="G243" s="813"/>
      <c r="H243" s="813"/>
      <c r="I243" s="813"/>
      <c r="J243" s="813"/>
      <c r="K243" s="813"/>
      <c r="L243" s="813"/>
      <c r="M243" s="813"/>
      <c r="N243" s="813"/>
      <c r="O243" s="813"/>
      <c r="P243" s="813"/>
      <c r="Q243" s="813"/>
      <c r="R243" s="813"/>
      <c r="S243" s="813"/>
      <c r="T243" s="813"/>
      <c r="U243" s="813"/>
      <c r="V243" s="813"/>
      <c r="W243" s="813"/>
      <c r="X243" s="813"/>
      <c r="Y243" s="813"/>
      <c r="Z243" s="813"/>
      <c r="AA243" s="813"/>
    </row>
    <row r="244" spans="1:27" x14ac:dyDescent="0.3">
      <c r="A244" s="386">
        <v>1</v>
      </c>
      <c r="B244" s="387" t="s">
        <v>754</v>
      </c>
      <c r="C244" s="414">
        <v>7.7842851764428076</v>
      </c>
      <c r="D244" s="414">
        <v>16.281444764895671</v>
      </c>
      <c r="E244" s="414">
        <v>21.968851003251245</v>
      </c>
      <c r="F244" s="414">
        <v>25.450711824178214</v>
      </c>
      <c r="G244" s="414">
        <v>28.272947698538879</v>
      </c>
      <c r="H244" s="414">
        <v>30.210065787667663</v>
      </c>
      <c r="I244" s="414">
        <v>30.080663347724361</v>
      </c>
      <c r="J244" s="415">
        <v>28.062819518533217</v>
      </c>
      <c r="K244" s="416">
        <v>31.66098224605226</v>
      </c>
      <c r="L244" s="414">
        <v>36.638254495621986</v>
      </c>
      <c r="M244" s="414">
        <v>43.955355525225073</v>
      </c>
      <c r="N244" s="415">
        <v>54.320841860062188</v>
      </c>
      <c r="O244" s="416">
        <v>63.577607458839559</v>
      </c>
      <c r="P244" s="414">
        <v>72.030588560369907</v>
      </c>
      <c r="Q244" s="414">
        <v>78.848134541334474</v>
      </c>
      <c r="R244" s="414">
        <v>86.128101523337989</v>
      </c>
      <c r="S244" s="414">
        <v>92.565021810416724</v>
      </c>
      <c r="T244" s="414">
        <v>98.841346031455245</v>
      </c>
      <c r="U244" s="415">
        <v>104.554971223829</v>
      </c>
      <c r="V244" s="416">
        <v>107.24447702437662</v>
      </c>
      <c r="W244" s="414">
        <v>108.09351830307384</v>
      </c>
      <c r="X244" s="414">
        <v>107.7284659576784</v>
      </c>
      <c r="Y244" s="414">
        <v>106.0974548916362</v>
      </c>
      <c r="Z244" s="414">
        <v>103.3872191279453</v>
      </c>
      <c r="AA244" s="414">
        <v>99.870857594398785</v>
      </c>
    </row>
    <row r="245" spans="1:27" x14ac:dyDescent="0.3">
      <c r="A245" s="386">
        <v>2</v>
      </c>
      <c r="B245" s="387" t="s">
        <v>326</v>
      </c>
      <c r="C245" s="417">
        <v>0</v>
      </c>
      <c r="D245" s="417">
        <v>0</v>
      </c>
      <c r="E245" s="417">
        <v>0</v>
      </c>
      <c r="F245" s="417">
        <v>0</v>
      </c>
      <c r="G245" s="417">
        <v>0</v>
      </c>
      <c r="H245" s="417">
        <v>0</v>
      </c>
      <c r="I245" s="417">
        <v>0</v>
      </c>
      <c r="J245" s="418">
        <v>0</v>
      </c>
      <c r="K245" s="419">
        <v>1.9923768619899525E-4</v>
      </c>
      <c r="L245" s="417">
        <v>1.188158979842349E-2</v>
      </c>
      <c r="M245" s="417">
        <v>4.259282568802053E-2</v>
      </c>
      <c r="N245" s="418">
        <v>0.11409384573707611</v>
      </c>
      <c r="O245" s="419">
        <v>0.27082496774129988</v>
      </c>
      <c r="P245" s="417">
        <v>0.55832952791259982</v>
      </c>
      <c r="Q245" s="417">
        <v>1.3789368104756425</v>
      </c>
      <c r="R245" s="417">
        <v>2.5549966965574091</v>
      </c>
      <c r="S245" s="417">
        <v>4.1832728446245238</v>
      </c>
      <c r="T245" s="417">
        <v>5.796258593764346</v>
      </c>
      <c r="U245" s="418">
        <v>7.3442016645828101</v>
      </c>
      <c r="V245" s="419">
        <v>9.309770830740792</v>
      </c>
      <c r="W245" s="417">
        <v>11.441597273884266</v>
      </c>
      <c r="X245" s="417">
        <v>13.941904601310762</v>
      </c>
      <c r="Y245" s="417">
        <v>16.949448398800897</v>
      </c>
      <c r="Z245" s="417">
        <v>20.487384036664938</v>
      </c>
      <c r="AA245" s="417">
        <v>24.613827048542806</v>
      </c>
    </row>
    <row r="246" spans="1:27" x14ac:dyDescent="0.3">
      <c r="A246" s="386">
        <v>3</v>
      </c>
      <c r="B246" s="387" t="s">
        <v>755</v>
      </c>
      <c r="C246" s="417">
        <v>2.0934000000000001E-2</v>
      </c>
      <c r="D246" s="417">
        <v>2.7842220000000004E-2</v>
      </c>
      <c r="E246" s="417">
        <v>4.3150916559792099E-2</v>
      </c>
      <c r="F246" s="417">
        <v>1.9893538446041095E-2</v>
      </c>
      <c r="G246" s="417">
        <v>1.8582342023408315E-2</v>
      </c>
      <c r="H246" s="417">
        <v>1.9564392141646826E-2</v>
      </c>
      <c r="I246" s="417">
        <v>2.6602326595160746E-2</v>
      </c>
      <c r="J246" s="418">
        <v>2.5067426939428573E-2</v>
      </c>
      <c r="K246" s="419">
        <v>3.5891990099930463E-3</v>
      </c>
      <c r="L246" s="417">
        <v>7.4319928383812205E-3</v>
      </c>
      <c r="M246" s="417">
        <v>5.4496344691890557E-3</v>
      </c>
      <c r="N246" s="418">
        <v>3.8092175801975841E-3</v>
      </c>
      <c r="O246" s="419">
        <v>3.9213776641867423E-3</v>
      </c>
      <c r="P246" s="417">
        <v>1.8699910115384821E-3</v>
      </c>
      <c r="Q246" s="417">
        <v>1.0807599383917739E-3</v>
      </c>
      <c r="R246" s="417">
        <v>4.2895810283741817E-4</v>
      </c>
      <c r="S246" s="417">
        <v>2.6416107835749769E-4</v>
      </c>
      <c r="T246" s="417">
        <v>1.6171356851702923E-4</v>
      </c>
      <c r="U246" s="418">
        <v>1.228823716250863E-4</v>
      </c>
      <c r="V246" s="419">
        <v>1.0781431769616216E-4</v>
      </c>
      <c r="W246" s="417">
        <v>6.1228882152052568E-5</v>
      </c>
      <c r="X246" s="417">
        <v>3.4721177613993197E-5</v>
      </c>
      <c r="Y246" s="417">
        <v>5.1845150105566908E-5</v>
      </c>
      <c r="Z246" s="417">
        <v>1.3340260236133545E-4</v>
      </c>
      <c r="AA246" s="417">
        <v>4.6609141389299696E-5</v>
      </c>
    </row>
    <row r="247" spans="1:27" ht="15" thickBot="1" x14ac:dyDescent="0.35">
      <c r="A247" s="395"/>
      <c r="B247" s="396" t="s">
        <v>690</v>
      </c>
      <c r="C247" s="420">
        <f t="shared" ref="C247:AA247" si="25">SUM(C244:C246)</f>
        <v>7.8052191764428072</v>
      </c>
      <c r="D247" s="420">
        <f t="shared" si="25"/>
        <v>16.309286984895671</v>
      </c>
      <c r="E247" s="420">
        <f t="shared" si="25"/>
        <v>22.012001919811038</v>
      </c>
      <c r="F247" s="420">
        <f t="shared" si="25"/>
        <v>25.470605362624255</v>
      </c>
      <c r="G247" s="420">
        <f t="shared" si="25"/>
        <v>28.291530040562286</v>
      </c>
      <c r="H247" s="420">
        <f t="shared" si="25"/>
        <v>30.229630179809309</v>
      </c>
      <c r="I247" s="420">
        <f t="shared" si="25"/>
        <v>30.107265674319521</v>
      </c>
      <c r="J247" s="420">
        <f t="shared" si="25"/>
        <v>28.087886945472647</v>
      </c>
      <c r="K247" s="421">
        <f t="shared" si="25"/>
        <v>31.664770682748454</v>
      </c>
      <c r="L247" s="421">
        <f t="shared" si="25"/>
        <v>36.657568078258791</v>
      </c>
      <c r="M247" s="421">
        <f t="shared" si="25"/>
        <v>44.003397985382279</v>
      </c>
      <c r="N247" s="421">
        <f t="shared" si="25"/>
        <v>54.43874492337946</v>
      </c>
      <c r="O247" s="422">
        <f t="shared" si="25"/>
        <v>63.852353804245041</v>
      </c>
      <c r="P247" s="422">
        <f t="shared" si="25"/>
        <v>72.590788079294043</v>
      </c>
      <c r="Q247" s="422">
        <f t="shared" si="25"/>
        <v>80.2281521117485</v>
      </c>
      <c r="R247" s="422">
        <f t="shared" si="25"/>
        <v>88.683527177998243</v>
      </c>
      <c r="S247" s="422">
        <f t="shared" si="25"/>
        <v>96.748558816119612</v>
      </c>
      <c r="T247" s="422">
        <f t="shared" si="25"/>
        <v>104.63776633878811</v>
      </c>
      <c r="U247" s="422">
        <f t="shared" si="25"/>
        <v>111.89929577078344</v>
      </c>
      <c r="V247" s="423">
        <f t="shared" si="25"/>
        <v>116.55435566943511</v>
      </c>
      <c r="W247" s="423">
        <f t="shared" si="25"/>
        <v>119.53517680584025</v>
      </c>
      <c r="X247" s="423">
        <f t="shared" si="25"/>
        <v>121.67040528016678</v>
      </c>
      <c r="Y247" s="423">
        <f t="shared" si="25"/>
        <v>123.04695513558721</v>
      </c>
      <c r="Z247" s="423">
        <f t="shared" si="25"/>
        <v>123.87473656721259</v>
      </c>
      <c r="AA247" s="423">
        <f t="shared" si="25"/>
        <v>124.48473125208298</v>
      </c>
    </row>
    <row r="248" spans="1:27" ht="15" thickTop="1" x14ac:dyDescent="0.3">
      <c r="A248"/>
      <c r="B248"/>
      <c r="C248" s="395"/>
      <c r="D248" s="395"/>
      <c r="E248" s="395"/>
      <c r="F248" s="395"/>
      <c r="G248" s="395"/>
      <c r="H248" s="395"/>
      <c r="I248" s="395"/>
      <c r="J248" s="395"/>
      <c r="K248" s="395"/>
      <c r="L248" s="395"/>
      <c r="M248" s="395"/>
      <c r="N248" s="395"/>
      <c r="O248" s="395"/>
      <c r="P248" s="395"/>
      <c r="Q248" s="395"/>
      <c r="R248" s="395"/>
      <c r="S248" s="395"/>
      <c r="T248" s="395"/>
      <c r="U248" s="395"/>
      <c r="V248" s="395"/>
      <c r="W248" s="395"/>
      <c r="X248" s="395"/>
      <c r="Y248" s="395"/>
      <c r="Z248" s="395"/>
      <c r="AA248" s="395"/>
    </row>
    <row r="249" spans="1:27" ht="26.4" x14ac:dyDescent="0.3">
      <c r="A249" s="401" t="s">
        <v>794</v>
      </c>
      <c r="B249" s="413" t="s">
        <v>795</v>
      </c>
      <c r="C249" s="813" t="s">
        <v>753</v>
      </c>
      <c r="D249" s="813"/>
      <c r="E249" s="813"/>
      <c r="F249" s="813"/>
      <c r="G249" s="813"/>
      <c r="H249" s="813"/>
      <c r="I249" s="813"/>
      <c r="J249" s="813"/>
      <c r="K249" s="813"/>
      <c r="L249" s="813"/>
      <c r="M249" s="813"/>
      <c r="N249" s="813"/>
      <c r="O249" s="813"/>
      <c r="P249" s="813"/>
      <c r="Q249" s="813"/>
      <c r="R249" s="813"/>
      <c r="S249" s="813"/>
      <c r="T249" s="813"/>
      <c r="U249" s="813"/>
      <c r="V249" s="813"/>
      <c r="W249" s="813"/>
      <c r="X249" s="813"/>
      <c r="Y249" s="813"/>
      <c r="Z249" s="813"/>
      <c r="AA249" s="813"/>
    </row>
    <row r="250" spans="1:27" x14ac:dyDescent="0.3">
      <c r="A250" s="386">
        <v>1</v>
      </c>
      <c r="B250" s="387" t="s">
        <v>754</v>
      </c>
      <c r="C250" s="414">
        <v>6.2021716526057578</v>
      </c>
      <c r="D250" s="414">
        <v>7.1299533532498458</v>
      </c>
      <c r="E250" s="414">
        <v>7.7319384716989816</v>
      </c>
      <c r="F250" s="414">
        <v>8.9395585712747625</v>
      </c>
      <c r="G250" s="414">
        <v>9.4582300533240176</v>
      </c>
      <c r="H250" s="414">
        <v>10.593539340497674</v>
      </c>
      <c r="I250" s="414">
        <v>12.406896577376719</v>
      </c>
      <c r="J250" s="415">
        <v>14.027620208487081</v>
      </c>
      <c r="K250" s="416">
        <v>14.198514563324554</v>
      </c>
      <c r="L250" s="414">
        <v>14.98207615335801</v>
      </c>
      <c r="M250" s="414">
        <v>15.640803502612629</v>
      </c>
      <c r="N250" s="415">
        <v>16.500258519152165</v>
      </c>
      <c r="O250" s="416">
        <v>17.189333703831739</v>
      </c>
      <c r="P250" s="414">
        <v>17.401603125476729</v>
      </c>
      <c r="Q250" s="414">
        <v>16.914926772822298</v>
      </c>
      <c r="R250" s="414">
        <v>16.565880194938806</v>
      </c>
      <c r="S250" s="414">
        <v>17.025113932243098</v>
      </c>
      <c r="T250" s="414">
        <v>17.33708491739787</v>
      </c>
      <c r="U250" s="415">
        <v>17.445885005323202</v>
      </c>
      <c r="V250" s="416">
        <v>16.76953414102956</v>
      </c>
      <c r="W250" s="414">
        <v>16.087564184493427</v>
      </c>
      <c r="X250" s="414">
        <v>15.312777802048894</v>
      </c>
      <c r="Y250" s="414">
        <v>14.498557989008177</v>
      </c>
      <c r="Z250" s="414">
        <v>13.681550193043355</v>
      </c>
      <c r="AA250" s="414">
        <v>12.850032949665023</v>
      </c>
    </row>
    <row r="251" spans="1:27" x14ac:dyDescent="0.3">
      <c r="A251" s="386">
        <v>2</v>
      </c>
      <c r="B251" s="387" t="s">
        <v>326</v>
      </c>
      <c r="C251" s="417">
        <v>0</v>
      </c>
      <c r="D251" s="417">
        <v>0</v>
      </c>
      <c r="E251" s="417">
        <v>0</v>
      </c>
      <c r="F251" s="417">
        <v>0</v>
      </c>
      <c r="G251" s="417">
        <v>0</v>
      </c>
      <c r="H251" s="417">
        <v>0</v>
      </c>
      <c r="I251" s="417">
        <v>0</v>
      </c>
      <c r="J251" s="418">
        <v>0</v>
      </c>
      <c r="K251" s="419">
        <v>5.4580436991047456E-5</v>
      </c>
      <c r="L251" s="417">
        <v>4.6996964432342126E-4</v>
      </c>
      <c r="M251" s="417">
        <v>1.336530331842894E-2</v>
      </c>
      <c r="N251" s="418">
        <v>0.10266033852792004</v>
      </c>
      <c r="O251" s="419">
        <v>0.35647840671387637</v>
      </c>
      <c r="P251" s="417">
        <v>1.0415844599204005</v>
      </c>
      <c r="Q251" s="417">
        <v>2.4416040411735449</v>
      </c>
      <c r="R251" s="417">
        <v>3.7083797638741665</v>
      </c>
      <c r="S251" s="417">
        <v>4.1442369366941234</v>
      </c>
      <c r="T251" s="417">
        <v>4.5780186244612295</v>
      </c>
      <c r="U251" s="418">
        <v>5.1756574026325923</v>
      </c>
      <c r="V251" s="419">
        <v>5.9594924026467124</v>
      </c>
      <c r="W251" s="417">
        <v>6.7602788435947838</v>
      </c>
      <c r="X251" s="417">
        <v>7.65329503329506</v>
      </c>
      <c r="Y251" s="417">
        <v>8.5834647295974804</v>
      </c>
      <c r="Z251" s="417">
        <v>9.5162540417532817</v>
      </c>
      <c r="AA251" s="417">
        <v>10.476262262948998</v>
      </c>
    </row>
    <row r="252" spans="1:27" ht="15" thickBot="1" x14ac:dyDescent="0.35">
      <c r="A252" s="395"/>
      <c r="B252" s="396" t="s">
        <v>690</v>
      </c>
      <c r="C252" s="420">
        <f t="shared" ref="C252:AA252" si="26">SUM(C250:C251)</f>
        <v>6.2021716526057578</v>
      </c>
      <c r="D252" s="420">
        <f t="shared" si="26"/>
        <v>7.1299533532498458</v>
      </c>
      <c r="E252" s="420">
        <f t="shared" si="26"/>
        <v>7.7319384716989816</v>
      </c>
      <c r="F252" s="420">
        <f t="shared" si="26"/>
        <v>8.9395585712747625</v>
      </c>
      <c r="G252" s="420">
        <f t="shared" si="26"/>
        <v>9.4582300533240176</v>
      </c>
      <c r="H252" s="420">
        <f t="shared" si="26"/>
        <v>10.593539340497674</v>
      </c>
      <c r="I252" s="420">
        <f t="shared" si="26"/>
        <v>12.406896577376719</v>
      </c>
      <c r="J252" s="420">
        <f t="shared" si="26"/>
        <v>14.027620208487081</v>
      </c>
      <c r="K252" s="421">
        <f t="shared" si="26"/>
        <v>14.198569143761546</v>
      </c>
      <c r="L252" s="421">
        <f t="shared" si="26"/>
        <v>14.982546123002333</v>
      </c>
      <c r="M252" s="421">
        <f t="shared" si="26"/>
        <v>15.654168805931057</v>
      </c>
      <c r="N252" s="421">
        <f t="shared" si="26"/>
        <v>16.602918857680084</v>
      </c>
      <c r="O252" s="422">
        <f t="shared" si="26"/>
        <v>17.545812110545615</v>
      </c>
      <c r="P252" s="422">
        <f t="shared" si="26"/>
        <v>18.44318758539713</v>
      </c>
      <c r="Q252" s="422">
        <f t="shared" si="26"/>
        <v>19.356530813995843</v>
      </c>
      <c r="R252" s="422">
        <f t="shared" si="26"/>
        <v>20.274259958812973</v>
      </c>
      <c r="S252" s="422">
        <f t="shared" si="26"/>
        <v>21.169350868937222</v>
      </c>
      <c r="T252" s="422">
        <f t="shared" si="26"/>
        <v>21.9151035418591</v>
      </c>
      <c r="U252" s="422">
        <f t="shared" si="26"/>
        <v>22.621542407955793</v>
      </c>
      <c r="V252" s="423">
        <f t="shared" si="26"/>
        <v>22.729026543676273</v>
      </c>
      <c r="W252" s="423">
        <f t="shared" si="26"/>
        <v>22.84784302808821</v>
      </c>
      <c r="X252" s="423">
        <f t="shared" si="26"/>
        <v>22.966072835343954</v>
      </c>
      <c r="Y252" s="423">
        <f t="shared" si="26"/>
        <v>23.082022718605657</v>
      </c>
      <c r="Z252" s="423">
        <f t="shared" si="26"/>
        <v>23.197804234796635</v>
      </c>
      <c r="AA252" s="423">
        <f t="shared" si="26"/>
        <v>23.326295212614021</v>
      </c>
    </row>
    <row r="253" spans="1:27" ht="15" thickTop="1" x14ac:dyDescent="0.3">
      <c r="A253"/>
      <c r="B253"/>
      <c r="C253" s="395"/>
      <c r="D253" s="395"/>
      <c r="E253" s="395"/>
      <c r="F253" s="395"/>
      <c r="G253" s="395"/>
      <c r="H253" s="395"/>
      <c r="I253" s="395"/>
      <c r="J253" s="395"/>
      <c r="K253" s="395"/>
      <c r="L253" s="395"/>
      <c r="M253" s="395"/>
      <c r="N253" s="395"/>
      <c r="O253" s="395"/>
      <c r="P253" s="395"/>
      <c r="Q253" s="395"/>
      <c r="R253" s="395"/>
      <c r="S253" s="395"/>
      <c r="T253" s="395"/>
      <c r="U253" s="395"/>
      <c r="V253" s="395"/>
      <c r="W253" s="395"/>
      <c r="X253" s="395"/>
      <c r="Y253" s="395"/>
      <c r="Z253" s="395"/>
      <c r="AA253" s="395"/>
    </row>
    <row r="254" spans="1:27" x14ac:dyDescent="0.3">
      <c r="A254" s="401" t="s">
        <v>796</v>
      </c>
      <c r="B254" s="413" t="s">
        <v>797</v>
      </c>
      <c r="C254" s="813" t="s">
        <v>753</v>
      </c>
      <c r="D254" s="813"/>
      <c r="E254" s="813"/>
      <c r="F254" s="813"/>
      <c r="G254" s="813"/>
      <c r="H254" s="813"/>
      <c r="I254" s="813"/>
      <c r="J254" s="813"/>
      <c r="K254" s="813"/>
      <c r="L254" s="813"/>
      <c r="M254" s="813"/>
      <c r="N254" s="813"/>
      <c r="O254" s="813"/>
      <c r="P254" s="813"/>
      <c r="Q254" s="813"/>
      <c r="R254" s="813"/>
      <c r="S254" s="813"/>
      <c r="T254" s="813"/>
      <c r="U254" s="813"/>
      <c r="V254" s="813"/>
      <c r="W254" s="813"/>
      <c r="X254" s="813"/>
      <c r="Y254" s="813"/>
      <c r="Z254" s="813"/>
      <c r="AA254" s="813"/>
    </row>
    <row r="255" spans="1:27" x14ac:dyDescent="0.3">
      <c r="A255" s="386">
        <v>1</v>
      </c>
      <c r="B255" s="387" t="s">
        <v>754</v>
      </c>
      <c r="C255" s="414">
        <v>0</v>
      </c>
      <c r="D255" s="414">
        <v>0</v>
      </c>
      <c r="E255" s="414">
        <v>7.2431640000000007E-3</v>
      </c>
      <c r="F255" s="414">
        <v>9.0016200000000001E-3</v>
      </c>
      <c r="G255" s="414">
        <v>5.5684440000000005E-3</v>
      </c>
      <c r="H255" s="414">
        <v>6.4625890752996826E-3</v>
      </c>
      <c r="I255" s="414">
        <v>3.7673087130688142E-2</v>
      </c>
      <c r="J255" s="415">
        <v>0.43017817472164382</v>
      </c>
      <c r="K255" s="416">
        <v>2.6198359426320006</v>
      </c>
      <c r="L255" s="414">
        <v>6.3597359340529458</v>
      </c>
      <c r="M255" s="414">
        <v>12.781882632571429</v>
      </c>
      <c r="N255" s="415">
        <v>23.980605770997293</v>
      </c>
      <c r="O255" s="416">
        <v>36.82713755788081</v>
      </c>
      <c r="P255" s="414">
        <v>53.765166569310665</v>
      </c>
      <c r="Q255" s="414">
        <v>74.040756378880744</v>
      </c>
      <c r="R255" s="414">
        <v>97.949727099655078</v>
      </c>
      <c r="S255" s="414">
        <v>130.65356146257076</v>
      </c>
      <c r="T255" s="414">
        <v>162.1257277485829</v>
      </c>
      <c r="U255" s="415">
        <v>187.6619741609999</v>
      </c>
      <c r="V255" s="416">
        <v>196.94467395514582</v>
      </c>
      <c r="W255" s="414">
        <v>202.12795657735373</v>
      </c>
      <c r="X255" s="414">
        <v>204.02687522889849</v>
      </c>
      <c r="Y255" s="414">
        <v>203.12627440715039</v>
      </c>
      <c r="Z255" s="414">
        <v>200.27669245222469</v>
      </c>
      <c r="AA255" s="414">
        <v>196.77071533078492</v>
      </c>
    </row>
    <row r="256" spans="1:27" x14ac:dyDescent="0.3">
      <c r="A256" s="386">
        <v>2</v>
      </c>
      <c r="B256" s="387" t="s">
        <v>758</v>
      </c>
      <c r="C256" s="417">
        <v>0</v>
      </c>
      <c r="D256" s="417">
        <v>4.1868E-5</v>
      </c>
      <c r="E256" s="417">
        <v>4.1926695674374272E-5</v>
      </c>
      <c r="F256" s="417">
        <v>4.1874781838536677E-4</v>
      </c>
      <c r="G256" s="417">
        <v>3.517124560359759E-3</v>
      </c>
      <c r="H256" s="417">
        <v>1.3433679532279781E-2</v>
      </c>
      <c r="I256" s="417">
        <v>9.929720198757902E-2</v>
      </c>
      <c r="J256" s="418">
        <v>0.58285014028246029</v>
      </c>
      <c r="K256" s="419">
        <v>1.2505829195351359</v>
      </c>
      <c r="L256" s="417">
        <v>3.1526701827587909</v>
      </c>
      <c r="M256" s="417">
        <v>9.6735596239851809</v>
      </c>
      <c r="N256" s="418">
        <v>16.926897834042439</v>
      </c>
      <c r="O256" s="419">
        <v>23.231123146224594</v>
      </c>
      <c r="P256" s="417">
        <v>29.200000200975502</v>
      </c>
      <c r="Q256" s="417">
        <v>34.15202740837919</v>
      </c>
      <c r="R256" s="417">
        <v>38.947760337740981</v>
      </c>
      <c r="S256" s="417">
        <v>44.343611614169738</v>
      </c>
      <c r="T256" s="417">
        <v>50.015611247597725</v>
      </c>
      <c r="U256" s="418">
        <v>56.040064787309106</v>
      </c>
      <c r="V256" s="419">
        <v>60.26725870722349</v>
      </c>
      <c r="W256" s="417">
        <v>65.575593044170219</v>
      </c>
      <c r="X256" s="417">
        <v>70.885043851292636</v>
      </c>
      <c r="Y256" s="417">
        <v>75.733061400796871</v>
      </c>
      <c r="Z256" s="417">
        <v>80.584406239583927</v>
      </c>
      <c r="AA256" s="417">
        <v>84.676489964070655</v>
      </c>
    </row>
    <row r="257" spans="1:27" x14ac:dyDescent="0.3">
      <c r="A257" s="386">
        <v>3</v>
      </c>
      <c r="B257" s="387" t="s">
        <v>326</v>
      </c>
      <c r="C257" s="417">
        <v>0</v>
      </c>
      <c r="D257" s="417">
        <v>0</v>
      </c>
      <c r="E257" s="417">
        <v>0</v>
      </c>
      <c r="F257" s="417">
        <v>0</v>
      </c>
      <c r="G257" s="417">
        <v>0</v>
      </c>
      <c r="H257" s="417">
        <v>0</v>
      </c>
      <c r="I257" s="417">
        <v>0</v>
      </c>
      <c r="J257" s="418">
        <v>0</v>
      </c>
      <c r="K257" s="419">
        <v>1.0977491484695061E-2</v>
      </c>
      <c r="L257" s="417">
        <v>5.700804348510255E-2</v>
      </c>
      <c r="M257" s="417">
        <v>0.31281298880554775</v>
      </c>
      <c r="N257" s="418">
        <v>0.89548735074828634</v>
      </c>
      <c r="O257" s="419">
        <v>2.0840187514075179</v>
      </c>
      <c r="P257" s="417">
        <v>4.3791560749019771</v>
      </c>
      <c r="Q257" s="417">
        <v>9.9112839430862643</v>
      </c>
      <c r="R257" s="417">
        <v>19.513101854872104</v>
      </c>
      <c r="S257" s="417">
        <v>33.791423420883632</v>
      </c>
      <c r="T257" s="417">
        <v>48.554251215370144</v>
      </c>
      <c r="U257" s="418">
        <v>61.455114206831752</v>
      </c>
      <c r="V257" s="419">
        <v>69.773133103657031</v>
      </c>
      <c r="W257" s="417">
        <v>77.760677415971031</v>
      </c>
      <c r="X257" s="417">
        <v>85.449353991887534</v>
      </c>
      <c r="Y257" s="417">
        <v>92.960642171704819</v>
      </c>
      <c r="Z257" s="417">
        <v>101.60252119026549</v>
      </c>
      <c r="AA257" s="417">
        <v>111.04174061049743</v>
      </c>
    </row>
    <row r="258" spans="1:27" x14ac:dyDescent="0.3">
      <c r="A258" s="386">
        <v>4</v>
      </c>
      <c r="B258" s="387" t="s">
        <v>755</v>
      </c>
      <c r="C258" s="417">
        <v>0</v>
      </c>
      <c r="D258" s="417">
        <v>0</v>
      </c>
      <c r="E258" s="417">
        <v>0</v>
      </c>
      <c r="F258" s="417">
        <v>0</v>
      </c>
      <c r="G258" s="417">
        <v>7.3653942375263552E-5</v>
      </c>
      <c r="H258" s="417">
        <v>7.3115794938351711E-5</v>
      </c>
      <c r="I258" s="417">
        <v>3.042062097042743E-4</v>
      </c>
      <c r="J258" s="418">
        <v>1.6494761192430759E-3</v>
      </c>
      <c r="K258" s="419">
        <v>2.8483543022901998E-3</v>
      </c>
      <c r="L258" s="417">
        <v>5.9588635821837078E-2</v>
      </c>
      <c r="M258" s="417">
        <v>0.76859734852550565</v>
      </c>
      <c r="N258" s="418">
        <v>1.4478993691088269</v>
      </c>
      <c r="O258" s="419">
        <v>2.1601394920103232</v>
      </c>
      <c r="P258" s="417">
        <v>2.3619008356603852</v>
      </c>
      <c r="Q258" s="417">
        <v>2.1096238897290784</v>
      </c>
      <c r="R258" s="417">
        <v>2.0219872635605176</v>
      </c>
      <c r="S258" s="417">
        <v>1.5219758613285237</v>
      </c>
      <c r="T258" s="417">
        <v>0.97284208353569002</v>
      </c>
      <c r="U258" s="418">
        <v>0.39062697933351803</v>
      </c>
      <c r="V258" s="419">
        <v>0.20309660286737508</v>
      </c>
      <c r="W258" s="417">
        <v>0.17390119554359476</v>
      </c>
      <c r="X258" s="417">
        <v>0.14624653621270425</v>
      </c>
      <c r="Y258" s="417">
        <v>0.1269260318022902</v>
      </c>
      <c r="Z258" s="417">
        <v>0.11047299668926779</v>
      </c>
      <c r="AA258" s="417">
        <v>8.4341826146795543E-2</v>
      </c>
    </row>
    <row r="259" spans="1:27" x14ac:dyDescent="0.3">
      <c r="A259" s="386">
        <v>5</v>
      </c>
      <c r="B259" s="387" t="s">
        <v>759</v>
      </c>
      <c r="C259" s="417">
        <v>1.1304360000000001E-3</v>
      </c>
      <c r="D259" s="417">
        <v>1.2560399999999999E-2</v>
      </c>
      <c r="E259" s="417">
        <v>8.9388694524106346E-2</v>
      </c>
      <c r="F259" s="417">
        <v>0.11103615253207634</v>
      </c>
      <c r="G259" s="417">
        <v>0.20951017918176285</v>
      </c>
      <c r="H259" s="417">
        <v>0.29655744310630527</v>
      </c>
      <c r="I259" s="417">
        <v>0.64105864969010018</v>
      </c>
      <c r="J259" s="418">
        <v>1.2458079496480647</v>
      </c>
      <c r="K259" s="419">
        <v>2.0477359084273337</v>
      </c>
      <c r="L259" s="417">
        <v>2.9981751993947632</v>
      </c>
      <c r="M259" s="417">
        <v>3.6445476136767776</v>
      </c>
      <c r="N259" s="418">
        <v>4.7383666559731843</v>
      </c>
      <c r="O259" s="419">
        <v>5.946944062375052</v>
      </c>
      <c r="P259" s="417">
        <v>6.8599769574342329</v>
      </c>
      <c r="Q259" s="417">
        <v>7.189281123914542</v>
      </c>
      <c r="R259" s="417">
        <v>7.3863637343856663</v>
      </c>
      <c r="S259" s="417">
        <v>7.5498598421276713</v>
      </c>
      <c r="T259" s="417">
        <v>7.5944710310485508</v>
      </c>
      <c r="U259" s="418">
        <v>7.484259832582616</v>
      </c>
      <c r="V259" s="419">
        <v>7.3078214592656465</v>
      </c>
      <c r="W259" s="417">
        <v>7.18721641836588</v>
      </c>
      <c r="X259" s="417">
        <v>7.0807825159864288</v>
      </c>
      <c r="Y259" s="417">
        <v>7.0102635896050831</v>
      </c>
      <c r="Z259" s="417">
        <v>6.9600124375183032</v>
      </c>
      <c r="AA259" s="417">
        <v>6.8527607382301978</v>
      </c>
    </row>
    <row r="260" spans="1:27" ht="15" thickBot="1" x14ac:dyDescent="0.35">
      <c r="A260" s="395"/>
      <c r="B260" s="396" t="s">
        <v>690</v>
      </c>
      <c r="C260" s="420">
        <f t="shared" ref="C260:AA260" si="27">SUM(C255:C259)</f>
        <v>1.1304360000000001E-3</v>
      </c>
      <c r="D260" s="420">
        <f t="shared" si="27"/>
        <v>1.2602268E-2</v>
      </c>
      <c r="E260" s="420">
        <f t="shared" si="27"/>
        <v>9.667378521978072E-2</v>
      </c>
      <c r="F260" s="420">
        <f t="shared" si="27"/>
        <v>0.12045652035046171</v>
      </c>
      <c r="G260" s="420">
        <f t="shared" si="27"/>
        <v>0.21866940168449786</v>
      </c>
      <c r="H260" s="420">
        <f t="shared" si="27"/>
        <v>0.31652682750882311</v>
      </c>
      <c r="I260" s="420">
        <f t="shared" si="27"/>
        <v>0.7783331450180716</v>
      </c>
      <c r="J260" s="420">
        <f t="shared" si="27"/>
        <v>2.2604857407714123</v>
      </c>
      <c r="K260" s="421">
        <f t="shared" si="27"/>
        <v>5.9319806163814555</v>
      </c>
      <c r="L260" s="421">
        <f t="shared" si="27"/>
        <v>12.62717799551344</v>
      </c>
      <c r="M260" s="421">
        <f t="shared" si="27"/>
        <v>27.18140020756444</v>
      </c>
      <c r="N260" s="421">
        <f t="shared" si="27"/>
        <v>47.989256980870024</v>
      </c>
      <c r="O260" s="422">
        <f t="shared" si="27"/>
        <v>70.249363009898303</v>
      </c>
      <c r="P260" s="422">
        <f t="shared" si="27"/>
        <v>96.566200638282751</v>
      </c>
      <c r="Q260" s="422">
        <f t="shared" si="27"/>
        <v>127.40297274398982</v>
      </c>
      <c r="R260" s="422">
        <f t="shared" si="27"/>
        <v>165.81894029021433</v>
      </c>
      <c r="S260" s="422">
        <f t="shared" si="27"/>
        <v>217.8604322010803</v>
      </c>
      <c r="T260" s="422">
        <f t="shared" si="27"/>
        <v>269.26290332613502</v>
      </c>
      <c r="U260" s="422">
        <f t="shared" si="27"/>
        <v>313.03203996705685</v>
      </c>
      <c r="V260" s="423">
        <f t="shared" si="27"/>
        <v>334.49598382815935</v>
      </c>
      <c r="W260" s="423">
        <f t="shared" si="27"/>
        <v>352.82534465140446</v>
      </c>
      <c r="X260" s="423">
        <f t="shared" si="27"/>
        <v>367.58830212427779</v>
      </c>
      <c r="Y260" s="423">
        <f t="shared" si="27"/>
        <v>378.95716760105944</v>
      </c>
      <c r="Z260" s="423">
        <f t="shared" si="27"/>
        <v>389.53410531628168</v>
      </c>
      <c r="AA260" s="423">
        <f t="shared" si="27"/>
        <v>399.42604846972995</v>
      </c>
    </row>
    <row r="261" spans="1:27" ht="15" thickTop="1" x14ac:dyDescent="0.3">
      <c r="A261"/>
      <c r="B261"/>
      <c r="C261" s="395"/>
      <c r="D261" s="395"/>
      <c r="E261" s="395"/>
      <c r="F261" s="395"/>
      <c r="G261" s="395"/>
      <c r="H261" s="395"/>
      <c r="I261" s="395"/>
      <c r="J261" s="395"/>
      <c r="K261" s="395"/>
      <c r="L261" s="395"/>
      <c r="M261" s="395"/>
      <c r="N261" s="395"/>
      <c r="O261" s="395"/>
      <c r="P261" s="395"/>
      <c r="Q261" s="395"/>
      <c r="R261" s="395"/>
      <c r="S261" s="395"/>
      <c r="T261" s="395"/>
      <c r="U261" s="395"/>
      <c r="V261" s="395"/>
      <c r="W261" s="395"/>
      <c r="X261" s="395"/>
      <c r="Y261" s="395"/>
      <c r="Z261" s="395"/>
      <c r="AA261" s="395"/>
    </row>
    <row r="262" spans="1:27" x14ac:dyDescent="0.3">
      <c r="A262" s="401" t="s">
        <v>798</v>
      </c>
      <c r="B262" s="413" t="s">
        <v>799</v>
      </c>
      <c r="C262" s="813" t="s">
        <v>753</v>
      </c>
      <c r="D262" s="813"/>
      <c r="E262" s="813"/>
      <c r="F262" s="813"/>
      <c r="G262" s="813"/>
      <c r="H262" s="813"/>
      <c r="I262" s="813"/>
      <c r="J262" s="813"/>
      <c r="K262" s="813"/>
      <c r="L262" s="813"/>
      <c r="M262" s="813"/>
      <c r="N262" s="813"/>
      <c r="O262" s="813"/>
      <c r="P262" s="813"/>
      <c r="Q262" s="813"/>
      <c r="R262" s="813"/>
      <c r="S262" s="813"/>
      <c r="T262" s="813"/>
      <c r="U262" s="813"/>
      <c r="V262" s="813"/>
      <c r="W262" s="813"/>
      <c r="X262" s="813"/>
      <c r="Y262" s="813"/>
      <c r="Z262" s="813"/>
      <c r="AA262" s="813"/>
    </row>
    <row r="263" spans="1:27" x14ac:dyDescent="0.3">
      <c r="A263" s="386">
        <v>1</v>
      </c>
      <c r="B263" s="387" t="s">
        <v>754</v>
      </c>
      <c r="C263" s="414">
        <v>4.1868E-5</v>
      </c>
      <c r="D263" s="414">
        <v>2.0934E-4</v>
      </c>
      <c r="E263" s="414">
        <v>1.4234404022373463E-2</v>
      </c>
      <c r="F263" s="414">
        <v>2.8728681974362576E-2</v>
      </c>
      <c r="G263" s="414">
        <v>0.11445145492654601</v>
      </c>
      <c r="H263" s="414">
        <v>0.37489248420976679</v>
      </c>
      <c r="I263" s="414">
        <v>1.2299466339984244</v>
      </c>
      <c r="J263" s="415">
        <v>3.030511438550592</v>
      </c>
      <c r="K263" s="416">
        <v>5.9614081253526425</v>
      </c>
      <c r="L263" s="414">
        <v>10.113297272726204</v>
      </c>
      <c r="M263" s="414">
        <v>15.659391814202202</v>
      </c>
      <c r="N263" s="415">
        <v>26.058340704071384</v>
      </c>
      <c r="O263" s="416">
        <v>40.006824253970748</v>
      </c>
      <c r="P263" s="414">
        <v>58.145896521428249</v>
      </c>
      <c r="Q263" s="414">
        <v>82.000699045029023</v>
      </c>
      <c r="R263" s="414">
        <v>100.36702948868457</v>
      </c>
      <c r="S263" s="414">
        <v>107.33366674974697</v>
      </c>
      <c r="T263" s="414">
        <v>112.27444390915767</v>
      </c>
      <c r="U263" s="415">
        <v>113.14668950468467</v>
      </c>
      <c r="V263" s="416">
        <v>113.01077972944488</v>
      </c>
      <c r="W263" s="414">
        <v>111.52644787263495</v>
      </c>
      <c r="X263" s="414">
        <v>108.39360572443397</v>
      </c>
      <c r="Y263" s="414">
        <v>104.34632063903953</v>
      </c>
      <c r="Z263" s="414">
        <v>99.737944193438594</v>
      </c>
      <c r="AA263" s="414">
        <v>94.558510806228284</v>
      </c>
    </row>
    <row r="264" spans="1:27" x14ac:dyDescent="0.3">
      <c r="A264" s="386">
        <v>2</v>
      </c>
      <c r="B264" s="387" t="s">
        <v>326</v>
      </c>
      <c r="C264" s="417">
        <v>0</v>
      </c>
      <c r="D264" s="417">
        <v>0</v>
      </c>
      <c r="E264" s="417">
        <v>0</v>
      </c>
      <c r="F264" s="417">
        <v>0</v>
      </c>
      <c r="G264" s="417">
        <v>0</v>
      </c>
      <c r="H264" s="417">
        <v>0</v>
      </c>
      <c r="I264" s="417">
        <v>0</v>
      </c>
      <c r="J264" s="418">
        <v>0</v>
      </c>
      <c r="K264" s="419">
        <v>2.0373409525289831E-2</v>
      </c>
      <c r="L264" s="417">
        <v>8.8661512833418277E-2</v>
      </c>
      <c r="M264" s="417">
        <v>0.37925963770282134</v>
      </c>
      <c r="N264" s="418">
        <v>0.95951843554154637</v>
      </c>
      <c r="O264" s="419">
        <v>1.8783249810921667</v>
      </c>
      <c r="P264" s="417">
        <v>3.4907227493103594</v>
      </c>
      <c r="Q264" s="417">
        <v>6.4408842038061591</v>
      </c>
      <c r="R264" s="417">
        <v>9.9303135291694957</v>
      </c>
      <c r="S264" s="417">
        <v>13.063661393268083</v>
      </c>
      <c r="T264" s="417">
        <v>15.438848408031237</v>
      </c>
      <c r="U264" s="418">
        <v>17.183183408204954</v>
      </c>
      <c r="V264" s="419">
        <v>19.09202156159018</v>
      </c>
      <c r="W264" s="417">
        <v>21.021473517827875</v>
      </c>
      <c r="X264" s="417">
        <v>23.078626636181035</v>
      </c>
      <c r="Y264" s="417">
        <v>25.116073136726925</v>
      </c>
      <c r="Z264" s="417">
        <v>26.947639716021726</v>
      </c>
      <c r="AA264" s="417">
        <v>28.688010945816508</v>
      </c>
    </row>
    <row r="265" spans="1:27" ht="15" thickBot="1" x14ac:dyDescent="0.35">
      <c r="A265" s="395"/>
      <c r="B265" s="396" t="s">
        <v>690</v>
      </c>
      <c r="C265" s="420">
        <f t="shared" ref="C265:AA265" si="28">SUM(C263:C264)</f>
        <v>4.1868E-5</v>
      </c>
      <c r="D265" s="420">
        <f t="shared" si="28"/>
        <v>2.0934E-4</v>
      </c>
      <c r="E265" s="420">
        <f t="shared" si="28"/>
        <v>1.4234404022373463E-2</v>
      </c>
      <c r="F265" s="420">
        <f t="shared" si="28"/>
        <v>2.8728681974362576E-2</v>
      </c>
      <c r="G265" s="420">
        <f t="shared" si="28"/>
        <v>0.11445145492654601</v>
      </c>
      <c r="H265" s="420">
        <f t="shared" si="28"/>
        <v>0.37489248420976679</v>
      </c>
      <c r="I265" s="420">
        <f t="shared" si="28"/>
        <v>1.2299466339984244</v>
      </c>
      <c r="J265" s="420">
        <f t="shared" si="28"/>
        <v>3.030511438550592</v>
      </c>
      <c r="K265" s="421">
        <f t="shared" si="28"/>
        <v>5.981781534877932</v>
      </c>
      <c r="L265" s="421">
        <f t="shared" si="28"/>
        <v>10.201958785559622</v>
      </c>
      <c r="M265" s="421">
        <f t="shared" si="28"/>
        <v>16.038651451905022</v>
      </c>
      <c r="N265" s="421">
        <f t="shared" si="28"/>
        <v>27.017859139612931</v>
      </c>
      <c r="O265" s="422">
        <f t="shared" si="28"/>
        <v>41.885149235062912</v>
      </c>
      <c r="P265" s="422">
        <f t="shared" si="28"/>
        <v>61.636619270738606</v>
      </c>
      <c r="Q265" s="422">
        <f t="shared" si="28"/>
        <v>88.441583248835187</v>
      </c>
      <c r="R265" s="422">
        <f t="shared" si="28"/>
        <v>110.29734301785406</v>
      </c>
      <c r="S265" s="422">
        <f t="shared" si="28"/>
        <v>120.39732814301505</v>
      </c>
      <c r="T265" s="422">
        <f t="shared" si="28"/>
        <v>127.7132923171889</v>
      </c>
      <c r="U265" s="422">
        <f t="shared" si="28"/>
        <v>130.32987291288964</v>
      </c>
      <c r="V265" s="423">
        <f t="shared" si="28"/>
        <v>132.10280129103506</v>
      </c>
      <c r="W265" s="423">
        <f t="shared" si="28"/>
        <v>132.54792139046282</v>
      </c>
      <c r="X265" s="423">
        <f t="shared" si="28"/>
        <v>131.47223236061501</v>
      </c>
      <c r="Y265" s="423">
        <f t="shared" si="28"/>
        <v>129.46239377576646</v>
      </c>
      <c r="Z265" s="423">
        <f t="shared" si="28"/>
        <v>126.68558390946032</v>
      </c>
      <c r="AA265" s="423">
        <f t="shared" si="28"/>
        <v>123.2465217520448</v>
      </c>
    </row>
    <row r="266" spans="1:27" ht="15" thickTop="1" x14ac:dyDescent="0.3">
      <c r="A266"/>
      <c r="B266"/>
      <c r="C266" s="395"/>
      <c r="D266" s="395"/>
      <c r="E266" s="395"/>
      <c r="F266" s="395"/>
      <c r="G266" s="395"/>
      <c r="H266" s="395"/>
      <c r="I266" s="395"/>
      <c r="J266" s="395"/>
      <c r="K266" s="395"/>
      <c r="L266" s="395"/>
      <c r="M266" s="395"/>
      <c r="N266" s="395"/>
      <c r="O266" s="395"/>
      <c r="P266" s="395"/>
      <c r="Q266" s="395"/>
      <c r="R266" s="395"/>
      <c r="S266" s="395"/>
      <c r="T266" s="395"/>
      <c r="U266" s="395"/>
      <c r="V266" s="395"/>
      <c r="W266" s="395"/>
      <c r="X266" s="395"/>
      <c r="Y266" s="395"/>
      <c r="Z266" s="395"/>
      <c r="AA266" s="395"/>
    </row>
    <row r="267" spans="1:27" ht="26.4" x14ac:dyDescent="0.3">
      <c r="A267" s="401" t="s">
        <v>800</v>
      </c>
      <c r="B267" s="413" t="s">
        <v>801</v>
      </c>
      <c r="C267" s="813" t="s">
        <v>753</v>
      </c>
      <c r="D267" s="813"/>
      <c r="E267" s="813"/>
      <c r="F267" s="813"/>
      <c r="G267" s="813"/>
      <c r="H267" s="813"/>
      <c r="I267" s="813"/>
      <c r="J267" s="813"/>
      <c r="K267" s="813"/>
      <c r="L267" s="813"/>
      <c r="M267" s="813"/>
      <c r="N267" s="813"/>
      <c r="O267" s="813"/>
      <c r="P267" s="813"/>
      <c r="Q267" s="813"/>
      <c r="R267" s="813"/>
      <c r="S267" s="813"/>
      <c r="T267" s="813"/>
      <c r="U267" s="813"/>
      <c r="V267" s="813"/>
      <c r="W267" s="813"/>
      <c r="X267" s="813"/>
      <c r="Y267" s="813"/>
      <c r="Z267" s="813"/>
      <c r="AA267" s="813"/>
    </row>
    <row r="268" spans="1:27" x14ac:dyDescent="0.3">
      <c r="A268" s="386">
        <v>1</v>
      </c>
      <c r="B268" s="387" t="s">
        <v>741</v>
      </c>
      <c r="C268" s="414">
        <v>3.9355919999999999E-3</v>
      </c>
      <c r="D268" s="414">
        <v>4.7729520000000004E-3</v>
      </c>
      <c r="E268" s="414">
        <v>3.1788483629227093E-2</v>
      </c>
      <c r="F268" s="414">
        <v>8.2510268221199043E-2</v>
      </c>
      <c r="G268" s="414">
        <v>0.2636652841571987</v>
      </c>
      <c r="H268" s="414">
        <v>0.47540200276590117</v>
      </c>
      <c r="I268" s="414">
        <v>0.60860275026165844</v>
      </c>
      <c r="J268" s="415">
        <v>1.1689023747648888</v>
      </c>
      <c r="K268" s="416">
        <v>1.1699849939243419</v>
      </c>
      <c r="L268" s="414">
        <v>0.9434062278944394</v>
      </c>
      <c r="M268" s="414">
        <v>0.52108276662299824</v>
      </c>
      <c r="N268" s="415">
        <v>0.52992004132096193</v>
      </c>
      <c r="O268" s="416">
        <v>0.49119541308787984</v>
      </c>
      <c r="P268" s="414">
        <v>0.35992126561130872</v>
      </c>
      <c r="Q268" s="414">
        <v>0.33800495878284126</v>
      </c>
      <c r="R268" s="414">
        <v>0.32486928049452918</v>
      </c>
      <c r="S268" s="414">
        <v>0.29355672783204295</v>
      </c>
      <c r="T268" s="414">
        <v>0.28681655440877984</v>
      </c>
      <c r="U268" s="415">
        <v>0.28766075353202908</v>
      </c>
      <c r="V268" s="416">
        <v>0.28056238128117267</v>
      </c>
      <c r="W268" s="414">
        <v>0.26863086545823456</v>
      </c>
      <c r="X268" s="414">
        <v>0.2574415833281859</v>
      </c>
      <c r="Y268" s="414">
        <v>0.22793922757557192</v>
      </c>
      <c r="Z268" s="414">
        <v>0.17635323351238452</v>
      </c>
      <c r="AA268" s="414">
        <v>0.13617704527966698</v>
      </c>
    </row>
    <row r="269" spans="1:27" x14ac:dyDescent="0.3">
      <c r="A269" s="386">
        <v>2</v>
      </c>
      <c r="B269" s="387" t="s">
        <v>754</v>
      </c>
      <c r="C269" s="417">
        <v>0.98068967693902576</v>
      </c>
      <c r="D269" s="417">
        <v>1.4647319403222221</v>
      </c>
      <c r="E269" s="417">
        <v>3.5113832462613717</v>
      </c>
      <c r="F269" s="417">
        <v>4.0005753639527093</v>
      </c>
      <c r="G269" s="417">
        <v>3.9805611350710812</v>
      </c>
      <c r="H269" s="417">
        <v>4.8404473421323821</v>
      </c>
      <c r="I269" s="417">
        <v>6.5416989849234559</v>
      </c>
      <c r="J269" s="418">
        <v>8.8889146586174714</v>
      </c>
      <c r="K269" s="419">
        <v>13.77716141031382</v>
      </c>
      <c r="L269" s="417">
        <v>18.01616498626478</v>
      </c>
      <c r="M269" s="417">
        <v>21.187596616536581</v>
      </c>
      <c r="N269" s="418">
        <v>26.181083904547716</v>
      </c>
      <c r="O269" s="419">
        <v>41.425880994820162</v>
      </c>
      <c r="P269" s="417">
        <v>63.829215438795302</v>
      </c>
      <c r="Q269" s="417">
        <v>80.123875107886704</v>
      </c>
      <c r="R269" s="417">
        <v>93.969062104163726</v>
      </c>
      <c r="S269" s="417">
        <v>101.47048020746314</v>
      </c>
      <c r="T269" s="417">
        <v>104.3089973328057</v>
      </c>
      <c r="U269" s="418">
        <v>109.1997702295369</v>
      </c>
      <c r="V269" s="419">
        <v>125.44635927085417</v>
      </c>
      <c r="W269" s="417">
        <v>131.71732620268151</v>
      </c>
      <c r="X269" s="417">
        <v>130.59742232904387</v>
      </c>
      <c r="Y269" s="417">
        <v>128.00005879050801</v>
      </c>
      <c r="Z269" s="417">
        <v>125.59486085690247</v>
      </c>
      <c r="AA269" s="417">
        <v>123.65888228481241</v>
      </c>
    </row>
    <row r="270" spans="1:27" x14ac:dyDescent="0.3">
      <c r="A270" s="386">
        <v>3</v>
      </c>
      <c r="B270" s="387" t="s">
        <v>326</v>
      </c>
      <c r="C270" s="417">
        <v>0</v>
      </c>
      <c r="D270" s="417">
        <v>0</v>
      </c>
      <c r="E270" s="417">
        <v>0</v>
      </c>
      <c r="F270" s="417">
        <v>0</v>
      </c>
      <c r="G270" s="417">
        <v>0</v>
      </c>
      <c r="H270" s="417">
        <v>0</v>
      </c>
      <c r="I270" s="417">
        <v>0</v>
      </c>
      <c r="J270" s="418">
        <v>0</v>
      </c>
      <c r="K270" s="419">
        <v>2.2115615091604517E-4</v>
      </c>
      <c r="L270" s="417">
        <v>9.3781956192719781E-4</v>
      </c>
      <c r="M270" s="417">
        <v>1.5354082230055889E-2</v>
      </c>
      <c r="N270" s="418">
        <v>8.7137902820700885E-2</v>
      </c>
      <c r="O270" s="419">
        <v>0.40842561361635815</v>
      </c>
      <c r="P270" s="417">
        <v>1.2940786763043906</v>
      </c>
      <c r="Q270" s="417">
        <v>2.031696834324118</v>
      </c>
      <c r="R270" s="417">
        <v>3.3300556310977787</v>
      </c>
      <c r="S270" s="417">
        <v>5.2678170402584268</v>
      </c>
      <c r="T270" s="417">
        <v>6.6510677471796251</v>
      </c>
      <c r="U270" s="418">
        <v>8.0283228421664283</v>
      </c>
      <c r="V270" s="419">
        <v>10.599140924792907</v>
      </c>
      <c r="W270" s="417">
        <v>10.788022476020718</v>
      </c>
      <c r="X270" s="417">
        <v>10.063767853591575</v>
      </c>
      <c r="Y270" s="417">
        <v>9.4281960384609853</v>
      </c>
      <c r="Z270" s="417">
        <v>8.6877348932517915</v>
      </c>
      <c r="AA270" s="417">
        <v>8.0816958369490131</v>
      </c>
    </row>
    <row r="271" spans="1:27" x14ac:dyDescent="0.3">
      <c r="A271" s="386">
        <v>4</v>
      </c>
      <c r="B271" s="387" t="s">
        <v>755</v>
      </c>
      <c r="C271" s="417">
        <v>4.9643954075344846E-2</v>
      </c>
      <c r="D271" s="417">
        <v>0.11901085591977327</v>
      </c>
      <c r="E271" s="417">
        <v>0.37010008369774133</v>
      </c>
      <c r="F271" s="417">
        <v>0.4413232934239969</v>
      </c>
      <c r="G271" s="417">
        <v>0.5115554103654214</v>
      </c>
      <c r="H271" s="417">
        <v>0.65420087224938728</v>
      </c>
      <c r="I271" s="417">
        <v>0.96815265479407653</v>
      </c>
      <c r="J271" s="418">
        <v>1.1119276427181952</v>
      </c>
      <c r="K271" s="419">
        <v>1.2928733908286891</v>
      </c>
      <c r="L271" s="417">
        <v>1.4091258631208223</v>
      </c>
      <c r="M271" s="417">
        <v>1.4729478637449132</v>
      </c>
      <c r="N271" s="418">
        <v>1.555421674472893</v>
      </c>
      <c r="O271" s="419">
        <v>1.5733782324884444</v>
      </c>
      <c r="P271" s="417">
        <v>1.6077932887698045</v>
      </c>
      <c r="Q271" s="417">
        <v>1.7068698966408342</v>
      </c>
      <c r="R271" s="417">
        <v>1.8196267813652152</v>
      </c>
      <c r="S271" s="417">
        <v>1.9436316900240198</v>
      </c>
      <c r="T271" s="417">
        <v>2.0727994644890813</v>
      </c>
      <c r="U271" s="418">
        <v>1.7981928011147474</v>
      </c>
      <c r="V271" s="419">
        <v>1.0191335495132912</v>
      </c>
      <c r="W271" s="417">
        <v>0.76697611347359251</v>
      </c>
      <c r="X271" s="417">
        <v>0.63371927483924284</v>
      </c>
      <c r="Y271" s="417">
        <v>0.51603846998141767</v>
      </c>
      <c r="Z271" s="417">
        <v>0.41691364879650139</v>
      </c>
      <c r="AA271" s="417">
        <v>0.34800853356490963</v>
      </c>
    </row>
    <row r="272" spans="1:27" x14ac:dyDescent="0.3">
      <c r="A272" s="386">
        <v>5</v>
      </c>
      <c r="B272" s="387" t="s">
        <v>742</v>
      </c>
      <c r="C272" s="417">
        <v>9.3159643352300279</v>
      </c>
      <c r="D272" s="417">
        <v>10.634529860828083</v>
      </c>
      <c r="E272" s="417">
        <v>9.2955290616131467</v>
      </c>
      <c r="F272" s="417">
        <v>9.5165204799167924</v>
      </c>
      <c r="G272" s="417">
        <v>11.06799440188299</v>
      </c>
      <c r="H272" s="417">
        <v>12.232589283974786</v>
      </c>
      <c r="I272" s="417">
        <v>13.680853189563292</v>
      </c>
      <c r="J272" s="418">
        <v>15.176453953523875</v>
      </c>
      <c r="K272" s="419">
        <v>14.668943169421031</v>
      </c>
      <c r="L272" s="417">
        <v>13.90431600458145</v>
      </c>
      <c r="M272" s="417">
        <v>16.424624005030864</v>
      </c>
      <c r="N272" s="418">
        <v>20.54134067736323</v>
      </c>
      <c r="O272" s="419">
        <v>22.750656252161189</v>
      </c>
      <c r="P272" s="417">
        <v>24.44846895550954</v>
      </c>
      <c r="Q272" s="417">
        <v>25.772073960710269</v>
      </c>
      <c r="R272" s="417">
        <v>26.290538219270914</v>
      </c>
      <c r="S272" s="417">
        <v>25.962807679567238</v>
      </c>
      <c r="T272" s="417">
        <v>24.934345580968337</v>
      </c>
      <c r="U272" s="418">
        <v>23.673421616170533</v>
      </c>
      <c r="V272" s="419">
        <v>22.646308985277489</v>
      </c>
      <c r="W272" s="417">
        <v>22.275700363112058</v>
      </c>
      <c r="X272" s="417">
        <v>23.103213735908138</v>
      </c>
      <c r="Y272" s="417">
        <v>24.522994258319777</v>
      </c>
      <c r="Z272" s="417">
        <v>26.478455964638382</v>
      </c>
      <c r="AA272" s="417">
        <v>29.108521225219491</v>
      </c>
    </row>
    <row r="273" spans="1:27" x14ac:dyDescent="0.3">
      <c r="A273" s="386">
        <v>6</v>
      </c>
      <c r="B273" s="387" t="s">
        <v>743</v>
      </c>
      <c r="C273" s="417">
        <v>21.336905167295239</v>
      </c>
      <c r="D273" s="417">
        <v>23.277969116092937</v>
      </c>
      <c r="E273" s="417">
        <v>25.994058986121651</v>
      </c>
      <c r="F273" s="417">
        <v>27.85770207188158</v>
      </c>
      <c r="G273" s="417">
        <v>28.812108944443345</v>
      </c>
      <c r="H273" s="417">
        <v>29.159883126782752</v>
      </c>
      <c r="I273" s="417">
        <v>29.177607148458023</v>
      </c>
      <c r="J273" s="418">
        <v>29.35239463968977</v>
      </c>
      <c r="K273" s="419">
        <v>28.775728122911726</v>
      </c>
      <c r="L273" s="417">
        <v>26.780081573615078</v>
      </c>
      <c r="M273" s="417">
        <v>24.341626134354421</v>
      </c>
      <c r="N273" s="418">
        <v>21.248552456506058</v>
      </c>
      <c r="O273" s="419">
        <v>17.119140417725884</v>
      </c>
      <c r="P273" s="417">
        <v>13.210640475645503</v>
      </c>
      <c r="Q273" s="417">
        <v>9.4055727107520788</v>
      </c>
      <c r="R273" s="417">
        <v>6.274400127086297</v>
      </c>
      <c r="S273" s="417">
        <v>4.0263283452495298</v>
      </c>
      <c r="T273" s="417">
        <v>2.5642769987689231</v>
      </c>
      <c r="U273" s="418">
        <v>1.527398644650475</v>
      </c>
      <c r="V273" s="419">
        <v>0.82674151167903809</v>
      </c>
      <c r="W273" s="417">
        <v>0.53607484115528814</v>
      </c>
      <c r="X273" s="417">
        <v>0.32487359982900832</v>
      </c>
      <c r="Y273" s="417">
        <v>0.19803111441076068</v>
      </c>
      <c r="Z273" s="417">
        <v>9.9737621295192008E-2</v>
      </c>
      <c r="AA273" s="417">
        <v>3.5835017399598379E-2</v>
      </c>
    </row>
    <row r="274" spans="1:27" ht="15" thickBot="1" x14ac:dyDescent="0.35">
      <c r="A274" s="395"/>
      <c r="B274" s="396" t="s">
        <v>690</v>
      </c>
      <c r="C274" s="420">
        <f t="shared" ref="C274:AA274" si="29">SUM(C268:C273)</f>
        <v>31.687138725539636</v>
      </c>
      <c r="D274" s="420">
        <f t="shared" si="29"/>
        <v>35.501014725163017</v>
      </c>
      <c r="E274" s="420">
        <f t="shared" si="29"/>
        <v>39.202859861323134</v>
      </c>
      <c r="F274" s="420">
        <f t="shared" si="29"/>
        <v>41.898631477396279</v>
      </c>
      <c r="G274" s="420">
        <f t="shared" si="29"/>
        <v>44.635885175920038</v>
      </c>
      <c r="H274" s="420">
        <f t="shared" si="29"/>
        <v>47.362522627905207</v>
      </c>
      <c r="I274" s="420">
        <f t="shared" si="29"/>
        <v>50.976914728000509</v>
      </c>
      <c r="J274" s="420">
        <f t="shared" si="29"/>
        <v>55.698593269314202</v>
      </c>
      <c r="K274" s="421">
        <f t="shared" si="29"/>
        <v>59.684912243550528</v>
      </c>
      <c r="L274" s="421">
        <f t="shared" si="29"/>
        <v>61.054032475038497</v>
      </c>
      <c r="M274" s="421">
        <f t="shared" si="29"/>
        <v>63.96323146851983</v>
      </c>
      <c r="N274" s="421">
        <f t="shared" si="29"/>
        <v>70.143456657031564</v>
      </c>
      <c r="O274" s="422">
        <f t="shared" si="29"/>
        <v>83.768676923899918</v>
      </c>
      <c r="P274" s="422">
        <f t="shared" si="29"/>
        <v>104.75011810063585</v>
      </c>
      <c r="Q274" s="422">
        <f t="shared" si="29"/>
        <v>119.37809346909687</v>
      </c>
      <c r="R274" s="422">
        <f t="shared" si="29"/>
        <v>132.00855214347845</v>
      </c>
      <c r="S274" s="422">
        <f t="shared" si="29"/>
        <v>138.96462169039441</v>
      </c>
      <c r="T274" s="422">
        <f t="shared" si="29"/>
        <v>140.81830367862042</v>
      </c>
      <c r="U274" s="422">
        <f t="shared" si="29"/>
        <v>144.51476688717111</v>
      </c>
      <c r="V274" s="423">
        <f t="shared" si="29"/>
        <v>160.8182466233981</v>
      </c>
      <c r="W274" s="423">
        <f t="shared" si="29"/>
        <v>166.35273086190139</v>
      </c>
      <c r="X274" s="423">
        <f t="shared" si="29"/>
        <v>164.98043837654001</v>
      </c>
      <c r="Y274" s="423">
        <f t="shared" si="29"/>
        <v>162.89325789925653</v>
      </c>
      <c r="Z274" s="423">
        <f t="shared" si="29"/>
        <v>161.45405621839674</v>
      </c>
      <c r="AA274" s="423">
        <f t="shared" si="29"/>
        <v>161.36911994322512</v>
      </c>
    </row>
    <row r="275" spans="1:27" ht="15" thickTop="1" x14ac:dyDescent="0.3">
      <c r="A275"/>
      <c r="B275"/>
      <c r="C275" s="395"/>
      <c r="D275" s="395"/>
      <c r="E275" s="395"/>
      <c r="F275" s="395"/>
      <c r="G275" s="395"/>
      <c r="H275" s="395"/>
      <c r="I275" s="395"/>
      <c r="J275" s="395"/>
      <c r="K275" s="395"/>
      <c r="L275" s="395"/>
      <c r="M275" s="395"/>
      <c r="N275" s="395"/>
      <c r="O275" s="395"/>
      <c r="P275" s="395"/>
      <c r="Q275" s="395"/>
      <c r="R275" s="395"/>
      <c r="S275" s="395"/>
      <c r="T275" s="395"/>
      <c r="U275" s="395"/>
      <c r="V275" s="395"/>
      <c r="W275" s="395"/>
      <c r="X275" s="395"/>
      <c r="Y275" s="395"/>
      <c r="Z275" s="395"/>
      <c r="AA275" s="395"/>
    </row>
    <row r="276" spans="1:27" ht="26.4" x14ac:dyDescent="0.3">
      <c r="A276" s="401" t="s">
        <v>802</v>
      </c>
      <c r="B276" s="413" t="s">
        <v>803</v>
      </c>
      <c r="C276" s="813" t="s">
        <v>753</v>
      </c>
      <c r="D276" s="813"/>
      <c r="E276" s="813"/>
      <c r="F276" s="813"/>
      <c r="G276" s="813"/>
      <c r="H276" s="813"/>
      <c r="I276" s="813"/>
      <c r="J276" s="813"/>
      <c r="K276" s="813"/>
      <c r="L276" s="813"/>
      <c r="M276" s="813"/>
      <c r="N276" s="813"/>
      <c r="O276" s="813"/>
      <c r="P276" s="813"/>
      <c r="Q276" s="813"/>
      <c r="R276" s="813"/>
      <c r="S276" s="813"/>
      <c r="T276" s="813"/>
      <c r="U276" s="813"/>
      <c r="V276" s="813"/>
      <c r="W276" s="813"/>
      <c r="X276" s="813"/>
      <c r="Y276" s="813"/>
      <c r="Z276" s="813"/>
      <c r="AA276" s="813"/>
    </row>
    <row r="277" spans="1:27" x14ac:dyDescent="0.3">
      <c r="A277" s="386">
        <v>1</v>
      </c>
      <c r="B277" s="387" t="s">
        <v>266</v>
      </c>
      <c r="C277" s="414">
        <v>4.9027083787607895</v>
      </c>
      <c r="D277" s="414">
        <v>3.4652068607316973</v>
      </c>
      <c r="E277" s="414">
        <v>4.067086039039741</v>
      </c>
      <c r="F277" s="414">
        <v>3.8197395397360858</v>
      </c>
      <c r="G277" s="414">
        <v>3.6755836844989211</v>
      </c>
      <c r="H277" s="414">
        <v>3.4816469299347679</v>
      </c>
      <c r="I277" s="414">
        <v>2.9117796181015798</v>
      </c>
      <c r="J277" s="415">
        <v>2.8839002526312054</v>
      </c>
      <c r="K277" s="416">
        <v>3.2311146020047143</v>
      </c>
      <c r="L277" s="414">
        <v>3.159693589271698</v>
      </c>
      <c r="M277" s="414">
        <v>2.6350019140157341</v>
      </c>
      <c r="N277" s="415">
        <v>1.7790442950927179</v>
      </c>
      <c r="O277" s="416">
        <v>1.2339647302922048</v>
      </c>
      <c r="P277" s="414">
        <v>0.74667255228408369</v>
      </c>
      <c r="Q277" s="414">
        <v>0.38035783910473758</v>
      </c>
      <c r="R277" s="414">
        <v>0.18557329410587467</v>
      </c>
      <c r="S277" s="414">
        <v>2.0982648082859108E-2</v>
      </c>
      <c r="T277" s="414">
        <v>2.419309468482146E-5</v>
      </c>
      <c r="U277" s="415">
        <v>2.4083756539941407E-5</v>
      </c>
      <c r="V277" s="416">
        <v>1.9401918220282367E-5</v>
      </c>
      <c r="W277" s="414">
        <v>3.5217842863843571E-5</v>
      </c>
      <c r="X277" s="414">
        <v>2.5446266415096889E-5</v>
      </c>
      <c r="Y277" s="414">
        <v>1.9865713946311461E-5</v>
      </c>
      <c r="Z277" s="414">
        <v>4.3666342399247178E-5</v>
      </c>
      <c r="AA277" s="414">
        <v>3.4753451361893971E-5</v>
      </c>
    </row>
    <row r="278" spans="1:27" x14ac:dyDescent="0.3">
      <c r="A278" s="386">
        <v>2</v>
      </c>
      <c r="B278" s="387" t="s">
        <v>253</v>
      </c>
      <c r="C278" s="417">
        <v>0</v>
      </c>
      <c r="D278" s="417">
        <v>0</v>
      </c>
      <c r="E278" s="417">
        <v>0</v>
      </c>
      <c r="F278" s="417">
        <v>0</v>
      </c>
      <c r="G278" s="417">
        <v>0</v>
      </c>
      <c r="H278" s="417">
        <v>7.1084806244461861E-3</v>
      </c>
      <c r="I278" s="417">
        <v>1.7311044957290571E-2</v>
      </c>
      <c r="J278" s="418">
        <v>2.6783178193208697E-2</v>
      </c>
      <c r="K278" s="419">
        <v>4.0757712826717724E-2</v>
      </c>
      <c r="L278" s="417">
        <v>3.903062612423399E-2</v>
      </c>
      <c r="M278" s="417">
        <v>3.5519441726472631E-2</v>
      </c>
      <c r="N278" s="418">
        <v>3.4573482332862789E-2</v>
      </c>
      <c r="O278" s="419">
        <v>4.8506059597337517E-2</v>
      </c>
      <c r="P278" s="417">
        <v>9.1281972090484526E-2</v>
      </c>
      <c r="Q278" s="417">
        <v>0.11722037923435873</v>
      </c>
      <c r="R278" s="417">
        <v>3.4697169409213351E-2</v>
      </c>
      <c r="S278" s="417">
        <v>6.6171611336871522E-2</v>
      </c>
      <c r="T278" s="417">
        <v>0.10288454081589665</v>
      </c>
      <c r="U278" s="418">
        <v>0.11050485316164496</v>
      </c>
      <c r="V278" s="419">
        <v>7.2133233341269767E-2</v>
      </c>
      <c r="W278" s="417">
        <v>4.6208769788609473E-2</v>
      </c>
      <c r="X278" s="417">
        <v>2.9738429327866946E-2</v>
      </c>
      <c r="Y278" s="417">
        <v>4.0339595722706373E-2</v>
      </c>
      <c r="Z278" s="417">
        <v>2.523616619580835E-2</v>
      </c>
      <c r="AA278" s="417">
        <v>2.7352488515519677E-2</v>
      </c>
    </row>
    <row r="279" spans="1:27" x14ac:dyDescent="0.3">
      <c r="A279" s="386">
        <v>3</v>
      </c>
      <c r="B279" s="387" t="s">
        <v>532</v>
      </c>
      <c r="C279" s="417">
        <v>2.9190696983291531</v>
      </c>
      <c r="D279" s="417">
        <v>3.6545069747238603</v>
      </c>
      <c r="E279" s="417">
        <v>5.0610043735971662</v>
      </c>
      <c r="F279" s="417">
        <v>5.9586882650127304</v>
      </c>
      <c r="G279" s="417">
        <v>8.2377780603606183</v>
      </c>
      <c r="H279" s="417">
        <v>11.119349494813411</v>
      </c>
      <c r="I279" s="417">
        <v>14.582799131156422</v>
      </c>
      <c r="J279" s="418">
        <v>16.835781479107638</v>
      </c>
      <c r="K279" s="419">
        <v>19.599691971261031</v>
      </c>
      <c r="L279" s="417">
        <v>24.581899022886901</v>
      </c>
      <c r="M279" s="417">
        <v>28.615221325252541</v>
      </c>
      <c r="N279" s="418">
        <v>30.907910428275375</v>
      </c>
      <c r="O279" s="419">
        <v>30.559902995980682</v>
      </c>
      <c r="P279" s="417">
        <v>27.864784517239386</v>
      </c>
      <c r="Q279" s="417">
        <v>22.588971220456521</v>
      </c>
      <c r="R279" s="417">
        <v>16.393496159546704</v>
      </c>
      <c r="S279" s="417">
        <v>10.693103099670727</v>
      </c>
      <c r="T279" s="417">
        <v>5.6774946800156929</v>
      </c>
      <c r="U279" s="418">
        <v>2.9964830779445357</v>
      </c>
      <c r="V279" s="419">
        <v>2.4658390844334797</v>
      </c>
      <c r="W279" s="417">
        <v>2.0805149665644942</v>
      </c>
      <c r="X279" s="417">
        <v>1.8676893660612295</v>
      </c>
      <c r="Y279" s="417">
        <v>1.8877376544850286</v>
      </c>
      <c r="Z279" s="417">
        <v>2.0068515930735744</v>
      </c>
      <c r="AA279" s="417">
        <v>2.0096318571223346</v>
      </c>
    </row>
    <row r="280" spans="1:27" x14ac:dyDescent="0.3">
      <c r="A280" s="386">
        <v>4</v>
      </c>
      <c r="B280" s="387" t="s">
        <v>533</v>
      </c>
      <c r="C280" s="417">
        <v>1.1403046436484762E-4</v>
      </c>
      <c r="D280" s="417">
        <v>3.167229276276873E-4</v>
      </c>
      <c r="E280" s="417">
        <v>9.9781364913114623E-3</v>
      </c>
      <c r="F280" s="417">
        <v>1.6652717670419263E-2</v>
      </c>
      <c r="G280" s="417">
        <v>4.3998878105355278E-2</v>
      </c>
      <c r="H280" s="417">
        <v>7.2567865181613886E-2</v>
      </c>
      <c r="I280" s="417">
        <v>0.14987482481424272</v>
      </c>
      <c r="J280" s="418">
        <v>0.25043355548179086</v>
      </c>
      <c r="K280" s="419">
        <v>0.5604167352616235</v>
      </c>
      <c r="L280" s="417">
        <v>0.85344120904478027</v>
      </c>
      <c r="M280" s="417">
        <v>1.0987924559503068</v>
      </c>
      <c r="N280" s="418">
        <v>1.488655954393953</v>
      </c>
      <c r="O280" s="419">
        <v>2.6788244832721535</v>
      </c>
      <c r="P280" s="417">
        <v>4.5796714425158438</v>
      </c>
      <c r="Q280" s="417">
        <v>5.3716446468750156</v>
      </c>
      <c r="R280" s="417">
        <v>5.9436489359581639</v>
      </c>
      <c r="S280" s="417">
        <v>6.2095253497164009</v>
      </c>
      <c r="T280" s="417">
        <v>6.1945087926268227</v>
      </c>
      <c r="U280" s="418">
        <v>6.3169557241394072</v>
      </c>
      <c r="V280" s="419">
        <v>7.4220773698955496</v>
      </c>
      <c r="W280" s="417">
        <v>7.7114920086934244</v>
      </c>
      <c r="X280" s="417">
        <v>7.41718640974136</v>
      </c>
      <c r="Y280" s="417">
        <v>7.0038167739722921</v>
      </c>
      <c r="Z280" s="417">
        <v>6.6204214945232804</v>
      </c>
      <c r="AA280" s="417">
        <v>6.258507909045635</v>
      </c>
    </row>
    <row r="281" spans="1:27" x14ac:dyDescent="0.3">
      <c r="A281" s="386">
        <v>5</v>
      </c>
      <c r="B281" s="387" t="s">
        <v>254</v>
      </c>
      <c r="C281" s="417">
        <v>9.2570111187681032</v>
      </c>
      <c r="D281" s="417">
        <v>11.266513632016849</v>
      </c>
      <c r="E281" s="417">
        <v>12.960932017159674</v>
      </c>
      <c r="F281" s="417">
        <v>14.724733245532933</v>
      </c>
      <c r="G281" s="417">
        <v>17.739627859257087</v>
      </c>
      <c r="H281" s="417">
        <v>21.878247799657885</v>
      </c>
      <c r="I281" s="417">
        <v>26.000278232046359</v>
      </c>
      <c r="J281" s="418">
        <v>28.778813083686412</v>
      </c>
      <c r="K281" s="419">
        <v>28.546615017277635</v>
      </c>
      <c r="L281" s="417">
        <v>29.039426650441374</v>
      </c>
      <c r="M281" s="417">
        <v>27.48250009705411</v>
      </c>
      <c r="N281" s="418">
        <v>24.464511329593915</v>
      </c>
      <c r="O281" s="419">
        <v>19.199861392715214</v>
      </c>
      <c r="P281" s="417">
        <v>13.056065280370293</v>
      </c>
      <c r="Q281" s="417">
        <v>8.2126720466133865</v>
      </c>
      <c r="R281" s="417">
        <v>3.906754882012081</v>
      </c>
      <c r="S281" s="417">
        <v>1.8026036754305146</v>
      </c>
      <c r="T281" s="417">
        <v>0.87122015924707408</v>
      </c>
      <c r="U281" s="418">
        <v>0.22984872493357503</v>
      </c>
      <c r="V281" s="419">
        <v>2.726335428664137E-2</v>
      </c>
      <c r="W281" s="417">
        <v>2.0145655429469639E-2</v>
      </c>
      <c r="X281" s="417">
        <v>1.4649918711508452E-2</v>
      </c>
      <c r="Y281" s="417">
        <v>1.083689577056041E-2</v>
      </c>
      <c r="Z281" s="417">
        <v>1.1269339515908399E-2</v>
      </c>
      <c r="AA281" s="417">
        <v>1.1303248819220088E-2</v>
      </c>
    </row>
    <row r="282" spans="1:27" x14ac:dyDescent="0.3">
      <c r="A282" s="386">
        <v>6</v>
      </c>
      <c r="B282" s="387" t="s">
        <v>534</v>
      </c>
      <c r="C282" s="417">
        <v>0.12479479342605296</v>
      </c>
      <c r="D282" s="417">
        <v>0.16437739801820894</v>
      </c>
      <c r="E282" s="417">
        <v>0.38765013871607412</v>
      </c>
      <c r="F282" s="417">
        <v>0.3901362049161719</v>
      </c>
      <c r="G282" s="417">
        <v>0.47506671980294146</v>
      </c>
      <c r="H282" s="417">
        <v>0.63881028636713</v>
      </c>
      <c r="I282" s="417">
        <v>0.9879726726385416</v>
      </c>
      <c r="J282" s="418">
        <v>1.3782679576085206</v>
      </c>
      <c r="K282" s="419">
        <v>2.5665009577798266</v>
      </c>
      <c r="L282" s="417">
        <v>3.5487566345981585</v>
      </c>
      <c r="M282" s="417">
        <v>4.0844431980591303</v>
      </c>
      <c r="N282" s="418">
        <v>4.7257756049171409</v>
      </c>
      <c r="O282" s="419">
        <v>7.2501214558652567</v>
      </c>
      <c r="P282" s="417">
        <v>10.397969841263867</v>
      </c>
      <c r="Q282" s="417">
        <v>12.115098987555786</v>
      </c>
      <c r="R282" s="417">
        <v>13.709277975212137</v>
      </c>
      <c r="S282" s="417">
        <v>14.724291856576421</v>
      </c>
      <c r="T282" s="417">
        <v>15.112347324287587</v>
      </c>
      <c r="U282" s="418">
        <v>16.031430723783373</v>
      </c>
      <c r="V282" s="419">
        <v>19.643962892212638</v>
      </c>
      <c r="W282" s="417">
        <v>20.985267417928164</v>
      </c>
      <c r="X282" s="417">
        <v>20.866965063836332</v>
      </c>
      <c r="Y282" s="417">
        <v>20.397136257437499</v>
      </c>
      <c r="Z282" s="417">
        <v>19.893696869690768</v>
      </c>
      <c r="AA282" s="417">
        <v>19.551502702244598</v>
      </c>
    </row>
    <row r="283" spans="1:27" x14ac:dyDescent="0.3">
      <c r="A283" s="386">
        <v>7</v>
      </c>
      <c r="B283" s="387" t="s">
        <v>257</v>
      </c>
      <c r="C283" s="417">
        <v>2.1338796672618043</v>
      </c>
      <c r="D283" s="417">
        <v>4.4139900304984003</v>
      </c>
      <c r="E283" s="417">
        <v>5.8990573256361145</v>
      </c>
      <c r="F283" s="417">
        <v>6.8851198220374714</v>
      </c>
      <c r="G283" s="417">
        <v>7.7058513708590803</v>
      </c>
      <c r="H283" s="417">
        <v>8.2691579513031801</v>
      </c>
      <c r="I283" s="417">
        <v>8.3070469980916091</v>
      </c>
      <c r="J283" s="418">
        <v>7.6561142454859974</v>
      </c>
      <c r="K283" s="419">
        <v>8.7020735329387797</v>
      </c>
      <c r="L283" s="417">
        <v>10.217047562611787</v>
      </c>
      <c r="M283" s="417">
        <v>12.431884376334379</v>
      </c>
      <c r="N283" s="418">
        <v>15.603644400757954</v>
      </c>
      <c r="O283" s="419">
        <v>18.439082051978144</v>
      </c>
      <c r="P283" s="417">
        <v>21.03235312643282</v>
      </c>
      <c r="Q283" s="417">
        <v>23.128446881773197</v>
      </c>
      <c r="R283" s="417">
        <v>25.361279029087182</v>
      </c>
      <c r="S283" s="417">
        <v>27.332313358905175</v>
      </c>
      <c r="T283" s="417">
        <v>29.252341846764811</v>
      </c>
      <c r="U283" s="418">
        <v>30.999807530823155</v>
      </c>
      <c r="V283" s="419">
        <v>31.876547356318564</v>
      </c>
      <c r="W283" s="417">
        <v>32.195563098804861</v>
      </c>
      <c r="X283" s="417">
        <v>32.136939415838441</v>
      </c>
      <c r="Y283" s="417">
        <v>31.687680531649274</v>
      </c>
      <c r="Z283" s="417">
        <v>30.90641079000606</v>
      </c>
      <c r="AA283" s="417">
        <v>29.876948781341806</v>
      </c>
    </row>
    <row r="284" spans="1:27" x14ac:dyDescent="0.3">
      <c r="A284" s="386">
        <v>8</v>
      </c>
      <c r="B284" s="387" t="s">
        <v>536</v>
      </c>
      <c r="C284" s="417">
        <v>5.1161776171544311</v>
      </c>
      <c r="D284" s="417">
        <v>5.8365210482591356</v>
      </c>
      <c r="E284" s="417">
        <v>6.3067642404744575</v>
      </c>
      <c r="F284" s="417">
        <v>7.1901191813130207</v>
      </c>
      <c r="G284" s="417">
        <v>7.5327646532745307</v>
      </c>
      <c r="H284" s="417">
        <v>8.5288218888744325</v>
      </c>
      <c r="I284" s="417">
        <v>10.19135707545778</v>
      </c>
      <c r="J284" s="418">
        <v>11.428501661104665</v>
      </c>
      <c r="K284" s="419">
        <v>11.610841939376011</v>
      </c>
      <c r="L284" s="417">
        <v>12.333625446708027</v>
      </c>
      <c r="M284" s="417">
        <v>12.962269717386587</v>
      </c>
      <c r="N284" s="418">
        <v>13.800083591375483</v>
      </c>
      <c r="O284" s="419">
        <v>14.477202213674078</v>
      </c>
      <c r="P284" s="417">
        <v>14.712422122981337</v>
      </c>
      <c r="Q284" s="417">
        <v>14.308275894258676</v>
      </c>
      <c r="R284" s="417">
        <v>14.03019527638404</v>
      </c>
      <c r="S284" s="417">
        <v>14.483720680592244</v>
      </c>
      <c r="T284" s="417">
        <v>14.795195072085768</v>
      </c>
      <c r="U284" s="418">
        <v>14.918091661714044</v>
      </c>
      <c r="V284" s="419">
        <v>14.476059594404688</v>
      </c>
      <c r="W284" s="417">
        <v>13.98587050468309</v>
      </c>
      <c r="X284" s="417">
        <v>13.373211660152858</v>
      </c>
      <c r="Y284" s="417">
        <v>12.707437706751847</v>
      </c>
      <c r="Z284" s="417">
        <v>12.02864712942333</v>
      </c>
      <c r="AA284" s="417">
        <v>11.327715825705909</v>
      </c>
    </row>
    <row r="285" spans="1:27" x14ac:dyDescent="0.3">
      <c r="A285" s="386">
        <v>9</v>
      </c>
      <c r="B285" s="387" t="s">
        <v>506</v>
      </c>
      <c r="C285" s="417">
        <v>4.2756894790838273E-2</v>
      </c>
      <c r="D285" s="417">
        <v>7.1733437683225487E-2</v>
      </c>
      <c r="E285" s="417">
        <v>0.11233203511279806</v>
      </c>
      <c r="F285" s="417">
        <v>0.12243477975089292</v>
      </c>
      <c r="G285" s="417">
        <v>0.16003405326669976</v>
      </c>
      <c r="H285" s="417">
        <v>0.18067974593792685</v>
      </c>
      <c r="I285" s="417">
        <v>0.21450856767290347</v>
      </c>
      <c r="J285" s="418">
        <v>0.25620737634925989</v>
      </c>
      <c r="K285" s="419">
        <v>0.30265210857205943</v>
      </c>
      <c r="L285" s="417">
        <v>0.37212855870837197</v>
      </c>
      <c r="M285" s="417">
        <v>0.48870480150366941</v>
      </c>
      <c r="N285" s="418">
        <v>0.73814959822890724</v>
      </c>
      <c r="O285" s="419">
        <v>1.2528243888051529</v>
      </c>
      <c r="P285" s="417">
        <v>2.1150775408499265</v>
      </c>
      <c r="Q285" s="417">
        <v>3.0436084269429973</v>
      </c>
      <c r="R285" s="417">
        <v>3.7310695305783708</v>
      </c>
      <c r="S285" s="417">
        <v>4.001644889755382</v>
      </c>
      <c r="T285" s="417">
        <v>4.0900620389063596</v>
      </c>
      <c r="U285" s="418">
        <v>4.1562420959481754</v>
      </c>
      <c r="V285" s="419">
        <v>4.1988205979836373</v>
      </c>
      <c r="W285" s="417">
        <v>4.191330210941544</v>
      </c>
      <c r="X285" s="417">
        <v>4.1805330560312761</v>
      </c>
      <c r="Y285" s="417">
        <v>4.1720443521486521</v>
      </c>
      <c r="Z285" s="417">
        <v>4.1815729955958885</v>
      </c>
      <c r="AA285" s="417">
        <v>4.1842443374518572</v>
      </c>
    </row>
    <row r="286" spans="1:27" x14ac:dyDescent="0.3">
      <c r="A286" s="386">
        <v>10</v>
      </c>
      <c r="B286" s="387" t="s">
        <v>259</v>
      </c>
      <c r="C286" s="417">
        <v>0</v>
      </c>
      <c r="D286" s="417">
        <v>4.1868E-5</v>
      </c>
      <c r="E286" s="417">
        <v>2.0077806547821957E-3</v>
      </c>
      <c r="F286" s="417">
        <v>2.9590515559104287E-3</v>
      </c>
      <c r="G286" s="417">
        <v>5.1662550354389034E-3</v>
      </c>
      <c r="H286" s="417">
        <v>1.6002563743912714E-2</v>
      </c>
      <c r="I286" s="417">
        <v>0.11924210604922084</v>
      </c>
      <c r="J286" s="418">
        <v>0.87099894672171385</v>
      </c>
      <c r="K286" s="419">
        <v>3.2078768657521479</v>
      </c>
      <c r="L286" s="417">
        <v>7.8005012633071447</v>
      </c>
      <c r="M286" s="417">
        <v>18.626203454517054</v>
      </c>
      <c r="N286" s="418">
        <v>33.511410267275458</v>
      </c>
      <c r="O286" s="419">
        <v>48.625584915496873</v>
      </c>
      <c r="P286" s="417">
        <v>66.374482454991579</v>
      </c>
      <c r="Q286" s="417">
        <v>85.791719717023213</v>
      </c>
      <c r="R286" s="417">
        <v>107.4899394187411</v>
      </c>
      <c r="S286" s="417">
        <v>135.81844187655818</v>
      </c>
      <c r="T286" s="417">
        <v>163.54988193801708</v>
      </c>
      <c r="U286" s="418">
        <v>187.11773625527366</v>
      </c>
      <c r="V286" s="419">
        <v>197.11713693072096</v>
      </c>
      <c r="W286" s="417">
        <v>205.22743779945776</v>
      </c>
      <c r="X286" s="417">
        <v>211.0552329330846</v>
      </c>
      <c r="Y286" s="417">
        <v>214.88664139074115</v>
      </c>
      <c r="Z286" s="417">
        <v>217.78826630463541</v>
      </c>
      <c r="AA286" s="417">
        <v>219.57591774186221</v>
      </c>
    </row>
    <row r="287" spans="1:27" x14ac:dyDescent="0.3">
      <c r="A287" s="386">
        <v>11</v>
      </c>
      <c r="B287" s="387" t="s">
        <v>260</v>
      </c>
      <c r="C287" s="417">
        <v>3.2005203810947139E-5</v>
      </c>
      <c r="D287" s="417">
        <v>1.7601197523518737E-4</v>
      </c>
      <c r="E287" s="417">
        <v>1.2121754488302069E-2</v>
      </c>
      <c r="F287" s="417">
        <v>2.4355546000587012E-2</v>
      </c>
      <c r="G287" s="417">
        <v>9.8056962536337014E-2</v>
      </c>
      <c r="H287" s="417">
        <v>0.32061064423818542</v>
      </c>
      <c r="I287" s="417">
        <v>1.0441726850038051</v>
      </c>
      <c r="J287" s="418">
        <v>2.5694113411754382</v>
      </c>
      <c r="K287" s="419">
        <v>4.8359063292591635</v>
      </c>
      <c r="L287" s="417">
        <v>7.8576827123836157</v>
      </c>
      <c r="M287" s="417">
        <v>11.84575880822123</v>
      </c>
      <c r="N287" s="418">
        <v>19.360882665640027</v>
      </c>
      <c r="O287" s="419">
        <v>29.433730477182063</v>
      </c>
      <c r="P287" s="417">
        <v>42.569671557807759</v>
      </c>
      <c r="Q287" s="417">
        <v>59.858107223409789</v>
      </c>
      <c r="R287" s="417">
        <v>73.212642226711068</v>
      </c>
      <c r="S287" s="417">
        <v>78.745993207600051</v>
      </c>
      <c r="T287" s="417">
        <v>82.815931971859769</v>
      </c>
      <c r="U287" s="418">
        <v>83.82216024554711</v>
      </c>
      <c r="V287" s="419">
        <v>83.964819450770818</v>
      </c>
      <c r="W287" s="417">
        <v>83.028193735221919</v>
      </c>
      <c r="X287" s="417">
        <v>80.77049969440543</v>
      </c>
      <c r="Y287" s="417">
        <v>77.7765098540754</v>
      </c>
      <c r="Z287" s="417">
        <v>74.295879863326689</v>
      </c>
      <c r="AA287" s="417">
        <v>70.372861619322194</v>
      </c>
    </row>
    <row r="288" spans="1:27" x14ac:dyDescent="0.3">
      <c r="A288" s="386">
        <v>12</v>
      </c>
      <c r="B288" s="387" t="s">
        <v>537</v>
      </c>
      <c r="C288" s="417">
        <v>1.4493118443266435E-3</v>
      </c>
      <c r="D288" s="417">
        <v>1.6524088038012096E-3</v>
      </c>
      <c r="E288" s="417">
        <v>1.4168889827037559E-3</v>
      </c>
      <c r="F288" s="417">
        <v>1.393632700350364E-3</v>
      </c>
      <c r="G288" s="417">
        <v>1.4286180238083255E-3</v>
      </c>
      <c r="H288" s="417">
        <v>1.3853583517677525E-3</v>
      </c>
      <c r="I288" s="417">
        <v>1.4587559739747038E-3</v>
      </c>
      <c r="J288" s="418">
        <v>3.0051138385493574E-3</v>
      </c>
      <c r="K288" s="419">
        <v>5.9767325796110694E-2</v>
      </c>
      <c r="L288" s="417">
        <v>0.17747118556531088</v>
      </c>
      <c r="M288" s="417">
        <v>0.30020924688636774</v>
      </c>
      <c r="N288" s="418">
        <v>0.46431274803855621</v>
      </c>
      <c r="O288" s="419">
        <v>0.51495390622727788</v>
      </c>
      <c r="P288" s="417">
        <v>0.5731757450415047</v>
      </c>
      <c r="Q288" s="417">
        <v>0.63942131728666984</v>
      </c>
      <c r="R288" s="417">
        <v>0.71554191790596</v>
      </c>
      <c r="S288" s="417">
        <v>0.74427553402367941</v>
      </c>
      <c r="T288" s="417">
        <v>0.74677994334254094</v>
      </c>
      <c r="U288" s="418">
        <v>0.74122092798155526</v>
      </c>
      <c r="V288" s="419">
        <v>0.727175270105059</v>
      </c>
      <c r="W288" s="417">
        <v>0.69746000222657989</v>
      </c>
      <c r="X288" s="417">
        <v>0.66691583619909367</v>
      </c>
      <c r="Y288" s="417">
        <v>0.63487255715438307</v>
      </c>
      <c r="Z288" s="417">
        <v>0.59970153184292407</v>
      </c>
      <c r="AA288" s="417">
        <v>0.55852078159341956</v>
      </c>
    </row>
    <row r="289" spans="1:27" ht="15" thickBot="1" x14ac:dyDescent="0.35">
      <c r="A289" s="395"/>
      <c r="B289" s="396" t="s">
        <v>690</v>
      </c>
      <c r="C289" s="420">
        <f t="shared" ref="C289:AA289" si="30">SUM(C277:C288)</f>
        <v>24.497993516003671</v>
      </c>
      <c r="D289" s="420">
        <f t="shared" si="30"/>
        <v>28.875036393638041</v>
      </c>
      <c r="E289" s="420">
        <f t="shared" si="30"/>
        <v>34.820350730353127</v>
      </c>
      <c r="F289" s="420">
        <f t="shared" si="30"/>
        <v>39.136331986226566</v>
      </c>
      <c r="G289" s="420">
        <f t="shared" si="30"/>
        <v>45.67535711502083</v>
      </c>
      <c r="H289" s="420">
        <f t="shared" si="30"/>
        <v>54.514389009028662</v>
      </c>
      <c r="I289" s="420">
        <f t="shared" si="30"/>
        <v>64.527801711963718</v>
      </c>
      <c r="J289" s="420">
        <f t="shared" si="30"/>
        <v>72.938218191384408</v>
      </c>
      <c r="K289" s="421">
        <f t="shared" si="30"/>
        <v>83.264215098105836</v>
      </c>
      <c r="L289" s="421">
        <f t="shared" si="30"/>
        <v>99.980704461651399</v>
      </c>
      <c r="M289" s="421">
        <f t="shared" si="30"/>
        <v>120.60650883690759</v>
      </c>
      <c r="N289" s="421">
        <f t="shared" si="30"/>
        <v>146.87895436592234</v>
      </c>
      <c r="O289" s="422">
        <f t="shared" si="30"/>
        <v>173.7145590710864</v>
      </c>
      <c r="P289" s="422">
        <f t="shared" si="30"/>
        <v>204.11362815386889</v>
      </c>
      <c r="Q289" s="422">
        <f t="shared" si="30"/>
        <v>235.5555445805343</v>
      </c>
      <c r="R289" s="422">
        <f t="shared" si="30"/>
        <v>264.71411581565189</v>
      </c>
      <c r="S289" s="422">
        <f t="shared" si="30"/>
        <v>294.64306778824852</v>
      </c>
      <c r="T289" s="422">
        <f t="shared" si="30"/>
        <v>323.20867250106403</v>
      </c>
      <c r="U289" s="422">
        <f t="shared" si="30"/>
        <v>347.44050590500672</v>
      </c>
      <c r="V289" s="423">
        <f t="shared" si="30"/>
        <v>361.9918545363916</v>
      </c>
      <c r="W289" s="423">
        <f t="shared" si="30"/>
        <v>370.1695193875828</v>
      </c>
      <c r="X289" s="423">
        <f t="shared" si="30"/>
        <v>372.37958722965641</v>
      </c>
      <c r="Y289" s="423">
        <f t="shared" si="30"/>
        <v>371.20507343562275</v>
      </c>
      <c r="Z289" s="423">
        <f t="shared" si="30"/>
        <v>368.35799774417205</v>
      </c>
      <c r="AA289" s="423">
        <f t="shared" si="30"/>
        <v>363.75454204647605</v>
      </c>
    </row>
    <row r="290" spans="1:27" ht="15" thickTop="1" x14ac:dyDescent="0.3">
      <c r="A290"/>
      <c r="B290"/>
      <c r="C290" s="395"/>
      <c r="D290" s="395"/>
      <c r="E290" s="395"/>
      <c r="F290" s="395"/>
      <c r="G290" s="395"/>
      <c r="H290" s="395"/>
      <c r="I290" s="395"/>
      <c r="J290" s="395"/>
      <c r="K290" s="395"/>
      <c r="L290" s="395"/>
      <c r="M290" s="395"/>
      <c r="N290" s="395"/>
      <c r="O290" s="395"/>
      <c r="P290" s="395"/>
      <c r="Q290" s="395"/>
      <c r="R290" s="395"/>
      <c r="S290" s="395"/>
      <c r="T290" s="395"/>
      <c r="U290" s="395"/>
      <c r="V290" s="395"/>
      <c r="W290" s="395"/>
      <c r="X290" s="395"/>
      <c r="Y290" s="395"/>
      <c r="Z290" s="395"/>
      <c r="AA290" s="395"/>
    </row>
    <row r="291" spans="1:27" ht="26.4" x14ac:dyDescent="0.3">
      <c r="A291" s="401" t="s">
        <v>804</v>
      </c>
      <c r="B291" s="413" t="s">
        <v>805</v>
      </c>
      <c r="C291" s="813" t="s">
        <v>753</v>
      </c>
      <c r="D291" s="813"/>
      <c r="E291" s="813"/>
      <c r="F291" s="813"/>
      <c r="G291" s="813"/>
      <c r="H291" s="813"/>
      <c r="I291" s="813"/>
      <c r="J291" s="813"/>
      <c r="K291" s="813"/>
      <c r="L291" s="813"/>
      <c r="M291" s="813"/>
      <c r="N291" s="813"/>
      <c r="O291" s="813"/>
      <c r="P291" s="813"/>
      <c r="Q291" s="813"/>
      <c r="R291" s="813"/>
      <c r="S291" s="813"/>
      <c r="T291" s="813"/>
      <c r="U291" s="813"/>
      <c r="V291" s="813"/>
      <c r="W291" s="813"/>
      <c r="X291" s="813"/>
      <c r="Y291" s="813"/>
      <c r="Z291" s="813"/>
      <c r="AA291" s="813"/>
    </row>
    <row r="292" spans="1:27" x14ac:dyDescent="0.3">
      <c r="A292" s="386">
        <v>1</v>
      </c>
      <c r="B292" s="387" t="s">
        <v>724</v>
      </c>
      <c r="C292" s="414">
        <v>6.9394293465283683</v>
      </c>
      <c r="D292" s="414">
        <v>7.7046237122088073</v>
      </c>
      <c r="E292" s="414">
        <v>8.4225983110955163</v>
      </c>
      <c r="F292" s="414">
        <v>8.9981576991875709</v>
      </c>
      <c r="G292" s="414">
        <v>10.080640875174302</v>
      </c>
      <c r="H292" s="414">
        <v>11.286073922575948</v>
      </c>
      <c r="I292" s="414">
        <v>13.525900344300885</v>
      </c>
      <c r="J292" s="415">
        <v>15.544213199118175</v>
      </c>
      <c r="K292" s="416">
        <v>17.647181296304964</v>
      </c>
      <c r="L292" s="414">
        <v>19.694419108573694</v>
      </c>
      <c r="M292" s="414">
        <v>20.464821072371063</v>
      </c>
      <c r="N292" s="415">
        <v>21.484070525062421</v>
      </c>
      <c r="O292" s="416">
        <v>22.497459519100275</v>
      </c>
      <c r="P292" s="414">
        <v>23.993006751781365</v>
      </c>
      <c r="Q292" s="414">
        <v>25.858623416238576</v>
      </c>
      <c r="R292" s="414">
        <v>28.333260642464285</v>
      </c>
      <c r="S292" s="414">
        <v>31.008774524168654</v>
      </c>
      <c r="T292" s="414">
        <v>33.471505349880736</v>
      </c>
      <c r="U292" s="415">
        <v>35.452981190634226</v>
      </c>
      <c r="V292" s="416">
        <v>36.415830047822276</v>
      </c>
      <c r="W292" s="414">
        <v>36.410054158838221</v>
      </c>
      <c r="X292" s="414">
        <v>36.17664314862229</v>
      </c>
      <c r="Y292" s="414">
        <v>35.678790263786922</v>
      </c>
      <c r="Z292" s="414">
        <v>34.94955989016411</v>
      </c>
      <c r="AA292" s="414">
        <v>34.183339854831225</v>
      </c>
    </row>
    <row r="293" spans="1:27" x14ac:dyDescent="0.3">
      <c r="A293" s="386">
        <v>2</v>
      </c>
      <c r="B293" s="387" t="s">
        <v>725</v>
      </c>
      <c r="C293" s="417">
        <v>6.421442169712507</v>
      </c>
      <c r="D293" s="417">
        <v>7.2800334669235687</v>
      </c>
      <c r="E293" s="417">
        <v>9.5586504976804818</v>
      </c>
      <c r="F293" s="417">
        <v>9.8582314998665037</v>
      </c>
      <c r="G293" s="417">
        <v>11.167506277104382</v>
      </c>
      <c r="H293" s="417">
        <v>14.105206792205532</v>
      </c>
      <c r="I293" s="417">
        <v>16.559404226257886</v>
      </c>
      <c r="J293" s="418">
        <v>19.705470987655229</v>
      </c>
      <c r="K293" s="419">
        <v>23.211397152120732</v>
      </c>
      <c r="L293" s="417">
        <v>27.43982145382439</v>
      </c>
      <c r="M293" s="417">
        <v>32.782493907383369</v>
      </c>
      <c r="N293" s="418">
        <v>40.471229982525735</v>
      </c>
      <c r="O293" s="419">
        <v>47.362367066645902</v>
      </c>
      <c r="P293" s="417">
        <v>53.865176851437141</v>
      </c>
      <c r="Q293" s="417">
        <v>58.898749197385115</v>
      </c>
      <c r="R293" s="417">
        <v>61.930892649842853</v>
      </c>
      <c r="S293" s="417">
        <v>64.720969131645063</v>
      </c>
      <c r="T293" s="417">
        <v>67.6026403776916</v>
      </c>
      <c r="U293" s="418">
        <v>69.646358062736994</v>
      </c>
      <c r="V293" s="419">
        <v>71.140455968697495</v>
      </c>
      <c r="W293" s="417">
        <v>72.042537928726432</v>
      </c>
      <c r="X293" s="417">
        <v>72.648607107268631</v>
      </c>
      <c r="Y293" s="417">
        <v>73.203717526013108</v>
      </c>
      <c r="Z293" s="417">
        <v>73.667004338125508</v>
      </c>
      <c r="AA293" s="417">
        <v>73.999976527932915</v>
      </c>
    </row>
    <row r="294" spans="1:27" x14ac:dyDescent="0.3">
      <c r="A294" s="386">
        <v>3</v>
      </c>
      <c r="B294" s="387" t="s">
        <v>726</v>
      </c>
      <c r="C294" s="417">
        <v>4.3554151601553803</v>
      </c>
      <c r="D294" s="417">
        <v>5.6714735533237128</v>
      </c>
      <c r="E294" s="417">
        <v>7.0311106280294364</v>
      </c>
      <c r="F294" s="417">
        <v>8.5877395707796094</v>
      </c>
      <c r="G294" s="417">
        <v>10.843644908514522</v>
      </c>
      <c r="H294" s="417">
        <v>12.981849339652719</v>
      </c>
      <c r="I294" s="417">
        <v>15.210357423442149</v>
      </c>
      <c r="J294" s="418">
        <v>16.182272512480004</v>
      </c>
      <c r="K294" s="419">
        <v>18.301963406003498</v>
      </c>
      <c r="L294" s="417">
        <v>23.376290154082788</v>
      </c>
      <c r="M294" s="417">
        <v>30.737642847664986</v>
      </c>
      <c r="N294" s="418">
        <v>38.831977142102936</v>
      </c>
      <c r="O294" s="419">
        <v>47.248681846040576</v>
      </c>
      <c r="P294" s="417">
        <v>56.600353269294956</v>
      </c>
      <c r="Q294" s="417">
        <v>66.01633714550691</v>
      </c>
      <c r="R294" s="417">
        <v>74.948466522961411</v>
      </c>
      <c r="S294" s="417">
        <v>83.876174847744537</v>
      </c>
      <c r="T294" s="417">
        <v>90.761836096952294</v>
      </c>
      <c r="U294" s="418">
        <v>95.100839927143895</v>
      </c>
      <c r="V294" s="419">
        <v>97.74504860376463</v>
      </c>
      <c r="W294" s="417">
        <v>99.342228731117785</v>
      </c>
      <c r="X294" s="417">
        <v>98.574361855773148</v>
      </c>
      <c r="Y294" s="417">
        <v>97.191052860217312</v>
      </c>
      <c r="Z294" s="417">
        <v>95.8032042997784</v>
      </c>
      <c r="AA294" s="417">
        <v>93.726063874981946</v>
      </c>
    </row>
    <row r="295" spans="1:27" x14ac:dyDescent="0.3">
      <c r="A295" s="386">
        <v>4</v>
      </c>
      <c r="B295" s="387" t="s">
        <v>728</v>
      </c>
      <c r="C295" s="417">
        <v>0.24422446491633684</v>
      </c>
      <c r="D295" s="417">
        <v>0.28470351495140428</v>
      </c>
      <c r="E295" s="417">
        <v>0.52152287928319807</v>
      </c>
      <c r="F295" s="417">
        <v>0.4042733952936341</v>
      </c>
      <c r="G295" s="417">
        <v>0.39943016324174424</v>
      </c>
      <c r="H295" s="417">
        <v>0.45670283831803909</v>
      </c>
      <c r="I295" s="417">
        <v>0.47951747742308237</v>
      </c>
      <c r="J295" s="418">
        <v>0.53048104723334222</v>
      </c>
      <c r="K295" s="419">
        <v>0.52623759313480323</v>
      </c>
      <c r="L295" s="417">
        <v>0.54041233902729036</v>
      </c>
      <c r="M295" s="417">
        <v>0.60134771642098572</v>
      </c>
      <c r="N295" s="418">
        <v>0.66046697092292284</v>
      </c>
      <c r="O295" s="419">
        <v>0.71312607692376107</v>
      </c>
      <c r="P295" s="417">
        <v>0.7488587227434701</v>
      </c>
      <c r="Q295" s="417">
        <v>0.77603710845346974</v>
      </c>
      <c r="R295" s="417">
        <v>0.79680027570294021</v>
      </c>
      <c r="S295" s="417">
        <v>0.80250543679093689</v>
      </c>
      <c r="T295" s="417">
        <v>0.80550398949114899</v>
      </c>
      <c r="U295" s="418">
        <v>0.80228527881210665</v>
      </c>
      <c r="V295" s="419">
        <v>0.80017469216719195</v>
      </c>
      <c r="W295" s="417">
        <v>0.80339524560020192</v>
      </c>
      <c r="X295" s="417">
        <v>0.80928442875470374</v>
      </c>
      <c r="Y295" s="417">
        <v>0.81390563641446978</v>
      </c>
      <c r="Z295" s="417">
        <v>0.81554703870930778</v>
      </c>
      <c r="AA295" s="417">
        <v>0.81330707787569578</v>
      </c>
    </row>
    <row r="296" spans="1:27" x14ac:dyDescent="0.3">
      <c r="A296" s="386">
        <v>5</v>
      </c>
      <c r="B296" s="387" t="s">
        <v>729</v>
      </c>
      <c r="C296" s="417">
        <v>0</v>
      </c>
      <c r="D296" s="417">
        <v>0</v>
      </c>
      <c r="E296" s="417">
        <v>5.1544682547038992E-3</v>
      </c>
      <c r="F296" s="417">
        <v>4.6942343223941741E-3</v>
      </c>
      <c r="G296" s="417">
        <v>5.0710225572754113E-3</v>
      </c>
      <c r="H296" s="417">
        <v>6.6573440941737672E-2</v>
      </c>
      <c r="I296" s="417">
        <v>0.29074034197699589</v>
      </c>
      <c r="J296" s="418">
        <v>0.44391622886192356</v>
      </c>
      <c r="K296" s="419">
        <v>0.59093290076118621</v>
      </c>
      <c r="L296" s="417">
        <v>1.8059081905861258</v>
      </c>
      <c r="M296" s="417">
        <v>3.8915862757763597</v>
      </c>
      <c r="N296" s="418">
        <v>6.1421209518075823</v>
      </c>
      <c r="O296" s="419">
        <v>8.867593182265054</v>
      </c>
      <c r="P296" s="417">
        <v>12.508824539972014</v>
      </c>
      <c r="Q296" s="417">
        <v>17.000387040248771</v>
      </c>
      <c r="R296" s="417">
        <v>20.836153798282357</v>
      </c>
      <c r="S296" s="417">
        <v>25.184810564657813</v>
      </c>
      <c r="T296" s="417">
        <v>30.375393705971405</v>
      </c>
      <c r="U296" s="418">
        <v>35.796441696250042</v>
      </c>
      <c r="V296" s="419">
        <v>37.088851794057419</v>
      </c>
      <c r="W296" s="417">
        <v>37.582369682451017</v>
      </c>
      <c r="X296" s="417">
        <v>37.901165603320919</v>
      </c>
      <c r="Y296" s="417">
        <v>37.922722108531083</v>
      </c>
      <c r="Z296" s="417">
        <v>37.674668368864829</v>
      </c>
      <c r="AA296" s="417">
        <v>37.202242253771836</v>
      </c>
    </row>
    <row r="297" spans="1:27" x14ac:dyDescent="0.3">
      <c r="A297" s="386">
        <v>6</v>
      </c>
      <c r="B297" s="387" t="s">
        <v>731</v>
      </c>
      <c r="C297" s="417">
        <v>0</v>
      </c>
      <c r="D297" s="417">
        <v>0</v>
      </c>
      <c r="E297" s="417">
        <v>0</v>
      </c>
      <c r="F297" s="417">
        <v>0</v>
      </c>
      <c r="G297" s="417">
        <v>0</v>
      </c>
      <c r="H297" s="417">
        <v>0</v>
      </c>
      <c r="I297" s="417">
        <v>0</v>
      </c>
      <c r="J297" s="418">
        <v>0</v>
      </c>
      <c r="K297" s="419">
        <v>1.534370654042327E-4</v>
      </c>
      <c r="L297" s="417">
        <v>3.7312858688393871E-4</v>
      </c>
      <c r="M297" s="417">
        <v>5.9934200012850907E-4</v>
      </c>
      <c r="N297" s="418">
        <v>7.5436324522101567E-4</v>
      </c>
      <c r="O297" s="419">
        <v>8.0248285495538132E-4</v>
      </c>
      <c r="P297" s="417">
        <v>7.8510587325909765E-4</v>
      </c>
      <c r="Q297" s="417">
        <v>7.3960523459521386E-4</v>
      </c>
      <c r="R297" s="417">
        <v>6.8534830516352716E-4</v>
      </c>
      <c r="S297" s="417">
        <v>6.2848132439922056E-4</v>
      </c>
      <c r="T297" s="417">
        <v>5.8015035033886109E-4</v>
      </c>
      <c r="U297" s="418">
        <v>5.4345869279485818E-4</v>
      </c>
      <c r="V297" s="419">
        <v>5.1400379282614877E-4</v>
      </c>
      <c r="W297" s="417">
        <v>4.9074524952239179E-4</v>
      </c>
      <c r="X297" s="417">
        <v>4.7363706118038254E-4</v>
      </c>
      <c r="Y297" s="417">
        <v>4.6245176987121236E-4</v>
      </c>
      <c r="Z297" s="417">
        <v>4.5426557207679054E-4</v>
      </c>
      <c r="AA297" s="417">
        <v>4.4781736077042616E-4</v>
      </c>
    </row>
    <row r="298" spans="1:27" x14ac:dyDescent="0.3">
      <c r="A298" s="386">
        <v>7</v>
      </c>
      <c r="B298" s="387" t="s">
        <v>732</v>
      </c>
      <c r="C298" s="417">
        <v>0.32373457171786246</v>
      </c>
      <c r="D298" s="417">
        <v>0.34833344334864347</v>
      </c>
      <c r="E298" s="417">
        <v>0.19771440540899241</v>
      </c>
      <c r="F298" s="417">
        <v>0.25028637436866114</v>
      </c>
      <c r="G298" s="417">
        <v>0.26068687131229928</v>
      </c>
      <c r="H298" s="417">
        <v>0.30966062318563331</v>
      </c>
      <c r="I298" s="417">
        <v>0.37056108628942275</v>
      </c>
      <c r="J298" s="418">
        <v>0.40405661815362398</v>
      </c>
      <c r="K298" s="419">
        <v>0.41933949844503371</v>
      </c>
      <c r="L298" s="417">
        <v>0.42986686580389255</v>
      </c>
      <c r="M298" s="417">
        <v>0.44454216021939713</v>
      </c>
      <c r="N298" s="418">
        <v>0.49286333334420601</v>
      </c>
      <c r="O298" s="419">
        <v>0.56424283638562478</v>
      </c>
      <c r="P298" s="417">
        <v>0.65314606866826419</v>
      </c>
      <c r="Q298" s="417">
        <v>0.74426188097147405</v>
      </c>
      <c r="R298" s="417">
        <v>0.82680137656346664</v>
      </c>
      <c r="S298" s="417">
        <v>0.91283142686211549</v>
      </c>
      <c r="T298" s="417">
        <v>0.9970584513478925</v>
      </c>
      <c r="U298" s="418">
        <v>1.0851407999525431</v>
      </c>
      <c r="V298" s="419">
        <v>1.1762492171356329</v>
      </c>
      <c r="W298" s="417">
        <v>1.2653213981026403</v>
      </c>
      <c r="X298" s="417">
        <v>1.3621051101990658</v>
      </c>
      <c r="Y298" s="417">
        <v>1.4604462401350851</v>
      </c>
      <c r="Z298" s="417">
        <v>1.5568218335525681</v>
      </c>
      <c r="AA298" s="417">
        <v>1.6519230874960622</v>
      </c>
    </row>
    <row r="299" spans="1:27" x14ac:dyDescent="0.3">
      <c r="A299" s="386">
        <v>8</v>
      </c>
      <c r="B299" s="387" t="s">
        <v>733</v>
      </c>
      <c r="C299" s="417">
        <v>0</v>
      </c>
      <c r="D299" s="417">
        <v>0</v>
      </c>
      <c r="E299" s="417">
        <v>0</v>
      </c>
      <c r="F299" s="417">
        <v>0</v>
      </c>
      <c r="G299" s="417">
        <v>0</v>
      </c>
      <c r="H299" s="417">
        <v>0</v>
      </c>
      <c r="I299" s="417">
        <v>0</v>
      </c>
      <c r="J299" s="418">
        <v>0</v>
      </c>
      <c r="K299" s="419">
        <v>3.1325016260540843E-2</v>
      </c>
      <c r="L299" s="417">
        <v>0.24493123438181916</v>
      </c>
      <c r="M299" s="417">
        <v>0.73515330630341214</v>
      </c>
      <c r="N299" s="418">
        <v>1.4862874390188523</v>
      </c>
      <c r="O299" s="419">
        <v>2.470261327997727</v>
      </c>
      <c r="P299" s="417">
        <v>4.1961306275480581</v>
      </c>
      <c r="Q299" s="417">
        <v>7.1602645179250439</v>
      </c>
      <c r="R299" s="417">
        <v>11.106165440248859</v>
      </c>
      <c r="S299" s="417">
        <v>16.313238688140604</v>
      </c>
      <c r="T299" s="417">
        <v>22.781480920664585</v>
      </c>
      <c r="U299" s="418">
        <v>30.549960676846638</v>
      </c>
      <c r="V299" s="419">
        <v>37.983956559136878</v>
      </c>
      <c r="W299" s="417">
        <v>42.658245096269759</v>
      </c>
      <c r="X299" s="417">
        <v>45.230791866953368</v>
      </c>
      <c r="Y299" s="417">
        <v>46.370452922200414</v>
      </c>
      <c r="Z299" s="417">
        <v>46.740413604401553</v>
      </c>
      <c r="AA299" s="417">
        <v>46.962706089792498</v>
      </c>
    </row>
    <row r="300" spans="1:27" x14ac:dyDescent="0.3">
      <c r="A300" s="386">
        <v>9</v>
      </c>
      <c r="B300" s="387" t="s">
        <v>735</v>
      </c>
      <c r="C300" s="417">
        <v>2.2260005877556366</v>
      </c>
      <c r="D300" s="417">
        <v>2.7499994505846117</v>
      </c>
      <c r="E300" s="417">
        <v>3.137094399426358</v>
      </c>
      <c r="F300" s="417">
        <v>3.7735153107749291</v>
      </c>
      <c r="G300" s="417">
        <v>4.1249443497385849</v>
      </c>
      <c r="H300" s="417">
        <v>4.5906641255161293</v>
      </c>
      <c r="I300" s="417">
        <v>5.3258983412043275</v>
      </c>
      <c r="J300" s="418">
        <v>5.8736576364708064</v>
      </c>
      <c r="K300" s="419">
        <v>6.8978460863576618</v>
      </c>
      <c r="L300" s="417">
        <v>8.9982762553502305</v>
      </c>
      <c r="M300" s="417">
        <v>12.244165803535454</v>
      </c>
      <c r="N300" s="418">
        <v>17.339354247748656</v>
      </c>
      <c r="O300" s="419">
        <v>23.161050274249241</v>
      </c>
      <c r="P300" s="417">
        <v>29.635832188845487</v>
      </c>
      <c r="Q300" s="417">
        <v>36.109614282026165</v>
      </c>
      <c r="R300" s="417">
        <v>41.845600846295078</v>
      </c>
      <c r="S300" s="417">
        <v>46.727110442755389</v>
      </c>
      <c r="T300" s="417">
        <v>50.98836383098957</v>
      </c>
      <c r="U300" s="418">
        <v>53.525079233344172</v>
      </c>
      <c r="V300" s="419">
        <v>54.721516074258787</v>
      </c>
      <c r="W300" s="417">
        <v>55.009849778977994</v>
      </c>
      <c r="X300" s="417">
        <v>54.480363055987681</v>
      </c>
      <c r="Y300" s="417">
        <v>53.43811167214254</v>
      </c>
      <c r="Z300" s="417">
        <v>52.102918257798791</v>
      </c>
      <c r="AA300" s="417">
        <v>50.398280810261461</v>
      </c>
    </row>
    <row r="301" spans="1:27" x14ac:dyDescent="0.3">
      <c r="A301" s="386">
        <v>10</v>
      </c>
      <c r="B301" s="387" t="s">
        <v>736</v>
      </c>
      <c r="C301" s="417">
        <v>3.9877472152175857</v>
      </c>
      <c r="D301" s="417">
        <v>4.8358273842972954</v>
      </c>
      <c r="E301" s="417">
        <v>5.9464632144787721</v>
      </c>
      <c r="F301" s="417">
        <v>7.2593070409044902</v>
      </c>
      <c r="G301" s="417">
        <v>8.7920576694685</v>
      </c>
      <c r="H301" s="417">
        <v>10.714521882981959</v>
      </c>
      <c r="I301" s="417">
        <v>12.731083227219072</v>
      </c>
      <c r="J301" s="418">
        <v>14.095044217350019</v>
      </c>
      <c r="K301" s="419">
        <v>15.637838711652011</v>
      </c>
      <c r="L301" s="417">
        <v>17.450405731434298</v>
      </c>
      <c r="M301" s="417">
        <v>18.704156405232432</v>
      </c>
      <c r="N301" s="418">
        <v>19.969829410143841</v>
      </c>
      <c r="O301" s="419">
        <v>20.828974458623335</v>
      </c>
      <c r="P301" s="417">
        <v>21.911514027704783</v>
      </c>
      <c r="Q301" s="417">
        <v>22.990530386544275</v>
      </c>
      <c r="R301" s="417">
        <v>24.089288914985495</v>
      </c>
      <c r="S301" s="417">
        <v>25.096024244158873</v>
      </c>
      <c r="T301" s="417">
        <v>25.424309627724401</v>
      </c>
      <c r="U301" s="418">
        <v>25.480875580593516</v>
      </c>
      <c r="V301" s="419">
        <v>24.91925757555838</v>
      </c>
      <c r="W301" s="417">
        <v>25.055026622249297</v>
      </c>
      <c r="X301" s="417">
        <v>25.195791415715323</v>
      </c>
      <c r="Y301" s="417">
        <v>25.125411754411786</v>
      </c>
      <c r="Z301" s="417">
        <v>25.047405847204789</v>
      </c>
      <c r="AA301" s="417">
        <v>24.816254652171597</v>
      </c>
    </row>
    <row r="302" spans="1:27" ht="15" thickBot="1" x14ac:dyDescent="0.35">
      <c r="A302" s="395"/>
      <c r="B302" s="396" t="s">
        <v>690</v>
      </c>
      <c r="C302" s="420">
        <f t="shared" ref="C302:AA302" si="31">SUM(C292:C301)</f>
        <v>24.497993516003675</v>
      </c>
      <c r="D302" s="420">
        <f t="shared" si="31"/>
        <v>28.874994525638044</v>
      </c>
      <c r="E302" s="420">
        <f t="shared" si="31"/>
        <v>34.820308803657454</v>
      </c>
      <c r="F302" s="420">
        <f t="shared" si="31"/>
        <v>39.136205125497789</v>
      </c>
      <c r="G302" s="420">
        <f t="shared" si="31"/>
        <v>45.673982137111608</v>
      </c>
      <c r="H302" s="420">
        <f t="shared" si="31"/>
        <v>54.511252965377693</v>
      </c>
      <c r="I302" s="420">
        <f t="shared" si="31"/>
        <v>64.493462468113819</v>
      </c>
      <c r="J302" s="420">
        <f t="shared" si="31"/>
        <v>72.779112447323129</v>
      </c>
      <c r="K302" s="421">
        <f t="shared" si="31"/>
        <v>83.264215098105836</v>
      </c>
      <c r="L302" s="421">
        <f t="shared" si="31"/>
        <v>99.980704461651413</v>
      </c>
      <c r="M302" s="421">
        <f t="shared" si="31"/>
        <v>120.60650883690761</v>
      </c>
      <c r="N302" s="421">
        <f t="shared" si="31"/>
        <v>146.87895436592237</v>
      </c>
      <c r="O302" s="422">
        <f t="shared" si="31"/>
        <v>173.71455907108646</v>
      </c>
      <c r="P302" s="422">
        <f t="shared" si="31"/>
        <v>204.1136281538688</v>
      </c>
      <c r="Q302" s="422">
        <f t="shared" si="31"/>
        <v>235.55554458053439</v>
      </c>
      <c r="R302" s="422">
        <f t="shared" si="31"/>
        <v>264.71411581565189</v>
      </c>
      <c r="S302" s="422">
        <f t="shared" si="31"/>
        <v>294.6430677882484</v>
      </c>
      <c r="T302" s="422">
        <f t="shared" si="31"/>
        <v>323.20867250106403</v>
      </c>
      <c r="U302" s="422">
        <f t="shared" si="31"/>
        <v>347.44050590500694</v>
      </c>
      <c r="V302" s="423">
        <f t="shared" si="31"/>
        <v>361.99185453639154</v>
      </c>
      <c r="W302" s="423">
        <f t="shared" si="31"/>
        <v>370.1695193875828</v>
      </c>
      <c r="X302" s="423">
        <f t="shared" si="31"/>
        <v>372.37958722965629</v>
      </c>
      <c r="Y302" s="423">
        <f t="shared" si="31"/>
        <v>371.20507343562258</v>
      </c>
      <c r="Z302" s="423">
        <f t="shared" si="31"/>
        <v>368.35799774417194</v>
      </c>
      <c r="AA302" s="423">
        <f t="shared" si="31"/>
        <v>363.75454204647599</v>
      </c>
    </row>
    <row r="303" spans="1:27" ht="15" thickTop="1" x14ac:dyDescent="0.3">
      <c r="A303"/>
      <c r="B303"/>
      <c r="C303" s="395"/>
      <c r="D303" s="395"/>
      <c r="E303" s="395"/>
      <c r="F303" s="395"/>
      <c r="G303" s="395"/>
      <c r="H303" s="395"/>
      <c r="I303" s="395"/>
      <c r="J303" s="395"/>
      <c r="K303" s="395"/>
      <c r="L303" s="395"/>
      <c r="M303" s="395"/>
      <c r="N303" s="395"/>
      <c r="O303" s="395"/>
      <c r="P303" s="395"/>
      <c r="Q303" s="395"/>
      <c r="R303" s="395"/>
      <c r="S303" s="395"/>
      <c r="T303" s="395"/>
      <c r="U303" s="395"/>
      <c r="V303" s="395"/>
      <c r="W303" s="395"/>
      <c r="X303" s="395"/>
      <c r="Y303" s="395"/>
      <c r="Z303" s="395"/>
      <c r="AA303" s="395"/>
    </row>
    <row r="304" spans="1:27" ht="15.6" x14ac:dyDescent="0.3">
      <c r="A304" s="401">
        <v>10</v>
      </c>
      <c r="B304" s="413" t="s">
        <v>806</v>
      </c>
      <c r="C304" s="813" t="s">
        <v>807</v>
      </c>
      <c r="D304" s="813"/>
      <c r="E304" s="813"/>
      <c r="F304" s="813"/>
      <c r="G304" s="813"/>
      <c r="H304" s="813"/>
      <c r="I304" s="813"/>
      <c r="J304" s="813"/>
      <c r="K304" s="813"/>
      <c r="L304" s="813"/>
      <c r="M304" s="813"/>
      <c r="N304" s="813"/>
      <c r="O304" s="813"/>
      <c r="P304" s="813"/>
      <c r="Q304" s="813"/>
      <c r="R304" s="813"/>
      <c r="S304" s="813"/>
      <c r="T304" s="813"/>
      <c r="U304" s="813"/>
      <c r="V304" s="813"/>
      <c r="W304" s="813"/>
      <c r="X304" s="813"/>
      <c r="Y304" s="813"/>
      <c r="Z304" s="813"/>
      <c r="AA304" s="813"/>
    </row>
    <row r="305" spans="1:27" x14ac:dyDescent="0.3">
      <c r="A305" s="386">
        <v>1</v>
      </c>
      <c r="B305" s="387" t="s">
        <v>724</v>
      </c>
      <c r="C305" s="414">
        <v>2.1132843801640675</v>
      </c>
      <c r="D305" s="414">
        <v>2.1631708513339993</v>
      </c>
      <c r="E305" s="414">
        <v>2.1007868401617786</v>
      </c>
      <c r="F305" s="414">
        <v>2.2882194933784228</v>
      </c>
      <c r="G305" s="414">
        <v>2.3608938754091842</v>
      </c>
      <c r="H305" s="414">
        <v>3.008372947979447</v>
      </c>
      <c r="I305" s="414">
        <v>3.6948453519293558</v>
      </c>
      <c r="J305" s="415">
        <v>3.9380429547556854</v>
      </c>
      <c r="K305" s="416">
        <v>3.9847623006209041</v>
      </c>
      <c r="L305" s="414">
        <v>4.1598267618357276</v>
      </c>
      <c r="M305" s="414">
        <v>4.3402613926118434</v>
      </c>
      <c r="N305" s="415">
        <v>4.4921471560502138</v>
      </c>
      <c r="O305" s="416">
        <v>4.6126686018500385</v>
      </c>
      <c r="P305" s="414">
        <v>4.2664950420194137</v>
      </c>
      <c r="Q305" s="414">
        <v>3.9001896457071967</v>
      </c>
      <c r="R305" s="414">
        <v>3.3713703837833071</v>
      </c>
      <c r="S305" s="414">
        <v>2.6122638768598767</v>
      </c>
      <c r="T305" s="414">
        <v>1.8457179571001103</v>
      </c>
      <c r="U305" s="415">
        <v>1.1611375282872007</v>
      </c>
      <c r="V305" s="416">
        <v>0.64929004212044461</v>
      </c>
      <c r="W305" s="414">
        <v>0.46199315579245903</v>
      </c>
      <c r="X305" s="414">
        <v>0.43493376917427151</v>
      </c>
      <c r="Y305" s="414">
        <v>0.42163975159381151</v>
      </c>
      <c r="Z305" s="414">
        <v>0.41260770909667366</v>
      </c>
      <c r="AA305" s="414">
        <v>0.40204726344512826</v>
      </c>
    </row>
    <row r="306" spans="1:27" x14ac:dyDescent="0.3">
      <c r="A306" s="386">
        <v>2</v>
      </c>
      <c r="B306" s="387" t="s">
        <v>725</v>
      </c>
      <c r="C306" s="417">
        <v>3.3071994022470239</v>
      </c>
      <c r="D306" s="417">
        <v>3.1287128094292664</v>
      </c>
      <c r="E306" s="417">
        <v>2.8108968999016999</v>
      </c>
      <c r="F306" s="417">
        <v>2.4302554109559407</v>
      </c>
      <c r="G306" s="417">
        <v>2.3220485439455372</v>
      </c>
      <c r="H306" s="417">
        <v>2.6800295907690868</v>
      </c>
      <c r="I306" s="417">
        <v>3.0063725347591879</v>
      </c>
      <c r="J306" s="418">
        <v>2.9126322543517951</v>
      </c>
      <c r="K306" s="419">
        <v>2.9423784099745927</v>
      </c>
      <c r="L306" s="417">
        <v>2.9554554698721374</v>
      </c>
      <c r="M306" s="417">
        <v>2.8107921732111731</v>
      </c>
      <c r="N306" s="418">
        <v>2.4288897898677448</v>
      </c>
      <c r="O306" s="419">
        <v>1.943109228816845</v>
      </c>
      <c r="P306" s="417">
        <v>1.4261076138077586</v>
      </c>
      <c r="Q306" s="417">
        <v>1.0547282412297561</v>
      </c>
      <c r="R306" s="417">
        <v>0.77451411952339355</v>
      </c>
      <c r="S306" s="417">
        <v>0.53898532997763382</v>
      </c>
      <c r="T306" s="417">
        <v>0.3777776473448326</v>
      </c>
      <c r="U306" s="418">
        <v>0.27313354418315944</v>
      </c>
      <c r="V306" s="419">
        <v>0.18252972223116803</v>
      </c>
      <c r="W306" s="417">
        <v>0.10172876148203835</v>
      </c>
      <c r="X306" s="417">
        <v>4.9606151841316774E-2</v>
      </c>
      <c r="Y306" s="417">
        <v>2.51799660082184E-2</v>
      </c>
      <c r="Z306" s="417">
        <v>4.0444561523066171E-3</v>
      </c>
      <c r="AA306" s="417">
        <v>3.497359583209199E-3</v>
      </c>
    </row>
    <row r="307" spans="1:27" x14ac:dyDescent="0.3">
      <c r="A307" s="386">
        <v>3</v>
      </c>
      <c r="B307" s="387" t="s">
        <v>726</v>
      </c>
      <c r="C307" s="417">
        <v>0.89924761835257416</v>
      </c>
      <c r="D307" s="417">
        <v>0.83091053385096947</v>
      </c>
      <c r="E307" s="417">
        <v>0.79985684903069632</v>
      </c>
      <c r="F307" s="417">
        <v>0.76114583298921645</v>
      </c>
      <c r="G307" s="417">
        <v>0.75156192187401394</v>
      </c>
      <c r="H307" s="417">
        <v>0.84393738472010038</v>
      </c>
      <c r="I307" s="417">
        <v>0.87258978606357585</v>
      </c>
      <c r="J307" s="418">
        <v>0.92186762832275282</v>
      </c>
      <c r="K307" s="419">
        <v>0.94174251224688188</v>
      </c>
      <c r="L307" s="417">
        <v>0.87612266924859861</v>
      </c>
      <c r="M307" s="417">
        <v>0.73506437336004316</v>
      </c>
      <c r="N307" s="418">
        <v>0.61175367479273524</v>
      </c>
      <c r="O307" s="419">
        <v>0.48962320128037101</v>
      </c>
      <c r="P307" s="417">
        <v>0.38326161878760362</v>
      </c>
      <c r="Q307" s="417">
        <v>0.28492023089212615</v>
      </c>
      <c r="R307" s="417">
        <v>0.18403679752458352</v>
      </c>
      <c r="S307" s="417">
        <v>8.5722726509673913E-2</v>
      </c>
      <c r="T307" s="417">
        <v>1.4042351168537531E-2</v>
      </c>
      <c r="U307" s="418">
        <v>3.4552734673633147E-3</v>
      </c>
      <c r="V307" s="419">
        <v>4.0966653539223732E-4</v>
      </c>
      <c r="W307" s="417">
        <v>4.8733205494958983E-5</v>
      </c>
      <c r="X307" s="417">
        <v>3.44923150654322E-5</v>
      </c>
      <c r="Y307" s="417">
        <v>1.725418877959656E-5</v>
      </c>
      <c r="Z307" s="417">
        <v>9.4267608076496217E-6</v>
      </c>
      <c r="AA307" s="417">
        <v>5.7458648918009604E-6</v>
      </c>
    </row>
    <row r="308" spans="1:27" x14ac:dyDescent="0.3">
      <c r="A308" s="386">
        <v>4</v>
      </c>
      <c r="B308" s="387" t="s">
        <v>727</v>
      </c>
      <c r="C308" s="417">
        <v>2.3709967510535342E-2</v>
      </c>
      <c r="D308" s="417">
        <v>3.8756884487170754E-2</v>
      </c>
      <c r="E308" s="417">
        <v>3.571857989563286E-2</v>
      </c>
      <c r="F308" s="417">
        <v>3.382656574537711E-2</v>
      </c>
      <c r="G308" s="417">
        <v>4.0198687797068512E-2</v>
      </c>
      <c r="H308" s="417">
        <v>4.5301149583890629E-2</v>
      </c>
      <c r="I308" s="417">
        <v>5.2091991028528309E-2</v>
      </c>
      <c r="J308" s="418">
        <v>6.7980108177376958E-2</v>
      </c>
      <c r="K308" s="419">
        <v>7.1821573481509818E-2</v>
      </c>
      <c r="L308" s="417">
        <v>7.4157448230931455E-2</v>
      </c>
      <c r="M308" s="417">
        <v>7.5796607672632355E-2</v>
      </c>
      <c r="N308" s="418">
        <v>7.8018128884192184E-2</v>
      </c>
      <c r="O308" s="419">
        <v>7.829237338893888E-2</v>
      </c>
      <c r="P308" s="417">
        <v>7.6564906911130881E-2</v>
      </c>
      <c r="Q308" s="417">
        <v>7.330772182199212E-2</v>
      </c>
      <c r="R308" s="417">
        <v>6.882816665262334E-2</v>
      </c>
      <c r="S308" s="417">
        <v>6.4436873422269642E-2</v>
      </c>
      <c r="T308" s="417">
        <v>6.0056078399981602E-2</v>
      </c>
      <c r="U308" s="418">
        <v>5.5807241032633362E-2</v>
      </c>
      <c r="V308" s="419">
        <v>5.1800394091157088E-2</v>
      </c>
      <c r="W308" s="417">
        <v>4.7961055085324382E-2</v>
      </c>
      <c r="X308" s="417">
        <v>4.4240209568989185E-2</v>
      </c>
      <c r="Y308" s="417">
        <v>4.0626376710243169E-2</v>
      </c>
      <c r="Z308" s="417">
        <v>3.7124138151658083E-2</v>
      </c>
      <c r="AA308" s="417">
        <v>3.3733854524156379E-2</v>
      </c>
    </row>
    <row r="309" spans="1:27" x14ac:dyDescent="0.3">
      <c r="A309" s="386">
        <v>5</v>
      </c>
      <c r="B309" s="387" t="s">
        <v>728</v>
      </c>
      <c r="C309" s="417">
        <v>3.5019147576420127E-2</v>
      </c>
      <c r="D309" s="417">
        <v>3.4007227349846923E-2</v>
      </c>
      <c r="E309" s="417">
        <v>2.5057775578381566E-2</v>
      </c>
      <c r="F309" s="417">
        <v>2.053577401833126E-2</v>
      </c>
      <c r="G309" s="417">
        <v>1.9622301786237067E-2</v>
      </c>
      <c r="H309" s="417">
        <v>1.8884239945977679E-2</v>
      </c>
      <c r="I309" s="417">
        <v>1.7286868110586412E-2</v>
      </c>
      <c r="J309" s="418">
        <v>1.8113557290685998E-2</v>
      </c>
      <c r="K309" s="419">
        <v>2.0442072050786617E-2</v>
      </c>
      <c r="L309" s="417">
        <v>2.0933534107004121E-2</v>
      </c>
      <c r="M309" s="417">
        <v>1.887671287422777E-2</v>
      </c>
      <c r="N309" s="418">
        <v>1.6313100721737337E-2</v>
      </c>
      <c r="O309" s="419">
        <v>1.4042145044555825E-2</v>
      </c>
      <c r="P309" s="417">
        <v>1.2384673170732769E-2</v>
      </c>
      <c r="Q309" s="417">
        <v>1.1120731504459603E-2</v>
      </c>
      <c r="R309" s="417">
        <v>9.4913044847924448E-3</v>
      </c>
      <c r="S309" s="417">
        <v>7.9703468285517547E-3</v>
      </c>
      <c r="T309" s="417">
        <v>6.5637106925346975E-3</v>
      </c>
      <c r="U309" s="418">
        <v>5.3086116038682102E-3</v>
      </c>
      <c r="V309" s="419">
        <v>4.1623169001241264E-3</v>
      </c>
      <c r="W309" s="417">
        <v>3.0950281857829135E-3</v>
      </c>
      <c r="X309" s="417">
        <v>2.1954417899168513E-3</v>
      </c>
      <c r="Y309" s="417">
        <v>1.6334615667378143E-3</v>
      </c>
      <c r="Z309" s="417">
        <v>1.1796613210961892E-3</v>
      </c>
      <c r="AA309" s="417">
        <v>7.5119897463668301E-4</v>
      </c>
    </row>
    <row r="310" spans="1:27" x14ac:dyDescent="0.3">
      <c r="A310" s="386">
        <v>6</v>
      </c>
      <c r="B310" s="387" t="s">
        <v>729</v>
      </c>
      <c r="C310" s="417">
        <v>1.7103460770016108</v>
      </c>
      <c r="D310" s="417">
        <v>1.787687955511797</v>
      </c>
      <c r="E310" s="417">
        <v>1.9979510666805778</v>
      </c>
      <c r="F310" s="417">
        <v>2.2150650524353614</v>
      </c>
      <c r="G310" s="417">
        <v>2.5156627648709908</v>
      </c>
      <c r="H310" s="417">
        <v>2.8609220537799591</v>
      </c>
      <c r="I310" s="417">
        <v>3.2404584378391696</v>
      </c>
      <c r="J310" s="418">
        <v>3.5735183051980837</v>
      </c>
      <c r="K310" s="419">
        <v>3.8364092337316653</v>
      </c>
      <c r="L310" s="417">
        <v>3.8665200033054026</v>
      </c>
      <c r="M310" s="417">
        <v>3.3759897267016594</v>
      </c>
      <c r="N310" s="418">
        <v>3.1812675886076751</v>
      </c>
      <c r="O310" s="419">
        <v>2.8757251400526678</v>
      </c>
      <c r="P310" s="417">
        <v>2.4558805720976196</v>
      </c>
      <c r="Q310" s="417">
        <v>2.0706594258019848</v>
      </c>
      <c r="R310" s="417">
        <v>1.7692843671224148</v>
      </c>
      <c r="S310" s="417">
        <v>1.4087480897427771</v>
      </c>
      <c r="T310" s="417">
        <v>0.92786733485712569</v>
      </c>
      <c r="U310" s="418">
        <v>0.51130819554087614</v>
      </c>
      <c r="V310" s="419">
        <v>0.38963414379004818</v>
      </c>
      <c r="W310" s="417">
        <v>0.31406005862994474</v>
      </c>
      <c r="X310" s="417">
        <v>0.25963921401208556</v>
      </c>
      <c r="Y310" s="417">
        <v>0.22757496572719318</v>
      </c>
      <c r="Z310" s="417">
        <v>0.20485187549315462</v>
      </c>
      <c r="AA310" s="417">
        <v>0.18922210777062518</v>
      </c>
    </row>
    <row r="311" spans="1:27" x14ac:dyDescent="0.3">
      <c r="A311" s="386">
        <v>7</v>
      </c>
      <c r="B311" s="387" t="s">
        <v>730</v>
      </c>
      <c r="C311" s="417">
        <v>0.34366654388245965</v>
      </c>
      <c r="D311" s="417">
        <v>0.37721673554759233</v>
      </c>
      <c r="E311" s="417">
        <v>0.44012592742812368</v>
      </c>
      <c r="F311" s="417">
        <v>0.44748856483690452</v>
      </c>
      <c r="G311" s="417">
        <v>0.53205166107180468</v>
      </c>
      <c r="H311" s="417">
        <v>0.57732262967302994</v>
      </c>
      <c r="I311" s="417">
        <v>0.59283621125834041</v>
      </c>
      <c r="J311" s="418">
        <v>0.6867437507066767</v>
      </c>
      <c r="K311" s="419">
        <v>0.70394356443195039</v>
      </c>
      <c r="L311" s="417">
        <v>0.76971490699913747</v>
      </c>
      <c r="M311" s="417">
        <v>0.80781624225315485</v>
      </c>
      <c r="N311" s="418">
        <v>0.94282510814715037</v>
      </c>
      <c r="O311" s="419">
        <v>1.096718714096123</v>
      </c>
      <c r="P311" s="417">
        <v>1.2479001640927365</v>
      </c>
      <c r="Q311" s="417">
        <v>1.4169237863453188</v>
      </c>
      <c r="R311" s="417">
        <v>1.5455114662915916</v>
      </c>
      <c r="S311" s="417">
        <v>1.6867178965630902</v>
      </c>
      <c r="T311" s="417">
        <v>1.8107170920890829</v>
      </c>
      <c r="U311" s="418">
        <v>1.9277991406782977</v>
      </c>
      <c r="V311" s="419">
        <v>2.0187081231060944</v>
      </c>
      <c r="W311" s="417">
        <v>2.0785735406188692</v>
      </c>
      <c r="X311" s="417">
        <v>2.1079671107834779</v>
      </c>
      <c r="Y311" s="417">
        <v>2.1064774736054095</v>
      </c>
      <c r="Z311" s="417">
        <v>2.0733953425384795</v>
      </c>
      <c r="AA311" s="417">
        <v>2.0097815100053191</v>
      </c>
    </row>
    <row r="312" spans="1:27" x14ac:dyDescent="0.3">
      <c r="A312" s="386">
        <v>8</v>
      </c>
      <c r="B312" s="387" t="s">
        <v>731</v>
      </c>
      <c r="C312" s="417">
        <v>0.41089663188668052</v>
      </c>
      <c r="D312" s="417">
        <v>0.35681413116769573</v>
      </c>
      <c r="E312" s="417">
        <v>0.41920880856932496</v>
      </c>
      <c r="F312" s="417">
        <v>0.47117651171874803</v>
      </c>
      <c r="G312" s="417">
        <v>0.55145821479498203</v>
      </c>
      <c r="H312" s="417">
        <v>0.62766517007902489</v>
      </c>
      <c r="I312" s="417">
        <v>0.70759975205935999</v>
      </c>
      <c r="J312" s="418">
        <v>0.70948733664600616</v>
      </c>
      <c r="K312" s="419">
        <v>0.75170189880595251</v>
      </c>
      <c r="L312" s="417">
        <v>0.81243729759530814</v>
      </c>
      <c r="M312" s="417">
        <v>0.8595563009986753</v>
      </c>
      <c r="N312" s="418">
        <v>0.91265566428404366</v>
      </c>
      <c r="O312" s="419">
        <v>0.95638594394761556</v>
      </c>
      <c r="P312" s="417">
        <v>0.99075908398346801</v>
      </c>
      <c r="Q312" s="417">
        <v>1.0166230969248717</v>
      </c>
      <c r="R312" s="417">
        <v>1.0258392630880759</v>
      </c>
      <c r="S312" s="417">
        <v>1.0082383882622039</v>
      </c>
      <c r="T312" s="417">
        <v>0.97481973861296611</v>
      </c>
      <c r="U312" s="418">
        <v>0.94435855172761052</v>
      </c>
      <c r="V312" s="419">
        <v>0.91589096079679533</v>
      </c>
      <c r="W312" s="417">
        <v>0.89136396696268971</v>
      </c>
      <c r="X312" s="417">
        <v>0.87108576583996011</v>
      </c>
      <c r="Y312" s="417">
        <v>0.85437513591448255</v>
      </c>
      <c r="Z312" s="417">
        <v>0.83854570226579195</v>
      </c>
      <c r="AA312" s="417">
        <v>0.82265408825271213</v>
      </c>
    </row>
    <row r="313" spans="1:27" x14ac:dyDescent="0.3">
      <c r="A313" s="386">
        <v>9</v>
      </c>
      <c r="B313" s="387" t="s">
        <v>732</v>
      </c>
      <c r="C313" s="417">
        <v>0.17694259844749965</v>
      </c>
      <c r="D313" s="417">
        <v>0.15912876305286924</v>
      </c>
      <c r="E313" s="417">
        <v>0.11478140990240114</v>
      </c>
      <c r="F313" s="417">
        <v>7.8541235051753089E-2</v>
      </c>
      <c r="G313" s="417">
        <v>7.8145766101056585E-2</v>
      </c>
      <c r="H313" s="417">
        <v>9.3721999100713257E-2</v>
      </c>
      <c r="I313" s="417">
        <v>7.8576234427413336E-2</v>
      </c>
      <c r="J313" s="418">
        <v>8.0928292679845373E-2</v>
      </c>
      <c r="K313" s="419">
        <v>8.2680698338534045E-2</v>
      </c>
      <c r="L313" s="417">
        <v>8.2184061883569554E-2</v>
      </c>
      <c r="M313" s="417">
        <v>7.7717872231449533E-2</v>
      </c>
      <c r="N313" s="418">
        <v>7.742853846620823E-2</v>
      </c>
      <c r="O313" s="419">
        <v>7.7205198777908976E-2</v>
      </c>
      <c r="P313" s="417">
        <v>7.5346521895608531E-2</v>
      </c>
      <c r="Q313" s="417">
        <v>7.1079599182175421E-2</v>
      </c>
      <c r="R313" s="417">
        <v>6.4443636074356755E-2</v>
      </c>
      <c r="S313" s="417">
        <v>5.789011434176082E-2</v>
      </c>
      <c r="T313" s="417">
        <v>5.1182984717854672E-2</v>
      </c>
      <c r="U313" s="418">
        <v>4.4664366836241781E-2</v>
      </c>
      <c r="V313" s="419">
        <v>3.8593852569235421E-2</v>
      </c>
      <c r="W313" s="417">
        <v>3.2964409072334402E-2</v>
      </c>
      <c r="X313" s="417">
        <v>2.763194193323458E-2</v>
      </c>
      <c r="Y313" s="417">
        <v>2.2470201085413349E-2</v>
      </c>
      <c r="Z313" s="417">
        <v>1.790117749709335E-2</v>
      </c>
      <c r="AA313" s="417">
        <v>1.335282382217646E-2</v>
      </c>
    </row>
    <row r="314" spans="1:27" x14ac:dyDescent="0.3">
      <c r="A314" s="386">
        <v>10</v>
      </c>
      <c r="B314" s="387" t="s">
        <v>733</v>
      </c>
      <c r="C314" s="417">
        <v>0.87202209804785658</v>
      </c>
      <c r="D314" s="417">
        <v>0.9911344174844795</v>
      </c>
      <c r="E314" s="417">
        <v>1.3405884028128323</v>
      </c>
      <c r="F314" s="417">
        <v>1.5038248220911854</v>
      </c>
      <c r="G314" s="417">
        <v>1.738813388988411</v>
      </c>
      <c r="H314" s="417">
        <v>1.9487342641665866</v>
      </c>
      <c r="I314" s="417">
        <v>2.102334046784188</v>
      </c>
      <c r="J314" s="418">
        <v>2.4208292930675852</v>
      </c>
      <c r="K314" s="419">
        <v>2.6128581907081512</v>
      </c>
      <c r="L314" s="417">
        <v>2.8405591001236021</v>
      </c>
      <c r="M314" s="417">
        <v>2.946852413488378</v>
      </c>
      <c r="N314" s="418">
        <v>3.104591058711216</v>
      </c>
      <c r="O314" s="419">
        <v>3.2242461420228672</v>
      </c>
      <c r="P314" s="417">
        <v>3.2758180794280092</v>
      </c>
      <c r="Q314" s="417">
        <v>3.2657803631149878</v>
      </c>
      <c r="R314" s="417">
        <v>3.1610634870136574</v>
      </c>
      <c r="S314" s="417">
        <v>2.9517931435653662</v>
      </c>
      <c r="T314" s="417">
        <v>2.6048080548342942</v>
      </c>
      <c r="U314" s="418">
        <v>2.1440550067613677</v>
      </c>
      <c r="V314" s="419">
        <v>1.6604845934890573</v>
      </c>
      <c r="W314" s="417">
        <v>1.3323013899040639</v>
      </c>
      <c r="X314" s="417">
        <v>1.1388972290338091</v>
      </c>
      <c r="Y314" s="417">
        <v>1.0339731152942506</v>
      </c>
      <c r="Z314" s="417">
        <v>0.95857652302304541</v>
      </c>
      <c r="AA314" s="417">
        <v>0.86582434713175649</v>
      </c>
    </row>
    <row r="315" spans="1:27" x14ac:dyDescent="0.3">
      <c r="A315" s="386">
        <v>11</v>
      </c>
      <c r="B315" s="387" t="s">
        <v>734</v>
      </c>
      <c r="C315" s="417">
        <v>7.163552249123771E-2</v>
      </c>
      <c r="D315" s="417">
        <v>8.4500409351460082E-2</v>
      </c>
      <c r="E315" s="417">
        <v>0.10168226633496567</v>
      </c>
      <c r="F315" s="417">
        <v>0.12028364136434982</v>
      </c>
      <c r="G315" s="417">
        <v>0.13947090431812378</v>
      </c>
      <c r="H315" s="417">
        <v>0.150403787244587</v>
      </c>
      <c r="I315" s="417">
        <v>0.14902757798580049</v>
      </c>
      <c r="J315" s="418">
        <v>0.1772689439166705</v>
      </c>
      <c r="K315" s="419">
        <v>0.20210202761550095</v>
      </c>
      <c r="L315" s="417">
        <v>0.21340703700459793</v>
      </c>
      <c r="M315" s="417">
        <v>0.22022145115354819</v>
      </c>
      <c r="N315" s="418">
        <v>0.24868319060927721</v>
      </c>
      <c r="O315" s="419">
        <v>0.27970303843061389</v>
      </c>
      <c r="P315" s="417">
        <v>0.30900461653858552</v>
      </c>
      <c r="Q315" s="417">
        <v>0.34079823197353371</v>
      </c>
      <c r="R315" s="417">
        <v>0.36411045260552072</v>
      </c>
      <c r="S315" s="417">
        <v>0.39042855923743108</v>
      </c>
      <c r="T315" s="417">
        <v>0.41284770848803609</v>
      </c>
      <c r="U315" s="418">
        <v>0.4318692463394378</v>
      </c>
      <c r="V315" s="419">
        <v>0.44370760899230732</v>
      </c>
      <c r="W315" s="417">
        <v>0.44810591514118292</v>
      </c>
      <c r="X315" s="417">
        <v>0.44620484984354442</v>
      </c>
      <c r="Y315" s="417">
        <v>0.43880015635733044</v>
      </c>
      <c r="Z315" s="417">
        <v>0.42607711815272875</v>
      </c>
      <c r="AA315" s="417">
        <v>0.4081553647776654</v>
      </c>
    </row>
    <row r="316" spans="1:27" x14ac:dyDescent="0.3">
      <c r="A316" s="386">
        <v>12</v>
      </c>
      <c r="B316" s="387" t="s">
        <v>735</v>
      </c>
      <c r="C316" s="417">
        <v>1.6816954338733199</v>
      </c>
      <c r="D316" s="417">
        <v>1.8336297955518079</v>
      </c>
      <c r="E316" s="417">
        <v>1.9078308370856132</v>
      </c>
      <c r="F316" s="417">
        <v>1.9203240755680655</v>
      </c>
      <c r="G316" s="417">
        <v>1.9060502074105679</v>
      </c>
      <c r="H316" s="417">
        <v>2.0002570091497045</v>
      </c>
      <c r="I316" s="417">
        <v>2.0189314671021155</v>
      </c>
      <c r="J316" s="418">
        <v>2.0081161596358057</v>
      </c>
      <c r="K316" s="419">
        <v>2.1037622079507563</v>
      </c>
      <c r="L316" s="417">
        <v>2.0859479521232687</v>
      </c>
      <c r="M316" s="417">
        <v>1.8416340752679394</v>
      </c>
      <c r="N316" s="418">
        <v>1.5539782688795971</v>
      </c>
      <c r="O316" s="419">
        <v>1.2530625125748933</v>
      </c>
      <c r="P316" s="417">
        <v>1.0063507840879844</v>
      </c>
      <c r="Q316" s="417">
        <v>0.81580798887543915</v>
      </c>
      <c r="R316" s="417">
        <v>0.66575541261644433</v>
      </c>
      <c r="S316" s="417">
        <v>0.52043594162110185</v>
      </c>
      <c r="T316" s="417">
        <v>0.37625219155739703</v>
      </c>
      <c r="U316" s="418">
        <v>0.30021129183177819</v>
      </c>
      <c r="V316" s="419">
        <v>0.24542273152545657</v>
      </c>
      <c r="W316" s="417">
        <v>0.19325856876289241</v>
      </c>
      <c r="X316" s="417">
        <v>0.14652815323067336</v>
      </c>
      <c r="Y316" s="417">
        <v>0.10692584142554681</v>
      </c>
      <c r="Z316" s="417">
        <v>7.4662780318069319E-2</v>
      </c>
      <c r="AA316" s="417">
        <v>4.9693867673839577E-2</v>
      </c>
    </row>
    <row r="317" spans="1:27" x14ac:dyDescent="0.3">
      <c r="A317" s="386">
        <v>13</v>
      </c>
      <c r="B317" s="387" t="s">
        <v>739</v>
      </c>
      <c r="C317" s="417">
        <v>0.94021908447361457</v>
      </c>
      <c r="D317" s="417">
        <v>0.78092469868035841</v>
      </c>
      <c r="E317" s="417">
        <v>0.97097279413440585</v>
      </c>
      <c r="F317" s="417">
        <v>0.77109139472037147</v>
      </c>
      <c r="G317" s="417">
        <v>0.77370921772807932</v>
      </c>
      <c r="H317" s="417">
        <v>1.0950772807806173</v>
      </c>
      <c r="I317" s="417">
        <v>1.7903826186351117</v>
      </c>
      <c r="J317" s="418">
        <v>1.7028358619357131</v>
      </c>
      <c r="K317" s="419">
        <v>1.5093057862035359</v>
      </c>
      <c r="L317" s="417">
        <v>1.3694774757441841</v>
      </c>
      <c r="M317" s="417">
        <v>1.2867618381309203</v>
      </c>
      <c r="N317" s="418">
        <v>1.2506828520056494</v>
      </c>
      <c r="O317" s="419">
        <v>1.229276092147475</v>
      </c>
      <c r="P317" s="417">
        <v>1.2309668729924912</v>
      </c>
      <c r="Q317" s="417">
        <v>1.2040371265602008</v>
      </c>
      <c r="R317" s="417">
        <v>1.1286786206707875</v>
      </c>
      <c r="S317" s="417">
        <v>1.0212734810788164</v>
      </c>
      <c r="T317" s="417">
        <v>0.91351273026230129</v>
      </c>
      <c r="U317" s="418">
        <v>0.81862307184078387</v>
      </c>
      <c r="V317" s="419">
        <v>0.75174562493263208</v>
      </c>
      <c r="W317" s="417">
        <v>0.71101642567780443</v>
      </c>
      <c r="X317" s="417">
        <v>0.68958778152825162</v>
      </c>
      <c r="Y317" s="417">
        <v>0.68358031969494448</v>
      </c>
      <c r="Z317" s="417">
        <v>0.68357698087191443</v>
      </c>
      <c r="AA317" s="417">
        <v>0.68505111400137175</v>
      </c>
    </row>
    <row r="318" spans="1:27" x14ac:dyDescent="0.3">
      <c r="A318" s="386">
        <v>14</v>
      </c>
      <c r="B318" s="387" t="s">
        <v>740</v>
      </c>
      <c r="C318" s="417">
        <v>0.92623536587938704</v>
      </c>
      <c r="D318" s="417">
        <v>0.86057068275572479</v>
      </c>
      <c r="E318" s="417">
        <v>1.0671111172935674</v>
      </c>
      <c r="F318" s="417">
        <v>0.9923268376233203</v>
      </c>
      <c r="G318" s="417">
        <v>0.99510025826558657</v>
      </c>
      <c r="H318" s="417">
        <v>1.0699970596525481</v>
      </c>
      <c r="I318" s="417">
        <v>1.0182964480813808</v>
      </c>
      <c r="J318" s="418">
        <v>0.86292856734658485</v>
      </c>
      <c r="K318" s="419">
        <v>0.9359384069859229</v>
      </c>
      <c r="L318" s="417">
        <v>0.97522112418157969</v>
      </c>
      <c r="M318" s="417">
        <v>0.92312802182182829</v>
      </c>
      <c r="N318" s="418">
        <v>0.64873044318235396</v>
      </c>
      <c r="O318" s="419">
        <v>0.40015581019823976</v>
      </c>
      <c r="P318" s="417">
        <v>0.22629567751642624</v>
      </c>
      <c r="Q318" s="417">
        <v>-0.12877426263124855</v>
      </c>
      <c r="R318" s="417">
        <v>-0.82650298880216322</v>
      </c>
      <c r="S318" s="417">
        <v>-1.7784693045605993</v>
      </c>
      <c r="T318" s="417">
        <v>-2.5953019783319959</v>
      </c>
      <c r="U318" s="418">
        <v>-2.9544552722197337</v>
      </c>
      <c r="V318" s="419">
        <v>-3.2853187495105645</v>
      </c>
      <c r="W318" s="417">
        <v>-3.5761855689794944</v>
      </c>
      <c r="X318" s="417">
        <v>-3.8106293325099032</v>
      </c>
      <c r="Y318" s="417">
        <v>-3.991204030179945</v>
      </c>
      <c r="Z318" s="417">
        <v>-4.1118842868172987</v>
      </c>
      <c r="AA318" s="417">
        <v>-4.148041104396575</v>
      </c>
    </row>
    <row r="319" spans="1:27" x14ac:dyDescent="0.3">
      <c r="A319" s="386">
        <v>15</v>
      </c>
      <c r="B319" s="387" t="s">
        <v>741</v>
      </c>
      <c r="C319" s="417">
        <v>0.58778696885198845</v>
      </c>
      <c r="D319" s="417">
        <v>0.69170129472958919</v>
      </c>
      <c r="E319" s="417">
        <v>0.69908298850644757</v>
      </c>
      <c r="F319" s="417">
        <v>0.81195767263546514</v>
      </c>
      <c r="G319" s="417">
        <v>0.92005612645890356</v>
      </c>
      <c r="H319" s="417">
        <v>1.0536557813504601</v>
      </c>
      <c r="I319" s="417">
        <v>1.2003164888449565</v>
      </c>
      <c r="J319" s="418">
        <v>1.340429011425224</v>
      </c>
      <c r="K319" s="419">
        <v>1.4263393978958023</v>
      </c>
      <c r="L319" s="417">
        <v>1.4560974635053237</v>
      </c>
      <c r="M319" s="417">
        <v>1.4007482672335219</v>
      </c>
      <c r="N319" s="418">
        <v>1.2888589432195714</v>
      </c>
      <c r="O319" s="419">
        <v>1.0866757503030238</v>
      </c>
      <c r="P319" s="417">
        <v>0.89975893639947091</v>
      </c>
      <c r="Q319" s="417">
        <v>0.68600186397736063</v>
      </c>
      <c r="R319" s="417">
        <v>0.48078209929733812</v>
      </c>
      <c r="S319" s="417">
        <v>0.28722631769065721</v>
      </c>
      <c r="T319" s="417">
        <v>0.11328638521730783</v>
      </c>
      <c r="U319" s="418">
        <v>7.5519086364149307E-2</v>
      </c>
      <c r="V319" s="419">
        <v>6.9748085121098272E-2</v>
      </c>
      <c r="W319" s="417">
        <v>6.622850935174282E-2</v>
      </c>
      <c r="X319" s="417">
        <v>6.2750834727117552E-2</v>
      </c>
      <c r="Y319" s="417">
        <v>6.2441377192664411E-2</v>
      </c>
      <c r="Z319" s="417">
        <v>6.3804109116645122E-2</v>
      </c>
      <c r="AA319" s="417">
        <v>6.4676792172365521E-2</v>
      </c>
    </row>
    <row r="320" spans="1:27" x14ac:dyDescent="0.3">
      <c r="A320" s="386">
        <v>16</v>
      </c>
      <c r="B320" s="387" t="s">
        <v>341</v>
      </c>
      <c r="C320" s="417">
        <v>4.9345534544064611</v>
      </c>
      <c r="D320" s="417">
        <v>5.2916975759251139</v>
      </c>
      <c r="E320" s="417">
        <v>6.4512217387505624</v>
      </c>
      <c r="F320" s="417">
        <v>7.1449762144441982</v>
      </c>
      <c r="G320" s="417">
        <v>8.3138577839996231</v>
      </c>
      <c r="H320" s="417">
        <v>10.139334907267751</v>
      </c>
      <c r="I320" s="417">
        <v>11.565226875564436</v>
      </c>
      <c r="J320" s="418">
        <v>12.445723755904762</v>
      </c>
      <c r="K320" s="419">
        <v>12.858013113710211</v>
      </c>
      <c r="L320" s="417">
        <v>13.68936692162802</v>
      </c>
      <c r="M320" s="417">
        <v>13.660585303502883</v>
      </c>
      <c r="N320" s="418">
        <v>12.676441415542879</v>
      </c>
      <c r="O320" s="419">
        <v>10.019337402799165</v>
      </c>
      <c r="P320" s="417">
        <v>6.999992155179144</v>
      </c>
      <c r="Q320" s="417">
        <v>3.9068152733019788</v>
      </c>
      <c r="R320" s="417">
        <v>0.83978010478512088</v>
      </c>
      <c r="S320" s="417">
        <v>-1.2784185939259132</v>
      </c>
      <c r="T320" s="417">
        <v>-2.4802269998552595</v>
      </c>
      <c r="U320" s="418">
        <v>-3.4467868761889928</v>
      </c>
      <c r="V320" s="419">
        <v>-4.9012233085614225</v>
      </c>
      <c r="W320" s="417">
        <v>-5.8385995933042452</v>
      </c>
      <c r="X320" s="417">
        <v>-5.8105979045736191</v>
      </c>
      <c r="Y320" s="417">
        <v>-5.6587151392121315</v>
      </c>
      <c r="Z320" s="417">
        <v>-5.5197859680805514</v>
      </c>
      <c r="AA320" s="417">
        <v>-5.3848275485935959</v>
      </c>
    </row>
    <row r="321" spans="1:27" x14ac:dyDescent="0.3">
      <c r="A321" s="386">
        <v>17</v>
      </c>
      <c r="B321" s="387" t="s">
        <v>326</v>
      </c>
      <c r="C321" s="417">
        <v>0</v>
      </c>
      <c r="D321" s="417">
        <v>0</v>
      </c>
      <c r="E321" s="417">
        <v>0</v>
      </c>
      <c r="F321" s="417">
        <v>0</v>
      </c>
      <c r="G321" s="417">
        <v>0</v>
      </c>
      <c r="H321" s="417">
        <v>0</v>
      </c>
      <c r="I321" s="417">
        <v>0</v>
      </c>
      <c r="J321" s="418">
        <v>0</v>
      </c>
      <c r="K321" s="419">
        <v>3.7748830715209607E-3</v>
      </c>
      <c r="L321" s="417">
        <v>1.0856922601096832E-2</v>
      </c>
      <c r="M321" s="417">
        <v>1.7114435842516883E-2</v>
      </c>
      <c r="N321" s="418">
        <v>2.3737159099113822E-2</v>
      </c>
      <c r="O321" s="419">
        <v>2.4070430515058833E-2</v>
      </c>
      <c r="P321" s="417">
        <v>8.5343597348737938E-3</v>
      </c>
      <c r="Q321" s="417">
        <v>-2.1072900397521795E-2</v>
      </c>
      <c r="R321" s="417">
        <v>-9.1838315393779846E-2</v>
      </c>
      <c r="S321" s="417">
        <v>-0.24584350824930934</v>
      </c>
      <c r="T321" s="417">
        <v>-0.44781248677093083</v>
      </c>
      <c r="U321" s="418">
        <v>-0.57062231282980069</v>
      </c>
      <c r="V321" s="419">
        <v>-0.77850476959593629</v>
      </c>
      <c r="W321" s="417">
        <v>-0.77433682775374624</v>
      </c>
      <c r="X321" s="417">
        <v>-0.69415811696043517</v>
      </c>
      <c r="Y321" s="417">
        <v>-0.62565066634871713</v>
      </c>
      <c r="Z321" s="417">
        <v>-0.55084575276752679</v>
      </c>
      <c r="AA321" s="417">
        <v>-0.49001005784987406</v>
      </c>
    </row>
    <row r="322" spans="1:27" x14ac:dyDescent="0.3">
      <c r="A322" s="386">
        <v>18</v>
      </c>
      <c r="B322" s="387" t="s">
        <v>755</v>
      </c>
      <c r="C322" s="417">
        <v>0.68743292243775156</v>
      </c>
      <c r="D322" s="417">
        <v>0.82490053927734508</v>
      </c>
      <c r="E322" s="417">
        <v>1.2480094425665309</v>
      </c>
      <c r="F322" s="417">
        <v>1.0381111976137576</v>
      </c>
      <c r="G322" s="417">
        <v>0.97974047086990346</v>
      </c>
      <c r="H322" s="417">
        <v>1.0682831900553724</v>
      </c>
      <c r="I322" s="417">
        <v>1.1495435729090611</v>
      </c>
      <c r="J322" s="418">
        <v>1.1488306268222013</v>
      </c>
      <c r="K322" s="419">
        <v>1.1746700598274387</v>
      </c>
      <c r="L322" s="417">
        <v>1.2075719554500672</v>
      </c>
      <c r="M322" s="417">
        <v>1.1175642779684989</v>
      </c>
      <c r="N322" s="418">
        <v>0.92469905499828176</v>
      </c>
      <c r="O322" s="419">
        <v>0.71515031996682488</v>
      </c>
      <c r="P322" s="417">
        <v>0.54941446792943238</v>
      </c>
      <c r="Q322" s="417">
        <v>0.399407097671999</v>
      </c>
      <c r="R322" s="417">
        <v>0.26766764964452699</v>
      </c>
      <c r="S322" s="417">
        <v>0.1454513258164756</v>
      </c>
      <c r="T322" s="417">
        <v>4.6815197228304614E-2</v>
      </c>
      <c r="U322" s="418">
        <v>2.0047532905003919E-2</v>
      </c>
      <c r="V322" s="419">
        <v>9.5850663448918891E-3</v>
      </c>
      <c r="W322" s="417">
        <v>7.5806188476169028E-3</v>
      </c>
      <c r="X322" s="417">
        <v>6.4509627325645665E-3</v>
      </c>
      <c r="Y322" s="417">
        <v>5.4695415519137904E-3</v>
      </c>
      <c r="Z322" s="417">
        <v>4.6698742413138865E-3</v>
      </c>
      <c r="AA322" s="417">
        <v>3.9181299219086408E-3</v>
      </c>
    </row>
    <row r="323" spans="1:27" x14ac:dyDescent="0.3">
      <c r="A323" s="386">
        <v>19</v>
      </c>
      <c r="B323" s="387" t="s">
        <v>742</v>
      </c>
      <c r="C323" s="417">
        <v>-0.17207778343085198</v>
      </c>
      <c r="D323" s="417">
        <v>-0.22201861110435245</v>
      </c>
      <c r="E323" s="417">
        <v>-0.72177299615629287</v>
      </c>
      <c r="F323" s="417">
        <v>-0.71408257973455613</v>
      </c>
      <c r="G323" s="417">
        <v>-0.84542087902482954</v>
      </c>
      <c r="H323" s="417">
        <v>-0.92063400547488239</v>
      </c>
      <c r="I323" s="417">
        <v>-1.0104546259536653</v>
      </c>
      <c r="J323" s="418">
        <v>-1.0763015499631532</v>
      </c>
      <c r="K323" s="419">
        <v>-1.0119641724761086</v>
      </c>
      <c r="L323" s="417">
        <v>-0.94546315843247342</v>
      </c>
      <c r="M323" s="417">
        <v>-1.1473087937500857</v>
      </c>
      <c r="N323" s="418">
        <v>-1.4806768008398608</v>
      </c>
      <c r="O323" s="419">
        <v>-1.6625322516483705</v>
      </c>
      <c r="P323" s="417">
        <v>-1.8069368801277146</v>
      </c>
      <c r="Q323" s="417">
        <v>-1.9198373295169191</v>
      </c>
      <c r="R323" s="417">
        <v>-1.9737147481394335</v>
      </c>
      <c r="S323" s="417">
        <v>-1.9391266871729873</v>
      </c>
      <c r="T323" s="417">
        <v>-1.833158852006916</v>
      </c>
      <c r="U323" s="418">
        <v>-1.6994553695673686</v>
      </c>
      <c r="V323" s="419">
        <v>-1.5787413786430753</v>
      </c>
      <c r="W323" s="417">
        <v>-1.5031375567847018</v>
      </c>
      <c r="X323" s="417">
        <v>-1.530619472909057</v>
      </c>
      <c r="Y323" s="417">
        <v>-1.6021947173704976</v>
      </c>
      <c r="Z323" s="417">
        <v>-1.7117335849675355</v>
      </c>
      <c r="AA323" s="417">
        <v>-1.8814609938025477</v>
      </c>
    </row>
    <row r="324" spans="1:27" ht="15" thickBot="1" x14ac:dyDescent="0.35">
      <c r="A324" s="395"/>
      <c r="B324" s="396" t="s">
        <v>690</v>
      </c>
      <c r="C324" s="420">
        <f t="shared" ref="C324:AA324" si="32">SUM(C305:C323)</f>
        <v>19.549815434099642</v>
      </c>
      <c r="D324" s="420">
        <f t="shared" si="32"/>
        <v>20.013446694382729</v>
      </c>
      <c r="E324" s="420">
        <f t="shared" si="32"/>
        <v>21.809110748477249</v>
      </c>
      <c r="F324" s="420">
        <f t="shared" si="32"/>
        <v>22.335067717456216</v>
      </c>
      <c r="G324" s="420">
        <f t="shared" si="32"/>
        <v>24.093021216665242</v>
      </c>
      <c r="H324" s="420">
        <f t="shared" si="32"/>
        <v>28.361266439823975</v>
      </c>
      <c r="I324" s="420">
        <f t="shared" si="32"/>
        <v>32.246261637428901</v>
      </c>
      <c r="J324" s="420">
        <f t="shared" si="32"/>
        <v>33.939974858220303</v>
      </c>
      <c r="K324" s="421">
        <f t="shared" si="32"/>
        <v>35.150682165175517</v>
      </c>
      <c r="L324" s="421">
        <f t="shared" si="32"/>
        <v>36.520394947007077</v>
      </c>
      <c r="M324" s="421">
        <f t="shared" si="32"/>
        <v>35.369172692574807</v>
      </c>
      <c r="N324" s="421">
        <f t="shared" si="32"/>
        <v>32.981024335229783</v>
      </c>
      <c r="O324" s="422">
        <f t="shared" si="32"/>
        <v>28.712915794564857</v>
      </c>
      <c r="P324" s="422">
        <f t="shared" si="32"/>
        <v>23.633899266444775</v>
      </c>
      <c r="Q324" s="422">
        <f t="shared" si="32"/>
        <v>18.448515932339696</v>
      </c>
      <c r="R324" s="422">
        <f t="shared" si="32"/>
        <v>12.829101278843158</v>
      </c>
      <c r="S324" s="422">
        <f t="shared" si="32"/>
        <v>7.545724317608876</v>
      </c>
      <c r="T324" s="422">
        <f t="shared" si="32"/>
        <v>3.1797668456055632</v>
      </c>
      <c r="U324" s="422">
        <f t="shared" si="32"/>
        <v>4.5977858593875265E-2</v>
      </c>
      <c r="V324" s="423">
        <f t="shared" si="32"/>
        <v>-3.112075273765095</v>
      </c>
      <c r="W324" s="423">
        <f t="shared" si="32"/>
        <v>-5.0019794101019475</v>
      </c>
      <c r="X324" s="423">
        <f t="shared" si="32"/>
        <v>-5.5582509185987359</v>
      </c>
      <c r="Y324" s="423">
        <f t="shared" si="32"/>
        <v>-5.8465796151943525</v>
      </c>
      <c r="Z324" s="423">
        <f t="shared" si="32"/>
        <v>-6.0932227176321332</v>
      </c>
      <c r="AA324" s="423">
        <f t="shared" si="32"/>
        <v>-6.3519741367208296</v>
      </c>
    </row>
    <row r="325" spans="1:27" ht="15" thickTop="1" x14ac:dyDescent="0.3">
      <c r="A325"/>
      <c r="B325"/>
      <c r="C325" s="395"/>
      <c r="D325" s="395"/>
      <c r="E325" s="395"/>
      <c r="F325" s="395"/>
      <c r="G325" s="395"/>
      <c r="H325" s="395"/>
      <c r="I325" s="395"/>
      <c r="J325" s="395"/>
      <c r="K325" s="395"/>
      <c r="L325" s="395"/>
      <c r="M325" s="395"/>
      <c r="N325" s="395"/>
      <c r="O325" s="395"/>
      <c r="P325" s="395"/>
      <c r="Q325" s="395"/>
      <c r="R325" s="395"/>
      <c r="S325" s="395"/>
      <c r="T325" s="395"/>
      <c r="U325" s="395"/>
      <c r="V325" s="395"/>
      <c r="W325" s="395"/>
      <c r="X325" s="395"/>
      <c r="Y325" s="395"/>
      <c r="Z325" s="395"/>
      <c r="AA325" s="395"/>
    </row>
    <row r="326" spans="1:27" ht="26.4" x14ac:dyDescent="0.3">
      <c r="A326" s="401">
        <v>11</v>
      </c>
      <c r="B326" s="413" t="s">
        <v>808</v>
      </c>
      <c r="C326" s="813" t="s">
        <v>807</v>
      </c>
      <c r="D326" s="813"/>
      <c r="E326" s="813"/>
      <c r="F326" s="813"/>
      <c r="G326" s="813"/>
      <c r="H326" s="813"/>
      <c r="I326" s="813"/>
      <c r="J326" s="813"/>
      <c r="K326" s="813"/>
      <c r="L326" s="813"/>
      <c r="M326" s="813"/>
      <c r="N326" s="813"/>
      <c r="O326" s="813"/>
      <c r="P326" s="813"/>
      <c r="Q326" s="813"/>
      <c r="R326" s="813"/>
      <c r="S326" s="813"/>
      <c r="T326" s="813"/>
      <c r="U326" s="813"/>
      <c r="V326" s="813"/>
      <c r="W326" s="813"/>
      <c r="X326" s="813"/>
      <c r="Y326" s="813"/>
      <c r="Z326" s="813"/>
      <c r="AA326" s="813"/>
    </row>
    <row r="327" spans="1:27" x14ac:dyDescent="0.3">
      <c r="A327" s="386">
        <v>1</v>
      </c>
      <c r="B327" s="387" t="s">
        <v>724</v>
      </c>
      <c r="C327" s="414">
        <v>0</v>
      </c>
      <c r="D327" s="414">
        <v>0</v>
      </c>
      <c r="E327" s="414">
        <v>0</v>
      </c>
      <c r="F327" s="414">
        <v>0</v>
      </c>
      <c r="G327" s="414">
        <v>0</v>
      </c>
      <c r="H327" s="414">
        <v>0</v>
      </c>
      <c r="I327" s="414">
        <v>0</v>
      </c>
      <c r="J327" s="415">
        <v>0</v>
      </c>
      <c r="K327" s="416">
        <v>0</v>
      </c>
      <c r="L327" s="414">
        <v>2.2755188770260549E-2</v>
      </c>
      <c r="M327" s="414">
        <v>8.056920397253528E-2</v>
      </c>
      <c r="N327" s="415">
        <v>0.27215413712869319</v>
      </c>
      <c r="O327" s="416">
        <v>0.50932210449921889</v>
      </c>
      <c r="P327" s="414">
        <v>1.2134621698454615</v>
      </c>
      <c r="Q327" s="414">
        <v>1.6953960150864216</v>
      </c>
      <c r="R327" s="414">
        <v>2.1105295395428132</v>
      </c>
      <c r="S327" s="414">
        <v>2.4551733236442468</v>
      </c>
      <c r="T327" s="414">
        <v>2.6179288557175679</v>
      </c>
      <c r="U327" s="415">
        <v>2.6709995287662642</v>
      </c>
      <c r="V327" s="416">
        <v>2.7236452416221253</v>
      </c>
      <c r="W327" s="414">
        <v>2.617961216157267</v>
      </c>
      <c r="X327" s="414">
        <v>2.4646246919875363</v>
      </c>
      <c r="Y327" s="414">
        <v>2.3892919256982621</v>
      </c>
      <c r="Z327" s="414">
        <v>2.3381103515478152</v>
      </c>
      <c r="AA327" s="414">
        <v>2.2782678261890594</v>
      </c>
    </row>
    <row r="328" spans="1:27" x14ac:dyDescent="0.3">
      <c r="A328" s="386">
        <v>2</v>
      </c>
      <c r="B328" s="387" t="s">
        <v>725</v>
      </c>
      <c r="C328" s="417">
        <v>0</v>
      </c>
      <c r="D328" s="417">
        <v>0</v>
      </c>
      <c r="E328" s="417">
        <v>0</v>
      </c>
      <c r="F328" s="417">
        <v>0</v>
      </c>
      <c r="G328" s="417">
        <v>0</v>
      </c>
      <c r="H328" s="417">
        <v>0</v>
      </c>
      <c r="I328" s="417">
        <v>0</v>
      </c>
      <c r="J328" s="418">
        <v>0</v>
      </c>
      <c r="K328" s="419">
        <v>7.805064859986049E-4</v>
      </c>
      <c r="L328" s="417">
        <v>2.0344018415297097E-2</v>
      </c>
      <c r="M328" s="417">
        <v>8.6952123271741552E-2</v>
      </c>
      <c r="N328" s="418">
        <v>0.20587569441190912</v>
      </c>
      <c r="O328" s="419">
        <v>0.32126506190371124</v>
      </c>
      <c r="P328" s="417">
        <v>0.40159130388033554</v>
      </c>
      <c r="Q328" s="417">
        <v>0.37147625835597747</v>
      </c>
      <c r="R328" s="417">
        <v>0.31802059784934228</v>
      </c>
      <c r="S328" s="417">
        <v>0.23218103915459845</v>
      </c>
      <c r="T328" s="417">
        <v>0.13328938142886979</v>
      </c>
      <c r="U328" s="418">
        <v>9.5980438130955206E-2</v>
      </c>
      <c r="V328" s="419">
        <v>6.589019763858163E-2</v>
      </c>
      <c r="W328" s="417">
        <v>3.50178351917605E-2</v>
      </c>
      <c r="X328" s="417">
        <v>1.5998246777926283E-2</v>
      </c>
      <c r="Y328" s="417">
        <v>7.4485630969234979E-3</v>
      </c>
      <c r="Z328" s="417">
        <v>1.1456066145547768E-3</v>
      </c>
      <c r="AA328" s="417">
        <v>9.8160857425565228E-4</v>
      </c>
    </row>
    <row r="329" spans="1:27" x14ac:dyDescent="0.3">
      <c r="A329" s="386">
        <v>3</v>
      </c>
      <c r="B329" s="387" t="s">
        <v>740</v>
      </c>
      <c r="C329" s="417">
        <v>0</v>
      </c>
      <c r="D329" s="417">
        <v>0</v>
      </c>
      <c r="E329" s="417">
        <v>0</v>
      </c>
      <c r="F329" s="417">
        <v>0</v>
      </c>
      <c r="G329" s="417">
        <v>0</v>
      </c>
      <c r="H329" s="417">
        <v>0</v>
      </c>
      <c r="I329" s="417">
        <v>0</v>
      </c>
      <c r="J329" s="418">
        <v>0</v>
      </c>
      <c r="K329" s="419">
        <v>0</v>
      </c>
      <c r="L329" s="417">
        <v>0</v>
      </c>
      <c r="M329" s="417">
        <v>1.8449234458076695E-3</v>
      </c>
      <c r="N329" s="418">
        <v>1.8141641872266474E-2</v>
      </c>
      <c r="O329" s="419">
        <v>0.10267754876307267</v>
      </c>
      <c r="P329" s="417">
        <v>0.17710223339561074</v>
      </c>
      <c r="Q329" s="417">
        <v>0.31477501452724582</v>
      </c>
      <c r="R329" s="417">
        <v>0.54218882193023443</v>
      </c>
      <c r="S329" s="417">
        <v>0.86718443536391809</v>
      </c>
      <c r="T329" s="417">
        <v>1.3431550783302701</v>
      </c>
      <c r="U329" s="418">
        <v>1.2507136503315091</v>
      </c>
      <c r="V329" s="419">
        <v>1.0781690680047136</v>
      </c>
      <c r="W329" s="417">
        <v>0.94136206304980474</v>
      </c>
      <c r="X329" s="417">
        <v>0.8427936249737914</v>
      </c>
      <c r="Y329" s="417">
        <v>0.77154423594473631</v>
      </c>
      <c r="Z329" s="417">
        <v>0.71300341769656383</v>
      </c>
      <c r="AA329" s="417">
        <v>0.66128221491213057</v>
      </c>
    </row>
    <row r="330" spans="1:27" x14ac:dyDescent="0.3">
      <c r="A330" s="386">
        <v>4</v>
      </c>
      <c r="B330" s="387" t="s">
        <v>741</v>
      </c>
      <c r="C330" s="417">
        <v>0</v>
      </c>
      <c r="D330" s="417">
        <v>0</v>
      </c>
      <c r="E330" s="417">
        <v>0</v>
      </c>
      <c r="F330" s="417">
        <v>0</v>
      </c>
      <c r="G330" s="417">
        <v>0</v>
      </c>
      <c r="H330" s="417">
        <v>0</v>
      </c>
      <c r="I330" s="417">
        <v>0</v>
      </c>
      <c r="J330" s="418">
        <v>0</v>
      </c>
      <c r="K330" s="419">
        <v>0</v>
      </c>
      <c r="L330" s="417">
        <v>0</v>
      </c>
      <c r="M330" s="417">
        <v>2.1443738955148296E-3</v>
      </c>
      <c r="N330" s="418">
        <v>1.9614716213910161E-2</v>
      </c>
      <c r="O330" s="419">
        <v>9.3635584538915004E-2</v>
      </c>
      <c r="P330" s="417">
        <v>0.13661194031489202</v>
      </c>
      <c r="Q330" s="417">
        <v>0.19590115250237469</v>
      </c>
      <c r="R330" s="417">
        <v>0.2728276628769607</v>
      </c>
      <c r="S330" s="417">
        <v>0.38305620904633664</v>
      </c>
      <c r="T330" s="417">
        <v>0.48614318813332735</v>
      </c>
      <c r="U330" s="418">
        <v>0.48423145729121536</v>
      </c>
      <c r="V330" s="419">
        <v>0.45839257890108492</v>
      </c>
      <c r="W330" s="417">
        <v>0.4321771278024662</v>
      </c>
      <c r="X330" s="417">
        <v>0.40681577273892661</v>
      </c>
      <c r="Y330" s="417">
        <v>0.39137018212381236</v>
      </c>
      <c r="Z330" s="417">
        <v>0.37579106331623269</v>
      </c>
      <c r="AA330" s="417">
        <v>0.36269131631308238</v>
      </c>
    </row>
    <row r="331" spans="1:27" x14ac:dyDescent="0.3">
      <c r="A331" s="386">
        <v>5</v>
      </c>
      <c r="B331" s="387" t="s">
        <v>754</v>
      </c>
      <c r="C331" s="417">
        <v>0</v>
      </c>
      <c r="D331" s="417">
        <v>0</v>
      </c>
      <c r="E331" s="417">
        <v>0</v>
      </c>
      <c r="F331" s="417">
        <v>0</v>
      </c>
      <c r="G331" s="417">
        <v>0</v>
      </c>
      <c r="H331" s="417">
        <v>0</v>
      </c>
      <c r="I331" s="417">
        <v>0</v>
      </c>
      <c r="J331" s="418">
        <v>0</v>
      </c>
      <c r="K331" s="419">
        <v>0</v>
      </c>
      <c r="L331" s="417">
        <v>0</v>
      </c>
      <c r="M331" s="417">
        <v>2.2532371072025246E-2</v>
      </c>
      <c r="N331" s="418">
        <v>0.21233128299840498</v>
      </c>
      <c r="O331" s="419">
        <v>1.0650457127340673</v>
      </c>
      <c r="P331" s="417">
        <v>1.6549051528869958</v>
      </c>
      <c r="Q331" s="417">
        <v>2.4501364013388445</v>
      </c>
      <c r="R331" s="417">
        <v>3.3001665389544281</v>
      </c>
      <c r="S331" s="417">
        <v>3.8972651030052088</v>
      </c>
      <c r="T331" s="417">
        <v>4.1557728983835824</v>
      </c>
      <c r="U331" s="418">
        <v>4.6699108269606251</v>
      </c>
      <c r="V331" s="419">
        <v>6.1957518998081067</v>
      </c>
      <c r="W331" s="417">
        <v>7.2212935344466658</v>
      </c>
      <c r="X331" s="417">
        <v>7.2748119224618799</v>
      </c>
      <c r="Y331" s="417">
        <v>7.2251342330247637</v>
      </c>
      <c r="Z331" s="417">
        <v>7.1837319029722355</v>
      </c>
      <c r="AA331" s="417">
        <v>7.1551297276629784</v>
      </c>
    </row>
    <row r="332" spans="1:27" x14ac:dyDescent="0.3">
      <c r="A332" s="386">
        <v>6</v>
      </c>
      <c r="B332" s="387" t="s">
        <v>326</v>
      </c>
      <c r="C332" s="417">
        <v>0</v>
      </c>
      <c r="D332" s="417">
        <v>0</v>
      </c>
      <c r="E332" s="417">
        <v>0</v>
      </c>
      <c r="F332" s="417">
        <v>0</v>
      </c>
      <c r="G332" s="417">
        <v>0</v>
      </c>
      <c r="H332" s="417">
        <v>0</v>
      </c>
      <c r="I332" s="417">
        <v>0</v>
      </c>
      <c r="J332" s="418">
        <v>0</v>
      </c>
      <c r="K332" s="419">
        <v>0</v>
      </c>
      <c r="L332" s="417">
        <v>0</v>
      </c>
      <c r="M332" s="417">
        <v>2.7901683207671199E-5</v>
      </c>
      <c r="N332" s="418">
        <v>4.851403846676956E-4</v>
      </c>
      <c r="O332" s="419">
        <v>5.5733478622739209E-3</v>
      </c>
      <c r="P332" s="417">
        <v>2.1191128620375744E-2</v>
      </c>
      <c r="Q332" s="417">
        <v>5.1640870184080707E-2</v>
      </c>
      <c r="R332" s="417">
        <v>0.13025736334737825</v>
      </c>
      <c r="S332" s="417">
        <v>0.31719918352312171</v>
      </c>
      <c r="T332" s="417">
        <v>0.56228814518746173</v>
      </c>
      <c r="U332" s="418">
        <v>0.71831453685569935</v>
      </c>
      <c r="V332" s="419">
        <v>0.93845759155207953</v>
      </c>
      <c r="W332" s="417">
        <v>0.95482649247413232</v>
      </c>
      <c r="X332" s="417">
        <v>0.88955317047376403</v>
      </c>
      <c r="Y332" s="417">
        <v>0.83195364817051987</v>
      </c>
      <c r="Z332" s="417">
        <v>0.76461577387217117</v>
      </c>
      <c r="AA332" s="417">
        <v>0.70860665187781491</v>
      </c>
    </row>
    <row r="333" spans="1:27" x14ac:dyDescent="0.3">
      <c r="A333" s="386">
        <v>7</v>
      </c>
      <c r="B333" s="387" t="s">
        <v>755</v>
      </c>
      <c r="C333" s="417">
        <v>0</v>
      </c>
      <c r="D333" s="417">
        <v>0</v>
      </c>
      <c r="E333" s="417">
        <v>0</v>
      </c>
      <c r="F333" s="417">
        <v>0</v>
      </c>
      <c r="G333" s="417">
        <v>0</v>
      </c>
      <c r="H333" s="417">
        <v>0</v>
      </c>
      <c r="I333" s="417">
        <v>0</v>
      </c>
      <c r="J333" s="418">
        <v>0</v>
      </c>
      <c r="K333" s="419">
        <v>0</v>
      </c>
      <c r="L333" s="417">
        <v>0</v>
      </c>
      <c r="M333" s="417">
        <v>1.7629322016341155E-3</v>
      </c>
      <c r="N333" s="418">
        <v>1.4550075977783582E-2</v>
      </c>
      <c r="O333" s="419">
        <v>6.3916850250348142E-2</v>
      </c>
      <c r="P333" s="417">
        <v>8.6828687492024284E-2</v>
      </c>
      <c r="Q333" s="417">
        <v>0.11858789340918202</v>
      </c>
      <c r="R333" s="417">
        <v>0.15755135831833217</v>
      </c>
      <c r="S333" s="417">
        <v>0.20285791091236899</v>
      </c>
      <c r="T333" s="417">
        <v>0.21669773067700002</v>
      </c>
      <c r="U333" s="418">
        <v>0.14228913650263439</v>
      </c>
      <c r="V333" s="419">
        <v>7.3436232889048533E-2</v>
      </c>
      <c r="W333" s="417">
        <v>5.5415435264555508E-2</v>
      </c>
      <c r="X333" s="417">
        <v>4.5135560018451718E-2</v>
      </c>
      <c r="Y333" s="417">
        <v>3.6079221979660903E-2</v>
      </c>
      <c r="Z333" s="417">
        <v>2.8875477106003168E-2</v>
      </c>
      <c r="AA333" s="417">
        <v>2.3433383765555812E-2</v>
      </c>
    </row>
    <row r="334" spans="1:27" ht="15" thickBot="1" x14ac:dyDescent="0.35">
      <c r="A334" s="395"/>
      <c r="B334" s="396" t="s">
        <v>690</v>
      </c>
      <c r="C334" s="420">
        <f t="shared" ref="C334:AA334" si="33">SUM(C327:C333)</f>
        <v>0</v>
      </c>
      <c r="D334" s="420">
        <f t="shared" si="33"/>
        <v>0</v>
      </c>
      <c r="E334" s="420">
        <f t="shared" si="33"/>
        <v>0</v>
      </c>
      <c r="F334" s="420">
        <f t="shared" si="33"/>
        <v>0</v>
      </c>
      <c r="G334" s="420">
        <f t="shared" si="33"/>
        <v>0</v>
      </c>
      <c r="H334" s="420">
        <f t="shared" si="33"/>
        <v>0</v>
      </c>
      <c r="I334" s="420">
        <f t="shared" si="33"/>
        <v>0</v>
      </c>
      <c r="J334" s="420">
        <f t="shared" si="33"/>
        <v>0</v>
      </c>
      <c r="K334" s="421">
        <f t="shared" si="33"/>
        <v>7.805064859986049E-4</v>
      </c>
      <c r="L334" s="421">
        <f t="shared" si="33"/>
        <v>4.3099207185557646E-2</v>
      </c>
      <c r="M334" s="421">
        <f t="shared" si="33"/>
        <v>0.19583382954246636</v>
      </c>
      <c r="N334" s="421">
        <f t="shared" si="33"/>
        <v>0.7431526889876352</v>
      </c>
      <c r="O334" s="422">
        <f t="shared" si="33"/>
        <v>2.161436210551607</v>
      </c>
      <c r="P334" s="422">
        <f t="shared" si="33"/>
        <v>3.6916926164356956</v>
      </c>
      <c r="Q334" s="422">
        <f t="shared" si="33"/>
        <v>5.1979136054041266</v>
      </c>
      <c r="R334" s="422">
        <f t="shared" si="33"/>
        <v>6.8315418828194892</v>
      </c>
      <c r="S334" s="422">
        <f t="shared" si="33"/>
        <v>8.3549172046497997</v>
      </c>
      <c r="T334" s="422">
        <f t="shared" si="33"/>
        <v>9.5152752778580787</v>
      </c>
      <c r="U334" s="422">
        <f t="shared" si="33"/>
        <v>10.032439574838902</v>
      </c>
      <c r="V334" s="423">
        <f t="shared" si="33"/>
        <v>11.53374281041574</v>
      </c>
      <c r="W334" s="423">
        <f t="shared" si="33"/>
        <v>12.258053704386652</v>
      </c>
      <c r="X334" s="423">
        <f t="shared" si="33"/>
        <v>11.939732989432276</v>
      </c>
      <c r="Y334" s="423">
        <f t="shared" si="33"/>
        <v>11.652822010038678</v>
      </c>
      <c r="Z334" s="423">
        <f t="shared" si="33"/>
        <v>11.405273593125576</v>
      </c>
      <c r="AA334" s="423">
        <f t="shared" si="33"/>
        <v>11.190392729294876</v>
      </c>
    </row>
    <row r="335" spans="1:27" ht="15" thickTop="1" x14ac:dyDescent="0.3"/>
  </sheetData>
  <mergeCells count="34">
    <mergeCell ref="C276:AA276"/>
    <mergeCell ref="C291:AA291"/>
    <mergeCell ref="C304:AA304"/>
    <mergeCell ref="C326:AA326"/>
    <mergeCell ref="C234:AA234"/>
    <mergeCell ref="C243:AA243"/>
    <mergeCell ref="C249:AA249"/>
    <mergeCell ref="C254:AA254"/>
    <mergeCell ref="C262:AA262"/>
    <mergeCell ref="C267:AA267"/>
    <mergeCell ref="C226:AA226"/>
    <mergeCell ref="C145:AA145"/>
    <mergeCell ref="C152:AA152"/>
    <mergeCell ref="C157:AA157"/>
    <mergeCell ref="C165:AA165"/>
    <mergeCell ref="C173:AA173"/>
    <mergeCell ref="C180:AA180"/>
    <mergeCell ref="C185:AA185"/>
    <mergeCell ref="C198:AA198"/>
    <mergeCell ref="C204:AA204"/>
    <mergeCell ref="C211:AA211"/>
    <mergeCell ref="C220:AA220"/>
    <mergeCell ref="C137:AA137"/>
    <mergeCell ref="C10:AA10"/>
    <mergeCell ref="C24:AA24"/>
    <mergeCell ref="C38:AA38"/>
    <mergeCell ref="C55:AA55"/>
    <mergeCell ref="C66:AA66"/>
    <mergeCell ref="C82:AA82"/>
    <mergeCell ref="C89:AA89"/>
    <mergeCell ref="C96:AA96"/>
    <mergeCell ref="C106:AA106"/>
    <mergeCell ref="C118:AA118"/>
    <mergeCell ref="C130:AA130"/>
  </mergeCells>
  <conditionalFormatting sqref="A1:XFD4 A6:XFD7 A5 C5:XFD5">
    <cfRule type="expression" dxfId="33" priority="2">
      <formula>_xlfn.ISFORMULA(A1)</formula>
    </cfRule>
  </conditionalFormatting>
  <conditionalFormatting sqref="B5">
    <cfRule type="expression" dxfId="32" priority="1">
      <formula>_xlfn.ISFORMULA(B5)</formula>
    </cfRule>
  </conditionalFormatting>
  <hyperlinks>
    <hyperlink ref="B3" r:id="rId1" xr:uid="{47253CFE-D807-4E17-8A11-A398DC87FF04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2A100-1478-460D-9578-A6323E937289}">
  <sheetPr>
    <tabColor theme="7" tint="0.39997558519241921"/>
  </sheetPr>
  <dimension ref="A1:Y64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5" s="1" customFormat="1" ht="49.5" customHeight="1" x14ac:dyDescent="0.3">
      <c r="A1" s="1" t="s">
        <v>809</v>
      </c>
    </row>
    <row r="2" spans="1:25" s="2" customFormat="1" x14ac:dyDescent="0.3">
      <c r="A2" s="2" t="s">
        <v>1</v>
      </c>
      <c r="B2" s="2" t="s">
        <v>575</v>
      </c>
    </row>
    <row r="3" spans="1:25" s="2" customFormat="1" x14ac:dyDescent="0.3">
      <c r="A3" s="2" t="s">
        <v>3</v>
      </c>
      <c r="B3" s="6" t="s">
        <v>576</v>
      </c>
    </row>
    <row r="4" spans="1:25" s="2" customFormat="1" x14ac:dyDescent="0.3">
      <c r="A4" s="2" t="s">
        <v>7</v>
      </c>
      <c r="B4" s="7">
        <v>43136</v>
      </c>
    </row>
    <row r="5" spans="1:25" s="2" customFormat="1" x14ac:dyDescent="0.3">
      <c r="A5" s="2" t="s">
        <v>2</v>
      </c>
      <c r="B5" s="2" t="s">
        <v>577</v>
      </c>
    </row>
    <row r="6" spans="1:25" s="2" customFormat="1" x14ac:dyDescent="0.3">
      <c r="A6" s="2" t="s">
        <v>4</v>
      </c>
      <c r="B6" s="2" t="s">
        <v>810</v>
      </c>
    </row>
    <row r="8" spans="1:25" ht="21" x14ac:dyDescent="0.3">
      <c r="A8" s="815" t="s">
        <v>811</v>
      </c>
      <c r="B8" s="815"/>
      <c r="C8" s="815"/>
      <c r="D8" s="815"/>
      <c r="E8" s="815"/>
      <c r="F8" s="815"/>
      <c r="G8" s="815"/>
      <c r="H8" s="815"/>
      <c r="I8" s="815"/>
      <c r="J8" s="815"/>
      <c r="K8" s="815"/>
      <c r="L8" s="424"/>
      <c r="M8" s="815" t="s">
        <v>812</v>
      </c>
      <c r="N8" s="815"/>
      <c r="O8" s="815"/>
      <c r="P8" s="815"/>
      <c r="Q8" s="815"/>
      <c r="R8" s="815"/>
      <c r="S8" s="815"/>
      <c r="T8" s="815"/>
      <c r="U8" s="815"/>
      <c r="V8" s="815"/>
      <c r="W8" s="815"/>
      <c r="X8" s="815"/>
      <c r="Y8" s="815"/>
    </row>
    <row r="9" spans="1:25" x14ac:dyDescent="0.3">
      <c r="A9"/>
      <c r="B9" s="58"/>
      <c r="C9" s="58"/>
      <c r="D9" s="58"/>
      <c r="E9" s="58"/>
      <c r="F9" s="58"/>
      <c r="G9" s="58"/>
      <c r="H9" s="58"/>
      <c r="I9" s="58"/>
      <c r="J9" s="58"/>
      <c r="K9" s="58"/>
      <c r="L9" s="59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9"/>
      <c r="Y9" s="59"/>
    </row>
    <row r="10" spans="1:25" x14ac:dyDescent="0.3">
      <c r="A10" s="425"/>
      <c r="B10" s="426" t="s">
        <v>813</v>
      </c>
      <c r="C10" s="426"/>
      <c r="D10" s="427"/>
      <c r="E10" s="427"/>
      <c r="F10" s="427"/>
      <c r="G10" s="427"/>
      <c r="H10" s="427"/>
      <c r="I10" s="426" t="s">
        <v>814</v>
      </c>
      <c r="J10" s="428"/>
      <c r="K10" s="429" t="s">
        <v>815</v>
      </c>
      <c r="L10"/>
      <c r="M10" s="430"/>
      <c r="N10" s="431" t="s">
        <v>813</v>
      </c>
      <c r="O10" s="431"/>
      <c r="P10" s="431"/>
      <c r="Q10" s="431"/>
      <c r="R10" s="431"/>
      <c r="S10" s="431"/>
      <c r="T10" s="431"/>
      <c r="U10" s="431"/>
      <c r="V10" s="431" t="s">
        <v>814</v>
      </c>
      <c r="W10" s="432"/>
      <c r="X10" s="816" t="s">
        <v>815</v>
      </c>
      <c r="Y10" s="816"/>
    </row>
    <row r="11" spans="1:25" x14ac:dyDescent="0.3">
      <c r="A11" s="433"/>
      <c r="B11" s="434">
        <v>2000</v>
      </c>
      <c r="C11" s="434">
        <v>2016</v>
      </c>
      <c r="D11" s="434" t="s">
        <v>816</v>
      </c>
      <c r="E11" s="434">
        <v>2025</v>
      </c>
      <c r="F11" s="434">
        <v>2030</v>
      </c>
      <c r="G11" s="434">
        <v>2035</v>
      </c>
      <c r="H11" s="434">
        <v>2040</v>
      </c>
      <c r="I11" s="435" t="s">
        <v>816</v>
      </c>
      <c r="J11" s="425">
        <v>2040</v>
      </c>
      <c r="K11" s="429" t="s">
        <v>817</v>
      </c>
      <c r="L11"/>
      <c r="M11" s="430"/>
      <c r="N11" s="436">
        <v>2025</v>
      </c>
      <c r="O11" s="436">
        <v>2030</v>
      </c>
      <c r="P11" s="436">
        <v>2035</v>
      </c>
      <c r="Q11" s="436">
        <v>2040</v>
      </c>
      <c r="R11" s="436">
        <v>2025</v>
      </c>
      <c r="S11" s="436">
        <v>2030</v>
      </c>
      <c r="T11" s="436">
        <v>2035</v>
      </c>
      <c r="U11" s="436">
        <v>2040</v>
      </c>
      <c r="V11" s="816">
        <v>2040</v>
      </c>
      <c r="W11" s="816"/>
      <c r="X11" s="431" t="s">
        <v>817</v>
      </c>
      <c r="Y11" s="431"/>
    </row>
    <row r="12" spans="1:25" x14ac:dyDescent="0.3">
      <c r="A12" s="437"/>
      <c r="B12" s="438" t="s">
        <v>579</v>
      </c>
      <c r="C12" s="438"/>
      <c r="D12" s="438"/>
      <c r="E12" s="438"/>
      <c r="F12" s="438"/>
      <c r="G12" s="438"/>
      <c r="H12" s="438"/>
      <c r="I12" s="439" t="s">
        <v>585</v>
      </c>
      <c r="J12" s="439" t="s">
        <v>585</v>
      </c>
      <c r="K12" s="440" t="s">
        <v>585</v>
      </c>
      <c r="L12" s="441"/>
      <c r="M12" s="442"/>
      <c r="N12" s="443" t="s">
        <v>664</v>
      </c>
      <c r="O12" s="443"/>
      <c r="P12" s="443"/>
      <c r="Q12" s="443"/>
      <c r="R12" s="443" t="s">
        <v>818</v>
      </c>
      <c r="S12" s="443"/>
      <c r="T12" s="443"/>
      <c r="U12" s="443"/>
      <c r="V12" s="444" t="s">
        <v>588</v>
      </c>
      <c r="W12" s="445" t="s">
        <v>589</v>
      </c>
      <c r="X12" s="446" t="s">
        <v>590</v>
      </c>
      <c r="Y12" s="447" t="s">
        <v>589</v>
      </c>
    </row>
    <row r="13" spans="1:25" x14ac:dyDescent="0.3">
      <c r="A13" s="448" t="s">
        <v>819</v>
      </c>
      <c r="B13" s="449">
        <v>10027</v>
      </c>
      <c r="C13" s="449">
        <v>13708</v>
      </c>
      <c r="D13" s="449">
        <v>13972</v>
      </c>
      <c r="E13" s="449">
        <v>15388</v>
      </c>
      <c r="F13" s="449">
        <v>16167</v>
      </c>
      <c r="G13" s="449">
        <v>16926</v>
      </c>
      <c r="H13" s="449">
        <v>17715</v>
      </c>
      <c r="I13" s="450">
        <v>100</v>
      </c>
      <c r="J13" s="451">
        <v>100</v>
      </c>
      <c r="K13" s="452">
        <v>1</v>
      </c>
      <c r="L13"/>
      <c r="M13" s="453" t="s">
        <v>819</v>
      </c>
      <c r="N13" s="454">
        <v>15782</v>
      </c>
      <c r="O13" s="454">
        <v>16943</v>
      </c>
      <c r="P13" s="454">
        <v>18125</v>
      </c>
      <c r="Q13" s="454">
        <v>19328</v>
      </c>
      <c r="R13" s="454">
        <v>14146</v>
      </c>
      <c r="S13" s="454">
        <v>13820</v>
      </c>
      <c r="T13" s="454">
        <v>13688</v>
      </c>
      <c r="U13" s="454">
        <v>13715</v>
      </c>
      <c r="V13" s="455">
        <v>100</v>
      </c>
      <c r="W13" s="455">
        <v>100</v>
      </c>
      <c r="X13" s="456">
        <v>1.4</v>
      </c>
      <c r="Y13" s="456">
        <v>-0.1</v>
      </c>
    </row>
    <row r="14" spans="1:25" x14ac:dyDescent="0.3">
      <c r="A14" s="457" t="s">
        <v>254</v>
      </c>
      <c r="B14" s="458">
        <v>2308</v>
      </c>
      <c r="C14" s="458">
        <v>3720</v>
      </c>
      <c r="D14" s="459">
        <v>3750</v>
      </c>
      <c r="E14" s="458">
        <v>3768</v>
      </c>
      <c r="F14" s="458">
        <v>3783</v>
      </c>
      <c r="G14" s="458">
        <v>3793</v>
      </c>
      <c r="H14" s="458">
        <v>3809</v>
      </c>
      <c r="I14" s="460">
        <v>27</v>
      </c>
      <c r="J14" s="461">
        <v>22</v>
      </c>
      <c r="K14" s="462">
        <v>0.1</v>
      </c>
      <c r="L14"/>
      <c r="M14" s="463" t="s">
        <v>254</v>
      </c>
      <c r="N14" s="464">
        <v>3998</v>
      </c>
      <c r="O14" s="464">
        <v>4252</v>
      </c>
      <c r="P14" s="464">
        <v>4520</v>
      </c>
      <c r="Q14" s="464">
        <v>4769</v>
      </c>
      <c r="R14" s="465">
        <v>3045</v>
      </c>
      <c r="S14" s="465">
        <v>2416</v>
      </c>
      <c r="T14" s="465">
        <v>1917</v>
      </c>
      <c r="U14" s="465">
        <v>1597</v>
      </c>
      <c r="V14" s="466">
        <v>25</v>
      </c>
      <c r="W14" s="467">
        <v>12</v>
      </c>
      <c r="X14" s="468">
        <v>1.1000000000000001</v>
      </c>
      <c r="Y14" s="469">
        <v>-3.6</v>
      </c>
    </row>
    <row r="15" spans="1:25" x14ac:dyDescent="0.3">
      <c r="A15" s="457" t="s">
        <v>266</v>
      </c>
      <c r="B15" s="458">
        <v>3665</v>
      </c>
      <c r="C15" s="458">
        <v>4364</v>
      </c>
      <c r="D15" s="470">
        <v>4435</v>
      </c>
      <c r="E15" s="458">
        <v>4754</v>
      </c>
      <c r="F15" s="458">
        <v>4830</v>
      </c>
      <c r="G15" s="458">
        <v>4842</v>
      </c>
      <c r="H15" s="458">
        <v>4894</v>
      </c>
      <c r="I15" s="460">
        <v>32</v>
      </c>
      <c r="J15" s="461">
        <v>28</v>
      </c>
      <c r="K15" s="462">
        <v>0.4</v>
      </c>
      <c r="L15"/>
      <c r="M15" s="463" t="s">
        <v>266</v>
      </c>
      <c r="N15" s="464">
        <v>4902</v>
      </c>
      <c r="O15" s="464">
        <v>5128</v>
      </c>
      <c r="P15" s="464">
        <v>5329</v>
      </c>
      <c r="Q15" s="464">
        <v>5570</v>
      </c>
      <c r="R15" s="465">
        <v>4334</v>
      </c>
      <c r="S15" s="465">
        <v>3985</v>
      </c>
      <c r="T15" s="465">
        <v>3515</v>
      </c>
      <c r="U15" s="465">
        <v>3156</v>
      </c>
      <c r="V15" s="466">
        <v>29</v>
      </c>
      <c r="W15" s="467">
        <v>23</v>
      </c>
      <c r="X15" s="468">
        <v>1</v>
      </c>
      <c r="Y15" s="469">
        <v>-1.5</v>
      </c>
    </row>
    <row r="16" spans="1:25" x14ac:dyDescent="0.3">
      <c r="A16" s="457" t="s">
        <v>255</v>
      </c>
      <c r="B16" s="458">
        <v>2071</v>
      </c>
      <c r="C16" s="458">
        <v>3022</v>
      </c>
      <c r="D16" s="470">
        <v>3107</v>
      </c>
      <c r="E16" s="458">
        <v>3539</v>
      </c>
      <c r="F16" s="458">
        <v>3820</v>
      </c>
      <c r="G16" s="458">
        <v>4132</v>
      </c>
      <c r="H16" s="458">
        <v>4436</v>
      </c>
      <c r="I16" s="460">
        <v>22</v>
      </c>
      <c r="J16" s="461">
        <v>25</v>
      </c>
      <c r="K16" s="462">
        <v>1.6</v>
      </c>
      <c r="L16"/>
      <c r="M16" s="463" t="s">
        <v>255</v>
      </c>
      <c r="N16" s="464">
        <v>3616</v>
      </c>
      <c r="O16" s="464">
        <v>4000</v>
      </c>
      <c r="P16" s="464">
        <v>4412</v>
      </c>
      <c r="Q16" s="464">
        <v>4804</v>
      </c>
      <c r="R16" s="465">
        <v>3454</v>
      </c>
      <c r="S16" s="465">
        <v>3554</v>
      </c>
      <c r="T16" s="465">
        <v>3532</v>
      </c>
      <c r="U16" s="465">
        <v>3433</v>
      </c>
      <c r="V16" s="466">
        <v>25</v>
      </c>
      <c r="W16" s="467">
        <v>25</v>
      </c>
      <c r="X16" s="468">
        <v>1.9</v>
      </c>
      <c r="Y16" s="469">
        <v>0.4</v>
      </c>
    </row>
    <row r="17" spans="1:25" x14ac:dyDescent="0.3">
      <c r="A17" s="457" t="s">
        <v>257</v>
      </c>
      <c r="B17" s="458">
        <v>675</v>
      </c>
      <c r="C17" s="458">
        <v>679</v>
      </c>
      <c r="D17" s="470">
        <v>688</v>
      </c>
      <c r="E17" s="458">
        <v>805</v>
      </c>
      <c r="F17" s="458">
        <v>848</v>
      </c>
      <c r="G17" s="458">
        <v>918</v>
      </c>
      <c r="H17" s="458">
        <v>971</v>
      </c>
      <c r="I17" s="460">
        <v>5</v>
      </c>
      <c r="J17" s="461">
        <v>5</v>
      </c>
      <c r="K17" s="462">
        <v>1.5</v>
      </c>
      <c r="L17"/>
      <c r="M17" s="463" t="s">
        <v>257</v>
      </c>
      <c r="N17" s="464">
        <v>803</v>
      </c>
      <c r="O17" s="464">
        <v>844</v>
      </c>
      <c r="P17" s="464">
        <v>889</v>
      </c>
      <c r="Q17" s="464">
        <v>951</v>
      </c>
      <c r="R17" s="465">
        <v>861</v>
      </c>
      <c r="S17" s="465">
        <v>1013</v>
      </c>
      <c r="T17" s="465">
        <v>1182</v>
      </c>
      <c r="U17" s="465">
        <v>1293</v>
      </c>
      <c r="V17" s="466">
        <v>5</v>
      </c>
      <c r="W17" s="467">
        <v>9</v>
      </c>
      <c r="X17" s="468">
        <v>1.4</v>
      </c>
      <c r="Y17" s="469">
        <v>2.8</v>
      </c>
    </row>
    <row r="18" spans="1:25" x14ac:dyDescent="0.3">
      <c r="A18" s="457" t="s">
        <v>256</v>
      </c>
      <c r="B18" s="458">
        <v>225</v>
      </c>
      <c r="C18" s="458">
        <v>348</v>
      </c>
      <c r="D18" s="470">
        <v>353</v>
      </c>
      <c r="E18" s="458">
        <v>415</v>
      </c>
      <c r="F18" s="458">
        <v>458</v>
      </c>
      <c r="G18" s="458">
        <v>496</v>
      </c>
      <c r="H18" s="458">
        <v>531</v>
      </c>
      <c r="I18" s="460">
        <v>3</v>
      </c>
      <c r="J18" s="461">
        <v>3</v>
      </c>
      <c r="K18" s="462">
        <v>1.8</v>
      </c>
      <c r="L18"/>
      <c r="M18" s="463" t="s">
        <v>256</v>
      </c>
      <c r="N18" s="464">
        <v>413</v>
      </c>
      <c r="O18" s="464">
        <v>449</v>
      </c>
      <c r="P18" s="464">
        <v>482</v>
      </c>
      <c r="Q18" s="464">
        <v>514</v>
      </c>
      <c r="R18" s="465">
        <v>431</v>
      </c>
      <c r="S18" s="465">
        <v>492</v>
      </c>
      <c r="T18" s="465">
        <v>548</v>
      </c>
      <c r="U18" s="465">
        <v>601</v>
      </c>
      <c r="V18" s="466">
        <v>3</v>
      </c>
      <c r="W18" s="467">
        <v>4</v>
      </c>
      <c r="X18" s="468">
        <v>1.6</v>
      </c>
      <c r="Y18" s="469">
        <v>2.2999999999999998</v>
      </c>
    </row>
    <row r="19" spans="1:25" x14ac:dyDescent="0.3">
      <c r="A19" s="457" t="s">
        <v>503</v>
      </c>
      <c r="B19" s="458">
        <v>1022</v>
      </c>
      <c r="C19" s="458">
        <v>1350</v>
      </c>
      <c r="D19" s="470">
        <v>1384</v>
      </c>
      <c r="E19" s="458">
        <v>1590</v>
      </c>
      <c r="F19" s="458">
        <v>1691</v>
      </c>
      <c r="G19" s="458">
        <v>1776</v>
      </c>
      <c r="H19" s="458">
        <v>1851</v>
      </c>
      <c r="I19" s="460">
        <v>10</v>
      </c>
      <c r="J19" s="461">
        <v>10</v>
      </c>
      <c r="K19" s="462">
        <v>1.3</v>
      </c>
      <c r="L19" s="441"/>
      <c r="M19" s="463" t="s">
        <v>503</v>
      </c>
      <c r="N19" s="464">
        <v>1572</v>
      </c>
      <c r="O19" s="464">
        <v>1649</v>
      </c>
      <c r="P19" s="464">
        <v>1718</v>
      </c>
      <c r="Q19" s="464">
        <v>1771</v>
      </c>
      <c r="R19" s="465">
        <v>1373</v>
      </c>
      <c r="S19" s="465">
        <v>1277</v>
      </c>
      <c r="T19" s="465">
        <v>1396</v>
      </c>
      <c r="U19" s="465">
        <v>1504</v>
      </c>
      <c r="V19" s="466">
        <v>9</v>
      </c>
      <c r="W19" s="467">
        <v>11</v>
      </c>
      <c r="X19" s="468">
        <v>1.1000000000000001</v>
      </c>
      <c r="Y19" s="469">
        <v>0.4</v>
      </c>
    </row>
    <row r="20" spans="1:25" x14ac:dyDescent="0.3">
      <c r="A20" s="471" t="s">
        <v>461</v>
      </c>
      <c r="B20" s="472">
        <v>60</v>
      </c>
      <c r="C20" s="472">
        <v>224</v>
      </c>
      <c r="D20" s="473">
        <v>254</v>
      </c>
      <c r="E20" s="472">
        <v>516</v>
      </c>
      <c r="F20" s="472">
        <v>736</v>
      </c>
      <c r="G20" s="472">
        <v>968</v>
      </c>
      <c r="H20" s="472">
        <v>1223</v>
      </c>
      <c r="I20" s="474">
        <v>2</v>
      </c>
      <c r="J20" s="475">
        <v>7</v>
      </c>
      <c r="K20" s="476">
        <v>7.1</v>
      </c>
      <c r="L20" s="477"/>
      <c r="M20" s="463" t="s">
        <v>461</v>
      </c>
      <c r="N20" s="464">
        <v>479</v>
      </c>
      <c r="O20" s="464">
        <v>620</v>
      </c>
      <c r="P20" s="464">
        <v>774</v>
      </c>
      <c r="Q20" s="464">
        <v>948</v>
      </c>
      <c r="R20" s="465">
        <v>648</v>
      </c>
      <c r="S20" s="465">
        <v>1083</v>
      </c>
      <c r="T20" s="465">
        <v>1598</v>
      </c>
      <c r="U20" s="465">
        <v>2132</v>
      </c>
      <c r="V20" s="466">
        <v>5</v>
      </c>
      <c r="W20" s="467">
        <v>16</v>
      </c>
      <c r="X20" s="468">
        <v>5.9</v>
      </c>
      <c r="Y20" s="469">
        <v>9.6999999999999993</v>
      </c>
    </row>
    <row r="21" spans="1:25" x14ac:dyDescent="0.3">
      <c r="A21" s="448" t="s">
        <v>820</v>
      </c>
      <c r="B21" s="449">
        <v>3660</v>
      </c>
      <c r="C21" s="449">
        <v>5208</v>
      </c>
      <c r="D21" s="449">
        <v>5357</v>
      </c>
      <c r="E21" s="449">
        <v>5826</v>
      </c>
      <c r="F21" s="449">
        <v>6215</v>
      </c>
      <c r="G21" s="449">
        <v>6668</v>
      </c>
      <c r="H21" s="449">
        <v>7137</v>
      </c>
      <c r="I21" s="450">
        <v>100</v>
      </c>
      <c r="J21" s="451">
        <v>100</v>
      </c>
      <c r="K21" s="478">
        <v>1.3</v>
      </c>
      <c r="L21"/>
      <c r="M21" s="479" t="s">
        <v>820</v>
      </c>
      <c r="N21" s="480">
        <v>6009</v>
      </c>
      <c r="O21" s="480">
        <v>6574</v>
      </c>
      <c r="P21" s="480">
        <v>7181</v>
      </c>
      <c r="Q21" s="480">
        <v>7811</v>
      </c>
      <c r="R21" s="480">
        <v>5371</v>
      </c>
      <c r="S21" s="480">
        <v>5416</v>
      </c>
      <c r="T21" s="480">
        <v>5638</v>
      </c>
      <c r="U21" s="480">
        <v>5946</v>
      </c>
      <c r="V21" s="481">
        <v>100</v>
      </c>
      <c r="W21" s="481">
        <v>100</v>
      </c>
      <c r="X21" s="482">
        <v>1.7</v>
      </c>
      <c r="Y21" s="483">
        <v>0.5</v>
      </c>
    </row>
    <row r="22" spans="1:25" x14ac:dyDescent="0.3">
      <c r="A22" s="457" t="s">
        <v>254</v>
      </c>
      <c r="B22" s="458">
        <v>1565</v>
      </c>
      <c r="C22" s="458">
        <v>2316</v>
      </c>
      <c r="D22" s="470">
        <v>2390</v>
      </c>
      <c r="E22" s="458">
        <v>2339</v>
      </c>
      <c r="F22" s="458">
        <v>2342</v>
      </c>
      <c r="G22" s="458">
        <v>2346</v>
      </c>
      <c r="H22" s="458">
        <v>2353</v>
      </c>
      <c r="I22" s="460">
        <v>45</v>
      </c>
      <c r="J22" s="461">
        <v>33</v>
      </c>
      <c r="K22" s="462">
        <v>-0.1</v>
      </c>
      <c r="L22"/>
      <c r="M22" s="463" t="s">
        <v>254</v>
      </c>
      <c r="N22" s="464">
        <v>2515</v>
      </c>
      <c r="O22" s="464">
        <v>2718</v>
      </c>
      <c r="P22" s="464">
        <v>2936</v>
      </c>
      <c r="Q22" s="464">
        <v>3140</v>
      </c>
      <c r="R22" s="465">
        <v>1714</v>
      </c>
      <c r="S22" s="465">
        <v>1161</v>
      </c>
      <c r="T22" s="465">
        <v>757</v>
      </c>
      <c r="U22" s="465">
        <v>513</v>
      </c>
      <c r="V22" s="466">
        <v>40</v>
      </c>
      <c r="W22" s="467">
        <v>9</v>
      </c>
      <c r="X22" s="468">
        <v>1.2</v>
      </c>
      <c r="Y22" s="469">
        <v>-6.5</v>
      </c>
    </row>
    <row r="23" spans="1:25" x14ac:dyDescent="0.3">
      <c r="A23" s="457" t="s">
        <v>266</v>
      </c>
      <c r="B23" s="458">
        <v>341</v>
      </c>
      <c r="C23" s="458">
        <v>247</v>
      </c>
      <c r="D23" s="470">
        <v>252</v>
      </c>
      <c r="E23" s="458">
        <v>205</v>
      </c>
      <c r="F23" s="458">
        <v>179</v>
      </c>
      <c r="G23" s="458">
        <v>158</v>
      </c>
      <c r="H23" s="458">
        <v>141</v>
      </c>
      <c r="I23" s="460">
        <v>5</v>
      </c>
      <c r="J23" s="461">
        <v>2</v>
      </c>
      <c r="K23" s="462">
        <v>-2.5</v>
      </c>
      <c r="L23"/>
      <c r="M23" s="463" t="s">
        <v>266</v>
      </c>
      <c r="N23" s="464">
        <v>208</v>
      </c>
      <c r="O23" s="464">
        <v>184</v>
      </c>
      <c r="P23" s="464">
        <v>168</v>
      </c>
      <c r="Q23" s="464">
        <v>160</v>
      </c>
      <c r="R23" s="465">
        <v>168</v>
      </c>
      <c r="S23" s="465">
        <v>118</v>
      </c>
      <c r="T23" s="465">
        <v>82</v>
      </c>
      <c r="U23" s="465">
        <v>63</v>
      </c>
      <c r="V23" s="466">
        <v>2</v>
      </c>
      <c r="W23" s="467">
        <v>1</v>
      </c>
      <c r="X23" s="468">
        <v>-2</v>
      </c>
      <c r="Y23" s="469">
        <v>-5.9</v>
      </c>
    </row>
    <row r="24" spans="1:25" x14ac:dyDescent="0.3">
      <c r="A24" s="457" t="s">
        <v>255</v>
      </c>
      <c r="B24" s="458">
        <v>746</v>
      </c>
      <c r="C24" s="458">
        <v>1241</v>
      </c>
      <c r="D24" s="470">
        <v>1256</v>
      </c>
      <c r="E24" s="458">
        <v>1341</v>
      </c>
      <c r="F24" s="458">
        <v>1426</v>
      </c>
      <c r="G24" s="458">
        <v>1532</v>
      </c>
      <c r="H24" s="458">
        <v>1642</v>
      </c>
      <c r="I24" s="460">
        <v>23</v>
      </c>
      <c r="J24" s="461">
        <v>23</v>
      </c>
      <c r="K24" s="462">
        <v>1.2</v>
      </c>
      <c r="L24"/>
      <c r="M24" s="463" t="s">
        <v>255</v>
      </c>
      <c r="N24" s="464">
        <v>1383</v>
      </c>
      <c r="O24" s="464">
        <v>1534</v>
      </c>
      <c r="P24" s="464">
        <v>1692</v>
      </c>
      <c r="Q24" s="464">
        <v>1845</v>
      </c>
      <c r="R24" s="465">
        <v>1329</v>
      </c>
      <c r="S24" s="465">
        <v>1305</v>
      </c>
      <c r="T24" s="465">
        <v>1201</v>
      </c>
      <c r="U24" s="465">
        <v>1051</v>
      </c>
      <c r="V24" s="466">
        <v>24</v>
      </c>
      <c r="W24" s="467">
        <v>18</v>
      </c>
      <c r="X24" s="468">
        <v>1.7</v>
      </c>
      <c r="Y24" s="469">
        <v>-0.8</v>
      </c>
    </row>
    <row r="25" spans="1:25" x14ac:dyDescent="0.3">
      <c r="A25" s="457" t="s">
        <v>257</v>
      </c>
      <c r="B25" s="458">
        <v>675</v>
      </c>
      <c r="C25" s="458">
        <v>679</v>
      </c>
      <c r="D25" s="470">
        <v>688</v>
      </c>
      <c r="E25" s="458">
        <v>805</v>
      </c>
      <c r="F25" s="458">
        <v>848</v>
      </c>
      <c r="G25" s="458">
        <v>918</v>
      </c>
      <c r="H25" s="458">
        <v>971</v>
      </c>
      <c r="I25" s="460">
        <v>13</v>
      </c>
      <c r="J25" s="461">
        <v>14</v>
      </c>
      <c r="K25" s="462">
        <v>1.5</v>
      </c>
      <c r="L25"/>
      <c r="M25" s="463" t="s">
        <v>257</v>
      </c>
      <c r="N25" s="464">
        <v>803</v>
      </c>
      <c r="O25" s="464">
        <v>844</v>
      </c>
      <c r="P25" s="464">
        <v>889</v>
      </c>
      <c r="Q25" s="464">
        <v>951</v>
      </c>
      <c r="R25" s="465">
        <v>861</v>
      </c>
      <c r="S25" s="465">
        <v>1013</v>
      </c>
      <c r="T25" s="465">
        <v>1182</v>
      </c>
      <c r="U25" s="465">
        <v>1293</v>
      </c>
      <c r="V25" s="466">
        <v>12</v>
      </c>
      <c r="W25" s="467">
        <v>22</v>
      </c>
      <c r="X25" s="468">
        <v>1.4</v>
      </c>
      <c r="Y25" s="469">
        <v>2.8</v>
      </c>
    </row>
    <row r="26" spans="1:25" x14ac:dyDescent="0.3">
      <c r="A26" s="457" t="s">
        <v>256</v>
      </c>
      <c r="B26" s="458">
        <v>225</v>
      </c>
      <c r="C26" s="458">
        <v>348</v>
      </c>
      <c r="D26" s="470">
        <v>353</v>
      </c>
      <c r="E26" s="458">
        <v>415</v>
      </c>
      <c r="F26" s="458">
        <v>458</v>
      </c>
      <c r="G26" s="458">
        <v>496</v>
      </c>
      <c r="H26" s="458">
        <v>531</v>
      </c>
      <c r="I26" s="460">
        <v>7</v>
      </c>
      <c r="J26" s="461">
        <v>7</v>
      </c>
      <c r="K26" s="462">
        <v>1.8</v>
      </c>
      <c r="L26"/>
      <c r="M26" s="463" t="s">
        <v>256</v>
      </c>
      <c r="N26" s="464">
        <v>413</v>
      </c>
      <c r="O26" s="464">
        <v>449</v>
      </c>
      <c r="P26" s="464">
        <v>482</v>
      </c>
      <c r="Q26" s="464">
        <v>514</v>
      </c>
      <c r="R26" s="465">
        <v>431</v>
      </c>
      <c r="S26" s="465">
        <v>492</v>
      </c>
      <c r="T26" s="465">
        <v>548</v>
      </c>
      <c r="U26" s="465">
        <v>601</v>
      </c>
      <c r="V26" s="466">
        <v>7</v>
      </c>
      <c r="W26" s="467">
        <v>10</v>
      </c>
      <c r="X26" s="468">
        <v>1.6</v>
      </c>
      <c r="Y26" s="469">
        <v>2.2999999999999998</v>
      </c>
    </row>
    <row r="27" spans="1:25" x14ac:dyDescent="0.3">
      <c r="A27" s="457" t="s">
        <v>503</v>
      </c>
      <c r="B27" s="458">
        <v>57</v>
      </c>
      <c r="C27" s="458">
        <v>194</v>
      </c>
      <c r="D27" s="470">
        <v>211</v>
      </c>
      <c r="E27" s="458">
        <v>283</v>
      </c>
      <c r="F27" s="458">
        <v>329</v>
      </c>
      <c r="G27" s="458">
        <v>380</v>
      </c>
      <c r="H27" s="458">
        <v>433</v>
      </c>
      <c r="I27" s="460">
        <v>4</v>
      </c>
      <c r="J27" s="461">
        <v>6</v>
      </c>
      <c r="K27" s="462">
        <v>3.2</v>
      </c>
      <c r="L27"/>
      <c r="M27" s="463" t="s">
        <v>503</v>
      </c>
      <c r="N27" s="464">
        <v>278</v>
      </c>
      <c r="O27" s="464">
        <v>311</v>
      </c>
      <c r="P27" s="464">
        <v>344</v>
      </c>
      <c r="Q27" s="464">
        <v>378</v>
      </c>
      <c r="R27" s="465">
        <v>324</v>
      </c>
      <c r="S27" s="465">
        <v>400</v>
      </c>
      <c r="T27" s="465">
        <v>486</v>
      </c>
      <c r="U27" s="465">
        <v>570</v>
      </c>
      <c r="V27" s="466">
        <v>5</v>
      </c>
      <c r="W27" s="467">
        <v>10</v>
      </c>
      <c r="X27" s="468">
        <v>2.6</v>
      </c>
      <c r="Y27" s="469">
        <v>4.4000000000000004</v>
      </c>
    </row>
    <row r="28" spans="1:25" x14ac:dyDescent="0.3">
      <c r="A28" s="471" t="s">
        <v>461</v>
      </c>
      <c r="B28" s="472">
        <v>51</v>
      </c>
      <c r="C28" s="472">
        <v>181</v>
      </c>
      <c r="D28" s="473">
        <v>206</v>
      </c>
      <c r="E28" s="472">
        <v>438</v>
      </c>
      <c r="F28" s="472">
        <v>633</v>
      </c>
      <c r="G28" s="472">
        <v>838</v>
      </c>
      <c r="H28" s="472">
        <v>1065</v>
      </c>
      <c r="I28" s="474">
        <v>4</v>
      </c>
      <c r="J28" s="475">
        <v>15</v>
      </c>
      <c r="K28" s="476">
        <v>7.4</v>
      </c>
      <c r="L28"/>
      <c r="M28" s="463" t="s">
        <v>461</v>
      </c>
      <c r="N28" s="464">
        <v>410</v>
      </c>
      <c r="O28" s="464">
        <v>533</v>
      </c>
      <c r="P28" s="464">
        <v>669</v>
      </c>
      <c r="Q28" s="464">
        <v>823</v>
      </c>
      <c r="R28" s="465">
        <v>545</v>
      </c>
      <c r="S28" s="465">
        <v>926</v>
      </c>
      <c r="T28" s="465">
        <v>1382</v>
      </c>
      <c r="U28" s="465">
        <v>1856</v>
      </c>
      <c r="V28" s="466">
        <v>11</v>
      </c>
      <c r="W28" s="467">
        <v>31</v>
      </c>
      <c r="X28" s="468">
        <v>6.2</v>
      </c>
      <c r="Y28" s="469">
        <v>10</v>
      </c>
    </row>
    <row r="29" spans="1:25" x14ac:dyDescent="0.3">
      <c r="A29" s="448" t="s">
        <v>821</v>
      </c>
      <c r="B29" s="449">
        <v>951</v>
      </c>
      <c r="C29" s="449">
        <v>1457</v>
      </c>
      <c r="D29" s="449">
        <v>1478</v>
      </c>
      <c r="E29" s="449">
        <v>1649</v>
      </c>
      <c r="F29" s="449">
        <v>1716</v>
      </c>
      <c r="G29" s="449">
        <v>1769</v>
      </c>
      <c r="H29" s="449">
        <v>1826</v>
      </c>
      <c r="I29" s="450">
        <v>100</v>
      </c>
      <c r="J29" s="451">
        <v>100</v>
      </c>
      <c r="K29" s="478">
        <v>0.9</v>
      </c>
      <c r="L29"/>
      <c r="M29" s="479" t="s">
        <v>821</v>
      </c>
      <c r="N29" s="480">
        <v>1699</v>
      </c>
      <c r="O29" s="480">
        <v>1819</v>
      </c>
      <c r="P29" s="480">
        <v>1942</v>
      </c>
      <c r="Q29" s="480">
        <v>2063</v>
      </c>
      <c r="R29" s="480">
        <v>1470</v>
      </c>
      <c r="S29" s="480">
        <v>1398</v>
      </c>
      <c r="T29" s="480">
        <v>1331</v>
      </c>
      <c r="U29" s="480">
        <v>1290</v>
      </c>
      <c r="V29" s="481">
        <v>100</v>
      </c>
      <c r="W29" s="481">
        <v>100</v>
      </c>
      <c r="X29" s="482">
        <v>1.5</v>
      </c>
      <c r="Y29" s="483">
        <v>-0.6</v>
      </c>
    </row>
    <row r="30" spans="1:25" x14ac:dyDescent="0.3">
      <c r="A30" s="484" t="s">
        <v>822</v>
      </c>
      <c r="B30" s="485">
        <v>239</v>
      </c>
      <c r="C30" s="485">
        <v>352</v>
      </c>
      <c r="D30" s="486">
        <v>364</v>
      </c>
      <c r="E30" s="485">
        <v>397</v>
      </c>
      <c r="F30" s="485">
        <v>426</v>
      </c>
      <c r="G30" s="485">
        <v>459</v>
      </c>
      <c r="H30" s="485">
        <v>494</v>
      </c>
      <c r="I30" s="474">
        <v>25</v>
      </c>
      <c r="J30" s="475">
        <v>27</v>
      </c>
      <c r="K30" s="487">
        <v>1.3</v>
      </c>
      <c r="L30"/>
      <c r="M30" s="488" t="s">
        <v>822</v>
      </c>
      <c r="N30" s="489">
        <v>415</v>
      </c>
      <c r="O30" s="489">
        <v>457</v>
      </c>
      <c r="P30" s="489">
        <v>503</v>
      </c>
      <c r="Q30" s="489">
        <v>553</v>
      </c>
      <c r="R30" s="490">
        <v>365</v>
      </c>
      <c r="S30" s="490">
        <v>367</v>
      </c>
      <c r="T30" s="490">
        <v>374</v>
      </c>
      <c r="U30" s="490">
        <v>390</v>
      </c>
      <c r="V30" s="491">
        <v>27</v>
      </c>
      <c r="W30" s="492">
        <v>30</v>
      </c>
      <c r="X30" s="493">
        <v>1.8</v>
      </c>
      <c r="Y30" s="494">
        <v>0.3</v>
      </c>
    </row>
    <row r="31" spans="1:25" x14ac:dyDescent="0.3">
      <c r="A31" s="448" t="s">
        <v>823</v>
      </c>
      <c r="B31" s="449">
        <v>7036</v>
      </c>
      <c r="C31" s="449">
        <v>9530</v>
      </c>
      <c r="D31" s="449">
        <v>9696</v>
      </c>
      <c r="E31" s="449">
        <v>10871</v>
      </c>
      <c r="F31" s="449">
        <v>11474</v>
      </c>
      <c r="G31" s="449">
        <v>12018</v>
      </c>
      <c r="H31" s="449">
        <v>12581</v>
      </c>
      <c r="I31" s="450">
        <v>100</v>
      </c>
      <c r="J31" s="451">
        <v>100</v>
      </c>
      <c r="K31" s="478">
        <v>1.1000000000000001</v>
      </c>
      <c r="L31"/>
      <c r="M31" s="479" t="s">
        <v>823</v>
      </c>
      <c r="N31" s="480">
        <v>11103</v>
      </c>
      <c r="O31" s="480">
        <v>11911</v>
      </c>
      <c r="P31" s="480">
        <v>12704</v>
      </c>
      <c r="Q31" s="480">
        <v>13510</v>
      </c>
      <c r="R31" s="480">
        <v>10126</v>
      </c>
      <c r="S31" s="480">
        <v>10007</v>
      </c>
      <c r="T31" s="480">
        <v>9946</v>
      </c>
      <c r="U31" s="480">
        <v>9958</v>
      </c>
      <c r="V31" s="481">
        <v>100</v>
      </c>
      <c r="W31" s="481">
        <v>100</v>
      </c>
      <c r="X31" s="482">
        <v>1.5</v>
      </c>
      <c r="Y31" s="483">
        <v>0.1</v>
      </c>
    </row>
    <row r="32" spans="1:25" x14ac:dyDescent="0.3">
      <c r="A32" s="457" t="s">
        <v>254</v>
      </c>
      <c r="B32" s="458">
        <v>542</v>
      </c>
      <c r="C32" s="458">
        <v>1034</v>
      </c>
      <c r="D32" s="470">
        <v>1004</v>
      </c>
      <c r="E32" s="458">
        <v>1029</v>
      </c>
      <c r="F32" s="458">
        <v>1027</v>
      </c>
      <c r="G32" s="458">
        <v>1021</v>
      </c>
      <c r="H32" s="458">
        <v>1020</v>
      </c>
      <c r="I32" s="460">
        <v>10</v>
      </c>
      <c r="J32" s="461">
        <v>8</v>
      </c>
      <c r="K32" s="462">
        <v>0.1</v>
      </c>
      <c r="L32"/>
      <c r="M32" s="463" t="s">
        <v>254</v>
      </c>
      <c r="N32" s="464">
        <v>1076</v>
      </c>
      <c r="O32" s="464">
        <v>1102</v>
      </c>
      <c r="P32" s="464">
        <v>1125</v>
      </c>
      <c r="Q32" s="464">
        <v>1147</v>
      </c>
      <c r="R32" s="465">
        <v>962</v>
      </c>
      <c r="S32" s="465">
        <v>895</v>
      </c>
      <c r="T32" s="465">
        <v>815</v>
      </c>
      <c r="U32" s="465">
        <v>754</v>
      </c>
      <c r="V32" s="466">
        <v>8</v>
      </c>
      <c r="W32" s="467">
        <v>8</v>
      </c>
      <c r="X32" s="468">
        <v>0.6</v>
      </c>
      <c r="Y32" s="469">
        <v>-1.2</v>
      </c>
    </row>
    <row r="33" spans="1:25" x14ac:dyDescent="0.3">
      <c r="A33" s="457" t="s">
        <v>266</v>
      </c>
      <c r="B33" s="458">
        <v>3123</v>
      </c>
      <c r="C33" s="458">
        <v>3877</v>
      </c>
      <c r="D33" s="470">
        <v>3940</v>
      </c>
      <c r="E33" s="458">
        <v>4297</v>
      </c>
      <c r="F33" s="458">
        <v>4405</v>
      </c>
      <c r="G33" s="458">
        <v>4458</v>
      </c>
      <c r="H33" s="458">
        <v>4541</v>
      </c>
      <c r="I33" s="460">
        <v>41</v>
      </c>
      <c r="J33" s="461">
        <v>36</v>
      </c>
      <c r="K33" s="462">
        <v>0.6</v>
      </c>
      <c r="L33"/>
      <c r="M33" s="463" t="s">
        <v>266</v>
      </c>
      <c r="N33" s="464">
        <v>4431</v>
      </c>
      <c r="O33" s="464">
        <v>4680</v>
      </c>
      <c r="P33" s="464">
        <v>4908</v>
      </c>
      <c r="Q33" s="464">
        <v>5163</v>
      </c>
      <c r="R33" s="465">
        <v>3936</v>
      </c>
      <c r="S33" s="465">
        <v>3667</v>
      </c>
      <c r="T33" s="465">
        <v>3274</v>
      </c>
      <c r="U33" s="465">
        <v>2962</v>
      </c>
      <c r="V33" s="466">
        <v>38</v>
      </c>
      <c r="W33" s="467">
        <v>30</v>
      </c>
      <c r="X33" s="468">
        <v>1.2</v>
      </c>
      <c r="Y33" s="469">
        <v>-1.2</v>
      </c>
    </row>
    <row r="34" spans="1:25" x14ac:dyDescent="0.3">
      <c r="A34" s="457" t="s">
        <v>255</v>
      </c>
      <c r="B34" s="458">
        <v>1118</v>
      </c>
      <c r="C34" s="458">
        <v>1449</v>
      </c>
      <c r="D34" s="470">
        <v>1503</v>
      </c>
      <c r="E34" s="458">
        <v>1790</v>
      </c>
      <c r="F34" s="458">
        <v>1964</v>
      </c>
      <c r="G34" s="458">
        <v>2139</v>
      </c>
      <c r="H34" s="458">
        <v>2299</v>
      </c>
      <c r="I34" s="460">
        <v>16</v>
      </c>
      <c r="J34" s="461">
        <v>18</v>
      </c>
      <c r="K34" s="462">
        <v>1.9</v>
      </c>
      <c r="L34"/>
      <c r="M34" s="463" t="s">
        <v>255</v>
      </c>
      <c r="N34" s="464">
        <v>1814</v>
      </c>
      <c r="O34" s="464">
        <v>2008</v>
      </c>
      <c r="P34" s="464">
        <v>2206</v>
      </c>
      <c r="Q34" s="464">
        <v>2392</v>
      </c>
      <c r="R34" s="465">
        <v>1741</v>
      </c>
      <c r="S34" s="465">
        <v>1871</v>
      </c>
      <c r="T34" s="465">
        <v>1969</v>
      </c>
      <c r="U34" s="465">
        <v>2032</v>
      </c>
      <c r="V34" s="466">
        <v>18</v>
      </c>
      <c r="W34" s="467">
        <v>20</v>
      </c>
      <c r="X34" s="468">
        <v>2</v>
      </c>
      <c r="Y34" s="469">
        <v>1.3</v>
      </c>
    </row>
    <row r="35" spans="1:25" x14ac:dyDescent="0.3">
      <c r="A35" s="457" t="s">
        <v>341</v>
      </c>
      <c r="B35" s="458">
        <v>1090</v>
      </c>
      <c r="C35" s="458">
        <v>1792</v>
      </c>
      <c r="D35" s="470">
        <v>1846</v>
      </c>
      <c r="E35" s="458">
        <v>2206</v>
      </c>
      <c r="F35" s="458">
        <v>2457</v>
      </c>
      <c r="G35" s="458">
        <v>2717</v>
      </c>
      <c r="H35" s="458">
        <v>2985</v>
      </c>
      <c r="I35" s="460">
        <v>19</v>
      </c>
      <c r="J35" s="461">
        <v>24</v>
      </c>
      <c r="K35" s="462">
        <v>2.1</v>
      </c>
      <c r="L35"/>
      <c r="M35" s="463" t="s">
        <v>341</v>
      </c>
      <c r="N35" s="464">
        <v>2249</v>
      </c>
      <c r="O35" s="464">
        <v>2532</v>
      </c>
      <c r="P35" s="464">
        <v>2824</v>
      </c>
      <c r="Q35" s="464">
        <v>3125</v>
      </c>
      <c r="R35" s="465">
        <v>2117</v>
      </c>
      <c r="S35" s="465">
        <v>2313</v>
      </c>
      <c r="T35" s="465">
        <v>2550</v>
      </c>
      <c r="U35" s="465">
        <v>2802</v>
      </c>
      <c r="V35" s="466">
        <v>23</v>
      </c>
      <c r="W35" s="467">
        <v>28</v>
      </c>
      <c r="X35" s="468">
        <v>2.2999999999999998</v>
      </c>
      <c r="Y35" s="469">
        <v>1.8</v>
      </c>
    </row>
    <row r="36" spans="1:25" x14ac:dyDescent="0.3">
      <c r="A36" s="457" t="s">
        <v>694</v>
      </c>
      <c r="B36" s="458">
        <v>248</v>
      </c>
      <c r="C36" s="458">
        <v>283</v>
      </c>
      <c r="D36" s="470">
        <v>289</v>
      </c>
      <c r="E36" s="458">
        <v>301</v>
      </c>
      <c r="F36" s="458">
        <v>302</v>
      </c>
      <c r="G36" s="458">
        <v>303</v>
      </c>
      <c r="H36" s="458">
        <v>302</v>
      </c>
      <c r="I36" s="460">
        <v>3</v>
      </c>
      <c r="J36" s="461">
        <v>2</v>
      </c>
      <c r="K36" s="462">
        <v>0.2</v>
      </c>
      <c r="L36"/>
      <c r="M36" s="463" t="s">
        <v>694</v>
      </c>
      <c r="N36" s="464">
        <v>308</v>
      </c>
      <c r="O36" s="464">
        <v>315</v>
      </c>
      <c r="P36" s="464">
        <v>321</v>
      </c>
      <c r="Q36" s="464">
        <v>325</v>
      </c>
      <c r="R36" s="465">
        <v>287</v>
      </c>
      <c r="S36" s="465">
        <v>275</v>
      </c>
      <c r="T36" s="465">
        <v>260</v>
      </c>
      <c r="U36" s="465">
        <v>245</v>
      </c>
      <c r="V36" s="466">
        <v>2</v>
      </c>
      <c r="W36" s="467">
        <v>2</v>
      </c>
      <c r="X36" s="468">
        <v>0.5</v>
      </c>
      <c r="Y36" s="469">
        <v>-0.7</v>
      </c>
    </row>
    <row r="37" spans="1:25" x14ac:dyDescent="0.3">
      <c r="A37" s="457" t="s">
        <v>503</v>
      </c>
      <c r="B37" s="458">
        <v>908</v>
      </c>
      <c r="C37" s="458">
        <v>1052</v>
      </c>
      <c r="D37" s="470">
        <v>1066</v>
      </c>
      <c r="E37" s="458">
        <v>1171</v>
      </c>
      <c r="F37" s="458">
        <v>1215</v>
      </c>
      <c r="G37" s="458">
        <v>1249</v>
      </c>
      <c r="H37" s="458">
        <v>1277</v>
      </c>
      <c r="I37" s="460">
        <v>11</v>
      </c>
      <c r="J37" s="461">
        <v>10</v>
      </c>
      <c r="K37" s="462">
        <v>0.8</v>
      </c>
      <c r="L37"/>
      <c r="M37" s="463" t="s">
        <v>503</v>
      </c>
      <c r="N37" s="464">
        <v>1157</v>
      </c>
      <c r="O37" s="464">
        <v>1187</v>
      </c>
      <c r="P37" s="464">
        <v>1215</v>
      </c>
      <c r="Q37" s="464">
        <v>1234</v>
      </c>
      <c r="R37" s="465">
        <v>979</v>
      </c>
      <c r="S37" s="465">
        <v>828</v>
      </c>
      <c r="T37" s="465">
        <v>863</v>
      </c>
      <c r="U37" s="465">
        <v>888</v>
      </c>
      <c r="V37" s="466">
        <v>9</v>
      </c>
      <c r="W37" s="467">
        <v>9</v>
      </c>
      <c r="X37" s="468">
        <v>0.6</v>
      </c>
      <c r="Y37" s="469">
        <v>-0.8</v>
      </c>
    </row>
    <row r="38" spans="1:25" x14ac:dyDescent="0.3">
      <c r="A38" s="471" t="s">
        <v>461</v>
      </c>
      <c r="B38" s="472">
        <v>9</v>
      </c>
      <c r="C38" s="472">
        <v>44</v>
      </c>
      <c r="D38" s="473">
        <v>47</v>
      </c>
      <c r="E38" s="472">
        <v>78</v>
      </c>
      <c r="F38" s="472">
        <v>103</v>
      </c>
      <c r="G38" s="472">
        <v>130</v>
      </c>
      <c r="H38" s="472">
        <v>157</v>
      </c>
      <c r="I38" s="474">
        <v>0</v>
      </c>
      <c r="J38" s="475">
        <v>1</v>
      </c>
      <c r="K38" s="476">
        <v>5.4</v>
      </c>
      <c r="L38"/>
      <c r="M38" s="463" t="s">
        <v>461</v>
      </c>
      <c r="N38" s="464">
        <v>69</v>
      </c>
      <c r="O38" s="464">
        <v>86</v>
      </c>
      <c r="P38" s="464">
        <v>105</v>
      </c>
      <c r="Q38" s="464">
        <v>125</v>
      </c>
      <c r="R38" s="465">
        <v>103</v>
      </c>
      <c r="S38" s="465">
        <v>157</v>
      </c>
      <c r="T38" s="465">
        <v>216</v>
      </c>
      <c r="U38" s="465">
        <v>276</v>
      </c>
      <c r="V38" s="466">
        <v>1</v>
      </c>
      <c r="W38" s="467">
        <v>3</v>
      </c>
      <c r="X38" s="468">
        <v>4.3</v>
      </c>
      <c r="Y38" s="469">
        <v>8</v>
      </c>
    </row>
    <row r="39" spans="1:25" x14ac:dyDescent="0.3">
      <c r="A39" s="448" t="s">
        <v>705</v>
      </c>
      <c r="B39" s="449">
        <v>1863</v>
      </c>
      <c r="C39" s="449">
        <v>2821</v>
      </c>
      <c r="D39" s="449">
        <v>2855</v>
      </c>
      <c r="E39" s="449">
        <v>3265</v>
      </c>
      <c r="F39" s="449">
        <v>3460</v>
      </c>
      <c r="G39" s="449">
        <v>3648</v>
      </c>
      <c r="H39" s="449">
        <v>3833</v>
      </c>
      <c r="I39" s="450">
        <v>100</v>
      </c>
      <c r="J39" s="451">
        <v>100</v>
      </c>
      <c r="K39" s="478">
        <v>1.3</v>
      </c>
      <c r="L39"/>
      <c r="M39" s="479" t="s">
        <v>705</v>
      </c>
      <c r="N39" s="480">
        <v>3327</v>
      </c>
      <c r="O39" s="480">
        <v>3581</v>
      </c>
      <c r="P39" s="480">
        <v>3835</v>
      </c>
      <c r="Q39" s="480">
        <v>4087</v>
      </c>
      <c r="R39" s="480">
        <v>3121</v>
      </c>
      <c r="S39" s="480">
        <v>3155</v>
      </c>
      <c r="T39" s="480">
        <v>3162</v>
      </c>
      <c r="U39" s="480">
        <v>3197</v>
      </c>
      <c r="V39" s="481">
        <v>100</v>
      </c>
      <c r="W39" s="481">
        <v>100</v>
      </c>
      <c r="X39" s="482">
        <v>1.6</v>
      </c>
      <c r="Y39" s="483">
        <v>0.5</v>
      </c>
    </row>
    <row r="40" spans="1:25" x14ac:dyDescent="0.3">
      <c r="A40" s="457" t="s">
        <v>254</v>
      </c>
      <c r="B40" s="458">
        <v>400</v>
      </c>
      <c r="C40" s="458">
        <v>826</v>
      </c>
      <c r="D40" s="470">
        <v>803</v>
      </c>
      <c r="E40" s="458">
        <v>858</v>
      </c>
      <c r="F40" s="458">
        <v>876</v>
      </c>
      <c r="G40" s="458">
        <v>890</v>
      </c>
      <c r="H40" s="458">
        <v>902</v>
      </c>
      <c r="I40" s="460">
        <v>28</v>
      </c>
      <c r="J40" s="461">
        <v>24</v>
      </c>
      <c r="K40" s="462">
        <v>0.5</v>
      </c>
      <c r="L40"/>
      <c r="M40" s="463" t="s">
        <v>254</v>
      </c>
      <c r="N40" s="464">
        <v>879</v>
      </c>
      <c r="O40" s="464">
        <v>916</v>
      </c>
      <c r="P40" s="464">
        <v>949</v>
      </c>
      <c r="Q40" s="464">
        <v>979</v>
      </c>
      <c r="R40" s="465">
        <v>799</v>
      </c>
      <c r="S40" s="465">
        <v>760</v>
      </c>
      <c r="T40" s="465">
        <v>707</v>
      </c>
      <c r="U40" s="465">
        <v>665</v>
      </c>
      <c r="V40" s="466">
        <v>24</v>
      </c>
      <c r="W40" s="467">
        <v>21</v>
      </c>
      <c r="X40" s="468">
        <v>0.9</v>
      </c>
      <c r="Y40" s="469">
        <v>-0.8</v>
      </c>
    </row>
    <row r="41" spans="1:25" x14ac:dyDescent="0.3">
      <c r="A41" s="457" t="s">
        <v>266</v>
      </c>
      <c r="B41" s="458">
        <v>326</v>
      </c>
      <c r="C41" s="458">
        <v>321</v>
      </c>
      <c r="D41" s="470">
        <v>321</v>
      </c>
      <c r="E41" s="458">
        <v>337</v>
      </c>
      <c r="F41" s="458">
        <v>335</v>
      </c>
      <c r="G41" s="458">
        <v>331</v>
      </c>
      <c r="H41" s="458">
        <v>327</v>
      </c>
      <c r="I41" s="460">
        <v>11</v>
      </c>
      <c r="J41" s="461">
        <v>9</v>
      </c>
      <c r="K41" s="462">
        <v>0.1</v>
      </c>
      <c r="L41"/>
      <c r="M41" s="463" t="s">
        <v>266</v>
      </c>
      <c r="N41" s="464">
        <v>343</v>
      </c>
      <c r="O41" s="464">
        <v>346</v>
      </c>
      <c r="P41" s="464">
        <v>347</v>
      </c>
      <c r="Q41" s="464">
        <v>347</v>
      </c>
      <c r="R41" s="465">
        <v>319</v>
      </c>
      <c r="S41" s="465">
        <v>303</v>
      </c>
      <c r="T41" s="465">
        <v>286</v>
      </c>
      <c r="U41" s="465">
        <v>272</v>
      </c>
      <c r="V41" s="466">
        <v>8</v>
      </c>
      <c r="W41" s="467">
        <v>9</v>
      </c>
      <c r="X41" s="468">
        <v>0.3</v>
      </c>
      <c r="Y41" s="469">
        <v>-0.7</v>
      </c>
    </row>
    <row r="42" spans="1:25" x14ac:dyDescent="0.3">
      <c r="A42" s="457" t="s">
        <v>255</v>
      </c>
      <c r="B42" s="458">
        <v>412</v>
      </c>
      <c r="C42" s="458">
        <v>595</v>
      </c>
      <c r="D42" s="470">
        <v>618</v>
      </c>
      <c r="E42" s="458">
        <v>768</v>
      </c>
      <c r="F42" s="458">
        <v>851</v>
      </c>
      <c r="G42" s="458">
        <v>936</v>
      </c>
      <c r="H42" s="458">
        <v>1025</v>
      </c>
      <c r="I42" s="460">
        <v>22</v>
      </c>
      <c r="J42" s="461">
        <v>27</v>
      </c>
      <c r="K42" s="462">
        <v>2.2000000000000002</v>
      </c>
      <c r="L42"/>
      <c r="M42" s="463" t="s">
        <v>255</v>
      </c>
      <c r="N42" s="464">
        <v>778</v>
      </c>
      <c r="O42" s="464">
        <v>874</v>
      </c>
      <c r="P42" s="464">
        <v>976</v>
      </c>
      <c r="Q42" s="464">
        <v>1081</v>
      </c>
      <c r="R42" s="465">
        <v>741</v>
      </c>
      <c r="S42" s="465">
        <v>788</v>
      </c>
      <c r="T42" s="465">
        <v>827</v>
      </c>
      <c r="U42" s="465">
        <v>866</v>
      </c>
      <c r="V42" s="466">
        <v>26</v>
      </c>
      <c r="W42" s="467">
        <v>27</v>
      </c>
      <c r="X42" s="468">
        <v>2.5</v>
      </c>
      <c r="Y42" s="469">
        <v>1.5</v>
      </c>
    </row>
    <row r="43" spans="1:25" x14ac:dyDescent="0.3">
      <c r="A43" s="457" t="s">
        <v>341</v>
      </c>
      <c r="B43" s="458">
        <v>462</v>
      </c>
      <c r="C43" s="458">
        <v>743</v>
      </c>
      <c r="D43" s="470">
        <v>768</v>
      </c>
      <c r="E43" s="458">
        <v>913</v>
      </c>
      <c r="F43" s="458">
        <v>987</v>
      </c>
      <c r="G43" s="458">
        <v>1057</v>
      </c>
      <c r="H43" s="458">
        <v>1123</v>
      </c>
      <c r="I43" s="460">
        <v>27</v>
      </c>
      <c r="J43" s="461">
        <v>29</v>
      </c>
      <c r="K43" s="462">
        <v>1.7</v>
      </c>
      <c r="L43"/>
      <c r="M43" s="463" t="s">
        <v>341</v>
      </c>
      <c r="N43" s="464">
        <v>929</v>
      </c>
      <c r="O43" s="464">
        <v>1021</v>
      </c>
      <c r="P43" s="464">
        <v>1110</v>
      </c>
      <c r="Q43" s="464">
        <v>1197</v>
      </c>
      <c r="R43" s="465">
        <v>872</v>
      </c>
      <c r="S43" s="465">
        <v>896</v>
      </c>
      <c r="T43" s="465">
        <v>914</v>
      </c>
      <c r="U43" s="465">
        <v>945</v>
      </c>
      <c r="V43" s="466">
        <v>29</v>
      </c>
      <c r="W43" s="467">
        <v>30</v>
      </c>
      <c r="X43" s="468">
        <v>1.9</v>
      </c>
      <c r="Y43" s="469">
        <v>0.9</v>
      </c>
    </row>
    <row r="44" spans="1:25" x14ac:dyDescent="0.3">
      <c r="A44" s="457" t="s">
        <v>694</v>
      </c>
      <c r="B44" s="458">
        <v>101</v>
      </c>
      <c r="C44" s="458">
        <v>136</v>
      </c>
      <c r="D44" s="470">
        <v>140</v>
      </c>
      <c r="E44" s="458">
        <v>149</v>
      </c>
      <c r="F44" s="458">
        <v>148</v>
      </c>
      <c r="G44" s="458">
        <v>146</v>
      </c>
      <c r="H44" s="458">
        <v>143</v>
      </c>
      <c r="I44" s="460">
        <v>5</v>
      </c>
      <c r="J44" s="461">
        <v>4</v>
      </c>
      <c r="K44" s="462">
        <v>0.1</v>
      </c>
      <c r="L44"/>
      <c r="M44" s="463" t="s">
        <v>694</v>
      </c>
      <c r="N44" s="464">
        <v>152</v>
      </c>
      <c r="O44" s="464">
        <v>155</v>
      </c>
      <c r="P44" s="464">
        <v>157</v>
      </c>
      <c r="Q44" s="464">
        <v>157</v>
      </c>
      <c r="R44" s="465">
        <v>141</v>
      </c>
      <c r="S44" s="465">
        <v>131</v>
      </c>
      <c r="T44" s="465">
        <v>120</v>
      </c>
      <c r="U44" s="465">
        <v>108</v>
      </c>
      <c r="V44" s="466">
        <v>4</v>
      </c>
      <c r="W44" s="467">
        <v>3</v>
      </c>
      <c r="X44" s="468">
        <v>0.5</v>
      </c>
      <c r="Y44" s="469">
        <v>-1.1000000000000001</v>
      </c>
    </row>
    <row r="45" spans="1:25" x14ac:dyDescent="0.3">
      <c r="A45" s="457" t="s">
        <v>503</v>
      </c>
      <c r="B45" s="458">
        <v>162</v>
      </c>
      <c r="C45" s="458">
        <v>199</v>
      </c>
      <c r="D45" s="470">
        <v>204</v>
      </c>
      <c r="E45" s="458">
        <v>239</v>
      </c>
      <c r="F45" s="458">
        <v>258</v>
      </c>
      <c r="G45" s="458">
        <v>279</v>
      </c>
      <c r="H45" s="458">
        <v>300</v>
      </c>
      <c r="I45" s="460">
        <v>7</v>
      </c>
      <c r="J45" s="461">
        <v>8</v>
      </c>
      <c r="K45" s="462">
        <v>1.7</v>
      </c>
      <c r="L45"/>
      <c r="M45" s="463" t="s">
        <v>503</v>
      </c>
      <c r="N45" s="464">
        <v>242</v>
      </c>
      <c r="O45" s="464">
        <v>266</v>
      </c>
      <c r="P45" s="464">
        <v>292</v>
      </c>
      <c r="Q45" s="464">
        <v>318</v>
      </c>
      <c r="R45" s="465">
        <v>240</v>
      </c>
      <c r="S45" s="465">
        <v>259</v>
      </c>
      <c r="T45" s="465">
        <v>277</v>
      </c>
      <c r="U45" s="465">
        <v>298</v>
      </c>
      <c r="V45" s="466">
        <v>8</v>
      </c>
      <c r="W45" s="467">
        <v>9</v>
      </c>
      <c r="X45" s="468">
        <v>1.9</v>
      </c>
      <c r="Y45" s="469">
        <v>1.7</v>
      </c>
    </row>
    <row r="46" spans="1:25" x14ac:dyDescent="0.3">
      <c r="A46" s="471" t="s">
        <v>461</v>
      </c>
      <c r="B46" s="472">
        <v>0</v>
      </c>
      <c r="C46" s="472">
        <v>1</v>
      </c>
      <c r="D46" s="473">
        <v>1</v>
      </c>
      <c r="E46" s="472">
        <v>3</v>
      </c>
      <c r="F46" s="472">
        <v>5</v>
      </c>
      <c r="G46" s="472">
        <v>9</v>
      </c>
      <c r="H46" s="472">
        <v>14</v>
      </c>
      <c r="I46" s="474">
        <v>0</v>
      </c>
      <c r="J46" s="475">
        <v>0</v>
      </c>
      <c r="K46" s="476">
        <v>11.9</v>
      </c>
      <c r="L46"/>
      <c r="M46" s="463" t="s">
        <v>461</v>
      </c>
      <c r="N46" s="464">
        <v>2</v>
      </c>
      <c r="O46" s="464">
        <v>3</v>
      </c>
      <c r="P46" s="464">
        <v>5</v>
      </c>
      <c r="Q46" s="464">
        <v>8</v>
      </c>
      <c r="R46" s="465">
        <v>8</v>
      </c>
      <c r="S46" s="465">
        <v>19</v>
      </c>
      <c r="T46" s="465">
        <v>31</v>
      </c>
      <c r="U46" s="465">
        <v>42</v>
      </c>
      <c r="V46" s="466">
        <v>0</v>
      </c>
      <c r="W46" s="467">
        <v>1</v>
      </c>
      <c r="X46" s="468">
        <v>9</v>
      </c>
      <c r="Y46" s="469">
        <v>17.5</v>
      </c>
    </row>
    <row r="47" spans="1:25" x14ac:dyDescent="0.3">
      <c r="A47" s="448" t="s">
        <v>707</v>
      </c>
      <c r="B47" s="449">
        <v>1958</v>
      </c>
      <c r="C47" s="449">
        <v>2745</v>
      </c>
      <c r="D47" s="449">
        <v>2794</v>
      </c>
      <c r="E47" s="449">
        <v>3144</v>
      </c>
      <c r="F47" s="449">
        <v>3313</v>
      </c>
      <c r="G47" s="449">
        <v>3447</v>
      </c>
      <c r="H47" s="449">
        <v>3617</v>
      </c>
      <c r="I47" s="450">
        <v>100</v>
      </c>
      <c r="J47" s="451">
        <v>100</v>
      </c>
      <c r="K47" s="478">
        <v>1.1000000000000001</v>
      </c>
      <c r="L47"/>
      <c r="M47" s="479" t="s">
        <v>707</v>
      </c>
      <c r="N47" s="480">
        <v>3210</v>
      </c>
      <c r="O47" s="480">
        <v>3451</v>
      </c>
      <c r="P47" s="480">
        <v>3691</v>
      </c>
      <c r="Q47" s="480">
        <v>3964</v>
      </c>
      <c r="R47" s="480">
        <v>2945</v>
      </c>
      <c r="S47" s="480">
        <v>2895</v>
      </c>
      <c r="T47" s="480">
        <v>2748</v>
      </c>
      <c r="U47" s="480">
        <v>2640</v>
      </c>
      <c r="V47" s="481">
        <v>100</v>
      </c>
      <c r="W47" s="481">
        <v>100</v>
      </c>
      <c r="X47" s="482">
        <v>1.5</v>
      </c>
      <c r="Y47" s="483">
        <v>-0.2</v>
      </c>
    </row>
    <row r="48" spans="1:25" x14ac:dyDescent="0.3">
      <c r="A48" s="457" t="s">
        <v>266</v>
      </c>
      <c r="B48" s="458">
        <v>1871</v>
      </c>
      <c r="C48" s="458">
        <v>2530</v>
      </c>
      <c r="D48" s="470">
        <v>2567</v>
      </c>
      <c r="E48" s="458">
        <v>2806</v>
      </c>
      <c r="F48" s="458">
        <v>2880</v>
      </c>
      <c r="G48" s="458">
        <v>2908</v>
      </c>
      <c r="H48" s="458">
        <v>2965</v>
      </c>
      <c r="I48" s="460">
        <v>92</v>
      </c>
      <c r="J48" s="461">
        <v>82</v>
      </c>
      <c r="K48" s="462">
        <v>0.6</v>
      </c>
      <c r="L48"/>
      <c r="M48" s="463" t="s">
        <v>266</v>
      </c>
      <c r="N48" s="464">
        <v>2908</v>
      </c>
      <c r="O48" s="464">
        <v>3101</v>
      </c>
      <c r="P48" s="464">
        <v>3284</v>
      </c>
      <c r="Q48" s="464">
        <v>3494</v>
      </c>
      <c r="R48" s="465">
        <v>2500</v>
      </c>
      <c r="S48" s="465">
        <v>2243</v>
      </c>
      <c r="T48" s="465">
        <v>1877</v>
      </c>
      <c r="U48" s="465">
        <v>1581</v>
      </c>
      <c r="V48" s="466">
        <v>88</v>
      </c>
      <c r="W48" s="467">
        <v>60</v>
      </c>
      <c r="X48" s="468">
        <v>1.3</v>
      </c>
      <c r="Y48" s="469">
        <v>-2.1</v>
      </c>
    </row>
    <row r="49" spans="1:25" x14ac:dyDescent="0.3">
      <c r="A49" s="495" t="s">
        <v>824</v>
      </c>
      <c r="B49" s="496">
        <v>274</v>
      </c>
      <c r="C49" s="496">
        <v>398</v>
      </c>
      <c r="D49" s="497">
        <v>404</v>
      </c>
      <c r="E49" s="496">
        <v>465</v>
      </c>
      <c r="F49" s="496">
        <v>499</v>
      </c>
      <c r="G49" s="496">
        <v>535</v>
      </c>
      <c r="H49" s="496">
        <v>571</v>
      </c>
      <c r="I49" s="498">
        <v>14</v>
      </c>
      <c r="J49" s="499">
        <v>16</v>
      </c>
      <c r="K49" s="500">
        <v>1.5</v>
      </c>
      <c r="L49"/>
      <c r="M49" s="495" t="s">
        <v>824</v>
      </c>
      <c r="N49" s="489">
        <v>488</v>
      </c>
      <c r="O49" s="489">
        <v>541</v>
      </c>
      <c r="P49" s="489">
        <v>600</v>
      </c>
      <c r="Q49" s="489">
        <v>663</v>
      </c>
      <c r="R49" s="490">
        <v>390</v>
      </c>
      <c r="S49" s="490">
        <v>376</v>
      </c>
      <c r="T49" s="490">
        <v>349</v>
      </c>
      <c r="U49" s="490">
        <v>322</v>
      </c>
      <c r="V49" s="491">
        <v>17</v>
      </c>
      <c r="W49" s="492">
        <v>12</v>
      </c>
      <c r="X49" s="493">
        <v>2.2000000000000002</v>
      </c>
      <c r="Y49" s="494">
        <v>-1</v>
      </c>
    </row>
    <row r="50" spans="1:25" x14ac:dyDescent="0.3">
      <c r="A50" s="457" t="s">
        <v>341</v>
      </c>
      <c r="B50" s="458">
        <v>19</v>
      </c>
      <c r="C50" s="458">
        <v>31</v>
      </c>
      <c r="D50" s="470">
        <v>33</v>
      </c>
      <c r="E50" s="458">
        <v>57</v>
      </c>
      <c r="F50" s="458">
        <v>86</v>
      </c>
      <c r="G50" s="458">
        <v>122</v>
      </c>
      <c r="H50" s="458">
        <v>160</v>
      </c>
      <c r="I50" s="460">
        <v>1</v>
      </c>
      <c r="J50" s="461">
        <v>4</v>
      </c>
      <c r="K50" s="462">
        <v>7.2</v>
      </c>
      <c r="L50"/>
      <c r="M50" s="463" t="s">
        <v>341</v>
      </c>
      <c r="N50" s="464">
        <v>47</v>
      </c>
      <c r="O50" s="464">
        <v>61</v>
      </c>
      <c r="P50" s="464">
        <v>77</v>
      </c>
      <c r="Q50" s="464">
        <v>94</v>
      </c>
      <c r="R50" s="465">
        <v>66</v>
      </c>
      <c r="S50" s="465">
        <v>130</v>
      </c>
      <c r="T50" s="465">
        <v>245</v>
      </c>
      <c r="U50" s="465">
        <v>364</v>
      </c>
      <c r="V50" s="466">
        <v>2</v>
      </c>
      <c r="W50" s="467">
        <v>14</v>
      </c>
      <c r="X50" s="468">
        <v>4.7</v>
      </c>
      <c r="Y50" s="469">
        <v>11.1</v>
      </c>
    </row>
    <row r="51" spans="1:25" x14ac:dyDescent="0.3">
      <c r="A51" s="457" t="s">
        <v>253</v>
      </c>
      <c r="B51" s="458">
        <v>10</v>
      </c>
      <c r="C51" s="458">
        <v>82</v>
      </c>
      <c r="D51" s="470">
        <v>86</v>
      </c>
      <c r="E51" s="458">
        <v>130</v>
      </c>
      <c r="F51" s="458">
        <v>161</v>
      </c>
      <c r="G51" s="458">
        <v>188</v>
      </c>
      <c r="H51" s="458">
        <v>220</v>
      </c>
      <c r="I51" s="460">
        <v>3</v>
      </c>
      <c r="J51" s="461">
        <v>6</v>
      </c>
      <c r="K51" s="462">
        <v>4.2</v>
      </c>
      <c r="L51"/>
      <c r="M51" s="463" t="s">
        <v>253</v>
      </c>
      <c r="N51" s="464">
        <v>115</v>
      </c>
      <c r="O51" s="464">
        <v>130</v>
      </c>
      <c r="P51" s="464">
        <v>146</v>
      </c>
      <c r="Q51" s="464">
        <v>165</v>
      </c>
      <c r="R51" s="465">
        <v>208</v>
      </c>
      <c r="S51" s="465">
        <v>280</v>
      </c>
      <c r="T51" s="465">
        <v>319</v>
      </c>
      <c r="U51" s="465">
        <v>351</v>
      </c>
      <c r="V51" s="466">
        <v>4</v>
      </c>
      <c r="W51" s="467">
        <v>13</v>
      </c>
      <c r="X51" s="468">
        <v>2.9</v>
      </c>
      <c r="Y51" s="469">
        <v>6.3</v>
      </c>
    </row>
    <row r="52" spans="1:25" x14ac:dyDescent="0.3">
      <c r="A52" s="471" t="s">
        <v>825</v>
      </c>
      <c r="B52" s="472">
        <v>58</v>
      </c>
      <c r="C52" s="472">
        <v>102</v>
      </c>
      <c r="D52" s="473">
        <v>109</v>
      </c>
      <c r="E52" s="472">
        <v>151</v>
      </c>
      <c r="F52" s="472">
        <v>187</v>
      </c>
      <c r="G52" s="472">
        <v>229</v>
      </c>
      <c r="H52" s="472">
        <v>272</v>
      </c>
      <c r="I52" s="474">
        <v>4</v>
      </c>
      <c r="J52" s="475">
        <v>8</v>
      </c>
      <c r="K52" s="476">
        <v>4.0999999999999996</v>
      </c>
      <c r="L52"/>
      <c r="M52" s="463" t="s">
        <v>825</v>
      </c>
      <c r="N52" s="464">
        <v>140</v>
      </c>
      <c r="O52" s="464">
        <v>160</v>
      </c>
      <c r="P52" s="464">
        <v>184</v>
      </c>
      <c r="Q52" s="464">
        <v>211</v>
      </c>
      <c r="R52" s="465">
        <v>172</v>
      </c>
      <c r="S52" s="465">
        <v>242</v>
      </c>
      <c r="T52" s="465">
        <v>307</v>
      </c>
      <c r="U52" s="465">
        <v>344</v>
      </c>
      <c r="V52" s="466">
        <v>5</v>
      </c>
      <c r="W52" s="467">
        <v>13</v>
      </c>
      <c r="X52" s="468">
        <v>2.9</v>
      </c>
      <c r="Y52" s="469">
        <v>5.0999999999999996</v>
      </c>
    </row>
    <row r="53" spans="1:25" x14ac:dyDescent="0.3">
      <c r="A53" s="448" t="s">
        <v>826</v>
      </c>
      <c r="B53" s="449">
        <v>2450</v>
      </c>
      <c r="C53" s="449">
        <v>2991</v>
      </c>
      <c r="D53" s="449">
        <v>3047</v>
      </c>
      <c r="E53" s="449">
        <v>3276</v>
      </c>
      <c r="F53" s="449">
        <v>3439</v>
      </c>
      <c r="G53" s="449">
        <v>3602</v>
      </c>
      <c r="H53" s="449">
        <v>3759</v>
      </c>
      <c r="I53" s="450">
        <v>100</v>
      </c>
      <c r="J53" s="450">
        <v>100</v>
      </c>
      <c r="K53" s="478">
        <v>0.9</v>
      </c>
      <c r="L53"/>
      <c r="M53" s="479" t="s">
        <v>826</v>
      </c>
      <c r="N53" s="480">
        <v>3374</v>
      </c>
      <c r="O53" s="480">
        <v>3605</v>
      </c>
      <c r="P53" s="480">
        <v>3835</v>
      </c>
      <c r="Q53" s="480">
        <v>4053</v>
      </c>
      <c r="R53" s="480">
        <v>2905</v>
      </c>
      <c r="S53" s="480">
        <v>2755</v>
      </c>
      <c r="T53" s="480">
        <v>2802</v>
      </c>
      <c r="U53" s="480">
        <v>2860</v>
      </c>
      <c r="V53" s="481">
        <v>100</v>
      </c>
      <c r="W53" s="481">
        <v>100</v>
      </c>
      <c r="X53" s="482">
        <v>1.2</v>
      </c>
      <c r="Y53" s="483">
        <v>-0.3</v>
      </c>
    </row>
    <row r="54" spans="1:25" x14ac:dyDescent="0.3">
      <c r="A54" s="457" t="s">
        <v>254</v>
      </c>
      <c r="B54" s="458">
        <v>109</v>
      </c>
      <c r="C54" s="458">
        <v>130</v>
      </c>
      <c r="D54" s="470">
        <v>127</v>
      </c>
      <c r="E54" s="458">
        <v>86</v>
      </c>
      <c r="F54" s="458">
        <v>65</v>
      </c>
      <c r="G54" s="458">
        <v>44</v>
      </c>
      <c r="H54" s="458">
        <v>31</v>
      </c>
      <c r="I54" s="460">
        <v>4</v>
      </c>
      <c r="J54" s="461">
        <v>1</v>
      </c>
      <c r="K54" s="462">
        <v>-5.9</v>
      </c>
      <c r="L54"/>
      <c r="M54" s="463" t="s">
        <v>254</v>
      </c>
      <c r="N54" s="464">
        <v>109</v>
      </c>
      <c r="O54" s="464">
        <v>96</v>
      </c>
      <c r="P54" s="464">
        <v>83</v>
      </c>
      <c r="Q54" s="464">
        <v>74</v>
      </c>
      <c r="R54" s="465">
        <v>81</v>
      </c>
      <c r="S54" s="465">
        <v>55</v>
      </c>
      <c r="T54" s="465">
        <v>29</v>
      </c>
      <c r="U54" s="465">
        <v>13</v>
      </c>
      <c r="V54" s="466">
        <v>2</v>
      </c>
      <c r="W54" s="467">
        <v>0</v>
      </c>
      <c r="X54" s="468">
        <v>-2.2999999999999998</v>
      </c>
      <c r="Y54" s="469">
        <v>-9.3000000000000007</v>
      </c>
    </row>
    <row r="55" spans="1:25" x14ac:dyDescent="0.3">
      <c r="A55" s="457" t="s">
        <v>266</v>
      </c>
      <c r="B55" s="458">
        <v>346</v>
      </c>
      <c r="C55" s="458">
        <v>315</v>
      </c>
      <c r="D55" s="470">
        <v>319</v>
      </c>
      <c r="E55" s="458">
        <v>293</v>
      </c>
      <c r="F55" s="458">
        <v>277</v>
      </c>
      <c r="G55" s="458">
        <v>263</v>
      </c>
      <c r="H55" s="458">
        <v>257</v>
      </c>
      <c r="I55" s="460">
        <v>10</v>
      </c>
      <c r="J55" s="461">
        <v>7</v>
      </c>
      <c r="K55" s="462">
        <v>-0.9</v>
      </c>
      <c r="L55"/>
      <c r="M55" s="463" t="s">
        <v>266</v>
      </c>
      <c r="N55" s="464">
        <v>315</v>
      </c>
      <c r="O55" s="464">
        <v>313</v>
      </c>
      <c r="P55" s="464">
        <v>310</v>
      </c>
      <c r="Q55" s="464">
        <v>311</v>
      </c>
      <c r="R55" s="465">
        <v>280</v>
      </c>
      <c r="S55" s="465">
        <v>252</v>
      </c>
      <c r="T55" s="465">
        <v>221</v>
      </c>
      <c r="U55" s="465">
        <v>201</v>
      </c>
      <c r="V55" s="466">
        <v>8</v>
      </c>
      <c r="W55" s="467">
        <v>7</v>
      </c>
      <c r="X55" s="468">
        <v>-0.1</v>
      </c>
      <c r="Y55" s="469">
        <v>-2</v>
      </c>
    </row>
    <row r="56" spans="1:25" x14ac:dyDescent="0.3">
      <c r="A56" s="457" t="s">
        <v>255</v>
      </c>
      <c r="B56" s="458">
        <v>535</v>
      </c>
      <c r="C56" s="458">
        <v>644</v>
      </c>
      <c r="D56" s="470">
        <v>665</v>
      </c>
      <c r="E56" s="458">
        <v>735</v>
      </c>
      <c r="F56" s="458">
        <v>780</v>
      </c>
      <c r="G56" s="458">
        <v>820</v>
      </c>
      <c r="H56" s="458">
        <v>840</v>
      </c>
      <c r="I56" s="460">
        <v>22</v>
      </c>
      <c r="J56" s="461">
        <v>22</v>
      </c>
      <c r="K56" s="462">
        <v>1</v>
      </c>
      <c r="L56"/>
      <c r="M56" s="463" t="s">
        <v>255</v>
      </c>
      <c r="N56" s="464">
        <v>761</v>
      </c>
      <c r="O56" s="464">
        <v>829</v>
      </c>
      <c r="P56" s="464">
        <v>894</v>
      </c>
      <c r="Q56" s="464">
        <v>939</v>
      </c>
      <c r="R56" s="465">
        <v>696</v>
      </c>
      <c r="S56" s="465">
        <v>703</v>
      </c>
      <c r="T56" s="465">
        <v>691</v>
      </c>
      <c r="U56" s="465">
        <v>672</v>
      </c>
      <c r="V56" s="466">
        <v>23</v>
      </c>
      <c r="W56" s="467">
        <v>23</v>
      </c>
      <c r="X56" s="468">
        <v>1.5</v>
      </c>
      <c r="Y56" s="469">
        <v>0</v>
      </c>
    </row>
    <row r="57" spans="1:25" x14ac:dyDescent="0.3">
      <c r="A57" s="457" t="s">
        <v>341</v>
      </c>
      <c r="B57" s="458">
        <v>579</v>
      </c>
      <c r="C57" s="458">
        <v>957</v>
      </c>
      <c r="D57" s="470">
        <v>982</v>
      </c>
      <c r="E57" s="458">
        <v>1156</v>
      </c>
      <c r="F57" s="458">
        <v>1296</v>
      </c>
      <c r="G57" s="458">
        <v>1445</v>
      </c>
      <c r="H57" s="458">
        <v>1602</v>
      </c>
      <c r="I57" s="460">
        <v>32</v>
      </c>
      <c r="J57" s="461">
        <v>43</v>
      </c>
      <c r="K57" s="462">
        <v>2.2000000000000002</v>
      </c>
      <c r="L57"/>
      <c r="M57" s="463" t="s">
        <v>341</v>
      </c>
      <c r="N57" s="464">
        <v>1190</v>
      </c>
      <c r="O57" s="464">
        <v>1358</v>
      </c>
      <c r="P57" s="464">
        <v>1536</v>
      </c>
      <c r="Q57" s="464">
        <v>1724</v>
      </c>
      <c r="R57" s="465">
        <v>1101</v>
      </c>
      <c r="S57" s="465">
        <v>1205</v>
      </c>
      <c r="T57" s="465">
        <v>1305</v>
      </c>
      <c r="U57" s="465">
        <v>1405</v>
      </c>
      <c r="V57" s="466">
        <v>43</v>
      </c>
      <c r="W57" s="467">
        <v>49</v>
      </c>
      <c r="X57" s="468">
        <v>2.5</v>
      </c>
      <c r="Y57" s="469">
        <v>1.6</v>
      </c>
    </row>
    <row r="58" spans="1:25" x14ac:dyDescent="0.3">
      <c r="A58" s="457" t="s">
        <v>694</v>
      </c>
      <c r="B58" s="458">
        <v>143</v>
      </c>
      <c r="C58" s="458">
        <v>144</v>
      </c>
      <c r="D58" s="470">
        <v>145</v>
      </c>
      <c r="E58" s="458">
        <v>149</v>
      </c>
      <c r="F58" s="458">
        <v>152</v>
      </c>
      <c r="G58" s="458">
        <v>154</v>
      </c>
      <c r="H58" s="458">
        <v>156</v>
      </c>
      <c r="I58" s="460">
        <v>5</v>
      </c>
      <c r="J58" s="461">
        <v>4</v>
      </c>
      <c r="K58" s="462">
        <v>0.3</v>
      </c>
      <c r="L58"/>
      <c r="M58" s="463" t="s">
        <v>694</v>
      </c>
      <c r="N58" s="464">
        <v>152</v>
      </c>
      <c r="O58" s="464">
        <v>157</v>
      </c>
      <c r="P58" s="464">
        <v>161</v>
      </c>
      <c r="Q58" s="464">
        <v>165</v>
      </c>
      <c r="R58" s="465">
        <v>143</v>
      </c>
      <c r="S58" s="465">
        <v>141</v>
      </c>
      <c r="T58" s="465">
        <v>137</v>
      </c>
      <c r="U58" s="465">
        <v>134</v>
      </c>
      <c r="V58" s="466">
        <v>4</v>
      </c>
      <c r="W58" s="467">
        <v>5</v>
      </c>
      <c r="X58" s="468">
        <v>0.5</v>
      </c>
      <c r="Y58" s="469">
        <v>-0.4</v>
      </c>
    </row>
    <row r="59" spans="1:25" x14ac:dyDescent="0.3">
      <c r="A59" s="457" t="s">
        <v>503</v>
      </c>
      <c r="B59" s="458">
        <v>731</v>
      </c>
      <c r="C59" s="458">
        <v>761</v>
      </c>
      <c r="D59" s="470">
        <v>766</v>
      </c>
      <c r="E59" s="458">
        <v>786</v>
      </c>
      <c r="F59" s="458">
        <v>777</v>
      </c>
      <c r="G59" s="458">
        <v>761</v>
      </c>
      <c r="H59" s="458">
        <v>734</v>
      </c>
      <c r="I59" s="460">
        <v>25</v>
      </c>
      <c r="J59" s="461">
        <v>20</v>
      </c>
      <c r="K59" s="462">
        <v>-0.2</v>
      </c>
      <c r="L59"/>
      <c r="M59" s="463" t="s">
        <v>503</v>
      </c>
      <c r="N59" s="464">
        <v>784</v>
      </c>
      <c r="O59" s="464">
        <v>773</v>
      </c>
      <c r="P59" s="464">
        <v>756</v>
      </c>
      <c r="Q59" s="464">
        <v>728</v>
      </c>
      <c r="R59" s="465">
        <v>515</v>
      </c>
      <c r="S59" s="465">
        <v>270</v>
      </c>
      <c r="T59" s="465">
        <v>243</v>
      </c>
      <c r="U59" s="465">
        <v>213</v>
      </c>
      <c r="V59" s="466">
        <v>18</v>
      </c>
      <c r="W59" s="467">
        <v>7</v>
      </c>
      <c r="X59" s="468">
        <v>-0.2</v>
      </c>
      <c r="Y59" s="469">
        <v>-5.4</v>
      </c>
    </row>
    <row r="60" spans="1:25" x14ac:dyDescent="0.3">
      <c r="A60" s="501" t="s">
        <v>827</v>
      </c>
      <c r="B60" s="496">
        <v>646</v>
      </c>
      <c r="C60" s="496">
        <v>655</v>
      </c>
      <c r="D60" s="497">
        <v>658</v>
      </c>
      <c r="E60" s="496">
        <v>666</v>
      </c>
      <c r="F60" s="496">
        <v>649</v>
      </c>
      <c r="G60" s="496">
        <v>624</v>
      </c>
      <c r="H60" s="496">
        <v>591</v>
      </c>
      <c r="I60" s="498">
        <v>22</v>
      </c>
      <c r="J60" s="499">
        <v>16</v>
      </c>
      <c r="K60" s="500">
        <v>-0.5</v>
      </c>
      <c r="L60"/>
      <c r="M60" s="501" t="s">
        <v>827</v>
      </c>
      <c r="N60" s="489">
        <v>666</v>
      </c>
      <c r="O60" s="489">
        <v>649</v>
      </c>
      <c r="P60" s="489">
        <v>624</v>
      </c>
      <c r="Q60" s="489">
        <v>591</v>
      </c>
      <c r="R60" s="490">
        <v>396</v>
      </c>
      <c r="S60" s="490">
        <v>144</v>
      </c>
      <c r="T60" s="490">
        <v>112</v>
      </c>
      <c r="U60" s="490">
        <v>77</v>
      </c>
      <c r="V60" s="491">
        <v>15</v>
      </c>
      <c r="W60" s="492">
        <v>3</v>
      </c>
      <c r="X60" s="493">
        <v>-0.5</v>
      </c>
      <c r="Y60" s="494">
        <v>-8.9</v>
      </c>
    </row>
    <row r="61" spans="1:25" x14ac:dyDescent="0.3">
      <c r="A61" s="502" t="s">
        <v>461</v>
      </c>
      <c r="B61" s="503">
        <v>8</v>
      </c>
      <c r="C61" s="503">
        <v>41</v>
      </c>
      <c r="D61" s="504">
        <v>44</v>
      </c>
      <c r="E61" s="503">
        <v>71</v>
      </c>
      <c r="F61" s="503">
        <v>93</v>
      </c>
      <c r="G61" s="503">
        <v>115</v>
      </c>
      <c r="H61" s="503">
        <v>137</v>
      </c>
      <c r="I61" s="505">
        <v>1</v>
      </c>
      <c r="J61" s="506">
        <v>4</v>
      </c>
      <c r="K61" s="507">
        <v>5.0999999999999996</v>
      </c>
      <c r="L61"/>
      <c r="M61" s="463" t="s">
        <v>461</v>
      </c>
      <c r="N61" s="464">
        <v>64</v>
      </c>
      <c r="O61" s="464">
        <v>79</v>
      </c>
      <c r="P61" s="464">
        <v>96</v>
      </c>
      <c r="Q61" s="464">
        <v>113</v>
      </c>
      <c r="R61" s="465">
        <v>90</v>
      </c>
      <c r="S61" s="465">
        <v>131</v>
      </c>
      <c r="T61" s="465">
        <v>176</v>
      </c>
      <c r="U61" s="465">
        <v>222</v>
      </c>
      <c r="V61" s="466">
        <v>3</v>
      </c>
      <c r="W61" s="467">
        <v>8</v>
      </c>
      <c r="X61" s="468">
        <v>4.2</v>
      </c>
      <c r="Y61" s="469">
        <v>7.3</v>
      </c>
    </row>
    <row r="62" spans="1:25" x14ac:dyDescent="0.3">
      <c r="A62" s="508" t="s">
        <v>258</v>
      </c>
      <c r="B62" s="509">
        <v>765</v>
      </c>
      <c r="C62" s="509">
        <v>973</v>
      </c>
      <c r="D62" s="509">
        <v>999</v>
      </c>
      <c r="E62" s="509">
        <v>1187</v>
      </c>
      <c r="F62" s="509">
        <v>1260</v>
      </c>
      <c r="G62" s="509">
        <v>1320</v>
      </c>
      <c r="H62" s="509">
        <v>1373</v>
      </c>
      <c r="I62" s="510">
        <v>100</v>
      </c>
      <c r="J62" s="511">
        <v>100</v>
      </c>
      <c r="K62" s="512">
        <v>1.4</v>
      </c>
      <c r="L62"/>
      <c r="M62" s="513" t="s">
        <v>258</v>
      </c>
      <c r="N62" s="514">
        <v>1192</v>
      </c>
      <c r="O62" s="514">
        <v>1273</v>
      </c>
      <c r="P62" s="514">
        <v>1343</v>
      </c>
      <c r="Q62" s="514">
        <v>1408</v>
      </c>
      <c r="R62" s="514">
        <v>1155</v>
      </c>
      <c r="S62" s="514">
        <v>1201</v>
      </c>
      <c r="T62" s="514">
        <v>1234</v>
      </c>
      <c r="U62" s="514">
        <v>1261</v>
      </c>
      <c r="V62" s="515">
        <v>100</v>
      </c>
      <c r="W62" s="515">
        <v>100</v>
      </c>
      <c r="X62" s="516">
        <v>1.5</v>
      </c>
      <c r="Y62" s="517">
        <v>1</v>
      </c>
    </row>
    <row r="63" spans="1:25" x14ac:dyDescent="0.3">
      <c r="A63" s="501" t="s">
        <v>828</v>
      </c>
      <c r="B63" s="496">
        <v>439</v>
      </c>
      <c r="C63" s="496">
        <v>509</v>
      </c>
      <c r="D63" s="497">
        <v>535</v>
      </c>
      <c r="E63" s="496">
        <v>667</v>
      </c>
      <c r="F63" s="496">
        <v>720</v>
      </c>
      <c r="G63" s="496">
        <v>767</v>
      </c>
      <c r="H63" s="496">
        <v>813</v>
      </c>
      <c r="I63" s="498">
        <v>54</v>
      </c>
      <c r="J63" s="499">
        <v>59</v>
      </c>
      <c r="K63" s="500">
        <v>1.8</v>
      </c>
      <c r="L63"/>
      <c r="M63" s="501" t="s">
        <v>828</v>
      </c>
      <c r="N63" s="489">
        <v>667</v>
      </c>
      <c r="O63" s="489">
        <v>721</v>
      </c>
      <c r="P63" s="489">
        <v>771</v>
      </c>
      <c r="Q63" s="489">
        <v>822</v>
      </c>
      <c r="R63" s="490">
        <v>648</v>
      </c>
      <c r="S63" s="490">
        <v>686</v>
      </c>
      <c r="T63" s="490">
        <v>718</v>
      </c>
      <c r="U63" s="490">
        <v>751</v>
      </c>
      <c r="V63" s="491">
        <v>58</v>
      </c>
      <c r="W63" s="492">
        <v>60</v>
      </c>
      <c r="X63" s="493">
        <v>1.9</v>
      </c>
      <c r="Y63" s="494">
        <v>1.5</v>
      </c>
    </row>
    <row r="64" spans="1:25" x14ac:dyDescent="0.3">
      <c r="A64" s="255" t="s">
        <v>657</v>
      </c>
      <c r="B64" s="149"/>
      <c r="C64" s="149"/>
      <c r="D64" s="149"/>
      <c r="E64" s="149"/>
      <c r="F64" s="149"/>
      <c r="G64" s="149"/>
      <c r="H64" s="149"/>
      <c r="I64" s="149"/>
      <c r="J64" s="149"/>
      <c r="K64" s="257" t="s">
        <v>658</v>
      </c>
      <c r="L64" s="256"/>
      <c r="M64" s="255" t="s">
        <v>657</v>
      </c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257" t="s">
        <v>658</v>
      </c>
    </row>
  </sheetData>
  <mergeCells count="4">
    <mergeCell ref="A8:K8"/>
    <mergeCell ref="M8:Y8"/>
    <mergeCell ref="X10:Y10"/>
    <mergeCell ref="V11:W11"/>
  </mergeCells>
  <conditionalFormatting sqref="A1:XFD7">
    <cfRule type="expression" dxfId="31" priority="1">
      <formula>_xlfn.ISFORMULA(A1)</formula>
    </cfRule>
  </conditionalFormatting>
  <hyperlinks>
    <hyperlink ref="B3" r:id="rId1" xr:uid="{67580238-B624-407C-B532-6CCA690D9F6A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45EBB-F356-4405-8B46-4DA130CDF00B}">
  <sheetPr>
    <tabColor theme="7" tint="0.39997558519241921"/>
  </sheetPr>
  <dimension ref="A1:W6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3" s="1" customFormat="1" ht="49.5" customHeight="1" x14ac:dyDescent="0.3">
      <c r="A1" s="1" t="s">
        <v>829</v>
      </c>
    </row>
    <row r="2" spans="1:23" s="2" customFormat="1" x14ac:dyDescent="0.3">
      <c r="A2" s="2" t="s">
        <v>1</v>
      </c>
      <c r="B2" s="2" t="s">
        <v>660</v>
      </c>
    </row>
    <row r="3" spans="1:23" s="2" customFormat="1" x14ac:dyDescent="0.3">
      <c r="A3" s="2" t="s">
        <v>3</v>
      </c>
      <c r="B3" s="6" t="s">
        <v>661</v>
      </c>
    </row>
    <row r="4" spans="1:23" s="2" customFormat="1" x14ac:dyDescent="0.3">
      <c r="A4" s="2" t="s">
        <v>7</v>
      </c>
      <c r="B4" s="7">
        <v>43136</v>
      </c>
    </row>
    <row r="5" spans="1:23" s="2" customFormat="1" x14ac:dyDescent="0.3">
      <c r="A5" s="2" t="s">
        <v>2</v>
      </c>
      <c r="B5" s="2" t="s">
        <v>577</v>
      </c>
    </row>
    <row r="6" spans="1:23" s="2" customFormat="1" x14ac:dyDescent="0.3">
      <c r="A6" s="2" t="s">
        <v>4</v>
      </c>
      <c r="B6" s="2" t="s">
        <v>810</v>
      </c>
    </row>
    <row r="8" spans="1:23" ht="23.4" x14ac:dyDescent="0.3">
      <c r="A8" s="518" t="s">
        <v>811</v>
      </c>
      <c r="B8" s="518"/>
      <c r="C8" s="518"/>
      <c r="D8" s="518"/>
      <c r="E8" s="518"/>
      <c r="F8" s="518"/>
      <c r="G8" s="518"/>
      <c r="H8" s="518"/>
      <c r="I8" s="518"/>
      <c r="J8" s="518"/>
      <c r="K8" s="518"/>
      <c r="L8" s="519"/>
      <c r="M8" s="518" t="s">
        <v>830</v>
      </c>
      <c r="N8" s="518"/>
      <c r="O8" s="518"/>
      <c r="P8" s="518"/>
      <c r="Q8" s="518"/>
      <c r="R8" s="518"/>
      <c r="S8" s="518"/>
      <c r="T8" s="518"/>
      <c r="U8" s="518"/>
      <c r="V8" s="518"/>
      <c r="W8" s="518"/>
    </row>
    <row r="9" spans="1:23" ht="15" thickBot="1" x14ac:dyDescent="0.35">
      <c r="A9"/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1"/>
      <c r="M9" s="522"/>
      <c r="N9" s="522"/>
      <c r="O9" s="522"/>
      <c r="P9" s="522"/>
      <c r="Q9" s="522"/>
      <c r="R9" s="522"/>
      <c r="S9" s="522"/>
      <c r="T9" s="522"/>
      <c r="U9" s="522"/>
      <c r="V9" s="522"/>
      <c r="W9" s="522"/>
    </row>
    <row r="10" spans="1:23" x14ac:dyDescent="0.3">
      <c r="A10" s="523"/>
      <c r="B10" s="524" t="s">
        <v>813</v>
      </c>
      <c r="C10" s="524"/>
      <c r="D10" s="525"/>
      <c r="E10" s="525"/>
      <c r="F10" s="525"/>
      <c r="G10" s="525"/>
      <c r="H10" s="525"/>
      <c r="I10" s="524" t="s">
        <v>814</v>
      </c>
      <c r="J10" s="526"/>
      <c r="K10" s="527" t="s">
        <v>815</v>
      </c>
      <c r="L10" s="521"/>
      <c r="M10" s="528"/>
      <c r="N10" s="529" t="s">
        <v>813</v>
      </c>
      <c r="O10" s="529"/>
      <c r="P10" s="529"/>
      <c r="Q10" s="529"/>
      <c r="R10" s="529"/>
      <c r="S10" s="529"/>
      <c r="T10" s="529" t="s">
        <v>814</v>
      </c>
      <c r="U10" s="530"/>
      <c r="V10" s="817" t="s">
        <v>815</v>
      </c>
      <c r="W10" s="817"/>
    </row>
    <row r="11" spans="1:23" x14ac:dyDescent="0.3">
      <c r="A11" s="531"/>
      <c r="B11" s="532">
        <v>1990</v>
      </c>
      <c r="C11" s="532">
        <v>2014</v>
      </c>
      <c r="D11" s="532">
        <v>2020</v>
      </c>
      <c r="E11" s="532">
        <v>2025</v>
      </c>
      <c r="F11" s="532">
        <v>2030</v>
      </c>
      <c r="G11" s="532">
        <v>2035</v>
      </c>
      <c r="H11" s="532">
        <v>2040</v>
      </c>
      <c r="I11" s="533">
        <v>2014</v>
      </c>
      <c r="J11" s="533">
        <v>2040</v>
      </c>
      <c r="K11" s="534" t="s">
        <v>831</v>
      </c>
      <c r="L11" s="521"/>
      <c r="M11" s="528"/>
      <c r="N11" s="535">
        <v>2020</v>
      </c>
      <c r="O11" s="535">
        <v>2030</v>
      </c>
      <c r="P11" s="535">
        <v>2040</v>
      </c>
      <c r="Q11" s="535">
        <v>2020</v>
      </c>
      <c r="R11" s="535">
        <v>2030</v>
      </c>
      <c r="S11" s="535">
        <v>2040</v>
      </c>
      <c r="T11" s="817">
        <v>2040</v>
      </c>
      <c r="U11" s="817"/>
      <c r="V11" s="529" t="s">
        <v>831</v>
      </c>
      <c r="W11" s="529"/>
    </row>
    <row r="12" spans="1:23" x14ac:dyDescent="0.3">
      <c r="A12" s="536"/>
      <c r="B12" s="537" t="s">
        <v>579</v>
      </c>
      <c r="C12" s="537"/>
      <c r="D12" s="537"/>
      <c r="E12" s="537"/>
      <c r="F12" s="537"/>
      <c r="G12" s="537"/>
      <c r="H12" s="537"/>
      <c r="I12" s="538" t="s">
        <v>585</v>
      </c>
      <c r="J12" s="538" t="s">
        <v>585</v>
      </c>
      <c r="K12" s="538" t="s">
        <v>585</v>
      </c>
      <c r="L12" s="521"/>
      <c r="M12" s="539"/>
      <c r="N12" s="540" t="s">
        <v>664</v>
      </c>
      <c r="O12" s="540"/>
      <c r="P12" s="540"/>
      <c r="Q12" s="540" t="s">
        <v>665</v>
      </c>
      <c r="R12" s="540"/>
      <c r="S12" s="540"/>
      <c r="T12" s="541" t="s">
        <v>588</v>
      </c>
      <c r="U12" s="542" t="s">
        <v>666</v>
      </c>
      <c r="V12" s="543" t="s">
        <v>590</v>
      </c>
      <c r="W12" s="543">
        <v>450</v>
      </c>
    </row>
    <row r="13" spans="1:23" x14ac:dyDescent="0.3">
      <c r="A13" s="544" t="s">
        <v>819</v>
      </c>
      <c r="B13" s="545">
        <v>8774.0179000000007</v>
      </c>
      <c r="C13" s="545">
        <v>13684.082</v>
      </c>
      <c r="D13" s="545">
        <v>14575.6597</v>
      </c>
      <c r="E13" s="545">
        <v>15340.372799999999</v>
      </c>
      <c r="F13" s="545">
        <v>16185.0191</v>
      </c>
      <c r="G13" s="545">
        <v>17056.8884</v>
      </c>
      <c r="H13" s="545">
        <v>17865.526300000001</v>
      </c>
      <c r="I13" s="450">
        <v>100.00000073077609</v>
      </c>
      <c r="J13" s="451">
        <v>99.999999440262783</v>
      </c>
      <c r="K13" s="546">
        <v>1.0308139306518749</v>
      </c>
      <c r="L13" s="521"/>
      <c r="M13" s="547" t="s">
        <v>819</v>
      </c>
      <c r="N13" s="548">
        <v>14818.8693</v>
      </c>
      <c r="O13" s="548">
        <v>17183.450400000002</v>
      </c>
      <c r="P13" s="548">
        <v>19636.4558</v>
      </c>
      <c r="Q13" s="548">
        <v>14204.066999999999</v>
      </c>
      <c r="R13" s="548">
        <v>14468.444799999999</v>
      </c>
      <c r="S13" s="548">
        <v>14878.493</v>
      </c>
      <c r="T13" s="455">
        <v>100</v>
      </c>
      <c r="U13" s="455">
        <v>100</v>
      </c>
      <c r="V13" s="456">
        <v>1.399</v>
      </c>
      <c r="W13" s="456">
        <v>0.32200000000000001</v>
      </c>
    </row>
    <row r="14" spans="1:23" x14ac:dyDescent="0.3">
      <c r="A14" s="549" t="s">
        <v>254</v>
      </c>
      <c r="B14" s="550">
        <v>2220.3042999999998</v>
      </c>
      <c r="C14" s="550">
        <v>3926.1963000000001</v>
      </c>
      <c r="D14" s="550">
        <v>3905.6833999999999</v>
      </c>
      <c r="E14" s="550">
        <v>3955.1995999999999</v>
      </c>
      <c r="F14" s="550">
        <v>4039.4018999999998</v>
      </c>
      <c r="G14" s="550">
        <v>4100.5577999999996</v>
      </c>
      <c r="H14" s="550">
        <v>4140.2025999999996</v>
      </c>
      <c r="I14" s="460">
        <v>28.69170398131201</v>
      </c>
      <c r="J14" s="461">
        <v>23.17425487767466</v>
      </c>
      <c r="K14" s="462">
        <v>0.20433782898601205</v>
      </c>
      <c r="L14" s="521"/>
      <c r="M14" s="551" t="s">
        <v>254</v>
      </c>
      <c r="N14" s="552">
        <v>4051.415</v>
      </c>
      <c r="O14" s="552">
        <v>4709.9769999999999</v>
      </c>
      <c r="P14" s="552">
        <v>5326.8779000000004</v>
      </c>
      <c r="Q14" s="553">
        <v>3622.1583000000001</v>
      </c>
      <c r="R14" s="553">
        <v>2650.1262000000002</v>
      </c>
      <c r="S14" s="553">
        <v>2000.4662000000001</v>
      </c>
      <c r="T14" s="466">
        <v>27.127491611800949</v>
      </c>
      <c r="U14" s="467">
        <v>13.445354983196214</v>
      </c>
      <c r="V14" s="468">
        <v>1.18</v>
      </c>
      <c r="W14" s="469">
        <v>-2.56</v>
      </c>
    </row>
    <row r="15" spans="1:23" x14ac:dyDescent="0.3">
      <c r="A15" s="549" t="s">
        <v>266</v>
      </c>
      <c r="B15" s="550">
        <v>3237.123</v>
      </c>
      <c r="C15" s="550">
        <v>4265.8314</v>
      </c>
      <c r="D15" s="550">
        <v>4473.9102000000003</v>
      </c>
      <c r="E15" s="550">
        <v>4576.7156999999997</v>
      </c>
      <c r="F15" s="550">
        <v>4630.4312</v>
      </c>
      <c r="G15" s="550">
        <v>4708.0735000000004</v>
      </c>
      <c r="H15" s="550">
        <v>4775.3508000000002</v>
      </c>
      <c r="I15" s="460">
        <v>31.173676100450145</v>
      </c>
      <c r="J15" s="461">
        <v>26.729415746347197</v>
      </c>
      <c r="K15" s="462">
        <v>0.43490582745995265</v>
      </c>
      <c r="L15" s="521"/>
      <c r="M15" s="551" t="s">
        <v>266</v>
      </c>
      <c r="N15" s="552">
        <v>4547.7790999999997</v>
      </c>
      <c r="O15" s="552">
        <v>4959.8225000000002</v>
      </c>
      <c r="P15" s="552">
        <v>5402.0628999999999</v>
      </c>
      <c r="Q15" s="553">
        <v>4344.5429000000004</v>
      </c>
      <c r="R15" s="553">
        <v>3882.9285</v>
      </c>
      <c r="S15" s="553">
        <v>3326.0486999999998</v>
      </c>
      <c r="T15" s="466">
        <v>27.510376388798225</v>
      </c>
      <c r="U15" s="467">
        <v>22.354741841125978</v>
      </c>
      <c r="V15" s="468">
        <v>0.91200000000000003</v>
      </c>
      <c r="W15" s="469">
        <v>-0.95299999999999996</v>
      </c>
    </row>
    <row r="16" spans="1:23" x14ac:dyDescent="0.3">
      <c r="A16" s="549" t="s">
        <v>255</v>
      </c>
      <c r="B16" s="550">
        <v>1662.5287000000001</v>
      </c>
      <c r="C16" s="550">
        <v>2892.9857999999999</v>
      </c>
      <c r="D16" s="550">
        <v>3141.0435000000002</v>
      </c>
      <c r="E16" s="550">
        <v>3389.9207999999999</v>
      </c>
      <c r="F16" s="550">
        <v>3685.5189999999998</v>
      </c>
      <c r="G16" s="550">
        <v>4010.8231000000001</v>
      </c>
      <c r="H16" s="550">
        <v>4313.2340000000004</v>
      </c>
      <c r="I16" s="460">
        <v>21.141248642035322</v>
      </c>
      <c r="J16" s="461">
        <v>24.142776023340552</v>
      </c>
      <c r="K16" s="462">
        <v>1.5480088591284025</v>
      </c>
      <c r="L16" s="521"/>
      <c r="M16" s="551" t="s">
        <v>255</v>
      </c>
      <c r="N16" s="552">
        <v>3193.6091000000001</v>
      </c>
      <c r="O16" s="552">
        <v>3897.7941000000001</v>
      </c>
      <c r="P16" s="552">
        <v>4717.8624</v>
      </c>
      <c r="Q16" s="553">
        <v>3135.6714999999999</v>
      </c>
      <c r="R16" s="553">
        <v>3348.9760999999999</v>
      </c>
      <c r="S16" s="553">
        <v>3300.7307999999998</v>
      </c>
      <c r="T16" s="466">
        <v>24.026038344455213</v>
      </c>
      <c r="U16" s="467">
        <v>22.184577429985683</v>
      </c>
      <c r="V16" s="468">
        <v>1.899</v>
      </c>
      <c r="W16" s="469">
        <v>0.50800000000000001</v>
      </c>
    </row>
    <row r="17" spans="1:23" x14ac:dyDescent="0.3">
      <c r="A17" s="549" t="s">
        <v>257</v>
      </c>
      <c r="B17" s="550">
        <v>525.61419999999998</v>
      </c>
      <c r="C17" s="550">
        <v>662.35270000000003</v>
      </c>
      <c r="D17" s="550">
        <v>795.83169999999996</v>
      </c>
      <c r="E17" s="550">
        <v>887.68629999999996</v>
      </c>
      <c r="F17" s="550">
        <v>1002.7653</v>
      </c>
      <c r="G17" s="550">
        <v>1096.1166000000001</v>
      </c>
      <c r="H17" s="550">
        <v>1181.2505000000001</v>
      </c>
      <c r="I17" s="460">
        <v>4.8403151924988466</v>
      </c>
      <c r="J17" s="461">
        <v>6.6118986934070891</v>
      </c>
      <c r="K17" s="462">
        <v>2.2500585037950049</v>
      </c>
      <c r="L17" s="521"/>
      <c r="M17" s="551" t="s">
        <v>257</v>
      </c>
      <c r="N17" s="552">
        <v>792.74189999999999</v>
      </c>
      <c r="O17" s="552">
        <v>935.90049999999997</v>
      </c>
      <c r="P17" s="552">
        <v>1032.2701999999999</v>
      </c>
      <c r="Q17" s="553">
        <v>815.3691</v>
      </c>
      <c r="R17" s="553">
        <v>1233.7746999999999</v>
      </c>
      <c r="S17" s="553">
        <v>1590.0632000000001</v>
      </c>
      <c r="T17" s="466">
        <v>5.2569069006841858</v>
      </c>
      <c r="U17" s="467">
        <v>10.686990947268651</v>
      </c>
      <c r="V17" s="468">
        <v>1.7210000000000001</v>
      </c>
      <c r="W17" s="469">
        <v>3.4260000000000002</v>
      </c>
    </row>
    <row r="18" spans="1:23" x14ac:dyDescent="0.3">
      <c r="A18" s="549" t="s">
        <v>256</v>
      </c>
      <c r="B18" s="550">
        <v>184.25550000000001</v>
      </c>
      <c r="C18" s="550">
        <v>334.85239999999999</v>
      </c>
      <c r="D18" s="550">
        <v>377.23289999999997</v>
      </c>
      <c r="E18" s="550">
        <v>420.22669999999999</v>
      </c>
      <c r="F18" s="550">
        <v>462.82780000000002</v>
      </c>
      <c r="G18" s="550">
        <v>501.69979999999998</v>
      </c>
      <c r="H18" s="550">
        <v>535.75319999999999</v>
      </c>
      <c r="I18" s="460">
        <v>2.4470212908692011</v>
      </c>
      <c r="J18" s="461">
        <v>2.9988100602443488</v>
      </c>
      <c r="K18" s="462">
        <v>1.8240663996253126</v>
      </c>
      <c r="L18" s="521"/>
      <c r="M18" s="551" t="s">
        <v>256</v>
      </c>
      <c r="N18" s="552">
        <v>375.20429999999999</v>
      </c>
      <c r="O18" s="552">
        <v>449.90539999999999</v>
      </c>
      <c r="P18" s="552">
        <v>514.61450000000002</v>
      </c>
      <c r="Q18" s="553">
        <v>377.72219999999999</v>
      </c>
      <c r="R18" s="553">
        <v>486.32260000000002</v>
      </c>
      <c r="S18" s="553">
        <v>592.59320000000002</v>
      </c>
      <c r="T18" s="466">
        <v>2.6207096903912772</v>
      </c>
      <c r="U18" s="467">
        <v>3.9828845569238771</v>
      </c>
      <c r="V18" s="468">
        <v>1.667</v>
      </c>
      <c r="W18" s="469">
        <v>2.2200000000000002</v>
      </c>
    </row>
    <row r="19" spans="1:23" x14ac:dyDescent="0.3">
      <c r="A19" s="549" t="s">
        <v>503</v>
      </c>
      <c r="B19" s="550">
        <v>907.39160000000004</v>
      </c>
      <c r="C19" s="550">
        <v>1421.0109</v>
      </c>
      <c r="D19" s="550">
        <v>1543.1542999999999</v>
      </c>
      <c r="E19" s="550">
        <v>1632.5063</v>
      </c>
      <c r="F19" s="550">
        <v>1720.8915</v>
      </c>
      <c r="G19" s="550">
        <v>1804.2914000000001</v>
      </c>
      <c r="H19" s="550">
        <v>1883.1821</v>
      </c>
      <c r="I19" s="460">
        <v>10.384407956631653</v>
      </c>
      <c r="J19" s="461">
        <v>10.540871107726616</v>
      </c>
      <c r="K19" s="462">
        <v>1.0889417877057106</v>
      </c>
      <c r="L19" s="521"/>
      <c r="M19" s="551" t="s">
        <v>503</v>
      </c>
      <c r="N19" s="552">
        <v>1539.5800999999999</v>
      </c>
      <c r="O19" s="552">
        <v>1695.0886</v>
      </c>
      <c r="P19" s="552">
        <v>1834.0963999999999</v>
      </c>
      <c r="Q19" s="553">
        <v>1549.912</v>
      </c>
      <c r="R19" s="553">
        <v>1927.665</v>
      </c>
      <c r="S19" s="553">
        <v>2309.9413</v>
      </c>
      <c r="T19" s="466">
        <v>9.3402619020485353</v>
      </c>
      <c r="U19" s="467">
        <v>15.525371420344788</v>
      </c>
      <c r="V19" s="468">
        <v>0.98599999999999999</v>
      </c>
      <c r="W19" s="469">
        <v>1.8859999999999999</v>
      </c>
    </row>
    <row r="20" spans="1:23" x14ac:dyDescent="0.3">
      <c r="A20" s="554" t="s">
        <v>461</v>
      </c>
      <c r="B20" s="555">
        <v>36.800600000000003</v>
      </c>
      <c r="C20" s="555">
        <v>180.8526</v>
      </c>
      <c r="D20" s="555">
        <v>338.80360000000002</v>
      </c>
      <c r="E20" s="555">
        <v>478.11739999999998</v>
      </c>
      <c r="F20" s="555">
        <v>643.18259999999998</v>
      </c>
      <c r="G20" s="555">
        <v>835.32619999999997</v>
      </c>
      <c r="H20" s="555">
        <v>1036.5530000000001</v>
      </c>
      <c r="I20" s="474">
        <v>1.3216275669789175</v>
      </c>
      <c r="J20" s="475">
        <v>5.8019729315223145</v>
      </c>
      <c r="K20" s="476">
        <v>6.945891723380293</v>
      </c>
      <c r="L20" s="556"/>
      <c r="M20" s="551" t="s">
        <v>461</v>
      </c>
      <c r="N20" s="552">
        <v>318.53969999999998</v>
      </c>
      <c r="O20" s="552">
        <v>534.96230000000003</v>
      </c>
      <c r="P20" s="552">
        <v>808.67160000000001</v>
      </c>
      <c r="Q20" s="553">
        <v>358.6909</v>
      </c>
      <c r="R20" s="553">
        <v>938.65179999999998</v>
      </c>
      <c r="S20" s="553">
        <v>1758.6495</v>
      </c>
      <c r="T20" s="466">
        <v>4.1182156710784845</v>
      </c>
      <c r="U20" s="467">
        <v>11.820078149043724</v>
      </c>
      <c r="V20" s="468">
        <v>5.93</v>
      </c>
      <c r="W20" s="469">
        <v>9.1430000000000007</v>
      </c>
    </row>
    <row r="21" spans="1:23" x14ac:dyDescent="0.3">
      <c r="A21" s="557" t="s">
        <v>820</v>
      </c>
      <c r="B21" s="558">
        <v>2986.5873999999999</v>
      </c>
      <c r="C21" s="558">
        <v>5147.2614999999996</v>
      </c>
      <c r="D21" s="558">
        <v>5453.2610999999997</v>
      </c>
      <c r="E21" s="558">
        <v>5819.884</v>
      </c>
      <c r="F21" s="558">
        <v>6282.1293999999998</v>
      </c>
      <c r="G21" s="558">
        <v>6780.6192000000001</v>
      </c>
      <c r="H21" s="558">
        <v>7256.5510999999997</v>
      </c>
      <c r="I21" s="559">
        <v>99.999998057219358</v>
      </c>
      <c r="J21" s="560">
        <v>100.00000000000001</v>
      </c>
      <c r="K21" s="561">
        <v>1.3296851639521101</v>
      </c>
      <c r="L21" s="521"/>
      <c r="M21" s="562" t="s">
        <v>820</v>
      </c>
      <c r="N21" s="563">
        <v>5592.4712</v>
      </c>
      <c r="O21" s="563">
        <v>6795.8860000000004</v>
      </c>
      <c r="P21" s="563">
        <v>8097.5427</v>
      </c>
      <c r="Q21" s="563">
        <v>5239.4315999999999</v>
      </c>
      <c r="R21" s="563">
        <v>5444.5582999999997</v>
      </c>
      <c r="S21" s="563">
        <v>6037.6010999999999</v>
      </c>
      <c r="T21" s="481">
        <v>100</v>
      </c>
      <c r="U21" s="481">
        <v>100</v>
      </c>
      <c r="V21" s="482">
        <v>1.758</v>
      </c>
      <c r="W21" s="482">
        <v>0.61599999999999999</v>
      </c>
    </row>
    <row r="22" spans="1:23" x14ac:dyDescent="0.3">
      <c r="A22" s="549" t="s">
        <v>254</v>
      </c>
      <c r="B22" s="550">
        <v>1217.1031</v>
      </c>
      <c r="C22" s="550">
        <v>2408.114</v>
      </c>
      <c r="D22" s="550">
        <v>2344.1698999999999</v>
      </c>
      <c r="E22" s="550">
        <v>2361.1138999999998</v>
      </c>
      <c r="F22" s="550">
        <v>2403.9151000000002</v>
      </c>
      <c r="G22" s="550">
        <v>2440.7026999999998</v>
      </c>
      <c r="H22" s="550">
        <v>2468.6781999999998</v>
      </c>
      <c r="I22" s="460">
        <v>46.784372622218633</v>
      </c>
      <c r="J22" s="461">
        <v>34.019993327133051</v>
      </c>
      <c r="K22" s="462">
        <v>9.5580253382809843E-2</v>
      </c>
      <c r="L22" s="521"/>
      <c r="M22" s="551" t="s">
        <v>254</v>
      </c>
      <c r="N22" s="552">
        <v>2469.1244999999999</v>
      </c>
      <c r="O22" s="552">
        <v>2973.4555999999998</v>
      </c>
      <c r="P22" s="552">
        <v>3474.7091999999998</v>
      </c>
      <c r="Q22" s="553">
        <v>2093.6106</v>
      </c>
      <c r="R22" s="553">
        <v>1210.6748</v>
      </c>
      <c r="S22" s="553">
        <v>690.30349999999999</v>
      </c>
      <c r="T22" s="466">
        <v>42.910662267949505</v>
      </c>
      <c r="U22" s="467">
        <v>11.43340688738115</v>
      </c>
      <c r="V22" s="468">
        <v>1.42</v>
      </c>
      <c r="W22" s="469">
        <v>-4.6920000000000002</v>
      </c>
    </row>
    <row r="23" spans="1:23" x14ac:dyDescent="0.3">
      <c r="A23" s="549" t="s">
        <v>266</v>
      </c>
      <c r="B23" s="550">
        <v>385.44439999999997</v>
      </c>
      <c r="C23" s="550">
        <v>277.4991</v>
      </c>
      <c r="D23" s="550">
        <v>230.4393</v>
      </c>
      <c r="E23" s="550">
        <v>202.72300000000001</v>
      </c>
      <c r="F23" s="550">
        <v>175.16820000000001</v>
      </c>
      <c r="G23" s="550">
        <v>161.42590000000001</v>
      </c>
      <c r="H23" s="550">
        <v>151.7407</v>
      </c>
      <c r="I23" s="460">
        <v>5.3911987957091361</v>
      </c>
      <c r="J23" s="461">
        <v>2.0910856674047262</v>
      </c>
      <c r="K23" s="462">
        <v>-2.2949654887233217</v>
      </c>
      <c r="L23" s="521"/>
      <c r="M23" s="551" t="s">
        <v>266</v>
      </c>
      <c r="N23" s="552">
        <v>233.51009999999999</v>
      </c>
      <c r="O23" s="552">
        <v>181.59460000000001</v>
      </c>
      <c r="P23" s="552">
        <v>159.52029999999999</v>
      </c>
      <c r="Q23" s="553">
        <v>220.70849999999999</v>
      </c>
      <c r="R23" s="553">
        <v>116.4863</v>
      </c>
      <c r="S23" s="553">
        <v>64.758200000000002</v>
      </c>
      <c r="T23" s="466">
        <v>1.9699840545453373</v>
      </c>
      <c r="U23" s="467">
        <v>1.0725816251756015</v>
      </c>
      <c r="V23" s="468">
        <v>-2.1070000000000002</v>
      </c>
      <c r="W23" s="469">
        <v>-5.4429999999999996</v>
      </c>
    </row>
    <row r="24" spans="1:23" x14ac:dyDescent="0.3">
      <c r="A24" s="549" t="s">
        <v>255</v>
      </c>
      <c r="B24" s="550">
        <v>581.84939999999995</v>
      </c>
      <c r="C24" s="550">
        <v>1154.992</v>
      </c>
      <c r="D24" s="550">
        <v>1216.5074999999999</v>
      </c>
      <c r="E24" s="550">
        <v>1300.2284999999999</v>
      </c>
      <c r="F24" s="550">
        <v>1405.8269</v>
      </c>
      <c r="G24" s="550">
        <v>1536.5145</v>
      </c>
      <c r="H24" s="550">
        <v>1649.7444</v>
      </c>
      <c r="I24" s="460">
        <v>22.438960989256131</v>
      </c>
      <c r="J24" s="461">
        <v>22.734552231017847</v>
      </c>
      <c r="K24" s="462">
        <v>1.3807023545732822</v>
      </c>
      <c r="L24" s="521"/>
      <c r="M24" s="551" t="s">
        <v>255</v>
      </c>
      <c r="N24" s="552">
        <v>1251.066</v>
      </c>
      <c r="O24" s="552">
        <v>1533.7418</v>
      </c>
      <c r="P24" s="552">
        <v>1888.7625</v>
      </c>
      <c r="Q24" s="553">
        <v>1228.4105</v>
      </c>
      <c r="R24" s="553">
        <v>1258.528</v>
      </c>
      <c r="S24" s="553">
        <v>1062.2907</v>
      </c>
      <c r="T24" s="466">
        <v>23.325131709401177</v>
      </c>
      <c r="U24" s="467">
        <v>17.594582391340825</v>
      </c>
      <c r="V24" s="468">
        <v>1.91</v>
      </c>
      <c r="W24" s="469">
        <v>-0.32100000000000001</v>
      </c>
    </row>
    <row r="25" spans="1:23" x14ac:dyDescent="0.3">
      <c r="A25" s="549" t="s">
        <v>257</v>
      </c>
      <c r="B25" s="550">
        <v>525.61419999999998</v>
      </c>
      <c r="C25" s="550">
        <v>662.35270000000003</v>
      </c>
      <c r="D25" s="550">
        <v>795.83169999999996</v>
      </c>
      <c r="E25" s="550">
        <v>887.68629999999996</v>
      </c>
      <c r="F25" s="550">
        <v>1002.7653</v>
      </c>
      <c r="G25" s="550">
        <v>1096.1166000000001</v>
      </c>
      <c r="H25" s="550">
        <v>1181.2505000000001</v>
      </c>
      <c r="I25" s="460">
        <v>12.868060035418836</v>
      </c>
      <c r="J25" s="461">
        <v>16.278401181519968</v>
      </c>
      <c r="K25" s="462">
        <v>2.2500585037950049</v>
      </c>
      <c r="L25" s="521"/>
      <c r="M25" s="551" t="s">
        <v>257</v>
      </c>
      <c r="N25" s="552">
        <v>792.74189999999999</v>
      </c>
      <c r="O25" s="552">
        <v>935.90049999999997</v>
      </c>
      <c r="P25" s="552">
        <v>1032.2701999999999</v>
      </c>
      <c r="Q25" s="553">
        <v>815.3691</v>
      </c>
      <c r="R25" s="553">
        <v>1233.7746999999999</v>
      </c>
      <c r="S25" s="553">
        <v>1590.0632000000001</v>
      </c>
      <c r="T25" s="466">
        <v>12.747943891669753</v>
      </c>
      <c r="U25" s="467">
        <v>26.336009512122295</v>
      </c>
      <c r="V25" s="468">
        <v>1.7210000000000001</v>
      </c>
      <c r="W25" s="469">
        <v>3.4260000000000002</v>
      </c>
    </row>
    <row r="26" spans="1:23" x14ac:dyDescent="0.3">
      <c r="A26" s="549" t="s">
        <v>256</v>
      </c>
      <c r="B26" s="550">
        <v>184.25550000000001</v>
      </c>
      <c r="C26" s="550">
        <v>334.85239999999999</v>
      </c>
      <c r="D26" s="550">
        <v>377.23289999999997</v>
      </c>
      <c r="E26" s="550">
        <v>420.22669999999999</v>
      </c>
      <c r="F26" s="550">
        <v>462.82780000000002</v>
      </c>
      <c r="G26" s="550">
        <v>501.69979999999998</v>
      </c>
      <c r="H26" s="550">
        <v>535.75319999999999</v>
      </c>
      <c r="I26" s="460">
        <v>6.505447605488861</v>
      </c>
      <c r="J26" s="461">
        <v>7.3830280062383906</v>
      </c>
      <c r="K26" s="462">
        <v>1.8240663996253126</v>
      </c>
      <c r="L26" s="521"/>
      <c r="M26" s="551" t="s">
        <v>256</v>
      </c>
      <c r="N26" s="552">
        <v>375.20429999999999</v>
      </c>
      <c r="O26" s="552">
        <v>449.90539999999999</v>
      </c>
      <c r="P26" s="552">
        <v>514.61450000000002</v>
      </c>
      <c r="Q26" s="553">
        <v>377.72219999999999</v>
      </c>
      <c r="R26" s="553">
        <v>486.32260000000002</v>
      </c>
      <c r="S26" s="553">
        <v>592.59320000000002</v>
      </c>
      <c r="T26" s="466">
        <v>6.3551934094771738</v>
      </c>
      <c r="U26" s="467">
        <v>9.8150439253100039</v>
      </c>
      <c r="V26" s="468">
        <v>1.667</v>
      </c>
      <c r="W26" s="469">
        <v>2.2200000000000002</v>
      </c>
    </row>
    <row r="27" spans="1:23" x14ac:dyDescent="0.3">
      <c r="A27" s="549" t="s">
        <v>503</v>
      </c>
      <c r="B27" s="550">
        <v>59.152500000000003</v>
      </c>
      <c r="C27" s="550">
        <v>165.15100000000001</v>
      </c>
      <c r="D27" s="550">
        <v>207.93530000000001</v>
      </c>
      <c r="E27" s="550">
        <v>246.9042</v>
      </c>
      <c r="F27" s="550">
        <v>292.5573</v>
      </c>
      <c r="G27" s="550">
        <v>345.15109999999999</v>
      </c>
      <c r="H27" s="550">
        <v>401.85230000000001</v>
      </c>
      <c r="I27" s="460">
        <v>3.2085216575843298</v>
      </c>
      <c r="J27" s="461">
        <v>5.5377864010356115</v>
      </c>
      <c r="K27" s="462">
        <v>3.4792515504850519</v>
      </c>
      <c r="L27" s="521"/>
      <c r="M27" s="551" t="s">
        <v>503</v>
      </c>
      <c r="N27" s="552">
        <v>206.34829999999999</v>
      </c>
      <c r="O27" s="552">
        <v>272.24680000000001</v>
      </c>
      <c r="P27" s="552">
        <v>347.9563</v>
      </c>
      <c r="Q27" s="553">
        <v>208.53710000000001</v>
      </c>
      <c r="R27" s="553">
        <v>345.3349</v>
      </c>
      <c r="S27" s="553">
        <v>545.65880000000004</v>
      </c>
      <c r="T27" s="466">
        <v>4.2970603909257559</v>
      </c>
      <c r="U27" s="467">
        <v>9.0376755761489456</v>
      </c>
      <c r="V27" s="468">
        <v>2.9079999999999999</v>
      </c>
      <c r="W27" s="469">
        <v>4.7039999999999997</v>
      </c>
    </row>
    <row r="28" spans="1:23" x14ac:dyDescent="0.3">
      <c r="A28" s="554" t="s">
        <v>461</v>
      </c>
      <c r="B28" s="555">
        <v>33.168300000000002</v>
      </c>
      <c r="C28" s="555">
        <v>144.30019999999999</v>
      </c>
      <c r="D28" s="555">
        <v>281.14449999999999</v>
      </c>
      <c r="E28" s="555">
        <v>401.00150000000002</v>
      </c>
      <c r="F28" s="555">
        <v>539.06880000000001</v>
      </c>
      <c r="G28" s="555">
        <v>699.0086</v>
      </c>
      <c r="H28" s="555">
        <v>867.53179999999998</v>
      </c>
      <c r="I28" s="474">
        <v>2.8034363515434371</v>
      </c>
      <c r="J28" s="475">
        <v>11.955153185650412</v>
      </c>
      <c r="K28" s="476">
        <v>7.1426167218440195</v>
      </c>
      <c r="L28" s="521"/>
      <c r="M28" s="551" t="s">
        <v>461</v>
      </c>
      <c r="N28" s="552">
        <v>264.476</v>
      </c>
      <c r="O28" s="552">
        <v>449.04140000000001</v>
      </c>
      <c r="P28" s="552">
        <v>679.70979999999997</v>
      </c>
      <c r="Q28" s="553">
        <v>295.07339999999999</v>
      </c>
      <c r="R28" s="553">
        <v>793.43709999999999</v>
      </c>
      <c r="S28" s="553">
        <v>1491.9333999999999</v>
      </c>
      <c r="T28" s="466">
        <v>8.394025510973842</v>
      </c>
      <c r="U28" s="467">
        <v>24.71069842623422</v>
      </c>
      <c r="V28" s="468">
        <v>6.1420000000000003</v>
      </c>
      <c r="W28" s="469">
        <v>9.4</v>
      </c>
    </row>
    <row r="29" spans="1:23" x14ac:dyDescent="0.3">
      <c r="A29" s="557" t="s">
        <v>821</v>
      </c>
      <c r="B29" s="558">
        <v>919.87940000000003</v>
      </c>
      <c r="C29" s="558">
        <v>1508.0635</v>
      </c>
      <c r="D29" s="558">
        <v>1564.0517</v>
      </c>
      <c r="E29" s="558">
        <v>1621.5916</v>
      </c>
      <c r="F29" s="558">
        <v>1687.5155</v>
      </c>
      <c r="G29" s="558">
        <v>1750.5564999999999</v>
      </c>
      <c r="H29" s="558">
        <v>1801.0029</v>
      </c>
      <c r="I29" s="559">
        <v>100</v>
      </c>
      <c r="J29" s="560">
        <v>100</v>
      </c>
      <c r="K29" s="561">
        <v>0.68509495396678055</v>
      </c>
      <c r="L29" s="521"/>
      <c r="M29" s="562" t="s">
        <v>821</v>
      </c>
      <c r="N29" s="563">
        <v>1591.6956</v>
      </c>
      <c r="O29" s="563">
        <v>1811.3615</v>
      </c>
      <c r="P29" s="563">
        <v>2042.5751</v>
      </c>
      <c r="Q29" s="563">
        <v>1527.4947999999999</v>
      </c>
      <c r="R29" s="563">
        <v>1477.3335</v>
      </c>
      <c r="S29" s="563">
        <v>1386.2017000000001</v>
      </c>
      <c r="T29" s="481">
        <v>100</v>
      </c>
      <c r="U29" s="481">
        <v>100</v>
      </c>
      <c r="V29" s="482">
        <v>1.1739999999999999</v>
      </c>
      <c r="W29" s="482">
        <v>-0.32400000000000001</v>
      </c>
    </row>
    <row r="30" spans="1:23" x14ac:dyDescent="0.3">
      <c r="A30" s="564" t="s">
        <v>822</v>
      </c>
      <c r="B30" s="565">
        <v>184.78</v>
      </c>
      <c r="C30" s="565">
        <v>342.83539999999999</v>
      </c>
      <c r="D30" s="565">
        <v>363.79109999999997</v>
      </c>
      <c r="E30" s="565">
        <v>388.23090000000002</v>
      </c>
      <c r="F30" s="565">
        <v>422.08699999999999</v>
      </c>
      <c r="G30" s="565">
        <v>457.3143</v>
      </c>
      <c r="H30" s="565">
        <v>490.5095</v>
      </c>
      <c r="I30" s="460">
        <v>22.733485692081267</v>
      </c>
      <c r="J30" s="461">
        <v>27.235353146849462</v>
      </c>
      <c r="K30" s="487">
        <v>1.3872035963734541</v>
      </c>
      <c r="L30" s="521"/>
      <c r="M30" s="566" t="s">
        <v>822</v>
      </c>
      <c r="N30" s="567">
        <v>373.2002</v>
      </c>
      <c r="O30" s="567">
        <v>461.65379999999999</v>
      </c>
      <c r="P30" s="567">
        <v>560.15880000000004</v>
      </c>
      <c r="Q30" s="568">
        <v>352.089</v>
      </c>
      <c r="R30" s="568">
        <v>364.00020000000001</v>
      </c>
      <c r="S30" s="568">
        <v>386.37490000000003</v>
      </c>
      <c r="T30" s="491">
        <v>27.42414709745556</v>
      </c>
      <c r="U30" s="492">
        <v>27.872920657938881</v>
      </c>
      <c r="V30" s="493">
        <v>1.9059999999999999</v>
      </c>
      <c r="W30" s="494">
        <v>0.46100000000000002</v>
      </c>
    </row>
    <row r="31" spans="1:23" x14ac:dyDescent="0.3">
      <c r="A31" s="557" t="s">
        <v>823</v>
      </c>
      <c r="B31" s="558">
        <v>6161.2932000000001</v>
      </c>
      <c r="C31" s="558">
        <v>9410.0318000000007</v>
      </c>
      <c r="D31" s="558">
        <v>10204.1715</v>
      </c>
      <c r="E31" s="558">
        <v>10793.854499999999</v>
      </c>
      <c r="F31" s="558">
        <v>11392.2778</v>
      </c>
      <c r="G31" s="558">
        <v>11989.052</v>
      </c>
      <c r="H31" s="558">
        <v>12537.5911</v>
      </c>
      <c r="I31" s="559">
        <v>100</v>
      </c>
      <c r="J31" s="560">
        <v>100.00000079760139</v>
      </c>
      <c r="K31" s="561">
        <v>1.1097863528210183</v>
      </c>
      <c r="L31" s="521"/>
      <c r="M31" s="562" t="s">
        <v>823</v>
      </c>
      <c r="N31" s="563">
        <v>10332.3879</v>
      </c>
      <c r="O31" s="563">
        <v>11951.317300000001</v>
      </c>
      <c r="P31" s="563">
        <v>13565.5645</v>
      </c>
      <c r="Q31" s="563">
        <v>10013.982</v>
      </c>
      <c r="R31" s="563">
        <v>10433.423699999999</v>
      </c>
      <c r="S31" s="563">
        <v>10705.7202</v>
      </c>
      <c r="T31" s="481">
        <v>100</v>
      </c>
      <c r="U31" s="481">
        <v>100</v>
      </c>
      <c r="V31" s="482">
        <v>1.417</v>
      </c>
      <c r="W31" s="482">
        <v>0.497</v>
      </c>
    </row>
    <row r="32" spans="1:23" x14ac:dyDescent="0.3">
      <c r="A32" s="549" t="s">
        <v>254</v>
      </c>
      <c r="B32" s="550">
        <v>753.67370000000005</v>
      </c>
      <c r="C32" s="550">
        <v>1076.0009</v>
      </c>
      <c r="D32" s="550">
        <v>1106.9023</v>
      </c>
      <c r="E32" s="550">
        <v>1126.5653</v>
      </c>
      <c r="F32" s="550">
        <v>1141.9974999999999</v>
      </c>
      <c r="G32" s="550">
        <v>1146.3832</v>
      </c>
      <c r="H32" s="550">
        <v>1143.3710000000001</v>
      </c>
      <c r="I32" s="460">
        <v>11.434614918091986</v>
      </c>
      <c r="J32" s="461">
        <v>9.119542908047146</v>
      </c>
      <c r="K32" s="462">
        <v>0.2338484553753295</v>
      </c>
      <c r="L32" s="521"/>
      <c r="M32" s="551" t="s">
        <v>254</v>
      </c>
      <c r="N32" s="552">
        <v>1123.9849999999999</v>
      </c>
      <c r="O32" s="552">
        <v>1211.9445000000001</v>
      </c>
      <c r="P32" s="552">
        <v>1257.1029000000001</v>
      </c>
      <c r="Q32" s="553">
        <v>1085.9041999999999</v>
      </c>
      <c r="R32" s="553">
        <v>997.64520000000005</v>
      </c>
      <c r="S32" s="553">
        <v>880.51859999999999</v>
      </c>
      <c r="T32" s="466">
        <v>9.2668675896237129</v>
      </c>
      <c r="U32" s="467">
        <v>8.2247488590258495</v>
      </c>
      <c r="V32" s="468">
        <v>0.6</v>
      </c>
      <c r="W32" s="469">
        <v>-0.76800000000000002</v>
      </c>
    </row>
    <row r="33" spans="1:23" x14ac:dyDescent="0.3">
      <c r="A33" s="549" t="s">
        <v>266</v>
      </c>
      <c r="B33" s="550">
        <v>2598.8487</v>
      </c>
      <c r="C33" s="550">
        <v>3737.1779000000001</v>
      </c>
      <c r="D33" s="550">
        <v>4000.6332000000002</v>
      </c>
      <c r="E33" s="550">
        <v>4133.5689000000002</v>
      </c>
      <c r="F33" s="550">
        <v>4230.9534000000003</v>
      </c>
      <c r="G33" s="550">
        <v>4338.8651</v>
      </c>
      <c r="H33" s="550">
        <v>4434.3562000000002</v>
      </c>
      <c r="I33" s="460">
        <v>39.714827531188575</v>
      </c>
      <c r="J33" s="461">
        <v>35.368486375345263</v>
      </c>
      <c r="K33" s="462">
        <v>0.66005996235793951</v>
      </c>
      <c r="L33" s="521"/>
      <c r="M33" s="551" t="s">
        <v>266</v>
      </c>
      <c r="N33" s="552">
        <v>4066.5745999999999</v>
      </c>
      <c r="O33" s="552">
        <v>4540.3702000000003</v>
      </c>
      <c r="P33" s="552">
        <v>5033.8344999999999</v>
      </c>
      <c r="Q33" s="553">
        <v>3887.3771999999999</v>
      </c>
      <c r="R33" s="553">
        <v>3578.5149000000001</v>
      </c>
      <c r="S33" s="553">
        <v>3127.3914</v>
      </c>
      <c r="T33" s="466">
        <v>37.10744584200679</v>
      </c>
      <c r="U33" s="467">
        <v>29.212340146905763</v>
      </c>
      <c r="V33" s="468">
        <v>1.1519999999999999</v>
      </c>
      <c r="W33" s="469">
        <v>-0.68300000000000005</v>
      </c>
    </row>
    <row r="34" spans="1:23" x14ac:dyDescent="0.3">
      <c r="A34" s="549" t="s">
        <v>255</v>
      </c>
      <c r="B34" s="550">
        <v>944.24959999999999</v>
      </c>
      <c r="C34" s="550">
        <v>1420.8206</v>
      </c>
      <c r="D34" s="550">
        <v>1596.5491</v>
      </c>
      <c r="E34" s="550">
        <v>1748.8230000000001</v>
      </c>
      <c r="F34" s="550">
        <v>1921.8181999999999</v>
      </c>
      <c r="G34" s="550">
        <v>2091.8811000000001</v>
      </c>
      <c r="H34" s="550">
        <v>2253.5023999999999</v>
      </c>
      <c r="I34" s="460">
        <v>15.098998921555184</v>
      </c>
      <c r="J34" s="461">
        <v>17.973966306813118</v>
      </c>
      <c r="K34" s="462">
        <v>1.7898720490848286</v>
      </c>
      <c r="L34" s="521"/>
      <c r="M34" s="551" t="s">
        <v>255</v>
      </c>
      <c r="N34" s="552">
        <v>1607.49</v>
      </c>
      <c r="O34" s="552">
        <v>1977.6831</v>
      </c>
      <c r="P34" s="552">
        <v>2355.2127</v>
      </c>
      <c r="Q34" s="553">
        <v>1584.3991000000001</v>
      </c>
      <c r="R34" s="553">
        <v>1791.0324000000001</v>
      </c>
      <c r="S34" s="553">
        <v>1974.8289</v>
      </c>
      <c r="T34" s="466">
        <v>17.361700650201474</v>
      </c>
      <c r="U34" s="467">
        <v>18.446483404264573</v>
      </c>
      <c r="V34" s="468">
        <v>1.9630000000000001</v>
      </c>
      <c r="W34" s="469">
        <v>1.274</v>
      </c>
    </row>
    <row r="35" spans="1:23" x14ac:dyDescent="0.3">
      <c r="A35" s="549" t="s">
        <v>341</v>
      </c>
      <c r="B35" s="550">
        <v>835.60090000000002</v>
      </c>
      <c r="C35" s="550">
        <v>1709.0891999999999</v>
      </c>
      <c r="D35" s="550">
        <v>1932.6691000000001</v>
      </c>
      <c r="E35" s="550">
        <v>2151.9582999999998</v>
      </c>
      <c r="F35" s="550">
        <v>2396.6007</v>
      </c>
      <c r="G35" s="550">
        <v>2645.3832000000002</v>
      </c>
      <c r="H35" s="550">
        <v>2878.6691999999998</v>
      </c>
      <c r="I35" s="460">
        <v>18.162416836891026</v>
      </c>
      <c r="J35" s="461">
        <v>22.960305349246873</v>
      </c>
      <c r="K35" s="462">
        <v>2.0255000378593957</v>
      </c>
      <c r="L35" s="521"/>
      <c r="M35" s="551" t="s">
        <v>341</v>
      </c>
      <c r="N35" s="552">
        <v>1970.2882999999999</v>
      </c>
      <c r="O35" s="552">
        <v>2533.1491000000001</v>
      </c>
      <c r="P35" s="552">
        <v>3110.0738999999999</v>
      </c>
      <c r="Q35" s="553">
        <v>1879.3964000000001</v>
      </c>
      <c r="R35" s="553">
        <v>2193.8409000000001</v>
      </c>
      <c r="S35" s="553">
        <v>2561.2008000000001</v>
      </c>
      <c r="T35" s="466">
        <v>22.926240187055981</v>
      </c>
      <c r="U35" s="467">
        <v>23.923666527357966</v>
      </c>
      <c r="V35" s="468">
        <v>2.3290000000000002</v>
      </c>
      <c r="W35" s="469">
        <v>1.5680000000000001</v>
      </c>
    </row>
    <row r="36" spans="1:23" x14ac:dyDescent="0.3">
      <c r="A36" s="549" t="s">
        <v>694</v>
      </c>
      <c r="B36" s="550">
        <v>230.06979999999999</v>
      </c>
      <c r="C36" s="550">
        <v>273.77300000000002</v>
      </c>
      <c r="D36" s="550">
        <v>295.85750000000002</v>
      </c>
      <c r="E36" s="550">
        <v>303.03359999999998</v>
      </c>
      <c r="F36" s="550">
        <v>308.26679999999999</v>
      </c>
      <c r="G36" s="550">
        <v>311.94749999999999</v>
      </c>
      <c r="H36" s="550">
        <v>312.85160000000002</v>
      </c>
      <c r="I36" s="460">
        <v>2.9093738025412414</v>
      </c>
      <c r="J36" s="461">
        <v>2.4953086881259035</v>
      </c>
      <c r="K36" s="462">
        <v>0.51451008375074103</v>
      </c>
      <c r="L36" s="521"/>
      <c r="M36" s="551" t="s">
        <v>694</v>
      </c>
      <c r="N36" s="552">
        <v>299.77629999999999</v>
      </c>
      <c r="O36" s="552">
        <v>326.88060000000002</v>
      </c>
      <c r="P36" s="552">
        <v>345.58940000000001</v>
      </c>
      <c r="Q36" s="553">
        <v>292.66230000000002</v>
      </c>
      <c r="R36" s="553">
        <v>284.52300000000002</v>
      </c>
      <c r="S36" s="553">
        <v>265.9769</v>
      </c>
      <c r="T36" s="466">
        <v>2.5475489796241062</v>
      </c>
      <c r="U36" s="467">
        <v>2.4844372450533503</v>
      </c>
      <c r="V36" s="468">
        <v>0.9</v>
      </c>
      <c r="W36" s="469">
        <v>-0.111</v>
      </c>
    </row>
    <row r="37" spans="1:23" x14ac:dyDescent="0.3">
      <c r="A37" s="549" t="s">
        <v>503</v>
      </c>
      <c r="B37" s="550">
        <v>795.22360000000003</v>
      </c>
      <c r="C37" s="550">
        <v>1156.6297</v>
      </c>
      <c r="D37" s="550">
        <v>1213.9146000000001</v>
      </c>
      <c r="E37" s="550">
        <v>1252.8037999999999</v>
      </c>
      <c r="F37" s="550">
        <v>1288.5427999999999</v>
      </c>
      <c r="G37" s="550">
        <v>1318.2905000000001</v>
      </c>
      <c r="H37" s="550">
        <v>1345.8366000000001</v>
      </c>
      <c r="I37" s="460">
        <v>12.291453680315936</v>
      </c>
      <c r="J37" s="461">
        <v>10.734411333609374</v>
      </c>
      <c r="K37" s="462">
        <v>0.58441446931163377</v>
      </c>
      <c r="L37" s="521"/>
      <c r="M37" s="551" t="s">
        <v>503</v>
      </c>
      <c r="N37" s="552">
        <v>1210.2230999999999</v>
      </c>
      <c r="O37" s="552">
        <v>1275.3834999999999</v>
      </c>
      <c r="P37" s="552">
        <v>1334.8051</v>
      </c>
      <c r="Q37" s="553">
        <v>1220.6388999999999</v>
      </c>
      <c r="R37" s="553">
        <v>1442.6692</v>
      </c>
      <c r="S37" s="553">
        <v>1629.1065000000001</v>
      </c>
      <c r="T37" s="466">
        <v>9.8396576124790087</v>
      </c>
      <c r="U37" s="467">
        <v>15.217159327590124</v>
      </c>
      <c r="V37" s="468">
        <v>0.55300000000000005</v>
      </c>
      <c r="W37" s="469">
        <v>1.3260000000000001</v>
      </c>
    </row>
    <row r="38" spans="1:23" x14ac:dyDescent="0.3">
      <c r="A38" s="554" t="s">
        <v>461</v>
      </c>
      <c r="B38" s="555">
        <v>3.6267999999999998</v>
      </c>
      <c r="C38" s="555">
        <v>36.540500000000002</v>
      </c>
      <c r="D38" s="555">
        <v>57.645800000000001</v>
      </c>
      <c r="E38" s="555">
        <v>77.101500000000001</v>
      </c>
      <c r="F38" s="555">
        <v>104.0985</v>
      </c>
      <c r="G38" s="555">
        <v>136.3014</v>
      </c>
      <c r="H38" s="555">
        <v>169.0042</v>
      </c>
      <c r="I38" s="474">
        <v>0.38831430941604256</v>
      </c>
      <c r="J38" s="475">
        <v>1.347979836413711</v>
      </c>
      <c r="K38" s="476">
        <v>6.0673343166608218</v>
      </c>
      <c r="L38" s="521"/>
      <c r="M38" s="551" t="s">
        <v>461</v>
      </c>
      <c r="N38" s="552">
        <v>54.050600000000003</v>
      </c>
      <c r="O38" s="552">
        <v>85.906400000000005</v>
      </c>
      <c r="P38" s="552">
        <v>128.946</v>
      </c>
      <c r="Q38" s="553">
        <v>63.603900000000003</v>
      </c>
      <c r="R38" s="553">
        <v>145.19810000000001</v>
      </c>
      <c r="S38" s="553">
        <v>266.69709999999998</v>
      </c>
      <c r="T38" s="466">
        <v>0.95053913900892217</v>
      </c>
      <c r="U38" s="467">
        <v>2.4911644898023768</v>
      </c>
      <c r="V38" s="468">
        <v>4.9690000000000003</v>
      </c>
      <c r="W38" s="469">
        <v>7.9450000000000003</v>
      </c>
    </row>
    <row r="39" spans="1:23" x14ac:dyDescent="0.3">
      <c r="A39" s="557" t="s">
        <v>705</v>
      </c>
      <c r="B39" s="558">
        <v>1804.7402</v>
      </c>
      <c r="C39" s="558">
        <v>2836.4479999999999</v>
      </c>
      <c r="D39" s="558">
        <v>3112.857</v>
      </c>
      <c r="E39" s="558">
        <v>3334.9683</v>
      </c>
      <c r="F39" s="558">
        <v>3546.9013</v>
      </c>
      <c r="G39" s="558">
        <v>3755.5682999999999</v>
      </c>
      <c r="H39" s="558">
        <v>3940.6578</v>
      </c>
      <c r="I39" s="559">
        <v>100.00000000000001</v>
      </c>
      <c r="J39" s="560">
        <v>99.99999746235261</v>
      </c>
      <c r="K39" s="561">
        <v>1.2726263673773941</v>
      </c>
      <c r="L39" s="521"/>
      <c r="M39" s="562" t="s">
        <v>705</v>
      </c>
      <c r="N39" s="563">
        <v>3151.2283000000002</v>
      </c>
      <c r="O39" s="563">
        <v>3708.4870999999998</v>
      </c>
      <c r="P39" s="563">
        <v>4223.9822000000004</v>
      </c>
      <c r="Q39" s="563">
        <v>3069.6437999999998</v>
      </c>
      <c r="R39" s="563">
        <v>3221.0934000000002</v>
      </c>
      <c r="S39" s="563">
        <v>3316.0336000000002</v>
      </c>
      <c r="T39" s="481">
        <v>100</v>
      </c>
      <c r="U39" s="481">
        <v>100</v>
      </c>
      <c r="V39" s="482">
        <v>1.5429999999999999</v>
      </c>
      <c r="W39" s="482">
        <v>0.60299999999999998</v>
      </c>
    </row>
    <row r="40" spans="1:23" x14ac:dyDescent="0.3">
      <c r="A40" s="549" t="s">
        <v>254</v>
      </c>
      <c r="B40" s="550">
        <v>461.54939999999999</v>
      </c>
      <c r="C40" s="550">
        <v>858.59360000000004</v>
      </c>
      <c r="D40" s="550">
        <v>880.38409999999999</v>
      </c>
      <c r="E40" s="550">
        <v>906.71249999999998</v>
      </c>
      <c r="F40" s="550">
        <v>931.43489999999997</v>
      </c>
      <c r="G40" s="550">
        <v>948.00630000000001</v>
      </c>
      <c r="H40" s="550">
        <v>958.98230000000001</v>
      </c>
      <c r="I40" s="460">
        <v>30.270027865837839</v>
      </c>
      <c r="J40" s="461">
        <v>24.335589352620264</v>
      </c>
      <c r="K40" s="462">
        <v>0.42620149780061567</v>
      </c>
      <c r="L40" s="521"/>
      <c r="M40" s="551" t="s">
        <v>254</v>
      </c>
      <c r="N40" s="552">
        <v>894.02909999999997</v>
      </c>
      <c r="O40" s="552">
        <v>987.03369999999995</v>
      </c>
      <c r="P40" s="552">
        <v>1048.6314</v>
      </c>
      <c r="Q40" s="553">
        <v>866.9665</v>
      </c>
      <c r="R40" s="553">
        <v>817.27890000000002</v>
      </c>
      <c r="S40" s="553">
        <v>737.31799999999998</v>
      </c>
      <c r="T40" s="466">
        <v>24.825658592974182</v>
      </c>
      <c r="U40" s="467">
        <v>22.23493754707431</v>
      </c>
      <c r="V40" s="468">
        <v>0.77200000000000002</v>
      </c>
      <c r="W40" s="469">
        <v>-0.58399999999999996</v>
      </c>
    </row>
    <row r="41" spans="1:23" x14ac:dyDescent="0.3">
      <c r="A41" s="549" t="s">
        <v>266</v>
      </c>
      <c r="B41" s="550">
        <v>336.03089999999997</v>
      </c>
      <c r="C41" s="550">
        <v>326.86759999999998</v>
      </c>
      <c r="D41" s="550">
        <v>349.68799999999999</v>
      </c>
      <c r="E41" s="550">
        <v>349.39370000000002</v>
      </c>
      <c r="F41" s="550">
        <v>346.65199999999999</v>
      </c>
      <c r="G41" s="550">
        <v>345.65570000000002</v>
      </c>
      <c r="H41" s="550">
        <v>343.44450000000001</v>
      </c>
      <c r="I41" s="460">
        <v>11.523835444894459</v>
      </c>
      <c r="J41" s="461">
        <v>8.7154104068615155</v>
      </c>
      <c r="K41" s="462">
        <v>0.19045163155071432</v>
      </c>
      <c r="L41" s="521"/>
      <c r="M41" s="551" t="s">
        <v>266</v>
      </c>
      <c r="N41" s="552">
        <v>354.59969999999998</v>
      </c>
      <c r="O41" s="552">
        <v>363.64859999999999</v>
      </c>
      <c r="P41" s="552">
        <v>367.36320000000001</v>
      </c>
      <c r="Q41" s="553">
        <v>346.37689999999998</v>
      </c>
      <c r="R41" s="553">
        <v>316.19240000000002</v>
      </c>
      <c r="S41" s="553">
        <v>293.59840000000003</v>
      </c>
      <c r="T41" s="466">
        <v>8.6970821041812147</v>
      </c>
      <c r="U41" s="467">
        <v>8.8539030485095207</v>
      </c>
      <c r="V41" s="468">
        <v>0.45</v>
      </c>
      <c r="W41" s="469">
        <v>-0.41199999999999998</v>
      </c>
    </row>
    <row r="42" spans="1:23" x14ac:dyDescent="0.3">
      <c r="A42" s="549" t="s">
        <v>255</v>
      </c>
      <c r="B42" s="550">
        <v>353.73939999999999</v>
      </c>
      <c r="C42" s="550">
        <v>610.02059999999994</v>
      </c>
      <c r="D42" s="550">
        <v>706.59860000000003</v>
      </c>
      <c r="E42" s="550">
        <v>781.71559999999999</v>
      </c>
      <c r="F42" s="550">
        <v>855.07180000000005</v>
      </c>
      <c r="G42" s="550">
        <v>932.77949999999998</v>
      </c>
      <c r="H42" s="550">
        <v>1008.6099</v>
      </c>
      <c r="I42" s="460">
        <v>21.506496858042169</v>
      </c>
      <c r="J42" s="461">
        <v>25.594962851126024</v>
      </c>
      <c r="K42" s="462">
        <v>1.952805668294344</v>
      </c>
      <c r="L42" s="521"/>
      <c r="M42" s="551" t="s">
        <v>255</v>
      </c>
      <c r="N42" s="552">
        <v>712.37400000000002</v>
      </c>
      <c r="O42" s="552">
        <v>885.9923</v>
      </c>
      <c r="P42" s="552">
        <v>1067.3039000000001</v>
      </c>
      <c r="Q42" s="553">
        <v>698.41899999999998</v>
      </c>
      <c r="R42" s="553">
        <v>766.56359999999995</v>
      </c>
      <c r="S42" s="553">
        <v>812.85590000000002</v>
      </c>
      <c r="T42" s="466">
        <v>25.267717747484824</v>
      </c>
      <c r="U42" s="467">
        <v>24.512896974264674</v>
      </c>
      <c r="V42" s="468">
        <v>2.1749999999999998</v>
      </c>
      <c r="W42" s="469">
        <v>1.1100000000000001</v>
      </c>
    </row>
    <row r="43" spans="1:23" x14ac:dyDescent="0.3">
      <c r="A43" s="549" t="s">
        <v>341</v>
      </c>
      <c r="B43" s="550">
        <v>387.952</v>
      </c>
      <c r="C43" s="550">
        <v>724.40530000000001</v>
      </c>
      <c r="D43" s="550">
        <v>815.33879999999999</v>
      </c>
      <c r="E43" s="550">
        <v>901.25289999999995</v>
      </c>
      <c r="F43" s="550">
        <v>982.02679999999998</v>
      </c>
      <c r="G43" s="550">
        <v>1061.2897</v>
      </c>
      <c r="H43" s="550">
        <v>1129.8918000000001</v>
      </c>
      <c r="I43" s="460">
        <v>25.53917082209863</v>
      </c>
      <c r="J43" s="461">
        <v>28.672669826849724</v>
      </c>
      <c r="K43" s="462">
        <v>1.724415110850952</v>
      </c>
      <c r="L43" s="521"/>
      <c r="M43" s="551" t="s">
        <v>341</v>
      </c>
      <c r="N43" s="552">
        <v>825.7586</v>
      </c>
      <c r="O43" s="552">
        <v>1022.3422</v>
      </c>
      <c r="P43" s="552">
        <v>1209.2427</v>
      </c>
      <c r="Q43" s="553">
        <v>795.84720000000004</v>
      </c>
      <c r="R43" s="553">
        <v>880.16359999999997</v>
      </c>
      <c r="S43" s="553">
        <v>955.447</v>
      </c>
      <c r="T43" s="466">
        <v>28.628025468478533</v>
      </c>
      <c r="U43" s="467">
        <v>28.812946889319818</v>
      </c>
      <c r="V43" s="468">
        <v>1.99</v>
      </c>
      <c r="W43" s="469">
        <v>1.07</v>
      </c>
    </row>
    <row r="44" spans="1:23" x14ac:dyDescent="0.3">
      <c r="A44" s="549" t="s">
        <v>694</v>
      </c>
      <c r="B44" s="550">
        <v>152.6422</v>
      </c>
      <c r="C44" s="550">
        <v>122.996</v>
      </c>
      <c r="D44" s="550">
        <v>140.8862</v>
      </c>
      <c r="E44" s="550">
        <v>145.24090000000001</v>
      </c>
      <c r="F44" s="550">
        <v>146.56610000000001</v>
      </c>
      <c r="G44" s="550">
        <v>145.9177</v>
      </c>
      <c r="H44" s="550">
        <v>143.0102</v>
      </c>
      <c r="I44" s="460">
        <v>4.3362684597073518</v>
      </c>
      <c r="J44" s="461">
        <v>3.6290946146097744</v>
      </c>
      <c r="K44" s="462">
        <v>0.58154646118793174</v>
      </c>
      <c r="L44" s="521"/>
      <c r="M44" s="551" t="s">
        <v>694</v>
      </c>
      <c r="N44" s="552">
        <v>142.42930000000001</v>
      </c>
      <c r="O44" s="552">
        <v>157.274</v>
      </c>
      <c r="P44" s="552">
        <v>162.78530000000001</v>
      </c>
      <c r="Q44" s="553">
        <v>140.25909999999999</v>
      </c>
      <c r="R44" s="553">
        <v>133.86429999999999</v>
      </c>
      <c r="S44" s="553">
        <v>117.2093</v>
      </c>
      <c r="T44" s="466">
        <v>3.8538348954216706</v>
      </c>
      <c r="U44" s="467">
        <v>3.5346234127422589</v>
      </c>
      <c r="V44" s="468">
        <v>1.0840000000000001</v>
      </c>
      <c r="W44" s="469">
        <v>-0.185</v>
      </c>
    </row>
    <row r="45" spans="1:23" x14ac:dyDescent="0.3">
      <c r="A45" s="549" t="s">
        <v>503</v>
      </c>
      <c r="B45" s="550">
        <v>112.69289999999999</v>
      </c>
      <c r="C45" s="550">
        <v>192.7859</v>
      </c>
      <c r="D45" s="550">
        <v>218.7218</v>
      </c>
      <c r="E45" s="550">
        <v>247.98179999999999</v>
      </c>
      <c r="F45" s="550">
        <v>279.58030000000002</v>
      </c>
      <c r="G45" s="550">
        <v>312.49689999999998</v>
      </c>
      <c r="H45" s="550">
        <v>342.57209999999998</v>
      </c>
      <c r="I45" s="460">
        <v>6.7967366227055823</v>
      </c>
      <c r="J45" s="461">
        <v>8.6932719709892083</v>
      </c>
      <c r="K45" s="462">
        <v>2.2357885030403368</v>
      </c>
      <c r="L45" s="521"/>
      <c r="M45" s="551" t="s">
        <v>503</v>
      </c>
      <c r="N45" s="552">
        <v>220.93719999999999</v>
      </c>
      <c r="O45" s="552">
        <v>288.96870000000001</v>
      </c>
      <c r="P45" s="552">
        <v>360.69959999999998</v>
      </c>
      <c r="Q45" s="553">
        <v>219.2859</v>
      </c>
      <c r="R45" s="553">
        <v>287.47140000000002</v>
      </c>
      <c r="S45" s="553">
        <v>356.18939999999998</v>
      </c>
      <c r="T45" s="466">
        <v>8.5393257575753978</v>
      </c>
      <c r="U45" s="467">
        <v>10.741429158015768</v>
      </c>
      <c r="V45" s="468">
        <v>2.4390000000000001</v>
      </c>
      <c r="W45" s="469">
        <v>2.3889999999999998</v>
      </c>
    </row>
    <row r="46" spans="1:23" x14ac:dyDescent="0.3">
      <c r="A46" s="554" t="s">
        <v>461</v>
      </c>
      <c r="B46" s="555">
        <v>0.1333</v>
      </c>
      <c r="C46" s="555">
        <v>0.77900000000000003</v>
      </c>
      <c r="D46" s="555">
        <v>1.2396</v>
      </c>
      <c r="E46" s="555">
        <v>2.6707999999999998</v>
      </c>
      <c r="F46" s="555">
        <v>5.5693000000000001</v>
      </c>
      <c r="G46" s="555">
        <v>9.4223999999999997</v>
      </c>
      <c r="H46" s="555">
        <v>14.1469</v>
      </c>
      <c r="I46" s="460">
        <v>2.7463926713974664E-2</v>
      </c>
      <c r="J46" s="461">
        <v>0.35899843929609926</v>
      </c>
      <c r="K46" s="476">
        <v>11.796405295937419</v>
      </c>
      <c r="L46" s="521"/>
      <c r="M46" s="551" t="s">
        <v>461</v>
      </c>
      <c r="N46" s="552">
        <v>1.1005</v>
      </c>
      <c r="O46" s="552">
        <v>3.2275999999999998</v>
      </c>
      <c r="P46" s="552">
        <v>7.9561999999999999</v>
      </c>
      <c r="Q46" s="553">
        <v>2.4891000000000001</v>
      </c>
      <c r="R46" s="553">
        <v>19.559200000000001</v>
      </c>
      <c r="S46" s="553">
        <v>43.415599999999998</v>
      </c>
      <c r="T46" s="466">
        <v>0.1883578013183862</v>
      </c>
      <c r="U46" s="467">
        <v>1.3092629700736444</v>
      </c>
      <c r="V46" s="468">
        <v>9.3490000000000002</v>
      </c>
      <c r="W46" s="469">
        <v>16.722999999999999</v>
      </c>
    </row>
    <row r="47" spans="1:23" x14ac:dyDescent="0.3">
      <c r="A47" s="557" t="s">
        <v>707</v>
      </c>
      <c r="B47" s="558">
        <v>1573.1026999999999</v>
      </c>
      <c r="C47" s="558">
        <v>2622.1848</v>
      </c>
      <c r="D47" s="558">
        <v>2828.2528000000002</v>
      </c>
      <c r="E47" s="558">
        <v>2981.0225999999998</v>
      </c>
      <c r="F47" s="558">
        <v>3118.9638</v>
      </c>
      <c r="G47" s="558">
        <v>3273.5376999999999</v>
      </c>
      <c r="H47" s="558">
        <v>3434.5834</v>
      </c>
      <c r="I47" s="559">
        <v>100.00000000000001</v>
      </c>
      <c r="J47" s="560">
        <v>100</v>
      </c>
      <c r="K47" s="561">
        <v>1.0434361201592468</v>
      </c>
      <c r="L47" s="521"/>
      <c r="M47" s="562" t="s">
        <v>707</v>
      </c>
      <c r="N47" s="563">
        <v>2862.7397999999998</v>
      </c>
      <c r="O47" s="563">
        <v>3314.7237</v>
      </c>
      <c r="P47" s="563">
        <v>3845.3143</v>
      </c>
      <c r="Q47" s="563">
        <v>2749.8469</v>
      </c>
      <c r="R47" s="563">
        <v>2769.761</v>
      </c>
      <c r="S47" s="563">
        <v>2749.9528</v>
      </c>
      <c r="T47" s="481">
        <v>100</v>
      </c>
      <c r="U47" s="481">
        <v>100</v>
      </c>
      <c r="V47" s="482">
        <v>1.4830000000000001</v>
      </c>
      <c r="W47" s="482">
        <v>0.183</v>
      </c>
    </row>
    <row r="48" spans="1:23" x14ac:dyDescent="0.3">
      <c r="A48" s="549" t="s">
        <v>266</v>
      </c>
      <c r="B48" s="550">
        <v>1477.3384000000001</v>
      </c>
      <c r="C48" s="550">
        <v>2421.6275000000001</v>
      </c>
      <c r="D48" s="550">
        <v>2582.0313999999998</v>
      </c>
      <c r="E48" s="550">
        <v>2681.5113000000001</v>
      </c>
      <c r="F48" s="550">
        <v>2755.5088999999998</v>
      </c>
      <c r="G48" s="550">
        <v>2841.3362000000002</v>
      </c>
      <c r="H48" s="550">
        <v>2915.3636000000001</v>
      </c>
      <c r="I48" s="460">
        <v>92.351519236935559</v>
      </c>
      <c r="J48" s="461">
        <v>84.882597406136654</v>
      </c>
      <c r="K48" s="462">
        <v>0.71622467422212122</v>
      </c>
      <c r="L48" s="521"/>
      <c r="M48" s="551" t="s">
        <v>266</v>
      </c>
      <c r="N48" s="552">
        <v>2631.0174000000002</v>
      </c>
      <c r="O48" s="552">
        <v>3006.7271999999998</v>
      </c>
      <c r="P48" s="552">
        <v>3417.6633999999999</v>
      </c>
      <c r="Q48" s="553">
        <v>2484.6574999999998</v>
      </c>
      <c r="R48" s="553">
        <v>2195.9061000000002</v>
      </c>
      <c r="S48" s="553">
        <v>1753.0977</v>
      </c>
      <c r="T48" s="466">
        <v>88.878649009263029</v>
      </c>
      <c r="U48" s="467">
        <v>63.750101456286814</v>
      </c>
      <c r="V48" s="468">
        <v>1.3340000000000001</v>
      </c>
      <c r="W48" s="469">
        <v>-1.2350000000000001</v>
      </c>
    </row>
    <row r="49" spans="1:23" x14ac:dyDescent="0.3">
      <c r="A49" s="569" t="s">
        <v>832</v>
      </c>
      <c r="B49" s="570">
        <v>202.1705</v>
      </c>
      <c r="C49" s="570">
        <v>362.53830000000005</v>
      </c>
      <c r="D49" s="570">
        <v>408.76830000000001</v>
      </c>
      <c r="E49" s="570">
        <v>446.56489999999997</v>
      </c>
      <c r="F49" s="570">
        <v>485.57639999999998</v>
      </c>
      <c r="G49" s="570">
        <v>523.95229999999992</v>
      </c>
      <c r="H49" s="570">
        <v>563.60969999999998</v>
      </c>
      <c r="I49" s="498">
        <v>13.825810446311795</v>
      </c>
      <c r="J49" s="499">
        <v>16.409841729276394</v>
      </c>
      <c r="K49" s="500">
        <v>1.7115272649380842</v>
      </c>
      <c r="L49" s="521"/>
      <c r="M49" s="566" t="s">
        <v>833</v>
      </c>
      <c r="N49" s="567">
        <v>422.07849999999996</v>
      </c>
      <c r="O49" s="567">
        <v>529.11410000000001</v>
      </c>
      <c r="P49" s="567">
        <v>633.70600000000002</v>
      </c>
      <c r="Q49" s="568">
        <v>359.49440000000004</v>
      </c>
      <c r="R49" s="568">
        <v>349.31079999999997</v>
      </c>
      <c r="S49" s="568">
        <v>311.96260000000001</v>
      </c>
      <c r="T49" s="491">
        <v>16.479953277161247</v>
      </c>
      <c r="U49" s="492">
        <v>11.344289254710118</v>
      </c>
      <c r="V49" s="493">
        <v>2.1709999999999998</v>
      </c>
      <c r="W49" s="494">
        <v>-0.57599999999999996</v>
      </c>
    </row>
    <row r="50" spans="1:23" x14ac:dyDescent="0.3">
      <c r="A50" s="549" t="s">
        <v>341</v>
      </c>
      <c r="B50" s="550">
        <v>21.046199999999999</v>
      </c>
      <c r="C50" s="550">
        <v>26.034099999999999</v>
      </c>
      <c r="D50" s="550">
        <v>33.2378</v>
      </c>
      <c r="E50" s="550">
        <v>42.490600000000001</v>
      </c>
      <c r="F50" s="550">
        <v>54.268799999999999</v>
      </c>
      <c r="G50" s="550">
        <v>67.427999999999997</v>
      </c>
      <c r="H50" s="550">
        <v>82.9268</v>
      </c>
      <c r="I50" s="460">
        <v>0.99284001646260767</v>
      </c>
      <c r="J50" s="461">
        <v>2.4144645897956649</v>
      </c>
      <c r="K50" s="462">
        <v>4.5567349931223688</v>
      </c>
      <c r="L50" s="521"/>
      <c r="M50" s="551" t="s">
        <v>341</v>
      </c>
      <c r="N50" s="552">
        <v>31.3904</v>
      </c>
      <c r="O50" s="552">
        <v>43.052100000000003</v>
      </c>
      <c r="P50" s="552">
        <v>56.3855</v>
      </c>
      <c r="Q50" s="553">
        <v>33.234999999999999</v>
      </c>
      <c r="R50" s="553">
        <v>84.649799999999999</v>
      </c>
      <c r="S50" s="553">
        <v>219.58029999999999</v>
      </c>
      <c r="T50" s="466">
        <v>1.4663430762993808</v>
      </c>
      <c r="U50" s="467">
        <v>7.9848752313130618</v>
      </c>
      <c r="V50" s="468">
        <v>3.0169999999999999</v>
      </c>
      <c r="W50" s="469">
        <v>8.5470000000000006</v>
      </c>
    </row>
    <row r="51" spans="1:23" x14ac:dyDescent="0.3">
      <c r="A51" s="549" t="s">
        <v>253</v>
      </c>
      <c r="B51" s="550">
        <v>5.9001000000000001</v>
      </c>
      <c r="C51" s="550">
        <v>73.861400000000003</v>
      </c>
      <c r="D51" s="550">
        <v>95.166799999999995</v>
      </c>
      <c r="E51" s="550">
        <v>118.74379999999999</v>
      </c>
      <c r="F51" s="550">
        <v>142.2218</v>
      </c>
      <c r="G51" s="550">
        <v>167.36060000000001</v>
      </c>
      <c r="H51" s="550">
        <v>199.315</v>
      </c>
      <c r="I51" s="460">
        <v>2.8167885039986502</v>
      </c>
      <c r="J51" s="461">
        <v>5.8031783418041325</v>
      </c>
      <c r="K51" s="462">
        <v>3.8918865609590458</v>
      </c>
      <c r="L51" s="521"/>
      <c r="M51" s="551" t="s">
        <v>253</v>
      </c>
      <c r="N51" s="552">
        <v>88.581000000000003</v>
      </c>
      <c r="O51" s="552">
        <v>119.62909999999999</v>
      </c>
      <c r="P51" s="552">
        <v>167.3751</v>
      </c>
      <c r="Q51" s="553">
        <v>98.619399999999999</v>
      </c>
      <c r="R51" s="553">
        <v>271.77339999999998</v>
      </c>
      <c r="S51" s="553">
        <v>431.5247</v>
      </c>
      <c r="T51" s="466">
        <v>4.352702716654397</v>
      </c>
      <c r="U51" s="467">
        <v>15.692076605823926</v>
      </c>
      <c r="V51" s="468">
        <v>3.1960000000000002</v>
      </c>
      <c r="W51" s="469">
        <v>7.0250000000000004</v>
      </c>
    </row>
    <row r="52" spans="1:23" x14ac:dyDescent="0.3">
      <c r="A52" s="554" t="s">
        <v>825</v>
      </c>
      <c r="B52" s="555">
        <v>68.817999999999998</v>
      </c>
      <c r="C52" s="555">
        <v>100.6618</v>
      </c>
      <c r="D52" s="555">
        <v>117.8168</v>
      </c>
      <c r="E52" s="555">
        <v>138.27690000000001</v>
      </c>
      <c r="F52" s="555">
        <v>166.96430000000001</v>
      </c>
      <c r="G52" s="555">
        <v>197.41290000000001</v>
      </c>
      <c r="H52" s="555">
        <v>236.97800000000001</v>
      </c>
      <c r="I52" s="474">
        <v>3.838852242603191</v>
      </c>
      <c r="J52" s="475">
        <v>6.899759662263552</v>
      </c>
      <c r="K52" s="476">
        <v>3.3479025053015476</v>
      </c>
      <c r="L52" s="521"/>
      <c r="M52" s="551" t="s">
        <v>825</v>
      </c>
      <c r="N52" s="552">
        <v>111.751</v>
      </c>
      <c r="O52" s="552">
        <v>145.31530000000001</v>
      </c>
      <c r="P52" s="552">
        <v>203.8903</v>
      </c>
      <c r="Q52" s="553">
        <v>133.33500000000001</v>
      </c>
      <c r="R52" s="553">
        <v>217.43170000000001</v>
      </c>
      <c r="S52" s="553">
        <v>345.75009999999997</v>
      </c>
      <c r="T52" s="466">
        <v>5.3023051977831823</v>
      </c>
      <c r="U52" s="467">
        <v>12.572946706576198</v>
      </c>
      <c r="V52" s="468">
        <v>2.7519999999999998</v>
      </c>
      <c r="W52" s="469">
        <v>4.8600000000000003</v>
      </c>
    </row>
    <row r="53" spans="1:23" x14ac:dyDescent="0.3">
      <c r="A53" s="557" t="s">
        <v>826</v>
      </c>
      <c r="B53" s="558">
        <v>2141.3134</v>
      </c>
      <c r="C53" s="558">
        <v>3044.4301999999998</v>
      </c>
      <c r="D53" s="558">
        <v>3209.5583999999999</v>
      </c>
      <c r="E53" s="558">
        <v>3342.6044999999999</v>
      </c>
      <c r="F53" s="558">
        <v>3521.4470999999999</v>
      </c>
      <c r="G53" s="558">
        <v>3696.5684000000001</v>
      </c>
      <c r="H53" s="558">
        <v>3851.9582999999998</v>
      </c>
      <c r="I53" s="559">
        <v>100.00000000000001</v>
      </c>
      <c r="J53" s="560">
        <v>100.00000259608211</v>
      </c>
      <c r="K53" s="561">
        <v>0.90898296591594985</v>
      </c>
      <c r="L53" s="521"/>
      <c r="M53" s="562" t="s">
        <v>826</v>
      </c>
      <c r="N53" s="563">
        <v>3259.2962000000002</v>
      </c>
      <c r="O53" s="563">
        <v>3701.3526999999999</v>
      </c>
      <c r="P53" s="563">
        <v>4140.7138000000004</v>
      </c>
      <c r="Q53" s="563">
        <v>3143.9675999999999</v>
      </c>
      <c r="R53" s="563">
        <v>3267.4593</v>
      </c>
      <c r="S53" s="563">
        <v>3377.9022</v>
      </c>
      <c r="T53" s="481">
        <v>100</v>
      </c>
      <c r="U53" s="481">
        <v>100</v>
      </c>
      <c r="V53" s="482">
        <v>1.19</v>
      </c>
      <c r="W53" s="482">
        <v>0.40100000000000002</v>
      </c>
    </row>
    <row r="54" spans="1:23" x14ac:dyDescent="0.3">
      <c r="A54" s="549" t="s">
        <v>254</v>
      </c>
      <c r="B54" s="550">
        <v>237.6628</v>
      </c>
      <c r="C54" s="550">
        <v>135.6148</v>
      </c>
      <c r="D54" s="550">
        <v>130.988</v>
      </c>
      <c r="E54" s="550">
        <v>121.4144</v>
      </c>
      <c r="F54" s="550">
        <v>110.6918</v>
      </c>
      <c r="G54" s="550">
        <v>98.582800000000006</v>
      </c>
      <c r="H54" s="550">
        <v>86.713300000000004</v>
      </c>
      <c r="I54" s="460">
        <v>4.4545215718856026</v>
      </c>
      <c r="J54" s="461">
        <v>2.2511484612904562</v>
      </c>
      <c r="K54" s="462">
        <v>-1.7053349358335357</v>
      </c>
      <c r="L54" s="521"/>
      <c r="M54" s="551" t="s">
        <v>254</v>
      </c>
      <c r="N54" s="552">
        <v>133.27269999999999</v>
      </c>
      <c r="O54" s="552">
        <v>120.2086</v>
      </c>
      <c r="P54" s="552">
        <v>102.0432</v>
      </c>
      <c r="Q54" s="553">
        <v>124.3032</v>
      </c>
      <c r="R54" s="553">
        <v>87.668599999999998</v>
      </c>
      <c r="S54" s="553">
        <v>55.95</v>
      </c>
      <c r="T54" s="466">
        <v>2.4643866958397362</v>
      </c>
      <c r="U54" s="467">
        <v>1.6563534610327086</v>
      </c>
      <c r="V54" s="468">
        <v>-1.0880000000000001</v>
      </c>
      <c r="W54" s="469">
        <v>-3.3479999999999999</v>
      </c>
    </row>
    <row r="55" spans="1:23" x14ac:dyDescent="0.3">
      <c r="A55" s="549" t="s">
        <v>266</v>
      </c>
      <c r="B55" s="550">
        <v>319.4683</v>
      </c>
      <c r="C55" s="550">
        <v>315.03030000000001</v>
      </c>
      <c r="D55" s="550">
        <v>303.86200000000002</v>
      </c>
      <c r="E55" s="550">
        <v>281.6755</v>
      </c>
      <c r="F55" s="550">
        <v>260.63709999999998</v>
      </c>
      <c r="G55" s="550">
        <v>245.54589999999999</v>
      </c>
      <c r="H55" s="550">
        <v>239.13849999999999</v>
      </c>
      <c r="I55" s="460">
        <v>10.34775899936875</v>
      </c>
      <c r="J55" s="461">
        <v>6.2082317973172243</v>
      </c>
      <c r="K55" s="462">
        <v>-1.0545005251883732</v>
      </c>
      <c r="L55" s="521"/>
      <c r="M55" s="551" t="s">
        <v>266</v>
      </c>
      <c r="N55" s="552">
        <v>312.5557</v>
      </c>
      <c r="O55" s="552">
        <v>289.94929999999999</v>
      </c>
      <c r="P55" s="552">
        <v>286.92840000000001</v>
      </c>
      <c r="Q55" s="553">
        <v>292.6866</v>
      </c>
      <c r="R55" s="553">
        <v>221.6712</v>
      </c>
      <c r="S55" s="553">
        <v>185.3475</v>
      </c>
      <c r="T55" s="466">
        <v>6.9294429380750726</v>
      </c>
      <c r="U55" s="467">
        <v>5.4870593944371739</v>
      </c>
      <c r="V55" s="468">
        <v>-0.35899999999999999</v>
      </c>
      <c r="W55" s="469">
        <v>-2.0190000000000001</v>
      </c>
    </row>
    <row r="56" spans="1:23" x14ac:dyDescent="0.3">
      <c r="A56" s="549" t="s">
        <v>255</v>
      </c>
      <c r="B56" s="550">
        <v>437.7321</v>
      </c>
      <c r="C56" s="550">
        <v>628.02599999999995</v>
      </c>
      <c r="D56" s="550">
        <v>663.2269</v>
      </c>
      <c r="E56" s="550">
        <v>709.72090000000003</v>
      </c>
      <c r="F56" s="550">
        <v>772.3528</v>
      </c>
      <c r="G56" s="550">
        <v>826.53750000000002</v>
      </c>
      <c r="H56" s="550">
        <v>865.73320000000001</v>
      </c>
      <c r="I56" s="460">
        <v>20.628687759042727</v>
      </c>
      <c r="J56" s="461">
        <v>22.475144655641781</v>
      </c>
      <c r="K56" s="462">
        <v>1.2422495745198381</v>
      </c>
      <c r="L56" s="521"/>
      <c r="M56" s="551" t="s">
        <v>255</v>
      </c>
      <c r="N56" s="552">
        <v>674.38850000000002</v>
      </c>
      <c r="O56" s="552">
        <v>818.40260000000001</v>
      </c>
      <c r="P56" s="552">
        <v>940.33849999999995</v>
      </c>
      <c r="Q56" s="553">
        <v>643.53920000000005</v>
      </c>
      <c r="R56" s="553">
        <v>681.78359999999998</v>
      </c>
      <c r="S56" s="553">
        <v>677.38369999999998</v>
      </c>
      <c r="T56" s="466">
        <v>22.709574856393115</v>
      </c>
      <c r="U56" s="467">
        <v>20.053384020413617</v>
      </c>
      <c r="V56" s="468">
        <v>1.5649999999999999</v>
      </c>
      <c r="W56" s="469">
        <v>0.29099999999999998</v>
      </c>
    </row>
    <row r="57" spans="1:23" x14ac:dyDescent="0.3">
      <c r="A57" s="549" t="s">
        <v>341</v>
      </c>
      <c r="B57" s="550">
        <v>396.69400000000002</v>
      </c>
      <c r="C57" s="550">
        <v>903.55330000000004</v>
      </c>
      <c r="D57" s="550">
        <v>1019.0363</v>
      </c>
      <c r="E57" s="550">
        <v>1134.7795000000001</v>
      </c>
      <c r="F57" s="550">
        <v>1278.9253000000001</v>
      </c>
      <c r="G57" s="550">
        <v>1427.6809000000001</v>
      </c>
      <c r="H57" s="550">
        <v>1569.8485000000001</v>
      </c>
      <c r="I57" s="460">
        <v>29.67889689177305</v>
      </c>
      <c r="J57" s="461">
        <v>40.754555935872929</v>
      </c>
      <c r="K57" s="462">
        <v>2.1473432647374002</v>
      </c>
      <c r="L57" s="521"/>
      <c r="M57" s="551" t="s">
        <v>341</v>
      </c>
      <c r="N57" s="552">
        <v>1046.5799</v>
      </c>
      <c r="O57" s="552">
        <v>1380.64</v>
      </c>
      <c r="P57" s="552">
        <v>1737.6989000000001</v>
      </c>
      <c r="Q57" s="553">
        <v>986.00019999999995</v>
      </c>
      <c r="R57" s="553">
        <v>1152.5546999999999</v>
      </c>
      <c r="S57" s="553">
        <v>1299.9997000000001</v>
      </c>
      <c r="T57" s="466">
        <v>41.966167765567377</v>
      </c>
      <c r="U57" s="467">
        <v>38.485415593145355</v>
      </c>
      <c r="V57" s="468">
        <v>2.5470000000000002</v>
      </c>
      <c r="W57" s="469">
        <v>1.409</v>
      </c>
    </row>
    <row r="58" spans="1:23" x14ac:dyDescent="0.3">
      <c r="A58" s="549" t="s">
        <v>694</v>
      </c>
      <c r="B58" s="550">
        <v>75.302199999999999</v>
      </c>
      <c r="C58" s="550">
        <v>147.60830000000001</v>
      </c>
      <c r="D58" s="550">
        <v>151.9007</v>
      </c>
      <c r="E58" s="550">
        <v>154.66399999999999</v>
      </c>
      <c r="F58" s="550">
        <v>158.43960000000001</v>
      </c>
      <c r="G58" s="550">
        <v>162.63550000000001</v>
      </c>
      <c r="H58" s="550">
        <v>166.33969999999999</v>
      </c>
      <c r="I58" s="460">
        <v>4.8484704953984501</v>
      </c>
      <c r="J58" s="461">
        <v>4.3183151800994315</v>
      </c>
      <c r="K58" s="462">
        <v>0.46055708538603746</v>
      </c>
      <c r="L58" s="521"/>
      <c r="M58" s="551" t="s">
        <v>694</v>
      </c>
      <c r="N58" s="552">
        <v>154.1729</v>
      </c>
      <c r="O58" s="552">
        <v>166.0198</v>
      </c>
      <c r="P58" s="552">
        <v>178.65440000000001</v>
      </c>
      <c r="Q58" s="553">
        <v>149.3211</v>
      </c>
      <c r="R58" s="553">
        <v>147.85470000000001</v>
      </c>
      <c r="S58" s="553">
        <v>146.23509999999999</v>
      </c>
      <c r="T58" s="466">
        <v>4.314579771246204</v>
      </c>
      <c r="U58" s="467">
        <v>4.329169151196858</v>
      </c>
      <c r="V58" s="468">
        <v>0.73699999999999999</v>
      </c>
      <c r="W58" s="469">
        <v>-3.5999999999999997E-2</v>
      </c>
    </row>
    <row r="59" spans="1:23" x14ac:dyDescent="0.3">
      <c r="A59" s="549" t="s">
        <v>503</v>
      </c>
      <c r="B59" s="550">
        <v>671.0249</v>
      </c>
      <c r="C59" s="550">
        <v>880.1567</v>
      </c>
      <c r="D59" s="550">
        <v>886.48230000000001</v>
      </c>
      <c r="E59" s="550">
        <v>869.07380000000001</v>
      </c>
      <c r="F59" s="550">
        <v>845.89229999999998</v>
      </c>
      <c r="G59" s="550">
        <v>813.65</v>
      </c>
      <c r="H59" s="550">
        <v>775.22910000000002</v>
      </c>
      <c r="I59" s="460">
        <v>28.910391836212902</v>
      </c>
      <c r="J59" s="461">
        <v>20.12558391403147</v>
      </c>
      <c r="K59" s="462">
        <v>-0.48704607010043866</v>
      </c>
      <c r="L59" s="521"/>
      <c r="M59" s="551" t="s">
        <v>503</v>
      </c>
      <c r="N59" s="552">
        <v>887.40940000000001</v>
      </c>
      <c r="O59" s="552">
        <v>846.52329999999995</v>
      </c>
      <c r="P59" s="552">
        <v>778.38630000000001</v>
      </c>
      <c r="Q59" s="553">
        <v>889.33460000000002</v>
      </c>
      <c r="R59" s="553">
        <v>856.70920000000001</v>
      </c>
      <c r="S59" s="553">
        <v>800.11839999999995</v>
      </c>
      <c r="T59" s="466">
        <v>18.798360321353289</v>
      </c>
      <c r="U59" s="467">
        <v>23.686843272134993</v>
      </c>
      <c r="V59" s="468">
        <v>-0.47099999999999997</v>
      </c>
      <c r="W59" s="469">
        <v>-0.36599999999999999</v>
      </c>
    </row>
    <row r="60" spans="1:23" x14ac:dyDescent="0.3">
      <c r="A60" s="571" t="s">
        <v>461</v>
      </c>
      <c r="B60" s="572">
        <v>3.4289999999999998</v>
      </c>
      <c r="C60" s="572">
        <v>34.440800000000003</v>
      </c>
      <c r="D60" s="572">
        <v>54.062199999999997</v>
      </c>
      <c r="E60" s="572">
        <v>71.276399999999995</v>
      </c>
      <c r="F60" s="572">
        <v>94.508200000000002</v>
      </c>
      <c r="G60" s="572">
        <v>121.9358</v>
      </c>
      <c r="H60" s="572">
        <v>148.95609999999999</v>
      </c>
      <c r="I60" s="505">
        <v>1.1312724463185264</v>
      </c>
      <c r="J60" s="506">
        <v>3.8670226518288118</v>
      </c>
      <c r="K60" s="507">
        <v>5.7939819995218134</v>
      </c>
      <c r="L60" s="521"/>
      <c r="M60" s="551" t="s">
        <v>461</v>
      </c>
      <c r="N60" s="552">
        <v>50.917099999999998</v>
      </c>
      <c r="O60" s="552">
        <v>79.609099999999998</v>
      </c>
      <c r="P60" s="552">
        <v>116.6641</v>
      </c>
      <c r="Q60" s="553">
        <v>58.782699999999998</v>
      </c>
      <c r="R60" s="553">
        <v>119.21720000000001</v>
      </c>
      <c r="S60" s="553">
        <v>212.86789999999999</v>
      </c>
      <c r="T60" s="466">
        <v>2.817487651525203</v>
      </c>
      <c r="U60" s="467">
        <v>6.3017780680565583</v>
      </c>
      <c r="V60" s="468">
        <v>4.8040000000000003</v>
      </c>
      <c r="W60" s="469">
        <v>7.2569999999999997</v>
      </c>
    </row>
    <row r="61" spans="1:23" x14ac:dyDescent="0.3">
      <c r="A61" s="573" t="s">
        <v>258</v>
      </c>
      <c r="B61" s="574">
        <v>642.13689999999997</v>
      </c>
      <c r="C61" s="574">
        <v>906.96880000000056</v>
      </c>
      <c r="D61" s="574">
        <v>1053.5033000000003</v>
      </c>
      <c r="E61" s="574">
        <v>1135.2590999999989</v>
      </c>
      <c r="F61" s="574">
        <v>1204.9656000000009</v>
      </c>
      <c r="G61" s="574">
        <v>1263.3776000000007</v>
      </c>
      <c r="H61" s="574">
        <v>1310.3916000000013</v>
      </c>
      <c r="I61" s="510">
        <v>100</v>
      </c>
      <c r="J61" s="511">
        <v>100</v>
      </c>
      <c r="K61" s="575">
        <v>1.4253442670772776</v>
      </c>
      <c r="L61" s="521"/>
      <c r="M61" s="576" t="s">
        <v>258</v>
      </c>
      <c r="N61" s="577">
        <v>1059.1235999999994</v>
      </c>
      <c r="O61" s="577">
        <v>1226.7538</v>
      </c>
      <c r="P61" s="577">
        <v>1355.5541999999996</v>
      </c>
      <c r="Q61" s="577">
        <v>1050.5236999999997</v>
      </c>
      <c r="R61" s="577">
        <v>1175.1099999999992</v>
      </c>
      <c r="S61" s="577">
        <v>1261.8315999999991</v>
      </c>
      <c r="T61" s="515">
        <v>100</v>
      </c>
      <c r="U61" s="515">
        <v>100</v>
      </c>
      <c r="V61" s="516">
        <v>1.5580000000000001</v>
      </c>
      <c r="W61" s="516">
        <v>1.278</v>
      </c>
    </row>
    <row r="62" spans="1:23" x14ac:dyDescent="0.3">
      <c r="A62" s="578" t="s">
        <v>679</v>
      </c>
      <c r="B62" s="579"/>
      <c r="C62" s="579"/>
      <c r="D62" s="579"/>
      <c r="E62" s="579"/>
      <c r="F62" s="579"/>
      <c r="G62" s="579"/>
      <c r="H62" s="579"/>
      <c r="I62" s="579"/>
      <c r="J62" s="579"/>
      <c r="K62" s="580" t="s">
        <v>680</v>
      </c>
      <c r="L62" s="581"/>
      <c r="M62" s="578" t="s">
        <v>679</v>
      </c>
      <c r="N62" s="579"/>
      <c r="O62" s="579"/>
      <c r="P62" s="579"/>
      <c r="Q62" s="579"/>
      <c r="R62" s="579"/>
      <c r="S62" s="579"/>
      <c r="T62" s="579"/>
      <c r="U62" s="579"/>
      <c r="V62" s="579"/>
      <c r="W62" s="580" t="s">
        <v>680</v>
      </c>
    </row>
  </sheetData>
  <mergeCells count="2">
    <mergeCell ref="V10:W10"/>
    <mergeCell ref="T11:U11"/>
  </mergeCells>
  <conditionalFormatting sqref="A1:XFD5 A7:XFD7 A6 C6:XFD6">
    <cfRule type="expression" dxfId="30" priority="2">
      <formula>_xlfn.ISFORMULA(A1)</formula>
    </cfRule>
  </conditionalFormatting>
  <conditionalFormatting sqref="B6">
    <cfRule type="expression" dxfId="29" priority="1">
      <formula>_xlfn.ISFORMULA(B6)</formula>
    </cfRule>
  </conditionalFormatting>
  <hyperlinks>
    <hyperlink ref="B3" r:id="rId1" xr:uid="{7E6C1882-2717-4EF2-9368-A37F65093130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FFF81-4C47-407C-84EF-0158E8AAFA98}">
  <sheetPr>
    <tabColor theme="7" tint="0.39997558519241921"/>
  </sheetPr>
  <dimension ref="A1:Y77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5" s="1" customFormat="1" ht="49.5" customHeight="1" x14ac:dyDescent="0.3">
      <c r="A1" s="1" t="s">
        <v>834</v>
      </c>
    </row>
    <row r="2" spans="1:25" s="2" customFormat="1" x14ac:dyDescent="0.3">
      <c r="A2" s="2" t="s">
        <v>1</v>
      </c>
      <c r="B2" s="2" t="s">
        <v>575</v>
      </c>
    </row>
    <row r="3" spans="1:25" s="2" customFormat="1" x14ac:dyDescent="0.3">
      <c r="A3" s="2" t="s">
        <v>3</v>
      </c>
      <c r="B3" s="6" t="s">
        <v>576</v>
      </c>
    </row>
    <row r="4" spans="1:25" s="2" customFormat="1" x14ac:dyDescent="0.3">
      <c r="A4" s="2" t="s">
        <v>7</v>
      </c>
      <c r="B4" s="7">
        <v>43136</v>
      </c>
    </row>
    <row r="5" spans="1:25" s="2" customFormat="1" x14ac:dyDescent="0.3">
      <c r="A5" s="2" t="s">
        <v>2</v>
      </c>
      <c r="B5" s="2" t="s">
        <v>577</v>
      </c>
    </row>
    <row r="6" spans="1:25" s="2" customFormat="1" x14ac:dyDescent="0.3">
      <c r="A6" s="2" t="s">
        <v>4</v>
      </c>
      <c r="B6" s="2" t="s">
        <v>835</v>
      </c>
    </row>
    <row r="8" spans="1:25" ht="21" x14ac:dyDescent="0.3">
      <c r="A8" s="815" t="s">
        <v>811</v>
      </c>
      <c r="B8" s="815"/>
      <c r="C8" s="815"/>
      <c r="D8" s="815"/>
      <c r="E8" s="815"/>
      <c r="F8" s="815"/>
      <c r="G8" s="815"/>
      <c r="H8" s="815"/>
      <c r="I8" s="815"/>
      <c r="J8" s="815"/>
      <c r="K8" s="815"/>
      <c r="L8" s="424"/>
      <c r="M8" s="815" t="s">
        <v>812</v>
      </c>
      <c r="N8" s="815"/>
      <c r="O8" s="815"/>
      <c r="P8" s="815"/>
      <c r="Q8" s="815"/>
      <c r="R8" s="815"/>
      <c r="S8" s="815"/>
      <c r="T8" s="815"/>
      <c r="U8" s="815"/>
      <c r="V8" s="815"/>
      <c r="W8" s="815"/>
      <c r="X8" s="815"/>
      <c r="Y8" s="815"/>
    </row>
    <row r="9" spans="1:25" x14ac:dyDescent="0.3">
      <c r="A9"/>
      <c r="B9" s="58"/>
      <c r="C9" s="58"/>
      <c r="D9" s="58"/>
      <c r="E9" s="58"/>
      <c r="F9" s="58"/>
      <c r="G9" s="58"/>
      <c r="H9" s="58"/>
      <c r="I9" s="58"/>
      <c r="J9" s="58"/>
      <c r="K9" s="58"/>
      <c r="L9" s="59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9"/>
      <c r="Y9" s="59"/>
    </row>
    <row r="10" spans="1:25" x14ac:dyDescent="0.3">
      <c r="A10" s="425"/>
      <c r="B10" s="426" t="s">
        <v>836</v>
      </c>
      <c r="C10" s="427"/>
      <c r="D10" s="427"/>
      <c r="E10" s="427"/>
      <c r="F10" s="427"/>
      <c r="G10" s="427"/>
      <c r="H10" s="427"/>
      <c r="I10" s="426" t="s">
        <v>814</v>
      </c>
      <c r="J10" s="426"/>
      <c r="K10" s="427" t="s">
        <v>815</v>
      </c>
      <c r="L10"/>
      <c r="M10" s="430"/>
      <c r="N10" s="818" t="s">
        <v>836</v>
      </c>
      <c r="O10" s="818"/>
      <c r="P10" s="818"/>
      <c r="Q10" s="818"/>
      <c r="R10" s="818"/>
      <c r="S10" s="818"/>
      <c r="T10" s="818"/>
      <c r="U10" s="818"/>
      <c r="V10" s="818" t="s">
        <v>814</v>
      </c>
      <c r="W10" s="820"/>
      <c r="X10" s="818" t="s">
        <v>815</v>
      </c>
      <c r="Y10" s="819"/>
    </row>
    <row r="11" spans="1:25" x14ac:dyDescent="0.3">
      <c r="A11" s="425"/>
      <c r="B11" s="582">
        <v>2000</v>
      </c>
      <c r="C11" s="582">
        <v>2016</v>
      </c>
      <c r="D11" s="582" t="s">
        <v>816</v>
      </c>
      <c r="E11" s="582">
        <v>2025</v>
      </c>
      <c r="F11" s="582">
        <v>2030</v>
      </c>
      <c r="G11" s="582">
        <v>2035</v>
      </c>
      <c r="H11" s="582">
        <v>2040</v>
      </c>
      <c r="I11" s="582" t="s">
        <v>816</v>
      </c>
      <c r="J11" s="583">
        <v>2040</v>
      </c>
      <c r="K11" s="429" t="s">
        <v>817</v>
      </c>
      <c r="L11"/>
      <c r="M11" s="430"/>
      <c r="N11" s="584">
        <v>2025</v>
      </c>
      <c r="O11" s="584">
        <v>2030</v>
      </c>
      <c r="P11" s="584">
        <v>2035</v>
      </c>
      <c r="Q11" s="584">
        <v>2040</v>
      </c>
      <c r="R11" s="584">
        <v>2025</v>
      </c>
      <c r="S11" s="584">
        <v>2030</v>
      </c>
      <c r="T11" s="584">
        <v>2035</v>
      </c>
      <c r="U11" s="584">
        <v>2040</v>
      </c>
      <c r="V11" s="816">
        <v>2040</v>
      </c>
      <c r="W11" s="816"/>
      <c r="X11" s="818" t="s">
        <v>817</v>
      </c>
      <c r="Y11" s="819"/>
    </row>
    <row r="12" spans="1:25" x14ac:dyDescent="0.3">
      <c r="A12" s="437"/>
      <c r="B12" s="438" t="s">
        <v>579</v>
      </c>
      <c r="C12" s="438"/>
      <c r="D12" s="438"/>
      <c r="E12" s="438"/>
      <c r="F12" s="438"/>
      <c r="G12" s="438"/>
      <c r="H12" s="438"/>
      <c r="I12" s="439" t="s">
        <v>585</v>
      </c>
      <c r="J12" s="439" t="s">
        <v>585</v>
      </c>
      <c r="K12" s="439" t="s">
        <v>837</v>
      </c>
      <c r="L12"/>
      <c r="M12" s="585"/>
      <c r="N12" s="586" t="s">
        <v>664</v>
      </c>
      <c r="O12" s="586"/>
      <c r="P12" s="586"/>
      <c r="Q12" s="586"/>
      <c r="R12" s="586" t="s">
        <v>818</v>
      </c>
      <c r="S12" s="586"/>
      <c r="T12" s="586"/>
      <c r="U12" s="586"/>
      <c r="V12" s="587" t="s">
        <v>590</v>
      </c>
      <c r="W12" s="587" t="s">
        <v>589</v>
      </c>
      <c r="X12" s="587" t="s">
        <v>590</v>
      </c>
      <c r="Y12" s="588" t="s">
        <v>589</v>
      </c>
    </row>
    <row r="13" spans="1:25" x14ac:dyDescent="0.3">
      <c r="A13" s="448" t="s">
        <v>838</v>
      </c>
      <c r="B13" s="449">
        <v>15441</v>
      </c>
      <c r="C13" s="449">
        <v>24919</v>
      </c>
      <c r="D13" s="449">
        <v>25679</v>
      </c>
      <c r="E13" s="449">
        <v>30253</v>
      </c>
      <c r="F13" s="449">
        <v>33510</v>
      </c>
      <c r="G13" s="449">
        <v>36919</v>
      </c>
      <c r="H13" s="589">
        <v>40443</v>
      </c>
      <c r="I13" s="590">
        <v>100</v>
      </c>
      <c r="J13" s="590">
        <v>100</v>
      </c>
      <c r="K13" s="591">
        <v>2</v>
      </c>
      <c r="L13"/>
      <c r="M13" s="479" t="s">
        <v>838</v>
      </c>
      <c r="N13" s="480">
        <v>30971</v>
      </c>
      <c r="O13" s="480">
        <v>34755</v>
      </c>
      <c r="P13" s="480">
        <v>38682</v>
      </c>
      <c r="Q13" s="480">
        <v>42755</v>
      </c>
      <c r="R13" s="480">
        <v>28859</v>
      </c>
      <c r="S13" s="480">
        <v>31160</v>
      </c>
      <c r="T13" s="480">
        <v>34001</v>
      </c>
      <c r="U13" s="480">
        <v>37114</v>
      </c>
      <c r="V13" s="592">
        <v>100</v>
      </c>
      <c r="W13" s="592">
        <v>100</v>
      </c>
      <c r="X13" s="482">
        <v>2.2000000000000002</v>
      </c>
      <c r="Y13" s="593">
        <v>1.6</v>
      </c>
    </row>
    <row r="14" spans="1:25" x14ac:dyDescent="0.3">
      <c r="A14" s="457" t="s">
        <v>254</v>
      </c>
      <c r="B14" s="458">
        <v>6001</v>
      </c>
      <c r="C14" s="458">
        <v>9575</v>
      </c>
      <c r="D14" s="470">
        <v>9858</v>
      </c>
      <c r="E14" s="458">
        <v>9896</v>
      </c>
      <c r="F14" s="458">
        <v>10016</v>
      </c>
      <c r="G14" s="458">
        <v>10172</v>
      </c>
      <c r="H14" s="594">
        <v>10335</v>
      </c>
      <c r="I14" s="595">
        <v>38</v>
      </c>
      <c r="J14" s="596">
        <v>26</v>
      </c>
      <c r="K14" s="597">
        <v>0.2</v>
      </c>
      <c r="L14"/>
      <c r="M14" s="457" t="s">
        <v>254</v>
      </c>
      <c r="N14" s="464">
        <v>10694</v>
      </c>
      <c r="O14" s="464">
        <v>11722</v>
      </c>
      <c r="P14" s="464">
        <v>12834</v>
      </c>
      <c r="Q14" s="464">
        <v>13910</v>
      </c>
      <c r="R14" s="598">
        <v>7193</v>
      </c>
      <c r="S14" s="598">
        <v>4847</v>
      </c>
      <c r="T14" s="598">
        <v>3050</v>
      </c>
      <c r="U14" s="598">
        <v>1982</v>
      </c>
      <c r="V14" s="599">
        <v>33</v>
      </c>
      <c r="W14" s="600">
        <v>5</v>
      </c>
      <c r="X14" s="468">
        <v>1.5</v>
      </c>
      <c r="Y14" s="601">
        <v>-6.7</v>
      </c>
    </row>
    <row r="15" spans="1:25" x14ac:dyDescent="0.3">
      <c r="A15" s="457" t="s">
        <v>266</v>
      </c>
      <c r="B15" s="458">
        <v>1212</v>
      </c>
      <c r="C15" s="458">
        <v>926</v>
      </c>
      <c r="D15" s="470">
        <v>940</v>
      </c>
      <c r="E15" s="458">
        <v>763</v>
      </c>
      <c r="F15" s="458">
        <v>676</v>
      </c>
      <c r="G15" s="458">
        <v>597</v>
      </c>
      <c r="H15" s="594">
        <v>527</v>
      </c>
      <c r="I15" s="595">
        <v>4</v>
      </c>
      <c r="J15" s="596">
        <v>1</v>
      </c>
      <c r="K15" s="597">
        <v>-2.5</v>
      </c>
      <c r="L15"/>
      <c r="M15" s="457" t="s">
        <v>266</v>
      </c>
      <c r="N15" s="464">
        <v>779</v>
      </c>
      <c r="O15" s="464">
        <v>697</v>
      </c>
      <c r="P15" s="464">
        <v>642</v>
      </c>
      <c r="Q15" s="464">
        <v>610</v>
      </c>
      <c r="R15" s="598">
        <v>605</v>
      </c>
      <c r="S15" s="598">
        <v>413</v>
      </c>
      <c r="T15" s="598">
        <v>274</v>
      </c>
      <c r="U15" s="598">
        <v>197</v>
      </c>
      <c r="V15" s="599">
        <v>1</v>
      </c>
      <c r="W15" s="600">
        <v>1</v>
      </c>
      <c r="X15" s="468">
        <v>-1.9</v>
      </c>
      <c r="Y15" s="601">
        <v>-6.6</v>
      </c>
    </row>
    <row r="16" spans="1:25" x14ac:dyDescent="0.3">
      <c r="A16" s="457" t="s">
        <v>255</v>
      </c>
      <c r="B16" s="458">
        <v>2747</v>
      </c>
      <c r="C16" s="458">
        <v>5781</v>
      </c>
      <c r="D16" s="470">
        <v>5855</v>
      </c>
      <c r="E16" s="458">
        <v>6829</v>
      </c>
      <c r="F16" s="458">
        <v>7517</v>
      </c>
      <c r="G16" s="458">
        <v>8265</v>
      </c>
      <c r="H16" s="594">
        <v>9071</v>
      </c>
      <c r="I16" s="595">
        <v>23</v>
      </c>
      <c r="J16" s="596">
        <v>22</v>
      </c>
      <c r="K16" s="597">
        <v>1.9</v>
      </c>
      <c r="L16"/>
      <c r="M16" s="457" t="s">
        <v>255</v>
      </c>
      <c r="N16" s="464">
        <v>7072</v>
      </c>
      <c r="O16" s="464">
        <v>8172</v>
      </c>
      <c r="P16" s="464">
        <v>9262</v>
      </c>
      <c r="Q16" s="464">
        <v>10295</v>
      </c>
      <c r="R16" s="598">
        <v>6810</v>
      </c>
      <c r="S16" s="598">
        <v>6830</v>
      </c>
      <c r="T16" s="598">
        <v>6255</v>
      </c>
      <c r="U16" s="598">
        <v>5358</v>
      </c>
      <c r="V16" s="599">
        <v>24</v>
      </c>
      <c r="W16" s="600">
        <v>14</v>
      </c>
      <c r="X16" s="468">
        <v>2.5</v>
      </c>
      <c r="Y16" s="601">
        <v>-0.4</v>
      </c>
    </row>
    <row r="17" spans="1:25" x14ac:dyDescent="0.3">
      <c r="A17" s="457" t="s">
        <v>257</v>
      </c>
      <c r="B17" s="458">
        <v>2591</v>
      </c>
      <c r="C17" s="458">
        <v>2605</v>
      </c>
      <c r="D17" s="470">
        <v>2637</v>
      </c>
      <c r="E17" s="458">
        <v>3089</v>
      </c>
      <c r="F17" s="458">
        <v>3253</v>
      </c>
      <c r="G17" s="458">
        <v>3520</v>
      </c>
      <c r="H17" s="594">
        <v>3726</v>
      </c>
      <c r="I17" s="595">
        <v>10</v>
      </c>
      <c r="J17" s="596">
        <v>9</v>
      </c>
      <c r="K17" s="597">
        <v>1.5</v>
      </c>
      <c r="L17"/>
      <c r="M17" s="457" t="s">
        <v>257</v>
      </c>
      <c r="N17" s="464">
        <v>3079</v>
      </c>
      <c r="O17" s="464">
        <v>3239</v>
      </c>
      <c r="P17" s="464">
        <v>3410</v>
      </c>
      <c r="Q17" s="464">
        <v>3648</v>
      </c>
      <c r="R17" s="598">
        <v>3303</v>
      </c>
      <c r="S17" s="598">
        <v>3888</v>
      </c>
      <c r="T17" s="598">
        <v>4534</v>
      </c>
      <c r="U17" s="598">
        <v>4960</v>
      </c>
      <c r="V17" s="599">
        <v>9</v>
      </c>
      <c r="W17" s="600">
        <v>13</v>
      </c>
      <c r="X17" s="468">
        <v>1.4</v>
      </c>
      <c r="Y17" s="601">
        <v>2.8</v>
      </c>
    </row>
    <row r="18" spans="1:25" x14ac:dyDescent="0.3">
      <c r="A18" s="457" t="s">
        <v>394</v>
      </c>
      <c r="B18" s="458">
        <v>2868</v>
      </c>
      <c r="C18" s="458">
        <v>5997</v>
      </c>
      <c r="D18" s="470">
        <v>6351</v>
      </c>
      <c r="E18" s="458">
        <v>9645</v>
      </c>
      <c r="F18" s="458">
        <v>12017</v>
      </c>
      <c r="G18" s="458">
        <v>14333</v>
      </c>
      <c r="H18" s="594">
        <v>16753</v>
      </c>
      <c r="I18" s="595">
        <v>25</v>
      </c>
      <c r="J18" s="596">
        <v>41</v>
      </c>
      <c r="K18" s="597">
        <v>4.3</v>
      </c>
      <c r="L18"/>
      <c r="M18" s="457" t="s">
        <v>394</v>
      </c>
      <c r="N18" s="464">
        <v>9316</v>
      </c>
      <c r="O18" s="464">
        <v>10894</v>
      </c>
      <c r="P18" s="464">
        <v>12503</v>
      </c>
      <c r="Q18" s="464">
        <v>14261</v>
      </c>
      <c r="R18" s="598">
        <v>10917</v>
      </c>
      <c r="S18" s="598">
        <v>15151</v>
      </c>
      <c r="T18" s="598">
        <v>19856</v>
      </c>
      <c r="U18" s="598">
        <v>24585</v>
      </c>
      <c r="V18" s="599">
        <v>33</v>
      </c>
      <c r="W18" s="600">
        <v>66</v>
      </c>
      <c r="X18" s="468">
        <v>3.6</v>
      </c>
      <c r="Y18" s="601">
        <v>6.1</v>
      </c>
    </row>
    <row r="19" spans="1:25" x14ac:dyDescent="0.3">
      <c r="A19" s="602" t="s">
        <v>256</v>
      </c>
      <c r="B19" s="458">
        <v>2618</v>
      </c>
      <c r="C19" s="458">
        <v>4049</v>
      </c>
      <c r="D19" s="470">
        <v>4109</v>
      </c>
      <c r="E19" s="458">
        <v>4821</v>
      </c>
      <c r="F19" s="458">
        <v>5330</v>
      </c>
      <c r="G19" s="458">
        <v>5774</v>
      </c>
      <c r="H19" s="594">
        <v>6179</v>
      </c>
      <c r="I19" s="595">
        <v>16</v>
      </c>
      <c r="J19" s="596">
        <v>15</v>
      </c>
      <c r="K19" s="597">
        <v>1.8</v>
      </c>
      <c r="L19"/>
      <c r="M19" s="602" t="s">
        <v>256</v>
      </c>
      <c r="N19" s="464">
        <v>4801</v>
      </c>
      <c r="O19" s="464">
        <v>5223</v>
      </c>
      <c r="P19" s="464">
        <v>5605</v>
      </c>
      <c r="Q19" s="464">
        <v>5973</v>
      </c>
      <c r="R19" s="598">
        <v>5012</v>
      </c>
      <c r="S19" s="598">
        <v>5722</v>
      </c>
      <c r="T19" s="598">
        <v>6371</v>
      </c>
      <c r="U19" s="598">
        <v>6990</v>
      </c>
      <c r="V19" s="599">
        <v>14</v>
      </c>
      <c r="W19" s="600">
        <v>19</v>
      </c>
      <c r="X19" s="468">
        <v>1.6</v>
      </c>
      <c r="Y19" s="601">
        <v>2.2999999999999998</v>
      </c>
    </row>
    <row r="20" spans="1:25" x14ac:dyDescent="0.3">
      <c r="A20" s="602" t="s">
        <v>503</v>
      </c>
      <c r="B20" s="458">
        <v>164</v>
      </c>
      <c r="C20" s="458">
        <v>569</v>
      </c>
      <c r="D20" s="470">
        <v>623</v>
      </c>
      <c r="E20" s="458">
        <v>890</v>
      </c>
      <c r="F20" s="458">
        <v>1057</v>
      </c>
      <c r="G20" s="458">
        <v>1238</v>
      </c>
      <c r="H20" s="594">
        <v>1427</v>
      </c>
      <c r="I20" s="595">
        <v>2</v>
      </c>
      <c r="J20" s="596">
        <v>4</v>
      </c>
      <c r="K20" s="597">
        <v>3.7</v>
      </c>
      <c r="L20"/>
      <c r="M20" s="602" t="s">
        <v>503</v>
      </c>
      <c r="N20" s="464">
        <v>873</v>
      </c>
      <c r="O20" s="464">
        <v>992</v>
      </c>
      <c r="P20" s="464">
        <v>1109</v>
      </c>
      <c r="Q20" s="464">
        <v>1228</v>
      </c>
      <c r="R20" s="598">
        <v>1039</v>
      </c>
      <c r="S20" s="598">
        <v>1325</v>
      </c>
      <c r="T20" s="598">
        <v>1646</v>
      </c>
      <c r="U20" s="598">
        <v>1968</v>
      </c>
      <c r="V20" s="599">
        <v>3</v>
      </c>
      <c r="W20" s="600">
        <v>5</v>
      </c>
      <c r="X20" s="468">
        <v>3</v>
      </c>
      <c r="Y20" s="601">
        <v>5.0999999999999996</v>
      </c>
    </row>
    <row r="21" spans="1:25" x14ac:dyDescent="0.3">
      <c r="A21" s="602" t="s">
        <v>260</v>
      </c>
      <c r="B21" s="458">
        <v>31</v>
      </c>
      <c r="C21" s="458">
        <v>957</v>
      </c>
      <c r="D21" s="470">
        <v>1085</v>
      </c>
      <c r="E21" s="458">
        <v>2304</v>
      </c>
      <c r="F21" s="458">
        <v>3157</v>
      </c>
      <c r="G21" s="458">
        <v>3960</v>
      </c>
      <c r="H21" s="594">
        <v>4690</v>
      </c>
      <c r="I21" s="595">
        <v>4</v>
      </c>
      <c r="J21" s="596">
        <v>12</v>
      </c>
      <c r="K21" s="597">
        <v>6.6</v>
      </c>
      <c r="L21"/>
      <c r="M21" s="602" t="s">
        <v>260</v>
      </c>
      <c r="N21" s="464">
        <v>2151</v>
      </c>
      <c r="O21" s="464">
        <v>2668</v>
      </c>
      <c r="P21" s="464">
        <v>3179</v>
      </c>
      <c r="Q21" s="464">
        <v>3679</v>
      </c>
      <c r="R21" s="598">
        <v>2707</v>
      </c>
      <c r="S21" s="598">
        <v>4355</v>
      </c>
      <c r="T21" s="598">
        <v>6113</v>
      </c>
      <c r="U21" s="598">
        <v>7730</v>
      </c>
      <c r="V21" s="599">
        <v>9</v>
      </c>
      <c r="W21" s="600">
        <v>21</v>
      </c>
      <c r="X21" s="468">
        <v>5.5</v>
      </c>
      <c r="Y21" s="601">
        <v>8.9</v>
      </c>
    </row>
    <row r="22" spans="1:25" x14ac:dyDescent="0.3">
      <c r="A22" s="602" t="s">
        <v>506</v>
      </c>
      <c r="B22" s="458">
        <v>52</v>
      </c>
      <c r="C22" s="458">
        <v>82</v>
      </c>
      <c r="D22" s="470">
        <v>87</v>
      </c>
      <c r="E22" s="458">
        <v>129</v>
      </c>
      <c r="F22" s="458">
        <v>190</v>
      </c>
      <c r="G22" s="458">
        <v>261</v>
      </c>
      <c r="H22" s="594">
        <v>343</v>
      </c>
      <c r="I22" s="595">
        <v>0</v>
      </c>
      <c r="J22" s="596">
        <v>1</v>
      </c>
      <c r="K22" s="597">
        <v>6.1</v>
      </c>
      <c r="L22"/>
      <c r="M22" s="602" t="s">
        <v>506</v>
      </c>
      <c r="N22" s="464">
        <v>125</v>
      </c>
      <c r="O22" s="464">
        <v>170</v>
      </c>
      <c r="P22" s="464">
        <v>222</v>
      </c>
      <c r="Q22" s="464">
        <v>277</v>
      </c>
      <c r="R22" s="598">
        <v>162</v>
      </c>
      <c r="S22" s="598">
        <v>282</v>
      </c>
      <c r="T22" s="598">
        <v>420</v>
      </c>
      <c r="U22" s="598">
        <v>555</v>
      </c>
      <c r="V22" s="599">
        <v>1</v>
      </c>
      <c r="W22" s="600">
        <v>1</v>
      </c>
      <c r="X22" s="468">
        <v>5.0999999999999996</v>
      </c>
      <c r="Y22" s="601">
        <v>8.4</v>
      </c>
    </row>
    <row r="23" spans="1:25" x14ac:dyDescent="0.3">
      <c r="A23" s="602" t="s">
        <v>504</v>
      </c>
      <c r="B23" s="458">
        <v>1</v>
      </c>
      <c r="C23" s="458">
        <v>328</v>
      </c>
      <c r="D23" s="470">
        <v>435</v>
      </c>
      <c r="E23" s="458">
        <v>1463</v>
      </c>
      <c r="F23" s="458">
        <v>2197</v>
      </c>
      <c r="G23" s="458">
        <v>2935</v>
      </c>
      <c r="H23" s="594">
        <v>3839</v>
      </c>
      <c r="I23" s="595">
        <v>2</v>
      </c>
      <c r="J23" s="596">
        <v>9</v>
      </c>
      <c r="K23" s="597">
        <v>9.9</v>
      </c>
      <c r="L23"/>
      <c r="M23" s="602" t="s">
        <v>504</v>
      </c>
      <c r="N23" s="464">
        <v>1334</v>
      </c>
      <c r="O23" s="464">
        <v>1782</v>
      </c>
      <c r="P23" s="464">
        <v>2291</v>
      </c>
      <c r="Q23" s="464">
        <v>2956</v>
      </c>
      <c r="R23" s="598">
        <v>1940</v>
      </c>
      <c r="S23" s="598">
        <v>3268</v>
      </c>
      <c r="T23" s="598">
        <v>4806</v>
      </c>
      <c r="U23" s="598">
        <v>6409</v>
      </c>
      <c r="V23" s="599">
        <v>7</v>
      </c>
      <c r="W23" s="600">
        <v>17</v>
      </c>
      <c r="X23" s="468">
        <v>8.6999999999999993</v>
      </c>
      <c r="Y23" s="601">
        <v>12.4</v>
      </c>
    </row>
    <row r="24" spans="1:25" x14ac:dyDescent="0.3">
      <c r="A24" s="602" t="s">
        <v>505</v>
      </c>
      <c r="B24" s="458">
        <v>1</v>
      </c>
      <c r="C24" s="458">
        <v>10</v>
      </c>
      <c r="D24" s="470">
        <v>11</v>
      </c>
      <c r="E24" s="458">
        <v>34</v>
      </c>
      <c r="F24" s="458">
        <v>75</v>
      </c>
      <c r="G24" s="458">
        <v>138</v>
      </c>
      <c r="H24" s="594">
        <v>222</v>
      </c>
      <c r="I24" s="595">
        <v>0</v>
      </c>
      <c r="J24" s="596">
        <v>1</v>
      </c>
      <c r="K24" s="597">
        <v>14</v>
      </c>
      <c r="L24"/>
      <c r="M24" s="602" t="s">
        <v>505</v>
      </c>
      <c r="N24" s="464">
        <v>30</v>
      </c>
      <c r="O24" s="464">
        <v>52</v>
      </c>
      <c r="P24" s="464">
        <v>80</v>
      </c>
      <c r="Q24" s="464">
        <v>119</v>
      </c>
      <c r="R24" s="598">
        <v>54</v>
      </c>
      <c r="S24" s="598">
        <v>184</v>
      </c>
      <c r="T24" s="598">
        <v>462</v>
      </c>
      <c r="U24" s="598">
        <v>855</v>
      </c>
      <c r="V24" s="599">
        <v>0</v>
      </c>
      <c r="W24" s="600">
        <v>2</v>
      </c>
      <c r="X24" s="468">
        <v>10.9</v>
      </c>
      <c r="Y24" s="601">
        <v>20.8</v>
      </c>
    </row>
    <row r="25" spans="1:25" x14ac:dyDescent="0.3">
      <c r="A25" s="603" t="s">
        <v>507</v>
      </c>
      <c r="B25" s="503">
        <v>1</v>
      </c>
      <c r="C25" s="503">
        <v>1</v>
      </c>
      <c r="D25" s="504">
        <v>1</v>
      </c>
      <c r="E25" s="503">
        <v>3</v>
      </c>
      <c r="F25" s="503">
        <v>12</v>
      </c>
      <c r="G25" s="503">
        <v>27</v>
      </c>
      <c r="H25" s="604">
        <v>52</v>
      </c>
      <c r="I25" s="605">
        <v>0</v>
      </c>
      <c r="J25" s="606">
        <v>0</v>
      </c>
      <c r="K25" s="607">
        <v>18.2</v>
      </c>
      <c r="L25"/>
      <c r="M25" s="608" t="s">
        <v>507</v>
      </c>
      <c r="N25" s="609">
        <v>2</v>
      </c>
      <c r="O25" s="609">
        <v>8</v>
      </c>
      <c r="P25" s="609">
        <v>17</v>
      </c>
      <c r="Q25" s="609">
        <v>29</v>
      </c>
      <c r="R25" s="610">
        <v>4</v>
      </c>
      <c r="S25" s="610">
        <v>15</v>
      </c>
      <c r="T25" s="610">
        <v>38</v>
      </c>
      <c r="U25" s="610">
        <v>78</v>
      </c>
      <c r="V25" s="611">
        <v>0</v>
      </c>
      <c r="W25" s="612">
        <v>0</v>
      </c>
      <c r="X25" s="613">
        <v>15.3</v>
      </c>
      <c r="Y25" s="614">
        <v>20.3</v>
      </c>
    </row>
    <row r="26" spans="1:25" x14ac:dyDescent="0.3">
      <c r="A26" s="457"/>
      <c r="B26" s="458"/>
      <c r="C26" s="458"/>
      <c r="D26" s="458"/>
      <c r="E26" s="458"/>
      <c r="F26" s="458"/>
      <c r="G26" s="458"/>
      <c r="H26" s="458"/>
      <c r="I26" s="615"/>
      <c r="J26" s="615"/>
      <c r="K26" s="616"/>
      <c r="L26"/>
      <c r="M26" s="617"/>
      <c r="N26" s="598"/>
      <c r="O26" s="598"/>
      <c r="P26" s="598"/>
      <c r="Q26" s="598"/>
      <c r="R26" s="598"/>
      <c r="S26" s="598"/>
      <c r="T26" s="598"/>
      <c r="U26" s="598"/>
      <c r="V26" s="618"/>
      <c r="W26" s="618"/>
      <c r="X26" s="619"/>
      <c r="Y26" s="619"/>
    </row>
    <row r="27" spans="1:25" x14ac:dyDescent="0.3">
      <c r="A27" s="425"/>
      <c r="B27" s="426" t="s">
        <v>839</v>
      </c>
      <c r="C27" s="427"/>
      <c r="D27" s="427"/>
      <c r="E27" s="427"/>
      <c r="F27" s="427"/>
      <c r="G27" s="427"/>
      <c r="H27" s="427"/>
      <c r="I27" s="427" t="s">
        <v>814</v>
      </c>
      <c r="J27" s="427"/>
      <c r="K27" s="427" t="s">
        <v>815</v>
      </c>
      <c r="L27" s="441"/>
      <c r="M27" s="430"/>
      <c r="N27" s="431" t="s">
        <v>839</v>
      </c>
      <c r="O27" s="431"/>
      <c r="P27" s="431"/>
      <c r="Q27" s="431"/>
      <c r="R27" s="431"/>
      <c r="S27" s="431"/>
      <c r="T27" s="431"/>
      <c r="U27" s="431"/>
      <c r="V27" s="431" t="s">
        <v>814</v>
      </c>
      <c r="W27" s="431"/>
      <c r="X27" s="818" t="s">
        <v>815</v>
      </c>
      <c r="Y27" s="819"/>
    </row>
    <row r="28" spans="1:25" x14ac:dyDescent="0.3">
      <c r="A28" s="425"/>
      <c r="B28" s="583"/>
      <c r="C28" s="582">
        <v>2016</v>
      </c>
      <c r="D28" s="582" t="s">
        <v>816</v>
      </c>
      <c r="E28" s="582">
        <v>2025</v>
      </c>
      <c r="F28" s="582">
        <v>2030</v>
      </c>
      <c r="G28" s="582">
        <v>2035</v>
      </c>
      <c r="H28" s="582">
        <v>2040</v>
      </c>
      <c r="I28" s="582" t="s">
        <v>816</v>
      </c>
      <c r="J28" s="583">
        <v>2040</v>
      </c>
      <c r="K28" s="429" t="s">
        <v>817</v>
      </c>
      <c r="L28"/>
      <c r="M28" s="430"/>
      <c r="N28" s="584">
        <v>2025</v>
      </c>
      <c r="O28" s="584">
        <v>2030</v>
      </c>
      <c r="P28" s="584">
        <v>2035</v>
      </c>
      <c r="Q28" s="584">
        <v>2040</v>
      </c>
      <c r="R28" s="584">
        <v>2025</v>
      </c>
      <c r="S28" s="584">
        <v>2030</v>
      </c>
      <c r="T28" s="584">
        <v>2035</v>
      </c>
      <c r="U28" s="584">
        <v>2040</v>
      </c>
      <c r="V28" s="816">
        <v>2040</v>
      </c>
      <c r="W28" s="816"/>
      <c r="X28" s="818" t="s">
        <v>817</v>
      </c>
      <c r="Y28" s="819"/>
    </row>
    <row r="29" spans="1:25" x14ac:dyDescent="0.3">
      <c r="A29" s="437"/>
      <c r="B29" s="438" t="s">
        <v>579</v>
      </c>
      <c r="C29" s="438"/>
      <c r="D29" s="438"/>
      <c r="E29" s="438"/>
      <c r="F29" s="438"/>
      <c r="G29" s="438"/>
      <c r="H29" s="438"/>
      <c r="I29" s="439" t="s">
        <v>585</v>
      </c>
      <c r="J29" s="439" t="s">
        <v>585</v>
      </c>
      <c r="K29" s="439" t="s">
        <v>840</v>
      </c>
      <c r="L29"/>
      <c r="M29" s="585"/>
      <c r="N29" s="586" t="s">
        <v>664</v>
      </c>
      <c r="O29" s="586"/>
      <c r="P29" s="586"/>
      <c r="Q29" s="586"/>
      <c r="R29" s="586" t="s">
        <v>818</v>
      </c>
      <c r="S29" s="586"/>
      <c r="T29" s="586"/>
      <c r="U29" s="586"/>
      <c r="V29" s="620" t="s">
        <v>590</v>
      </c>
      <c r="W29" s="620" t="s">
        <v>589</v>
      </c>
      <c r="X29" s="587" t="s">
        <v>590</v>
      </c>
      <c r="Y29" s="588" t="s">
        <v>589</v>
      </c>
    </row>
    <row r="30" spans="1:25" x14ac:dyDescent="0.3">
      <c r="A30" s="448" t="s">
        <v>841</v>
      </c>
      <c r="B30" s="621"/>
      <c r="C30" s="449">
        <v>6690</v>
      </c>
      <c r="D30" s="449">
        <v>6961</v>
      </c>
      <c r="E30" s="449">
        <v>8845</v>
      </c>
      <c r="F30" s="449">
        <v>10073</v>
      </c>
      <c r="G30" s="449">
        <v>11244</v>
      </c>
      <c r="H30" s="589">
        <v>12466</v>
      </c>
      <c r="I30" s="590">
        <v>100</v>
      </c>
      <c r="J30" s="590">
        <v>100</v>
      </c>
      <c r="K30" s="591">
        <v>2.6</v>
      </c>
      <c r="L30"/>
      <c r="M30" s="479" t="s">
        <v>841</v>
      </c>
      <c r="N30" s="480">
        <v>8789</v>
      </c>
      <c r="O30" s="480">
        <v>9802</v>
      </c>
      <c r="P30" s="480">
        <v>10876</v>
      </c>
      <c r="Q30" s="480">
        <v>11981</v>
      </c>
      <c r="R30" s="480">
        <v>9187</v>
      </c>
      <c r="S30" s="480">
        <v>10850</v>
      </c>
      <c r="T30" s="480">
        <v>12751</v>
      </c>
      <c r="U30" s="480">
        <v>14655</v>
      </c>
      <c r="V30" s="592">
        <v>100</v>
      </c>
      <c r="W30" s="592">
        <v>100</v>
      </c>
      <c r="X30" s="482">
        <v>2.4</v>
      </c>
      <c r="Y30" s="593">
        <v>3.3</v>
      </c>
    </row>
    <row r="31" spans="1:25" x14ac:dyDescent="0.3">
      <c r="A31" s="457" t="s">
        <v>254</v>
      </c>
      <c r="B31" s="622"/>
      <c r="C31" s="458">
        <v>2025</v>
      </c>
      <c r="D31" s="470">
        <v>2067</v>
      </c>
      <c r="E31" s="458">
        <v>2130</v>
      </c>
      <c r="F31" s="458">
        <v>2143</v>
      </c>
      <c r="G31" s="458">
        <v>2184</v>
      </c>
      <c r="H31" s="594">
        <v>2238</v>
      </c>
      <c r="I31" s="595">
        <v>30</v>
      </c>
      <c r="J31" s="596">
        <v>18</v>
      </c>
      <c r="K31" s="597">
        <v>0.3</v>
      </c>
      <c r="L31"/>
      <c r="M31" s="457" t="s">
        <v>254</v>
      </c>
      <c r="N31" s="464">
        <v>2219</v>
      </c>
      <c r="O31" s="464">
        <v>2348</v>
      </c>
      <c r="P31" s="464">
        <v>2518</v>
      </c>
      <c r="Q31" s="464">
        <v>2693</v>
      </c>
      <c r="R31" s="598">
        <v>1945</v>
      </c>
      <c r="S31" s="598">
        <v>1633</v>
      </c>
      <c r="T31" s="598">
        <v>1339</v>
      </c>
      <c r="U31" s="598">
        <v>1119</v>
      </c>
      <c r="V31" s="599">
        <v>22</v>
      </c>
      <c r="W31" s="600">
        <v>8</v>
      </c>
      <c r="X31" s="468">
        <v>1.2</v>
      </c>
      <c r="Y31" s="601">
        <v>-2.6</v>
      </c>
    </row>
    <row r="32" spans="1:25" x14ac:dyDescent="0.3">
      <c r="A32" s="457" t="s">
        <v>266</v>
      </c>
      <c r="B32" s="622"/>
      <c r="C32" s="458">
        <v>446</v>
      </c>
      <c r="D32" s="470">
        <v>447</v>
      </c>
      <c r="E32" s="458">
        <v>350</v>
      </c>
      <c r="F32" s="458">
        <v>307</v>
      </c>
      <c r="G32" s="458">
        <v>278</v>
      </c>
      <c r="H32" s="594">
        <v>246</v>
      </c>
      <c r="I32" s="623">
        <v>6</v>
      </c>
      <c r="J32" s="624">
        <v>2</v>
      </c>
      <c r="K32" s="597">
        <v>-2.6</v>
      </c>
      <c r="L32"/>
      <c r="M32" s="457" t="s">
        <v>266</v>
      </c>
      <c r="N32" s="464">
        <v>353</v>
      </c>
      <c r="O32" s="464">
        <v>314</v>
      </c>
      <c r="P32" s="464">
        <v>288</v>
      </c>
      <c r="Q32" s="464">
        <v>264</v>
      </c>
      <c r="R32" s="598">
        <v>339</v>
      </c>
      <c r="S32" s="598">
        <v>289</v>
      </c>
      <c r="T32" s="598">
        <v>259</v>
      </c>
      <c r="U32" s="598">
        <v>228</v>
      </c>
      <c r="V32" s="599">
        <v>2</v>
      </c>
      <c r="W32" s="600">
        <v>2</v>
      </c>
      <c r="X32" s="468">
        <v>-2.2999999999999998</v>
      </c>
      <c r="Y32" s="601">
        <v>-2.9</v>
      </c>
    </row>
    <row r="33" spans="1:25" x14ac:dyDescent="0.3">
      <c r="A33" s="457" t="s">
        <v>255</v>
      </c>
      <c r="B33" s="622"/>
      <c r="C33" s="458">
        <v>1644</v>
      </c>
      <c r="D33" s="470">
        <v>1695</v>
      </c>
      <c r="E33" s="458">
        <v>2113</v>
      </c>
      <c r="F33" s="458">
        <v>2334</v>
      </c>
      <c r="G33" s="458">
        <v>2526</v>
      </c>
      <c r="H33" s="594">
        <v>2740</v>
      </c>
      <c r="I33" s="623">
        <v>24</v>
      </c>
      <c r="J33" s="624">
        <v>22</v>
      </c>
      <c r="K33" s="597">
        <v>2.1</v>
      </c>
      <c r="L33"/>
      <c r="M33" s="457" t="s">
        <v>255</v>
      </c>
      <c r="N33" s="464">
        <v>2154</v>
      </c>
      <c r="O33" s="464">
        <v>2415</v>
      </c>
      <c r="P33" s="464">
        <v>2684</v>
      </c>
      <c r="Q33" s="464">
        <v>2930</v>
      </c>
      <c r="R33" s="598">
        <v>1996</v>
      </c>
      <c r="S33" s="598">
        <v>2103</v>
      </c>
      <c r="T33" s="598">
        <v>2261</v>
      </c>
      <c r="U33" s="598">
        <v>2406</v>
      </c>
      <c r="V33" s="599">
        <v>24</v>
      </c>
      <c r="W33" s="600">
        <v>16</v>
      </c>
      <c r="X33" s="468">
        <v>2.4</v>
      </c>
      <c r="Y33" s="601">
        <v>1.5</v>
      </c>
    </row>
    <row r="34" spans="1:25" x14ac:dyDescent="0.3">
      <c r="A34" s="457" t="s">
        <v>257</v>
      </c>
      <c r="B34" s="622"/>
      <c r="C34" s="458">
        <v>414</v>
      </c>
      <c r="D34" s="470">
        <v>412</v>
      </c>
      <c r="E34" s="458">
        <v>448</v>
      </c>
      <c r="F34" s="458">
        <v>464</v>
      </c>
      <c r="G34" s="458">
        <v>495</v>
      </c>
      <c r="H34" s="594">
        <v>518</v>
      </c>
      <c r="I34" s="623">
        <v>6</v>
      </c>
      <c r="J34" s="624">
        <v>4</v>
      </c>
      <c r="K34" s="597">
        <v>1</v>
      </c>
      <c r="L34"/>
      <c r="M34" s="457" t="s">
        <v>257</v>
      </c>
      <c r="N34" s="464">
        <v>446</v>
      </c>
      <c r="O34" s="464">
        <v>459</v>
      </c>
      <c r="P34" s="464">
        <v>473</v>
      </c>
      <c r="Q34" s="464">
        <v>498</v>
      </c>
      <c r="R34" s="598">
        <v>467</v>
      </c>
      <c r="S34" s="598">
        <v>542</v>
      </c>
      <c r="T34" s="598">
        <v>621</v>
      </c>
      <c r="U34" s="598">
        <v>678</v>
      </c>
      <c r="V34" s="599">
        <v>4</v>
      </c>
      <c r="W34" s="600">
        <v>5</v>
      </c>
      <c r="X34" s="468">
        <v>0.8</v>
      </c>
      <c r="Y34" s="601">
        <v>2.2000000000000002</v>
      </c>
    </row>
    <row r="35" spans="1:25" x14ac:dyDescent="0.3">
      <c r="A35" s="457" t="s">
        <v>394</v>
      </c>
      <c r="B35" s="625"/>
      <c r="C35" s="458">
        <v>2159</v>
      </c>
      <c r="D35" s="470">
        <v>2337</v>
      </c>
      <c r="E35" s="458">
        <v>3744</v>
      </c>
      <c r="F35" s="458">
        <v>4718</v>
      </c>
      <c r="G35" s="458">
        <v>5600</v>
      </c>
      <c r="H35" s="594">
        <v>6504</v>
      </c>
      <c r="I35" s="623">
        <v>34</v>
      </c>
      <c r="J35" s="624">
        <v>52</v>
      </c>
      <c r="K35" s="597">
        <v>4.5999999999999996</v>
      </c>
      <c r="L35"/>
      <c r="M35" s="457" t="s">
        <v>394</v>
      </c>
      <c r="N35" s="464">
        <v>3565</v>
      </c>
      <c r="O35" s="464">
        <v>4171</v>
      </c>
      <c r="P35" s="464">
        <v>4770</v>
      </c>
      <c r="Q35" s="464">
        <v>5395</v>
      </c>
      <c r="R35" s="598">
        <v>4385</v>
      </c>
      <c r="S35" s="598">
        <v>6174</v>
      </c>
      <c r="T35" s="598">
        <v>8078</v>
      </c>
      <c r="U35" s="598">
        <v>9914</v>
      </c>
      <c r="V35" s="599">
        <v>45</v>
      </c>
      <c r="W35" s="600">
        <v>68</v>
      </c>
      <c r="X35" s="468">
        <v>3.7</v>
      </c>
      <c r="Y35" s="601">
        <v>6.5</v>
      </c>
    </row>
    <row r="36" spans="1:25" x14ac:dyDescent="0.3">
      <c r="A36" s="602" t="s">
        <v>256</v>
      </c>
      <c r="B36" s="622"/>
      <c r="C36" s="458">
        <v>1244</v>
      </c>
      <c r="D36" s="470">
        <v>1270</v>
      </c>
      <c r="E36" s="458">
        <v>1462</v>
      </c>
      <c r="F36" s="458">
        <v>1604</v>
      </c>
      <c r="G36" s="458">
        <v>1728</v>
      </c>
      <c r="H36" s="594">
        <v>1839</v>
      </c>
      <c r="I36" s="623">
        <v>18</v>
      </c>
      <c r="J36" s="624">
        <v>15</v>
      </c>
      <c r="K36" s="597">
        <v>1.6</v>
      </c>
      <c r="L36"/>
      <c r="M36" s="602" t="s">
        <v>256</v>
      </c>
      <c r="N36" s="464">
        <v>1452</v>
      </c>
      <c r="O36" s="464">
        <v>1565</v>
      </c>
      <c r="P36" s="464">
        <v>1669</v>
      </c>
      <c r="Q36" s="464">
        <v>1769</v>
      </c>
      <c r="R36" s="598">
        <v>1531</v>
      </c>
      <c r="S36" s="598">
        <v>1738</v>
      </c>
      <c r="T36" s="598">
        <v>1924</v>
      </c>
      <c r="U36" s="598">
        <v>2096</v>
      </c>
      <c r="V36" s="599">
        <v>15</v>
      </c>
      <c r="W36" s="600">
        <v>14</v>
      </c>
      <c r="X36" s="468">
        <v>1.5</v>
      </c>
      <c r="Y36" s="601">
        <v>2.2000000000000002</v>
      </c>
    </row>
    <row r="37" spans="1:25" x14ac:dyDescent="0.3">
      <c r="A37" s="602" t="s">
        <v>503</v>
      </c>
      <c r="B37" s="626"/>
      <c r="C37" s="458">
        <v>129</v>
      </c>
      <c r="D37" s="470">
        <v>136</v>
      </c>
      <c r="E37" s="458">
        <v>186</v>
      </c>
      <c r="F37" s="458">
        <v>216</v>
      </c>
      <c r="G37" s="458">
        <v>247</v>
      </c>
      <c r="H37" s="594">
        <v>278</v>
      </c>
      <c r="I37" s="623">
        <v>2</v>
      </c>
      <c r="J37" s="624">
        <v>2</v>
      </c>
      <c r="K37" s="597">
        <v>3.2</v>
      </c>
      <c r="L37"/>
      <c r="M37" s="602" t="s">
        <v>503</v>
      </c>
      <c r="N37" s="464">
        <v>182</v>
      </c>
      <c r="O37" s="464">
        <v>203</v>
      </c>
      <c r="P37" s="464">
        <v>222</v>
      </c>
      <c r="Q37" s="464">
        <v>241</v>
      </c>
      <c r="R37" s="598">
        <v>213</v>
      </c>
      <c r="S37" s="598">
        <v>266</v>
      </c>
      <c r="T37" s="598">
        <v>323</v>
      </c>
      <c r="U37" s="598">
        <v>379</v>
      </c>
      <c r="V37" s="599">
        <v>2</v>
      </c>
      <c r="W37" s="600">
        <v>3</v>
      </c>
      <c r="X37" s="468">
        <v>2.5</v>
      </c>
      <c r="Y37" s="601">
        <v>4.5999999999999996</v>
      </c>
    </row>
    <row r="38" spans="1:25" x14ac:dyDescent="0.3">
      <c r="A38" s="602" t="s">
        <v>260</v>
      </c>
      <c r="B38" s="626"/>
      <c r="C38" s="458">
        <v>467</v>
      </c>
      <c r="D38" s="470">
        <v>515</v>
      </c>
      <c r="E38" s="458">
        <v>953</v>
      </c>
      <c r="F38" s="458">
        <v>1250</v>
      </c>
      <c r="G38" s="458">
        <v>1498</v>
      </c>
      <c r="H38" s="594">
        <v>1707</v>
      </c>
      <c r="I38" s="623">
        <v>7</v>
      </c>
      <c r="J38" s="624">
        <v>14</v>
      </c>
      <c r="K38" s="597">
        <v>5.4</v>
      </c>
      <c r="L38"/>
      <c r="M38" s="602" t="s">
        <v>260</v>
      </c>
      <c r="N38" s="464">
        <v>891</v>
      </c>
      <c r="O38" s="464">
        <v>1066</v>
      </c>
      <c r="P38" s="464">
        <v>1217</v>
      </c>
      <c r="Q38" s="464">
        <v>1345</v>
      </c>
      <c r="R38" s="598">
        <v>1122</v>
      </c>
      <c r="S38" s="598">
        <v>1712</v>
      </c>
      <c r="T38" s="598">
        <v>2304</v>
      </c>
      <c r="U38" s="598">
        <v>2819</v>
      </c>
      <c r="V38" s="599">
        <v>11</v>
      </c>
      <c r="W38" s="600">
        <v>19</v>
      </c>
      <c r="X38" s="468">
        <v>4.3</v>
      </c>
      <c r="Y38" s="601">
        <v>7.7</v>
      </c>
    </row>
    <row r="39" spans="1:25" x14ac:dyDescent="0.3">
      <c r="A39" s="602" t="s">
        <v>506</v>
      </c>
      <c r="B39" s="626"/>
      <c r="C39" s="458">
        <v>13</v>
      </c>
      <c r="D39" s="470">
        <v>14</v>
      </c>
      <c r="E39" s="458">
        <v>20</v>
      </c>
      <c r="F39" s="458">
        <v>29</v>
      </c>
      <c r="G39" s="458">
        <v>39</v>
      </c>
      <c r="H39" s="594">
        <v>51</v>
      </c>
      <c r="I39" s="623">
        <v>0</v>
      </c>
      <c r="J39" s="624">
        <v>0</v>
      </c>
      <c r="K39" s="597">
        <v>5.8</v>
      </c>
      <c r="L39"/>
      <c r="M39" s="602" t="s">
        <v>506</v>
      </c>
      <c r="N39" s="464">
        <v>19</v>
      </c>
      <c r="O39" s="464">
        <v>26</v>
      </c>
      <c r="P39" s="464">
        <v>33</v>
      </c>
      <c r="Q39" s="464">
        <v>41</v>
      </c>
      <c r="R39" s="598">
        <v>26</v>
      </c>
      <c r="S39" s="598">
        <v>43</v>
      </c>
      <c r="T39" s="598">
        <v>63</v>
      </c>
      <c r="U39" s="598">
        <v>82</v>
      </c>
      <c r="V39" s="599">
        <v>0</v>
      </c>
      <c r="W39" s="600">
        <v>1</v>
      </c>
      <c r="X39" s="468">
        <v>4.9000000000000004</v>
      </c>
      <c r="Y39" s="601">
        <v>8.1</v>
      </c>
    </row>
    <row r="40" spans="1:25" x14ac:dyDescent="0.3">
      <c r="A40" s="602" t="s">
        <v>504</v>
      </c>
      <c r="B40" s="626"/>
      <c r="C40" s="458">
        <v>300</v>
      </c>
      <c r="D40" s="470">
        <v>398</v>
      </c>
      <c r="E40" s="458">
        <v>1109</v>
      </c>
      <c r="F40" s="458">
        <v>1589</v>
      </c>
      <c r="G40" s="458">
        <v>2033</v>
      </c>
      <c r="H40" s="594">
        <v>2540</v>
      </c>
      <c r="I40" s="623">
        <v>6</v>
      </c>
      <c r="J40" s="624">
        <v>20</v>
      </c>
      <c r="K40" s="597">
        <v>8.4</v>
      </c>
      <c r="L40"/>
      <c r="M40" s="602" t="s">
        <v>504</v>
      </c>
      <c r="N40" s="464">
        <v>1008</v>
      </c>
      <c r="O40" s="464">
        <v>1290</v>
      </c>
      <c r="P40" s="464">
        <v>1596</v>
      </c>
      <c r="Q40" s="464">
        <v>1951</v>
      </c>
      <c r="R40" s="598">
        <v>1472</v>
      </c>
      <c r="S40" s="598">
        <v>2346</v>
      </c>
      <c r="T40" s="598">
        <v>3300</v>
      </c>
      <c r="U40" s="598">
        <v>4240</v>
      </c>
      <c r="V40" s="599">
        <v>16</v>
      </c>
      <c r="W40" s="600">
        <v>29</v>
      </c>
      <c r="X40" s="468">
        <v>7.2</v>
      </c>
      <c r="Y40" s="601">
        <v>10.8</v>
      </c>
    </row>
    <row r="41" spans="1:25" x14ac:dyDescent="0.3">
      <c r="A41" s="602" t="s">
        <v>505</v>
      </c>
      <c r="B41" s="626"/>
      <c r="C41" s="458">
        <v>5</v>
      </c>
      <c r="D41" s="470">
        <v>5</v>
      </c>
      <c r="E41" s="458">
        <v>13</v>
      </c>
      <c r="F41" s="458">
        <v>25</v>
      </c>
      <c r="G41" s="458">
        <v>44</v>
      </c>
      <c r="H41" s="594">
        <v>68</v>
      </c>
      <c r="I41" s="623">
        <v>0</v>
      </c>
      <c r="J41" s="624">
        <v>1</v>
      </c>
      <c r="K41" s="597">
        <v>12.1</v>
      </c>
      <c r="L41"/>
      <c r="M41" s="602" t="s">
        <v>505</v>
      </c>
      <c r="N41" s="464">
        <v>11</v>
      </c>
      <c r="O41" s="464">
        <v>18</v>
      </c>
      <c r="P41" s="464">
        <v>26</v>
      </c>
      <c r="Q41" s="464">
        <v>36</v>
      </c>
      <c r="R41" s="598">
        <v>20</v>
      </c>
      <c r="S41" s="598">
        <v>62</v>
      </c>
      <c r="T41" s="598">
        <v>148</v>
      </c>
      <c r="U41" s="598">
        <v>267</v>
      </c>
      <c r="V41" s="599">
        <v>0</v>
      </c>
      <c r="W41" s="600">
        <v>2</v>
      </c>
      <c r="X41" s="468">
        <v>9</v>
      </c>
      <c r="Y41" s="601">
        <v>18.899999999999999</v>
      </c>
    </row>
    <row r="42" spans="1:25" x14ac:dyDescent="0.3">
      <c r="A42" s="603" t="s">
        <v>507</v>
      </c>
      <c r="B42" s="627"/>
      <c r="C42" s="503">
        <v>1</v>
      </c>
      <c r="D42" s="504">
        <v>1</v>
      </c>
      <c r="E42" s="503">
        <v>1</v>
      </c>
      <c r="F42" s="503">
        <v>5</v>
      </c>
      <c r="G42" s="503">
        <v>11</v>
      </c>
      <c r="H42" s="604">
        <v>21</v>
      </c>
      <c r="I42" s="628">
        <v>0</v>
      </c>
      <c r="J42" s="629">
        <v>0</v>
      </c>
      <c r="K42" s="607">
        <v>17.3</v>
      </c>
      <c r="L42"/>
      <c r="M42" s="608" t="s">
        <v>507</v>
      </c>
      <c r="N42" s="609">
        <v>1</v>
      </c>
      <c r="O42" s="609">
        <v>3</v>
      </c>
      <c r="P42" s="609">
        <v>6</v>
      </c>
      <c r="Q42" s="609">
        <v>11</v>
      </c>
      <c r="R42" s="610">
        <v>2</v>
      </c>
      <c r="S42" s="610">
        <v>6</v>
      </c>
      <c r="T42" s="610">
        <v>16</v>
      </c>
      <c r="U42" s="610">
        <v>31</v>
      </c>
      <c r="V42" s="611">
        <v>0</v>
      </c>
      <c r="W42" s="612">
        <v>0</v>
      </c>
      <c r="X42" s="613">
        <v>14.2</v>
      </c>
      <c r="Y42" s="614">
        <v>19.3</v>
      </c>
    </row>
    <row r="43" spans="1:25" x14ac:dyDescent="0.3">
      <c r="A43" s="457"/>
      <c r="B43" s="630"/>
      <c r="C43" s="630"/>
      <c r="D43" s="630"/>
      <c r="E43" s="630"/>
      <c r="F43" s="630"/>
      <c r="G43" s="630"/>
      <c r="H43" s="630"/>
      <c r="I43" s="631"/>
      <c r="J43" s="631"/>
      <c r="K43" s="631"/>
      <c r="L43" s="441"/>
      <c r="M43" s="632"/>
      <c r="N43" s="632"/>
      <c r="O43" s="632"/>
      <c r="P43" s="632"/>
      <c r="Q43" s="632"/>
      <c r="R43" s="632"/>
      <c r="S43" s="632"/>
      <c r="T43" s="632"/>
      <c r="U43" s="632"/>
      <c r="V43" s="632"/>
      <c r="W43" s="632"/>
      <c r="X43" s="632"/>
      <c r="Y43" s="632"/>
    </row>
    <row r="44" spans="1:25" x14ac:dyDescent="0.3">
      <c r="A44" s="425"/>
      <c r="B44" s="426" t="s">
        <v>842</v>
      </c>
      <c r="C44" s="427"/>
      <c r="D44" s="427"/>
      <c r="E44" s="427"/>
      <c r="F44" s="427"/>
      <c r="G44" s="427"/>
      <c r="H44" s="427"/>
      <c r="I44" s="426" t="s">
        <v>814</v>
      </c>
      <c r="J44" s="426"/>
      <c r="K44" s="427" t="s">
        <v>815</v>
      </c>
      <c r="L44"/>
      <c r="M44" s="430"/>
      <c r="N44" s="431" t="s">
        <v>842</v>
      </c>
      <c r="O44" s="431"/>
      <c r="P44" s="431"/>
      <c r="Q44" s="431"/>
      <c r="R44" s="431"/>
      <c r="S44" s="431"/>
      <c r="T44" s="431"/>
      <c r="U44" s="431"/>
      <c r="V44" s="431" t="s">
        <v>814</v>
      </c>
      <c r="W44" s="431"/>
      <c r="X44" s="818" t="s">
        <v>815</v>
      </c>
      <c r="Y44" s="819"/>
    </row>
    <row r="45" spans="1:25" x14ac:dyDescent="0.3">
      <c r="A45" s="425"/>
      <c r="B45" s="582">
        <v>2000</v>
      </c>
      <c r="C45" s="582">
        <v>2016</v>
      </c>
      <c r="D45" s="582" t="s">
        <v>816</v>
      </c>
      <c r="E45" s="582">
        <v>2025</v>
      </c>
      <c r="F45" s="582">
        <v>2030</v>
      </c>
      <c r="G45" s="582">
        <v>2035</v>
      </c>
      <c r="H45" s="582">
        <v>2040</v>
      </c>
      <c r="I45" s="583" t="s">
        <v>816</v>
      </c>
      <c r="J45" s="583">
        <v>2040</v>
      </c>
      <c r="K45" s="429" t="s">
        <v>817</v>
      </c>
      <c r="L45"/>
      <c r="M45" s="430"/>
      <c r="N45" s="584">
        <v>2025</v>
      </c>
      <c r="O45" s="584">
        <v>2030</v>
      </c>
      <c r="P45" s="584">
        <v>2035</v>
      </c>
      <c r="Q45" s="584">
        <v>2040</v>
      </c>
      <c r="R45" s="584">
        <v>2025</v>
      </c>
      <c r="S45" s="584">
        <v>2030</v>
      </c>
      <c r="T45" s="584">
        <v>2035</v>
      </c>
      <c r="U45" s="584">
        <v>2040</v>
      </c>
      <c r="V45" s="633">
        <v>2040</v>
      </c>
      <c r="W45" s="633"/>
      <c r="X45" s="818" t="s">
        <v>817</v>
      </c>
      <c r="Y45" s="819"/>
    </row>
    <row r="46" spans="1:25" x14ac:dyDescent="0.3">
      <c r="A46" s="437"/>
      <c r="B46" s="438" t="s">
        <v>579</v>
      </c>
      <c r="C46" s="438"/>
      <c r="D46" s="438"/>
      <c r="E46" s="438"/>
      <c r="F46" s="438"/>
      <c r="G46" s="438"/>
      <c r="H46" s="438"/>
      <c r="I46" s="439" t="s">
        <v>585</v>
      </c>
      <c r="J46" s="439" t="s">
        <v>585</v>
      </c>
      <c r="K46" s="439" t="s">
        <v>840</v>
      </c>
      <c r="L46"/>
      <c r="M46" s="442"/>
      <c r="N46" s="586" t="s">
        <v>664</v>
      </c>
      <c r="O46" s="586"/>
      <c r="P46" s="586"/>
      <c r="Q46" s="586"/>
      <c r="R46" s="586" t="s">
        <v>818</v>
      </c>
      <c r="S46" s="586"/>
      <c r="T46" s="586"/>
      <c r="U46" s="586"/>
      <c r="V46" s="634" t="s">
        <v>590</v>
      </c>
      <c r="W46" s="634" t="s">
        <v>589</v>
      </c>
      <c r="X46" s="634" t="s">
        <v>590</v>
      </c>
      <c r="Y46" s="588" t="s">
        <v>589</v>
      </c>
    </row>
    <row r="47" spans="1:25" x14ac:dyDescent="0.3">
      <c r="A47" s="448" t="s">
        <v>843</v>
      </c>
      <c r="B47" s="449">
        <v>23123</v>
      </c>
      <c r="C47" s="449">
        <v>32053</v>
      </c>
      <c r="D47" s="449">
        <v>32580</v>
      </c>
      <c r="E47" s="449">
        <v>33902</v>
      </c>
      <c r="F47" s="449">
        <v>34576</v>
      </c>
      <c r="G47" s="449">
        <v>35157</v>
      </c>
      <c r="H47" s="589">
        <v>35881</v>
      </c>
      <c r="I47" s="590">
        <v>100</v>
      </c>
      <c r="J47" s="635">
        <v>100</v>
      </c>
      <c r="K47" s="591">
        <v>0.4</v>
      </c>
      <c r="L47"/>
      <c r="M47" s="479" t="s">
        <v>844</v>
      </c>
      <c r="N47" s="480">
        <v>35454</v>
      </c>
      <c r="O47" s="480">
        <v>37748</v>
      </c>
      <c r="P47" s="480">
        <v>40103</v>
      </c>
      <c r="Q47" s="480">
        <v>42475</v>
      </c>
      <c r="R47" s="480">
        <v>29535</v>
      </c>
      <c r="S47" s="480">
        <v>25482</v>
      </c>
      <c r="T47" s="480">
        <v>20982</v>
      </c>
      <c r="U47" s="480">
        <v>17647</v>
      </c>
      <c r="V47" s="592">
        <v>100</v>
      </c>
      <c r="W47" s="592">
        <v>100</v>
      </c>
      <c r="X47" s="482">
        <v>1.2</v>
      </c>
      <c r="Y47" s="593">
        <v>-2.6</v>
      </c>
    </row>
    <row r="48" spans="1:25" x14ac:dyDescent="0.3">
      <c r="A48" s="457" t="s">
        <v>254</v>
      </c>
      <c r="B48" s="458">
        <v>8951</v>
      </c>
      <c r="C48" s="458">
        <v>14233</v>
      </c>
      <c r="D48" s="470">
        <v>14448</v>
      </c>
      <c r="E48" s="458">
        <v>14284</v>
      </c>
      <c r="F48" s="458">
        <v>14235</v>
      </c>
      <c r="G48" s="458">
        <v>14182</v>
      </c>
      <c r="H48" s="594">
        <v>14170</v>
      </c>
      <c r="I48" s="595">
        <v>44</v>
      </c>
      <c r="J48" s="596">
        <v>39</v>
      </c>
      <c r="K48" s="597">
        <v>-0.1</v>
      </c>
      <c r="L48"/>
      <c r="M48" s="457" t="s">
        <v>254</v>
      </c>
      <c r="N48" s="464">
        <v>15207</v>
      </c>
      <c r="O48" s="464">
        <v>16099</v>
      </c>
      <c r="P48" s="464">
        <v>17042</v>
      </c>
      <c r="Q48" s="464">
        <v>17930</v>
      </c>
      <c r="R48" s="598">
        <v>11335</v>
      </c>
      <c r="S48" s="598">
        <v>8335</v>
      </c>
      <c r="T48" s="598">
        <v>5577</v>
      </c>
      <c r="U48" s="598">
        <v>3855</v>
      </c>
      <c r="V48" s="599">
        <v>42</v>
      </c>
      <c r="W48" s="600">
        <v>22</v>
      </c>
      <c r="X48" s="468">
        <v>0.9</v>
      </c>
      <c r="Y48" s="601">
        <v>-5.6</v>
      </c>
    </row>
    <row r="49" spans="1:25" x14ac:dyDescent="0.3">
      <c r="A49" s="457" t="s">
        <v>266</v>
      </c>
      <c r="B49" s="458">
        <v>9620</v>
      </c>
      <c r="C49" s="458">
        <v>11204</v>
      </c>
      <c r="D49" s="470">
        <v>11339</v>
      </c>
      <c r="E49" s="458">
        <v>11862</v>
      </c>
      <c r="F49" s="458">
        <v>11949</v>
      </c>
      <c r="G49" s="458">
        <v>11904</v>
      </c>
      <c r="H49" s="594">
        <v>11980</v>
      </c>
      <c r="I49" s="595">
        <v>35</v>
      </c>
      <c r="J49" s="596">
        <v>33</v>
      </c>
      <c r="K49" s="597">
        <v>0.2</v>
      </c>
      <c r="L49"/>
      <c r="M49" s="457" t="s">
        <v>266</v>
      </c>
      <c r="N49" s="464">
        <v>12303</v>
      </c>
      <c r="O49" s="464">
        <v>12831</v>
      </c>
      <c r="P49" s="464">
        <v>13349</v>
      </c>
      <c r="Q49" s="464">
        <v>13984</v>
      </c>
      <c r="R49" s="598">
        <v>10657</v>
      </c>
      <c r="S49" s="598">
        <v>9501</v>
      </c>
      <c r="T49" s="598">
        <v>8032</v>
      </c>
      <c r="U49" s="598">
        <v>6886</v>
      </c>
      <c r="V49" s="599">
        <v>33</v>
      </c>
      <c r="W49" s="600">
        <v>39</v>
      </c>
      <c r="X49" s="468">
        <v>0.9</v>
      </c>
      <c r="Y49" s="601">
        <v>-2.1</v>
      </c>
    </row>
    <row r="50" spans="1:25" x14ac:dyDescent="0.3">
      <c r="A50" s="502" t="s">
        <v>255</v>
      </c>
      <c r="B50" s="503">
        <v>4551</v>
      </c>
      <c r="C50" s="503">
        <v>6616</v>
      </c>
      <c r="D50" s="504">
        <v>6794</v>
      </c>
      <c r="E50" s="503">
        <v>7757</v>
      </c>
      <c r="F50" s="503">
        <v>8393</v>
      </c>
      <c r="G50" s="503">
        <v>9072</v>
      </c>
      <c r="H50" s="604">
        <v>9731</v>
      </c>
      <c r="I50" s="605">
        <v>21</v>
      </c>
      <c r="J50" s="606">
        <v>27</v>
      </c>
      <c r="K50" s="607">
        <v>1.6</v>
      </c>
      <c r="L50" s="477"/>
      <c r="M50" s="457" t="s">
        <v>255</v>
      </c>
      <c r="N50" s="464">
        <v>7945</v>
      </c>
      <c r="O50" s="464">
        <v>8818</v>
      </c>
      <c r="P50" s="464">
        <v>9712</v>
      </c>
      <c r="Q50" s="464">
        <v>10561</v>
      </c>
      <c r="R50" s="598">
        <v>7543</v>
      </c>
      <c r="S50" s="598">
        <v>7645</v>
      </c>
      <c r="T50" s="598">
        <v>7373</v>
      </c>
      <c r="U50" s="598">
        <v>6906</v>
      </c>
      <c r="V50" s="599">
        <v>25</v>
      </c>
      <c r="W50" s="600">
        <v>39</v>
      </c>
      <c r="X50" s="468">
        <v>1.9</v>
      </c>
      <c r="Y50" s="601">
        <v>0.1</v>
      </c>
    </row>
    <row r="51" spans="1:25" ht="24" x14ac:dyDescent="0.3">
      <c r="A51" s="636" t="s">
        <v>820</v>
      </c>
      <c r="B51" s="637">
        <v>9305</v>
      </c>
      <c r="C51" s="637">
        <v>13247</v>
      </c>
      <c r="D51" s="637">
        <v>13587</v>
      </c>
      <c r="E51" s="637">
        <v>13384</v>
      </c>
      <c r="F51" s="637">
        <v>13480</v>
      </c>
      <c r="G51" s="637">
        <v>13652</v>
      </c>
      <c r="H51" s="638">
        <v>13855</v>
      </c>
      <c r="I51" s="639">
        <v>100</v>
      </c>
      <c r="J51" s="640">
        <v>100</v>
      </c>
      <c r="K51" s="641">
        <v>0.1</v>
      </c>
      <c r="L51"/>
      <c r="M51" s="479" t="s">
        <v>820</v>
      </c>
      <c r="N51" s="480">
        <v>14219</v>
      </c>
      <c r="O51" s="480">
        <v>15296</v>
      </c>
      <c r="P51" s="480">
        <v>16477</v>
      </c>
      <c r="Q51" s="480">
        <v>17610</v>
      </c>
      <c r="R51" s="480">
        <v>10656</v>
      </c>
      <c r="S51" s="480">
        <v>7839</v>
      </c>
      <c r="T51" s="480">
        <v>5127</v>
      </c>
      <c r="U51" s="480">
        <v>3292</v>
      </c>
      <c r="V51" s="592">
        <v>100</v>
      </c>
      <c r="W51" s="592">
        <v>100</v>
      </c>
      <c r="X51" s="482">
        <v>1.1000000000000001</v>
      </c>
      <c r="Y51" s="483">
        <v>-6</v>
      </c>
    </row>
    <row r="52" spans="1:25" x14ac:dyDescent="0.3">
      <c r="A52" s="457" t="s">
        <v>254</v>
      </c>
      <c r="B52" s="458">
        <v>6458</v>
      </c>
      <c r="C52" s="458">
        <v>9515</v>
      </c>
      <c r="D52" s="470">
        <v>9822</v>
      </c>
      <c r="E52" s="458">
        <v>9574</v>
      </c>
      <c r="F52" s="458">
        <v>9553</v>
      </c>
      <c r="G52" s="458">
        <v>9543</v>
      </c>
      <c r="H52" s="594">
        <v>9542</v>
      </c>
      <c r="I52" s="595">
        <v>72</v>
      </c>
      <c r="J52" s="596">
        <v>69</v>
      </c>
      <c r="K52" s="597">
        <v>-0.1</v>
      </c>
      <c r="L52"/>
      <c r="M52" s="457" t="s">
        <v>254</v>
      </c>
      <c r="N52" s="464">
        <v>10300</v>
      </c>
      <c r="O52" s="464">
        <v>11097</v>
      </c>
      <c r="P52" s="464">
        <v>11957</v>
      </c>
      <c r="Q52" s="464">
        <v>12758</v>
      </c>
      <c r="R52" s="598">
        <v>6995</v>
      </c>
      <c r="S52" s="598">
        <v>4456</v>
      </c>
      <c r="T52" s="598">
        <v>2228</v>
      </c>
      <c r="U52" s="598">
        <v>930</v>
      </c>
      <c r="V52" s="599">
        <v>72</v>
      </c>
      <c r="W52" s="600">
        <v>28</v>
      </c>
      <c r="X52" s="468">
        <v>1.1000000000000001</v>
      </c>
      <c r="Y52" s="601">
        <v>-9.6999999999999993</v>
      </c>
    </row>
    <row r="53" spans="1:25" x14ac:dyDescent="0.3">
      <c r="A53" s="457" t="s">
        <v>266</v>
      </c>
      <c r="B53" s="458">
        <v>1093</v>
      </c>
      <c r="C53" s="458">
        <v>796</v>
      </c>
      <c r="D53" s="470">
        <v>805</v>
      </c>
      <c r="E53" s="458">
        <v>651</v>
      </c>
      <c r="F53" s="458">
        <v>571</v>
      </c>
      <c r="G53" s="458">
        <v>503</v>
      </c>
      <c r="H53" s="594">
        <v>448</v>
      </c>
      <c r="I53" s="595">
        <v>6</v>
      </c>
      <c r="J53" s="596">
        <v>3</v>
      </c>
      <c r="K53" s="597">
        <v>-2.5</v>
      </c>
      <c r="L53"/>
      <c r="M53" s="457" t="s">
        <v>266</v>
      </c>
      <c r="N53" s="464">
        <v>662</v>
      </c>
      <c r="O53" s="464">
        <v>587</v>
      </c>
      <c r="P53" s="464">
        <v>536</v>
      </c>
      <c r="Q53" s="464">
        <v>510</v>
      </c>
      <c r="R53" s="598">
        <v>534</v>
      </c>
      <c r="S53" s="598">
        <v>377</v>
      </c>
      <c r="T53" s="598">
        <v>264</v>
      </c>
      <c r="U53" s="598">
        <v>202</v>
      </c>
      <c r="V53" s="599">
        <v>3</v>
      </c>
      <c r="W53" s="600">
        <v>6</v>
      </c>
      <c r="X53" s="468">
        <v>-2</v>
      </c>
      <c r="Y53" s="601">
        <v>-5.8</v>
      </c>
    </row>
    <row r="54" spans="1:25" x14ac:dyDescent="0.3">
      <c r="A54" s="457" t="s">
        <v>255</v>
      </c>
      <c r="B54" s="458">
        <v>1754</v>
      </c>
      <c r="C54" s="458">
        <v>2937</v>
      </c>
      <c r="D54" s="470">
        <v>2961</v>
      </c>
      <c r="E54" s="458">
        <v>3159</v>
      </c>
      <c r="F54" s="458">
        <v>3357</v>
      </c>
      <c r="G54" s="458">
        <v>3606</v>
      </c>
      <c r="H54" s="594">
        <v>3865</v>
      </c>
      <c r="I54" s="595">
        <v>22</v>
      </c>
      <c r="J54" s="596">
        <v>28</v>
      </c>
      <c r="K54" s="597">
        <v>1.2</v>
      </c>
      <c r="L54"/>
      <c r="M54" s="457" t="s">
        <v>255</v>
      </c>
      <c r="N54" s="464">
        <v>3257</v>
      </c>
      <c r="O54" s="464">
        <v>3612</v>
      </c>
      <c r="P54" s="464">
        <v>3984</v>
      </c>
      <c r="Q54" s="464">
        <v>4342</v>
      </c>
      <c r="R54" s="598">
        <v>3128</v>
      </c>
      <c r="S54" s="598">
        <v>3006</v>
      </c>
      <c r="T54" s="598">
        <v>2635</v>
      </c>
      <c r="U54" s="598">
        <v>2160</v>
      </c>
      <c r="V54" s="599">
        <v>25</v>
      </c>
      <c r="W54" s="600">
        <v>66</v>
      </c>
      <c r="X54" s="468">
        <v>1.7</v>
      </c>
      <c r="Y54" s="601">
        <v>-1.4</v>
      </c>
    </row>
    <row r="55" spans="1:25" x14ac:dyDescent="0.3">
      <c r="A55" s="636" t="s">
        <v>823</v>
      </c>
      <c r="B55" s="637">
        <v>12632</v>
      </c>
      <c r="C55" s="637">
        <v>17223</v>
      </c>
      <c r="D55" s="637">
        <v>17381</v>
      </c>
      <c r="E55" s="637">
        <v>18707</v>
      </c>
      <c r="F55" s="637">
        <v>19217</v>
      </c>
      <c r="G55" s="637">
        <v>19578</v>
      </c>
      <c r="H55" s="638">
        <v>20029</v>
      </c>
      <c r="I55" s="639">
        <v>100</v>
      </c>
      <c r="J55" s="640">
        <v>100</v>
      </c>
      <c r="K55" s="641">
        <v>0.6</v>
      </c>
      <c r="L55"/>
      <c r="M55" s="479" t="s">
        <v>823</v>
      </c>
      <c r="N55" s="480">
        <v>19371</v>
      </c>
      <c r="O55" s="480">
        <v>20461</v>
      </c>
      <c r="P55" s="480">
        <v>21511</v>
      </c>
      <c r="Q55" s="480">
        <v>22617</v>
      </c>
      <c r="R55" s="480">
        <v>17227</v>
      </c>
      <c r="S55" s="480">
        <v>16113</v>
      </c>
      <c r="T55" s="480">
        <v>14477</v>
      </c>
      <c r="U55" s="480">
        <v>13091</v>
      </c>
      <c r="V55" s="592">
        <v>100</v>
      </c>
      <c r="W55" s="592">
        <v>100</v>
      </c>
      <c r="X55" s="482">
        <v>1.2</v>
      </c>
      <c r="Y55" s="483">
        <v>-1.2</v>
      </c>
    </row>
    <row r="56" spans="1:25" x14ac:dyDescent="0.3">
      <c r="A56" s="457" t="s">
        <v>254</v>
      </c>
      <c r="B56" s="458">
        <v>2306</v>
      </c>
      <c r="C56" s="458">
        <v>4412</v>
      </c>
      <c r="D56" s="470">
        <v>4320</v>
      </c>
      <c r="E56" s="458">
        <v>4356</v>
      </c>
      <c r="F56" s="458">
        <v>4321</v>
      </c>
      <c r="G56" s="458">
        <v>4272</v>
      </c>
      <c r="H56" s="594">
        <v>4255</v>
      </c>
      <c r="I56" s="595">
        <v>25</v>
      </c>
      <c r="J56" s="596">
        <v>21</v>
      </c>
      <c r="K56" s="597">
        <v>-0.1</v>
      </c>
      <c r="L56"/>
      <c r="M56" s="457" t="s">
        <v>254</v>
      </c>
      <c r="N56" s="464">
        <v>4548</v>
      </c>
      <c r="O56" s="464">
        <v>4630</v>
      </c>
      <c r="P56" s="464">
        <v>4702</v>
      </c>
      <c r="Q56" s="464">
        <v>4778</v>
      </c>
      <c r="R56" s="598">
        <v>4012</v>
      </c>
      <c r="S56" s="598">
        <v>3570</v>
      </c>
      <c r="T56" s="598">
        <v>3059</v>
      </c>
      <c r="U56" s="598">
        <v>2646</v>
      </c>
      <c r="V56" s="599">
        <v>21</v>
      </c>
      <c r="W56" s="600">
        <v>20</v>
      </c>
      <c r="X56" s="468">
        <v>0.4</v>
      </c>
      <c r="Y56" s="601">
        <v>-2.1</v>
      </c>
    </row>
    <row r="57" spans="1:25" x14ac:dyDescent="0.3">
      <c r="A57" s="457" t="s">
        <v>266</v>
      </c>
      <c r="B57" s="458">
        <v>7951</v>
      </c>
      <c r="C57" s="458">
        <v>9806</v>
      </c>
      <c r="D57" s="470">
        <v>9922</v>
      </c>
      <c r="E57" s="458">
        <v>10619</v>
      </c>
      <c r="F57" s="458">
        <v>10793</v>
      </c>
      <c r="G57" s="458">
        <v>10828</v>
      </c>
      <c r="H57" s="594">
        <v>10962</v>
      </c>
      <c r="I57" s="595">
        <v>57</v>
      </c>
      <c r="J57" s="596">
        <v>55</v>
      </c>
      <c r="K57" s="597">
        <v>0.4</v>
      </c>
      <c r="L57"/>
      <c r="M57" s="457" t="s">
        <v>266</v>
      </c>
      <c r="N57" s="464">
        <v>11029</v>
      </c>
      <c r="O57" s="464">
        <v>11622</v>
      </c>
      <c r="P57" s="464">
        <v>12177</v>
      </c>
      <c r="Q57" s="464">
        <v>12816</v>
      </c>
      <c r="R57" s="598">
        <v>9590</v>
      </c>
      <c r="S57" s="598">
        <v>8665</v>
      </c>
      <c r="T57" s="598">
        <v>7386</v>
      </c>
      <c r="U57" s="598">
        <v>6357</v>
      </c>
      <c r="V57" s="599">
        <v>57</v>
      </c>
      <c r="W57" s="600">
        <v>49</v>
      </c>
      <c r="X57" s="468">
        <v>1.1000000000000001</v>
      </c>
      <c r="Y57" s="601">
        <v>-1.9</v>
      </c>
    </row>
    <row r="58" spans="1:25" x14ac:dyDescent="0.3">
      <c r="A58" s="495" t="s">
        <v>845</v>
      </c>
      <c r="B58" s="496">
        <v>5619</v>
      </c>
      <c r="C58" s="496">
        <v>7610</v>
      </c>
      <c r="D58" s="497">
        <v>7730</v>
      </c>
      <c r="E58" s="496">
        <v>8453</v>
      </c>
      <c r="F58" s="496">
        <v>8678</v>
      </c>
      <c r="G58" s="496">
        <v>8768</v>
      </c>
      <c r="H58" s="642">
        <v>8940</v>
      </c>
      <c r="I58" s="643">
        <v>44</v>
      </c>
      <c r="J58" s="644">
        <v>45</v>
      </c>
      <c r="K58" s="645">
        <v>0.6</v>
      </c>
      <c r="L58"/>
      <c r="M58" s="495" t="s">
        <v>845</v>
      </c>
      <c r="N58" s="489">
        <v>8764</v>
      </c>
      <c r="O58" s="489">
        <v>9348</v>
      </c>
      <c r="P58" s="489">
        <v>9903</v>
      </c>
      <c r="Q58" s="489">
        <v>10539</v>
      </c>
      <c r="R58" s="646">
        <v>7528</v>
      </c>
      <c r="S58" s="646">
        <v>6758</v>
      </c>
      <c r="T58" s="646">
        <v>5659</v>
      </c>
      <c r="U58" s="646">
        <v>4768</v>
      </c>
      <c r="V58" s="647">
        <v>47</v>
      </c>
      <c r="W58" s="648">
        <v>36</v>
      </c>
      <c r="X58" s="493">
        <v>1.4</v>
      </c>
      <c r="Y58" s="649">
        <v>-2.1</v>
      </c>
    </row>
    <row r="59" spans="1:25" x14ac:dyDescent="0.3">
      <c r="A59" s="495" t="s">
        <v>824</v>
      </c>
      <c r="B59" s="496">
        <v>854</v>
      </c>
      <c r="C59" s="496">
        <v>1236</v>
      </c>
      <c r="D59" s="497">
        <v>1258</v>
      </c>
      <c r="E59" s="496">
        <v>1445</v>
      </c>
      <c r="F59" s="496">
        <v>1549</v>
      </c>
      <c r="G59" s="496">
        <v>1659</v>
      </c>
      <c r="H59" s="642">
        <v>1769</v>
      </c>
      <c r="I59" s="643">
        <v>7</v>
      </c>
      <c r="J59" s="644">
        <v>9</v>
      </c>
      <c r="K59" s="645">
        <v>1.5</v>
      </c>
      <c r="L59"/>
      <c r="M59" s="495" t="s">
        <v>824</v>
      </c>
      <c r="N59" s="489">
        <v>1517</v>
      </c>
      <c r="O59" s="489">
        <v>1681</v>
      </c>
      <c r="P59" s="489">
        <v>1862</v>
      </c>
      <c r="Q59" s="489">
        <v>2057</v>
      </c>
      <c r="R59" s="646">
        <v>1214</v>
      </c>
      <c r="S59" s="646">
        <v>1169</v>
      </c>
      <c r="T59" s="646">
        <v>1084</v>
      </c>
      <c r="U59" s="646">
        <v>999</v>
      </c>
      <c r="V59" s="647">
        <v>9</v>
      </c>
      <c r="W59" s="648">
        <v>8</v>
      </c>
      <c r="X59" s="493">
        <v>2.2000000000000002</v>
      </c>
      <c r="Y59" s="649">
        <v>-1</v>
      </c>
    </row>
    <row r="60" spans="1:25" x14ac:dyDescent="0.3">
      <c r="A60" s="457" t="s">
        <v>255</v>
      </c>
      <c r="B60" s="458">
        <v>2374</v>
      </c>
      <c r="C60" s="458">
        <v>3004</v>
      </c>
      <c r="D60" s="470">
        <v>3139</v>
      </c>
      <c r="E60" s="458">
        <v>3731</v>
      </c>
      <c r="F60" s="458">
        <v>4103</v>
      </c>
      <c r="G60" s="458">
        <v>4478</v>
      </c>
      <c r="H60" s="594">
        <v>4813</v>
      </c>
      <c r="I60" s="595">
        <v>18</v>
      </c>
      <c r="J60" s="596">
        <v>24</v>
      </c>
      <c r="K60" s="597">
        <v>1.9</v>
      </c>
      <c r="L60"/>
      <c r="M60" s="650" t="s">
        <v>255</v>
      </c>
      <c r="N60" s="651">
        <v>3793</v>
      </c>
      <c r="O60" s="651">
        <v>4209</v>
      </c>
      <c r="P60" s="651">
        <v>4632</v>
      </c>
      <c r="Q60" s="651">
        <v>5023</v>
      </c>
      <c r="R60" s="652">
        <v>3624</v>
      </c>
      <c r="S60" s="652">
        <v>3878</v>
      </c>
      <c r="T60" s="652">
        <v>4032</v>
      </c>
      <c r="U60" s="652">
        <v>4088</v>
      </c>
      <c r="V60" s="653">
        <v>22</v>
      </c>
      <c r="W60" s="654">
        <v>31</v>
      </c>
      <c r="X60" s="655">
        <v>2.1</v>
      </c>
      <c r="Y60" s="656">
        <v>1.2</v>
      </c>
    </row>
    <row r="61" spans="1:25" x14ac:dyDescent="0.3">
      <c r="A61" s="657" t="s">
        <v>705</v>
      </c>
      <c r="B61" s="658">
        <v>3801</v>
      </c>
      <c r="C61" s="658">
        <v>6004</v>
      </c>
      <c r="D61" s="659">
        <v>5974</v>
      </c>
      <c r="E61" s="658">
        <v>6543</v>
      </c>
      <c r="F61" s="658">
        <v>6778</v>
      </c>
      <c r="G61" s="658">
        <v>6993</v>
      </c>
      <c r="H61" s="660">
        <v>7204</v>
      </c>
      <c r="I61" s="661">
        <v>34</v>
      </c>
      <c r="J61" s="662">
        <v>36</v>
      </c>
      <c r="K61" s="663">
        <v>0.8</v>
      </c>
      <c r="L61"/>
      <c r="M61" s="664" t="s">
        <v>705</v>
      </c>
      <c r="N61" s="665">
        <v>6690</v>
      </c>
      <c r="O61" s="665">
        <v>7043</v>
      </c>
      <c r="P61" s="665">
        <v>7388</v>
      </c>
      <c r="Q61" s="665">
        <v>7729</v>
      </c>
      <c r="R61" s="666">
        <v>6109</v>
      </c>
      <c r="S61" s="666">
        <v>5799</v>
      </c>
      <c r="T61" s="666">
        <v>5369</v>
      </c>
      <c r="U61" s="666">
        <v>4987</v>
      </c>
      <c r="V61" s="667">
        <v>34</v>
      </c>
      <c r="W61" s="668">
        <v>38</v>
      </c>
      <c r="X61" s="669">
        <v>1.1000000000000001</v>
      </c>
      <c r="Y61" s="670">
        <v>-0.8</v>
      </c>
    </row>
    <row r="62" spans="1:25" x14ac:dyDescent="0.3">
      <c r="A62" s="671" t="s">
        <v>707</v>
      </c>
      <c r="B62" s="672">
        <v>5757</v>
      </c>
      <c r="C62" s="672">
        <v>7851</v>
      </c>
      <c r="D62" s="673">
        <v>7986</v>
      </c>
      <c r="E62" s="672">
        <v>8807</v>
      </c>
      <c r="F62" s="672">
        <v>9117</v>
      </c>
      <c r="G62" s="672">
        <v>9306</v>
      </c>
      <c r="H62" s="674">
        <v>9579</v>
      </c>
      <c r="I62" s="675">
        <v>46</v>
      </c>
      <c r="J62" s="676">
        <v>48</v>
      </c>
      <c r="K62" s="677">
        <v>0.8</v>
      </c>
      <c r="L62"/>
      <c r="M62" s="664" t="s">
        <v>707</v>
      </c>
      <c r="N62" s="665">
        <v>9092</v>
      </c>
      <c r="O62" s="665">
        <v>9724</v>
      </c>
      <c r="P62" s="665">
        <v>10335</v>
      </c>
      <c r="Q62" s="665">
        <v>11035</v>
      </c>
      <c r="R62" s="666">
        <v>7932</v>
      </c>
      <c r="S62" s="666">
        <v>7326</v>
      </c>
      <c r="T62" s="666">
        <v>6373</v>
      </c>
      <c r="U62" s="666">
        <v>5563</v>
      </c>
      <c r="V62" s="667">
        <v>49</v>
      </c>
      <c r="W62" s="668">
        <v>42</v>
      </c>
      <c r="X62" s="669">
        <v>1.4</v>
      </c>
      <c r="Y62" s="670">
        <v>-1.6</v>
      </c>
    </row>
    <row r="63" spans="1:25" x14ac:dyDescent="0.3">
      <c r="A63" s="678" t="s">
        <v>826</v>
      </c>
      <c r="B63" s="679">
        <v>2714</v>
      </c>
      <c r="C63" s="679">
        <v>2945</v>
      </c>
      <c r="D63" s="680">
        <v>2997</v>
      </c>
      <c r="E63" s="679">
        <v>2918</v>
      </c>
      <c r="F63" s="679">
        <v>2888</v>
      </c>
      <c r="G63" s="679">
        <v>2854</v>
      </c>
      <c r="H63" s="681">
        <v>2834</v>
      </c>
      <c r="I63" s="682">
        <v>17</v>
      </c>
      <c r="J63" s="683">
        <v>14</v>
      </c>
      <c r="K63" s="684">
        <v>-0.2</v>
      </c>
      <c r="L63"/>
      <c r="M63" s="685" t="s">
        <v>826</v>
      </c>
      <c r="N63" s="686">
        <v>3133</v>
      </c>
      <c r="O63" s="686">
        <v>3231</v>
      </c>
      <c r="P63" s="686">
        <v>3321</v>
      </c>
      <c r="Q63" s="686">
        <v>3389</v>
      </c>
      <c r="R63" s="687">
        <v>2767</v>
      </c>
      <c r="S63" s="687">
        <v>2593</v>
      </c>
      <c r="T63" s="687">
        <v>2367</v>
      </c>
      <c r="U63" s="687">
        <v>2202</v>
      </c>
      <c r="V63" s="688">
        <v>15</v>
      </c>
      <c r="W63" s="689">
        <v>17</v>
      </c>
      <c r="X63" s="690">
        <v>0.5</v>
      </c>
      <c r="Y63" s="691">
        <v>-1.3</v>
      </c>
    </row>
    <row r="64" spans="1:25" x14ac:dyDescent="0.3">
      <c r="A64" s="255"/>
      <c r="B64" s="632"/>
      <c r="C64" s="632"/>
      <c r="D64" s="632"/>
      <c r="E64" s="632"/>
      <c r="F64" s="632"/>
      <c r="G64" s="632"/>
      <c r="H64" s="632"/>
      <c r="I64" s="632"/>
      <c r="J64" s="632"/>
      <c r="K64" s="257"/>
      <c r="L64"/>
      <c r="M64"/>
      <c r="N64"/>
      <c r="O64"/>
      <c r="P64"/>
      <c r="Q64"/>
      <c r="R64"/>
      <c r="S64"/>
      <c r="T64"/>
      <c r="U64"/>
      <c r="V64"/>
      <c r="W64"/>
      <c r="X64"/>
      <c r="Y64"/>
    </row>
    <row r="65" spans="1:25" x14ac:dyDescent="0.3">
      <c r="A65" s="425"/>
      <c r="B65" s="426" t="s">
        <v>846</v>
      </c>
      <c r="C65" s="427"/>
      <c r="D65" s="427"/>
      <c r="E65" s="427"/>
      <c r="F65" s="427"/>
      <c r="G65" s="427"/>
      <c r="H65" s="427"/>
      <c r="I65" s="426"/>
      <c r="J65" s="426"/>
      <c r="K65" s="427" t="s">
        <v>815</v>
      </c>
      <c r="L65"/>
      <c r="M65" s="430"/>
      <c r="N65" s="431" t="s">
        <v>846</v>
      </c>
      <c r="O65" s="431"/>
      <c r="P65" s="431"/>
      <c r="Q65" s="431"/>
      <c r="R65" s="431"/>
      <c r="S65" s="431"/>
      <c r="T65" s="431"/>
      <c r="U65" s="431"/>
      <c r="V65" s="431"/>
      <c r="W65" s="431"/>
      <c r="X65" s="818" t="s">
        <v>815</v>
      </c>
      <c r="Y65" s="819"/>
    </row>
    <row r="66" spans="1:25" x14ac:dyDescent="0.3">
      <c r="A66" s="425"/>
      <c r="B66" s="582">
        <v>2000</v>
      </c>
      <c r="C66" s="582">
        <v>2016</v>
      </c>
      <c r="D66" s="582" t="s">
        <v>816</v>
      </c>
      <c r="E66" s="582">
        <v>2025</v>
      </c>
      <c r="F66" s="582">
        <v>2030</v>
      </c>
      <c r="G66" s="582">
        <v>2035</v>
      </c>
      <c r="H66" s="582">
        <v>2040</v>
      </c>
      <c r="I66" s="582"/>
      <c r="J66" s="582"/>
      <c r="K66" s="429" t="s">
        <v>817</v>
      </c>
      <c r="L66"/>
      <c r="M66" s="430"/>
      <c r="N66" s="584">
        <v>2025</v>
      </c>
      <c r="O66" s="584">
        <v>2030</v>
      </c>
      <c r="P66" s="584">
        <v>2035</v>
      </c>
      <c r="Q66" s="584">
        <v>2040</v>
      </c>
      <c r="R66" s="584">
        <v>2025</v>
      </c>
      <c r="S66" s="584">
        <v>2030</v>
      </c>
      <c r="T66" s="584">
        <v>2035</v>
      </c>
      <c r="U66" s="584">
        <v>2040</v>
      </c>
      <c r="V66" s="633"/>
      <c r="W66" s="633"/>
      <c r="X66" s="818" t="s">
        <v>817</v>
      </c>
      <c r="Y66" s="819"/>
    </row>
    <row r="67" spans="1:25" x14ac:dyDescent="0.3">
      <c r="A67" s="437"/>
      <c r="B67" s="438" t="s">
        <v>579</v>
      </c>
      <c r="C67" s="438"/>
      <c r="D67" s="438"/>
      <c r="E67" s="438"/>
      <c r="F67" s="438"/>
      <c r="G67" s="438"/>
      <c r="H67" s="438"/>
      <c r="I67" s="439"/>
      <c r="J67" s="439"/>
      <c r="K67" s="439" t="s">
        <v>840</v>
      </c>
      <c r="L67"/>
      <c r="M67" s="692"/>
      <c r="N67" s="586" t="s">
        <v>664</v>
      </c>
      <c r="O67" s="586"/>
      <c r="P67" s="586"/>
      <c r="Q67" s="586"/>
      <c r="R67" s="821" t="s">
        <v>818</v>
      </c>
      <c r="S67" s="821"/>
      <c r="T67" s="821"/>
      <c r="U67" s="821"/>
      <c r="V67" s="586"/>
      <c r="W67" s="586"/>
      <c r="X67" s="586" t="s">
        <v>590</v>
      </c>
      <c r="Y67" s="693" t="s">
        <v>589</v>
      </c>
    </row>
    <row r="68" spans="1:25" x14ac:dyDescent="0.3">
      <c r="A68" s="457" t="s">
        <v>847</v>
      </c>
      <c r="B68" s="458">
        <v>6115</v>
      </c>
      <c r="C68" s="458">
        <v>7433</v>
      </c>
      <c r="D68" s="470">
        <v>7516</v>
      </c>
      <c r="E68" s="458">
        <v>8149</v>
      </c>
      <c r="F68" s="458">
        <v>8514</v>
      </c>
      <c r="G68" s="458">
        <v>8855</v>
      </c>
      <c r="H68" s="458">
        <v>9172</v>
      </c>
      <c r="I68" s="615"/>
      <c r="J68" s="615"/>
      <c r="K68" s="694">
        <v>0.9</v>
      </c>
      <c r="L68"/>
      <c r="M68" s="457" t="s">
        <v>847</v>
      </c>
      <c r="N68" s="464">
        <v>8149</v>
      </c>
      <c r="O68" s="464">
        <v>8514</v>
      </c>
      <c r="P68" s="464">
        <v>8855</v>
      </c>
      <c r="Q68" s="464">
        <v>9172</v>
      </c>
      <c r="R68" s="598">
        <v>8149</v>
      </c>
      <c r="S68" s="598">
        <v>8514</v>
      </c>
      <c r="T68" s="598">
        <v>8855</v>
      </c>
      <c r="U68" s="598">
        <v>9172</v>
      </c>
      <c r="V68" s="600"/>
      <c r="W68" s="600"/>
      <c r="X68" s="468">
        <v>0.9</v>
      </c>
      <c r="Y68" s="601">
        <v>0.9</v>
      </c>
    </row>
    <row r="69" spans="1:25" x14ac:dyDescent="0.3">
      <c r="A69" s="441" t="s">
        <v>848</v>
      </c>
      <c r="B69" s="695">
        <v>1</v>
      </c>
      <c r="C69" s="695">
        <v>1</v>
      </c>
      <c r="D69" s="696">
        <v>1</v>
      </c>
      <c r="E69" s="695">
        <v>1</v>
      </c>
      <c r="F69" s="695">
        <v>1</v>
      </c>
      <c r="G69" s="695">
        <v>1</v>
      </c>
      <c r="H69" s="695">
        <v>1</v>
      </c>
      <c r="I69" s="615"/>
      <c r="J69" s="615"/>
      <c r="K69" s="694" t="s">
        <v>849</v>
      </c>
      <c r="L69"/>
      <c r="M69" s="441" t="s">
        <v>848</v>
      </c>
      <c r="N69" s="697">
        <v>1</v>
      </c>
      <c r="O69" s="697">
        <v>1</v>
      </c>
      <c r="P69" s="697">
        <v>1</v>
      </c>
      <c r="Q69" s="697">
        <v>1</v>
      </c>
      <c r="R69" s="698">
        <v>1</v>
      </c>
      <c r="S69" s="698">
        <v>1</v>
      </c>
      <c r="T69" s="698">
        <v>1</v>
      </c>
      <c r="U69" s="698">
        <v>1</v>
      </c>
      <c r="V69" s="600"/>
      <c r="W69" s="600"/>
      <c r="X69" s="468" t="s">
        <v>849</v>
      </c>
      <c r="Y69" s="601" t="s">
        <v>849</v>
      </c>
    </row>
    <row r="70" spans="1:25" x14ac:dyDescent="0.3">
      <c r="A70" s="441" t="s">
        <v>850</v>
      </c>
      <c r="B70" s="458">
        <v>69223</v>
      </c>
      <c r="C70" s="458">
        <v>122666</v>
      </c>
      <c r="D70" s="470">
        <v>127178</v>
      </c>
      <c r="E70" s="458">
        <v>170679</v>
      </c>
      <c r="F70" s="458">
        <v>202940</v>
      </c>
      <c r="G70" s="458">
        <v>238353</v>
      </c>
      <c r="H70" s="458">
        <v>276076</v>
      </c>
      <c r="I70" s="615"/>
      <c r="J70" s="615"/>
      <c r="K70" s="694">
        <v>3.4</v>
      </c>
      <c r="L70"/>
      <c r="M70" s="441" t="s">
        <v>850</v>
      </c>
      <c r="N70" s="464">
        <v>170679</v>
      </c>
      <c r="O70" s="464">
        <v>202940</v>
      </c>
      <c r="P70" s="464">
        <v>238353</v>
      </c>
      <c r="Q70" s="464">
        <v>276076</v>
      </c>
      <c r="R70" s="598">
        <v>170679</v>
      </c>
      <c r="S70" s="598">
        <v>202940</v>
      </c>
      <c r="T70" s="598">
        <v>238353</v>
      </c>
      <c r="U70" s="598">
        <v>276076</v>
      </c>
      <c r="V70" s="600"/>
      <c r="W70" s="600"/>
      <c r="X70" s="468">
        <v>3.4</v>
      </c>
      <c r="Y70" s="601">
        <v>3.4</v>
      </c>
    </row>
    <row r="71" spans="1:25" x14ac:dyDescent="0.3">
      <c r="A71" s="441" t="s">
        <v>851</v>
      </c>
      <c r="B71" s="695">
        <v>1</v>
      </c>
      <c r="C71" s="695">
        <v>1</v>
      </c>
      <c r="D71" s="696">
        <v>1</v>
      </c>
      <c r="E71" s="695">
        <v>1</v>
      </c>
      <c r="F71" s="695">
        <v>1</v>
      </c>
      <c r="G71" s="695">
        <v>1</v>
      </c>
      <c r="H71" s="695">
        <v>1</v>
      </c>
      <c r="I71" s="615"/>
      <c r="J71" s="615"/>
      <c r="K71" s="694" t="s">
        <v>849</v>
      </c>
      <c r="L71"/>
      <c r="M71" s="441" t="s">
        <v>851</v>
      </c>
      <c r="N71" s="697">
        <v>1</v>
      </c>
      <c r="O71" s="697">
        <v>1</v>
      </c>
      <c r="P71" s="697">
        <v>1</v>
      </c>
      <c r="Q71" s="697">
        <v>1</v>
      </c>
      <c r="R71" s="698">
        <v>1</v>
      </c>
      <c r="S71" s="698">
        <v>1</v>
      </c>
      <c r="T71" s="698">
        <v>1</v>
      </c>
      <c r="U71" s="698">
        <v>1</v>
      </c>
      <c r="V71" s="600"/>
      <c r="W71" s="600"/>
      <c r="X71" s="468" t="s">
        <v>849</v>
      </c>
      <c r="Y71" s="601" t="s">
        <v>849</v>
      </c>
    </row>
    <row r="72" spans="1:25" x14ac:dyDescent="0.3">
      <c r="A72" s="441" t="s">
        <v>852</v>
      </c>
      <c r="B72" s="458">
        <v>11321</v>
      </c>
      <c r="C72" s="458">
        <v>16503</v>
      </c>
      <c r="D72" s="470">
        <v>16921</v>
      </c>
      <c r="E72" s="458">
        <v>20944</v>
      </c>
      <c r="F72" s="458">
        <v>23836</v>
      </c>
      <c r="G72" s="458">
        <v>26918</v>
      </c>
      <c r="H72" s="458">
        <v>30101</v>
      </c>
      <c r="I72" s="615"/>
      <c r="J72" s="615"/>
      <c r="K72" s="694">
        <v>2.5</v>
      </c>
      <c r="L72"/>
      <c r="M72" s="441" t="s">
        <v>852</v>
      </c>
      <c r="N72" s="464">
        <v>20944</v>
      </c>
      <c r="O72" s="464">
        <v>23836</v>
      </c>
      <c r="P72" s="464">
        <v>26918</v>
      </c>
      <c r="Q72" s="464">
        <v>30101</v>
      </c>
      <c r="R72" s="598">
        <v>20944</v>
      </c>
      <c r="S72" s="598">
        <v>23836</v>
      </c>
      <c r="T72" s="598">
        <v>26918</v>
      </c>
      <c r="U72" s="598">
        <v>30101</v>
      </c>
      <c r="V72" s="600"/>
      <c r="W72" s="600"/>
      <c r="X72" s="468">
        <v>2.5</v>
      </c>
      <c r="Y72" s="601">
        <v>2.5</v>
      </c>
    </row>
    <row r="73" spans="1:25" x14ac:dyDescent="0.3">
      <c r="A73" s="441" t="s">
        <v>853</v>
      </c>
      <c r="B73" s="458">
        <v>48977.127999999997</v>
      </c>
      <c r="C73" s="458">
        <v>77448.941999999995</v>
      </c>
      <c r="D73" s="470">
        <v>79923.241999999998</v>
      </c>
      <c r="E73" s="458">
        <v>101834.454</v>
      </c>
      <c r="F73" s="458">
        <v>117453.285</v>
      </c>
      <c r="G73" s="458">
        <v>134407.28700000001</v>
      </c>
      <c r="H73" s="458">
        <v>152497.98300000001</v>
      </c>
      <c r="I73" s="615"/>
      <c r="J73" s="615"/>
      <c r="K73" s="694">
        <v>2.8</v>
      </c>
      <c r="L73"/>
      <c r="M73" s="441" t="s">
        <v>853</v>
      </c>
      <c r="N73" s="464">
        <v>101834.454</v>
      </c>
      <c r="O73" s="464">
        <v>117453.285</v>
      </c>
      <c r="P73" s="464">
        <v>134407.28700000001</v>
      </c>
      <c r="Q73" s="464">
        <v>152497.98300000001</v>
      </c>
      <c r="R73" s="598">
        <v>101834.454</v>
      </c>
      <c r="S73" s="598">
        <v>117453.285</v>
      </c>
      <c r="T73" s="598">
        <v>134407.28700000001</v>
      </c>
      <c r="U73" s="598">
        <v>152497.98300000001</v>
      </c>
      <c r="V73" s="600"/>
      <c r="W73" s="600"/>
      <c r="X73" s="468">
        <v>2.8</v>
      </c>
      <c r="Y73" s="601">
        <v>2.8</v>
      </c>
    </row>
    <row r="74" spans="1:25" x14ac:dyDescent="0.3">
      <c r="A74" s="441" t="s">
        <v>854</v>
      </c>
      <c r="B74" s="699">
        <v>0.14499999999999999</v>
      </c>
      <c r="C74" s="699">
        <v>0.112</v>
      </c>
      <c r="D74" s="700">
        <v>0.11</v>
      </c>
      <c r="E74" s="699">
        <v>0.09</v>
      </c>
      <c r="F74" s="699">
        <v>0.08</v>
      </c>
      <c r="G74" s="699">
        <v>7.0999999999999994E-2</v>
      </c>
      <c r="H74" s="699">
        <v>6.4000000000000001E-2</v>
      </c>
      <c r="I74" s="615"/>
      <c r="J74" s="615"/>
      <c r="K74" s="694">
        <v>-2.2999999999999998</v>
      </c>
      <c r="L74"/>
      <c r="M74" s="441" t="s">
        <v>854</v>
      </c>
      <c r="N74" s="701">
        <v>9.1999999999999998E-2</v>
      </c>
      <c r="O74" s="701">
        <v>8.4000000000000005E-2</v>
      </c>
      <c r="P74" s="701">
        <v>7.5999999999999998E-2</v>
      </c>
      <c r="Q74" s="701">
        <v>7.0000000000000007E-2</v>
      </c>
      <c r="R74" s="702">
        <v>8.3000000000000004E-2</v>
      </c>
      <c r="S74" s="702">
        <v>6.8000000000000005E-2</v>
      </c>
      <c r="T74" s="702">
        <v>5.7000000000000002E-2</v>
      </c>
      <c r="U74" s="702">
        <v>0.05</v>
      </c>
      <c r="V74" s="600"/>
      <c r="W74" s="600"/>
      <c r="X74" s="468">
        <v>-1.9</v>
      </c>
      <c r="Y74" s="601">
        <v>-3.4</v>
      </c>
    </row>
    <row r="75" spans="1:25" x14ac:dyDescent="0.3">
      <c r="A75" s="441" t="s">
        <v>855</v>
      </c>
      <c r="B75" s="699">
        <v>0.10199999999999999</v>
      </c>
      <c r="C75" s="699">
        <v>7.8E-2</v>
      </c>
      <c r="D75" s="700">
        <v>7.5999999999999998E-2</v>
      </c>
      <c r="E75" s="699">
        <v>6.4000000000000001E-2</v>
      </c>
      <c r="F75" s="699">
        <v>5.6000000000000001E-2</v>
      </c>
      <c r="G75" s="699">
        <v>0.05</v>
      </c>
      <c r="H75" s="699">
        <v>4.5999999999999999E-2</v>
      </c>
      <c r="I75" s="615"/>
      <c r="J75" s="615"/>
      <c r="K75" s="694">
        <v>-2.2000000000000002</v>
      </c>
      <c r="L75" s="441"/>
      <c r="M75" s="441" t="s">
        <v>855</v>
      </c>
      <c r="N75" s="701">
        <v>6.5000000000000002E-2</v>
      </c>
      <c r="O75" s="701">
        <v>5.8999999999999997E-2</v>
      </c>
      <c r="P75" s="701">
        <v>5.2999999999999999E-2</v>
      </c>
      <c r="Q75" s="701">
        <v>4.9000000000000002E-2</v>
      </c>
      <c r="R75" s="702">
        <v>5.8999999999999997E-2</v>
      </c>
      <c r="S75" s="702">
        <v>4.9000000000000002E-2</v>
      </c>
      <c r="T75" s="702">
        <v>4.2000000000000003E-2</v>
      </c>
      <c r="U75" s="702">
        <v>3.5999999999999997E-2</v>
      </c>
      <c r="V75" s="600"/>
      <c r="W75" s="600"/>
      <c r="X75" s="468">
        <v>-1.9</v>
      </c>
      <c r="Y75" s="601">
        <v>-3.2</v>
      </c>
    </row>
    <row r="76" spans="1:25" x14ac:dyDescent="0.3">
      <c r="A76" s="703" t="s">
        <v>856</v>
      </c>
      <c r="B76" s="704">
        <v>1.6397999999999999</v>
      </c>
      <c r="C76" s="704">
        <v>1.8442000000000001</v>
      </c>
      <c r="D76" s="705">
        <v>1.8589</v>
      </c>
      <c r="E76" s="704">
        <v>1.8882000000000001</v>
      </c>
      <c r="F76" s="704">
        <v>1.8989</v>
      </c>
      <c r="G76" s="704">
        <v>1.9115</v>
      </c>
      <c r="H76" s="704">
        <v>1.9315</v>
      </c>
      <c r="I76" s="706"/>
      <c r="J76" s="706"/>
      <c r="K76" s="707">
        <v>0.2</v>
      </c>
      <c r="L76"/>
      <c r="M76" s="708" t="s">
        <v>856</v>
      </c>
      <c r="N76" s="709">
        <v>1.9366000000000001</v>
      </c>
      <c r="O76" s="709">
        <v>1.99</v>
      </c>
      <c r="P76" s="709">
        <v>2.0468999999999999</v>
      </c>
      <c r="Q76" s="709">
        <v>2.1073</v>
      </c>
      <c r="R76" s="710">
        <v>1.7358</v>
      </c>
      <c r="S76" s="710">
        <v>1.6232</v>
      </c>
      <c r="T76" s="710">
        <v>1.5458000000000001</v>
      </c>
      <c r="U76" s="710">
        <v>1.4954000000000001</v>
      </c>
      <c r="V76" s="612"/>
      <c r="W76" s="612"/>
      <c r="X76" s="613">
        <v>0.5</v>
      </c>
      <c r="Y76" s="614">
        <v>-0.9</v>
      </c>
    </row>
    <row r="77" spans="1:25" x14ac:dyDescent="0.3">
      <c r="A77" s="255" t="s">
        <v>657</v>
      </c>
      <c r="B77" s="632"/>
      <c r="C77" s="632"/>
      <c r="D77" s="632"/>
      <c r="E77" s="632"/>
      <c r="F77" s="632"/>
      <c r="G77" s="632"/>
      <c r="H77" s="632"/>
      <c r="I77" s="632"/>
      <c r="J77" s="632"/>
      <c r="K77" s="257" t="s">
        <v>658</v>
      </c>
      <c r="L77"/>
      <c r="M77" s="255" t="s">
        <v>657</v>
      </c>
      <c r="N77" s="632"/>
      <c r="O77" s="632"/>
      <c r="P77" s="632"/>
      <c r="Q77" s="632"/>
      <c r="R77" s="632"/>
      <c r="S77" s="632"/>
      <c r="T77" s="632"/>
      <c r="U77" s="632"/>
      <c r="V77" s="632"/>
      <c r="W77" s="632"/>
      <c r="X77" s="632"/>
      <c r="Y77" s="257" t="s">
        <v>658</v>
      </c>
    </row>
  </sheetData>
  <mergeCells count="15">
    <mergeCell ref="X66:Y66"/>
    <mergeCell ref="R67:U67"/>
    <mergeCell ref="X27:Y27"/>
    <mergeCell ref="V28:W28"/>
    <mergeCell ref="X28:Y28"/>
    <mergeCell ref="X44:Y44"/>
    <mergeCell ref="X45:Y45"/>
    <mergeCell ref="X65:Y65"/>
    <mergeCell ref="V11:W11"/>
    <mergeCell ref="X11:Y11"/>
    <mergeCell ref="A8:K8"/>
    <mergeCell ref="M8:Y8"/>
    <mergeCell ref="N10:U10"/>
    <mergeCell ref="V10:W10"/>
    <mergeCell ref="X10:Y10"/>
  </mergeCells>
  <conditionalFormatting sqref="A1:XFD7">
    <cfRule type="expression" dxfId="28" priority="1">
      <formula>_xlfn.ISFORMULA(A1)</formula>
    </cfRule>
  </conditionalFormatting>
  <hyperlinks>
    <hyperlink ref="B3" r:id="rId1" xr:uid="{8E131F40-3621-4B8E-9D8F-D9FCE6795B44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A7915-635D-44A9-A003-8DC002E515BC}">
  <sheetPr>
    <tabColor theme="7" tint="0.39997558519241921"/>
  </sheetPr>
  <dimension ref="A1:W59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23" s="1" customFormat="1" ht="49.5" customHeight="1" x14ac:dyDescent="0.3">
      <c r="A1" s="1" t="s">
        <v>857</v>
      </c>
    </row>
    <row r="2" spans="1:23" s="2" customFormat="1" x14ac:dyDescent="0.3">
      <c r="A2" s="2" t="s">
        <v>1</v>
      </c>
      <c r="B2" s="2" t="s">
        <v>660</v>
      </c>
    </row>
    <row r="3" spans="1:23" s="2" customFormat="1" x14ac:dyDescent="0.3">
      <c r="A3" s="2" t="s">
        <v>3</v>
      </c>
      <c r="B3" s="6" t="s">
        <v>661</v>
      </c>
    </row>
    <row r="4" spans="1:23" s="2" customFormat="1" x14ac:dyDescent="0.3">
      <c r="A4" s="2" t="s">
        <v>7</v>
      </c>
      <c r="B4" s="7">
        <v>43136</v>
      </c>
    </row>
    <row r="5" spans="1:23" s="2" customFormat="1" x14ac:dyDescent="0.3">
      <c r="A5" s="2" t="s">
        <v>2</v>
      </c>
      <c r="B5" s="2" t="s">
        <v>577</v>
      </c>
    </row>
    <row r="6" spans="1:23" s="2" customFormat="1" x14ac:dyDescent="0.3">
      <c r="A6" s="2" t="s">
        <v>4</v>
      </c>
      <c r="B6" s="2" t="s">
        <v>835</v>
      </c>
    </row>
    <row r="8" spans="1:23" ht="23.4" x14ac:dyDescent="0.3">
      <c r="A8" s="518" t="s">
        <v>811</v>
      </c>
      <c r="B8" s="518"/>
      <c r="C8" s="518"/>
      <c r="D8" s="518"/>
      <c r="E8" s="518"/>
      <c r="F8" s="518"/>
      <c r="G8" s="518"/>
      <c r="H8" s="518"/>
      <c r="I8" s="518"/>
      <c r="J8" s="518"/>
      <c r="K8" s="518"/>
      <c r="L8" s="519"/>
      <c r="M8" s="518" t="s">
        <v>830</v>
      </c>
      <c r="N8" s="518"/>
      <c r="O8" s="518"/>
      <c r="P8" s="518"/>
      <c r="Q8" s="518"/>
      <c r="R8" s="518"/>
      <c r="S8" s="518"/>
      <c r="T8" s="518"/>
      <c r="U8" s="518"/>
      <c r="V8" s="518"/>
      <c r="W8" s="518"/>
    </row>
    <row r="9" spans="1:23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3" x14ac:dyDescent="0.3">
      <c r="A10" s="533"/>
      <c r="B10" s="711" t="s">
        <v>836</v>
      </c>
      <c r="C10" s="712"/>
      <c r="D10" s="712"/>
      <c r="E10" s="712"/>
      <c r="F10" s="712"/>
      <c r="G10" s="712"/>
      <c r="H10" s="712"/>
      <c r="I10" s="711" t="s">
        <v>814</v>
      </c>
      <c r="J10" s="711"/>
      <c r="K10" s="712" t="s">
        <v>815</v>
      </c>
      <c r="L10" s="521"/>
      <c r="M10" s="528"/>
      <c r="N10" s="822" t="s">
        <v>836</v>
      </c>
      <c r="O10" s="822"/>
      <c r="P10" s="822"/>
      <c r="Q10" s="822"/>
      <c r="R10" s="822"/>
      <c r="S10" s="822"/>
      <c r="T10" s="822" t="s">
        <v>814</v>
      </c>
      <c r="U10" s="823"/>
      <c r="V10" s="822" t="s">
        <v>815</v>
      </c>
      <c r="W10" s="822"/>
    </row>
    <row r="11" spans="1:23" x14ac:dyDescent="0.3">
      <c r="A11" s="533"/>
      <c r="B11" s="713">
        <v>1990</v>
      </c>
      <c r="C11" s="713">
        <v>2014</v>
      </c>
      <c r="D11" s="713">
        <v>2020</v>
      </c>
      <c r="E11" s="713">
        <v>2025</v>
      </c>
      <c r="F11" s="713">
        <v>2030</v>
      </c>
      <c r="G11" s="713">
        <v>2035</v>
      </c>
      <c r="H11" s="713">
        <v>2040</v>
      </c>
      <c r="I11" s="714">
        <v>2014</v>
      </c>
      <c r="J11" s="714">
        <v>2040</v>
      </c>
      <c r="K11" s="534" t="s">
        <v>831</v>
      </c>
      <c r="L11" s="521"/>
      <c r="M11" s="528"/>
      <c r="N11" s="715">
        <v>2020</v>
      </c>
      <c r="O11" s="715">
        <v>2030</v>
      </c>
      <c r="P11" s="715">
        <v>2040</v>
      </c>
      <c r="Q11" s="715">
        <v>2020</v>
      </c>
      <c r="R11" s="715">
        <v>2030</v>
      </c>
      <c r="S11" s="715">
        <v>2040</v>
      </c>
      <c r="T11" s="817">
        <v>2040</v>
      </c>
      <c r="U11" s="817"/>
      <c r="V11" s="822" t="s">
        <v>831</v>
      </c>
      <c r="W11" s="822"/>
    </row>
    <row r="12" spans="1:23" x14ac:dyDescent="0.3">
      <c r="A12" s="536"/>
      <c r="B12" s="537" t="s">
        <v>579</v>
      </c>
      <c r="C12" s="537"/>
      <c r="D12" s="537"/>
      <c r="E12" s="537"/>
      <c r="F12" s="537"/>
      <c r="G12" s="537"/>
      <c r="H12" s="537"/>
      <c r="I12" s="538" t="s">
        <v>585</v>
      </c>
      <c r="J12" s="538" t="s">
        <v>585</v>
      </c>
      <c r="K12" s="716" t="s">
        <v>837</v>
      </c>
      <c r="L12" s="521"/>
      <c r="M12" s="717"/>
      <c r="N12" s="718" t="s">
        <v>664</v>
      </c>
      <c r="O12" s="718"/>
      <c r="P12" s="718"/>
      <c r="Q12" s="718" t="s">
        <v>665</v>
      </c>
      <c r="R12" s="718"/>
      <c r="S12" s="718"/>
      <c r="T12" s="719" t="s">
        <v>590</v>
      </c>
      <c r="U12" s="719">
        <v>450</v>
      </c>
      <c r="V12" s="719" t="s">
        <v>590</v>
      </c>
      <c r="W12" s="719">
        <v>450</v>
      </c>
    </row>
    <row r="13" spans="1:23" x14ac:dyDescent="0.3">
      <c r="A13" s="544" t="s">
        <v>838</v>
      </c>
      <c r="B13" s="545">
        <v>11863.334999999999</v>
      </c>
      <c r="C13" s="545">
        <v>23808.560099999999</v>
      </c>
      <c r="D13" s="545">
        <v>26698.473399999999</v>
      </c>
      <c r="E13" s="545">
        <v>29539.855599999999</v>
      </c>
      <c r="F13" s="545">
        <v>32731.741900000001</v>
      </c>
      <c r="G13" s="545">
        <v>35988.645199999999</v>
      </c>
      <c r="H13" s="720">
        <v>39045.260399999999</v>
      </c>
      <c r="I13" s="590">
        <v>100</v>
      </c>
      <c r="J13" s="635">
        <v>99.999999999999986</v>
      </c>
      <c r="K13" s="721">
        <v>1.9208159924688273</v>
      </c>
      <c r="L13" s="521"/>
      <c r="M13" s="562" t="s">
        <v>838</v>
      </c>
      <c r="N13" s="563">
        <v>27243.170600000001</v>
      </c>
      <c r="O13" s="563">
        <v>34766.429900000003</v>
      </c>
      <c r="P13" s="563">
        <v>42511.264199999998</v>
      </c>
      <c r="Q13" s="563">
        <v>25928.253700000001</v>
      </c>
      <c r="R13" s="563">
        <v>29655.1162</v>
      </c>
      <c r="S13" s="563">
        <v>34091.785100000001</v>
      </c>
      <c r="T13" s="592">
        <v>99.999999764768219</v>
      </c>
      <c r="U13" s="592">
        <v>100.0000002933258</v>
      </c>
      <c r="V13" s="482">
        <v>2.2547510560611217</v>
      </c>
      <c r="W13" s="482">
        <v>1.3903898049095975</v>
      </c>
    </row>
    <row r="14" spans="1:23" x14ac:dyDescent="0.3">
      <c r="A14" s="549" t="s">
        <v>254</v>
      </c>
      <c r="B14" s="550">
        <v>4424.9250000000002</v>
      </c>
      <c r="C14" s="550">
        <v>9707.2849999999999</v>
      </c>
      <c r="D14" s="550">
        <v>9741.0679999999993</v>
      </c>
      <c r="E14" s="550">
        <v>9934.1164000000008</v>
      </c>
      <c r="F14" s="550">
        <v>10245.120999999999</v>
      </c>
      <c r="G14" s="550">
        <v>10547.4684</v>
      </c>
      <c r="H14" s="722">
        <v>10786.3097</v>
      </c>
      <c r="I14" s="595">
        <v>40.772247289326835</v>
      </c>
      <c r="J14" s="596">
        <v>27.62514474099909</v>
      </c>
      <c r="K14" s="723">
        <v>0.40621156204596609</v>
      </c>
      <c r="L14" s="521"/>
      <c r="M14" s="549" t="s">
        <v>254</v>
      </c>
      <c r="N14" s="552">
        <v>10275.141299999999</v>
      </c>
      <c r="O14" s="552">
        <v>12770.278</v>
      </c>
      <c r="P14" s="552">
        <v>15304.7114</v>
      </c>
      <c r="Q14" s="724">
        <v>8702.1226999999999</v>
      </c>
      <c r="R14" s="724">
        <v>4966.2015000000001</v>
      </c>
      <c r="S14" s="724">
        <v>2518.2707999999998</v>
      </c>
      <c r="T14" s="599">
        <v>36.001543797890633</v>
      </c>
      <c r="U14" s="600">
        <v>7.3867378684139355</v>
      </c>
      <c r="V14" s="468">
        <v>1.7665141298272902</v>
      </c>
      <c r="W14" s="601">
        <v>-5.0572695760050301</v>
      </c>
    </row>
    <row r="15" spans="1:23" x14ac:dyDescent="0.3">
      <c r="A15" s="549" t="s">
        <v>266</v>
      </c>
      <c r="B15" s="550">
        <v>1358.4190000000001</v>
      </c>
      <c r="C15" s="550">
        <v>1034.6668999999999</v>
      </c>
      <c r="D15" s="550">
        <v>822.38409999999999</v>
      </c>
      <c r="E15" s="550">
        <v>727.11440000000005</v>
      </c>
      <c r="F15" s="550">
        <v>633.18830000000003</v>
      </c>
      <c r="G15" s="550">
        <v>584.76570000000004</v>
      </c>
      <c r="H15" s="722">
        <v>546.54660000000001</v>
      </c>
      <c r="I15" s="595">
        <v>4.3457768787957907</v>
      </c>
      <c r="J15" s="596">
        <v>1.3997770648752033</v>
      </c>
      <c r="K15" s="723">
        <v>-2.4247918959951376</v>
      </c>
      <c r="L15" s="521"/>
      <c r="M15" s="549" t="s">
        <v>266</v>
      </c>
      <c r="N15" s="552">
        <v>834.5729</v>
      </c>
      <c r="O15" s="552">
        <v>660.95690000000002</v>
      </c>
      <c r="P15" s="552">
        <v>580.31730000000005</v>
      </c>
      <c r="Q15" s="724">
        <v>783.20429999999999</v>
      </c>
      <c r="R15" s="724">
        <v>395.57049999999998</v>
      </c>
      <c r="S15" s="724">
        <v>200.33</v>
      </c>
      <c r="T15" s="599">
        <v>1.3650906669578651</v>
      </c>
      <c r="U15" s="600">
        <v>0.58761956703757356</v>
      </c>
      <c r="V15" s="468">
        <v>-2.1995259043300242</v>
      </c>
      <c r="W15" s="601">
        <v>-6.1196231115559279</v>
      </c>
    </row>
    <row r="16" spans="1:23" x14ac:dyDescent="0.3">
      <c r="A16" s="549" t="s">
        <v>255</v>
      </c>
      <c r="B16" s="550">
        <v>1752.5360000000001</v>
      </c>
      <c r="C16" s="550">
        <v>5148.4318999999996</v>
      </c>
      <c r="D16" s="550">
        <v>5803.5228999999999</v>
      </c>
      <c r="E16" s="550">
        <v>6512.9975000000004</v>
      </c>
      <c r="F16" s="550">
        <v>7304.6608999999999</v>
      </c>
      <c r="G16" s="550">
        <v>8155.0924999999997</v>
      </c>
      <c r="H16" s="722">
        <v>8908.9364999999998</v>
      </c>
      <c r="I16" s="595">
        <v>21.624289240406437</v>
      </c>
      <c r="J16" s="596">
        <v>22.816947329156498</v>
      </c>
      <c r="K16" s="723">
        <v>2.131485709923453</v>
      </c>
      <c r="L16" s="521"/>
      <c r="M16" s="549" t="s">
        <v>255</v>
      </c>
      <c r="N16" s="552">
        <v>6013.5405000000001</v>
      </c>
      <c r="O16" s="552">
        <v>8092.7253000000001</v>
      </c>
      <c r="P16" s="552">
        <v>10361.229300000001</v>
      </c>
      <c r="Q16" s="724">
        <v>5898.0990000000002</v>
      </c>
      <c r="R16" s="724">
        <v>6474.5001000000002</v>
      </c>
      <c r="S16" s="724">
        <v>5389.0677999999998</v>
      </c>
      <c r="T16" s="599">
        <v>24.372903264542298</v>
      </c>
      <c r="U16" s="600">
        <v>15.80752601892941</v>
      </c>
      <c r="V16" s="468">
        <v>2.7264229759294656</v>
      </c>
      <c r="W16" s="601">
        <v>0.17584765089853072</v>
      </c>
    </row>
    <row r="17" spans="1:23" x14ac:dyDescent="0.3">
      <c r="A17" s="549" t="s">
        <v>257</v>
      </c>
      <c r="B17" s="550">
        <v>2012.902</v>
      </c>
      <c r="C17" s="550">
        <v>2535.326</v>
      </c>
      <c r="D17" s="550">
        <v>3052.7642999999998</v>
      </c>
      <c r="E17" s="550">
        <v>3405.3524000000002</v>
      </c>
      <c r="F17" s="550">
        <v>3847.0486999999998</v>
      </c>
      <c r="G17" s="550">
        <v>4205.3827000000001</v>
      </c>
      <c r="H17" s="722">
        <v>4532.2318999999998</v>
      </c>
      <c r="I17" s="595">
        <v>10.648800218707894</v>
      </c>
      <c r="J17" s="596">
        <v>11.607636505863846</v>
      </c>
      <c r="K17" s="723">
        <v>2.2593462762494188</v>
      </c>
      <c r="L17" s="521"/>
      <c r="M17" s="549" t="s">
        <v>257</v>
      </c>
      <c r="N17" s="552">
        <v>3040.9061000000002</v>
      </c>
      <c r="O17" s="552">
        <v>3590.3856000000001</v>
      </c>
      <c r="P17" s="552">
        <v>3960.4515999999999</v>
      </c>
      <c r="Q17" s="724">
        <v>3127.7975999999999</v>
      </c>
      <c r="R17" s="724">
        <v>4733.6832000000004</v>
      </c>
      <c r="S17" s="724">
        <v>6101.2605999999996</v>
      </c>
      <c r="T17" s="599">
        <v>9.3162404706844733</v>
      </c>
      <c r="U17" s="600">
        <v>17.896571218266889</v>
      </c>
      <c r="V17" s="468">
        <v>1.7303220210775683</v>
      </c>
      <c r="W17" s="601">
        <v>3.4352773430490036</v>
      </c>
    </row>
    <row r="18" spans="1:23" x14ac:dyDescent="0.3">
      <c r="A18" s="549" t="s">
        <v>256</v>
      </c>
      <c r="B18" s="550">
        <v>2142.5039999999999</v>
      </c>
      <c r="C18" s="550">
        <v>3893.634</v>
      </c>
      <c r="D18" s="550">
        <v>4386.5087000000003</v>
      </c>
      <c r="E18" s="550">
        <v>4886.5240000000003</v>
      </c>
      <c r="F18" s="550">
        <v>5381.9884000000002</v>
      </c>
      <c r="G18" s="550">
        <v>5834.0636000000004</v>
      </c>
      <c r="H18" s="722">
        <v>6230.0949000000001</v>
      </c>
      <c r="I18" s="595">
        <v>16.353924738186919</v>
      </c>
      <c r="J18" s="596">
        <v>15.956084902945097</v>
      </c>
      <c r="K18" s="723">
        <v>1.8243205062013823</v>
      </c>
      <c r="L18" s="521"/>
      <c r="M18" s="549" t="s">
        <v>256</v>
      </c>
      <c r="N18" s="552">
        <v>4362.9211999999998</v>
      </c>
      <c r="O18" s="552">
        <v>5231.6869999999999</v>
      </c>
      <c r="P18" s="552">
        <v>5984.2550000000001</v>
      </c>
      <c r="Q18" s="724">
        <v>4392.1990999999998</v>
      </c>
      <c r="R18" s="724">
        <v>5655.2263000000003</v>
      </c>
      <c r="S18" s="724">
        <v>6891.1526999999996</v>
      </c>
      <c r="T18" s="599">
        <v>14.076869066622583</v>
      </c>
      <c r="U18" s="600">
        <v>20.213528507781188</v>
      </c>
      <c r="V18" s="468">
        <v>1.6667725990541449</v>
      </c>
      <c r="W18" s="601">
        <v>2.2200358105703533</v>
      </c>
    </row>
    <row r="19" spans="1:23" x14ac:dyDescent="0.3">
      <c r="A19" s="549" t="s">
        <v>503</v>
      </c>
      <c r="B19" s="550">
        <v>130.524</v>
      </c>
      <c r="C19" s="550">
        <v>494.91829999999999</v>
      </c>
      <c r="D19" s="550">
        <v>641.53030000000001</v>
      </c>
      <c r="E19" s="550">
        <v>785.18799999999999</v>
      </c>
      <c r="F19" s="550">
        <v>954.2373</v>
      </c>
      <c r="G19" s="550">
        <v>1147.4657999999999</v>
      </c>
      <c r="H19" s="722">
        <v>1353.3226999999999</v>
      </c>
      <c r="I19" s="595">
        <v>2.0787409987049155</v>
      </c>
      <c r="J19" s="596">
        <v>3.466035790607763</v>
      </c>
      <c r="K19" s="723">
        <v>3.9447621398382759</v>
      </c>
      <c r="L19" s="521"/>
      <c r="M19" s="549" t="s">
        <v>503</v>
      </c>
      <c r="N19" s="552">
        <v>634.90020000000004</v>
      </c>
      <c r="O19" s="552">
        <v>877.76850000000002</v>
      </c>
      <c r="P19" s="552">
        <v>1150.6222</v>
      </c>
      <c r="Q19" s="724">
        <v>646.17960000000005</v>
      </c>
      <c r="R19" s="724">
        <v>1152.7361000000001</v>
      </c>
      <c r="S19" s="724">
        <v>1898.588</v>
      </c>
      <c r="T19" s="599">
        <v>2.7066289879941987</v>
      </c>
      <c r="U19" s="600">
        <v>5.5690483629148533</v>
      </c>
      <c r="V19" s="468">
        <v>3.298086887841456</v>
      </c>
      <c r="W19" s="601">
        <v>5.3070835691439333</v>
      </c>
    </row>
    <row r="20" spans="1:23" x14ac:dyDescent="0.3">
      <c r="A20" s="549" t="s">
        <v>260</v>
      </c>
      <c r="B20" s="550">
        <v>3.88</v>
      </c>
      <c r="C20" s="550">
        <v>717.29300000000001</v>
      </c>
      <c r="D20" s="550">
        <v>1508.0912000000001</v>
      </c>
      <c r="E20" s="550">
        <v>2117.9859999999999</v>
      </c>
      <c r="F20" s="550">
        <v>2705.7595000000001</v>
      </c>
      <c r="G20" s="550">
        <v>3296.1653999999999</v>
      </c>
      <c r="H20" s="722">
        <v>3881.3845000000001</v>
      </c>
      <c r="I20" s="595">
        <v>3.0127525435694031</v>
      </c>
      <c r="J20" s="596">
        <v>9.9407315004102266</v>
      </c>
      <c r="K20" s="723">
        <v>6.7095932302530414</v>
      </c>
      <c r="L20" s="521"/>
      <c r="M20" s="549" t="s">
        <v>260</v>
      </c>
      <c r="N20" s="552">
        <v>1411.1179</v>
      </c>
      <c r="O20" s="552">
        <v>2275.7745</v>
      </c>
      <c r="P20" s="552">
        <v>3132.2350000000001</v>
      </c>
      <c r="Q20" s="724">
        <v>1585.2916</v>
      </c>
      <c r="R20" s="724">
        <v>3846.0500999999999</v>
      </c>
      <c r="S20" s="724">
        <v>6126.8730999999998</v>
      </c>
      <c r="T20" s="599">
        <v>7.368011888011555</v>
      </c>
      <c r="U20" s="600">
        <v>17.971699287755982</v>
      </c>
      <c r="V20" s="468">
        <v>5.8330839999296558</v>
      </c>
      <c r="W20" s="601">
        <v>8.5996810394885372</v>
      </c>
    </row>
    <row r="21" spans="1:23" x14ac:dyDescent="0.3">
      <c r="A21" s="549" t="s">
        <v>506</v>
      </c>
      <c r="B21" s="550">
        <v>36.424999999999997</v>
      </c>
      <c r="C21" s="550">
        <v>77.376999999999995</v>
      </c>
      <c r="D21" s="550">
        <v>111.3267</v>
      </c>
      <c r="E21" s="550">
        <v>150.09469999999999</v>
      </c>
      <c r="F21" s="550">
        <v>207.08449999999999</v>
      </c>
      <c r="G21" s="550">
        <v>282.79059999999998</v>
      </c>
      <c r="H21" s="722">
        <v>360.92149999999998</v>
      </c>
      <c r="I21" s="595">
        <v>0.32499655449554049</v>
      </c>
      <c r="J21" s="596">
        <v>0.92436699436124137</v>
      </c>
      <c r="K21" s="723">
        <v>6.1018875926049265</v>
      </c>
      <c r="L21" s="521"/>
      <c r="M21" s="549" t="s">
        <v>506</v>
      </c>
      <c r="N21" s="552">
        <v>108.4636</v>
      </c>
      <c r="O21" s="552">
        <v>185.20249999999999</v>
      </c>
      <c r="P21" s="552">
        <v>298.8913</v>
      </c>
      <c r="Q21" s="724">
        <v>113.8442</v>
      </c>
      <c r="R21" s="724">
        <v>292.16219999999998</v>
      </c>
      <c r="S21" s="724">
        <v>547.67930000000001</v>
      </c>
      <c r="T21" s="599">
        <v>0.70308730080061943</v>
      </c>
      <c r="U21" s="600">
        <v>1.606484666008293</v>
      </c>
      <c r="V21" s="468">
        <v>5.3351044517767399</v>
      </c>
      <c r="W21" s="601">
        <v>7.8174402713214519</v>
      </c>
    </row>
    <row r="22" spans="1:23" x14ac:dyDescent="0.3">
      <c r="A22" s="549" t="s">
        <v>504</v>
      </c>
      <c r="B22" s="550">
        <v>2.1000000000000001E-2</v>
      </c>
      <c r="C22" s="550">
        <v>189.68899999999999</v>
      </c>
      <c r="D22" s="550">
        <v>598.56029999999998</v>
      </c>
      <c r="E22" s="550">
        <v>953.42960000000005</v>
      </c>
      <c r="F22" s="550">
        <v>1329.2692</v>
      </c>
      <c r="G22" s="550">
        <v>1730.6619000000001</v>
      </c>
      <c r="H22" s="722">
        <v>2137.3602999999998</v>
      </c>
      <c r="I22" s="595">
        <v>0.79672604812417869</v>
      </c>
      <c r="J22" s="596">
        <v>5.4740582547120109</v>
      </c>
      <c r="K22" s="723">
        <v>9.7628095764313194</v>
      </c>
      <c r="L22" s="521"/>
      <c r="M22" s="549" t="s">
        <v>504</v>
      </c>
      <c r="N22" s="552">
        <v>532.52959999999996</v>
      </c>
      <c r="O22" s="552">
        <v>996.05409999999995</v>
      </c>
      <c r="P22" s="552">
        <v>1538.5215000000001</v>
      </c>
      <c r="Q22" s="724">
        <v>638.39300000000003</v>
      </c>
      <c r="R22" s="724">
        <v>1794.2394999999999</v>
      </c>
      <c r="S22" s="724">
        <v>3208.6916000000001</v>
      </c>
      <c r="T22" s="599">
        <v>3.6190913842548111</v>
      </c>
      <c r="U22" s="600">
        <v>9.4119201754559931</v>
      </c>
      <c r="V22" s="468">
        <v>8.3836820331605786</v>
      </c>
      <c r="W22" s="601">
        <v>11.491501086784384</v>
      </c>
    </row>
    <row r="23" spans="1:23" x14ac:dyDescent="0.3">
      <c r="A23" s="549" t="s">
        <v>505</v>
      </c>
      <c r="B23" s="550">
        <v>0.66300000000000003</v>
      </c>
      <c r="C23" s="550">
        <v>8.94</v>
      </c>
      <c r="D23" s="550">
        <v>30.096299999999999</v>
      </c>
      <c r="E23" s="550">
        <v>60.923200000000001</v>
      </c>
      <c r="F23" s="550">
        <v>108.84990000000001</v>
      </c>
      <c r="G23" s="550">
        <v>175.05959999999999</v>
      </c>
      <c r="H23" s="722">
        <v>254.38579999999999</v>
      </c>
      <c r="I23" s="595">
        <v>3.7549519846855423E-2</v>
      </c>
      <c r="J23" s="596">
        <v>0.65151518364569538</v>
      </c>
      <c r="K23" s="723">
        <v>13.744145329654089</v>
      </c>
      <c r="L23" s="521"/>
      <c r="M23" s="549" t="s">
        <v>505</v>
      </c>
      <c r="N23" s="552">
        <v>27.052600000000002</v>
      </c>
      <c r="O23" s="552">
        <v>77.442400000000006</v>
      </c>
      <c r="P23" s="552">
        <v>170.35919999999999</v>
      </c>
      <c r="Q23" s="724">
        <v>38.501899999999999</v>
      </c>
      <c r="R23" s="724">
        <v>325.42290000000003</v>
      </c>
      <c r="S23" s="724">
        <v>1118.3179</v>
      </c>
      <c r="T23" s="599">
        <v>0.40073896461540653</v>
      </c>
      <c r="U23" s="600">
        <v>3.2803148814873881</v>
      </c>
      <c r="V23" s="468">
        <v>12.003565714340247</v>
      </c>
      <c r="W23" s="601">
        <v>20.410013770005108</v>
      </c>
    </row>
    <row r="24" spans="1:23" x14ac:dyDescent="0.3">
      <c r="A24" s="571" t="s">
        <v>507</v>
      </c>
      <c r="B24" s="572">
        <v>0.53600000000000003</v>
      </c>
      <c r="C24" s="572">
        <v>0.999</v>
      </c>
      <c r="D24" s="572">
        <v>2.6206</v>
      </c>
      <c r="E24" s="572">
        <v>6.1294000000000004</v>
      </c>
      <c r="F24" s="572">
        <v>14.5342</v>
      </c>
      <c r="G24" s="572">
        <v>29.728999999999999</v>
      </c>
      <c r="H24" s="725">
        <v>53.765999999999998</v>
      </c>
      <c r="I24" s="605">
        <v>4.195969835235857E-3</v>
      </c>
      <c r="J24" s="606">
        <v>0.13770173242332889</v>
      </c>
      <c r="K24" s="726">
        <v>16.566753610737695</v>
      </c>
      <c r="L24" s="521"/>
      <c r="M24" s="727" t="s">
        <v>507</v>
      </c>
      <c r="N24" s="728">
        <v>2.0246</v>
      </c>
      <c r="O24" s="728">
        <v>8.1550999999999991</v>
      </c>
      <c r="P24" s="728">
        <v>29.670300000000001</v>
      </c>
      <c r="Q24" s="729">
        <v>2.6206</v>
      </c>
      <c r="R24" s="729">
        <v>19.323699999999999</v>
      </c>
      <c r="S24" s="729">
        <v>91.553399999999996</v>
      </c>
      <c r="T24" s="611">
        <v>6.979397239379205E-2</v>
      </c>
      <c r="U24" s="612">
        <v>0.26854973927428633</v>
      </c>
      <c r="V24" s="613">
        <v>13.931674077977885</v>
      </c>
      <c r="W24" s="614">
        <v>18.97774415544642</v>
      </c>
    </row>
    <row r="25" spans="1:23" x14ac:dyDescent="0.3">
      <c r="A25" s="549"/>
      <c r="B25" s="550"/>
      <c r="C25" s="550"/>
      <c r="D25" s="550"/>
      <c r="E25" s="550"/>
      <c r="F25" s="550"/>
      <c r="G25" s="550"/>
      <c r="H25" s="550"/>
      <c r="I25" s="615"/>
      <c r="J25" s="615"/>
      <c r="K25" s="616"/>
      <c r="L25" s="521"/>
      <c r="M25" s="730"/>
      <c r="N25" s="724"/>
      <c r="O25" s="724"/>
      <c r="P25" s="724"/>
      <c r="Q25" s="724"/>
      <c r="R25" s="724"/>
      <c r="S25" s="724"/>
      <c r="T25" s="618"/>
      <c r="U25" s="618"/>
      <c r="V25" s="619"/>
      <c r="W25" s="619"/>
    </row>
    <row r="26" spans="1:23" x14ac:dyDescent="0.3">
      <c r="A26" s="533"/>
      <c r="B26" s="711" t="s">
        <v>839</v>
      </c>
      <c r="C26" s="712"/>
      <c r="D26" s="712"/>
      <c r="E26" s="712"/>
      <c r="F26" s="712"/>
      <c r="G26" s="712"/>
      <c r="H26" s="712"/>
      <c r="I26" s="712" t="s">
        <v>814</v>
      </c>
      <c r="J26" s="712"/>
      <c r="K26" s="712" t="s">
        <v>815</v>
      </c>
      <c r="L26" s="521"/>
      <c r="M26" s="528"/>
      <c r="N26" s="529" t="s">
        <v>839</v>
      </c>
      <c r="O26" s="529"/>
      <c r="P26" s="529"/>
      <c r="Q26" s="529"/>
      <c r="R26" s="529"/>
      <c r="S26" s="529"/>
      <c r="T26" s="529" t="s">
        <v>814</v>
      </c>
      <c r="U26" s="529"/>
      <c r="V26" s="529" t="s">
        <v>815</v>
      </c>
      <c r="W26" s="529"/>
    </row>
    <row r="27" spans="1:23" x14ac:dyDescent="0.3">
      <c r="A27" s="533"/>
      <c r="B27" s="714"/>
      <c r="C27" s="713">
        <v>2014</v>
      </c>
      <c r="D27" s="713">
        <v>2020</v>
      </c>
      <c r="E27" s="713">
        <v>2025</v>
      </c>
      <c r="F27" s="713">
        <v>2030</v>
      </c>
      <c r="G27" s="713">
        <v>2035</v>
      </c>
      <c r="H27" s="713">
        <v>2040</v>
      </c>
      <c r="I27" s="714">
        <v>2014</v>
      </c>
      <c r="J27" s="714">
        <v>2040</v>
      </c>
      <c r="K27" s="534" t="s">
        <v>831</v>
      </c>
      <c r="L27" s="521"/>
      <c r="M27" s="528"/>
      <c r="N27" s="715">
        <v>2020</v>
      </c>
      <c r="O27" s="715">
        <v>2030</v>
      </c>
      <c r="P27" s="715">
        <v>2040</v>
      </c>
      <c r="Q27" s="715">
        <v>2020</v>
      </c>
      <c r="R27" s="715">
        <v>2030</v>
      </c>
      <c r="S27" s="715">
        <v>2040</v>
      </c>
      <c r="T27" s="817">
        <v>2040</v>
      </c>
      <c r="U27" s="817"/>
      <c r="V27" s="529" t="s">
        <v>831</v>
      </c>
      <c r="W27" s="529"/>
    </row>
    <row r="28" spans="1:23" x14ac:dyDescent="0.3">
      <c r="A28" s="536"/>
      <c r="B28" s="537" t="s">
        <v>579</v>
      </c>
      <c r="C28" s="537"/>
      <c r="D28" s="537"/>
      <c r="E28" s="537"/>
      <c r="F28" s="537"/>
      <c r="G28" s="537"/>
      <c r="H28" s="537"/>
      <c r="I28" s="538" t="s">
        <v>585</v>
      </c>
      <c r="J28" s="538" t="s">
        <v>585</v>
      </c>
      <c r="K28" s="716" t="s">
        <v>840</v>
      </c>
      <c r="L28" s="521"/>
      <c r="M28" s="539"/>
      <c r="N28" s="718" t="s">
        <v>664</v>
      </c>
      <c r="O28" s="718"/>
      <c r="P28" s="718"/>
      <c r="Q28" s="718" t="s">
        <v>665</v>
      </c>
      <c r="R28" s="718"/>
      <c r="S28" s="718"/>
      <c r="T28" s="731" t="s">
        <v>590</v>
      </c>
      <c r="U28" s="731">
        <v>450</v>
      </c>
      <c r="V28" s="719" t="s">
        <v>590</v>
      </c>
      <c r="W28" s="719">
        <v>450</v>
      </c>
    </row>
    <row r="29" spans="1:23" x14ac:dyDescent="0.3">
      <c r="A29" s="544" t="s">
        <v>841</v>
      </c>
      <c r="B29" s="732"/>
      <c r="C29" s="545">
        <v>6117.3959000000004</v>
      </c>
      <c r="D29" s="545">
        <v>7479.3883999999998</v>
      </c>
      <c r="E29" s="545">
        <v>8371.4310000000005</v>
      </c>
      <c r="F29" s="545">
        <v>9349.3374999999996</v>
      </c>
      <c r="G29" s="545">
        <v>10298.5995</v>
      </c>
      <c r="H29" s="720">
        <v>11168.3673</v>
      </c>
      <c r="I29" s="590">
        <v>100.00000163468249</v>
      </c>
      <c r="J29" s="635">
        <v>100.00000000000001</v>
      </c>
      <c r="K29" s="721">
        <v>2.3421967223303586</v>
      </c>
      <c r="L29" s="521"/>
      <c r="M29" s="562" t="s">
        <v>841</v>
      </c>
      <c r="N29" s="563">
        <v>7435.9989999999998</v>
      </c>
      <c r="O29" s="563">
        <v>9302.5727000000006</v>
      </c>
      <c r="P29" s="563">
        <v>11160.9588</v>
      </c>
      <c r="Q29" s="563">
        <v>7446.9304000000002</v>
      </c>
      <c r="R29" s="563">
        <v>9554.3320000000003</v>
      </c>
      <c r="S29" s="563">
        <v>11766.212100000001</v>
      </c>
      <c r="T29" s="592">
        <v>99.999999999999986</v>
      </c>
      <c r="U29" s="592">
        <v>100.00000254967357</v>
      </c>
      <c r="V29" s="482">
        <v>2.3395847983947782</v>
      </c>
      <c r="W29" s="482">
        <v>2.5476641804660582</v>
      </c>
    </row>
    <row r="30" spans="1:23" x14ac:dyDescent="0.3">
      <c r="A30" s="549" t="s">
        <v>254</v>
      </c>
      <c r="B30" s="733"/>
      <c r="C30" s="550">
        <v>1881.943</v>
      </c>
      <c r="D30" s="550">
        <v>2158.7581</v>
      </c>
      <c r="E30" s="550">
        <v>2227.5162</v>
      </c>
      <c r="F30" s="550">
        <v>2318.3872000000001</v>
      </c>
      <c r="G30" s="550">
        <v>2390.7881000000002</v>
      </c>
      <c r="H30" s="722">
        <v>2437.4618</v>
      </c>
      <c r="I30" s="595">
        <v>30.763792809289974</v>
      </c>
      <c r="J30" s="596">
        <v>21.824692316485688</v>
      </c>
      <c r="K30" s="723">
        <v>0.99978205782833562</v>
      </c>
      <c r="L30" s="521"/>
      <c r="M30" s="549" t="s">
        <v>254</v>
      </c>
      <c r="N30" s="552">
        <v>2200.9470000000001</v>
      </c>
      <c r="O30" s="552">
        <v>2617.2707999999998</v>
      </c>
      <c r="P30" s="552">
        <v>3029.8759</v>
      </c>
      <c r="Q30" s="724">
        <v>2093.9652999999998</v>
      </c>
      <c r="R30" s="724">
        <v>1686.7897</v>
      </c>
      <c r="S30" s="724">
        <v>1193.69</v>
      </c>
      <c r="T30" s="599">
        <v>27.147093312449105</v>
      </c>
      <c r="U30" s="600">
        <v>10.145066142399388</v>
      </c>
      <c r="V30" s="468">
        <v>1.8484802291750757</v>
      </c>
      <c r="W30" s="601">
        <v>-1.7357417107427109</v>
      </c>
    </row>
    <row r="31" spans="1:23" x14ac:dyDescent="0.3">
      <c r="A31" s="549" t="s">
        <v>266</v>
      </c>
      <c r="B31" s="733"/>
      <c r="C31" s="550">
        <v>441.49310000000003</v>
      </c>
      <c r="D31" s="550">
        <v>372.81659999999999</v>
      </c>
      <c r="E31" s="550">
        <v>333.74619999999999</v>
      </c>
      <c r="F31" s="550">
        <v>292.12329999999997</v>
      </c>
      <c r="G31" s="550">
        <v>273.24419999999998</v>
      </c>
      <c r="H31" s="722">
        <v>254.1474</v>
      </c>
      <c r="I31" s="623">
        <v>7.2170104275906031</v>
      </c>
      <c r="J31" s="624">
        <v>2.2756003019349125</v>
      </c>
      <c r="K31" s="723">
        <v>-2.1016320169714442</v>
      </c>
      <c r="L31" s="521"/>
      <c r="M31" s="549" t="s">
        <v>266</v>
      </c>
      <c r="N31" s="552">
        <v>375.46589999999998</v>
      </c>
      <c r="O31" s="552">
        <v>300.27210000000002</v>
      </c>
      <c r="P31" s="552">
        <v>264.01159999999999</v>
      </c>
      <c r="Q31" s="724">
        <v>366.7987</v>
      </c>
      <c r="R31" s="724">
        <v>261.2561</v>
      </c>
      <c r="S31" s="724">
        <v>210.59950000000001</v>
      </c>
      <c r="T31" s="599">
        <v>2.3654921116633814</v>
      </c>
      <c r="U31" s="600">
        <v>1.7898665960645057</v>
      </c>
      <c r="V31" s="468">
        <v>-1.958148682926153</v>
      </c>
      <c r="W31" s="601">
        <v>-2.8067956435816499</v>
      </c>
    </row>
    <row r="32" spans="1:23" x14ac:dyDescent="0.3">
      <c r="A32" s="549" t="s">
        <v>255</v>
      </c>
      <c r="B32" s="733"/>
      <c r="C32" s="550">
        <v>1562.5581</v>
      </c>
      <c r="D32" s="550">
        <v>1843.8462999999999</v>
      </c>
      <c r="E32" s="550">
        <v>2029.3722</v>
      </c>
      <c r="F32" s="550">
        <v>2262.3764999999999</v>
      </c>
      <c r="G32" s="550">
        <v>2487.2828</v>
      </c>
      <c r="H32" s="722">
        <v>2702.7813000000001</v>
      </c>
      <c r="I32" s="623">
        <v>25.542863753513156</v>
      </c>
      <c r="J32" s="624">
        <v>24.200326040494748</v>
      </c>
      <c r="K32" s="723">
        <v>2.1298923799174974</v>
      </c>
      <c r="L32" s="521"/>
      <c r="M32" s="549" t="s">
        <v>255</v>
      </c>
      <c r="N32" s="552">
        <v>1873.5452</v>
      </c>
      <c r="O32" s="552">
        <v>2443.1271999999999</v>
      </c>
      <c r="P32" s="552">
        <v>3035.0358999999999</v>
      </c>
      <c r="Q32" s="724">
        <v>1788.5685000000001</v>
      </c>
      <c r="R32" s="724">
        <v>2009.6341</v>
      </c>
      <c r="S32" s="724">
        <v>2250.8498</v>
      </c>
      <c r="T32" s="599">
        <v>27.193325899563391</v>
      </c>
      <c r="U32" s="600">
        <v>19.129774143711039</v>
      </c>
      <c r="V32" s="468">
        <v>2.5863375560926771</v>
      </c>
      <c r="W32" s="601">
        <v>1.4136821755279527</v>
      </c>
    </row>
    <row r="33" spans="1:23" x14ac:dyDescent="0.3">
      <c r="A33" s="549" t="s">
        <v>257</v>
      </c>
      <c r="B33" s="733"/>
      <c r="C33" s="550">
        <v>397.68400000000003</v>
      </c>
      <c r="D33" s="550">
        <v>438.36500000000001</v>
      </c>
      <c r="E33" s="550">
        <v>468.048</v>
      </c>
      <c r="F33" s="550">
        <v>519.98099999999999</v>
      </c>
      <c r="G33" s="550">
        <v>565.46100000000001</v>
      </c>
      <c r="H33" s="722">
        <v>606.23400000000004</v>
      </c>
      <c r="I33" s="623">
        <v>6.5008707381518329</v>
      </c>
      <c r="J33" s="624">
        <v>5.4281345134485326</v>
      </c>
      <c r="K33" s="723">
        <v>1.6347893088422882</v>
      </c>
      <c r="L33" s="521"/>
      <c r="M33" s="549" t="s">
        <v>257</v>
      </c>
      <c r="N33" s="552">
        <v>437.13299999999998</v>
      </c>
      <c r="O33" s="552">
        <v>487.78699999999998</v>
      </c>
      <c r="P33" s="552">
        <v>528.55799999999999</v>
      </c>
      <c r="Q33" s="724">
        <v>448.84199999999998</v>
      </c>
      <c r="R33" s="724">
        <v>641.7944</v>
      </c>
      <c r="S33" s="724">
        <v>819.65650000000005</v>
      </c>
      <c r="T33" s="599">
        <v>4.7357759263478325</v>
      </c>
      <c r="U33" s="600">
        <v>6.9661883793510739</v>
      </c>
      <c r="V33" s="468">
        <v>1.1002192425013435</v>
      </c>
      <c r="W33" s="601">
        <v>2.8206936947121619</v>
      </c>
    </row>
    <row r="34" spans="1:23" x14ac:dyDescent="0.3">
      <c r="A34" s="549" t="s">
        <v>256</v>
      </c>
      <c r="B34" s="733"/>
      <c r="C34" s="550">
        <v>1176.9855</v>
      </c>
      <c r="D34" s="550">
        <v>1345.2045000000001</v>
      </c>
      <c r="E34" s="550">
        <v>1483.8969999999999</v>
      </c>
      <c r="F34" s="550">
        <v>1622.0486000000001</v>
      </c>
      <c r="G34" s="550">
        <v>1745.3448000000001</v>
      </c>
      <c r="H34" s="722">
        <v>1847.6301000000001</v>
      </c>
      <c r="I34" s="623">
        <v>19.239975951204986</v>
      </c>
      <c r="J34" s="624">
        <v>16.543421704979206</v>
      </c>
      <c r="K34" s="723">
        <v>1.7495408948636104</v>
      </c>
      <c r="L34" s="521"/>
      <c r="M34" s="549" t="s">
        <v>256</v>
      </c>
      <c r="N34" s="552">
        <v>1337.9193</v>
      </c>
      <c r="O34" s="552">
        <v>1570.5091</v>
      </c>
      <c r="P34" s="552">
        <v>1770.3696</v>
      </c>
      <c r="Q34" s="724">
        <v>1347.7327</v>
      </c>
      <c r="R34" s="724">
        <v>1718.0426</v>
      </c>
      <c r="S34" s="724">
        <v>2056.9618</v>
      </c>
      <c r="T34" s="599">
        <v>15.862164100095056</v>
      </c>
      <c r="U34" s="600">
        <v>17.481937113814222</v>
      </c>
      <c r="V34" s="468">
        <v>1.5825136109711035</v>
      </c>
      <c r="W34" s="601">
        <v>2.170424238314661</v>
      </c>
    </row>
    <row r="35" spans="1:23" x14ac:dyDescent="0.3">
      <c r="A35" s="549" t="s">
        <v>503</v>
      </c>
      <c r="B35" s="734"/>
      <c r="C35" s="550">
        <v>112.51690000000001</v>
      </c>
      <c r="D35" s="550">
        <v>140.31299999999999</v>
      </c>
      <c r="E35" s="550">
        <v>165.71780000000001</v>
      </c>
      <c r="F35" s="550">
        <v>194.7148</v>
      </c>
      <c r="G35" s="550">
        <v>226.441</v>
      </c>
      <c r="H35" s="722">
        <v>259.4821</v>
      </c>
      <c r="I35" s="623">
        <v>1.8392940695566229</v>
      </c>
      <c r="J35" s="624">
        <v>2.3233664601987081</v>
      </c>
      <c r="K35" s="723">
        <v>3.2659855154111739</v>
      </c>
      <c r="L35" s="521"/>
      <c r="M35" s="549" t="s">
        <v>503</v>
      </c>
      <c r="N35" s="552">
        <v>138.92140000000001</v>
      </c>
      <c r="O35" s="552">
        <v>180.18180000000001</v>
      </c>
      <c r="P35" s="552">
        <v>222.53389999999999</v>
      </c>
      <c r="Q35" s="724">
        <v>141.2936</v>
      </c>
      <c r="R35" s="724">
        <v>233.48840000000001</v>
      </c>
      <c r="S35" s="724">
        <v>362.2688</v>
      </c>
      <c r="T35" s="599">
        <v>1.9938600615567186</v>
      </c>
      <c r="U35" s="600">
        <v>3.0788906142529928</v>
      </c>
      <c r="V35" s="468">
        <v>2.6576876775388669</v>
      </c>
      <c r="W35" s="601">
        <v>4.5999015892253192</v>
      </c>
    </row>
    <row r="36" spans="1:23" x14ac:dyDescent="0.3">
      <c r="A36" s="549" t="s">
        <v>260</v>
      </c>
      <c r="B36" s="734"/>
      <c r="C36" s="550">
        <v>351.04289999999997</v>
      </c>
      <c r="D36" s="550">
        <v>670.27499999999998</v>
      </c>
      <c r="E36" s="550">
        <v>903.4348</v>
      </c>
      <c r="F36" s="550">
        <v>1119.1264000000001</v>
      </c>
      <c r="G36" s="550">
        <v>1319.3072</v>
      </c>
      <c r="H36" s="722">
        <v>1504.1342999999999</v>
      </c>
      <c r="I36" s="623">
        <v>5.7384368404209374</v>
      </c>
      <c r="J36" s="624">
        <v>13.467808316082156</v>
      </c>
      <c r="K36" s="723">
        <v>5.755962544742399</v>
      </c>
      <c r="L36" s="521"/>
      <c r="M36" s="549" t="s">
        <v>260</v>
      </c>
      <c r="N36" s="552">
        <v>621.10119999999995</v>
      </c>
      <c r="O36" s="552">
        <v>940.28800000000001</v>
      </c>
      <c r="P36" s="552">
        <v>1214.2514000000001</v>
      </c>
      <c r="Q36" s="724">
        <v>710.48739999999998</v>
      </c>
      <c r="R36" s="724">
        <v>1572.2203</v>
      </c>
      <c r="S36" s="724">
        <v>2311.5194000000001</v>
      </c>
      <c r="T36" s="599">
        <v>10.879454191695432</v>
      </c>
      <c r="U36" s="600">
        <v>19.645399728940806</v>
      </c>
      <c r="V36" s="468">
        <v>4.8887199478390819</v>
      </c>
      <c r="W36" s="601">
        <v>7.5182546235485148</v>
      </c>
    </row>
    <row r="37" spans="1:23" x14ac:dyDescent="0.3">
      <c r="A37" s="549" t="s">
        <v>506</v>
      </c>
      <c r="B37" s="734"/>
      <c r="C37" s="550">
        <v>12.4063</v>
      </c>
      <c r="D37" s="550">
        <v>17.1142</v>
      </c>
      <c r="E37" s="550">
        <v>22.773499999999999</v>
      </c>
      <c r="F37" s="550">
        <v>31.279299999999999</v>
      </c>
      <c r="G37" s="550">
        <v>42.290999999999997</v>
      </c>
      <c r="H37" s="722">
        <v>54.520600000000002</v>
      </c>
      <c r="I37" s="623">
        <v>0.20280361452493209</v>
      </c>
      <c r="J37" s="624">
        <v>0.48816983302474304</v>
      </c>
      <c r="K37" s="723">
        <v>5.8589614057619421</v>
      </c>
      <c r="L37" s="521"/>
      <c r="M37" s="549" t="s">
        <v>506</v>
      </c>
      <c r="N37" s="552">
        <v>16.592300000000002</v>
      </c>
      <c r="O37" s="552">
        <v>27.778300000000002</v>
      </c>
      <c r="P37" s="552">
        <v>43.705300000000001</v>
      </c>
      <c r="Q37" s="724">
        <v>17.6373</v>
      </c>
      <c r="R37" s="724">
        <v>44.210500000000003</v>
      </c>
      <c r="S37" s="724">
        <v>80.061700000000002</v>
      </c>
      <c r="T37" s="599">
        <v>0.39159090883840558</v>
      </c>
      <c r="U37" s="600">
        <v>0.68043733462870348</v>
      </c>
      <c r="V37" s="468">
        <v>4.9625325890231942</v>
      </c>
      <c r="W37" s="601">
        <v>7.4349242303598739</v>
      </c>
    </row>
    <row r="38" spans="1:23" x14ac:dyDescent="0.3">
      <c r="A38" s="549" t="s">
        <v>504</v>
      </c>
      <c r="B38" s="734"/>
      <c r="C38" s="550">
        <v>175.72929999999999</v>
      </c>
      <c r="D38" s="550">
        <v>481.28550000000001</v>
      </c>
      <c r="E38" s="550">
        <v>714.61519999999996</v>
      </c>
      <c r="F38" s="550">
        <v>949.21680000000003</v>
      </c>
      <c r="G38" s="550">
        <v>1182.8719000000001</v>
      </c>
      <c r="H38" s="722">
        <v>1404.6677</v>
      </c>
      <c r="I38" s="623">
        <v>2.8726161077788017</v>
      </c>
      <c r="J38" s="624">
        <v>12.577198280360999</v>
      </c>
      <c r="K38" s="723">
        <v>8.322920912973796</v>
      </c>
      <c r="L38" s="521"/>
      <c r="M38" s="549" t="s">
        <v>504</v>
      </c>
      <c r="N38" s="552">
        <v>424.09519999999998</v>
      </c>
      <c r="O38" s="552">
        <v>707.63</v>
      </c>
      <c r="P38" s="552">
        <v>991.37810000000002</v>
      </c>
      <c r="Q38" s="724">
        <v>516.7328</v>
      </c>
      <c r="R38" s="724">
        <v>1277.5424</v>
      </c>
      <c r="S38" s="724">
        <v>2107.5835000000002</v>
      </c>
      <c r="T38" s="599">
        <v>8.8825531727614653</v>
      </c>
      <c r="U38" s="600">
        <v>17.912166482193534</v>
      </c>
      <c r="V38" s="468">
        <v>6.8808288730176415</v>
      </c>
      <c r="W38" s="601">
        <v>10.026605836087876</v>
      </c>
    </row>
    <row r="39" spans="1:23" x14ac:dyDescent="0.3">
      <c r="A39" s="549" t="s">
        <v>505</v>
      </c>
      <c r="B39" s="734"/>
      <c r="C39" s="550">
        <v>4.5023999999999997</v>
      </c>
      <c r="D39" s="550">
        <v>10.332800000000001</v>
      </c>
      <c r="E39" s="550">
        <v>19.810700000000001</v>
      </c>
      <c r="F39" s="550">
        <v>34.2485</v>
      </c>
      <c r="G39" s="550">
        <v>53.4816</v>
      </c>
      <c r="H39" s="722">
        <v>75.875500000000002</v>
      </c>
      <c r="I39" s="623">
        <v>7.3599944708499232E-2</v>
      </c>
      <c r="J39" s="624">
        <v>0.67937862322991471</v>
      </c>
      <c r="K39" s="723">
        <v>11.475424349878338</v>
      </c>
      <c r="L39" s="521"/>
      <c r="M39" s="549" t="s">
        <v>505</v>
      </c>
      <c r="N39" s="552">
        <v>9.4428999999999998</v>
      </c>
      <c r="O39" s="552">
        <v>24.419899999999998</v>
      </c>
      <c r="P39" s="552">
        <v>49.502600000000001</v>
      </c>
      <c r="Q39" s="724">
        <v>13.7948</v>
      </c>
      <c r="R39" s="724">
        <v>101.2961</v>
      </c>
      <c r="S39" s="724">
        <v>336.93</v>
      </c>
      <c r="T39" s="599">
        <v>0.44353357885345834</v>
      </c>
      <c r="U39" s="600">
        <v>2.863538385475815</v>
      </c>
      <c r="V39" s="468">
        <v>9.6593168280327149</v>
      </c>
      <c r="W39" s="601">
        <v>18.053971039843987</v>
      </c>
    </row>
    <row r="40" spans="1:23" x14ac:dyDescent="0.3">
      <c r="A40" s="571" t="s">
        <v>507</v>
      </c>
      <c r="B40" s="735"/>
      <c r="C40" s="572">
        <v>0.53449999999999998</v>
      </c>
      <c r="D40" s="572">
        <v>1.0773999999999999</v>
      </c>
      <c r="E40" s="572">
        <v>2.4994999999999998</v>
      </c>
      <c r="F40" s="572">
        <v>5.8352000000000004</v>
      </c>
      <c r="G40" s="572">
        <v>12.086</v>
      </c>
      <c r="H40" s="725">
        <v>21.432500000000001</v>
      </c>
      <c r="I40" s="628">
        <v>8.7373779421403789E-3</v>
      </c>
      <c r="J40" s="629">
        <v>0.19190360976039891</v>
      </c>
      <c r="K40" s="726">
        <v>15.254703701069339</v>
      </c>
      <c r="L40" s="521"/>
      <c r="M40" s="727" t="s">
        <v>507</v>
      </c>
      <c r="N40" s="728">
        <v>0.83550000000000002</v>
      </c>
      <c r="O40" s="728">
        <v>3.3086000000000002</v>
      </c>
      <c r="P40" s="728">
        <v>11.736499999999999</v>
      </c>
      <c r="Q40" s="729">
        <v>1.0773999999999999</v>
      </c>
      <c r="R40" s="729">
        <v>8.0574999999999992</v>
      </c>
      <c r="S40" s="729">
        <v>36.0914</v>
      </c>
      <c r="T40" s="611">
        <v>0.10515673617574861</v>
      </c>
      <c r="U40" s="612">
        <v>0.30673762884148587</v>
      </c>
      <c r="V40" s="613">
        <v>12.61588386882484</v>
      </c>
      <c r="W40" s="614">
        <v>17.588186641859927</v>
      </c>
    </row>
    <row r="41" spans="1:23" x14ac:dyDescent="0.3">
      <c r="A41" s="549"/>
      <c r="B41" s="736"/>
      <c r="C41" s="736"/>
      <c r="D41" s="736"/>
      <c r="E41" s="736"/>
      <c r="F41" s="736"/>
      <c r="G41" s="736"/>
      <c r="H41" s="736"/>
      <c r="I41" s="631"/>
      <c r="J41" s="631"/>
      <c r="K41" s="631"/>
      <c r="L41" s="521"/>
      <c r="M41" s="737"/>
      <c r="N41" s="737"/>
      <c r="O41" s="737"/>
      <c r="P41" s="737"/>
      <c r="Q41" s="737"/>
      <c r="R41" s="737"/>
      <c r="S41" s="737"/>
      <c r="T41" s="737"/>
      <c r="U41" s="737"/>
      <c r="V41" s="737"/>
      <c r="W41" s="737"/>
    </row>
    <row r="42" spans="1:23" x14ac:dyDescent="0.3">
      <c r="A42" s="533"/>
      <c r="B42" s="711" t="s">
        <v>842</v>
      </c>
      <c r="C42" s="712"/>
      <c r="D42" s="712"/>
      <c r="E42" s="712"/>
      <c r="F42" s="712"/>
      <c r="G42" s="712"/>
      <c r="H42" s="712"/>
      <c r="I42" s="711" t="s">
        <v>814</v>
      </c>
      <c r="J42" s="711"/>
      <c r="K42" s="712" t="s">
        <v>815</v>
      </c>
      <c r="L42" s="521"/>
      <c r="M42" s="528"/>
      <c r="N42" s="529" t="s">
        <v>842</v>
      </c>
      <c r="O42" s="529"/>
      <c r="P42" s="529"/>
      <c r="Q42" s="529"/>
      <c r="R42" s="529"/>
      <c r="S42" s="529"/>
      <c r="T42" s="529" t="s">
        <v>814</v>
      </c>
      <c r="U42" s="529"/>
      <c r="V42" s="529" t="s">
        <v>815</v>
      </c>
      <c r="W42" s="529"/>
    </row>
    <row r="43" spans="1:23" x14ac:dyDescent="0.3">
      <c r="A43" s="533"/>
      <c r="B43" s="713">
        <v>1990</v>
      </c>
      <c r="C43" s="713">
        <v>2014</v>
      </c>
      <c r="D43" s="713">
        <v>2020</v>
      </c>
      <c r="E43" s="713">
        <v>2025</v>
      </c>
      <c r="F43" s="713">
        <v>2030</v>
      </c>
      <c r="G43" s="713">
        <v>2035</v>
      </c>
      <c r="H43" s="713">
        <v>2040</v>
      </c>
      <c r="I43" s="714">
        <v>2014</v>
      </c>
      <c r="J43" s="714">
        <v>2040</v>
      </c>
      <c r="K43" s="534" t="s">
        <v>831</v>
      </c>
      <c r="L43" s="521"/>
      <c r="M43" s="528"/>
      <c r="N43" s="715">
        <v>2020</v>
      </c>
      <c r="O43" s="715">
        <v>2030</v>
      </c>
      <c r="P43" s="715">
        <v>2040</v>
      </c>
      <c r="Q43" s="715">
        <v>2020</v>
      </c>
      <c r="R43" s="715">
        <v>2030</v>
      </c>
      <c r="S43" s="715">
        <v>2040</v>
      </c>
      <c r="T43" s="738">
        <v>2040</v>
      </c>
      <c r="U43" s="738"/>
      <c r="V43" s="738" t="s">
        <v>831</v>
      </c>
      <c r="W43" s="738"/>
    </row>
    <row r="44" spans="1:23" x14ac:dyDescent="0.3">
      <c r="A44" s="536"/>
      <c r="B44" s="537" t="s">
        <v>579</v>
      </c>
      <c r="C44" s="537"/>
      <c r="D44" s="537"/>
      <c r="E44" s="537"/>
      <c r="F44" s="537"/>
      <c r="G44" s="537"/>
      <c r="H44" s="537"/>
      <c r="I44" s="538" t="s">
        <v>585</v>
      </c>
      <c r="J44" s="538" t="s">
        <v>585</v>
      </c>
      <c r="K44" s="716" t="s">
        <v>840</v>
      </c>
      <c r="L44" s="521"/>
      <c r="M44" s="539"/>
      <c r="N44" s="718" t="s">
        <v>664</v>
      </c>
      <c r="O44" s="718"/>
      <c r="P44" s="718"/>
      <c r="Q44" s="718" t="s">
        <v>665</v>
      </c>
      <c r="R44" s="718"/>
      <c r="S44" s="718"/>
      <c r="T44" s="739" t="s">
        <v>590</v>
      </c>
      <c r="U44" s="739">
        <v>450</v>
      </c>
      <c r="V44" s="739" t="s">
        <v>590</v>
      </c>
      <c r="W44" s="739">
        <v>450</v>
      </c>
    </row>
    <row r="45" spans="1:23" x14ac:dyDescent="0.3">
      <c r="A45" s="544" t="s">
        <v>843</v>
      </c>
      <c r="B45" s="545">
        <v>20448.0821</v>
      </c>
      <c r="C45" s="545">
        <v>32174.8982</v>
      </c>
      <c r="D45" s="545">
        <v>32794.645199999999</v>
      </c>
      <c r="E45" s="545">
        <v>33595.862500000003</v>
      </c>
      <c r="F45" s="545">
        <v>34485.328699999998</v>
      </c>
      <c r="G45" s="545">
        <v>35452.430500000002</v>
      </c>
      <c r="H45" s="720">
        <v>36289.608800000002</v>
      </c>
      <c r="I45" s="590">
        <v>100</v>
      </c>
      <c r="J45" s="635">
        <v>100.00000027556098</v>
      </c>
      <c r="K45" s="721">
        <v>0.46393768850803152</v>
      </c>
      <c r="L45" s="521"/>
      <c r="M45" s="562" t="s">
        <v>844</v>
      </c>
      <c r="N45" s="563">
        <v>33722.415200000003</v>
      </c>
      <c r="O45" s="563">
        <v>38594.409599999999</v>
      </c>
      <c r="P45" s="563">
        <v>43697.769</v>
      </c>
      <c r="Q45" s="563">
        <v>31256.043699999998</v>
      </c>
      <c r="R45" s="563">
        <v>25180.3076</v>
      </c>
      <c r="S45" s="563">
        <v>18427.188900000001</v>
      </c>
      <c r="T45" s="592">
        <v>100</v>
      </c>
      <c r="U45" s="592">
        <v>100</v>
      </c>
      <c r="V45" s="482">
        <v>1.1843059383225274</v>
      </c>
      <c r="W45" s="482">
        <v>-2.1208761169998591</v>
      </c>
    </row>
    <row r="46" spans="1:23" x14ac:dyDescent="0.3">
      <c r="A46" s="549" t="s">
        <v>254</v>
      </c>
      <c r="B46" s="550">
        <v>8280.0750000000007</v>
      </c>
      <c r="C46" s="550">
        <v>14868.4149</v>
      </c>
      <c r="D46" s="550">
        <v>14560.5155</v>
      </c>
      <c r="E46" s="550">
        <v>14660.681500000001</v>
      </c>
      <c r="F46" s="550">
        <v>14840.690399999999</v>
      </c>
      <c r="G46" s="550">
        <v>14939.475899999999</v>
      </c>
      <c r="H46" s="722">
        <v>14975.0327</v>
      </c>
      <c r="I46" s="595">
        <v>46.211225930156949</v>
      </c>
      <c r="J46" s="596">
        <v>41.265346183616067</v>
      </c>
      <c r="K46" s="723">
        <v>2.7485199657761861E-2</v>
      </c>
      <c r="L46" s="521"/>
      <c r="M46" s="549" t="s">
        <v>254</v>
      </c>
      <c r="N46" s="552">
        <v>15149.4611</v>
      </c>
      <c r="O46" s="552">
        <v>17480.3004</v>
      </c>
      <c r="P46" s="552">
        <v>19588.732100000001</v>
      </c>
      <c r="Q46" s="724">
        <v>13431.347</v>
      </c>
      <c r="R46" s="724">
        <v>8691.1532000000007</v>
      </c>
      <c r="S46" s="724">
        <v>4374.8464000000004</v>
      </c>
      <c r="T46" s="599">
        <v>44.827762488286304</v>
      </c>
      <c r="U46" s="600">
        <v>23.741257680383359</v>
      </c>
      <c r="V46" s="468">
        <v>1.0660862873167254</v>
      </c>
      <c r="W46" s="601">
        <v>-4.5962791480616438</v>
      </c>
    </row>
    <row r="47" spans="1:23" x14ac:dyDescent="0.3">
      <c r="A47" s="549" t="s">
        <v>266</v>
      </c>
      <c r="B47" s="550">
        <v>8491.5290999999997</v>
      </c>
      <c r="C47" s="550">
        <v>10954.9979</v>
      </c>
      <c r="D47" s="550">
        <v>11333.6615</v>
      </c>
      <c r="E47" s="550">
        <v>11495.7943</v>
      </c>
      <c r="F47" s="550">
        <v>11569.7983</v>
      </c>
      <c r="G47" s="550">
        <v>11746.931500000001</v>
      </c>
      <c r="H47" s="722">
        <v>11925.9033</v>
      </c>
      <c r="I47" s="595">
        <v>34.048275248311434</v>
      </c>
      <c r="J47" s="596">
        <v>32.863135465929851</v>
      </c>
      <c r="K47" s="723">
        <v>0.32713778141590932</v>
      </c>
      <c r="L47" s="521"/>
      <c r="M47" s="549" t="s">
        <v>266</v>
      </c>
      <c r="N47" s="552">
        <v>11553.114100000001</v>
      </c>
      <c r="O47" s="552">
        <v>12562.4522</v>
      </c>
      <c r="P47" s="552">
        <v>13824.0638</v>
      </c>
      <c r="Q47" s="724">
        <v>10945.378699999999</v>
      </c>
      <c r="R47" s="724">
        <v>9322.4447999999993</v>
      </c>
      <c r="S47" s="724">
        <v>7484.2865000000002</v>
      </c>
      <c r="T47" s="599">
        <v>31.635628354390356</v>
      </c>
      <c r="U47" s="600">
        <v>40.615454373510005</v>
      </c>
      <c r="V47" s="468">
        <v>0.89868741673955199</v>
      </c>
      <c r="W47" s="601">
        <v>-1.4546625550874714</v>
      </c>
    </row>
    <row r="48" spans="1:23" x14ac:dyDescent="0.3">
      <c r="A48" s="571" t="s">
        <v>255</v>
      </c>
      <c r="B48" s="572">
        <v>3676.4780000000001</v>
      </c>
      <c r="C48" s="572">
        <v>6351.4853999999996</v>
      </c>
      <c r="D48" s="572">
        <v>6900.4682000000003</v>
      </c>
      <c r="E48" s="572">
        <v>7439.3867</v>
      </c>
      <c r="F48" s="572">
        <v>8074.84</v>
      </c>
      <c r="G48" s="572">
        <v>8766.0229999999992</v>
      </c>
      <c r="H48" s="725">
        <v>9388.6728999999996</v>
      </c>
      <c r="I48" s="605">
        <v>19.740498821531624</v>
      </c>
      <c r="J48" s="606">
        <v>25.871518626015057</v>
      </c>
      <c r="K48" s="726">
        <v>1.5144894579090629</v>
      </c>
      <c r="L48" s="556"/>
      <c r="M48" s="549" t="s">
        <v>255</v>
      </c>
      <c r="N48" s="552">
        <v>7019.84</v>
      </c>
      <c r="O48" s="552">
        <v>8551.6569999999992</v>
      </c>
      <c r="P48" s="552">
        <v>10284.973099999999</v>
      </c>
      <c r="Q48" s="724">
        <v>6879.3181000000004</v>
      </c>
      <c r="R48" s="724">
        <v>7166.7096000000001</v>
      </c>
      <c r="S48" s="724">
        <v>6568.0559999999996</v>
      </c>
      <c r="T48" s="599">
        <v>23.536609157323337</v>
      </c>
      <c r="U48" s="600">
        <v>35.643287946106632</v>
      </c>
      <c r="V48" s="468">
        <v>1.871117758533325</v>
      </c>
      <c r="W48" s="601">
        <v>0.12904161595315156</v>
      </c>
    </row>
    <row r="49" spans="1:23" ht="24" x14ac:dyDescent="0.3">
      <c r="A49" s="740" t="s">
        <v>820</v>
      </c>
      <c r="B49" s="741">
        <v>7599.4337999999998</v>
      </c>
      <c r="C49" s="741">
        <v>13496.173699999999</v>
      </c>
      <c r="D49" s="741">
        <v>13194.2225</v>
      </c>
      <c r="E49" s="741">
        <v>13352.5254</v>
      </c>
      <c r="F49" s="741">
        <v>13656.651400000001</v>
      </c>
      <c r="G49" s="741">
        <v>14037.2601</v>
      </c>
      <c r="H49" s="742">
        <v>14351.3225</v>
      </c>
      <c r="I49" s="639">
        <v>100</v>
      </c>
      <c r="J49" s="640">
        <v>100</v>
      </c>
      <c r="K49" s="743">
        <v>0.23657124536293761</v>
      </c>
      <c r="L49" s="521"/>
      <c r="M49" s="562" t="s">
        <v>820</v>
      </c>
      <c r="N49" s="563">
        <v>13798.0911</v>
      </c>
      <c r="O49" s="563">
        <v>16313.171399999999</v>
      </c>
      <c r="P49" s="563">
        <v>19057.783599999999</v>
      </c>
      <c r="Q49" s="563">
        <v>12169.078799999999</v>
      </c>
      <c r="R49" s="563">
        <v>7841.3608000000004</v>
      </c>
      <c r="S49" s="563">
        <v>3603.3296</v>
      </c>
      <c r="T49" s="592">
        <v>99.999999475280021</v>
      </c>
      <c r="U49" s="592">
        <v>99.999997224788984</v>
      </c>
      <c r="V49" s="482">
        <v>1.3360362213306942</v>
      </c>
      <c r="W49" s="482">
        <v>-4.952203911013509</v>
      </c>
    </row>
    <row r="50" spans="1:23" x14ac:dyDescent="0.3">
      <c r="A50" s="549" t="s">
        <v>254</v>
      </c>
      <c r="B50" s="550">
        <v>4995.3922000000002</v>
      </c>
      <c r="C50" s="550">
        <v>9899.3189999999995</v>
      </c>
      <c r="D50" s="550">
        <v>9597.7778999999991</v>
      </c>
      <c r="E50" s="550">
        <v>9648.0488999999998</v>
      </c>
      <c r="F50" s="550">
        <v>9792.2407000000003</v>
      </c>
      <c r="G50" s="550">
        <v>9910.9860000000008</v>
      </c>
      <c r="H50" s="722">
        <v>9991.6363999999994</v>
      </c>
      <c r="I50" s="595">
        <v>73.349078190954216</v>
      </c>
      <c r="J50" s="596">
        <v>69.621711866624139</v>
      </c>
      <c r="K50" s="723">
        <v>3.5707974372711782E-2</v>
      </c>
      <c r="L50" s="521"/>
      <c r="M50" s="549" t="s">
        <v>254</v>
      </c>
      <c r="N50" s="552">
        <v>10110.339</v>
      </c>
      <c r="O50" s="552">
        <v>12127.4733</v>
      </c>
      <c r="P50" s="552">
        <v>14111.6088</v>
      </c>
      <c r="Q50" s="724">
        <v>8575.6815999999999</v>
      </c>
      <c r="R50" s="724">
        <v>4581.3402999999998</v>
      </c>
      <c r="S50" s="724">
        <v>1254.6652999999999</v>
      </c>
      <c r="T50" s="599">
        <v>74.046432136001386</v>
      </c>
      <c r="U50" s="600">
        <v>34.819609618836971</v>
      </c>
      <c r="V50" s="468">
        <v>1.3729230941839754</v>
      </c>
      <c r="W50" s="601">
        <v>-7.6372145369172699</v>
      </c>
    </row>
    <row r="51" spans="1:23" x14ac:dyDescent="0.3">
      <c r="A51" s="549" t="s">
        <v>266</v>
      </c>
      <c r="B51" s="550">
        <v>1237.2330999999999</v>
      </c>
      <c r="C51" s="550">
        <v>867.67970000000003</v>
      </c>
      <c r="D51" s="550">
        <v>730.3854</v>
      </c>
      <c r="E51" s="550">
        <v>642.60419999999999</v>
      </c>
      <c r="F51" s="550">
        <v>555.54660000000001</v>
      </c>
      <c r="G51" s="550">
        <v>511.81099999999998</v>
      </c>
      <c r="H51" s="722">
        <v>480.66750000000002</v>
      </c>
      <c r="I51" s="595">
        <v>6.4290792285816538</v>
      </c>
      <c r="J51" s="596">
        <v>3.3492906315776825</v>
      </c>
      <c r="K51" s="723">
        <v>-2.2461095074568949</v>
      </c>
      <c r="L51" s="521"/>
      <c r="M51" s="549" t="s">
        <v>266</v>
      </c>
      <c r="N51" s="552">
        <v>740.3954</v>
      </c>
      <c r="O51" s="552">
        <v>575.80970000000002</v>
      </c>
      <c r="P51" s="552">
        <v>505.12540000000001</v>
      </c>
      <c r="Q51" s="724">
        <v>699.72720000000004</v>
      </c>
      <c r="R51" s="724">
        <v>370.00380000000001</v>
      </c>
      <c r="S51" s="724">
        <v>205.8818</v>
      </c>
      <c r="T51" s="599">
        <v>2.6504939430627181</v>
      </c>
      <c r="U51" s="600">
        <v>5.7136543934254584</v>
      </c>
      <c r="V51" s="468">
        <v>-2.0593305759275093</v>
      </c>
      <c r="W51" s="601">
        <v>-5.3824972407798715</v>
      </c>
    </row>
    <row r="52" spans="1:23" x14ac:dyDescent="0.3">
      <c r="A52" s="549" t="s">
        <v>255</v>
      </c>
      <c r="B52" s="550">
        <v>1366.8085000000001</v>
      </c>
      <c r="C52" s="550">
        <v>2729.1750000000002</v>
      </c>
      <c r="D52" s="550">
        <v>2866.0592999999999</v>
      </c>
      <c r="E52" s="550">
        <v>3061.8724000000002</v>
      </c>
      <c r="F52" s="550">
        <v>3308.8640999999998</v>
      </c>
      <c r="G52" s="550">
        <v>3614.4630999999999</v>
      </c>
      <c r="H52" s="722">
        <v>3879.0185999999999</v>
      </c>
      <c r="I52" s="595">
        <v>20.221842580464124</v>
      </c>
      <c r="J52" s="596">
        <v>27.02899750179818</v>
      </c>
      <c r="K52" s="723">
        <v>1.3614257441858735</v>
      </c>
      <c r="L52" s="521"/>
      <c r="M52" s="549" t="s">
        <v>255</v>
      </c>
      <c r="N52" s="552">
        <v>2947.3566999999998</v>
      </c>
      <c r="O52" s="552">
        <v>3609.8883999999998</v>
      </c>
      <c r="P52" s="552">
        <v>4441.0492999999997</v>
      </c>
      <c r="Q52" s="724">
        <v>2893.67</v>
      </c>
      <c r="R52" s="724">
        <v>2890.0167000000001</v>
      </c>
      <c r="S52" s="724">
        <v>2142.7824000000001</v>
      </c>
      <c r="T52" s="599">
        <v>23.303073396215918</v>
      </c>
      <c r="U52" s="600">
        <v>59.466733212526549</v>
      </c>
      <c r="V52" s="468">
        <v>1.890303114098657</v>
      </c>
      <c r="W52" s="601">
        <v>-0.9260478062624089</v>
      </c>
    </row>
    <row r="53" spans="1:23" x14ac:dyDescent="0.3">
      <c r="A53" s="740" t="s">
        <v>823</v>
      </c>
      <c r="B53" s="741">
        <v>11879.168600000001</v>
      </c>
      <c r="C53" s="741">
        <v>16997.039000000001</v>
      </c>
      <c r="D53" s="741">
        <v>17900.715400000001</v>
      </c>
      <c r="E53" s="741">
        <v>18525.484899999999</v>
      </c>
      <c r="F53" s="741">
        <v>19104.4113</v>
      </c>
      <c r="G53" s="741">
        <v>19674.288799999998</v>
      </c>
      <c r="H53" s="742">
        <v>20182.372599999999</v>
      </c>
      <c r="I53" s="639">
        <v>100</v>
      </c>
      <c r="J53" s="640">
        <v>99.999999504518115</v>
      </c>
      <c r="K53" s="743">
        <v>0.66284263242486485</v>
      </c>
      <c r="L53" s="521"/>
      <c r="M53" s="562" t="s">
        <v>823</v>
      </c>
      <c r="N53" s="563">
        <v>18194.8861</v>
      </c>
      <c r="O53" s="563">
        <v>20435.8662</v>
      </c>
      <c r="P53" s="563">
        <v>22642.374299999999</v>
      </c>
      <c r="Q53" s="563">
        <v>17435.730500000001</v>
      </c>
      <c r="R53" s="563">
        <v>15965.5355</v>
      </c>
      <c r="S53" s="563">
        <v>13744.9692</v>
      </c>
      <c r="T53" s="592">
        <v>100</v>
      </c>
      <c r="U53" s="592">
        <v>99.999999272461082</v>
      </c>
      <c r="V53" s="482">
        <v>1.1091209003354141</v>
      </c>
      <c r="W53" s="482">
        <v>-0.8134666590291495</v>
      </c>
    </row>
    <row r="54" spans="1:23" x14ac:dyDescent="0.3">
      <c r="A54" s="549" t="s">
        <v>254</v>
      </c>
      <c r="B54" s="550">
        <v>3132.7361999999998</v>
      </c>
      <c r="C54" s="550">
        <v>4561.6866</v>
      </c>
      <c r="D54" s="550">
        <v>4581.0177999999996</v>
      </c>
      <c r="E54" s="550">
        <v>4638.1301999999996</v>
      </c>
      <c r="F54" s="550">
        <v>4683.0762000000004</v>
      </c>
      <c r="G54" s="550">
        <v>4676.8663999999999</v>
      </c>
      <c r="H54" s="722">
        <v>4644.2332999999999</v>
      </c>
      <c r="I54" s="595">
        <v>26.838125158152543</v>
      </c>
      <c r="J54" s="596">
        <v>23.01133465348866</v>
      </c>
      <c r="K54" s="723">
        <v>6.9000239896555016E-2</v>
      </c>
      <c r="L54" s="521"/>
      <c r="M54" s="549" t="s">
        <v>254</v>
      </c>
      <c r="N54" s="552">
        <v>4652.1857</v>
      </c>
      <c r="O54" s="552">
        <v>4967.7791999999999</v>
      </c>
      <c r="P54" s="552">
        <v>5102.2542999999996</v>
      </c>
      <c r="Q54" s="724">
        <v>4485.0074999999997</v>
      </c>
      <c r="R54" s="724">
        <v>3813.9322999999999</v>
      </c>
      <c r="S54" s="724">
        <v>2896.3424</v>
      </c>
      <c r="T54" s="599">
        <v>22.534095728644498</v>
      </c>
      <c r="U54" s="600">
        <v>21.072018116999491</v>
      </c>
      <c r="V54" s="468">
        <v>0.43165989475071331</v>
      </c>
      <c r="W54" s="601">
        <v>-1.7319180983918048</v>
      </c>
    </row>
    <row r="55" spans="1:23" x14ac:dyDescent="0.3">
      <c r="A55" s="549" t="s">
        <v>266</v>
      </c>
      <c r="B55" s="550">
        <v>6738.8531999999996</v>
      </c>
      <c r="C55" s="550">
        <v>9487.5318000000007</v>
      </c>
      <c r="D55" s="550">
        <v>9996.1458999999995</v>
      </c>
      <c r="E55" s="550">
        <v>10248.919599999999</v>
      </c>
      <c r="F55" s="550">
        <v>10421.3243</v>
      </c>
      <c r="G55" s="550">
        <v>10647.3541</v>
      </c>
      <c r="H55" s="722">
        <v>10857.885700000001</v>
      </c>
      <c r="I55" s="595">
        <v>55.818732898124203</v>
      </c>
      <c r="J55" s="596">
        <v>53.798856631950208</v>
      </c>
      <c r="K55" s="723">
        <v>0.5202451927917906</v>
      </c>
      <c r="L55" s="521"/>
      <c r="M55" s="549" t="s">
        <v>266</v>
      </c>
      <c r="N55" s="552">
        <v>10195.757799999999</v>
      </c>
      <c r="O55" s="552">
        <v>11350.525299999999</v>
      </c>
      <c r="P55" s="552">
        <v>12644.7425</v>
      </c>
      <c r="Q55" s="724">
        <v>9655.6200000000008</v>
      </c>
      <c r="R55" s="724">
        <v>8481.9835999999996</v>
      </c>
      <c r="S55" s="724">
        <v>6919.2079999999996</v>
      </c>
      <c r="T55" s="599">
        <v>55.84547950874569</v>
      </c>
      <c r="U55" s="600">
        <v>50.339930918142763</v>
      </c>
      <c r="V55" s="468">
        <v>1.110983869812876</v>
      </c>
      <c r="W55" s="601">
        <v>-1.2068020325680329</v>
      </c>
    </row>
    <row r="56" spans="1:23" x14ac:dyDescent="0.3">
      <c r="A56" s="744" t="s">
        <v>845</v>
      </c>
      <c r="B56" s="570">
        <v>4423.2242999999999</v>
      </c>
      <c r="C56" s="570">
        <v>7305.9391999999998</v>
      </c>
      <c r="D56" s="570">
        <v>7780.7583000000004</v>
      </c>
      <c r="E56" s="570">
        <v>8085.3162000000002</v>
      </c>
      <c r="F56" s="570">
        <v>8313.5329000000002</v>
      </c>
      <c r="G56" s="570">
        <v>8575.8621000000003</v>
      </c>
      <c r="H56" s="745">
        <v>8801.9210000000003</v>
      </c>
      <c r="I56" s="643">
        <v>42.983599672860663</v>
      </c>
      <c r="J56" s="644">
        <v>43.611924001442723</v>
      </c>
      <c r="K56" s="746">
        <v>0.71904351030738223</v>
      </c>
      <c r="L56" s="521"/>
      <c r="M56" s="744" t="s">
        <v>845</v>
      </c>
      <c r="N56" s="567">
        <v>7930.192</v>
      </c>
      <c r="O56" s="567">
        <v>9073.7950999999994</v>
      </c>
      <c r="P56" s="567">
        <v>10317.328799999999</v>
      </c>
      <c r="Q56" s="747">
        <v>7482.8725999999997</v>
      </c>
      <c r="R56" s="747">
        <v>6624.1737999999996</v>
      </c>
      <c r="S56" s="747">
        <v>5297.7730000000001</v>
      </c>
      <c r="T56" s="647">
        <v>45.566461640906624</v>
      </c>
      <c r="U56" s="648">
        <v>38.54336028632207</v>
      </c>
      <c r="V56" s="493">
        <v>1.336300835477866</v>
      </c>
      <c r="W56" s="649">
        <v>-1.2285488873468253</v>
      </c>
    </row>
    <row r="57" spans="1:23" x14ac:dyDescent="0.3">
      <c r="A57" s="744" t="s">
        <v>832</v>
      </c>
      <c r="B57" s="570">
        <v>630.22929999999997</v>
      </c>
      <c r="C57" s="570">
        <v>1130.4376</v>
      </c>
      <c r="D57" s="570">
        <v>1273.4186999999999</v>
      </c>
      <c r="E57" s="570">
        <v>1390.8227999999999</v>
      </c>
      <c r="F57" s="570">
        <v>1511.0642</v>
      </c>
      <c r="G57" s="570">
        <v>1628.1976999999999</v>
      </c>
      <c r="H57" s="745">
        <v>1748.9783</v>
      </c>
      <c r="I57" s="643">
        <v>6.6507913525408746</v>
      </c>
      <c r="J57" s="644">
        <v>8.665870632078212</v>
      </c>
      <c r="K57" s="746">
        <v>1.6927323503395542</v>
      </c>
      <c r="L57" s="521"/>
      <c r="M57" s="744" t="s">
        <v>832</v>
      </c>
      <c r="N57" s="567">
        <v>1315.4428</v>
      </c>
      <c r="O57" s="567">
        <v>1648.2375000000002</v>
      </c>
      <c r="P57" s="567">
        <v>1968.6476</v>
      </c>
      <c r="Q57" s="747">
        <v>1119.7191</v>
      </c>
      <c r="R57" s="747">
        <v>1090.4758999999999</v>
      </c>
      <c r="S57" s="747">
        <v>975.67539999999997</v>
      </c>
      <c r="T57" s="647">
        <v>8.6945281175746665</v>
      </c>
      <c r="U57" s="648">
        <v>7.0984182343602491</v>
      </c>
      <c r="V57" s="493">
        <v>2.1565475454323746</v>
      </c>
      <c r="W57" s="649">
        <v>-0.56466950029867569</v>
      </c>
    </row>
    <row r="58" spans="1:23" x14ac:dyDescent="0.3">
      <c r="A58" s="571" t="s">
        <v>255</v>
      </c>
      <c r="B58" s="572">
        <v>2007.5790999999999</v>
      </c>
      <c r="C58" s="572">
        <v>2947.8206</v>
      </c>
      <c r="D58" s="572">
        <v>3323.5517</v>
      </c>
      <c r="E58" s="572">
        <v>3638.4351000000001</v>
      </c>
      <c r="F58" s="572">
        <v>4000.0108</v>
      </c>
      <c r="G58" s="572">
        <v>4350.0681999999997</v>
      </c>
      <c r="H58" s="725">
        <v>4680.2534999999998</v>
      </c>
      <c r="I58" s="605">
        <v>17.343141943723257</v>
      </c>
      <c r="J58" s="606">
        <v>23.189808219079257</v>
      </c>
      <c r="K58" s="726">
        <v>1.7939246246970075</v>
      </c>
      <c r="L58" s="521"/>
      <c r="M58" s="727" t="s">
        <v>255</v>
      </c>
      <c r="N58" s="728">
        <v>3346.9425000000001</v>
      </c>
      <c r="O58" s="728">
        <v>4117.5617000000002</v>
      </c>
      <c r="P58" s="728">
        <v>4895.3774999999996</v>
      </c>
      <c r="Q58" s="729">
        <v>3295.1030000000001</v>
      </c>
      <c r="R58" s="729">
        <v>3669.6196</v>
      </c>
      <c r="S58" s="729">
        <v>3929.4187000000002</v>
      </c>
      <c r="T58" s="611">
        <v>21.620424762609812</v>
      </c>
      <c r="U58" s="612">
        <v>28.588050237318829</v>
      </c>
      <c r="V58" s="613">
        <v>1.9700201930856753</v>
      </c>
      <c r="W58" s="614">
        <v>1.111615279376954</v>
      </c>
    </row>
    <row r="59" spans="1:23" x14ac:dyDescent="0.3">
      <c r="A59" s="578" t="s">
        <v>679</v>
      </c>
      <c r="B59" s="737"/>
      <c r="C59" s="737"/>
      <c r="D59" s="737"/>
      <c r="E59" s="737"/>
      <c r="F59" s="737"/>
      <c r="G59" s="737"/>
      <c r="H59" s="737"/>
      <c r="I59" s="737"/>
      <c r="J59" s="737"/>
      <c r="K59" s="580" t="s">
        <v>680</v>
      </c>
      <c r="L59" s="521"/>
      <c r="M59" s="578" t="s">
        <v>679</v>
      </c>
      <c r="N59" s="737"/>
      <c r="O59" s="737"/>
      <c r="P59" s="737"/>
      <c r="Q59" s="737"/>
      <c r="R59" s="737"/>
      <c r="S59" s="737"/>
      <c r="T59" s="737"/>
      <c r="U59" s="737"/>
      <c r="V59" s="737"/>
      <c r="W59" s="580" t="s">
        <v>680</v>
      </c>
    </row>
  </sheetData>
  <mergeCells count="6">
    <mergeCell ref="T27:U27"/>
    <mergeCell ref="N10:S10"/>
    <mergeCell ref="T10:U10"/>
    <mergeCell ref="V10:W10"/>
    <mergeCell ref="T11:U11"/>
    <mergeCell ref="V11:W11"/>
  </mergeCells>
  <conditionalFormatting sqref="A1:XFD5 A7:XFD7 A6 C6:XFD6">
    <cfRule type="expression" dxfId="27" priority="2">
      <formula>_xlfn.ISFORMULA(A1)</formula>
    </cfRule>
  </conditionalFormatting>
  <conditionalFormatting sqref="B6">
    <cfRule type="expression" dxfId="26" priority="1">
      <formula>_xlfn.ISFORMULA(B6)</formula>
    </cfRule>
  </conditionalFormatting>
  <hyperlinks>
    <hyperlink ref="B3" r:id="rId1" xr:uid="{273D144A-8DB5-4350-B532-74DAA13B21A4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0857E-CEFB-4A96-9E11-2DABFE5B4D87}">
  <sheetPr>
    <tabColor theme="7" tint="0.39997558519241921"/>
  </sheetPr>
  <dimension ref="A1:G2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7" s="1" customFormat="1" ht="49.5" customHeight="1" x14ac:dyDescent="0.3">
      <c r="A1" s="1" t="s">
        <v>858</v>
      </c>
    </row>
    <row r="2" spans="1:7" s="2" customFormat="1" x14ac:dyDescent="0.3">
      <c r="A2" s="2" t="s">
        <v>1</v>
      </c>
      <c r="B2" s="2" t="s">
        <v>660</v>
      </c>
    </row>
    <row r="3" spans="1:7" s="2" customFormat="1" x14ac:dyDescent="0.3">
      <c r="A3" s="2" t="s">
        <v>3</v>
      </c>
      <c r="B3" s="6" t="s">
        <v>661</v>
      </c>
    </row>
    <row r="4" spans="1:7" s="2" customFormat="1" x14ac:dyDescent="0.3">
      <c r="A4" s="2" t="s">
        <v>7</v>
      </c>
      <c r="B4" s="7">
        <v>43136</v>
      </c>
    </row>
    <row r="5" spans="1:7" s="2" customFormat="1" x14ac:dyDescent="0.3">
      <c r="A5" s="2" t="s">
        <v>2</v>
      </c>
      <c r="B5" s="2" t="s">
        <v>859</v>
      </c>
    </row>
    <row r="6" spans="1:7" s="2" customFormat="1" x14ac:dyDescent="0.3">
      <c r="A6" s="2" t="s">
        <v>4</v>
      </c>
      <c r="B6" s="2" t="s">
        <v>860</v>
      </c>
    </row>
    <row r="7" spans="1:7" s="2" customFormat="1" x14ac:dyDescent="0.3">
      <c r="B7" s="2" t="s">
        <v>861</v>
      </c>
    </row>
    <row r="9" spans="1:7" x14ac:dyDescent="0.3">
      <c r="A9" s="3" t="s">
        <v>8</v>
      </c>
      <c r="B9" s="3" t="s">
        <v>86</v>
      </c>
      <c r="C9" s="3" t="s">
        <v>76</v>
      </c>
      <c r="D9" s="3" t="s">
        <v>521</v>
      </c>
      <c r="E9" s="3">
        <v>2020</v>
      </c>
      <c r="F9" s="3">
        <v>2030</v>
      </c>
      <c r="G9" s="3">
        <v>2040</v>
      </c>
    </row>
    <row r="10" spans="1:7" x14ac:dyDescent="0.3">
      <c r="A10" s="3" t="s">
        <v>590</v>
      </c>
      <c r="B10" s="3" t="s">
        <v>664</v>
      </c>
      <c r="C10" s="3" t="s">
        <v>641</v>
      </c>
      <c r="D10" s="3" t="s">
        <v>862</v>
      </c>
      <c r="E10" s="3">
        <v>18</v>
      </c>
      <c r="F10" s="3">
        <v>30</v>
      </c>
      <c r="G10" s="3">
        <v>40</v>
      </c>
    </row>
    <row r="11" spans="1:7" x14ac:dyDescent="0.3">
      <c r="A11" s="3" t="s">
        <v>590</v>
      </c>
      <c r="B11" s="3" t="s">
        <v>664</v>
      </c>
      <c r="C11" s="3" t="s">
        <v>863</v>
      </c>
      <c r="D11" s="3" t="s">
        <v>864</v>
      </c>
      <c r="E11" s="3">
        <v>18</v>
      </c>
      <c r="F11" s="3">
        <v>30</v>
      </c>
      <c r="G11" s="3">
        <v>40</v>
      </c>
    </row>
    <row r="12" spans="1:7" x14ac:dyDescent="0.3">
      <c r="A12" s="17" t="s">
        <v>590</v>
      </c>
      <c r="B12" s="17" t="s">
        <v>664</v>
      </c>
      <c r="C12" s="17" t="s">
        <v>865</v>
      </c>
      <c r="D12" s="17" t="s">
        <v>708</v>
      </c>
      <c r="E12" s="17">
        <v>0</v>
      </c>
      <c r="F12" s="17">
        <v>0</v>
      </c>
      <c r="G12" s="17">
        <v>0</v>
      </c>
    </row>
    <row r="13" spans="1:7" x14ac:dyDescent="0.3">
      <c r="A13" s="17" t="s">
        <v>590</v>
      </c>
      <c r="B13" s="17" t="s">
        <v>664</v>
      </c>
      <c r="C13" s="17" t="s">
        <v>622</v>
      </c>
      <c r="D13" s="17" t="s">
        <v>864</v>
      </c>
      <c r="E13" s="17">
        <v>0</v>
      </c>
      <c r="F13" s="17">
        <v>0</v>
      </c>
      <c r="G13" s="17">
        <v>0</v>
      </c>
    </row>
    <row r="14" spans="1:7" x14ac:dyDescent="0.3">
      <c r="A14" s="17" t="s">
        <v>590</v>
      </c>
      <c r="B14" s="17" t="s">
        <v>664</v>
      </c>
      <c r="C14" s="17" t="s">
        <v>655</v>
      </c>
      <c r="D14" s="17" t="s">
        <v>864</v>
      </c>
      <c r="E14" s="17">
        <v>0</v>
      </c>
      <c r="F14" s="17">
        <v>0</v>
      </c>
      <c r="G14" s="17">
        <v>0</v>
      </c>
    </row>
    <row r="15" spans="1:7" x14ac:dyDescent="0.3">
      <c r="A15" s="3" t="s">
        <v>585</v>
      </c>
      <c r="B15" s="3" t="s">
        <v>579</v>
      </c>
      <c r="C15" s="3" t="s">
        <v>641</v>
      </c>
      <c r="D15" s="3" t="s">
        <v>862</v>
      </c>
      <c r="E15" s="3">
        <v>20</v>
      </c>
      <c r="F15" s="3">
        <v>37</v>
      </c>
      <c r="G15" s="3">
        <v>50</v>
      </c>
    </row>
    <row r="16" spans="1:7" x14ac:dyDescent="0.3">
      <c r="A16" s="3" t="s">
        <v>585</v>
      </c>
      <c r="B16" s="3" t="s">
        <v>579</v>
      </c>
      <c r="C16" s="3" t="s">
        <v>865</v>
      </c>
      <c r="D16" s="3" t="s">
        <v>708</v>
      </c>
      <c r="E16" s="3">
        <v>6</v>
      </c>
      <c r="F16" s="3">
        <v>12</v>
      </c>
      <c r="G16" s="3">
        <v>20</v>
      </c>
    </row>
    <row r="17" spans="1:7" x14ac:dyDescent="0.3">
      <c r="A17" s="3" t="s">
        <v>585</v>
      </c>
      <c r="B17" s="3" t="s">
        <v>579</v>
      </c>
      <c r="C17" s="3" t="s">
        <v>863</v>
      </c>
      <c r="D17" s="3" t="s">
        <v>864</v>
      </c>
      <c r="E17" s="3">
        <v>20</v>
      </c>
      <c r="F17" s="3">
        <v>37</v>
      </c>
      <c r="G17" s="3">
        <v>50</v>
      </c>
    </row>
    <row r="18" spans="1:7" x14ac:dyDescent="0.3">
      <c r="A18" s="3" t="s">
        <v>585</v>
      </c>
      <c r="B18" s="3" t="s">
        <v>579</v>
      </c>
      <c r="C18" s="3" t="s">
        <v>622</v>
      </c>
      <c r="D18" s="3" t="s">
        <v>864</v>
      </c>
      <c r="E18" s="3">
        <v>10</v>
      </c>
      <c r="F18" s="3">
        <v>23</v>
      </c>
      <c r="G18" s="3">
        <v>35</v>
      </c>
    </row>
    <row r="19" spans="1:7" x14ac:dyDescent="0.3">
      <c r="A19" s="3" t="s">
        <v>585</v>
      </c>
      <c r="B19" s="3" t="s">
        <v>579</v>
      </c>
      <c r="C19" s="3" t="s">
        <v>655</v>
      </c>
      <c r="D19" s="3" t="s">
        <v>864</v>
      </c>
      <c r="E19" s="3">
        <v>7</v>
      </c>
      <c r="F19" s="3">
        <v>15</v>
      </c>
      <c r="G19" s="3">
        <v>24</v>
      </c>
    </row>
    <row r="20" spans="1:7" x14ac:dyDescent="0.3">
      <c r="A20" s="3">
        <v>450</v>
      </c>
      <c r="B20" s="3" t="s">
        <v>665</v>
      </c>
      <c r="C20" s="3" t="s">
        <v>866</v>
      </c>
      <c r="D20" s="3" t="s">
        <v>864</v>
      </c>
      <c r="E20" s="3">
        <v>20</v>
      </c>
      <c r="F20" s="3">
        <v>100</v>
      </c>
      <c r="G20" s="3">
        <v>140</v>
      </c>
    </row>
    <row r="21" spans="1:7" x14ac:dyDescent="0.3">
      <c r="A21" s="3">
        <v>450</v>
      </c>
      <c r="B21" s="3" t="s">
        <v>665</v>
      </c>
      <c r="C21" s="3" t="s">
        <v>641</v>
      </c>
      <c r="D21" s="3" t="s">
        <v>862</v>
      </c>
      <c r="E21" s="3">
        <v>20</v>
      </c>
      <c r="F21" s="3">
        <v>100</v>
      </c>
      <c r="G21" s="3">
        <v>140</v>
      </c>
    </row>
    <row r="22" spans="1:7" x14ac:dyDescent="0.3">
      <c r="A22" s="3">
        <v>450</v>
      </c>
      <c r="B22" s="3" t="s">
        <v>665</v>
      </c>
      <c r="C22" s="3" t="s">
        <v>867</v>
      </c>
      <c r="D22" s="3" t="s">
        <v>864</v>
      </c>
      <c r="E22" s="3">
        <v>10</v>
      </c>
      <c r="F22" s="3">
        <v>75</v>
      </c>
      <c r="G22" s="3">
        <v>125</v>
      </c>
    </row>
  </sheetData>
  <conditionalFormatting sqref="A1:XFD5 A8:XFD8 A6:A7 C6:XFD7">
    <cfRule type="expression" dxfId="25" priority="2">
      <formula>_xlfn.ISFORMULA(A1)</formula>
    </cfRule>
  </conditionalFormatting>
  <conditionalFormatting sqref="B6:B7">
    <cfRule type="expression" dxfId="24" priority="1">
      <formula>_xlfn.ISFORMULA(B6)</formula>
    </cfRule>
  </conditionalFormatting>
  <hyperlinks>
    <hyperlink ref="B3" r:id="rId1" xr:uid="{78CC06B1-840A-406C-AA2E-539471E35C22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96BE6-38CC-4784-8001-F64293910C4B}">
  <sheetPr>
    <tabColor theme="7" tint="0.39997558519241921"/>
  </sheetPr>
  <dimension ref="A1:M23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13" s="1" customFormat="1" ht="49.5" customHeight="1" x14ac:dyDescent="0.3">
      <c r="A1" s="1" t="s">
        <v>868</v>
      </c>
    </row>
    <row r="2" spans="1:13" s="2" customFormat="1" x14ac:dyDescent="0.3">
      <c r="A2" s="2" t="s">
        <v>1</v>
      </c>
      <c r="B2" s="2" t="s">
        <v>869</v>
      </c>
    </row>
    <row r="3" spans="1:13" s="2" customFormat="1" x14ac:dyDescent="0.3">
      <c r="A3" s="2" t="s">
        <v>3</v>
      </c>
      <c r="B3" s="6" t="s">
        <v>870</v>
      </c>
    </row>
    <row r="4" spans="1:13" s="2" customFormat="1" x14ac:dyDescent="0.3">
      <c r="A4" s="2" t="s">
        <v>7</v>
      </c>
      <c r="B4" s="7">
        <v>43501</v>
      </c>
    </row>
    <row r="5" spans="1:13" s="2" customFormat="1" x14ac:dyDescent="0.3">
      <c r="A5" s="2" t="s">
        <v>2</v>
      </c>
      <c r="B5" s="2" t="s">
        <v>871</v>
      </c>
    </row>
    <row r="6" spans="1:13" s="2" customFormat="1" x14ac:dyDescent="0.3">
      <c r="A6" s="2" t="s">
        <v>4</v>
      </c>
      <c r="B6" s="2" t="s">
        <v>872</v>
      </c>
    </row>
    <row r="7" spans="1:13" ht="15" thickBot="1" x14ac:dyDescent="0.35"/>
    <row r="8" spans="1:13" s="748" customFormat="1" ht="15" thickBot="1" x14ac:dyDescent="0.35">
      <c r="A8" s="748" t="s">
        <v>873</v>
      </c>
    </row>
    <row r="9" spans="1:13" x14ac:dyDescent="0.3">
      <c r="B9" s="3">
        <v>2005</v>
      </c>
      <c r="C9" s="3">
        <v>2006</v>
      </c>
      <c r="D9" s="3">
        <v>2007</v>
      </c>
      <c r="E9" s="3">
        <v>2008</v>
      </c>
      <c r="F9" s="3">
        <v>2009</v>
      </c>
      <c r="G9" s="3">
        <v>2010</v>
      </c>
      <c r="H9" s="3">
        <v>2011</v>
      </c>
      <c r="I9" s="3">
        <v>2012</v>
      </c>
      <c r="J9" s="3">
        <v>2013</v>
      </c>
      <c r="K9" s="3">
        <v>2014</v>
      </c>
      <c r="L9" s="3">
        <v>2015</v>
      </c>
      <c r="M9" s="3">
        <v>2016</v>
      </c>
    </row>
    <row r="10" spans="1:13" x14ac:dyDescent="0.3">
      <c r="A10" s="3" t="s">
        <v>593</v>
      </c>
      <c r="H10" s="3">
        <v>0.52</v>
      </c>
      <c r="I10" s="3">
        <v>2.54</v>
      </c>
      <c r="J10" s="3">
        <v>5.66</v>
      </c>
      <c r="K10" s="3">
        <v>10.73</v>
      </c>
      <c r="L10" s="3">
        <v>17.690000000000001</v>
      </c>
      <c r="M10" s="3">
        <v>29.27</v>
      </c>
    </row>
    <row r="11" spans="1:13" x14ac:dyDescent="0.3">
      <c r="A11" s="3" t="s">
        <v>622</v>
      </c>
      <c r="F11" s="3">
        <v>0.48</v>
      </c>
      <c r="G11" s="3">
        <v>1.91</v>
      </c>
      <c r="H11" s="3">
        <v>6.98</v>
      </c>
      <c r="I11" s="3">
        <v>16.88</v>
      </c>
      <c r="J11" s="3">
        <v>32.22</v>
      </c>
      <c r="K11" s="3">
        <v>105.39</v>
      </c>
      <c r="L11" s="3">
        <v>312.77</v>
      </c>
      <c r="M11" s="3">
        <v>648.77</v>
      </c>
    </row>
    <row r="12" spans="1:13" x14ac:dyDescent="0.3">
      <c r="A12" s="3" t="s">
        <v>874</v>
      </c>
      <c r="B12" s="3">
        <v>0.01</v>
      </c>
      <c r="C12" s="3">
        <v>0.01</v>
      </c>
      <c r="D12" s="3">
        <v>0.01</v>
      </c>
      <c r="E12" s="3">
        <v>0.01</v>
      </c>
      <c r="F12" s="3">
        <v>0.12</v>
      </c>
      <c r="G12" s="3">
        <v>0.3</v>
      </c>
      <c r="H12" s="3">
        <v>3.03</v>
      </c>
      <c r="I12" s="3">
        <v>9.2899999999999991</v>
      </c>
      <c r="J12" s="3">
        <v>18.91</v>
      </c>
      <c r="K12" s="3">
        <v>31.54</v>
      </c>
      <c r="L12" s="3">
        <v>54.49</v>
      </c>
      <c r="M12" s="3">
        <v>84</v>
      </c>
    </row>
    <row r="13" spans="1:13" x14ac:dyDescent="0.3">
      <c r="A13" s="3" t="s">
        <v>875</v>
      </c>
      <c r="B13" s="3">
        <v>0.02</v>
      </c>
      <c r="C13" s="3">
        <v>0.02</v>
      </c>
      <c r="D13" s="3">
        <v>0.02</v>
      </c>
      <c r="E13" s="3">
        <v>0.09</v>
      </c>
      <c r="F13" s="3">
        <v>0.1</v>
      </c>
      <c r="G13" s="3">
        <v>0.25</v>
      </c>
      <c r="H13" s="3">
        <v>1.89</v>
      </c>
      <c r="I13" s="3">
        <v>5.26</v>
      </c>
      <c r="J13" s="3">
        <v>12.19</v>
      </c>
      <c r="K13" s="3">
        <v>24.93</v>
      </c>
      <c r="L13" s="3">
        <v>48.12</v>
      </c>
      <c r="M13" s="3">
        <v>72.73</v>
      </c>
    </row>
    <row r="14" spans="1:13" x14ac:dyDescent="0.3">
      <c r="A14" s="3" t="s">
        <v>623</v>
      </c>
      <c r="E14" s="3">
        <v>0.37</v>
      </c>
      <c r="F14" s="3">
        <v>0.53</v>
      </c>
      <c r="G14" s="3">
        <v>0.88</v>
      </c>
      <c r="H14" s="3">
        <v>1.33</v>
      </c>
      <c r="I14" s="3">
        <v>2.76</v>
      </c>
      <c r="J14" s="3">
        <v>2.95</v>
      </c>
      <c r="K14" s="3">
        <v>3.35</v>
      </c>
      <c r="L14" s="3">
        <v>4.3499999999999996</v>
      </c>
      <c r="M14" s="3">
        <v>4.8</v>
      </c>
    </row>
    <row r="15" spans="1:13" x14ac:dyDescent="0.3">
      <c r="A15" s="3" t="s">
        <v>876</v>
      </c>
      <c r="F15" s="3">
        <v>1.08</v>
      </c>
      <c r="G15" s="3">
        <v>3.52</v>
      </c>
      <c r="H15" s="3">
        <v>16.14</v>
      </c>
      <c r="I15" s="3">
        <v>40.58</v>
      </c>
      <c r="J15" s="3">
        <v>69.459999999999994</v>
      </c>
      <c r="K15" s="3">
        <v>101.74</v>
      </c>
      <c r="L15" s="3">
        <v>126.4</v>
      </c>
      <c r="M15" s="3">
        <v>151.25</v>
      </c>
    </row>
    <row r="16" spans="1:13" x14ac:dyDescent="0.3">
      <c r="A16" s="3" t="s">
        <v>863</v>
      </c>
      <c r="G16" s="3">
        <v>0.06</v>
      </c>
      <c r="H16" s="3">
        <v>0.34</v>
      </c>
      <c r="I16" s="3">
        <v>0.85</v>
      </c>
      <c r="J16" s="3">
        <v>1.45</v>
      </c>
      <c r="K16" s="3">
        <v>2.76</v>
      </c>
      <c r="L16" s="3">
        <v>5.95</v>
      </c>
      <c r="M16" s="3">
        <v>11.21</v>
      </c>
    </row>
    <row r="17" spans="1:13" x14ac:dyDescent="0.3">
      <c r="A17" s="3" t="s">
        <v>877</v>
      </c>
      <c r="E17" s="3">
        <v>0.01</v>
      </c>
      <c r="F17" s="3">
        <v>0.15</v>
      </c>
      <c r="G17" s="3">
        <v>0.27</v>
      </c>
      <c r="H17" s="3">
        <v>1.1399999999999999</v>
      </c>
      <c r="I17" s="3">
        <v>6.26</v>
      </c>
      <c r="J17" s="3">
        <v>28.67</v>
      </c>
      <c r="K17" s="3">
        <v>43.76</v>
      </c>
      <c r="L17" s="3">
        <v>87.53</v>
      </c>
      <c r="M17" s="3">
        <v>112.01</v>
      </c>
    </row>
    <row r="18" spans="1:13" x14ac:dyDescent="0.3">
      <c r="A18" s="3" t="s">
        <v>602</v>
      </c>
      <c r="D18" s="3">
        <v>0.01</v>
      </c>
      <c r="E18" s="3">
        <v>0.26</v>
      </c>
      <c r="F18" s="3">
        <v>0.4</v>
      </c>
      <c r="G18" s="3">
        <v>3.35</v>
      </c>
      <c r="H18" s="3">
        <v>5.38</v>
      </c>
      <c r="I18" s="3">
        <v>9.89</v>
      </c>
      <c r="J18" s="3">
        <v>20.37</v>
      </c>
      <c r="K18" s="3">
        <v>44.21</v>
      </c>
      <c r="L18" s="3">
        <v>84.18</v>
      </c>
      <c r="M18" s="3">
        <v>133.26</v>
      </c>
    </row>
    <row r="19" spans="1:13" x14ac:dyDescent="0.3">
      <c r="A19" s="3" t="s">
        <v>878</v>
      </c>
      <c r="H19" s="3">
        <v>0.18</v>
      </c>
      <c r="I19" s="3">
        <v>1.1100000000000001</v>
      </c>
      <c r="J19" s="3">
        <v>2.66</v>
      </c>
      <c r="K19" s="3">
        <v>7.32</v>
      </c>
      <c r="L19" s="3">
        <v>15.91</v>
      </c>
      <c r="M19" s="3">
        <v>29.33</v>
      </c>
    </row>
    <row r="20" spans="1:13" x14ac:dyDescent="0.3">
      <c r="A20" s="3" t="s">
        <v>879</v>
      </c>
      <c r="B20" s="3">
        <v>0.22</v>
      </c>
      <c r="C20" s="3">
        <v>0.55000000000000004</v>
      </c>
      <c r="D20" s="3">
        <v>1</v>
      </c>
      <c r="E20" s="3">
        <v>1.22</v>
      </c>
      <c r="F20" s="3">
        <v>1.4</v>
      </c>
      <c r="G20" s="3">
        <v>1.68</v>
      </c>
      <c r="H20" s="3">
        <v>2.89</v>
      </c>
      <c r="I20" s="3">
        <v>5.59</v>
      </c>
      <c r="J20" s="3">
        <v>9.34</v>
      </c>
      <c r="K20" s="3">
        <v>24.08</v>
      </c>
      <c r="L20" s="3">
        <v>48.51</v>
      </c>
      <c r="M20" s="3">
        <v>86.42</v>
      </c>
    </row>
    <row r="21" spans="1:13" x14ac:dyDescent="0.3">
      <c r="A21" s="3" t="s">
        <v>595</v>
      </c>
      <c r="B21" s="3">
        <v>1.1200000000000001</v>
      </c>
      <c r="C21" s="3">
        <v>1.1200000000000001</v>
      </c>
      <c r="D21" s="3">
        <v>1.1200000000000001</v>
      </c>
      <c r="E21" s="3">
        <v>2.58</v>
      </c>
      <c r="F21" s="3">
        <v>2.58</v>
      </c>
      <c r="G21" s="3">
        <v>3.77</v>
      </c>
      <c r="H21" s="3">
        <v>21.5</v>
      </c>
      <c r="I21" s="3">
        <v>74.739999999999995</v>
      </c>
      <c r="J21" s="3">
        <v>171.44</v>
      </c>
      <c r="K21" s="3">
        <v>290.22000000000003</v>
      </c>
      <c r="L21" s="3">
        <v>404.09</v>
      </c>
      <c r="M21" s="3">
        <v>563.71</v>
      </c>
    </row>
    <row r="22" spans="1:13" x14ac:dyDescent="0.3">
      <c r="A22" s="3" t="s">
        <v>880</v>
      </c>
      <c r="F22" s="3">
        <v>0.64</v>
      </c>
      <c r="G22" s="3">
        <v>0.83</v>
      </c>
      <c r="H22" s="3">
        <v>3.25</v>
      </c>
      <c r="I22" s="3">
        <v>6.9</v>
      </c>
      <c r="J22" s="3">
        <v>12.76</v>
      </c>
      <c r="K22" s="3">
        <v>25.35</v>
      </c>
      <c r="L22" s="3">
        <v>52.63</v>
      </c>
      <c r="M22" s="3">
        <v>87.48</v>
      </c>
    </row>
    <row r="23" spans="1:13" x14ac:dyDescent="0.3">
      <c r="A23" s="4" t="s">
        <v>690</v>
      </c>
      <c r="B23" s="4">
        <v>1.37</v>
      </c>
      <c r="C23" s="4">
        <v>1.69</v>
      </c>
      <c r="D23" s="4">
        <v>2.15</v>
      </c>
      <c r="E23" s="4">
        <v>4.54</v>
      </c>
      <c r="F23" s="4">
        <v>7.47</v>
      </c>
      <c r="G23" s="4">
        <v>16.809999999999999</v>
      </c>
      <c r="H23" s="4">
        <v>64.58</v>
      </c>
      <c r="I23" s="4">
        <v>182.64</v>
      </c>
      <c r="J23" s="4">
        <v>388.07</v>
      </c>
      <c r="K23" s="4">
        <v>715.39</v>
      </c>
      <c r="L23" s="4">
        <v>1262.6099999999999</v>
      </c>
      <c r="M23" s="4">
        <v>2014.22</v>
      </c>
    </row>
  </sheetData>
  <conditionalFormatting sqref="A1:XFD5 A7:XFD7 A6 C6:XFD6">
    <cfRule type="expression" dxfId="23" priority="2">
      <formula>_xlfn.ISFORMULA(A1)</formula>
    </cfRule>
  </conditionalFormatting>
  <conditionalFormatting sqref="B6">
    <cfRule type="expression" dxfId="22" priority="1">
      <formula>_xlfn.ISFORMULA(B6)</formula>
    </cfRule>
  </conditionalFormatting>
  <hyperlinks>
    <hyperlink ref="B3" r:id="rId1" xr:uid="{02FF172A-42CE-4D65-B5CF-7A9788CCB60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2B83-C1A8-41A3-9FA0-6FAF4DC1BED0}">
  <sheetPr>
    <tabColor theme="7" tint="0.39997558519241921"/>
  </sheetPr>
  <dimension ref="A1:M23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13" s="1" customFormat="1" ht="49.5" customHeight="1" x14ac:dyDescent="0.3">
      <c r="A1" s="1" t="s">
        <v>881</v>
      </c>
    </row>
    <row r="2" spans="1:13" s="2" customFormat="1" x14ac:dyDescent="0.3">
      <c r="A2" s="2" t="s">
        <v>1</v>
      </c>
      <c r="B2" s="2" t="s">
        <v>869</v>
      </c>
    </row>
    <row r="3" spans="1:13" s="2" customFormat="1" x14ac:dyDescent="0.3">
      <c r="A3" s="2" t="s">
        <v>3</v>
      </c>
      <c r="B3" s="6" t="s">
        <v>870</v>
      </c>
    </row>
    <row r="4" spans="1:13" s="2" customFormat="1" x14ac:dyDescent="0.3">
      <c r="A4" s="2" t="s">
        <v>7</v>
      </c>
      <c r="B4" s="7">
        <v>43501</v>
      </c>
    </row>
    <row r="5" spans="1:13" s="2" customFormat="1" x14ac:dyDescent="0.3">
      <c r="A5" s="2" t="s">
        <v>2</v>
      </c>
      <c r="B5" s="2" t="s">
        <v>871</v>
      </c>
    </row>
    <row r="6" spans="1:13" s="2" customFormat="1" x14ac:dyDescent="0.3">
      <c r="A6" s="2" t="s">
        <v>4</v>
      </c>
      <c r="B6" s="2" t="s">
        <v>882</v>
      </c>
    </row>
    <row r="7" spans="1:13" ht="15" thickBot="1" x14ac:dyDescent="0.35"/>
    <row r="8" spans="1:13" s="748" customFormat="1" ht="15" thickBot="1" x14ac:dyDescent="0.35">
      <c r="A8" s="748" t="s">
        <v>883</v>
      </c>
    </row>
    <row r="9" spans="1:13" x14ac:dyDescent="0.3">
      <c r="B9" s="3">
        <v>2005</v>
      </c>
      <c r="C9" s="3">
        <v>2006</v>
      </c>
      <c r="D9" s="3">
        <v>2007</v>
      </c>
      <c r="E9" s="3">
        <v>2008</v>
      </c>
      <c r="F9" s="3">
        <v>2009</v>
      </c>
      <c r="G9" s="3">
        <v>2010</v>
      </c>
      <c r="H9" s="3">
        <v>2011</v>
      </c>
      <c r="I9" s="3">
        <v>2012</v>
      </c>
      <c r="J9" s="3">
        <v>2013</v>
      </c>
      <c r="K9" s="3">
        <v>2014</v>
      </c>
      <c r="L9" s="3">
        <v>2015</v>
      </c>
      <c r="M9" s="3">
        <v>2016</v>
      </c>
    </row>
    <row r="10" spans="1:13" x14ac:dyDescent="0.3">
      <c r="A10" s="3" t="s">
        <v>593</v>
      </c>
      <c r="H10" s="3">
        <v>0.52</v>
      </c>
      <c r="I10" s="3">
        <v>2.02</v>
      </c>
      <c r="J10" s="3">
        <v>3.12</v>
      </c>
      <c r="K10" s="3">
        <v>5.07</v>
      </c>
      <c r="L10" s="3">
        <v>6.96</v>
      </c>
      <c r="M10" s="3">
        <v>11.58</v>
      </c>
    </row>
    <row r="11" spans="1:13" x14ac:dyDescent="0.3">
      <c r="A11" s="3" t="s">
        <v>622</v>
      </c>
      <c r="F11" s="3">
        <v>0.48</v>
      </c>
      <c r="G11" s="3">
        <v>1.43</v>
      </c>
      <c r="H11" s="3">
        <v>5.07</v>
      </c>
      <c r="I11" s="3">
        <v>9.9</v>
      </c>
      <c r="J11" s="3">
        <v>15.34</v>
      </c>
      <c r="K11" s="3">
        <v>73.17</v>
      </c>
      <c r="L11" s="3">
        <v>207.38</v>
      </c>
      <c r="M11" s="3">
        <v>336</v>
      </c>
    </row>
    <row r="12" spans="1:13" x14ac:dyDescent="0.3">
      <c r="A12" s="3" t="s">
        <v>874</v>
      </c>
      <c r="B12" s="3">
        <v>0.01</v>
      </c>
      <c r="E12" s="3">
        <v>0</v>
      </c>
      <c r="F12" s="3">
        <v>0.1</v>
      </c>
      <c r="G12" s="3">
        <v>0.19</v>
      </c>
      <c r="H12" s="3">
        <v>2.73</v>
      </c>
      <c r="I12" s="3">
        <v>6.26</v>
      </c>
      <c r="J12" s="3">
        <v>9.6199999999999992</v>
      </c>
      <c r="K12" s="3">
        <v>12.64</v>
      </c>
      <c r="L12" s="3">
        <v>22.95</v>
      </c>
      <c r="M12" s="3">
        <v>29.51</v>
      </c>
    </row>
    <row r="13" spans="1:13" x14ac:dyDescent="0.3">
      <c r="A13" s="3" t="s">
        <v>875</v>
      </c>
      <c r="B13" s="3">
        <v>0.02</v>
      </c>
      <c r="E13" s="3">
        <v>7.0000000000000007E-2</v>
      </c>
      <c r="F13" s="3">
        <v>0.02</v>
      </c>
      <c r="G13" s="3">
        <v>0.14000000000000001</v>
      </c>
      <c r="H13" s="3">
        <v>1.65</v>
      </c>
      <c r="I13" s="3">
        <v>3.37</v>
      </c>
      <c r="J13" s="3">
        <v>6.93</v>
      </c>
      <c r="K13" s="3">
        <v>12.74</v>
      </c>
      <c r="L13" s="3">
        <v>23.19</v>
      </c>
      <c r="M13" s="3">
        <v>24.61</v>
      </c>
    </row>
    <row r="14" spans="1:13" x14ac:dyDescent="0.3">
      <c r="A14" s="3" t="s">
        <v>623</v>
      </c>
      <c r="E14" s="3">
        <v>0.37</v>
      </c>
      <c r="F14" s="3">
        <v>0.16</v>
      </c>
      <c r="G14" s="3">
        <v>0.35</v>
      </c>
      <c r="H14" s="3">
        <v>0.45</v>
      </c>
      <c r="I14" s="3">
        <v>1.43</v>
      </c>
      <c r="J14" s="3">
        <v>0.19</v>
      </c>
      <c r="K14" s="3">
        <v>0.41</v>
      </c>
      <c r="L14" s="3">
        <v>1</v>
      </c>
      <c r="M14" s="3">
        <v>0.45</v>
      </c>
    </row>
    <row r="15" spans="1:13" x14ac:dyDescent="0.3">
      <c r="A15" s="3" t="s">
        <v>876</v>
      </c>
      <c r="F15" s="3">
        <v>1.08</v>
      </c>
      <c r="G15" s="3">
        <v>2.44</v>
      </c>
      <c r="H15" s="3">
        <v>12.62</v>
      </c>
      <c r="I15" s="3">
        <v>24.44</v>
      </c>
      <c r="J15" s="3">
        <v>28.88</v>
      </c>
      <c r="K15" s="3">
        <v>32.29</v>
      </c>
      <c r="L15" s="3">
        <v>24.65</v>
      </c>
      <c r="M15" s="3">
        <v>24.85</v>
      </c>
    </row>
    <row r="16" spans="1:13" x14ac:dyDescent="0.3">
      <c r="A16" s="3" t="s">
        <v>863</v>
      </c>
      <c r="G16" s="3">
        <v>0.06</v>
      </c>
      <c r="H16" s="3">
        <v>0.27</v>
      </c>
      <c r="I16" s="3">
        <v>0.51</v>
      </c>
      <c r="J16" s="3">
        <v>0.6</v>
      </c>
      <c r="K16" s="3">
        <v>1.31</v>
      </c>
      <c r="L16" s="3">
        <v>3.19</v>
      </c>
      <c r="M16" s="3">
        <v>5.26</v>
      </c>
    </row>
    <row r="17" spans="1:13" x14ac:dyDescent="0.3">
      <c r="A17" s="3" t="s">
        <v>877</v>
      </c>
      <c r="E17" s="3">
        <v>0.01</v>
      </c>
      <c r="F17" s="3">
        <v>0.03</v>
      </c>
      <c r="G17" s="3">
        <v>0.12</v>
      </c>
      <c r="H17" s="3">
        <v>0.88</v>
      </c>
      <c r="I17" s="3">
        <v>5.12</v>
      </c>
      <c r="J17" s="3">
        <v>22.42</v>
      </c>
      <c r="K17" s="3">
        <v>15.09</v>
      </c>
      <c r="L17" s="3">
        <v>43.77</v>
      </c>
      <c r="M17" s="3">
        <v>24.48</v>
      </c>
    </row>
    <row r="18" spans="1:13" x14ac:dyDescent="0.3">
      <c r="A18" s="3" t="s">
        <v>602</v>
      </c>
      <c r="D18" s="3">
        <v>0.01</v>
      </c>
      <c r="E18" s="3">
        <v>0.24</v>
      </c>
      <c r="F18" s="3">
        <v>0.15</v>
      </c>
      <c r="G18" s="3">
        <v>0.39</v>
      </c>
      <c r="H18" s="3">
        <v>1.84</v>
      </c>
      <c r="I18" s="3">
        <v>4.51</v>
      </c>
      <c r="J18" s="3">
        <v>8.52</v>
      </c>
      <c r="K18" s="3">
        <v>19.760000000000002</v>
      </c>
      <c r="L18" s="3">
        <v>35.61</v>
      </c>
      <c r="M18" s="3">
        <v>50.18</v>
      </c>
    </row>
    <row r="19" spans="1:13" x14ac:dyDescent="0.3">
      <c r="A19" s="3" t="s">
        <v>878</v>
      </c>
      <c r="G19" s="3">
        <v>0</v>
      </c>
      <c r="H19" s="3">
        <v>0.18</v>
      </c>
      <c r="I19" s="3">
        <v>0.93</v>
      </c>
      <c r="J19" s="3">
        <v>1.55</v>
      </c>
      <c r="K19" s="3">
        <v>4.67</v>
      </c>
      <c r="L19" s="3">
        <v>8.59</v>
      </c>
      <c r="M19" s="3">
        <v>13.42</v>
      </c>
    </row>
    <row r="20" spans="1:13" x14ac:dyDescent="0.3">
      <c r="A20" s="3" t="s">
        <v>879</v>
      </c>
      <c r="B20" s="3">
        <v>0.22</v>
      </c>
      <c r="C20" s="3">
        <v>0.32</v>
      </c>
      <c r="D20" s="3">
        <v>0.45</v>
      </c>
      <c r="E20" s="3">
        <v>0.22</v>
      </c>
      <c r="F20" s="3">
        <v>0.18</v>
      </c>
      <c r="G20" s="3">
        <v>0.28000000000000003</v>
      </c>
      <c r="H20" s="3">
        <v>1.22</v>
      </c>
      <c r="I20" s="3">
        <v>2.69</v>
      </c>
      <c r="J20" s="3">
        <v>3.75</v>
      </c>
      <c r="K20" s="3">
        <v>14.74</v>
      </c>
      <c r="L20" s="3">
        <v>29.34</v>
      </c>
      <c r="M20" s="3">
        <v>37.909999999999997</v>
      </c>
    </row>
    <row r="21" spans="1:13" x14ac:dyDescent="0.3">
      <c r="A21" s="3" t="s">
        <v>595</v>
      </c>
      <c r="B21" s="3">
        <v>1.1200000000000001</v>
      </c>
      <c r="E21" s="3">
        <v>1.47</v>
      </c>
      <c r="G21" s="3">
        <v>1.19</v>
      </c>
      <c r="H21" s="3">
        <v>17.73</v>
      </c>
      <c r="I21" s="3">
        <v>53.24</v>
      </c>
      <c r="J21" s="3">
        <v>96.7</v>
      </c>
      <c r="K21" s="3">
        <v>118.78</v>
      </c>
      <c r="L21" s="3">
        <v>113.87</v>
      </c>
      <c r="M21" s="3">
        <v>159.62</v>
      </c>
    </row>
    <row r="22" spans="1:13" x14ac:dyDescent="0.3">
      <c r="A22" s="3" t="s">
        <v>880</v>
      </c>
      <c r="B22" s="3">
        <v>0.53</v>
      </c>
      <c r="E22" s="3">
        <v>0.08</v>
      </c>
      <c r="F22" s="3">
        <v>0.03</v>
      </c>
      <c r="G22" s="3">
        <v>0.18</v>
      </c>
      <c r="H22" s="3">
        <v>2.4300000000000002</v>
      </c>
      <c r="I22" s="3">
        <v>3.64</v>
      </c>
      <c r="J22" s="3">
        <v>6.05</v>
      </c>
      <c r="K22" s="3">
        <v>12.77</v>
      </c>
      <c r="L22" s="3">
        <v>26.62</v>
      </c>
      <c r="M22" s="3">
        <v>35.31</v>
      </c>
    </row>
    <row r="23" spans="1:13" x14ac:dyDescent="0.3">
      <c r="A23" s="4" t="s">
        <v>690</v>
      </c>
      <c r="B23" s="4">
        <v>1.89</v>
      </c>
      <c r="C23" s="4">
        <v>0.32</v>
      </c>
      <c r="D23" s="4">
        <v>0.46</v>
      </c>
      <c r="E23" s="4">
        <v>2.46</v>
      </c>
      <c r="F23" s="4">
        <v>2.2200000000000002</v>
      </c>
      <c r="G23" s="4">
        <v>6.78</v>
      </c>
      <c r="H23" s="4">
        <v>47.58</v>
      </c>
      <c r="I23" s="4">
        <v>118.05999999999999</v>
      </c>
      <c r="J23" s="4">
        <v>203.66</v>
      </c>
      <c r="K23" s="4">
        <v>323.42</v>
      </c>
      <c r="L23" s="4">
        <v>547.12</v>
      </c>
      <c r="M23" s="4">
        <v>753.17</v>
      </c>
    </row>
  </sheetData>
  <conditionalFormatting sqref="A1:XFD5 A7:XFD7 A6 C6:XFD6">
    <cfRule type="expression" dxfId="21" priority="2">
      <formula>_xlfn.ISFORMULA(A1)</formula>
    </cfRule>
  </conditionalFormatting>
  <conditionalFormatting sqref="B6">
    <cfRule type="expression" dxfId="20" priority="1">
      <formula>_xlfn.ISFORMULA(B6)</formula>
    </cfRule>
  </conditionalFormatting>
  <hyperlinks>
    <hyperlink ref="B3" r:id="rId1" xr:uid="{31EAF679-005B-428B-BCBE-1F85B86AE6B4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2CAF6-467E-48F5-9080-C413BFF15B83}">
  <sheetPr>
    <tabColor theme="7" tint="0.39997558519241921"/>
  </sheetPr>
  <dimension ref="A1:H14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8" s="1" customFormat="1" ht="49.5" customHeight="1" x14ac:dyDescent="0.3">
      <c r="A1" s="1" t="s">
        <v>884</v>
      </c>
    </row>
    <row r="2" spans="1:8" s="2" customFormat="1" x14ac:dyDescent="0.3">
      <c r="A2" s="2" t="s">
        <v>1</v>
      </c>
      <c r="B2" s="2" t="s">
        <v>869</v>
      </c>
    </row>
    <row r="3" spans="1:8" s="2" customFormat="1" x14ac:dyDescent="0.3">
      <c r="A3" s="2" t="s">
        <v>3</v>
      </c>
      <c r="B3" s="6" t="s">
        <v>870</v>
      </c>
    </row>
    <row r="4" spans="1:8" s="2" customFormat="1" x14ac:dyDescent="0.3">
      <c r="A4" s="2" t="s">
        <v>7</v>
      </c>
      <c r="B4" s="7">
        <v>43501</v>
      </c>
    </row>
    <row r="5" spans="1:8" s="2" customFormat="1" x14ac:dyDescent="0.3">
      <c r="A5" s="2" t="s">
        <v>2</v>
      </c>
      <c r="B5" s="2" t="s">
        <v>871</v>
      </c>
    </row>
    <row r="6" spans="1:8" s="2" customFormat="1" x14ac:dyDescent="0.3">
      <c r="A6" s="2" t="s">
        <v>4</v>
      </c>
      <c r="B6" s="2" t="s">
        <v>885</v>
      </c>
    </row>
    <row r="7" spans="1:8" ht="15" thickBot="1" x14ac:dyDescent="0.35"/>
    <row r="8" spans="1:8" s="749" customFormat="1" ht="15" thickBot="1" x14ac:dyDescent="0.35">
      <c r="A8" s="748" t="s">
        <v>886</v>
      </c>
    </row>
    <row r="10" spans="1:8" x14ac:dyDescent="0.3">
      <c r="A10" s="3" t="s">
        <v>8</v>
      </c>
      <c r="B10" s="3">
        <v>2016</v>
      </c>
      <c r="C10" s="3">
        <v>2017</v>
      </c>
      <c r="D10" s="3">
        <v>2018</v>
      </c>
      <c r="E10" s="3">
        <v>2019</v>
      </c>
      <c r="F10" s="3">
        <v>2020</v>
      </c>
      <c r="G10" s="3">
        <v>2025</v>
      </c>
      <c r="H10" s="3">
        <v>2030</v>
      </c>
    </row>
    <row r="11" spans="1:8" x14ac:dyDescent="0.3">
      <c r="A11" s="3" t="s">
        <v>453</v>
      </c>
      <c r="B11" s="14">
        <v>1.9473586059441099</v>
      </c>
      <c r="C11" s="14">
        <v>4.0769541024984601</v>
      </c>
      <c r="D11" s="14">
        <v>5.4804643961505501</v>
      </c>
      <c r="E11" s="14">
        <v>7.6110140125509798</v>
      </c>
      <c r="F11" s="14">
        <v>9.0164325458953201</v>
      </c>
      <c r="G11" s="14">
        <v>25.425385659578598</v>
      </c>
      <c r="H11" s="14">
        <v>55.540270362869101</v>
      </c>
    </row>
    <row r="12" spans="1:8" x14ac:dyDescent="0.3">
      <c r="A12" s="3" t="s">
        <v>360</v>
      </c>
      <c r="B12" s="14">
        <v>1.9473586059441099</v>
      </c>
      <c r="C12" s="14">
        <v>6.2408979135133498</v>
      </c>
      <c r="D12" s="14">
        <v>10.5296666218519</v>
      </c>
      <c r="E12" s="14">
        <v>14.8232059294211</v>
      </c>
      <c r="F12" s="14">
        <v>19.8361516009697</v>
      </c>
      <c r="G12" s="14">
        <v>54.278923926289799</v>
      </c>
      <c r="H12" s="14">
        <v>113.24543865659901</v>
      </c>
    </row>
    <row r="13" spans="1:8" x14ac:dyDescent="0.3">
      <c r="A13" s="3" t="s">
        <v>102</v>
      </c>
      <c r="B13" s="14">
        <v>1.9473586059441099</v>
      </c>
      <c r="C13" s="14">
        <v>6.9622125171849802</v>
      </c>
      <c r="D13" s="14">
        <v>12.6936104328667</v>
      </c>
      <c r="E13" s="14">
        <v>16.9871497404359</v>
      </c>
      <c r="F13" s="14">
        <v>22.7223641355023</v>
      </c>
      <c r="G13" s="14">
        <v>70.869159810737301</v>
      </c>
      <c r="H13" s="14">
        <v>155.804908512917</v>
      </c>
    </row>
    <row r="14" spans="1:8" x14ac:dyDescent="0.3">
      <c r="A14" s="3" t="s">
        <v>455</v>
      </c>
      <c r="B14" s="14">
        <v>1.9473586059441099</v>
      </c>
      <c r="C14" s="14">
        <v>8.4048417245282394</v>
      </c>
      <c r="D14" s="14">
        <v>14.1371937600561</v>
      </c>
      <c r="E14" s="14">
        <v>18.430733067625301</v>
      </c>
      <c r="F14" s="14">
        <v>25.606668430342701</v>
      </c>
      <c r="G14" s="14">
        <v>89.6233395061995</v>
      </c>
      <c r="H14" s="14">
        <v>203.41071823539801</v>
      </c>
    </row>
  </sheetData>
  <conditionalFormatting sqref="A1:XFD5 A7:XFD7 A6 C6:XFD6">
    <cfRule type="expression" dxfId="19" priority="2">
      <formula>_xlfn.ISFORMULA(A1)</formula>
    </cfRule>
  </conditionalFormatting>
  <conditionalFormatting sqref="B6">
    <cfRule type="expression" dxfId="18" priority="1">
      <formula>_xlfn.ISFORMULA(B6)</formula>
    </cfRule>
  </conditionalFormatting>
  <hyperlinks>
    <hyperlink ref="B3" r:id="rId1" xr:uid="{2EF3C622-D7C8-4B2C-8ED0-F5C78BB3D85A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3D257-4672-4C50-B72F-B47E9D830346}">
  <sheetPr>
    <tabColor theme="7" tint="0.39997558519241921"/>
  </sheetPr>
  <dimension ref="A1:N3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14" s="1" customFormat="1" ht="49.5" customHeight="1" x14ac:dyDescent="0.3">
      <c r="A1" s="1" t="s">
        <v>887</v>
      </c>
    </row>
    <row r="2" spans="1:14" s="2" customFormat="1" x14ac:dyDescent="0.3">
      <c r="A2" s="2" t="s">
        <v>1</v>
      </c>
      <c r="B2" s="2" t="s">
        <v>888</v>
      </c>
    </row>
    <row r="3" spans="1:14" s="2" customFormat="1" x14ac:dyDescent="0.3">
      <c r="A3" s="2" t="s">
        <v>3</v>
      </c>
      <c r="B3" s="6" t="s">
        <v>870</v>
      </c>
    </row>
    <row r="4" spans="1:14" s="2" customFormat="1" x14ac:dyDescent="0.3">
      <c r="A4" s="2" t="s">
        <v>7</v>
      </c>
      <c r="B4" s="7">
        <v>43501</v>
      </c>
    </row>
    <row r="5" spans="1:14" s="2" customFormat="1" x14ac:dyDescent="0.3">
      <c r="A5" s="2" t="s">
        <v>2</v>
      </c>
      <c r="B5" s="2" t="s">
        <v>871</v>
      </c>
    </row>
    <row r="6" spans="1:14" s="2" customFormat="1" x14ac:dyDescent="0.3">
      <c r="A6" s="2" t="s">
        <v>4</v>
      </c>
      <c r="B6" s="2" t="s">
        <v>889</v>
      </c>
    </row>
    <row r="7" spans="1:14" ht="15" thickBot="1" x14ac:dyDescent="0.35"/>
    <row r="8" spans="1:14" s="748" customFormat="1" ht="15" thickBot="1" x14ac:dyDescent="0.35">
      <c r="A8" s="748" t="s">
        <v>890</v>
      </c>
    </row>
    <row r="9" spans="1:14" x14ac:dyDescent="0.3">
      <c r="B9" s="3">
        <v>2005</v>
      </c>
      <c r="C9" s="3">
        <v>2006</v>
      </c>
      <c r="D9" s="3">
        <v>2007</v>
      </c>
      <c r="E9" s="3">
        <v>2008</v>
      </c>
      <c r="F9" s="3">
        <v>2009</v>
      </c>
      <c r="G9" s="3">
        <v>2010</v>
      </c>
      <c r="H9" s="3">
        <v>2011</v>
      </c>
      <c r="I9" s="3">
        <v>2012</v>
      </c>
      <c r="J9" s="3">
        <v>2013</v>
      </c>
      <c r="K9" s="3">
        <v>2014</v>
      </c>
      <c r="L9" s="3">
        <v>2015</v>
      </c>
      <c r="M9" s="3">
        <v>2016</v>
      </c>
      <c r="N9" s="3">
        <v>2017</v>
      </c>
    </row>
    <row r="10" spans="1:14" x14ac:dyDescent="0.3">
      <c r="A10" s="3" t="s">
        <v>645</v>
      </c>
      <c r="H10" s="3">
        <v>0.05</v>
      </c>
      <c r="I10" s="3">
        <v>0.3</v>
      </c>
      <c r="J10" s="3">
        <v>0.6</v>
      </c>
      <c r="K10" s="3">
        <v>1.92</v>
      </c>
      <c r="L10" s="3">
        <v>3.69</v>
      </c>
      <c r="M10" s="3">
        <v>5.05</v>
      </c>
      <c r="N10" s="3">
        <v>7.34</v>
      </c>
    </row>
    <row r="11" spans="1:14" x14ac:dyDescent="0.3">
      <c r="A11" s="3" t="s">
        <v>598</v>
      </c>
      <c r="K11" s="3">
        <v>0.06</v>
      </c>
      <c r="L11" s="3">
        <v>0.15</v>
      </c>
      <c r="M11" s="3">
        <v>0.32</v>
      </c>
      <c r="N11" s="3">
        <v>0.68</v>
      </c>
    </row>
    <row r="12" spans="1:14" x14ac:dyDescent="0.3">
      <c r="A12" s="3" t="s">
        <v>593</v>
      </c>
      <c r="H12" s="3">
        <v>0.52</v>
      </c>
      <c r="I12" s="3">
        <v>2.54</v>
      </c>
      <c r="J12" s="3">
        <v>5.66</v>
      </c>
      <c r="K12" s="3">
        <v>10.73</v>
      </c>
      <c r="L12" s="3">
        <v>17.690000000000001</v>
      </c>
      <c r="M12" s="3">
        <v>29.27</v>
      </c>
      <c r="N12" s="3">
        <v>45.95</v>
      </c>
    </row>
    <row r="13" spans="1:14" x14ac:dyDescent="0.3">
      <c r="A13" s="3" t="s">
        <v>865</v>
      </c>
      <c r="H13" s="3">
        <v>0.01</v>
      </c>
      <c r="I13" s="3">
        <v>0.01</v>
      </c>
      <c r="J13" s="3">
        <v>0.02</v>
      </c>
      <c r="K13" s="3">
        <v>0.03</v>
      </c>
      <c r="L13" s="3">
        <v>7.0000000000000007E-2</v>
      </c>
      <c r="M13" s="3">
        <v>0.1</v>
      </c>
      <c r="N13" s="3">
        <v>0.25</v>
      </c>
    </row>
    <row r="14" spans="1:14" x14ac:dyDescent="0.3">
      <c r="A14" s="3" t="s">
        <v>622</v>
      </c>
      <c r="F14" s="3">
        <v>0.48</v>
      </c>
      <c r="G14" s="3">
        <v>1.91</v>
      </c>
      <c r="H14" s="3">
        <v>6.98</v>
      </c>
      <c r="I14" s="3">
        <v>16.88</v>
      </c>
      <c r="J14" s="3">
        <v>32.22</v>
      </c>
      <c r="K14" s="3">
        <v>105.39</v>
      </c>
      <c r="L14" s="3">
        <v>312.77</v>
      </c>
      <c r="M14" s="3">
        <v>648.77</v>
      </c>
      <c r="N14" s="3">
        <v>1227.77</v>
      </c>
    </row>
    <row r="15" spans="1:14" x14ac:dyDescent="0.3">
      <c r="A15" s="3" t="s">
        <v>891</v>
      </c>
      <c r="H15" s="3">
        <v>0.06</v>
      </c>
      <c r="I15" s="3">
        <v>0.24</v>
      </c>
      <c r="J15" s="3">
        <v>0.47</v>
      </c>
      <c r="K15" s="3">
        <v>0.93</v>
      </c>
      <c r="L15" s="3">
        <v>1.59</v>
      </c>
      <c r="M15" s="3">
        <v>3.29</v>
      </c>
      <c r="N15" s="3">
        <v>6.34</v>
      </c>
    </row>
    <row r="16" spans="1:14" x14ac:dyDescent="0.3">
      <c r="A16" s="3" t="s">
        <v>874</v>
      </c>
      <c r="B16" s="3">
        <v>0.01</v>
      </c>
      <c r="C16" s="3">
        <v>0.01</v>
      </c>
      <c r="D16" s="3">
        <v>0.01</v>
      </c>
      <c r="E16" s="3">
        <v>0.01</v>
      </c>
      <c r="F16" s="3">
        <v>0.12</v>
      </c>
      <c r="G16" s="3">
        <v>0.3</v>
      </c>
      <c r="H16" s="3">
        <v>3.03</v>
      </c>
      <c r="I16" s="3">
        <v>9.2899999999999991</v>
      </c>
      <c r="J16" s="3">
        <v>18.91</v>
      </c>
      <c r="K16" s="3">
        <v>31.54</v>
      </c>
      <c r="L16" s="3">
        <v>54.49</v>
      </c>
      <c r="M16" s="3">
        <v>84</v>
      </c>
      <c r="N16" s="3">
        <v>118.77</v>
      </c>
    </row>
    <row r="17" spans="1:14" x14ac:dyDescent="0.3">
      <c r="A17" s="3" t="s">
        <v>875</v>
      </c>
      <c r="B17" s="3">
        <v>0.02</v>
      </c>
      <c r="C17" s="3">
        <v>0.02</v>
      </c>
      <c r="D17" s="3">
        <v>0.02</v>
      </c>
      <c r="E17" s="3">
        <v>0.09</v>
      </c>
      <c r="F17" s="3">
        <v>0.1</v>
      </c>
      <c r="G17" s="3">
        <v>0.25</v>
      </c>
      <c r="H17" s="3">
        <v>1.89</v>
      </c>
      <c r="I17" s="3">
        <v>5.26</v>
      </c>
      <c r="J17" s="3">
        <v>12.19</v>
      </c>
      <c r="K17" s="3">
        <v>24.93</v>
      </c>
      <c r="L17" s="3">
        <v>48.12</v>
      </c>
      <c r="M17" s="3">
        <v>72.73</v>
      </c>
      <c r="N17" s="3">
        <v>109.56</v>
      </c>
    </row>
    <row r="18" spans="1:14" x14ac:dyDescent="0.3">
      <c r="A18" s="3" t="s">
        <v>623</v>
      </c>
      <c r="E18" s="3">
        <v>0.37</v>
      </c>
      <c r="F18" s="3">
        <v>0.53</v>
      </c>
      <c r="G18" s="3">
        <v>0.88</v>
      </c>
      <c r="H18" s="3">
        <v>1.33</v>
      </c>
      <c r="I18" s="3">
        <v>2.76</v>
      </c>
      <c r="J18" s="3">
        <v>2.95</v>
      </c>
      <c r="K18" s="3">
        <v>3.35</v>
      </c>
      <c r="L18" s="3">
        <v>4.3499999999999996</v>
      </c>
      <c r="M18" s="3">
        <v>4.8</v>
      </c>
      <c r="N18" s="3">
        <v>6.8</v>
      </c>
    </row>
    <row r="19" spans="1:14" x14ac:dyDescent="0.3">
      <c r="A19" s="3" t="s">
        <v>876</v>
      </c>
      <c r="F19" s="3">
        <v>1.08</v>
      </c>
      <c r="G19" s="3">
        <v>3.52</v>
      </c>
      <c r="H19" s="3">
        <v>16.14</v>
      </c>
      <c r="I19" s="3">
        <v>40.58</v>
      </c>
      <c r="J19" s="3">
        <v>69.459999999999994</v>
      </c>
      <c r="K19" s="3">
        <v>101.74</v>
      </c>
      <c r="L19" s="3">
        <v>126.4</v>
      </c>
      <c r="M19" s="3">
        <v>151.25</v>
      </c>
      <c r="N19" s="3">
        <v>205.35</v>
      </c>
    </row>
    <row r="20" spans="1:14" x14ac:dyDescent="0.3">
      <c r="A20" s="3" t="s">
        <v>863</v>
      </c>
      <c r="G20" s="3">
        <v>0.06</v>
      </c>
      <c r="H20" s="3">
        <v>0.34</v>
      </c>
      <c r="I20" s="3">
        <v>0.85</v>
      </c>
      <c r="J20" s="3">
        <v>1.45</v>
      </c>
      <c r="K20" s="3">
        <v>2.76</v>
      </c>
      <c r="L20" s="3">
        <v>5.95</v>
      </c>
      <c r="M20" s="3">
        <v>11.21</v>
      </c>
      <c r="N20" s="3">
        <v>25.92</v>
      </c>
    </row>
    <row r="21" spans="1:14" x14ac:dyDescent="0.3">
      <c r="A21" s="3" t="s">
        <v>594</v>
      </c>
      <c r="I21" s="3">
        <v>0.09</v>
      </c>
      <c r="J21" s="3">
        <v>0.1</v>
      </c>
      <c r="K21" s="3">
        <v>0.15</v>
      </c>
      <c r="L21" s="3">
        <v>0.25</v>
      </c>
      <c r="M21" s="3">
        <v>0.66</v>
      </c>
      <c r="N21" s="3">
        <v>0.92</v>
      </c>
    </row>
    <row r="22" spans="1:14" x14ac:dyDescent="0.3">
      <c r="A22" s="3" t="s">
        <v>877</v>
      </c>
      <c r="E22" s="3">
        <v>0.01</v>
      </c>
      <c r="F22" s="3">
        <v>0.15</v>
      </c>
      <c r="G22" s="3">
        <v>0.27</v>
      </c>
      <c r="H22" s="3">
        <v>1.1399999999999999</v>
      </c>
      <c r="I22" s="3">
        <v>6.26</v>
      </c>
      <c r="J22" s="3">
        <v>28.67</v>
      </c>
      <c r="K22" s="3">
        <v>43.76</v>
      </c>
      <c r="L22" s="3">
        <v>87.53</v>
      </c>
      <c r="M22" s="3">
        <v>112.01</v>
      </c>
      <c r="N22" s="3">
        <v>119.33</v>
      </c>
    </row>
    <row r="23" spans="1:14" x14ac:dyDescent="0.3">
      <c r="A23" s="3" t="s">
        <v>892</v>
      </c>
      <c r="G23" s="3">
        <v>0.01</v>
      </c>
      <c r="H23" s="3">
        <v>0.03</v>
      </c>
      <c r="I23" s="3">
        <v>0.06</v>
      </c>
      <c r="J23" s="3">
        <v>0.09</v>
      </c>
      <c r="K23" s="3">
        <v>0.41</v>
      </c>
      <c r="L23" s="3">
        <v>0.91</v>
      </c>
      <c r="M23" s="3">
        <v>2.41</v>
      </c>
      <c r="N23" s="3">
        <v>5.88</v>
      </c>
    </row>
    <row r="24" spans="1:14" x14ac:dyDescent="0.3">
      <c r="A24" s="3" t="s">
        <v>602</v>
      </c>
      <c r="D24" s="3">
        <v>0.01</v>
      </c>
      <c r="E24" s="3">
        <v>0.26</v>
      </c>
      <c r="F24" s="3">
        <v>0.4</v>
      </c>
      <c r="G24" s="3">
        <v>0.79</v>
      </c>
      <c r="H24" s="3">
        <v>2.63</v>
      </c>
      <c r="I24" s="3">
        <v>7.15</v>
      </c>
      <c r="J24" s="3">
        <v>15.67</v>
      </c>
      <c r="K24" s="3">
        <v>35.44</v>
      </c>
      <c r="L24" s="3">
        <v>69.17</v>
      </c>
      <c r="M24" s="3">
        <v>114.05</v>
      </c>
      <c r="N24" s="3">
        <v>176.31</v>
      </c>
    </row>
    <row r="25" spans="1:14" x14ac:dyDescent="0.3">
      <c r="A25" s="3" t="s">
        <v>893</v>
      </c>
      <c r="N25" s="3">
        <v>1.78</v>
      </c>
    </row>
    <row r="26" spans="1:14" x14ac:dyDescent="0.3">
      <c r="A26" s="3" t="s">
        <v>655</v>
      </c>
      <c r="J26" s="3">
        <v>0.03</v>
      </c>
      <c r="K26" s="3">
        <v>0.05</v>
      </c>
      <c r="L26" s="3">
        <v>0.28999999999999998</v>
      </c>
      <c r="M26" s="3">
        <v>0.67</v>
      </c>
      <c r="N26" s="3">
        <v>0.86</v>
      </c>
    </row>
    <row r="27" spans="1:14" x14ac:dyDescent="0.3">
      <c r="A27" s="3" t="s">
        <v>878</v>
      </c>
      <c r="H27" s="3">
        <v>0.18</v>
      </c>
      <c r="I27" s="3">
        <v>1.1100000000000001</v>
      </c>
      <c r="J27" s="3">
        <v>2.66</v>
      </c>
      <c r="K27" s="3">
        <v>7.32</v>
      </c>
      <c r="L27" s="3">
        <v>15.91</v>
      </c>
      <c r="M27" s="3">
        <v>29.33</v>
      </c>
      <c r="N27" s="3">
        <v>49.67</v>
      </c>
    </row>
    <row r="28" spans="1:14" x14ac:dyDescent="0.3">
      <c r="A28" s="3" t="s">
        <v>894</v>
      </c>
      <c r="C28" s="3">
        <v>0.01</v>
      </c>
      <c r="D28" s="3">
        <v>0.01</v>
      </c>
      <c r="E28" s="3">
        <v>0.01</v>
      </c>
      <c r="F28" s="3">
        <v>0.01</v>
      </c>
      <c r="G28" s="3">
        <v>0.01</v>
      </c>
      <c r="H28" s="3">
        <v>0.01</v>
      </c>
      <c r="I28" s="3">
        <v>0.02</v>
      </c>
      <c r="J28" s="3">
        <v>0.03</v>
      </c>
      <c r="K28" s="3">
        <v>0.1</v>
      </c>
      <c r="L28" s="3">
        <v>0.37</v>
      </c>
      <c r="M28" s="3">
        <v>0.38</v>
      </c>
      <c r="N28" s="3">
        <v>0.4</v>
      </c>
    </row>
    <row r="29" spans="1:14" x14ac:dyDescent="0.3">
      <c r="A29" s="3" t="s">
        <v>879</v>
      </c>
      <c r="B29" s="3">
        <v>0.22</v>
      </c>
      <c r="C29" s="3">
        <v>0.55000000000000004</v>
      </c>
      <c r="D29" s="3">
        <v>1</v>
      </c>
      <c r="E29" s="3">
        <v>1.22</v>
      </c>
      <c r="F29" s="3">
        <v>1.4</v>
      </c>
      <c r="G29" s="3">
        <v>1.68</v>
      </c>
      <c r="H29" s="3">
        <v>2.89</v>
      </c>
      <c r="I29" s="3">
        <v>5.59</v>
      </c>
      <c r="J29" s="3">
        <v>9.34</v>
      </c>
      <c r="K29" s="3">
        <v>24.08</v>
      </c>
      <c r="L29" s="3">
        <v>48.51</v>
      </c>
      <c r="M29" s="3">
        <v>86.42</v>
      </c>
      <c r="N29" s="3">
        <v>133.66999999999999</v>
      </c>
    </row>
    <row r="30" spans="1:14" x14ac:dyDescent="0.3">
      <c r="A30" s="3" t="s">
        <v>595</v>
      </c>
      <c r="B30" s="3">
        <v>1.1200000000000001</v>
      </c>
      <c r="C30" s="3">
        <v>1.1200000000000001</v>
      </c>
      <c r="D30" s="3">
        <v>1.1200000000000001</v>
      </c>
      <c r="E30" s="3">
        <v>2.58</v>
      </c>
      <c r="F30" s="3">
        <v>2.58</v>
      </c>
      <c r="G30" s="3">
        <v>3.77</v>
      </c>
      <c r="H30" s="3">
        <v>21.5</v>
      </c>
      <c r="I30" s="3">
        <v>74.739999999999995</v>
      </c>
      <c r="J30" s="3">
        <v>171.44</v>
      </c>
      <c r="K30" s="3">
        <v>290.22000000000003</v>
      </c>
      <c r="L30" s="3">
        <v>404.09</v>
      </c>
      <c r="M30" s="3">
        <v>563.71</v>
      </c>
      <c r="N30" s="3">
        <v>762.06</v>
      </c>
    </row>
    <row r="31" spans="1:14" x14ac:dyDescent="0.3">
      <c r="A31" s="3" t="s">
        <v>880</v>
      </c>
      <c r="B31" s="3">
        <v>0.53</v>
      </c>
      <c r="C31" s="3">
        <v>0.53</v>
      </c>
      <c r="D31" s="3">
        <v>0.53</v>
      </c>
      <c r="E31" s="3">
        <v>0.61</v>
      </c>
      <c r="F31" s="3">
        <v>0.64</v>
      </c>
      <c r="G31" s="3">
        <v>0.81</v>
      </c>
      <c r="H31" s="3">
        <v>2.6</v>
      </c>
      <c r="I31" s="3">
        <v>5.31</v>
      </c>
      <c r="J31" s="3">
        <v>9.35</v>
      </c>
      <c r="K31" s="3">
        <v>18.73</v>
      </c>
      <c r="L31" s="3">
        <v>37.17</v>
      </c>
      <c r="M31" s="3">
        <v>61.63</v>
      </c>
      <c r="N31" s="3">
        <v>103.44</v>
      </c>
    </row>
    <row r="32" spans="1:14" x14ac:dyDescent="0.3">
      <c r="A32" s="4" t="s">
        <v>690</v>
      </c>
      <c r="B32" s="4">
        <v>1.89</v>
      </c>
      <c r="C32" s="4">
        <v>2.23</v>
      </c>
      <c r="D32" s="4">
        <v>2.69</v>
      </c>
      <c r="E32" s="4">
        <v>5.15</v>
      </c>
      <c r="F32" s="4">
        <v>7.48</v>
      </c>
      <c r="G32" s="4">
        <v>14.26</v>
      </c>
      <c r="H32" s="4">
        <v>61.330000000000005</v>
      </c>
      <c r="I32" s="4">
        <v>179.03</v>
      </c>
      <c r="J32" s="4">
        <v>381.3</v>
      </c>
      <c r="K32" s="4">
        <v>703.65</v>
      </c>
      <c r="L32" s="4">
        <v>1239.45</v>
      </c>
      <c r="M32" s="4">
        <v>1982.04</v>
      </c>
      <c r="N32" s="4">
        <v>3109.0500000000006</v>
      </c>
    </row>
  </sheetData>
  <conditionalFormatting sqref="A1:XFD5 A7:XFD7 A6 C6:XFD6">
    <cfRule type="expression" dxfId="17" priority="2">
      <formula>_xlfn.ISFORMULA(A1)</formula>
    </cfRule>
  </conditionalFormatting>
  <conditionalFormatting sqref="B6">
    <cfRule type="expression" dxfId="16" priority="1">
      <formula>_xlfn.ISFORMULA(B6)</formula>
    </cfRule>
  </conditionalFormatting>
  <hyperlinks>
    <hyperlink ref="B3" r:id="rId1" xr:uid="{0D4A0A7B-B872-4586-8C47-18DD37053A4D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C2A2A-5E9A-490F-90B7-5EA9ABBE065B}">
  <sheetPr>
    <tabColor theme="7" tint="0.39997558519241921"/>
  </sheetPr>
  <dimension ref="A1:N32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14" s="1" customFormat="1" ht="49.5" customHeight="1" x14ac:dyDescent="0.3">
      <c r="A1" s="1" t="s">
        <v>895</v>
      </c>
    </row>
    <row r="2" spans="1:14" s="2" customFormat="1" x14ac:dyDescent="0.3">
      <c r="A2" s="2" t="s">
        <v>1</v>
      </c>
      <c r="B2" s="2" t="s">
        <v>888</v>
      </c>
    </row>
    <row r="3" spans="1:14" s="2" customFormat="1" x14ac:dyDescent="0.3">
      <c r="A3" s="2" t="s">
        <v>3</v>
      </c>
      <c r="B3" s="6" t="s">
        <v>870</v>
      </c>
    </row>
    <row r="4" spans="1:14" s="2" customFormat="1" x14ac:dyDescent="0.3">
      <c r="A4" s="2" t="s">
        <v>7</v>
      </c>
      <c r="B4" s="7">
        <v>43501</v>
      </c>
    </row>
    <row r="5" spans="1:14" s="2" customFormat="1" x14ac:dyDescent="0.3">
      <c r="A5" s="2" t="s">
        <v>2</v>
      </c>
      <c r="B5" s="2" t="s">
        <v>871</v>
      </c>
    </row>
    <row r="6" spans="1:14" s="2" customFormat="1" x14ac:dyDescent="0.3">
      <c r="A6" s="2" t="s">
        <v>4</v>
      </c>
      <c r="B6" s="2" t="s">
        <v>896</v>
      </c>
    </row>
    <row r="7" spans="1:14" ht="15" thickBot="1" x14ac:dyDescent="0.35"/>
    <row r="8" spans="1:14" s="748" customFormat="1" ht="15" thickBot="1" x14ac:dyDescent="0.35">
      <c r="A8" s="748" t="s">
        <v>897</v>
      </c>
    </row>
    <row r="9" spans="1:14" x14ac:dyDescent="0.3">
      <c r="B9" s="3">
        <v>2005</v>
      </c>
      <c r="C9" s="3">
        <v>2006</v>
      </c>
      <c r="D9" s="3">
        <v>2007</v>
      </c>
      <c r="E9" s="3">
        <v>2008</v>
      </c>
      <c r="F9" s="3">
        <v>2009</v>
      </c>
      <c r="G9" s="3">
        <v>2010</v>
      </c>
      <c r="H9" s="3">
        <v>2011</v>
      </c>
      <c r="I9" s="3">
        <v>2012</v>
      </c>
      <c r="J9" s="3">
        <v>2013</v>
      </c>
      <c r="K9" s="3">
        <v>2014</v>
      </c>
      <c r="L9" s="3">
        <v>2015</v>
      </c>
      <c r="M9" s="3">
        <v>2016</v>
      </c>
      <c r="N9" s="3">
        <v>2017</v>
      </c>
    </row>
    <row r="10" spans="1:14" x14ac:dyDescent="0.3">
      <c r="A10" s="3" t="s">
        <v>645</v>
      </c>
      <c r="H10" s="3">
        <v>0.05</v>
      </c>
      <c r="I10" s="3">
        <v>0.25</v>
      </c>
      <c r="J10" s="3">
        <v>0.28999999999999998</v>
      </c>
      <c r="K10" s="3">
        <v>1.32</v>
      </c>
      <c r="L10" s="3">
        <v>1.77</v>
      </c>
      <c r="M10" s="3">
        <v>1.37</v>
      </c>
      <c r="N10" s="3">
        <v>2.2799999999999998</v>
      </c>
    </row>
    <row r="11" spans="1:14" x14ac:dyDescent="0.3">
      <c r="A11" s="3" t="s">
        <v>598</v>
      </c>
      <c r="I11" s="3">
        <v>0.09</v>
      </c>
      <c r="J11" s="3">
        <v>0.17</v>
      </c>
      <c r="K11" s="3">
        <v>0.06</v>
      </c>
      <c r="L11" s="3">
        <v>0.09</v>
      </c>
      <c r="M11" s="3">
        <v>0.17</v>
      </c>
      <c r="N11" s="3">
        <v>0.36</v>
      </c>
    </row>
    <row r="12" spans="1:14" x14ac:dyDescent="0.3">
      <c r="A12" s="3" t="s">
        <v>593</v>
      </c>
      <c r="H12" s="3">
        <v>0.52</v>
      </c>
      <c r="I12" s="3">
        <v>2.02</v>
      </c>
      <c r="J12" s="3">
        <v>3.12</v>
      </c>
      <c r="K12" s="3">
        <v>5.07</v>
      </c>
      <c r="L12" s="3">
        <v>6.96</v>
      </c>
      <c r="M12" s="3">
        <v>11.58</v>
      </c>
      <c r="N12" s="3">
        <v>16.68</v>
      </c>
    </row>
    <row r="13" spans="1:14" x14ac:dyDescent="0.3">
      <c r="A13" s="3" t="s">
        <v>865</v>
      </c>
      <c r="H13" s="3">
        <v>0.01</v>
      </c>
      <c r="I13" s="3">
        <v>0.01</v>
      </c>
      <c r="J13" s="3">
        <v>0.01</v>
      </c>
      <c r="K13" s="3">
        <v>0.01</v>
      </c>
      <c r="L13" s="3">
        <v>0.04</v>
      </c>
      <c r="M13" s="3">
        <v>0.03</v>
      </c>
      <c r="N13" s="3">
        <v>0.15</v>
      </c>
    </row>
    <row r="14" spans="1:14" x14ac:dyDescent="0.3">
      <c r="A14" s="3" t="s">
        <v>622</v>
      </c>
      <c r="F14" s="3">
        <v>0.48</v>
      </c>
      <c r="G14" s="3">
        <v>1.43</v>
      </c>
      <c r="H14" s="3">
        <v>5.07</v>
      </c>
      <c r="I14" s="3">
        <v>9.9</v>
      </c>
      <c r="J14" s="3">
        <v>15.34</v>
      </c>
      <c r="K14" s="3">
        <v>73.17</v>
      </c>
      <c r="L14" s="3">
        <v>207.38</v>
      </c>
      <c r="M14" s="3">
        <v>336</v>
      </c>
      <c r="N14" s="3">
        <v>579</v>
      </c>
    </row>
    <row r="15" spans="1:14" x14ac:dyDescent="0.3">
      <c r="A15" s="3" t="s">
        <v>891</v>
      </c>
      <c r="H15" s="3">
        <v>0.03</v>
      </c>
      <c r="I15" s="3">
        <v>0.18</v>
      </c>
      <c r="J15" s="3">
        <v>0.22</v>
      </c>
      <c r="K15" s="3">
        <v>0.44</v>
      </c>
      <c r="L15" s="3">
        <v>0.69</v>
      </c>
      <c r="M15" s="3">
        <v>1.43</v>
      </c>
      <c r="N15" s="3">
        <v>3.06</v>
      </c>
    </row>
    <row r="16" spans="1:14" x14ac:dyDescent="0.3">
      <c r="A16" s="3" t="s">
        <v>874</v>
      </c>
      <c r="B16" s="3">
        <v>0.01</v>
      </c>
      <c r="C16" s="3">
        <v>0.01</v>
      </c>
      <c r="D16" s="3">
        <v>0.01</v>
      </c>
      <c r="F16" s="3">
        <v>0.01</v>
      </c>
      <c r="G16" s="3">
        <v>0.19</v>
      </c>
      <c r="H16" s="3">
        <v>2.73</v>
      </c>
      <c r="I16" s="3">
        <v>6.26</v>
      </c>
      <c r="J16" s="3">
        <v>9.6199999999999992</v>
      </c>
      <c r="K16" s="3">
        <v>12.64</v>
      </c>
      <c r="L16" s="3">
        <v>22.95</v>
      </c>
      <c r="M16" s="3">
        <v>29.51</v>
      </c>
      <c r="N16" s="3">
        <v>34.78</v>
      </c>
    </row>
    <row r="17" spans="1:14" x14ac:dyDescent="0.3">
      <c r="A17" s="3" t="s">
        <v>875</v>
      </c>
      <c r="B17" s="3">
        <v>0.02</v>
      </c>
      <c r="E17" s="3">
        <v>7.0000000000000007E-2</v>
      </c>
      <c r="F17" s="3">
        <v>0.02</v>
      </c>
      <c r="G17" s="3">
        <v>0.14000000000000001</v>
      </c>
      <c r="H17" s="3">
        <v>1.65</v>
      </c>
      <c r="I17" s="3">
        <v>3.37</v>
      </c>
      <c r="J17" s="3">
        <v>6.93</v>
      </c>
      <c r="K17" s="3">
        <v>12.74</v>
      </c>
      <c r="L17" s="3">
        <v>23.19</v>
      </c>
      <c r="M17" s="3">
        <v>24.61</v>
      </c>
      <c r="N17" s="3">
        <v>54.56</v>
      </c>
    </row>
    <row r="18" spans="1:14" x14ac:dyDescent="0.3">
      <c r="A18" s="3" t="s">
        <v>623</v>
      </c>
      <c r="E18" s="3">
        <v>0.37</v>
      </c>
      <c r="F18" s="3">
        <v>0.16</v>
      </c>
      <c r="G18" s="3">
        <v>0.35</v>
      </c>
      <c r="H18" s="3">
        <v>0.45</v>
      </c>
      <c r="I18" s="3">
        <v>1.43</v>
      </c>
      <c r="J18" s="3">
        <v>0.19</v>
      </c>
      <c r="K18" s="3">
        <v>0.41</v>
      </c>
      <c r="L18" s="3">
        <v>1</v>
      </c>
      <c r="M18" s="3">
        <v>0.45</v>
      </c>
      <c r="N18" s="3">
        <v>2</v>
      </c>
    </row>
    <row r="19" spans="1:14" x14ac:dyDescent="0.3">
      <c r="A19" s="3" t="s">
        <v>876</v>
      </c>
      <c r="F19" s="3">
        <v>1.08</v>
      </c>
      <c r="G19" s="3">
        <v>2.44</v>
      </c>
      <c r="H19" s="3">
        <v>12.62</v>
      </c>
      <c r="I19" s="3">
        <v>24.44</v>
      </c>
      <c r="J19" s="3">
        <v>28.88</v>
      </c>
      <c r="K19" s="3">
        <v>32.29</v>
      </c>
      <c r="L19" s="3">
        <v>24.65</v>
      </c>
      <c r="M19" s="3">
        <v>24.85</v>
      </c>
      <c r="N19" s="3">
        <v>54.1</v>
      </c>
    </row>
    <row r="20" spans="1:14" x14ac:dyDescent="0.3">
      <c r="A20" s="3" t="s">
        <v>863</v>
      </c>
      <c r="G20" s="3">
        <v>0.06</v>
      </c>
      <c r="H20" s="3">
        <v>0.27</v>
      </c>
      <c r="I20" s="3">
        <v>0.51</v>
      </c>
      <c r="J20" s="3">
        <v>0.6</v>
      </c>
      <c r="K20" s="3">
        <v>1.31</v>
      </c>
      <c r="L20" s="3">
        <v>3.19</v>
      </c>
      <c r="M20" s="3">
        <v>5.26</v>
      </c>
      <c r="N20" s="3">
        <v>14.71</v>
      </c>
    </row>
    <row r="21" spans="1:14" x14ac:dyDescent="0.3">
      <c r="A21" s="3" t="s">
        <v>594</v>
      </c>
      <c r="I21" s="3">
        <v>0.09</v>
      </c>
      <c r="J21" s="3">
        <v>0.01</v>
      </c>
      <c r="K21" s="3">
        <v>0.05</v>
      </c>
      <c r="L21" s="3">
        <v>0.1</v>
      </c>
      <c r="M21" s="3">
        <v>0.27</v>
      </c>
      <c r="N21" s="3">
        <v>0.26</v>
      </c>
    </row>
    <row r="22" spans="1:14" x14ac:dyDescent="0.3">
      <c r="A22" s="3" t="s">
        <v>877</v>
      </c>
      <c r="E22" s="3">
        <v>0.01</v>
      </c>
      <c r="F22" s="3">
        <v>0.03</v>
      </c>
      <c r="G22" s="3">
        <v>0.12</v>
      </c>
      <c r="H22" s="3">
        <v>0.88</v>
      </c>
      <c r="I22" s="3">
        <v>5.12</v>
      </c>
      <c r="J22" s="3">
        <v>22.42</v>
      </c>
      <c r="K22" s="3">
        <v>15.09</v>
      </c>
      <c r="L22" s="3">
        <v>43.77</v>
      </c>
      <c r="M22" s="3">
        <v>24.48</v>
      </c>
      <c r="N22" s="3">
        <v>11.07</v>
      </c>
    </row>
    <row r="23" spans="1:14" x14ac:dyDescent="0.3">
      <c r="A23" s="3" t="s">
        <v>892</v>
      </c>
      <c r="G23" s="3">
        <v>0.01</v>
      </c>
      <c r="H23" s="3">
        <v>0.01</v>
      </c>
      <c r="I23" s="3">
        <v>0.03</v>
      </c>
      <c r="J23" s="3">
        <v>0.04</v>
      </c>
      <c r="K23" s="3">
        <v>0.32</v>
      </c>
      <c r="L23" s="3">
        <v>0.49</v>
      </c>
      <c r="M23" s="3">
        <v>1.5</v>
      </c>
      <c r="N23" s="3">
        <v>3.47</v>
      </c>
    </row>
    <row r="24" spans="1:14" x14ac:dyDescent="0.3">
      <c r="A24" s="3" t="s">
        <v>602</v>
      </c>
      <c r="D24" s="3">
        <v>0.01</v>
      </c>
      <c r="E24" s="3">
        <v>0.24</v>
      </c>
      <c r="F24" s="3">
        <v>0.15</v>
      </c>
      <c r="G24" s="3">
        <v>0.39</v>
      </c>
      <c r="H24" s="3">
        <v>1.84</v>
      </c>
      <c r="I24" s="3">
        <v>4.51</v>
      </c>
      <c r="J24" s="3">
        <v>8.52</v>
      </c>
      <c r="K24" s="3">
        <v>19.77</v>
      </c>
      <c r="L24" s="3">
        <v>33.729999999999997</v>
      </c>
      <c r="M24" s="3">
        <v>44.89</v>
      </c>
      <c r="N24" s="3">
        <v>62.26</v>
      </c>
    </row>
    <row r="25" spans="1:14" x14ac:dyDescent="0.3">
      <c r="A25" s="3" t="s">
        <v>893</v>
      </c>
      <c r="G25" s="3">
        <v>0.72</v>
      </c>
      <c r="H25" s="3">
        <v>0.19</v>
      </c>
      <c r="I25" s="3">
        <v>0.05</v>
      </c>
      <c r="J25" s="3">
        <v>0.18</v>
      </c>
      <c r="K25" s="3">
        <v>0.2</v>
      </c>
      <c r="L25" s="3">
        <v>0.64</v>
      </c>
      <c r="M25" s="3">
        <v>1.47</v>
      </c>
      <c r="N25" s="3">
        <v>1.78</v>
      </c>
    </row>
    <row r="26" spans="1:14" x14ac:dyDescent="0.3">
      <c r="A26" s="3" t="s">
        <v>655</v>
      </c>
      <c r="J26" s="3">
        <v>0.03</v>
      </c>
      <c r="K26" s="3">
        <v>0.01</v>
      </c>
      <c r="L26" s="3">
        <v>0.24</v>
      </c>
      <c r="M26" s="3">
        <v>0.38</v>
      </c>
      <c r="N26" s="3">
        <v>0.2</v>
      </c>
    </row>
    <row r="27" spans="1:14" x14ac:dyDescent="0.3">
      <c r="A27" s="3" t="s">
        <v>878</v>
      </c>
      <c r="H27" s="3">
        <v>0.18</v>
      </c>
      <c r="I27" s="3">
        <v>0.93</v>
      </c>
      <c r="J27" s="3">
        <v>1.55</v>
      </c>
      <c r="K27" s="3">
        <v>4.67</v>
      </c>
      <c r="L27" s="3">
        <v>8.59</v>
      </c>
      <c r="M27" s="3">
        <v>13.42</v>
      </c>
      <c r="N27" s="3">
        <v>20.350000000000001</v>
      </c>
    </row>
    <row r="28" spans="1:14" x14ac:dyDescent="0.3">
      <c r="A28" s="3" t="s">
        <v>894</v>
      </c>
      <c r="H28" s="3">
        <v>0.01</v>
      </c>
      <c r="I28" s="3">
        <v>0.01</v>
      </c>
      <c r="J28" s="3">
        <v>0.01</v>
      </c>
      <c r="K28" s="3">
        <v>7.0000000000000007E-2</v>
      </c>
      <c r="L28" s="3">
        <v>0.27</v>
      </c>
      <c r="N28" s="3">
        <v>0.03</v>
      </c>
    </row>
    <row r="29" spans="1:14" x14ac:dyDescent="0.3">
      <c r="A29" s="3" t="s">
        <v>879</v>
      </c>
      <c r="B29" s="3">
        <v>0.22</v>
      </c>
      <c r="C29" s="3">
        <v>0.32</v>
      </c>
      <c r="D29" s="3">
        <v>0.45</v>
      </c>
      <c r="E29" s="3">
        <v>0.22</v>
      </c>
      <c r="F29" s="3">
        <v>0.18</v>
      </c>
      <c r="G29" s="3">
        <v>0.28000000000000003</v>
      </c>
      <c r="H29" s="3">
        <v>1.22</v>
      </c>
      <c r="I29" s="3">
        <v>2.69</v>
      </c>
      <c r="J29" s="3">
        <v>3.75</v>
      </c>
      <c r="K29" s="3">
        <v>14.74</v>
      </c>
      <c r="L29" s="3">
        <v>29.34</v>
      </c>
      <c r="M29" s="3">
        <v>37.909999999999997</v>
      </c>
      <c r="N29" s="3">
        <v>47.25</v>
      </c>
    </row>
    <row r="30" spans="1:14" x14ac:dyDescent="0.3">
      <c r="A30" s="3" t="s">
        <v>595</v>
      </c>
      <c r="B30" s="3">
        <v>1.1200000000000001</v>
      </c>
      <c r="E30" s="3">
        <v>1.47</v>
      </c>
      <c r="G30" s="3">
        <v>1.19</v>
      </c>
      <c r="H30" s="3">
        <v>17.73</v>
      </c>
      <c r="I30" s="3">
        <v>53.24</v>
      </c>
      <c r="J30" s="3">
        <v>96.7</v>
      </c>
      <c r="K30" s="3">
        <v>118.78</v>
      </c>
      <c r="L30" s="3">
        <v>113.87</v>
      </c>
      <c r="M30" s="3">
        <v>159.62</v>
      </c>
      <c r="N30" s="3">
        <v>198.35</v>
      </c>
    </row>
    <row r="31" spans="1:14" x14ac:dyDescent="0.3">
      <c r="A31" s="3" t="s">
        <v>880</v>
      </c>
      <c r="B31" s="3">
        <v>0.53</v>
      </c>
      <c r="E31" s="3">
        <v>0.09</v>
      </c>
      <c r="F31" s="3">
        <v>0.03</v>
      </c>
      <c r="G31" s="3">
        <v>0.17</v>
      </c>
      <c r="H31" s="3">
        <v>1.8</v>
      </c>
      <c r="I31" s="3">
        <v>2.71</v>
      </c>
      <c r="J31" s="3">
        <v>4.2300000000000004</v>
      </c>
      <c r="K31" s="3">
        <v>9.5500000000000007</v>
      </c>
      <c r="L31" s="3">
        <v>17.79</v>
      </c>
      <c r="M31" s="3">
        <v>25.02</v>
      </c>
      <c r="N31" s="3">
        <v>42.02</v>
      </c>
    </row>
    <row r="32" spans="1:14" x14ac:dyDescent="0.3">
      <c r="A32" s="4" t="s">
        <v>690</v>
      </c>
      <c r="B32" s="4">
        <v>1.89</v>
      </c>
      <c r="C32" s="4">
        <v>0.34</v>
      </c>
      <c r="D32" s="4">
        <v>0.47000000000000003</v>
      </c>
      <c r="E32" s="4">
        <v>2.46</v>
      </c>
      <c r="F32" s="4">
        <v>2.13</v>
      </c>
      <c r="G32" s="4">
        <v>7.4899999999999984</v>
      </c>
      <c r="H32" s="4">
        <v>47.24</v>
      </c>
      <c r="I32" s="4">
        <v>117.83999999999999</v>
      </c>
      <c r="J32" s="4">
        <v>202.8</v>
      </c>
      <c r="K32" s="4">
        <v>322.7</v>
      </c>
      <c r="L32" s="4">
        <v>540.72</v>
      </c>
      <c r="M32" s="4">
        <v>744.21999999999991</v>
      </c>
      <c r="N32" s="4">
        <v>1148.7</v>
      </c>
    </row>
  </sheetData>
  <conditionalFormatting sqref="A1:XFD5 A7:XFD7 A6 C6:XFD6">
    <cfRule type="expression" dxfId="15" priority="2">
      <formula>_xlfn.ISFORMULA(A1)</formula>
    </cfRule>
  </conditionalFormatting>
  <conditionalFormatting sqref="B6">
    <cfRule type="expression" dxfId="14" priority="1">
      <formula>_xlfn.ISFORMULA(B6)</formula>
    </cfRule>
  </conditionalFormatting>
  <hyperlinks>
    <hyperlink ref="B3" r:id="rId1" xr:uid="{6BD28556-6D09-4990-A2EB-66BACB8E33E8}"/>
  </hyperlinks>
  <pageMargins left="0.7" right="0.7" top="0.75" bottom="0.75" header="0.3" footer="0.3"/>
  <pageSetup paperSize="9" orientation="portrait" horizontalDpi="4294967294" verticalDpi="4294967294" r:id="rId2"/>
  <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D4605-B449-4FD4-8BC7-4EC32EED2C7B}">
  <sheetPr>
    <tabColor theme="7" tint="0.39997558519241921"/>
  </sheetPr>
  <dimension ref="A1:BE97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57" s="1" customFormat="1" ht="49.5" customHeight="1" x14ac:dyDescent="0.3">
      <c r="A1" s="1" t="s">
        <v>898</v>
      </c>
    </row>
    <row r="2" spans="1:57" s="2" customFormat="1" x14ac:dyDescent="0.3">
      <c r="A2" s="2" t="s">
        <v>1</v>
      </c>
      <c r="B2" s="2" t="s">
        <v>899</v>
      </c>
    </row>
    <row r="3" spans="1:57" s="2" customFormat="1" x14ac:dyDescent="0.3">
      <c r="A3" s="2" t="s">
        <v>3</v>
      </c>
      <c r="B3" s="6" t="s">
        <v>900</v>
      </c>
    </row>
    <row r="4" spans="1:57" s="2" customFormat="1" x14ac:dyDescent="0.3">
      <c r="A4" s="2" t="s">
        <v>7</v>
      </c>
      <c r="B4" s="7">
        <v>43501</v>
      </c>
    </row>
    <row r="5" spans="1:57" s="2" customFormat="1" x14ac:dyDescent="0.3">
      <c r="A5" s="2" t="s">
        <v>2</v>
      </c>
      <c r="B5" s="2" t="s">
        <v>901</v>
      </c>
    </row>
    <row r="6" spans="1:57" s="2" customFormat="1" x14ac:dyDescent="0.3">
      <c r="A6" s="2" t="s">
        <v>4</v>
      </c>
      <c r="B6" s="2" t="s">
        <v>902</v>
      </c>
    </row>
    <row r="7" spans="1:57" ht="15" thickBot="1" x14ac:dyDescent="0.35"/>
    <row r="8" spans="1:57" s="748" customFormat="1" ht="15" thickBot="1" x14ac:dyDescent="0.35">
      <c r="A8" s="748" t="s">
        <v>903</v>
      </c>
    </row>
    <row r="10" spans="1:57" x14ac:dyDescent="0.3">
      <c r="BA10" s="750"/>
      <c r="BB10" s="750"/>
      <c r="BC10" s="824" t="s">
        <v>904</v>
      </c>
      <c r="BD10" s="824"/>
      <c r="BE10" s="751" t="s">
        <v>905</v>
      </c>
    </row>
    <row r="11" spans="1:57" x14ac:dyDescent="0.3">
      <c r="A11" s="3" t="s">
        <v>906</v>
      </c>
      <c r="B11" s="3">
        <v>1965</v>
      </c>
      <c r="C11" s="3">
        <v>1966</v>
      </c>
      <c r="D11" s="3">
        <v>1967</v>
      </c>
      <c r="E11" s="3">
        <v>1968</v>
      </c>
      <c r="F11" s="3">
        <v>1969</v>
      </c>
      <c r="G11" s="3">
        <v>1970</v>
      </c>
      <c r="H11" s="3">
        <v>1971</v>
      </c>
      <c r="I11" s="3">
        <v>1972</v>
      </c>
      <c r="J11" s="3">
        <v>1973</v>
      </c>
      <c r="K11" s="3">
        <v>1974</v>
      </c>
      <c r="L11" s="3">
        <v>1975</v>
      </c>
      <c r="M11" s="3">
        <v>1976</v>
      </c>
      <c r="N11" s="3">
        <v>1977</v>
      </c>
      <c r="O11" s="3">
        <v>1978</v>
      </c>
      <c r="P11" s="3">
        <v>1979</v>
      </c>
      <c r="Q11" s="3">
        <v>1980</v>
      </c>
      <c r="R11" s="3">
        <v>1981</v>
      </c>
      <c r="S11" s="3">
        <v>1982</v>
      </c>
      <c r="T11" s="3">
        <v>1983</v>
      </c>
      <c r="U11" s="3">
        <v>1984</v>
      </c>
      <c r="V11" s="3">
        <v>1985</v>
      </c>
      <c r="W11" s="3">
        <v>1986</v>
      </c>
      <c r="X11" s="3">
        <v>1987</v>
      </c>
      <c r="Y11" s="3">
        <v>1988</v>
      </c>
      <c r="Z11" s="3">
        <v>1989</v>
      </c>
      <c r="AA11" s="3">
        <v>1990</v>
      </c>
      <c r="AB11" s="3">
        <v>1991</v>
      </c>
      <c r="AC11" s="3">
        <v>1992</v>
      </c>
      <c r="AD11" s="3">
        <v>1993</v>
      </c>
      <c r="AE11" s="3">
        <v>1994</v>
      </c>
      <c r="AF11" s="3">
        <v>1995</v>
      </c>
      <c r="AG11" s="3">
        <v>1996</v>
      </c>
      <c r="AH11" s="3">
        <v>1997</v>
      </c>
      <c r="AI11" s="3">
        <v>1998</v>
      </c>
      <c r="AJ11" s="3">
        <v>1999</v>
      </c>
      <c r="AK11" s="3">
        <v>2000</v>
      </c>
      <c r="AL11" s="3">
        <v>2001</v>
      </c>
      <c r="AM11" s="3">
        <v>2002</v>
      </c>
      <c r="AN11" s="3">
        <v>2003</v>
      </c>
      <c r="AO11" s="3">
        <v>2004</v>
      </c>
      <c r="AP11" s="3">
        <v>2005</v>
      </c>
      <c r="AQ11" s="3">
        <v>2006</v>
      </c>
      <c r="AR11" s="3">
        <v>2007</v>
      </c>
      <c r="AS11" s="3">
        <v>2008</v>
      </c>
      <c r="AT11" s="3">
        <v>2009</v>
      </c>
      <c r="AU11" s="3">
        <v>2010</v>
      </c>
      <c r="AV11" s="3">
        <v>2011</v>
      </c>
      <c r="AW11" s="3">
        <v>2012</v>
      </c>
      <c r="AX11" s="3">
        <v>2013</v>
      </c>
      <c r="AY11" s="3">
        <v>2014</v>
      </c>
      <c r="AZ11" s="3">
        <v>2015</v>
      </c>
      <c r="BA11" s="3">
        <v>2016</v>
      </c>
      <c r="BB11" s="750">
        <v>2017</v>
      </c>
      <c r="BC11" s="751">
        <v>2017</v>
      </c>
      <c r="BD11" s="751" t="s">
        <v>907</v>
      </c>
      <c r="BE11" s="751">
        <v>2017</v>
      </c>
    </row>
    <row r="12" spans="1:57" x14ac:dyDescent="0.3">
      <c r="B12" s="751"/>
      <c r="C12" s="751"/>
      <c r="D12" s="751"/>
      <c r="E12" s="751"/>
      <c r="F12" s="751"/>
      <c r="G12" s="751"/>
      <c r="H12" s="751"/>
      <c r="I12" s="751"/>
      <c r="J12" s="751"/>
      <c r="K12" s="751"/>
      <c r="L12" s="751"/>
      <c r="M12" s="751"/>
      <c r="N12" s="751"/>
      <c r="O12" s="751"/>
      <c r="P12" s="751"/>
      <c r="Q12" s="751"/>
      <c r="R12" s="751"/>
      <c r="S12" s="751"/>
      <c r="T12" s="751"/>
      <c r="U12" s="751"/>
      <c r="V12" s="751"/>
      <c r="W12" s="751"/>
      <c r="X12" s="751"/>
      <c r="Y12" s="751"/>
      <c r="Z12" s="751"/>
      <c r="AA12" s="751"/>
      <c r="AB12" s="751"/>
      <c r="AC12" s="751"/>
      <c r="AD12" s="751"/>
      <c r="AE12" s="751"/>
      <c r="AF12" s="751"/>
      <c r="AG12" s="751"/>
      <c r="AH12" s="751"/>
      <c r="AI12" s="751"/>
      <c r="AJ12" s="751"/>
      <c r="AK12" s="751"/>
      <c r="AL12" s="751"/>
      <c r="AM12" s="751"/>
      <c r="AN12" s="751"/>
      <c r="AO12" s="751"/>
      <c r="AP12" s="751"/>
      <c r="AQ12" s="751"/>
      <c r="AR12" s="751"/>
      <c r="AS12" s="751"/>
      <c r="AT12" s="751"/>
      <c r="AU12" s="751"/>
      <c r="AV12" s="751"/>
      <c r="AW12" s="751"/>
      <c r="AX12" s="751"/>
      <c r="AY12" s="751"/>
      <c r="AZ12" s="751"/>
      <c r="BA12" s="752"/>
      <c r="BB12" s="752"/>
      <c r="BC12" s="751"/>
      <c r="BD12" s="751"/>
      <c r="BE12" s="751"/>
    </row>
    <row r="13" spans="1:57" x14ac:dyDescent="0.3">
      <c r="A13" s="3" t="s">
        <v>908</v>
      </c>
      <c r="B13" s="753">
        <v>9014.148000000001</v>
      </c>
      <c r="C13" s="753">
        <v>9579.241</v>
      </c>
      <c r="D13" s="753">
        <v>10219.252</v>
      </c>
      <c r="E13" s="753">
        <v>10599.743</v>
      </c>
      <c r="F13" s="753">
        <v>10827.674000000001</v>
      </c>
      <c r="G13" s="753">
        <v>11296.849</v>
      </c>
      <c r="H13" s="753">
        <v>11155.778</v>
      </c>
      <c r="I13" s="753">
        <v>11184.896000000001</v>
      </c>
      <c r="J13" s="753">
        <v>10945.953</v>
      </c>
      <c r="K13" s="753">
        <v>10461.205</v>
      </c>
      <c r="L13" s="753">
        <v>10007.736999999999</v>
      </c>
      <c r="M13" s="753">
        <v>9735.6389999999992</v>
      </c>
      <c r="N13" s="753">
        <v>9862.5619999999999</v>
      </c>
      <c r="O13" s="753">
        <v>10274.441000000001</v>
      </c>
      <c r="P13" s="753">
        <v>10135.534</v>
      </c>
      <c r="Q13" s="753">
        <v>10169.626</v>
      </c>
      <c r="R13" s="753">
        <v>10180.573</v>
      </c>
      <c r="S13" s="753">
        <v>10198.534</v>
      </c>
      <c r="T13" s="753">
        <v>10246.668</v>
      </c>
      <c r="U13" s="753">
        <v>10508.950999999999</v>
      </c>
      <c r="V13" s="753">
        <v>10580.378000000001</v>
      </c>
      <c r="W13" s="753">
        <v>10231.142</v>
      </c>
      <c r="X13" s="753">
        <v>9943.9779999999992</v>
      </c>
      <c r="Y13" s="753">
        <v>9764.6890000000003</v>
      </c>
      <c r="Z13" s="753">
        <v>9159.0770000000011</v>
      </c>
      <c r="AA13" s="753">
        <v>8914.3070000000007</v>
      </c>
      <c r="AB13" s="753">
        <v>9075.5450000000001</v>
      </c>
      <c r="AC13" s="753">
        <v>8868.125</v>
      </c>
      <c r="AD13" s="753">
        <v>8582.6650000000009</v>
      </c>
      <c r="AE13" s="753">
        <v>8388.5789999999997</v>
      </c>
      <c r="AF13" s="753">
        <v>8321.6389999999992</v>
      </c>
      <c r="AG13" s="753">
        <v>8294.527</v>
      </c>
      <c r="AH13" s="753">
        <v>8268.5920000000006</v>
      </c>
      <c r="AI13" s="753">
        <v>8010.8329999999996</v>
      </c>
      <c r="AJ13" s="753">
        <v>7731.4579999999996</v>
      </c>
      <c r="AK13" s="753">
        <v>7731.6040000000003</v>
      </c>
      <c r="AL13" s="753">
        <v>7669.4009999999998</v>
      </c>
      <c r="AM13" s="753">
        <v>7625.0780000000004</v>
      </c>
      <c r="AN13" s="753">
        <v>7367.3</v>
      </c>
      <c r="AO13" s="753">
        <v>7249.9949999999999</v>
      </c>
      <c r="AP13" s="753">
        <v>6899.8220000000001</v>
      </c>
      <c r="AQ13" s="753">
        <v>6824.8639999999996</v>
      </c>
      <c r="AR13" s="753">
        <v>6859.6859999999997</v>
      </c>
      <c r="AS13" s="753">
        <v>6783.9579999999996</v>
      </c>
      <c r="AT13" s="753">
        <v>7263.0339999999997</v>
      </c>
      <c r="AU13" s="753">
        <v>7549.1880000000001</v>
      </c>
      <c r="AV13" s="753">
        <v>7858.8490000000002</v>
      </c>
      <c r="AW13" s="753">
        <v>8903.6180000000004</v>
      </c>
      <c r="AX13" s="753">
        <v>10071.217000000001</v>
      </c>
      <c r="AY13" s="753">
        <v>11768.192999999999</v>
      </c>
      <c r="AZ13" s="753">
        <v>12750.268</v>
      </c>
      <c r="BA13" s="753">
        <v>12365.806</v>
      </c>
      <c r="BB13" s="754">
        <v>13056.993</v>
      </c>
      <c r="BC13" s="755">
        <v>5.5895022127955052E-2</v>
      </c>
      <c r="BD13" s="755">
        <v>6.1238122797292904E-2</v>
      </c>
      <c r="BE13" s="755">
        <v>0.14093023232708649</v>
      </c>
    </row>
    <row r="14" spans="1:57" x14ac:dyDescent="0.3">
      <c r="A14" s="3" t="s">
        <v>593</v>
      </c>
      <c r="B14" s="753">
        <v>920</v>
      </c>
      <c r="C14" s="753">
        <v>1012</v>
      </c>
      <c r="D14" s="753">
        <v>1106</v>
      </c>
      <c r="E14" s="753">
        <v>1194</v>
      </c>
      <c r="F14" s="753">
        <v>1306</v>
      </c>
      <c r="G14" s="753">
        <v>1473</v>
      </c>
      <c r="H14" s="753">
        <v>1582</v>
      </c>
      <c r="I14" s="753">
        <v>1829</v>
      </c>
      <c r="J14" s="753">
        <v>2114</v>
      </c>
      <c r="K14" s="753">
        <v>1993</v>
      </c>
      <c r="L14" s="753">
        <v>1735</v>
      </c>
      <c r="M14" s="753">
        <v>1598</v>
      </c>
      <c r="N14" s="753">
        <v>1608</v>
      </c>
      <c r="O14" s="753">
        <v>1597</v>
      </c>
      <c r="P14" s="753">
        <v>1835</v>
      </c>
      <c r="Q14" s="753">
        <v>1764</v>
      </c>
      <c r="R14" s="753">
        <v>1610</v>
      </c>
      <c r="S14" s="753">
        <v>1590</v>
      </c>
      <c r="T14" s="753">
        <v>1661</v>
      </c>
      <c r="U14" s="753">
        <v>1775</v>
      </c>
      <c r="V14" s="753">
        <v>1812.7952109936516</v>
      </c>
      <c r="W14" s="753">
        <v>1805.1174616419273</v>
      </c>
      <c r="X14" s="753">
        <v>1908.7699482158016</v>
      </c>
      <c r="Y14" s="753">
        <v>2002.4185139874126</v>
      </c>
      <c r="Z14" s="753">
        <v>1961.4562282686823</v>
      </c>
      <c r="AA14" s="753">
        <v>1967.7356711049626</v>
      </c>
      <c r="AB14" s="753">
        <v>1983.5053432645052</v>
      </c>
      <c r="AC14" s="753">
        <v>2065.5790598282069</v>
      </c>
      <c r="AD14" s="753">
        <v>2189.0103027952377</v>
      </c>
      <c r="AE14" s="753">
        <v>2281.3347888038143</v>
      </c>
      <c r="AF14" s="753">
        <v>2402.1278128998201</v>
      </c>
      <c r="AG14" s="753">
        <v>2479.9174236024764</v>
      </c>
      <c r="AH14" s="753">
        <v>2587.5902828443927</v>
      </c>
      <c r="AI14" s="753">
        <v>2672.3813391137164</v>
      </c>
      <c r="AJ14" s="753">
        <v>2604.3995949776927</v>
      </c>
      <c r="AK14" s="753">
        <v>2703.4019023673454</v>
      </c>
      <c r="AL14" s="753">
        <v>2727.9581258047347</v>
      </c>
      <c r="AM14" s="753">
        <v>2858.1641011457104</v>
      </c>
      <c r="AN14" s="753">
        <v>3003.4707919793873</v>
      </c>
      <c r="AO14" s="753">
        <v>3079.8814459372807</v>
      </c>
      <c r="AP14" s="753">
        <v>3040.8960275232039</v>
      </c>
      <c r="AQ14" s="753">
        <v>3208.3842098349187</v>
      </c>
      <c r="AR14" s="753">
        <v>3290.1896606930136</v>
      </c>
      <c r="AS14" s="753">
        <v>3207.0352975595383</v>
      </c>
      <c r="AT14" s="753">
        <v>3202.3976885954298</v>
      </c>
      <c r="AU14" s="753">
        <v>3332.0798002470547</v>
      </c>
      <c r="AV14" s="753">
        <v>3514.8220660394704</v>
      </c>
      <c r="AW14" s="753">
        <v>3740.2376773579285</v>
      </c>
      <c r="AX14" s="753">
        <v>4000.4109645870722</v>
      </c>
      <c r="AY14" s="753">
        <v>4270.5299026443963</v>
      </c>
      <c r="AZ14" s="753">
        <v>4389.1402241510259</v>
      </c>
      <c r="BA14" s="753">
        <v>4470.176332139712</v>
      </c>
      <c r="BB14" s="754">
        <v>4830.6284506991078</v>
      </c>
      <c r="BC14" s="755">
        <v>8.0634876966220403E-2</v>
      </c>
      <c r="BD14" s="755">
        <v>3.3722164919808506E-2</v>
      </c>
      <c r="BE14" s="755">
        <v>5.2139232198627906E-2</v>
      </c>
    </row>
    <row r="15" spans="1:57" x14ac:dyDescent="0.3">
      <c r="A15" s="3" t="s">
        <v>594</v>
      </c>
      <c r="B15" s="753">
        <v>362</v>
      </c>
      <c r="C15" s="753">
        <v>370</v>
      </c>
      <c r="D15" s="753">
        <v>411</v>
      </c>
      <c r="E15" s="753">
        <v>439</v>
      </c>
      <c r="F15" s="753">
        <v>461</v>
      </c>
      <c r="G15" s="753">
        <v>487</v>
      </c>
      <c r="H15" s="753">
        <v>486</v>
      </c>
      <c r="I15" s="753">
        <v>506</v>
      </c>
      <c r="J15" s="753">
        <v>525</v>
      </c>
      <c r="K15" s="753">
        <v>653</v>
      </c>
      <c r="L15" s="753">
        <v>806</v>
      </c>
      <c r="M15" s="753">
        <v>894</v>
      </c>
      <c r="N15" s="753">
        <v>1085</v>
      </c>
      <c r="O15" s="753">
        <v>1327</v>
      </c>
      <c r="P15" s="753">
        <v>1607</v>
      </c>
      <c r="Q15" s="753">
        <v>2129</v>
      </c>
      <c r="R15" s="753">
        <v>2553</v>
      </c>
      <c r="S15" s="753">
        <v>3001</v>
      </c>
      <c r="T15" s="753">
        <v>2930</v>
      </c>
      <c r="U15" s="753">
        <v>2942</v>
      </c>
      <c r="V15" s="753">
        <v>2912</v>
      </c>
      <c r="W15" s="753">
        <v>2758</v>
      </c>
      <c r="X15" s="753">
        <v>2879</v>
      </c>
      <c r="Y15" s="753">
        <v>2877</v>
      </c>
      <c r="Z15" s="753">
        <v>2897</v>
      </c>
      <c r="AA15" s="753">
        <v>2940.7769287679998</v>
      </c>
      <c r="AB15" s="753">
        <v>3099.6314219180003</v>
      </c>
      <c r="AC15" s="753">
        <v>3098.2730327869999</v>
      </c>
      <c r="AD15" s="753">
        <v>3115.3448994794112</v>
      </c>
      <c r="AE15" s="753">
        <v>3135.9556193146982</v>
      </c>
      <c r="AF15" s="753">
        <v>3054.7680859892052</v>
      </c>
      <c r="AG15" s="753">
        <v>3270.0570220050167</v>
      </c>
      <c r="AH15" s="753">
        <v>3408.6261214001238</v>
      </c>
      <c r="AI15" s="753">
        <v>3498.5556235098079</v>
      </c>
      <c r="AJ15" s="753">
        <v>3351.6903137667405</v>
      </c>
      <c r="AK15" s="753">
        <v>3455.9456084672133</v>
      </c>
      <c r="AL15" s="753">
        <v>3568.1280428082191</v>
      </c>
      <c r="AM15" s="753">
        <v>3592.6483270767121</v>
      </c>
      <c r="AN15" s="753">
        <v>3794.6995888356169</v>
      </c>
      <c r="AO15" s="753">
        <v>3830.1803293278685</v>
      </c>
      <c r="AP15" s="753">
        <v>3765.6208047205478</v>
      </c>
      <c r="AQ15" s="753">
        <v>3689.1257307260271</v>
      </c>
      <c r="AR15" s="753">
        <v>3478.5303843863016</v>
      </c>
      <c r="AS15" s="753">
        <v>3165.3277124289611</v>
      </c>
      <c r="AT15" s="753">
        <v>2978.4948015150685</v>
      </c>
      <c r="AU15" s="753">
        <v>2959.3664798794521</v>
      </c>
      <c r="AV15" s="753">
        <v>2940.3133798958902</v>
      </c>
      <c r="AW15" s="753">
        <v>2911.0979805136603</v>
      </c>
      <c r="AX15" s="753">
        <v>2874.7527313972605</v>
      </c>
      <c r="AY15" s="753">
        <v>2784.2008789424658</v>
      </c>
      <c r="AZ15" s="753">
        <v>2586.5408472821923</v>
      </c>
      <c r="BA15" s="753">
        <v>2455.7994976639343</v>
      </c>
      <c r="BB15" s="754">
        <v>2224.1501598739728</v>
      </c>
      <c r="BC15" s="755">
        <v>-9.4327463626536545E-2</v>
      </c>
      <c r="BD15" s="755">
        <v>-3.9876841979940125E-2</v>
      </c>
      <c r="BE15" s="755">
        <v>2.400629293140967E-2</v>
      </c>
    </row>
    <row r="16" spans="1:57" x14ac:dyDescent="0.3">
      <c r="A16" s="756" t="s">
        <v>909</v>
      </c>
      <c r="B16" s="757">
        <v>10296.148000000001</v>
      </c>
      <c r="C16" s="757">
        <v>10961.241</v>
      </c>
      <c r="D16" s="757">
        <v>11736.252</v>
      </c>
      <c r="E16" s="757">
        <v>12232.743</v>
      </c>
      <c r="F16" s="757">
        <v>12594.674000000001</v>
      </c>
      <c r="G16" s="757">
        <v>13256.849</v>
      </c>
      <c r="H16" s="757">
        <v>13223.778</v>
      </c>
      <c r="I16" s="757">
        <v>13519.896000000001</v>
      </c>
      <c r="J16" s="757">
        <v>13584.953</v>
      </c>
      <c r="K16" s="757">
        <v>13107.205</v>
      </c>
      <c r="L16" s="757">
        <v>12548.736999999999</v>
      </c>
      <c r="M16" s="757">
        <v>12227.638999999999</v>
      </c>
      <c r="N16" s="757">
        <v>12555.562</v>
      </c>
      <c r="O16" s="757">
        <v>13198.441000000001</v>
      </c>
      <c r="P16" s="757">
        <v>13577.534</v>
      </c>
      <c r="Q16" s="757">
        <v>14062.626</v>
      </c>
      <c r="R16" s="757">
        <v>14343.573</v>
      </c>
      <c r="S16" s="757">
        <v>14789.534</v>
      </c>
      <c r="T16" s="757">
        <v>14837.668</v>
      </c>
      <c r="U16" s="757">
        <v>15225.950999999999</v>
      </c>
      <c r="V16" s="757">
        <v>15305.173210993653</v>
      </c>
      <c r="W16" s="757">
        <v>14794.259461641926</v>
      </c>
      <c r="X16" s="757">
        <v>14731.747948215801</v>
      </c>
      <c r="Y16" s="757">
        <v>14644.107513987412</v>
      </c>
      <c r="Z16" s="757">
        <v>14017.533228268683</v>
      </c>
      <c r="AA16" s="757">
        <v>13822.819599872964</v>
      </c>
      <c r="AB16" s="757">
        <v>14158.681765182506</v>
      </c>
      <c r="AC16" s="757">
        <v>14031.977092615207</v>
      </c>
      <c r="AD16" s="757">
        <v>13887.020202274649</v>
      </c>
      <c r="AE16" s="757">
        <v>13805.869408118513</v>
      </c>
      <c r="AF16" s="757">
        <v>13778.534898889025</v>
      </c>
      <c r="AG16" s="757">
        <v>14044.501445607493</v>
      </c>
      <c r="AH16" s="757">
        <v>14264.808404244517</v>
      </c>
      <c r="AI16" s="757">
        <v>14181.769962623523</v>
      </c>
      <c r="AJ16" s="757">
        <v>13687.547908744433</v>
      </c>
      <c r="AK16" s="757">
        <v>13890.951510834559</v>
      </c>
      <c r="AL16" s="757">
        <v>13965.487168612954</v>
      </c>
      <c r="AM16" s="757">
        <v>14075.890428222423</v>
      </c>
      <c r="AN16" s="757">
        <v>14165.470380815004</v>
      </c>
      <c r="AO16" s="757">
        <v>14160.05677526515</v>
      </c>
      <c r="AP16" s="757">
        <v>13706.338832243751</v>
      </c>
      <c r="AQ16" s="757">
        <v>13722.373940560945</v>
      </c>
      <c r="AR16" s="757">
        <v>13628.406045079315</v>
      </c>
      <c r="AS16" s="757">
        <v>13156.321009988498</v>
      </c>
      <c r="AT16" s="757">
        <v>13443.926490110498</v>
      </c>
      <c r="AU16" s="757">
        <v>13840.634280126507</v>
      </c>
      <c r="AV16" s="757">
        <v>14313.984445935361</v>
      </c>
      <c r="AW16" s="757">
        <v>15554.953657871591</v>
      </c>
      <c r="AX16" s="757">
        <v>16946.380695984335</v>
      </c>
      <c r="AY16" s="757">
        <v>18822.923781586862</v>
      </c>
      <c r="AZ16" s="757">
        <v>19725.949071433221</v>
      </c>
      <c r="BA16" s="757">
        <v>19291.781829803647</v>
      </c>
      <c r="BB16" s="757">
        <v>20111.77161057308</v>
      </c>
      <c r="BC16" s="758">
        <v>4.2504616110816684E-2</v>
      </c>
      <c r="BD16" s="758">
        <v>3.4652018135946649E-2</v>
      </c>
      <c r="BE16" s="758">
        <v>0.21707575745712407</v>
      </c>
    </row>
    <row r="17" spans="1:57" x14ac:dyDescent="0.3">
      <c r="B17" s="753"/>
      <c r="C17" s="753"/>
      <c r="D17" s="753"/>
      <c r="E17" s="753"/>
      <c r="F17" s="753"/>
      <c r="G17" s="753"/>
      <c r="H17" s="753"/>
      <c r="I17" s="753"/>
      <c r="J17" s="753"/>
      <c r="K17" s="753"/>
      <c r="L17" s="753"/>
      <c r="M17" s="753"/>
      <c r="N17" s="753"/>
      <c r="O17" s="753"/>
      <c r="P17" s="753"/>
      <c r="Q17" s="753"/>
      <c r="R17" s="753"/>
      <c r="S17" s="753"/>
      <c r="T17" s="753"/>
      <c r="U17" s="753"/>
      <c r="V17" s="753"/>
      <c r="W17" s="753"/>
      <c r="X17" s="753"/>
      <c r="Y17" s="753"/>
      <c r="Z17" s="753"/>
      <c r="AA17" s="753"/>
      <c r="AB17" s="753"/>
      <c r="AC17" s="753"/>
      <c r="AD17" s="753"/>
      <c r="AE17" s="753"/>
      <c r="AF17" s="753"/>
      <c r="AG17" s="753"/>
      <c r="AH17" s="753"/>
      <c r="AI17" s="753"/>
      <c r="AJ17" s="753"/>
      <c r="AK17" s="753"/>
      <c r="AL17" s="753"/>
      <c r="AM17" s="753"/>
      <c r="AN17" s="753"/>
      <c r="AO17" s="753"/>
      <c r="AP17" s="753"/>
      <c r="AQ17" s="753"/>
      <c r="AR17" s="753"/>
      <c r="AS17" s="753"/>
      <c r="AT17" s="753"/>
      <c r="AU17" s="753"/>
      <c r="AV17" s="753"/>
      <c r="AW17" s="753"/>
      <c r="AX17" s="753"/>
      <c r="AY17" s="753"/>
      <c r="AZ17" s="753"/>
      <c r="BA17" s="753"/>
      <c r="BB17" s="754"/>
      <c r="BC17" s="755"/>
      <c r="BD17" s="755"/>
      <c r="BE17" s="755"/>
    </row>
    <row r="18" spans="1:57" x14ac:dyDescent="0.3">
      <c r="A18" s="3" t="s">
        <v>597</v>
      </c>
      <c r="B18" s="753">
        <v>275.67397260273975</v>
      </c>
      <c r="C18" s="753">
        <v>292.86410958904111</v>
      </c>
      <c r="D18" s="753">
        <v>318.63123287671232</v>
      </c>
      <c r="E18" s="753">
        <v>348.15846994535519</v>
      </c>
      <c r="F18" s="753">
        <v>361.53205479452055</v>
      </c>
      <c r="G18" s="753">
        <v>399.46465753424656</v>
      </c>
      <c r="H18" s="753">
        <v>431.53808219178086</v>
      </c>
      <c r="I18" s="753">
        <v>444.1158469945355</v>
      </c>
      <c r="J18" s="753">
        <v>433.63561643835618</v>
      </c>
      <c r="K18" s="753">
        <v>423.38739726027399</v>
      </c>
      <c r="L18" s="753">
        <v>406.09095890410958</v>
      </c>
      <c r="M18" s="753">
        <v>408.02185792349729</v>
      </c>
      <c r="N18" s="753">
        <v>441.71506849315068</v>
      </c>
      <c r="O18" s="753">
        <v>466.20493150684933</v>
      </c>
      <c r="P18" s="753">
        <v>487.28273972602744</v>
      </c>
      <c r="Q18" s="753">
        <v>505.71038251366122</v>
      </c>
      <c r="R18" s="753">
        <v>518.92547945205479</v>
      </c>
      <c r="S18" s="753">
        <v>517.08219178082186</v>
      </c>
      <c r="T18" s="753">
        <v>520.17260273972602</v>
      </c>
      <c r="U18" s="753">
        <v>509.00655737704921</v>
      </c>
      <c r="V18" s="753">
        <v>490.79452054794518</v>
      </c>
      <c r="W18" s="753">
        <v>465.36767123287672</v>
      </c>
      <c r="X18" s="753">
        <v>459.40493150684932</v>
      </c>
      <c r="Y18" s="753">
        <v>481.20218579234972</v>
      </c>
      <c r="Z18" s="753">
        <v>492.28657534246577</v>
      </c>
      <c r="AA18" s="753">
        <v>517.41095890410963</v>
      </c>
      <c r="AB18" s="753">
        <v>525.61150684931511</v>
      </c>
      <c r="AC18" s="753">
        <v>586.87103825136614</v>
      </c>
      <c r="AD18" s="753">
        <v>629.86520547945213</v>
      </c>
      <c r="AE18" s="753">
        <v>695.49205479452053</v>
      </c>
      <c r="AF18" s="753">
        <v>757.91616438356164</v>
      </c>
      <c r="AG18" s="753">
        <v>822.79890710382517</v>
      </c>
      <c r="AH18" s="753">
        <v>877.43013698630148</v>
      </c>
      <c r="AI18" s="753">
        <v>889.94794520547941</v>
      </c>
      <c r="AJ18" s="753">
        <v>834.55198643662561</v>
      </c>
      <c r="AK18" s="753">
        <v>849.6967537071946</v>
      </c>
      <c r="AL18" s="753">
        <v>923.60360644112689</v>
      </c>
      <c r="AM18" s="753">
        <v>909.89892437321794</v>
      </c>
      <c r="AN18" s="753">
        <v>915.62980682134457</v>
      </c>
      <c r="AO18" s="753">
        <v>877.20807325264059</v>
      </c>
      <c r="AP18" s="753">
        <v>845.41530517949354</v>
      </c>
      <c r="AQ18" s="753">
        <v>851.69926534250612</v>
      </c>
      <c r="AR18" s="753">
        <v>815.78539311199904</v>
      </c>
      <c r="AS18" s="753">
        <v>803.92348449529732</v>
      </c>
      <c r="AT18" s="753">
        <v>730.7816485394444</v>
      </c>
      <c r="AU18" s="753">
        <v>713.64366657653409</v>
      </c>
      <c r="AV18" s="753">
        <v>668.48637123018921</v>
      </c>
      <c r="AW18" s="753">
        <v>657.96876052556559</v>
      </c>
      <c r="AX18" s="753">
        <v>646.7261415674202</v>
      </c>
      <c r="AY18" s="753">
        <v>639.79575596028167</v>
      </c>
      <c r="AZ18" s="753">
        <v>648.99343093894902</v>
      </c>
      <c r="BA18" s="753">
        <v>625.66482614052427</v>
      </c>
      <c r="BB18" s="754">
        <v>593.39447001742917</v>
      </c>
      <c r="BC18" s="755">
        <v>-5.1577705465972845E-2</v>
      </c>
      <c r="BD18" s="755">
        <v>-3.0371110016472636E-2</v>
      </c>
      <c r="BE18" s="755">
        <v>6.4047840510571353E-3</v>
      </c>
    </row>
    <row r="19" spans="1:57" x14ac:dyDescent="0.3">
      <c r="A19" s="3" t="s">
        <v>598</v>
      </c>
      <c r="B19" s="753">
        <v>96</v>
      </c>
      <c r="C19" s="753">
        <v>117</v>
      </c>
      <c r="D19" s="753">
        <v>147</v>
      </c>
      <c r="E19" s="753">
        <v>161</v>
      </c>
      <c r="F19" s="753">
        <v>176</v>
      </c>
      <c r="G19" s="753">
        <v>166.68103068071912</v>
      </c>
      <c r="H19" s="753">
        <v>174.84500140635296</v>
      </c>
      <c r="I19" s="753">
        <v>171.18629060820848</v>
      </c>
      <c r="J19" s="753">
        <v>173.98620402430771</v>
      </c>
      <c r="K19" s="753">
        <v>181.76223963110667</v>
      </c>
      <c r="L19" s="753">
        <v>177.41482630290093</v>
      </c>
      <c r="M19" s="753">
        <v>172.33053673498381</v>
      </c>
      <c r="N19" s="753">
        <v>166.71999887804714</v>
      </c>
      <c r="O19" s="753">
        <v>165.82524730326708</v>
      </c>
      <c r="P19" s="753">
        <v>171.64501490970406</v>
      </c>
      <c r="Q19" s="753">
        <v>187.77819226040964</v>
      </c>
      <c r="R19" s="753">
        <v>220.02100913372198</v>
      </c>
      <c r="S19" s="753">
        <v>267.91467273669429</v>
      </c>
      <c r="T19" s="753">
        <v>339.42411479054749</v>
      </c>
      <c r="U19" s="753">
        <v>473.72709732659496</v>
      </c>
      <c r="V19" s="753">
        <v>560.96024147204309</v>
      </c>
      <c r="W19" s="753">
        <v>591.12078083477058</v>
      </c>
      <c r="X19" s="753">
        <v>589.78260019920697</v>
      </c>
      <c r="Y19" s="753">
        <v>573.51535487211095</v>
      </c>
      <c r="Z19" s="753">
        <v>613.19838809895111</v>
      </c>
      <c r="AA19" s="753">
        <v>650.53600110658886</v>
      </c>
      <c r="AB19" s="753">
        <v>643.35156685364461</v>
      </c>
      <c r="AC19" s="753">
        <v>652.6</v>
      </c>
      <c r="AD19" s="753">
        <v>667.4</v>
      </c>
      <c r="AE19" s="753">
        <v>691.69999999999993</v>
      </c>
      <c r="AF19" s="753">
        <v>714.90000000000009</v>
      </c>
      <c r="AG19" s="753">
        <v>808.4</v>
      </c>
      <c r="AH19" s="753">
        <v>869.40000000000009</v>
      </c>
      <c r="AI19" s="753">
        <v>1003.2</v>
      </c>
      <c r="AJ19" s="753">
        <v>1132.4000000000001</v>
      </c>
      <c r="AK19" s="753">
        <v>1276.2</v>
      </c>
      <c r="AL19" s="753">
        <v>1339.1</v>
      </c>
      <c r="AM19" s="753">
        <v>1497.7</v>
      </c>
      <c r="AN19" s="753">
        <v>1557.8</v>
      </c>
      <c r="AO19" s="753">
        <v>1542.8</v>
      </c>
      <c r="AP19" s="753">
        <v>1705.5758605061599</v>
      </c>
      <c r="AQ19" s="753">
        <v>1806.1294129223847</v>
      </c>
      <c r="AR19" s="753">
        <v>1831.0531480305667</v>
      </c>
      <c r="AS19" s="753">
        <v>1897.158904094297</v>
      </c>
      <c r="AT19" s="753">
        <v>2029.0275598362489</v>
      </c>
      <c r="AU19" s="753">
        <v>2136.8817370276615</v>
      </c>
      <c r="AV19" s="753">
        <v>2178.7574473274099</v>
      </c>
      <c r="AW19" s="753">
        <v>2144.8469651709229</v>
      </c>
      <c r="AX19" s="753">
        <v>2109.9381406001503</v>
      </c>
      <c r="AY19" s="753">
        <v>2341.3719734243164</v>
      </c>
      <c r="AZ19" s="753">
        <v>2524.9870678129682</v>
      </c>
      <c r="BA19" s="753">
        <v>2607.7915277385496</v>
      </c>
      <c r="BB19" s="754">
        <v>2733.9870975490999</v>
      </c>
      <c r="BC19" s="755">
        <v>4.8391740086672463E-2</v>
      </c>
      <c r="BD19" s="755">
        <v>3.7414706929473907E-2</v>
      </c>
      <c r="BE19" s="755">
        <v>2.9509201455254784E-2</v>
      </c>
    </row>
    <row r="20" spans="1:57" x14ac:dyDescent="0.3">
      <c r="A20" s="3" t="s">
        <v>654</v>
      </c>
      <c r="B20" s="753">
        <v>203</v>
      </c>
      <c r="C20" s="753">
        <v>199</v>
      </c>
      <c r="D20" s="753">
        <v>192</v>
      </c>
      <c r="E20" s="753">
        <v>176</v>
      </c>
      <c r="F20" s="753">
        <v>214</v>
      </c>
      <c r="G20" s="753">
        <v>226</v>
      </c>
      <c r="H20" s="753">
        <v>224</v>
      </c>
      <c r="I20" s="753">
        <v>203</v>
      </c>
      <c r="J20" s="753">
        <v>192</v>
      </c>
      <c r="K20" s="753">
        <v>175</v>
      </c>
      <c r="L20" s="753">
        <v>164</v>
      </c>
      <c r="M20" s="753">
        <v>153</v>
      </c>
      <c r="N20" s="753">
        <v>144</v>
      </c>
      <c r="O20" s="753">
        <v>137</v>
      </c>
      <c r="P20" s="753">
        <v>129</v>
      </c>
      <c r="Q20" s="753">
        <v>131</v>
      </c>
      <c r="R20" s="753">
        <v>140</v>
      </c>
      <c r="S20" s="753">
        <v>147</v>
      </c>
      <c r="T20" s="753">
        <v>158</v>
      </c>
      <c r="U20" s="753">
        <v>173</v>
      </c>
      <c r="V20" s="753">
        <v>183</v>
      </c>
      <c r="W20" s="753">
        <v>307</v>
      </c>
      <c r="X20" s="753">
        <v>388</v>
      </c>
      <c r="Y20" s="753">
        <v>380</v>
      </c>
      <c r="Z20" s="753">
        <v>407</v>
      </c>
      <c r="AA20" s="753">
        <v>446</v>
      </c>
      <c r="AB20" s="753">
        <v>430</v>
      </c>
      <c r="AC20" s="753">
        <v>442</v>
      </c>
      <c r="AD20" s="753">
        <v>458</v>
      </c>
      <c r="AE20" s="753">
        <v>460</v>
      </c>
      <c r="AF20" s="753">
        <v>591</v>
      </c>
      <c r="AG20" s="753">
        <v>635</v>
      </c>
      <c r="AH20" s="753">
        <v>667</v>
      </c>
      <c r="AI20" s="753">
        <v>775</v>
      </c>
      <c r="AJ20" s="753">
        <v>838</v>
      </c>
      <c r="AK20" s="753">
        <v>687</v>
      </c>
      <c r="AL20" s="753">
        <v>604</v>
      </c>
      <c r="AM20" s="753">
        <v>578</v>
      </c>
      <c r="AN20" s="753">
        <v>541</v>
      </c>
      <c r="AO20" s="753">
        <v>528.29</v>
      </c>
      <c r="AP20" s="753">
        <v>526.16181917808217</v>
      </c>
      <c r="AQ20" s="753">
        <v>529.31367123287657</v>
      </c>
      <c r="AR20" s="753">
        <v>531.43903500761019</v>
      </c>
      <c r="AS20" s="753">
        <v>588.35</v>
      </c>
      <c r="AT20" s="753">
        <v>670.6</v>
      </c>
      <c r="AU20" s="753">
        <v>786.11183561643838</v>
      </c>
      <c r="AV20" s="753">
        <v>915.26424657534255</v>
      </c>
      <c r="AW20" s="753">
        <v>944.12008200000002</v>
      </c>
      <c r="AX20" s="753">
        <v>1003.9879999999999</v>
      </c>
      <c r="AY20" s="753">
        <v>990.37863013698632</v>
      </c>
      <c r="AZ20" s="753">
        <v>1005.5744931506849</v>
      </c>
      <c r="BA20" s="753">
        <v>885.89412568306</v>
      </c>
      <c r="BB20" s="754">
        <v>851.45069682191775</v>
      </c>
      <c r="BC20" s="755">
        <v>-3.8879847898963038E-2</v>
      </c>
      <c r="BD20" s="755">
        <v>5.2850896022685889E-2</v>
      </c>
      <c r="BE20" s="755">
        <v>9.1901056022755442E-3</v>
      </c>
    </row>
    <row r="21" spans="1:57" x14ac:dyDescent="0.3">
      <c r="A21" s="3" t="s">
        <v>599</v>
      </c>
      <c r="B21" s="753">
        <v>8</v>
      </c>
      <c r="C21" s="753">
        <v>7</v>
      </c>
      <c r="D21" s="753">
        <v>6</v>
      </c>
      <c r="E21" s="753">
        <v>5</v>
      </c>
      <c r="F21" s="753">
        <v>4</v>
      </c>
      <c r="G21" s="753">
        <v>4</v>
      </c>
      <c r="H21" s="753">
        <v>4</v>
      </c>
      <c r="I21" s="753">
        <v>78</v>
      </c>
      <c r="J21" s="753">
        <v>209</v>
      </c>
      <c r="K21" s="753">
        <v>177</v>
      </c>
      <c r="L21" s="753">
        <v>161</v>
      </c>
      <c r="M21" s="753">
        <v>188</v>
      </c>
      <c r="N21" s="753">
        <v>184</v>
      </c>
      <c r="O21" s="753">
        <v>204</v>
      </c>
      <c r="P21" s="753">
        <v>216</v>
      </c>
      <c r="Q21" s="753">
        <v>206</v>
      </c>
      <c r="R21" s="753">
        <v>213</v>
      </c>
      <c r="S21" s="753">
        <v>213</v>
      </c>
      <c r="T21" s="753">
        <v>240</v>
      </c>
      <c r="U21" s="753">
        <v>261</v>
      </c>
      <c r="V21" s="753">
        <v>286</v>
      </c>
      <c r="W21" s="753">
        <v>298</v>
      </c>
      <c r="X21" s="753">
        <v>176</v>
      </c>
      <c r="Y21" s="753">
        <v>309</v>
      </c>
      <c r="Z21" s="753">
        <v>286</v>
      </c>
      <c r="AA21" s="753">
        <v>292</v>
      </c>
      <c r="AB21" s="753">
        <v>307</v>
      </c>
      <c r="AC21" s="753">
        <v>328</v>
      </c>
      <c r="AD21" s="753">
        <v>353</v>
      </c>
      <c r="AE21" s="753">
        <v>388</v>
      </c>
      <c r="AF21" s="753">
        <v>395</v>
      </c>
      <c r="AG21" s="753">
        <v>393</v>
      </c>
      <c r="AH21" s="753">
        <v>397</v>
      </c>
      <c r="AI21" s="753">
        <v>385</v>
      </c>
      <c r="AJ21" s="753">
        <v>383</v>
      </c>
      <c r="AK21" s="753">
        <v>403</v>
      </c>
      <c r="AL21" s="753">
        <v>410</v>
      </c>
      <c r="AM21" s="753">
        <v>394</v>
      </c>
      <c r="AN21" s="753">
        <v>420</v>
      </c>
      <c r="AO21" s="753">
        <v>528</v>
      </c>
      <c r="AP21" s="753">
        <v>534</v>
      </c>
      <c r="AQ21" s="753">
        <v>537.6796174520548</v>
      </c>
      <c r="AR21" s="753">
        <v>513.08807452054793</v>
      </c>
      <c r="AS21" s="753">
        <v>506.71857923497265</v>
      </c>
      <c r="AT21" s="753">
        <v>488.06575342465754</v>
      </c>
      <c r="AU21" s="753">
        <v>488.08701013698629</v>
      </c>
      <c r="AV21" s="753">
        <v>500.60800101369864</v>
      </c>
      <c r="AW21" s="753">
        <v>504.61553559289615</v>
      </c>
      <c r="AX21" s="753">
        <v>527.35356052054794</v>
      </c>
      <c r="AY21" s="753">
        <v>556.55390287123294</v>
      </c>
      <c r="AZ21" s="753">
        <v>543.09486060273957</v>
      </c>
      <c r="BA21" s="753">
        <v>548.39183265027339</v>
      </c>
      <c r="BB21" s="754">
        <v>531.31257290410963</v>
      </c>
      <c r="BC21" s="755">
        <v>-3.1144263516148518E-2</v>
      </c>
      <c r="BD21" s="755">
        <v>1.974664922230529E-3</v>
      </c>
      <c r="BE21" s="755">
        <v>5.7347050992275364E-3</v>
      </c>
    </row>
    <row r="22" spans="1:57" x14ac:dyDescent="0.3">
      <c r="A22" s="3" t="s">
        <v>910</v>
      </c>
      <c r="B22" s="753">
        <v>66</v>
      </c>
      <c r="C22" s="753">
        <v>66</v>
      </c>
      <c r="D22" s="753">
        <v>74</v>
      </c>
      <c r="E22" s="753">
        <v>77</v>
      </c>
      <c r="F22" s="753">
        <v>75</v>
      </c>
      <c r="G22" s="753">
        <v>74.972602739726028</v>
      </c>
      <c r="H22" s="753">
        <v>63.88219178082192</v>
      </c>
      <c r="I22" s="753">
        <v>66.601092896174862</v>
      </c>
      <c r="J22" s="753">
        <v>72.591780821917808</v>
      </c>
      <c r="K22" s="753">
        <v>79.098630136986301</v>
      </c>
      <c r="L22" s="753">
        <v>73.035616438356158</v>
      </c>
      <c r="M22" s="753">
        <v>77.407103825136616</v>
      </c>
      <c r="N22" s="753">
        <v>92.153424657534245</v>
      </c>
      <c r="O22" s="753">
        <v>151.87945205479451</v>
      </c>
      <c r="P22" s="753">
        <v>192.65010410958905</v>
      </c>
      <c r="Q22" s="753">
        <v>195.96081967213115</v>
      </c>
      <c r="R22" s="753">
        <v>193.9621780821918</v>
      </c>
      <c r="S22" s="753">
        <v>196.05989589041098</v>
      </c>
      <c r="T22" s="753">
        <v>171.10770136986301</v>
      </c>
      <c r="U22" s="753">
        <v>185.08169125683062</v>
      </c>
      <c r="V22" s="753">
        <v>189.45958630136985</v>
      </c>
      <c r="W22" s="753">
        <v>178.53511506849316</v>
      </c>
      <c r="X22" s="753">
        <v>164.64424931506849</v>
      </c>
      <c r="Y22" s="753">
        <v>142.30272131147541</v>
      </c>
      <c r="Z22" s="753">
        <v>131.40136986301371</v>
      </c>
      <c r="AA22" s="753">
        <v>129.9032876712329</v>
      </c>
      <c r="AB22" s="753">
        <v>115.78986301369864</v>
      </c>
      <c r="AC22" s="753">
        <v>116.56748633879782</v>
      </c>
      <c r="AD22" s="753">
        <v>127.27917808219179</v>
      </c>
      <c r="AE22" s="753">
        <v>128.30849315068491</v>
      </c>
      <c r="AF22" s="753">
        <v>122.76191780821918</v>
      </c>
      <c r="AG22" s="753">
        <v>120.9704918032787</v>
      </c>
      <c r="AH22" s="753">
        <v>120.23866027397261</v>
      </c>
      <c r="AI22" s="753">
        <v>116.47172054794521</v>
      </c>
      <c r="AJ22" s="753">
        <v>106.84967397260276</v>
      </c>
      <c r="AK22" s="753">
        <v>99.861229508196729</v>
      </c>
      <c r="AL22" s="753">
        <v>97.615789041095894</v>
      </c>
      <c r="AM22" s="753">
        <v>97.257197260273969</v>
      </c>
      <c r="AN22" s="753">
        <v>91.665687671232874</v>
      </c>
      <c r="AO22" s="753">
        <v>93.041628415300551</v>
      </c>
      <c r="AP22" s="753">
        <v>112.16232328767123</v>
      </c>
      <c r="AQ22" s="753">
        <v>117.39440328767125</v>
      </c>
      <c r="AR22" s="753">
        <v>115.99410410958905</v>
      </c>
      <c r="AS22" s="753">
        <v>122.08695628415302</v>
      </c>
      <c r="AT22" s="753">
        <v>146.86966575342467</v>
      </c>
      <c r="AU22" s="753">
        <v>157.51880273972603</v>
      </c>
      <c r="AV22" s="753">
        <v>153.07347397260276</v>
      </c>
      <c r="AW22" s="753">
        <v>153.97903278688526</v>
      </c>
      <c r="AX22" s="753">
        <v>166.9851904931507</v>
      </c>
      <c r="AY22" s="753">
        <v>168.93694876712328</v>
      </c>
      <c r="AZ22" s="753">
        <v>144.68628101369865</v>
      </c>
      <c r="BA22" s="753">
        <v>127.69104098360657</v>
      </c>
      <c r="BB22" s="754">
        <v>127.245345691008</v>
      </c>
      <c r="BC22" s="755">
        <v>-3.4904194465436023E-3</v>
      </c>
      <c r="BD22" s="755">
        <v>8.4428787274428707E-3</v>
      </c>
      <c r="BE22" s="755">
        <v>1.3734185298846519E-3</v>
      </c>
    </row>
    <row r="23" spans="1:57" x14ac:dyDescent="0.3">
      <c r="A23" s="3" t="s">
        <v>911</v>
      </c>
      <c r="B23" s="753">
        <v>135</v>
      </c>
      <c r="C23" s="753">
        <v>153</v>
      </c>
      <c r="D23" s="753">
        <v>179</v>
      </c>
      <c r="E23" s="753">
        <v>191</v>
      </c>
      <c r="F23" s="753">
        <v>157</v>
      </c>
      <c r="G23" s="753">
        <v>140</v>
      </c>
      <c r="H23" s="753">
        <v>129</v>
      </c>
      <c r="I23" s="753">
        <v>141</v>
      </c>
      <c r="J23" s="753">
        <v>166</v>
      </c>
      <c r="K23" s="753">
        <v>187</v>
      </c>
      <c r="L23" s="753">
        <v>216</v>
      </c>
      <c r="M23" s="753">
        <v>212</v>
      </c>
      <c r="N23" s="753">
        <v>229</v>
      </c>
      <c r="O23" s="753">
        <v>230</v>
      </c>
      <c r="P23" s="753">
        <v>214</v>
      </c>
      <c r="Q23" s="753">
        <v>212</v>
      </c>
      <c r="R23" s="753">
        <v>189</v>
      </c>
      <c r="S23" s="753">
        <v>177</v>
      </c>
      <c r="T23" s="753">
        <v>160</v>
      </c>
      <c r="U23" s="753">
        <v>170</v>
      </c>
      <c r="V23" s="753">
        <v>176</v>
      </c>
      <c r="W23" s="753">
        <v>169</v>
      </c>
      <c r="X23" s="753">
        <v>155</v>
      </c>
      <c r="Y23" s="753">
        <v>151</v>
      </c>
      <c r="Z23" s="753">
        <v>149</v>
      </c>
      <c r="AA23" s="753">
        <v>150</v>
      </c>
      <c r="AB23" s="753">
        <v>149</v>
      </c>
      <c r="AC23" s="753">
        <v>144</v>
      </c>
      <c r="AD23" s="753">
        <v>134</v>
      </c>
      <c r="AE23" s="753">
        <v>141</v>
      </c>
      <c r="AF23" s="753">
        <v>142</v>
      </c>
      <c r="AG23" s="753">
        <v>141</v>
      </c>
      <c r="AH23" s="753">
        <v>135</v>
      </c>
      <c r="AI23" s="753">
        <v>134</v>
      </c>
      <c r="AJ23" s="753">
        <v>141</v>
      </c>
      <c r="AK23" s="753">
        <v>143.10651912568306</v>
      </c>
      <c r="AL23" s="753">
        <v>139.42047945205479</v>
      </c>
      <c r="AM23" s="753">
        <v>160.6426301369863</v>
      </c>
      <c r="AN23" s="753">
        <v>174.77093972602739</v>
      </c>
      <c r="AO23" s="753">
        <v>164.89577595628415</v>
      </c>
      <c r="AP23" s="753">
        <v>170.66183972602741</v>
      </c>
      <c r="AQ23" s="753">
        <v>177.19408082191779</v>
      </c>
      <c r="AR23" s="753">
        <v>153.9654205479452</v>
      </c>
      <c r="AS23" s="753">
        <v>152.38612404371582</v>
      </c>
      <c r="AT23" s="753">
        <v>150.31483424657534</v>
      </c>
      <c r="AU23" s="753">
        <v>145.36754520547947</v>
      </c>
      <c r="AV23" s="753">
        <v>136.89904520547944</v>
      </c>
      <c r="AW23" s="753">
        <v>116.95232513661202</v>
      </c>
      <c r="AX23" s="753">
        <v>115.60269589041096</v>
      </c>
      <c r="AY23" s="753">
        <v>114.11546027397262</v>
      </c>
      <c r="AZ23" s="753">
        <v>108.74648630136987</v>
      </c>
      <c r="BA23" s="753">
        <v>96.660942622950813</v>
      </c>
      <c r="BB23" s="754">
        <v>98.690220206308794</v>
      </c>
      <c r="BC23" s="755">
        <v>2.0993769854631639E-2</v>
      </c>
      <c r="BD23" s="755">
        <v>-5.8803764234379052E-2</v>
      </c>
      <c r="BE23" s="755">
        <v>1.0652097050282883E-3</v>
      </c>
    </row>
    <row r="24" spans="1:57" x14ac:dyDescent="0.3">
      <c r="A24" s="3" t="s">
        <v>600</v>
      </c>
      <c r="B24" s="753">
        <v>3503</v>
      </c>
      <c r="C24" s="753">
        <v>3402</v>
      </c>
      <c r="D24" s="753">
        <v>3576</v>
      </c>
      <c r="E24" s="753">
        <v>3639</v>
      </c>
      <c r="F24" s="753">
        <v>3631</v>
      </c>
      <c r="G24" s="753">
        <v>3754</v>
      </c>
      <c r="H24" s="753">
        <v>3615</v>
      </c>
      <c r="I24" s="753">
        <v>3301</v>
      </c>
      <c r="J24" s="753">
        <v>3455</v>
      </c>
      <c r="K24" s="753">
        <v>3060</v>
      </c>
      <c r="L24" s="753">
        <v>2422</v>
      </c>
      <c r="M24" s="753">
        <v>2371</v>
      </c>
      <c r="N24" s="753">
        <v>2314</v>
      </c>
      <c r="O24" s="753">
        <v>2227</v>
      </c>
      <c r="P24" s="753">
        <v>2425</v>
      </c>
      <c r="Q24" s="753">
        <v>2228</v>
      </c>
      <c r="R24" s="753">
        <v>2163</v>
      </c>
      <c r="S24" s="753">
        <v>1954</v>
      </c>
      <c r="T24" s="753">
        <v>1852</v>
      </c>
      <c r="U24" s="753">
        <v>1853</v>
      </c>
      <c r="V24" s="753">
        <v>1744</v>
      </c>
      <c r="W24" s="753">
        <v>1886</v>
      </c>
      <c r="X24" s="753">
        <v>1910</v>
      </c>
      <c r="Y24" s="753">
        <v>1998</v>
      </c>
      <c r="Z24" s="753">
        <v>2012</v>
      </c>
      <c r="AA24" s="753">
        <v>2244</v>
      </c>
      <c r="AB24" s="753">
        <v>2501</v>
      </c>
      <c r="AC24" s="753">
        <v>2499</v>
      </c>
      <c r="AD24" s="753">
        <v>2592</v>
      </c>
      <c r="AE24" s="753">
        <v>2752</v>
      </c>
      <c r="AF24" s="753">
        <v>2959</v>
      </c>
      <c r="AG24" s="753">
        <v>3137</v>
      </c>
      <c r="AH24" s="753">
        <v>3321.123</v>
      </c>
      <c r="AI24" s="753">
        <v>3447.3090000000002</v>
      </c>
      <c r="AJ24" s="753">
        <v>3095.0600000000004</v>
      </c>
      <c r="AK24" s="753">
        <v>3111.6327625683061</v>
      </c>
      <c r="AL24" s="753">
        <v>3174.4310418504756</v>
      </c>
      <c r="AM24" s="753">
        <v>2975.0873521917806</v>
      </c>
      <c r="AN24" s="753">
        <v>2868.5614871232874</v>
      </c>
      <c r="AO24" s="753">
        <v>3305.8998175435886</v>
      </c>
      <c r="AP24" s="753">
        <v>3302.1076753424654</v>
      </c>
      <c r="AQ24" s="753">
        <v>3339.685410958904</v>
      </c>
      <c r="AR24" s="753">
        <v>3237.0706164383605</v>
      </c>
      <c r="AS24" s="753">
        <v>3228.1746994535501</v>
      </c>
      <c r="AT24" s="753">
        <v>3037.8359178082201</v>
      </c>
      <c r="AU24" s="753">
        <v>2841.5720273972602</v>
      </c>
      <c r="AV24" s="753">
        <v>2755.0210821917804</v>
      </c>
      <c r="AW24" s="753">
        <v>2703.7341912568309</v>
      </c>
      <c r="AX24" s="753">
        <v>2680.3561643835619</v>
      </c>
      <c r="AY24" s="753">
        <v>2692.4931506849321</v>
      </c>
      <c r="AZ24" s="753">
        <v>2630.8629999999998</v>
      </c>
      <c r="BA24" s="753">
        <v>2386.5518999999999</v>
      </c>
      <c r="BB24" s="754">
        <v>2110.2049301455063</v>
      </c>
      <c r="BC24" s="755">
        <v>-0.11579340464143839</v>
      </c>
      <c r="BD24" s="755">
        <v>-3.3044401142415358E-2</v>
      </c>
      <c r="BE24" s="755">
        <v>2.2776428773697704E-2</v>
      </c>
    </row>
    <row r="25" spans="1:57" x14ac:dyDescent="0.3">
      <c r="A25" s="3" t="s">
        <v>912</v>
      </c>
      <c r="B25" s="753">
        <v>47.134520547945201</v>
      </c>
      <c r="C25" s="753">
        <v>54.411095890410962</v>
      </c>
      <c r="D25" s="753">
        <v>78.214246575342472</v>
      </c>
      <c r="E25" s="753">
        <v>84.571311475409829</v>
      </c>
      <c r="F25" s="753">
        <v>83.804657534246587</v>
      </c>
      <c r="G25" s="753">
        <v>63.94671232876712</v>
      </c>
      <c r="H25" s="753">
        <v>80.384657534246571</v>
      </c>
      <c r="I25" s="753">
        <v>89.237158469945356</v>
      </c>
      <c r="J25" s="753">
        <v>89.738904109589043</v>
      </c>
      <c r="K25" s="753">
        <v>85.596164383561643</v>
      </c>
      <c r="L25" s="753">
        <v>77.88</v>
      </c>
      <c r="M25" s="753">
        <v>77.646120218579227</v>
      </c>
      <c r="N25" s="753">
        <v>68.013616438356166</v>
      </c>
      <c r="O25" s="753">
        <v>65.872328767123292</v>
      </c>
      <c r="P25" s="753">
        <v>66.254739726027395</v>
      </c>
      <c r="Q25" s="753">
        <v>80.05565573770491</v>
      </c>
      <c r="R25" s="753">
        <v>87.104191780821921</v>
      </c>
      <c r="S25" s="753">
        <v>99.377589041095902</v>
      </c>
      <c r="T25" s="753">
        <v>97.913698630136992</v>
      </c>
      <c r="U25" s="753">
        <v>94.687622950819673</v>
      </c>
      <c r="V25" s="753">
        <v>91.159835616438357</v>
      </c>
      <c r="W25" s="753">
        <v>88.823863013698627</v>
      </c>
      <c r="X25" s="753">
        <v>85.648465753424659</v>
      </c>
      <c r="Y25" s="753">
        <v>77.082595628415305</v>
      </c>
      <c r="Z25" s="753">
        <v>76.185424657534256</v>
      </c>
      <c r="AA25" s="753">
        <v>77.254657534246576</v>
      </c>
      <c r="AB25" s="753">
        <v>77.188136986301373</v>
      </c>
      <c r="AC25" s="753">
        <v>76.022841530054635</v>
      </c>
      <c r="AD25" s="753">
        <v>82.529506849315069</v>
      </c>
      <c r="AE25" s="753">
        <v>89.500547945205469</v>
      </c>
      <c r="AF25" s="753">
        <v>96.402520547945201</v>
      </c>
      <c r="AG25" s="753">
        <v>101.75590163934427</v>
      </c>
      <c r="AH25" s="753">
        <v>107.61394520547945</v>
      </c>
      <c r="AI25" s="753">
        <v>124.93087671232877</v>
      </c>
      <c r="AJ25" s="753">
        <v>123.53161643835617</v>
      </c>
      <c r="AK25" s="753">
        <v>125.58439890710382</v>
      </c>
      <c r="AL25" s="753">
        <v>133.67857534246576</v>
      </c>
      <c r="AM25" s="753">
        <v>149.18064383561645</v>
      </c>
      <c r="AN25" s="753">
        <v>149.31582191780825</v>
      </c>
      <c r="AO25" s="753">
        <v>143.4919366188231</v>
      </c>
      <c r="AP25" s="753">
        <v>143.12930280224438</v>
      </c>
      <c r="AQ25" s="753">
        <v>136.58222324852233</v>
      </c>
      <c r="AR25" s="753">
        <v>145.75382790084674</v>
      </c>
      <c r="AS25" s="753">
        <v>139.82048031298606</v>
      </c>
      <c r="AT25" s="753">
        <v>131.41341151868264</v>
      </c>
      <c r="AU25" s="753">
        <v>140.3774506439953</v>
      </c>
      <c r="AV25" s="753">
        <v>140.75085981230342</v>
      </c>
      <c r="AW25" s="753">
        <v>146.91499038146191</v>
      </c>
      <c r="AX25" s="753">
        <v>152.14088413248433</v>
      </c>
      <c r="AY25" s="753">
        <v>159.47408541780104</v>
      </c>
      <c r="AZ25" s="753">
        <v>151.79259061145089</v>
      </c>
      <c r="BA25" s="753">
        <v>139.62452734977572</v>
      </c>
      <c r="BB25" s="754">
        <v>135.42902441758059</v>
      </c>
      <c r="BC25" s="755">
        <v>-3.0048466496755966E-2</v>
      </c>
      <c r="BD25" s="755">
        <v>2.2054354878495719E-3</v>
      </c>
      <c r="BE25" s="755">
        <v>1.4617488019638444E-3</v>
      </c>
    </row>
    <row r="26" spans="1:57" x14ac:dyDescent="0.3">
      <c r="A26" s="756" t="s">
        <v>913</v>
      </c>
      <c r="B26" s="757">
        <v>4333.8084931506846</v>
      </c>
      <c r="C26" s="757">
        <v>4291.2752054794519</v>
      </c>
      <c r="D26" s="757">
        <v>4570.8454794520549</v>
      </c>
      <c r="E26" s="757">
        <v>4681.729781420765</v>
      </c>
      <c r="F26" s="757">
        <v>4702.3367123287671</v>
      </c>
      <c r="G26" s="757">
        <v>4829.0650032834592</v>
      </c>
      <c r="H26" s="757">
        <v>4722.6499329132021</v>
      </c>
      <c r="I26" s="757">
        <v>4494.1403889688645</v>
      </c>
      <c r="J26" s="757">
        <v>4791.9525053941707</v>
      </c>
      <c r="K26" s="757">
        <v>4368.8444314119279</v>
      </c>
      <c r="L26" s="757">
        <v>3697.421401645367</v>
      </c>
      <c r="M26" s="757">
        <v>3659.405618702197</v>
      </c>
      <c r="N26" s="757">
        <v>3639.6021084670883</v>
      </c>
      <c r="O26" s="757">
        <v>3647.7819596320342</v>
      </c>
      <c r="P26" s="757">
        <v>3901.8325984713479</v>
      </c>
      <c r="Q26" s="757">
        <v>3746.5050501839073</v>
      </c>
      <c r="R26" s="757">
        <v>3725.0128584487907</v>
      </c>
      <c r="S26" s="757">
        <v>3571.4343494490231</v>
      </c>
      <c r="T26" s="757">
        <v>3538.6181175302736</v>
      </c>
      <c r="U26" s="757">
        <v>3719.5029689112944</v>
      </c>
      <c r="V26" s="757">
        <v>3721.3741839377967</v>
      </c>
      <c r="W26" s="757">
        <v>3983.8474301498395</v>
      </c>
      <c r="X26" s="757">
        <v>3928.4802467745494</v>
      </c>
      <c r="Y26" s="757">
        <v>4112.1028576043509</v>
      </c>
      <c r="Z26" s="757">
        <v>4167.071757961965</v>
      </c>
      <c r="AA26" s="757">
        <v>4507.1049052161779</v>
      </c>
      <c r="AB26" s="757">
        <v>4748.9410737029593</v>
      </c>
      <c r="AC26" s="757">
        <v>4845.0613661202187</v>
      </c>
      <c r="AD26" s="757">
        <v>5044.0738904109585</v>
      </c>
      <c r="AE26" s="757">
        <v>5346.0010958904104</v>
      </c>
      <c r="AF26" s="757">
        <v>5778.9806027397253</v>
      </c>
      <c r="AG26" s="757">
        <v>6159.9253005464479</v>
      </c>
      <c r="AH26" s="757">
        <v>6494.8057424657527</v>
      </c>
      <c r="AI26" s="757">
        <v>6875.8595424657524</v>
      </c>
      <c r="AJ26" s="757">
        <v>6654.3932768475843</v>
      </c>
      <c r="AK26" s="757">
        <v>6696.0816638164843</v>
      </c>
      <c r="AL26" s="757">
        <v>6821.8494921272177</v>
      </c>
      <c r="AM26" s="757">
        <v>6761.7667477978757</v>
      </c>
      <c r="AN26" s="757">
        <v>6718.7437432597008</v>
      </c>
      <c r="AO26" s="757">
        <v>7183.6272317866369</v>
      </c>
      <c r="AP26" s="757">
        <v>7339.2141260221442</v>
      </c>
      <c r="AQ26" s="757">
        <v>7495.6780852668371</v>
      </c>
      <c r="AR26" s="757">
        <v>7344.1496196674652</v>
      </c>
      <c r="AS26" s="757">
        <v>7438.6192279189727</v>
      </c>
      <c r="AT26" s="757">
        <v>7384.9087911272536</v>
      </c>
      <c r="AU26" s="757">
        <v>7409.5600753440813</v>
      </c>
      <c r="AV26" s="757">
        <v>7448.8605273288067</v>
      </c>
      <c r="AW26" s="757">
        <v>7373.1318828511749</v>
      </c>
      <c r="AX26" s="757">
        <v>7403.0907775877258</v>
      </c>
      <c r="AY26" s="757">
        <v>7663.1199075366476</v>
      </c>
      <c r="AZ26" s="757">
        <v>7758.7382104318613</v>
      </c>
      <c r="BA26" s="757">
        <v>7418.2707231687418</v>
      </c>
      <c r="BB26" s="757">
        <v>7181.7143577529596</v>
      </c>
      <c r="BC26" s="758">
        <v>-3.1888343556533916E-2</v>
      </c>
      <c r="BD26" s="758">
        <v>-1.037523929959927E-3</v>
      </c>
      <c r="BE26" s="758">
        <v>7.7515602018389487E-2</v>
      </c>
    </row>
    <row r="27" spans="1:57" x14ac:dyDescent="0.3">
      <c r="B27" s="753"/>
      <c r="C27" s="753"/>
      <c r="D27" s="753"/>
      <c r="E27" s="753"/>
      <c r="F27" s="753"/>
      <c r="G27" s="753"/>
      <c r="H27" s="753"/>
      <c r="I27" s="753"/>
      <c r="J27" s="753"/>
      <c r="K27" s="753"/>
      <c r="L27" s="753"/>
      <c r="M27" s="753"/>
      <c r="N27" s="753"/>
      <c r="O27" s="753"/>
      <c r="P27" s="753"/>
      <c r="Q27" s="753"/>
      <c r="R27" s="753"/>
      <c r="S27" s="753"/>
      <c r="T27" s="753"/>
      <c r="U27" s="753"/>
      <c r="V27" s="753"/>
      <c r="W27" s="753"/>
      <c r="X27" s="753"/>
      <c r="Y27" s="753"/>
      <c r="Z27" s="753"/>
      <c r="AA27" s="753"/>
      <c r="AB27" s="753"/>
      <c r="AC27" s="753"/>
      <c r="AD27" s="753"/>
      <c r="AE27" s="753"/>
      <c r="AF27" s="753"/>
      <c r="AG27" s="753"/>
      <c r="AH27" s="753"/>
      <c r="AI27" s="753"/>
      <c r="AJ27" s="753"/>
      <c r="AK27" s="753"/>
      <c r="AL27" s="753"/>
      <c r="AM27" s="753"/>
      <c r="AN27" s="753"/>
      <c r="AO27" s="753"/>
      <c r="AP27" s="753"/>
      <c r="AQ27" s="753"/>
      <c r="AR27" s="753"/>
      <c r="AS27" s="753"/>
      <c r="AT27" s="753"/>
      <c r="AU27" s="753"/>
      <c r="AV27" s="753"/>
      <c r="AW27" s="753"/>
      <c r="AX27" s="753"/>
      <c r="AY27" s="753"/>
      <c r="AZ27" s="753"/>
      <c r="BA27" s="753"/>
      <c r="BB27" s="754"/>
      <c r="BC27" s="755"/>
      <c r="BD27" s="755"/>
      <c r="BE27" s="755"/>
    </row>
    <row r="28" spans="1:57" x14ac:dyDescent="0.3">
      <c r="A28" s="3" t="s">
        <v>914</v>
      </c>
      <c r="B28" s="753" t="s">
        <v>915</v>
      </c>
      <c r="C28" s="753" t="s">
        <v>915</v>
      </c>
      <c r="D28" s="753" t="s">
        <v>915</v>
      </c>
      <c r="E28" s="753" t="s">
        <v>915</v>
      </c>
      <c r="F28" s="753" t="s">
        <v>915</v>
      </c>
      <c r="G28" s="753" t="s">
        <v>915</v>
      </c>
      <c r="H28" s="753" t="s">
        <v>915</v>
      </c>
      <c r="I28" s="753">
        <v>2</v>
      </c>
      <c r="J28" s="753">
        <v>3</v>
      </c>
      <c r="K28" s="753">
        <v>2</v>
      </c>
      <c r="L28" s="753">
        <v>3</v>
      </c>
      <c r="M28" s="753">
        <v>4</v>
      </c>
      <c r="N28" s="753">
        <v>10</v>
      </c>
      <c r="O28" s="753">
        <v>8</v>
      </c>
      <c r="P28" s="753">
        <v>8</v>
      </c>
      <c r="Q28" s="753">
        <v>6</v>
      </c>
      <c r="R28" s="753">
        <v>15</v>
      </c>
      <c r="S28" s="753">
        <v>34</v>
      </c>
      <c r="T28" s="753">
        <v>43</v>
      </c>
      <c r="U28" s="753">
        <v>47</v>
      </c>
      <c r="V28" s="753">
        <v>60</v>
      </c>
      <c r="W28" s="753">
        <v>74</v>
      </c>
      <c r="X28" s="753">
        <v>93</v>
      </c>
      <c r="Y28" s="753">
        <v>96</v>
      </c>
      <c r="Z28" s="753">
        <v>112</v>
      </c>
      <c r="AA28" s="753">
        <v>121</v>
      </c>
      <c r="AB28" s="753">
        <v>142</v>
      </c>
      <c r="AC28" s="753">
        <v>157</v>
      </c>
      <c r="AD28" s="753">
        <v>168</v>
      </c>
      <c r="AE28" s="753">
        <v>185</v>
      </c>
      <c r="AF28" s="753">
        <v>186</v>
      </c>
      <c r="AG28" s="753">
        <v>208</v>
      </c>
      <c r="AH28" s="753">
        <v>230</v>
      </c>
      <c r="AI28" s="753">
        <v>238</v>
      </c>
      <c r="AJ28" s="753">
        <v>299</v>
      </c>
      <c r="AK28" s="753">
        <v>363</v>
      </c>
      <c r="AL28" s="753">
        <v>348</v>
      </c>
      <c r="AM28" s="753">
        <v>371</v>
      </c>
      <c r="AN28" s="753">
        <v>368</v>
      </c>
      <c r="AO28" s="753">
        <v>390</v>
      </c>
      <c r="AP28" s="753">
        <v>379.97549780821925</v>
      </c>
      <c r="AQ28" s="753">
        <v>345.53852986301376</v>
      </c>
      <c r="AR28" s="753">
        <v>311.27309317808221</v>
      </c>
      <c r="AS28" s="753">
        <v>287.22854598360658</v>
      </c>
      <c r="AT28" s="753">
        <v>264.77521421917811</v>
      </c>
      <c r="AU28" s="753">
        <v>249.45960065753422</v>
      </c>
      <c r="AV28" s="753">
        <v>224.507517260274</v>
      </c>
      <c r="AW28" s="753">
        <v>204.23533494535522</v>
      </c>
      <c r="AX28" s="753">
        <v>178.17798887671236</v>
      </c>
      <c r="AY28" s="753">
        <v>166.84044769863016</v>
      </c>
      <c r="AZ28" s="753">
        <v>157.79915583561643</v>
      </c>
      <c r="BA28" s="753">
        <v>141.70371928961748</v>
      </c>
      <c r="BB28" s="754">
        <v>138.24625432876712</v>
      </c>
      <c r="BC28" s="755">
        <v>-2.4399253443615709E-2</v>
      </c>
      <c r="BD28" s="755">
        <v>-8.5279364038893468E-2</v>
      </c>
      <c r="BE28" s="755">
        <v>1.4921564820401325E-3</v>
      </c>
    </row>
    <row r="29" spans="1:57" x14ac:dyDescent="0.3">
      <c r="A29" s="3" t="s">
        <v>916</v>
      </c>
      <c r="B29" s="753">
        <v>47.766273972602733</v>
      </c>
      <c r="C29" s="753">
        <v>39.076991780821913</v>
      </c>
      <c r="D29" s="753">
        <v>36.559736986301367</v>
      </c>
      <c r="E29" s="753">
        <v>34.582825136612016</v>
      </c>
      <c r="F29" s="753">
        <v>33.861235616438357</v>
      </c>
      <c r="G29" s="753">
        <v>31.899301369863014</v>
      </c>
      <c r="H29" s="753">
        <v>28.538024657534244</v>
      </c>
      <c r="I29" s="753">
        <v>25.471825136612019</v>
      </c>
      <c r="J29" s="753">
        <v>23.356471232876714</v>
      </c>
      <c r="K29" s="753">
        <v>23.37451506849315</v>
      </c>
      <c r="L29" s="753">
        <v>26.882189041095891</v>
      </c>
      <c r="M29" s="753">
        <v>28.217043715846998</v>
      </c>
      <c r="N29" s="753">
        <v>27.102539726027395</v>
      </c>
      <c r="O29" s="753">
        <v>31.397035616438355</v>
      </c>
      <c r="P29" s="753">
        <v>36.225898630136989</v>
      </c>
      <c r="Q29" s="753">
        <v>35.494693989071038</v>
      </c>
      <c r="R29" s="753">
        <v>31.045315068493149</v>
      </c>
      <c r="S29" s="753">
        <v>36.838528767123293</v>
      </c>
      <c r="T29" s="753">
        <v>46.727539726027402</v>
      </c>
      <c r="U29" s="753">
        <v>47.261639344262299</v>
      </c>
      <c r="V29" s="753">
        <v>49.685172602739719</v>
      </c>
      <c r="W29" s="753">
        <v>53.270139726027395</v>
      </c>
      <c r="X29" s="753">
        <v>81.809457534246576</v>
      </c>
      <c r="Y29" s="753">
        <v>100.23185519125683</v>
      </c>
      <c r="Z29" s="753">
        <v>95.674745205479468</v>
      </c>
      <c r="AA29" s="753">
        <v>97.009668493150684</v>
      </c>
      <c r="AB29" s="753">
        <v>90.026528767123295</v>
      </c>
      <c r="AC29" s="753">
        <v>93.252325136612029</v>
      </c>
      <c r="AD29" s="753">
        <v>96.3747397260274</v>
      </c>
      <c r="AE29" s="753">
        <v>101.64715890410957</v>
      </c>
      <c r="AF29" s="753">
        <v>108.79603287671235</v>
      </c>
      <c r="AG29" s="753">
        <v>112.91931693989071</v>
      </c>
      <c r="AH29" s="753">
        <v>123.51423013698633</v>
      </c>
      <c r="AI29" s="753">
        <v>116.75397260273974</v>
      </c>
      <c r="AJ29" s="753">
        <v>104.16662191780823</v>
      </c>
      <c r="AK29" s="753">
        <v>94.906133879781422</v>
      </c>
      <c r="AL29" s="753">
        <v>85.668610958904125</v>
      </c>
      <c r="AM29" s="753">
        <v>114.76688219178082</v>
      </c>
      <c r="AN29" s="753">
        <v>115.56920547945207</v>
      </c>
      <c r="AO29" s="753">
        <v>113.16259562841532</v>
      </c>
      <c r="AP29" s="753">
        <v>126.78149589041097</v>
      </c>
      <c r="AQ29" s="753">
        <v>119.68302739726028</v>
      </c>
      <c r="AR29" s="753">
        <v>121.5776202341096</v>
      </c>
      <c r="AS29" s="753">
        <v>108.33095053442622</v>
      </c>
      <c r="AT29" s="753">
        <v>94.862961262328753</v>
      </c>
      <c r="AU29" s="753">
        <v>105.94095080273974</v>
      </c>
      <c r="AV29" s="753">
        <v>110.09963248630139</v>
      </c>
      <c r="AW29" s="753">
        <v>111.64945790368851</v>
      </c>
      <c r="AX29" s="753">
        <v>114.13073137972602</v>
      </c>
      <c r="AY29" s="753">
        <v>119.58890892410959</v>
      </c>
      <c r="AZ29" s="753">
        <v>113.4675572673507</v>
      </c>
      <c r="BA29" s="753">
        <v>77.777254811371591</v>
      </c>
      <c r="BB29" s="754">
        <v>86.042492460274005</v>
      </c>
      <c r="BC29" s="755">
        <v>0.10626805573104359</v>
      </c>
      <c r="BD29" s="755">
        <v>-4.2184183249166729E-2</v>
      </c>
      <c r="BE29" s="755">
        <v>9.2869686400444602E-4</v>
      </c>
    </row>
    <row r="30" spans="1:57" x14ac:dyDescent="0.3">
      <c r="A30" s="3" t="s">
        <v>602</v>
      </c>
      <c r="B30" s="753" t="s">
        <v>915</v>
      </c>
      <c r="C30" s="753" t="s">
        <v>915</v>
      </c>
      <c r="D30" s="753" t="s">
        <v>915</v>
      </c>
      <c r="E30" s="753" t="s">
        <v>915</v>
      </c>
      <c r="F30" s="753" t="s">
        <v>915</v>
      </c>
      <c r="G30" s="753" t="s">
        <v>915</v>
      </c>
      <c r="H30" s="753">
        <v>6</v>
      </c>
      <c r="I30" s="753">
        <v>33</v>
      </c>
      <c r="J30" s="753">
        <v>32</v>
      </c>
      <c r="K30" s="753">
        <v>35</v>
      </c>
      <c r="L30" s="753">
        <v>189</v>
      </c>
      <c r="M30" s="753">
        <v>279</v>
      </c>
      <c r="N30" s="753">
        <v>287</v>
      </c>
      <c r="O30" s="753">
        <v>356</v>
      </c>
      <c r="P30" s="753">
        <v>407</v>
      </c>
      <c r="Q30" s="753">
        <v>528</v>
      </c>
      <c r="R30" s="753">
        <v>512</v>
      </c>
      <c r="S30" s="753">
        <v>532</v>
      </c>
      <c r="T30" s="753">
        <v>661</v>
      </c>
      <c r="U30" s="753">
        <v>752</v>
      </c>
      <c r="V30" s="753">
        <v>823</v>
      </c>
      <c r="W30" s="753">
        <v>907</v>
      </c>
      <c r="X30" s="753">
        <v>1054</v>
      </c>
      <c r="Y30" s="753">
        <v>1196</v>
      </c>
      <c r="Z30" s="753">
        <v>1567</v>
      </c>
      <c r="AA30" s="753">
        <v>1716</v>
      </c>
      <c r="AB30" s="753">
        <v>1955</v>
      </c>
      <c r="AC30" s="753">
        <v>2217</v>
      </c>
      <c r="AD30" s="753">
        <v>2377</v>
      </c>
      <c r="AE30" s="753">
        <v>2693</v>
      </c>
      <c r="AF30" s="753">
        <v>2903</v>
      </c>
      <c r="AG30" s="753">
        <v>3232</v>
      </c>
      <c r="AH30" s="753">
        <v>3280</v>
      </c>
      <c r="AI30" s="753">
        <v>3138</v>
      </c>
      <c r="AJ30" s="753">
        <v>3139</v>
      </c>
      <c r="AK30" s="753">
        <v>3346.0000000000005</v>
      </c>
      <c r="AL30" s="753">
        <v>3418</v>
      </c>
      <c r="AM30" s="753">
        <v>3333</v>
      </c>
      <c r="AN30" s="753">
        <v>3264</v>
      </c>
      <c r="AO30" s="753">
        <v>3179.8602217965599</v>
      </c>
      <c r="AP30" s="753">
        <v>2960.9223246449424</v>
      </c>
      <c r="AQ30" s="753">
        <v>2772.2465615792262</v>
      </c>
      <c r="AR30" s="753">
        <v>2550.5961641226086</v>
      </c>
      <c r="AS30" s="753">
        <v>2466.2823099496686</v>
      </c>
      <c r="AT30" s="753">
        <v>2349.1834136740881</v>
      </c>
      <c r="AU30" s="753">
        <v>2136.590085203241</v>
      </c>
      <c r="AV30" s="753">
        <v>2039.1672582888227</v>
      </c>
      <c r="AW30" s="753">
        <v>1917.3785690426996</v>
      </c>
      <c r="AX30" s="753">
        <v>1837.8101511249381</v>
      </c>
      <c r="AY30" s="753">
        <v>1888.8831903443436</v>
      </c>
      <c r="AZ30" s="753">
        <v>1945.9475069341017</v>
      </c>
      <c r="BA30" s="753">
        <v>1994.7421585197135</v>
      </c>
      <c r="BB30" s="754">
        <v>1968.8710065239734</v>
      </c>
      <c r="BC30" s="755">
        <v>-1.2969672238209884E-2</v>
      </c>
      <c r="BD30" s="755">
        <v>-3.23785407113234E-2</v>
      </c>
      <c r="BE30" s="755">
        <v>2.1250945632848864E-2</v>
      </c>
    </row>
    <row r="31" spans="1:57" x14ac:dyDescent="0.3">
      <c r="A31" s="3" t="s">
        <v>917</v>
      </c>
      <c r="B31" s="753">
        <v>265.77591780821916</v>
      </c>
      <c r="C31" s="753">
        <v>271.00205479452063</v>
      </c>
      <c r="D31" s="753">
        <v>278.84126027397264</v>
      </c>
      <c r="E31" s="753">
        <v>279.70040983606555</v>
      </c>
      <c r="F31" s="753">
        <v>281.08893150684929</v>
      </c>
      <c r="G31" s="753">
        <v>283.78430136986299</v>
      </c>
      <c r="H31" s="753">
        <v>292.34364383561643</v>
      </c>
      <c r="I31" s="753">
        <v>298.41879781420766</v>
      </c>
      <c r="J31" s="753">
        <v>303.93252054794522</v>
      </c>
      <c r="K31" s="753">
        <v>308.02701369863013</v>
      </c>
      <c r="L31" s="753">
        <v>311.30657534246575</v>
      </c>
      <c r="M31" s="753">
        <v>312.71311475409834</v>
      </c>
      <c r="N31" s="753">
        <v>312.54109589041099</v>
      </c>
      <c r="O31" s="753">
        <v>293.48832876712333</v>
      </c>
      <c r="P31" s="753">
        <v>264.66227397260275</v>
      </c>
      <c r="Q31" s="753">
        <v>250.11915300546451</v>
      </c>
      <c r="R31" s="753">
        <v>253.54093150684932</v>
      </c>
      <c r="S31" s="753">
        <v>255.55731506849318</v>
      </c>
      <c r="T31" s="753">
        <v>252.49158904109586</v>
      </c>
      <c r="U31" s="753">
        <v>248.92904371584697</v>
      </c>
      <c r="V31" s="753">
        <v>235.62789041095888</v>
      </c>
      <c r="W31" s="753">
        <v>223.42671232876714</v>
      </c>
      <c r="X31" s="753">
        <v>210.64942465753424</v>
      </c>
      <c r="Y31" s="753">
        <v>205.44095628415295</v>
      </c>
      <c r="Z31" s="753">
        <v>201.55953424657534</v>
      </c>
      <c r="AA31" s="753">
        <v>169.0478904109589</v>
      </c>
      <c r="AB31" s="753">
        <v>145.91016438356166</v>
      </c>
      <c r="AC31" s="753">
        <v>141.7580601092896</v>
      </c>
      <c r="AD31" s="753">
        <v>144.27679452054795</v>
      </c>
      <c r="AE31" s="753">
        <v>145.3689589041096</v>
      </c>
      <c r="AF31" s="753">
        <v>144.87197260273976</v>
      </c>
      <c r="AG31" s="753">
        <v>142.38158469945355</v>
      </c>
      <c r="AH31" s="753">
        <v>140.72841095890411</v>
      </c>
      <c r="AI31" s="753">
        <v>136.76216438356161</v>
      </c>
      <c r="AJ31" s="753">
        <v>133.14246575342466</v>
      </c>
      <c r="AK31" s="753">
        <v>131.74158469945354</v>
      </c>
      <c r="AL31" s="753">
        <v>130.8926301369863</v>
      </c>
      <c r="AM31" s="753">
        <v>127.86931506849317</v>
      </c>
      <c r="AN31" s="753">
        <v>123.86687671232875</v>
      </c>
      <c r="AO31" s="753">
        <v>119.77710382513659</v>
      </c>
      <c r="AP31" s="753">
        <v>114.35575342465752</v>
      </c>
      <c r="AQ31" s="753">
        <v>105.24841095890412</v>
      </c>
      <c r="AR31" s="753">
        <v>99.904712328767118</v>
      </c>
      <c r="AS31" s="753">
        <v>98.807704918032783</v>
      </c>
      <c r="AT31" s="753">
        <v>93.802904109589036</v>
      </c>
      <c r="AU31" s="753">
        <v>89.539945205479455</v>
      </c>
      <c r="AV31" s="753">
        <v>88.516301369863015</v>
      </c>
      <c r="AW31" s="753">
        <v>83.070491803278685</v>
      </c>
      <c r="AX31" s="753">
        <v>85.982821917808224</v>
      </c>
      <c r="AY31" s="753">
        <v>84.368575342465746</v>
      </c>
      <c r="AZ31" s="753">
        <v>83.494849315068493</v>
      </c>
      <c r="BA31" s="753">
        <v>79.31</v>
      </c>
      <c r="BB31" s="754">
        <v>75.547260273972597</v>
      </c>
      <c r="BC31" s="755">
        <v>-4.7443446299677228E-2</v>
      </c>
      <c r="BD31" s="755">
        <v>-2.7899334988546021E-2</v>
      </c>
      <c r="BE31" s="755">
        <v>8.1541691429916753E-4</v>
      </c>
    </row>
    <row r="32" spans="1:57" x14ac:dyDescent="0.3">
      <c r="A32" s="3" t="s">
        <v>879</v>
      </c>
      <c r="B32" s="753">
        <v>1.7398356164383564</v>
      </c>
      <c r="C32" s="753">
        <v>1.6155616438356164</v>
      </c>
      <c r="D32" s="753">
        <v>1.8433972602739723</v>
      </c>
      <c r="E32" s="753">
        <v>1.735081967213115</v>
      </c>
      <c r="F32" s="753">
        <v>1.7921095890410961</v>
      </c>
      <c r="G32" s="753">
        <v>3.5191232876712326</v>
      </c>
      <c r="H32" s="753">
        <v>4.8999452054794519</v>
      </c>
      <c r="I32" s="753">
        <v>7.8619672131147542</v>
      </c>
      <c r="J32" s="753">
        <v>8.8254246575342457</v>
      </c>
      <c r="K32" s="753">
        <v>9.762410958904109</v>
      </c>
      <c r="L32" s="753">
        <v>33.859397260273973</v>
      </c>
      <c r="M32" s="753">
        <v>254.43224043715844</v>
      </c>
      <c r="N32" s="753">
        <v>798.63342465753431</v>
      </c>
      <c r="O32" s="753">
        <v>1127.2792328767123</v>
      </c>
      <c r="P32" s="753">
        <v>1623.3987945205481</v>
      </c>
      <c r="Q32" s="753">
        <v>1676.1385792349727</v>
      </c>
      <c r="R32" s="753">
        <v>1867.7111232876712</v>
      </c>
      <c r="S32" s="753">
        <v>2166.7166027397261</v>
      </c>
      <c r="T32" s="753">
        <v>2422.0737534246573</v>
      </c>
      <c r="U32" s="753">
        <v>2652.1277595628412</v>
      </c>
      <c r="V32" s="753">
        <v>2695.4223561643835</v>
      </c>
      <c r="W32" s="753">
        <v>2690.9876164383559</v>
      </c>
      <c r="X32" s="753">
        <v>2612.3218630136985</v>
      </c>
      <c r="Y32" s="753">
        <v>2413.9010928961743</v>
      </c>
      <c r="Z32" s="753">
        <v>1943.2941369863011</v>
      </c>
      <c r="AA32" s="753">
        <v>1932.8096438356163</v>
      </c>
      <c r="AB32" s="753">
        <v>1933.555397260274</v>
      </c>
      <c r="AC32" s="753">
        <v>1995.8924590163931</v>
      </c>
      <c r="AD32" s="753">
        <v>2134.8367123287671</v>
      </c>
      <c r="AE32" s="753">
        <v>2694.4375890410956</v>
      </c>
      <c r="AF32" s="753">
        <v>2769.1562739726023</v>
      </c>
      <c r="AG32" s="753">
        <v>2755.0978142076501</v>
      </c>
      <c r="AH32" s="753">
        <v>2721.4492054794523</v>
      </c>
      <c r="AI32" s="753">
        <v>2834.5276712328741</v>
      </c>
      <c r="AJ32" s="753">
        <v>2931.5167123287674</v>
      </c>
      <c r="AK32" s="753">
        <v>2695.6278527792424</v>
      </c>
      <c r="AL32" s="753">
        <v>2503.2178981773022</v>
      </c>
      <c r="AM32" s="753">
        <v>2490.4373795613769</v>
      </c>
      <c r="AN32" s="753">
        <v>2283.2624281116068</v>
      </c>
      <c r="AO32" s="753">
        <v>2052.2165982904362</v>
      </c>
      <c r="AP32" s="753">
        <v>1834.0763798887776</v>
      </c>
      <c r="AQ32" s="753">
        <v>1658.8213751236467</v>
      </c>
      <c r="AR32" s="753">
        <v>1651.2422276086011</v>
      </c>
      <c r="AS32" s="753">
        <v>1548.7962723016863</v>
      </c>
      <c r="AT32" s="753">
        <v>1468.8879117512279</v>
      </c>
      <c r="AU32" s="753">
        <v>1355.5465767767421</v>
      </c>
      <c r="AV32" s="753">
        <v>1111.8552098269765</v>
      </c>
      <c r="AW32" s="753">
        <v>946.29050541129754</v>
      </c>
      <c r="AX32" s="753">
        <v>864.46828619993425</v>
      </c>
      <c r="AY32" s="753">
        <v>852.45963820564555</v>
      </c>
      <c r="AZ32" s="753">
        <v>963.41553065426001</v>
      </c>
      <c r="BA32" s="753">
        <v>1012.5808469945356</v>
      </c>
      <c r="BB32" s="754">
        <v>999.13270563193839</v>
      </c>
      <c r="BC32" s="755">
        <v>-1.3281054448652574E-2</v>
      </c>
      <c r="BD32" s="755">
        <v>-4.8162066831029526E-2</v>
      </c>
      <c r="BE32" s="755">
        <v>1.0784106595622713E-2</v>
      </c>
    </row>
    <row r="33" spans="1:57" x14ac:dyDescent="0.3">
      <c r="A33" s="3" t="s">
        <v>918</v>
      </c>
      <c r="B33" s="753">
        <v>470.47194520547947</v>
      </c>
      <c r="C33" s="753">
        <v>486.67797260273977</v>
      </c>
      <c r="D33" s="753">
        <v>506.99183561643849</v>
      </c>
      <c r="E33" s="753">
        <v>517.63767759562836</v>
      </c>
      <c r="F33" s="753">
        <v>530.04495890410965</v>
      </c>
      <c r="G33" s="753">
        <v>528.23695890410954</v>
      </c>
      <c r="H33" s="753">
        <v>509.31172602739719</v>
      </c>
      <c r="I33" s="753">
        <v>504.36866120218565</v>
      </c>
      <c r="J33" s="753">
        <v>509.14263013698627</v>
      </c>
      <c r="K33" s="753">
        <v>509.97432876712332</v>
      </c>
      <c r="L33" s="753">
        <v>507.72306849315072</v>
      </c>
      <c r="M33" s="753">
        <v>494.31199453551915</v>
      </c>
      <c r="N33" s="753">
        <v>481.7442465753424</v>
      </c>
      <c r="O33" s="753">
        <v>489.99369863013703</v>
      </c>
      <c r="P33" s="753">
        <v>508.77394520547938</v>
      </c>
      <c r="Q33" s="753">
        <v>484.20893442622952</v>
      </c>
      <c r="R33" s="753">
        <v>470.3364109589042</v>
      </c>
      <c r="S33" s="753">
        <v>493.03931506849329</v>
      </c>
      <c r="T33" s="753">
        <v>530.1069041095891</v>
      </c>
      <c r="U33" s="753">
        <v>531.81248633879784</v>
      </c>
      <c r="V33" s="753">
        <v>564.89545205479453</v>
      </c>
      <c r="W33" s="753">
        <v>575.3679178082192</v>
      </c>
      <c r="X33" s="753">
        <v>556.90753424657532</v>
      </c>
      <c r="Y33" s="753">
        <v>545.67377049180334</v>
      </c>
      <c r="Z33" s="753">
        <v>523.25394520547945</v>
      </c>
      <c r="AA33" s="753">
        <v>517.62457534246585</v>
      </c>
      <c r="AB33" s="753">
        <v>526.44950684931518</v>
      </c>
      <c r="AC33" s="753">
        <v>500.78890710382512</v>
      </c>
      <c r="AD33" s="753">
        <v>462.05772602739728</v>
      </c>
      <c r="AE33" s="753">
        <v>471.20972602739732</v>
      </c>
      <c r="AF33" s="753">
        <v>441.54419178082185</v>
      </c>
      <c r="AG33" s="753">
        <v>412.35516393442623</v>
      </c>
      <c r="AH33" s="753">
        <v>389.24997808219183</v>
      </c>
      <c r="AI33" s="753">
        <v>376.17196712328769</v>
      </c>
      <c r="AJ33" s="753">
        <v>347.28790947945203</v>
      </c>
      <c r="AK33" s="753">
        <v>340.16133346994536</v>
      </c>
      <c r="AL33" s="753">
        <v>338.87747306849309</v>
      </c>
      <c r="AM33" s="753">
        <v>352.7022392876712</v>
      </c>
      <c r="AN33" s="753">
        <v>352.12451627397252</v>
      </c>
      <c r="AO33" s="753">
        <v>336.39613196721314</v>
      </c>
      <c r="AP33" s="753">
        <v>312.69710143013697</v>
      </c>
      <c r="AQ33" s="753">
        <v>300.00689649315069</v>
      </c>
      <c r="AR33" s="753">
        <v>297.5137190410959</v>
      </c>
      <c r="AS33" s="753">
        <v>280.62946396174863</v>
      </c>
      <c r="AT33" s="753">
        <v>267.71176616438356</v>
      </c>
      <c r="AU33" s="753">
        <v>261.14131564383558</v>
      </c>
      <c r="AV33" s="753">
        <v>260.37774758904118</v>
      </c>
      <c r="AW33" s="753">
        <v>260.53755866120218</v>
      </c>
      <c r="AX33" s="753">
        <v>274.93515632876711</v>
      </c>
      <c r="AY33" s="753">
        <v>277.40511112328772</v>
      </c>
      <c r="AZ33" s="753">
        <v>274.1195890878019</v>
      </c>
      <c r="BA33" s="753">
        <v>260.18419911274526</v>
      </c>
      <c r="BB33" s="754">
        <v>250.91398637527647</v>
      </c>
      <c r="BC33" s="755">
        <v>-3.5629422421043166E-2</v>
      </c>
      <c r="BD33" s="755">
        <v>-1.4140631097640632E-2</v>
      </c>
      <c r="BE33" s="755">
        <v>2.7082320097730869E-3</v>
      </c>
    </row>
    <row r="34" spans="1:57" x14ac:dyDescent="0.3">
      <c r="A34" s="756" t="s">
        <v>919</v>
      </c>
      <c r="B34" s="757">
        <v>785.75397260273974</v>
      </c>
      <c r="C34" s="757">
        <v>798.37258082191784</v>
      </c>
      <c r="D34" s="757">
        <v>824.23623013698636</v>
      </c>
      <c r="E34" s="757">
        <v>833.65599453551897</v>
      </c>
      <c r="F34" s="757">
        <v>846.78723561643835</v>
      </c>
      <c r="G34" s="757">
        <v>847.4396849315068</v>
      </c>
      <c r="H34" s="757">
        <v>841.09333972602747</v>
      </c>
      <c r="I34" s="757">
        <v>871.12125136612008</v>
      </c>
      <c r="J34" s="757">
        <v>880.25704657534243</v>
      </c>
      <c r="K34" s="757">
        <v>888.13826849315058</v>
      </c>
      <c r="L34" s="757">
        <v>1071.7712301369861</v>
      </c>
      <c r="M34" s="757">
        <v>1372.6743934426231</v>
      </c>
      <c r="N34" s="757">
        <v>1917.0213068493151</v>
      </c>
      <c r="O34" s="757">
        <v>2306.1582958904105</v>
      </c>
      <c r="P34" s="757">
        <v>2848.0609123287672</v>
      </c>
      <c r="Q34" s="757">
        <v>2979.9613606557377</v>
      </c>
      <c r="R34" s="757">
        <v>3149.6337808219168</v>
      </c>
      <c r="S34" s="757">
        <v>3518.1517616438364</v>
      </c>
      <c r="T34" s="757">
        <v>3955.3997863013692</v>
      </c>
      <c r="U34" s="757">
        <v>4279.1309289617484</v>
      </c>
      <c r="V34" s="757">
        <v>4428.6308712328755</v>
      </c>
      <c r="W34" s="757">
        <v>4524.0523863013686</v>
      </c>
      <c r="X34" s="757">
        <v>4608.6882794520552</v>
      </c>
      <c r="Y34" s="757">
        <v>4557.2476748633862</v>
      </c>
      <c r="Z34" s="757">
        <v>4442.7823616438354</v>
      </c>
      <c r="AA34" s="757">
        <v>4553.4917780821925</v>
      </c>
      <c r="AB34" s="757">
        <v>4792.9415972602746</v>
      </c>
      <c r="AC34" s="757">
        <v>5105.6917513661192</v>
      </c>
      <c r="AD34" s="757">
        <v>5382.5459726027393</v>
      </c>
      <c r="AE34" s="757">
        <v>6290.6634328767113</v>
      </c>
      <c r="AF34" s="757">
        <v>6553.3684712328768</v>
      </c>
      <c r="AG34" s="757">
        <v>6862.7538797814223</v>
      </c>
      <c r="AH34" s="757">
        <v>6884.941824657536</v>
      </c>
      <c r="AI34" s="757">
        <v>6840.2157753424626</v>
      </c>
      <c r="AJ34" s="757">
        <v>6954.113709479454</v>
      </c>
      <c r="AK34" s="757">
        <v>6971.4369048284243</v>
      </c>
      <c r="AL34" s="757">
        <v>6824.656612341686</v>
      </c>
      <c r="AM34" s="757">
        <v>6789.7758161093197</v>
      </c>
      <c r="AN34" s="757">
        <v>6506.8230265773609</v>
      </c>
      <c r="AO34" s="757">
        <v>6191.4126515077605</v>
      </c>
      <c r="AP34" s="757">
        <v>5728.8085530871449</v>
      </c>
      <c r="AQ34" s="757">
        <v>5301.5448014152016</v>
      </c>
      <c r="AR34" s="757">
        <v>5032.1075365132629</v>
      </c>
      <c r="AS34" s="757">
        <v>4790.0752476491698</v>
      </c>
      <c r="AT34" s="757">
        <v>4539.2241711807947</v>
      </c>
      <c r="AU34" s="757">
        <v>4198.2184742895724</v>
      </c>
      <c r="AV34" s="757">
        <v>3834.5236668212801</v>
      </c>
      <c r="AW34" s="757">
        <v>3523.1619177675216</v>
      </c>
      <c r="AX34" s="757">
        <v>3355.5051358278865</v>
      </c>
      <c r="AY34" s="757">
        <v>3389.5458716384833</v>
      </c>
      <c r="AZ34" s="757">
        <v>3538.2441890941996</v>
      </c>
      <c r="BA34" s="757">
        <v>3566.2981787279828</v>
      </c>
      <c r="BB34" s="757">
        <v>3518.7537055942025</v>
      </c>
      <c r="BC34" s="758">
        <v>-1.3331603458558328E-2</v>
      </c>
      <c r="BD34" s="758">
        <v>-3.8871353549080667E-2</v>
      </c>
      <c r="BE34" s="758">
        <v>3.7979554498588419E-2</v>
      </c>
    </row>
    <row r="35" spans="1:57" x14ac:dyDescent="0.3">
      <c r="B35" s="753"/>
      <c r="C35" s="753"/>
      <c r="D35" s="753"/>
      <c r="E35" s="753"/>
      <c r="F35" s="753"/>
      <c r="G35" s="753"/>
      <c r="H35" s="753"/>
      <c r="I35" s="753"/>
      <c r="J35" s="753"/>
      <c r="K35" s="753"/>
      <c r="L35" s="753"/>
      <c r="M35" s="753"/>
      <c r="N35" s="753"/>
      <c r="O35" s="753"/>
      <c r="P35" s="753"/>
      <c r="Q35" s="753"/>
      <c r="R35" s="753"/>
      <c r="S35" s="753"/>
      <c r="T35" s="753"/>
      <c r="U35" s="753"/>
      <c r="V35" s="753"/>
      <c r="W35" s="753"/>
      <c r="X35" s="753"/>
      <c r="Y35" s="753"/>
      <c r="Z35" s="753"/>
      <c r="AA35" s="753"/>
      <c r="AB35" s="753"/>
      <c r="AC35" s="753"/>
      <c r="AD35" s="753"/>
      <c r="AE35" s="753"/>
      <c r="AF35" s="753"/>
      <c r="AG35" s="753"/>
      <c r="AH35" s="753"/>
      <c r="AI35" s="753"/>
      <c r="AJ35" s="753"/>
      <c r="AK35" s="753"/>
      <c r="AL35" s="753"/>
      <c r="AM35" s="753"/>
      <c r="AN35" s="753"/>
      <c r="AO35" s="753"/>
      <c r="AP35" s="753"/>
      <c r="AQ35" s="753"/>
      <c r="AR35" s="753"/>
      <c r="AS35" s="753"/>
      <c r="AT35" s="753"/>
      <c r="AU35" s="753"/>
      <c r="AV35" s="753"/>
      <c r="AW35" s="753"/>
      <c r="AX35" s="753"/>
      <c r="AY35" s="753"/>
      <c r="AZ35" s="753"/>
      <c r="BA35" s="753"/>
      <c r="BB35" s="754"/>
      <c r="BC35" s="755"/>
      <c r="BD35" s="755"/>
      <c r="BE35" s="755"/>
    </row>
    <row r="36" spans="1:57" x14ac:dyDescent="0.3">
      <c r="A36" s="3" t="s">
        <v>643</v>
      </c>
      <c r="B36" s="753" t="s">
        <v>915</v>
      </c>
      <c r="C36" s="753" t="s">
        <v>915</v>
      </c>
      <c r="D36" s="753" t="s">
        <v>915</v>
      </c>
      <c r="E36" s="753" t="s">
        <v>915</v>
      </c>
      <c r="F36" s="753" t="s">
        <v>915</v>
      </c>
      <c r="G36" s="753" t="s">
        <v>915</v>
      </c>
      <c r="H36" s="753" t="s">
        <v>915</v>
      </c>
      <c r="I36" s="753" t="s">
        <v>915</v>
      </c>
      <c r="J36" s="753" t="s">
        <v>915</v>
      </c>
      <c r="K36" s="753" t="s">
        <v>915</v>
      </c>
      <c r="L36" s="753" t="s">
        <v>915</v>
      </c>
      <c r="M36" s="753" t="s">
        <v>915</v>
      </c>
      <c r="N36" s="753" t="s">
        <v>915</v>
      </c>
      <c r="O36" s="753" t="s">
        <v>915</v>
      </c>
      <c r="P36" s="753" t="s">
        <v>915</v>
      </c>
      <c r="Q36" s="753" t="s">
        <v>915</v>
      </c>
      <c r="R36" s="753" t="s">
        <v>915</v>
      </c>
      <c r="S36" s="753" t="s">
        <v>915</v>
      </c>
      <c r="T36" s="753" t="s">
        <v>915</v>
      </c>
      <c r="U36" s="753" t="s">
        <v>915</v>
      </c>
      <c r="V36" s="753">
        <v>273.51780821917811</v>
      </c>
      <c r="W36" s="753">
        <v>268.38904109589043</v>
      </c>
      <c r="X36" s="753">
        <v>285.67397260273975</v>
      </c>
      <c r="Y36" s="753">
        <v>279.97814207650271</v>
      </c>
      <c r="Z36" s="753">
        <v>268.21095890410959</v>
      </c>
      <c r="AA36" s="753">
        <v>254.33150684931508</v>
      </c>
      <c r="AB36" s="753">
        <v>239.72057534246576</v>
      </c>
      <c r="AC36" s="753">
        <v>227.53718579234973</v>
      </c>
      <c r="AD36" s="753">
        <v>207.40408219178082</v>
      </c>
      <c r="AE36" s="753">
        <v>193.42175342465754</v>
      </c>
      <c r="AF36" s="753">
        <v>185.06852054794521</v>
      </c>
      <c r="AG36" s="753">
        <v>183.28939890710379</v>
      </c>
      <c r="AH36" s="753">
        <v>182.30657534246578</v>
      </c>
      <c r="AI36" s="753">
        <v>230.69561643835613</v>
      </c>
      <c r="AJ36" s="753">
        <v>278.71863013698629</v>
      </c>
      <c r="AK36" s="753">
        <v>281.18497267759557</v>
      </c>
      <c r="AL36" s="753">
        <v>300.15534246575339</v>
      </c>
      <c r="AM36" s="753">
        <v>307.03958904109589</v>
      </c>
      <c r="AN36" s="753">
        <v>307.93397260273969</v>
      </c>
      <c r="AO36" s="753">
        <v>308.65368852459022</v>
      </c>
      <c r="AP36" s="753">
        <v>444.91860273972605</v>
      </c>
      <c r="AQ36" s="753">
        <v>646.16668493150689</v>
      </c>
      <c r="AR36" s="753">
        <v>875.5329315068492</v>
      </c>
      <c r="AS36" s="753">
        <v>915.83112021857914</v>
      </c>
      <c r="AT36" s="753">
        <v>1026.6706575342466</v>
      </c>
      <c r="AU36" s="753">
        <v>1036.7168767123287</v>
      </c>
      <c r="AV36" s="753">
        <v>932.07580821917816</v>
      </c>
      <c r="AW36" s="753">
        <v>882.32122950819667</v>
      </c>
      <c r="AX36" s="753">
        <v>888.38132876712336</v>
      </c>
      <c r="AY36" s="753">
        <v>861.17535616438374</v>
      </c>
      <c r="AZ36" s="753">
        <v>850.84760273972597</v>
      </c>
      <c r="BA36" s="753">
        <v>837.52351092896197</v>
      </c>
      <c r="BB36" s="754">
        <v>794.52993150684938</v>
      </c>
      <c r="BC36" s="755">
        <v>-5.1334176128888687E-2</v>
      </c>
      <c r="BD36" s="755">
        <v>2.6278532353256168E-2</v>
      </c>
      <c r="BE36" s="755">
        <v>8.575733159854217E-3</v>
      </c>
    </row>
    <row r="37" spans="1:57" x14ac:dyDescent="0.3">
      <c r="A37" s="3" t="s">
        <v>619</v>
      </c>
      <c r="B37" s="753" t="s">
        <v>915</v>
      </c>
      <c r="C37" s="753" t="s">
        <v>915</v>
      </c>
      <c r="D37" s="753" t="s">
        <v>915</v>
      </c>
      <c r="E37" s="753" t="s">
        <v>915</v>
      </c>
      <c r="F37" s="753" t="s">
        <v>915</v>
      </c>
      <c r="G37" s="753" t="s">
        <v>915</v>
      </c>
      <c r="H37" s="753" t="s">
        <v>915</v>
      </c>
      <c r="I37" s="753" t="s">
        <v>915</v>
      </c>
      <c r="J37" s="753" t="s">
        <v>915</v>
      </c>
      <c r="K37" s="753" t="s">
        <v>915</v>
      </c>
      <c r="L37" s="753" t="s">
        <v>915</v>
      </c>
      <c r="M37" s="753" t="s">
        <v>915</v>
      </c>
      <c r="N37" s="753" t="s">
        <v>915</v>
      </c>
      <c r="O37" s="753" t="s">
        <v>915</v>
      </c>
      <c r="P37" s="753" t="s">
        <v>915</v>
      </c>
      <c r="Q37" s="753" t="s">
        <v>915</v>
      </c>
      <c r="R37" s="753" t="s">
        <v>915</v>
      </c>
      <c r="S37" s="753" t="s">
        <v>915</v>
      </c>
      <c r="T37" s="753" t="s">
        <v>915</v>
      </c>
      <c r="U37" s="753" t="s">
        <v>915</v>
      </c>
      <c r="V37" s="753">
        <v>484.76712328767127</v>
      </c>
      <c r="W37" s="753">
        <v>502.79369863013693</v>
      </c>
      <c r="X37" s="753">
        <v>523.06383561643827</v>
      </c>
      <c r="Y37" s="753">
        <v>545.08934426229507</v>
      </c>
      <c r="Z37" s="753">
        <v>556.38767123287676</v>
      </c>
      <c r="AA37" s="753">
        <v>570.74465753424658</v>
      </c>
      <c r="AB37" s="753">
        <v>588.68219178082188</v>
      </c>
      <c r="AC37" s="753">
        <v>568.88251366120221</v>
      </c>
      <c r="AD37" s="753">
        <v>507.35616438356163</v>
      </c>
      <c r="AE37" s="753">
        <v>445.85358904109592</v>
      </c>
      <c r="AF37" s="753">
        <v>450.43887671232881</v>
      </c>
      <c r="AG37" s="753">
        <v>493.12330601092896</v>
      </c>
      <c r="AH37" s="753">
        <v>556.87306849315075</v>
      </c>
      <c r="AI37" s="753">
        <v>558.49142465753425</v>
      </c>
      <c r="AJ37" s="753">
        <v>655.62652054794523</v>
      </c>
      <c r="AK37" s="753">
        <v>740.20792349726776</v>
      </c>
      <c r="AL37" s="753">
        <v>841.49024657534255</v>
      </c>
      <c r="AM37" s="753">
        <v>992.57799999999986</v>
      </c>
      <c r="AN37" s="753">
        <v>1080.6377726027399</v>
      </c>
      <c r="AO37" s="753">
        <v>1247.9324106595134</v>
      </c>
      <c r="AP37" s="753">
        <v>1294.5542530265291</v>
      </c>
      <c r="AQ37" s="753">
        <v>1369.8752460681417</v>
      </c>
      <c r="AR37" s="753">
        <v>1415.0232936392563</v>
      </c>
      <c r="AS37" s="753">
        <v>1485.2467924216437</v>
      </c>
      <c r="AT37" s="753">
        <v>1609.4813725997351</v>
      </c>
      <c r="AU37" s="753">
        <v>1675.7103457649628</v>
      </c>
      <c r="AV37" s="753">
        <v>1684.1450089901957</v>
      </c>
      <c r="AW37" s="753">
        <v>1664.1310341892636</v>
      </c>
      <c r="AX37" s="753">
        <v>1736.7022153836908</v>
      </c>
      <c r="AY37" s="753">
        <v>1709.566794932799</v>
      </c>
      <c r="AZ37" s="753">
        <v>1694.7578857313699</v>
      </c>
      <c r="BA37" s="753">
        <v>1654.9720762072739</v>
      </c>
      <c r="BB37" s="754">
        <v>1834.5145073839367</v>
      </c>
      <c r="BC37" s="755">
        <v>0.10848668310351384</v>
      </c>
      <c r="BD37" s="755">
        <v>1.9086304748490157E-2</v>
      </c>
      <c r="BE37" s="755">
        <v>1.9800773097835685E-2</v>
      </c>
    </row>
    <row r="38" spans="1:57" x14ac:dyDescent="0.3">
      <c r="A38" s="3" t="s">
        <v>920</v>
      </c>
      <c r="B38" s="753" t="s">
        <v>915</v>
      </c>
      <c r="C38" s="753" t="s">
        <v>915</v>
      </c>
      <c r="D38" s="753" t="s">
        <v>915</v>
      </c>
      <c r="E38" s="753" t="s">
        <v>915</v>
      </c>
      <c r="F38" s="753" t="s">
        <v>915</v>
      </c>
      <c r="G38" s="753" t="s">
        <v>915</v>
      </c>
      <c r="H38" s="753" t="s">
        <v>915</v>
      </c>
      <c r="I38" s="753" t="s">
        <v>915</v>
      </c>
      <c r="J38" s="753" t="s">
        <v>915</v>
      </c>
      <c r="K38" s="753" t="s">
        <v>915</v>
      </c>
      <c r="L38" s="753" t="s">
        <v>915</v>
      </c>
      <c r="M38" s="753" t="s">
        <v>915</v>
      </c>
      <c r="N38" s="753" t="s">
        <v>915</v>
      </c>
      <c r="O38" s="753" t="s">
        <v>915</v>
      </c>
      <c r="P38" s="753" t="s">
        <v>915</v>
      </c>
      <c r="Q38" s="753" t="s">
        <v>915</v>
      </c>
      <c r="R38" s="753" t="s">
        <v>915</v>
      </c>
      <c r="S38" s="753" t="s">
        <v>915</v>
      </c>
      <c r="T38" s="753" t="s">
        <v>915</v>
      </c>
      <c r="U38" s="753" t="s">
        <v>915</v>
      </c>
      <c r="V38" s="753">
        <v>10862.591671232878</v>
      </c>
      <c r="W38" s="753">
        <v>11246.881643835617</v>
      </c>
      <c r="X38" s="753">
        <v>11416.333424657534</v>
      </c>
      <c r="Y38" s="753">
        <v>11372.755355191257</v>
      </c>
      <c r="Z38" s="753">
        <v>11070.064109589041</v>
      </c>
      <c r="AA38" s="753">
        <v>10342.44312328767</v>
      </c>
      <c r="AB38" s="753">
        <v>9263.6959999999981</v>
      </c>
      <c r="AC38" s="753">
        <v>7978.1863387978146</v>
      </c>
      <c r="AD38" s="753">
        <v>7118.8562739726021</v>
      </c>
      <c r="AE38" s="753">
        <v>6370.724712328768</v>
      </c>
      <c r="AF38" s="753">
        <v>6235.776931506849</v>
      </c>
      <c r="AG38" s="753">
        <v>6061.591967213114</v>
      </c>
      <c r="AH38" s="753">
        <v>6170.6748493150681</v>
      </c>
      <c r="AI38" s="753">
        <v>6109.9982465753428</v>
      </c>
      <c r="AJ38" s="753">
        <v>6118.7800547945217</v>
      </c>
      <c r="AK38" s="753">
        <v>6583.5105040983617</v>
      </c>
      <c r="AL38" s="753">
        <v>7106.5920999999989</v>
      </c>
      <c r="AM38" s="753">
        <v>7755.6803076712331</v>
      </c>
      <c r="AN38" s="753">
        <v>8603.3646395616433</v>
      </c>
      <c r="AO38" s="753">
        <v>9335.6817427322421</v>
      </c>
      <c r="AP38" s="753">
        <v>9598.3408706118717</v>
      </c>
      <c r="AQ38" s="753">
        <v>9836.766523852275</v>
      </c>
      <c r="AR38" s="753">
        <v>10061.684398096566</v>
      </c>
      <c r="AS38" s="753">
        <v>9969.2536807156812</v>
      </c>
      <c r="AT38" s="753">
        <v>10157.218261579692</v>
      </c>
      <c r="AU38" s="753">
        <v>10382.658234880375</v>
      </c>
      <c r="AV38" s="753">
        <v>10538.208819037522</v>
      </c>
      <c r="AW38" s="753">
        <v>10660.076573075945</v>
      </c>
      <c r="AX38" s="753">
        <v>10808.925031415281</v>
      </c>
      <c r="AY38" s="753">
        <v>10860.461781547492</v>
      </c>
      <c r="AZ38" s="753">
        <v>11009.215690034542</v>
      </c>
      <c r="BA38" s="753">
        <v>11269.38422913959</v>
      </c>
      <c r="BB38" s="754">
        <v>11257.263379441398</v>
      </c>
      <c r="BC38" s="755">
        <v>-1.0755556338962746E-3</v>
      </c>
      <c r="BD38" s="755">
        <v>1.368911319228272E-2</v>
      </c>
      <c r="BE38" s="755">
        <v>0.12150490878197445</v>
      </c>
    </row>
    <row r="39" spans="1:57" x14ac:dyDescent="0.3">
      <c r="A39" s="3" t="s">
        <v>644</v>
      </c>
      <c r="B39" s="753" t="s">
        <v>915</v>
      </c>
      <c r="C39" s="753" t="s">
        <v>915</v>
      </c>
      <c r="D39" s="753" t="s">
        <v>915</v>
      </c>
      <c r="E39" s="753" t="s">
        <v>915</v>
      </c>
      <c r="F39" s="753" t="s">
        <v>915</v>
      </c>
      <c r="G39" s="753" t="s">
        <v>915</v>
      </c>
      <c r="H39" s="753" t="s">
        <v>915</v>
      </c>
      <c r="I39" s="753" t="s">
        <v>915</v>
      </c>
      <c r="J39" s="753" t="s">
        <v>915</v>
      </c>
      <c r="K39" s="753" t="s">
        <v>915</v>
      </c>
      <c r="L39" s="753" t="s">
        <v>915</v>
      </c>
      <c r="M39" s="753" t="s">
        <v>915</v>
      </c>
      <c r="N39" s="753" t="s">
        <v>915</v>
      </c>
      <c r="O39" s="753" t="s">
        <v>915</v>
      </c>
      <c r="P39" s="753" t="s">
        <v>915</v>
      </c>
      <c r="Q39" s="753" t="s">
        <v>915</v>
      </c>
      <c r="R39" s="753" t="s">
        <v>915</v>
      </c>
      <c r="S39" s="753" t="s">
        <v>915</v>
      </c>
      <c r="T39" s="753" t="s">
        <v>915</v>
      </c>
      <c r="U39" s="753" t="s">
        <v>915</v>
      </c>
      <c r="V39" s="753">
        <v>142.22465753424657</v>
      </c>
      <c r="W39" s="753">
        <v>137.56986301369864</v>
      </c>
      <c r="X39" s="753">
        <v>135.43013698630133</v>
      </c>
      <c r="Y39" s="753">
        <v>120.10109289617486</v>
      </c>
      <c r="Z39" s="753">
        <v>121.03013698630136</v>
      </c>
      <c r="AA39" s="753">
        <v>119.52054794520546</v>
      </c>
      <c r="AB39" s="753">
        <v>113.0958904109589</v>
      </c>
      <c r="AC39" s="753">
        <v>108.79781420765029</v>
      </c>
      <c r="AD39" s="753">
        <v>91.597808219178077</v>
      </c>
      <c r="AE39" s="753">
        <v>86.608767123287677</v>
      </c>
      <c r="AF39" s="753">
        <v>83.863013698630127</v>
      </c>
      <c r="AG39" s="753">
        <v>89.657103825136616</v>
      </c>
      <c r="AH39" s="753">
        <v>108.353698630137</v>
      </c>
      <c r="AI39" s="753">
        <v>128.63698630136986</v>
      </c>
      <c r="AJ39" s="753">
        <v>142.64438356164388</v>
      </c>
      <c r="AK39" s="753">
        <v>141.80457923497269</v>
      </c>
      <c r="AL39" s="753">
        <v>159.12799999999999</v>
      </c>
      <c r="AM39" s="753">
        <v>178.91000000000003</v>
      </c>
      <c r="AN39" s="753">
        <v>199.68299999999999</v>
      </c>
      <c r="AO39" s="753">
        <v>193.08593989071036</v>
      </c>
      <c r="AP39" s="753">
        <v>189.78898849315067</v>
      </c>
      <c r="AQ39" s="753">
        <v>175.69804999999999</v>
      </c>
      <c r="AR39" s="753">
        <v>204.41767762619372</v>
      </c>
      <c r="AS39" s="753">
        <v>222.38364955816979</v>
      </c>
      <c r="AT39" s="753">
        <v>217.5284519326967</v>
      </c>
      <c r="AU39" s="753">
        <v>212.37645875397914</v>
      </c>
      <c r="AV39" s="753">
        <v>215.22356398362894</v>
      </c>
      <c r="AW39" s="753">
        <v>224.60981183456724</v>
      </c>
      <c r="AX39" s="753">
        <v>231.79418995907236</v>
      </c>
      <c r="AY39" s="753">
        <v>240.79368152796724</v>
      </c>
      <c r="AZ39" s="753">
        <v>261.07654177353345</v>
      </c>
      <c r="BA39" s="753">
        <v>252.81946032742152</v>
      </c>
      <c r="BB39" s="754">
        <v>257.70017540927694</v>
      </c>
      <c r="BC39" s="755">
        <v>1.9305140021794509E-2</v>
      </c>
      <c r="BD39" s="755">
        <v>3.7061127695134033E-2</v>
      </c>
      <c r="BE39" s="755">
        <v>2.7814785219813123E-3</v>
      </c>
    </row>
    <row r="40" spans="1:57" x14ac:dyDescent="0.3">
      <c r="A40" s="3" t="s">
        <v>921</v>
      </c>
      <c r="B40" s="753">
        <v>4857.7599999999993</v>
      </c>
      <c r="C40" s="753">
        <v>5302</v>
      </c>
      <c r="D40" s="753">
        <v>5762</v>
      </c>
      <c r="E40" s="753">
        <v>6167.1038251366117</v>
      </c>
      <c r="F40" s="753">
        <v>6566</v>
      </c>
      <c r="G40" s="753">
        <v>7126.7463013698634</v>
      </c>
      <c r="H40" s="753">
        <v>7610.4591780821929</v>
      </c>
      <c r="I40" s="753">
        <v>8064.1284153005463</v>
      </c>
      <c r="J40" s="753">
        <v>8664.4219178082203</v>
      </c>
      <c r="K40" s="753">
        <v>9270.4054794520544</v>
      </c>
      <c r="L40" s="753">
        <v>9915.9843835616448</v>
      </c>
      <c r="M40" s="753">
        <v>10465.595901639346</v>
      </c>
      <c r="N40" s="753">
        <v>11009.914246575343</v>
      </c>
      <c r="O40" s="753">
        <v>11530.754246575343</v>
      </c>
      <c r="P40" s="753">
        <v>11805.424657534246</v>
      </c>
      <c r="Q40" s="753">
        <v>12116.414480874319</v>
      </c>
      <c r="R40" s="753">
        <v>12260.252876712331</v>
      </c>
      <c r="S40" s="753">
        <v>12329.785479452054</v>
      </c>
      <c r="T40" s="753">
        <v>12403.434246575343</v>
      </c>
      <c r="U40" s="753">
        <v>12296.677049180327</v>
      </c>
      <c r="V40" s="753" t="s">
        <v>915</v>
      </c>
      <c r="W40" s="753" t="s">
        <v>915</v>
      </c>
      <c r="X40" s="753" t="s">
        <v>915</v>
      </c>
      <c r="Y40" s="753" t="s">
        <v>915</v>
      </c>
      <c r="Z40" s="753" t="s">
        <v>915</v>
      </c>
      <c r="AA40" s="753" t="s">
        <v>915</v>
      </c>
      <c r="AB40" s="753" t="s">
        <v>915</v>
      </c>
      <c r="AC40" s="753" t="s">
        <v>915</v>
      </c>
      <c r="AD40" s="753" t="s">
        <v>915</v>
      </c>
      <c r="AE40" s="753" t="s">
        <v>915</v>
      </c>
      <c r="AF40" s="753" t="s">
        <v>915</v>
      </c>
      <c r="AG40" s="753" t="s">
        <v>915</v>
      </c>
      <c r="AH40" s="753" t="s">
        <v>915</v>
      </c>
      <c r="AI40" s="753" t="s">
        <v>915</v>
      </c>
      <c r="AJ40" s="753" t="s">
        <v>915</v>
      </c>
      <c r="AK40" s="753" t="s">
        <v>915</v>
      </c>
      <c r="AL40" s="753" t="s">
        <v>915</v>
      </c>
      <c r="AM40" s="753" t="s">
        <v>915</v>
      </c>
      <c r="AN40" s="753" t="s">
        <v>915</v>
      </c>
      <c r="AO40" s="753" t="s">
        <v>915</v>
      </c>
      <c r="AP40" s="753" t="s">
        <v>915</v>
      </c>
      <c r="AQ40" s="753" t="s">
        <v>915</v>
      </c>
      <c r="AR40" s="753" t="s">
        <v>915</v>
      </c>
      <c r="AS40" s="753" t="s">
        <v>915</v>
      </c>
      <c r="AT40" s="753" t="s">
        <v>915</v>
      </c>
      <c r="AU40" s="753" t="s">
        <v>915</v>
      </c>
      <c r="AV40" s="753" t="s">
        <v>915</v>
      </c>
      <c r="AW40" s="753" t="s">
        <v>915</v>
      </c>
      <c r="AX40" s="753" t="s">
        <v>915</v>
      </c>
      <c r="AY40" s="753" t="s">
        <v>915</v>
      </c>
      <c r="AZ40" s="753" t="s">
        <v>915</v>
      </c>
      <c r="BA40" s="753" t="s">
        <v>915</v>
      </c>
      <c r="BB40" s="754" t="s">
        <v>915</v>
      </c>
      <c r="BC40" s="755" t="s">
        <v>915</v>
      </c>
      <c r="BD40" s="755" t="s">
        <v>915</v>
      </c>
      <c r="BE40" s="755" t="s">
        <v>915</v>
      </c>
    </row>
    <row r="41" spans="1:57" x14ac:dyDescent="0.3">
      <c r="A41" s="3" t="s">
        <v>922</v>
      </c>
      <c r="B41" s="753" t="s">
        <v>915</v>
      </c>
      <c r="C41" s="753" t="s">
        <v>915</v>
      </c>
      <c r="D41" s="753" t="s">
        <v>915</v>
      </c>
      <c r="E41" s="753" t="s">
        <v>915</v>
      </c>
      <c r="F41" s="753" t="s">
        <v>915</v>
      </c>
      <c r="G41" s="753" t="s">
        <v>915</v>
      </c>
      <c r="H41" s="753" t="s">
        <v>915</v>
      </c>
      <c r="I41" s="753" t="s">
        <v>915</v>
      </c>
      <c r="J41" s="753" t="s">
        <v>915</v>
      </c>
      <c r="K41" s="753" t="s">
        <v>915</v>
      </c>
      <c r="L41" s="753" t="s">
        <v>915</v>
      </c>
      <c r="M41" s="753" t="s">
        <v>915</v>
      </c>
      <c r="N41" s="753" t="s">
        <v>915</v>
      </c>
      <c r="O41" s="753" t="s">
        <v>915</v>
      </c>
      <c r="P41" s="753" t="s">
        <v>915</v>
      </c>
      <c r="Q41" s="753" t="s">
        <v>915</v>
      </c>
      <c r="R41" s="753" t="s">
        <v>915</v>
      </c>
      <c r="S41" s="753" t="s">
        <v>915</v>
      </c>
      <c r="T41" s="753" t="s">
        <v>915</v>
      </c>
      <c r="U41" s="753" t="s">
        <v>915</v>
      </c>
      <c r="V41" s="753">
        <v>54.608219178082194</v>
      </c>
      <c r="W41" s="753">
        <v>60.62191780821918</v>
      </c>
      <c r="X41" s="753">
        <v>64.271232876712332</v>
      </c>
      <c r="Y41" s="753">
        <v>60.355191256830608</v>
      </c>
      <c r="Z41" s="753">
        <v>66.484931506849307</v>
      </c>
      <c r="AA41" s="753">
        <v>68.9945205479452</v>
      </c>
      <c r="AB41" s="753">
        <v>68.739726027397268</v>
      </c>
      <c r="AC41" s="753">
        <v>79.37158469945355</v>
      </c>
      <c r="AD41" s="753">
        <v>93.575068493150695</v>
      </c>
      <c r="AE41" s="753">
        <v>124.28575342465753</v>
      </c>
      <c r="AF41" s="753">
        <v>172.29342465753422</v>
      </c>
      <c r="AG41" s="753">
        <v>173.54016393442623</v>
      </c>
      <c r="AH41" s="753">
        <v>181.50739726027399</v>
      </c>
      <c r="AI41" s="753">
        <v>191.45397260273973</v>
      </c>
      <c r="AJ41" s="753">
        <v>190.87671232876713</v>
      </c>
      <c r="AK41" s="753">
        <v>158.77049180327867</v>
      </c>
      <c r="AL41" s="753">
        <v>152.7858904109589</v>
      </c>
      <c r="AM41" s="753">
        <v>152.99287671232878</v>
      </c>
      <c r="AN41" s="753">
        <v>150.58232876712327</v>
      </c>
      <c r="AO41" s="753">
        <v>138.41284153005466</v>
      </c>
      <c r="AP41" s="753">
        <v>114.78808219178083</v>
      </c>
      <c r="AQ41" s="753">
        <v>113.87260273972603</v>
      </c>
      <c r="AR41" s="753">
        <v>103.8127501369863</v>
      </c>
      <c r="AS41" s="753">
        <v>101.83087431693988</v>
      </c>
      <c r="AT41" s="753">
        <v>95.210136986301364</v>
      </c>
      <c r="AU41" s="753">
        <v>77.715475068493149</v>
      </c>
      <c r="AV41" s="753">
        <v>76.578904109589047</v>
      </c>
      <c r="AW41" s="753">
        <v>67.728688524590154</v>
      </c>
      <c r="AX41" s="753">
        <v>63.289426716004499</v>
      </c>
      <c r="AY41" s="753">
        <v>61.307613334335386</v>
      </c>
      <c r="AZ41" s="753">
        <v>59.456249672779109</v>
      </c>
      <c r="BA41" s="753">
        <v>57.738655357076233</v>
      </c>
      <c r="BB41" s="754">
        <v>54.233460595384969</v>
      </c>
      <c r="BC41" s="755">
        <v>-6.0707938901831016E-2</v>
      </c>
      <c r="BD41" s="755">
        <v>-6.5660430227901134E-2</v>
      </c>
      <c r="BE41" s="755">
        <v>5.8536710570416129E-4</v>
      </c>
    </row>
    <row r="42" spans="1:57" x14ac:dyDescent="0.3">
      <c r="A42" s="3" t="s">
        <v>923</v>
      </c>
      <c r="B42" s="753">
        <v>0</v>
      </c>
      <c r="C42" s="753">
        <v>0</v>
      </c>
      <c r="D42" s="753">
        <v>0</v>
      </c>
      <c r="E42" s="753">
        <v>0</v>
      </c>
      <c r="F42" s="753">
        <v>0</v>
      </c>
      <c r="G42" s="753">
        <v>0</v>
      </c>
      <c r="H42" s="753">
        <v>0</v>
      </c>
      <c r="I42" s="753">
        <v>0</v>
      </c>
      <c r="J42" s="753">
        <v>0</v>
      </c>
      <c r="K42" s="753">
        <v>0</v>
      </c>
      <c r="L42" s="753">
        <v>0</v>
      </c>
      <c r="M42" s="753">
        <v>0</v>
      </c>
      <c r="N42" s="753">
        <v>0</v>
      </c>
      <c r="O42" s="753">
        <v>0</v>
      </c>
      <c r="P42" s="753">
        <v>0</v>
      </c>
      <c r="Q42" s="753">
        <v>0</v>
      </c>
      <c r="R42" s="753">
        <v>0</v>
      </c>
      <c r="S42" s="753">
        <v>0</v>
      </c>
      <c r="T42" s="753">
        <v>0</v>
      </c>
      <c r="U42" s="753">
        <v>0</v>
      </c>
      <c r="V42" s="753">
        <v>189.2301369863014</v>
      </c>
      <c r="W42" s="753">
        <v>182.75068493150684</v>
      </c>
      <c r="X42" s="753">
        <v>178.81095890410961</v>
      </c>
      <c r="Y42" s="753">
        <v>167.10382513661202</v>
      </c>
      <c r="Z42" s="753">
        <v>168.06575342465754</v>
      </c>
      <c r="AA42" s="753">
        <v>163.01698630136985</v>
      </c>
      <c r="AB42" s="753">
        <v>152.54246575342466</v>
      </c>
      <c r="AC42" s="753">
        <v>142.12377049180327</v>
      </c>
      <c r="AD42" s="753">
        <v>135.99726027397259</v>
      </c>
      <c r="AE42" s="753">
        <v>134.03632876712328</v>
      </c>
      <c r="AF42" s="753">
        <v>130.49602739726026</v>
      </c>
      <c r="AG42" s="753">
        <v>130.88852459016397</v>
      </c>
      <c r="AH42" s="753">
        <v>132.12093150684933</v>
      </c>
      <c r="AI42" s="753">
        <v>126.82926027397261</v>
      </c>
      <c r="AJ42" s="753">
        <v>124.25402739726027</v>
      </c>
      <c r="AK42" s="753">
        <v>118.97144262295083</v>
      </c>
      <c r="AL42" s="753">
        <v>120.25175342465755</v>
      </c>
      <c r="AM42" s="753">
        <v>121.14615068493151</v>
      </c>
      <c r="AN42" s="753">
        <v>125.69798630136984</v>
      </c>
      <c r="AO42" s="753">
        <v>132.4708743169399</v>
      </c>
      <c r="AP42" s="753">
        <v>134.94572602739726</v>
      </c>
      <c r="AQ42" s="753">
        <v>134.69730136986303</v>
      </c>
      <c r="AR42" s="753">
        <v>135.02421917808218</v>
      </c>
      <c r="AS42" s="753">
        <v>130.74328688524591</v>
      </c>
      <c r="AT42" s="753">
        <v>125.84580821917808</v>
      </c>
      <c r="AU42" s="753">
        <v>117.20831506849315</v>
      </c>
      <c r="AV42" s="753">
        <v>110.9268082191781</v>
      </c>
      <c r="AW42" s="753">
        <v>110.50638524590165</v>
      </c>
      <c r="AX42" s="753">
        <v>104.6801506849315</v>
      </c>
      <c r="AY42" s="753">
        <v>96.861123287671234</v>
      </c>
      <c r="AZ42" s="753">
        <v>91.035805479452051</v>
      </c>
      <c r="BA42" s="753">
        <v>89.272831366120215</v>
      </c>
      <c r="BB42" s="754">
        <v>89.976387424657531</v>
      </c>
      <c r="BC42" s="755">
        <v>7.8809649898068379E-3</v>
      </c>
      <c r="BD42" s="755">
        <v>-4.0298792090623925E-2</v>
      </c>
      <c r="BE42" s="755">
        <v>9.7115723227460791E-4</v>
      </c>
    </row>
    <row r="43" spans="1:57" x14ac:dyDescent="0.3">
      <c r="A43" s="756" t="s">
        <v>924</v>
      </c>
      <c r="B43" s="757">
        <v>4857.7599999999993</v>
      </c>
      <c r="C43" s="757">
        <v>5302</v>
      </c>
      <c r="D43" s="757">
        <v>5762</v>
      </c>
      <c r="E43" s="757">
        <v>6167.1038251366117</v>
      </c>
      <c r="F43" s="757">
        <v>6566</v>
      </c>
      <c r="G43" s="757">
        <v>7126.7463013698634</v>
      </c>
      <c r="H43" s="757">
        <v>7610.4591780821929</v>
      </c>
      <c r="I43" s="757">
        <v>8064.1284153005463</v>
      </c>
      <c r="J43" s="757">
        <v>8664.4219178082203</v>
      </c>
      <c r="K43" s="757">
        <v>9270.4054794520544</v>
      </c>
      <c r="L43" s="757">
        <v>9915.9843835616448</v>
      </c>
      <c r="M43" s="757">
        <v>10465.595901639346</v>
      </c>
      <c r="N43" s="757">
        <v>11009.914246575343</v>
      </c>
      <c r="O43" s="757">
        <v>11530.754246575343</v>
      </c>
      <c r="P43" s="757">
        <v>11805.424657534246</v>
      </c>
      <c r="Q43" s="757">
        <v>12116.414480874319</v>
      </c>
      <c r="R43" s="757">
        <v>12260.252876712331</v>
      </c>
      <c r="S43" s="757">
        <v>12329.785479452054</v>
      </c>
      <c r="T43" s="757">
        <v>12403.434246575343</v>
      </c>
      <c r="U43" s="757">
        <v>12296.677049180327</v>
      </c>
      <c r="V43" s="757">
        <v>12006.939616438356</v>
      </c>
      <c r="W43" s="757">
        <v>12399.00684931507</v>
      </c>
      <c r="X43" s="757">
        <v>12603.583561643834</v>
      </c>
      <c r="Y43" s="757">
        <v>12545.382950819674</v>
      </c>
      <c r="Z43" s="757">
        <v>12250.243561643836</v>
      </c>
      <c r="AA43" s="757">
        <v>11519.051342465753</v>
      </c>
      <c r="AB43" s="757">
        <v>10426.476849315068</v>
      </c>
      <c r="AC43" s="757">
        <v>9104.8992076502727</v>
      </c>
      <c r="AD43" s="757">
        <v>8154.7866575342459</v>
      </c>
      <c r="AE43" s="757">
        <v>7354.9309041095903</v>
      </c>
      <c r="AF43" s="757">
        <v>7257.9367945205477</v>
      </c>
      <c r="AG43" s="757">
        <v>7132.0904644808734</v>
      </c>
      <c r="AH43" s="757">
        <v>7331.8365205479458</v>
      </c>
      <c r="AI43" s="757">
        <v>7346.1055068493151</v>
      </c>
      <c r="AJ43" s="757">
        <v>7510.9003287671248</v>
      </c>
      <c r="AK43" s="757">
        <v>8024.449913934428</v>
      </c>
      <c r="AL43" s="757">
        <v>8680.4033328767127</v>
      </c>
      <c r="AM43" s="757">
        <v>9508.34692410959</v>
      </c>
      <c r="AN43" s="757">
        <v>10467.899699835616</v>
      </c>
      <c r="AO43" s="757">
        <v>11356.23749765405</v>
      </c>
      <c r="AP43" s="757">
        <v>11777.336523090455</v>
      </c>
      <c r="AQ43" s="757">
        <v>12277.076408961513</v>
      </c>
      <c r="AR43" s="757">
        <v>12795.495270183934</v>
      </c>
      <c r="AS43" s="757">
        <v>12825.28940411626</v>
      </c>
      <c r="AT43" s="757">
        <v>13231.954688851849</v>
      </c>
      <c r="AU43" s="757">
        <v>13502.385706248631</v>
      </c>
      <c r="AV43" s="757">
        <v>13557.158912559293</v>
      </c>
      <c r="AW43" s="757">
        <v>13609.373722378463</v>
      </c>
      <c r="AX43" s="757">
        <v>13833.772342926104</v>
      </c>
      <c r="AY43" s="757">
        <v>13830.166350794647</v>
      </c>
      <c r="AZ43" s="757">
        <v>13966.389775431402</v>
      </c>
      <c r="BA43" s="757">
        <v>14161.710763326446</v>
      </c>
      <c r="BB43" s="757">
        <v>14288.217841761501</v>
      </c>
      <c r="BC43" s="758">
        <v>8.9330364494282222E-3</v>
      </c>
      <c r="BD43" s="758">
        <v>1.4383265951561031E-2</v>
      </c>
      <c r="BE43" s="758">
        <v>0.15421941789962443</v>
      </c>
    </row>
    <row r="44" spans="1:57" x14ac:dyDescent="0.3">
      <c r="B44" s="753"/>
      <c r="C44" s="753"/>
      <c r="D44" s="753"/>
      <c r="E44" s="753"/>
      <c r="F44" s="753"/>
      <c r="G44" s="753"/>
      <c r="H44" s="753"/>
      <c r="I44" s="753"/>
      <c r="J44" s="753"/>
      <c r="K44" s="753"/>
      <c r="L44" s="753"/>
      <c r="M44" s="753"/>
      <c r="N44" s="753"/>
      <c r="O44" s="753"/>
      <c r="P44" s="753"/>
      <c r="Q44" s="753"/>
      <c r="R44" s="753"/>
      <c r="S44" s="753"/>
      <c r="T44" s="753"/>
      <c r="U44" s="753"/>
      <c r="V44" s="753"/>
      <c r="W44" s="753"/>
      <c r="X44" s="753"/>
      <c r="Y44" s="753"/>
      <c r="Z44" s="753"/>
      <c r="AA44" s="753"/>
      <c r="AB44" s="753"/>
      <c r="AC44" s="753"/>
      <c r="AD44" s="753"/>
      <c r="AE44" s="753"/>
      <c r="AF44" s="753"/>
      <c r="AG44" s="753"/>
      <c r="AH44" s="753"/>
      <c r="AI44" s="753"/>
      <c r="AJ44" s="753"/>
      <c r="AK44" s="753"/>
      <c r="AL44" s="753"/>
      <c r="AM44" s="753"/>
      <c r="AN44" s="753"/>
      <c r="AO44" s="753"/>
      <c r="AP44" s="753"/>
      <c r="AQ44" s="753"/>
      <c r="AR44" s="753"/>
      <c r="AS44" s="753"/>
      <c r="AT44" s="753"/>
      <c r="AU44" s="753"/>
      <c r="AV44" s="753"/>
      <c r="AW44" s="753"/>
      <c r="AX44" s="753"/>
      <c r="AY44" s="753"/>
      <c r="AZ44" s="753"/>
      <c r="BA44" s="753"/>
      <c r="BB44" s="754"/>
      <c r="BC44" s="755"/>
      <c r="BD44" s="755"/>
      <c r="BE44" s="755"/>
    </row>
    <row r="45" spans="1:57" x14ac:dyDescent="0.3">
      <c r="A45" s="3" t="s">
        <v>612</v>
      </c>
      <c r="B45" s="753">
        <v>1908</v>
      </c>
      <c r="C45" s="753">
        <v>2132</v>
      </c>
      <c r="D45" s="753">
        <v>2603</v>
      </c>
      <c r="E45" s="753">
        <v>2840</v>
      </c>
      <c r="F45" s="753">
        <v>3376</v>
      </c>
      <c r="G45" s="753">
        <v>3847.6597260273975</v>
      </c>
      <c r="H45" s="753">
        <v>4572.4219178082194</v>
      </c>
      <c r="I45" s="753">
        <v>5058.9573770491806</v>
      </c>
      <c r="J45" s="753">
        <v>5907.3758904109582</v>
      </c>
      <c r="K45" s="753">
        <v>6060.3013698630139</v>
      </c>
      <c r="L45" s="753">
        <v>5386.6191780821919</v>
      </c>
      <c r="M45" s="753">
        <v>5918.1912568306016</v>
      </c>
      <c r="N45" s="753">
        <v>5713.9589041095887</v>
      </c>
      <c r="O45" s="753">
        <v>5302.0547945205481</v>
      </c>
      <c r="P45" s="753">
        <v>3217.5890410958905</v>
      </c>
      <c r="Q45" s="753">
        <v>1478.9617486338798</v>
      </c>
      <c r="R45" s="753">
        <v>1321.0312328767122</v>
      </c>
      <c r="S45" s="753">
        <v>2396.9243835616435</v>
      </c>
      <c r="T45" s="753">
        <v>2453.5846575342466</v>
      </c>
      <c r="U45" s="753">
        <v>2042.5355191256831</v>
      </c>
      <c r="V45" s="753">
        <v>2205.205479452055</v>
      </c>
      <c r="W45" s="753">
        <v>2054.2383561643837</v>
      </c>
      <c r="X45" s="753">
        <v>2342.4383561643835</v>
      </c>
      <c r="Y45" s="753">
        <v>2349.4808743169397</v>
      </c>
      <c r="Z45" s="753">
        <v>2894.3419178082195</v>
      </c>
      <c r="AA45" s="753">
        <v>3270.1780821917805</v>
      </c>
      <c r="AB45" s="753">
        <v>3499.5616438356165</v>
      </c>
      <c r="AC45" s="753">
        <v>3523.0163934426228</v>
      </c>
      <c r="AD45" s="753">
        <v>3712.1643835616437</v>
      </c>
      <c r="AE45" s="753">
        <v>3730.027397260274</v>
      </c>
      <c r="AF45" s="753">
        <v>3743.7742465753427</v>
      </c>
      <c r="AG45" s="753">
        <v>3758.5792349726776</v>
      </c>
      <c r="AH45" s="753">
        <v>3776.4630136986298</v>
      </c>
      <c r="AI45" s="753">
        <v>3854.7479452054795</v>
      </c>
      <c r="AJ45" s="753">
        <v>3603.3561643835615</v>
      </c>
      <c r="AK45" s="753">
        <v>3852.3220809999998</v>
      </c>
      <c r="AL45" s="753">
        <v>3825.4062050000002</v>
      </c>
      <c r="AM45" s="753">
        <v>3617.8311779999999</v>
      </c>
      <c r="AN45" s="753">
        <v>4084.7249729999999</v>
      </c>
      <c r="AO45" s="753">
        <v>4217.3684430000003</v>
      </c>
      <c r="AP45" s="753">
        <v>4218.2374519999994</v>
      </c>
      <c r="AQ45" s="753">
        <v>4293.4410960000005</v>
      </c>
      <c r="AR45" s="753">
        <v>4358.9936028630136</v>
      </c>
      <c r="AS45" s="753">
        <v>4420.5913605519127</v>
      </c>
      <c r="AT45" s="753">
        <v>4291.7956849315078</v>
      </c>
      <c r="AU45" s="753">
        <v>4430.1208219178088</v>
      </c>
      <c r="AV45" s="753">
        <v>4472.4821095890438</v>
      </c>
      <c r="AW45" s="753">
        <v>3820.303846994535</v>
      </c>
      <c r="AX45" s="753">
        <v>3617.012260273973</v>
      </c>
      <c r="AY45" s="753">
        <v>3723.5675616438361</v>
      </c>
      <c r="AZ45" s="753">
        <v>3861.8072000000002</v>
      </c>
      <c r="BA45" s="753">
        <v>4602.3514136596741</v>
      </c>
      <c r="BB45" s="754">
        <v>4981.6787489450753</v>
      </c>
      <c r="BC45" s="755">
        <v>8.2420332823687881E-2</v>
      </c>
      <c r="BD45" s="755">
        <v>6.9720743351018299E-3</v>
      </c>
      <c r="BE45" s="755">
        <v>5.3769588715237807E-2</v>
      </c>
    </row>
    <row r="46" spans="1:57" x14ac:dyDescent="0.3">
      <c r="A46" s="3" t="s">
        <v>613</v>
      </c>
      <c r="B46" s="753">
        <v>1313</v>
      </c>
      <c r="C46" s="753">
        <v>1392</v>
      </c>
      <c r="D46" s="753">
        <v>1228</v>
      </c>
      <c r="E46" s="753">
        <v>1503</v>
      </c>
      <c r="F46" s="753">
        <v>1521</v>
      </c>
      <c r="G46" s="753">
        <v>1549</v>
      </c>
      <c r="H46" s="753">
        <v>1694</v>
      </c>
      <c r="I46" s="753">
        <v>1466</v>
      </c>
      <c r="J46" s="753">
        <v>2018</v>
      </c>
      <c r="K46" s="753">
        <v>1977.0383561643835</v>
      </c>
      <c r="L46" s="753">
        <v>2270.5589041095891</v>
      </c>
      <c r="M46" s="753">
        <v>2422.2677595628415</v>
      </c>
      <c r="N46" s="753">
        <v>2358.1205479452055</v>
      </c>
      <c r="O46" s="753">
        <v>2573.5506849315066</v>
      </c>
      <c r="P46" s="753">
        <v>3488.5506849315066</v>
      </c>
      <c r="Q46" s="753">
        <v>2657.5191256830599</v>
      </c>
      <c r="R46" s="753">
        <v>906.90684931506848</v>
      </c>
      <c r="S46" s="753">
        <v>988.1808219178082</v>
      </c>
      <c r="T46" s="753">
        <v>1105.7287671232875</v>
      </c>
      <c r="U46" s="753">
        <v>1227.983606557377</v>
      </c>
      <c r="V46" s="753">
        <v>1425.2920547945205</v>
      </c>
      <c r="W46" s="753">
        <v>1899.4186301369864</v>
      </c>
      <c r="X46" s="753">
        <v>2391.2772602739724</v>
      </c>
      <c r="Y46" s="753">
        <v>2782.1508196721311</v>
      </c>
      <c r="Z46" s="753">
        <v>2838.2597260273974</v>
      </c>
      <c r="AA46" s="753">
        <v>2148.9479452054793</v>
      </c>
      <c r="AB46" s="753">
        <v>285.35616438356163</v>
      </c>
      <c r="AC46" s="753">
        <v>531.2612021857924</v>
      </c>
      <c r="AD46" s="753">
        <v>455.27561643835617</v>
      </c>
      <c r="AE46" s="753">
        <v>505.27561643835617</v>
      </c>
      <c r="AF46" s="753">
        <v>530.27561643835611</v>
      </c>
      <c r="AG46" s="753">
        <v>580.2612021857924</v>
      </c>
      <c r="AH46" s="753">
        <v>1165.8268493150686</v>
      </c>
      <c r="AI46" s="753">
        <v>2120.8268493150686</v>
      </c>
      <c r="AJ46" s="753">
        <v>2609.8268493150686</v>
      </c>
      <c r="AK46" s="753">
        <v>2613</v>
      </c>
      <c r="AL46" s="753">
        <v>2522</v>
      </c>
      <c r="AM46" s="753">
        <v>2116</v>
      </c>
      <c r="AN46" s="753">
        <v>1344</v>
      </c>
      <c r="AO46" s="753">
        <v>2030</v>
      </c>
      <c r="AP46" s="753">
        <v>1833</v>
      </c>
      <c r="AQ46" s="753">
        <v>1999</v>
      </c>
      <c r="AR46" s="753">
        <v>2143.2118</v>
      </c>
      <c r="AS46" s="753">
        <v>2428</v>
      </c>
      <c r="AT46" s="753">
        <v>2445.6286666666665</v>
      </c>
      <c r="AU46" s="753">
        <v>2468.8743333333337</v>
      </c>
      <c r="AV46" s="753">
        <v>2773.2766666666666</v>
      </c>
      <c r="AW46" s="753">
        <v>3078.5</v>
      </c>
      <c r="AX46" s="753">
        <v>3102.5</v>
      </c>
      <c r="AY46" s="753">
        <v>3238.6210045662101</v>
      </c>
      <c r="AZ46" s="753">
        <v>3985.9406666666664</v>
      </c>
      <c r="BA46" s="753">
        <v>4422.8865999999998</v>
      </c>
      <c r="BB46" s="754">
        <v>4519.9646118721466</v>
      </c>
      <c r="BC46" s="755">
        <v>2.1949016706000801E-2</v>
      </c>
      <c r="BD46" s="755">
        <v>8.2653043343265731E-2</v>
      </c>
      <c r="BE46" s="755">
        <v>4.8786092085777402E-2</v>
      </c>
    </row>
    <row r="47" spans="1:57" x14ac:dyDescent="0.3">
      <c r="A47" s="3" t="s">
        <v>614</v>
      </c>
      <c r="B47" s="753">
        <v>2371</v>
      </c>
      <c r="C47" s="753">
        <v>2505</v>
      </c>
      <c r="D47" s="753">
        <v>2522</v>
      </c>
      <c r="E47" s="753">
        <v>2656</v>
      </c>
      <c r="F47" s="753">
        <v>2819</v>
      </c>
      <c r="G47" s="753">
        <v>3036</v>
      </c>
      <c r="H47" s="753">
        <v>3253</v>
      </c>
      <c r="I47" s="753">
        <v>3339</v>
      </c>
      <c r="J47" s="753">
        <v>3080</v>
      </c>
      <c r="K47" s="753">
        <v>2603</v>
      </c>
      <c r="L47" s="753">
        <v>2132</v>
      </c>
      <c r="M47" s="753">
        <v>2199</v>
      </c>
      <c r="N47" s="753">
        <v>2024</v>
      </c>
      <c r="O47" s="753">
        <v>2182</v>
      </c>
      <c r="P47" s="753">
        <v>2623</v>
      </c>
      <c r="Q47" s="753">
        <v>1757</v>
      </c>
      <c r="R47" s="753">
        <v>1187</v>
      </c>
      <c r="S47" s="753">
        <v>862</v>
      </c>
      <c r="T47" s="753">
        <v>1117</v>
      </c>
      <c r="U47" s="753">
        <v>1229</v>
      </c>
      <c r="V47" s="753">
        <v>1127</v>
      </c>
      <c r="W47" s="753">
        <v>1210</v>
      </c>
      <c r="X47" s="753">
        <v>1072</v>
      </c>
      <c r="Y47" s="753">
        <v>1286</v>
      </c>
      <c r="Z47" s="753">
        <v>1408</v>
      </c>
      <c r="AA47" s="753">
        <v>964</v>
      </c>
      <c r="AB47" s="753">
        <v>185</v>
      </c>
      <c r="AC47" s="753">
        <v>1077</v>
      </c>
      <c r="AD47" s="753">
        <v>1945</v>
      </c>
      <c r="AE47" s="753">
        <v>2085</v>
      </c>
      <c r="AF47" s="753">
        <v>2130</v>
      </c>
      <c r="AG47" s="753">
        <v>2129</v>
      </c>
      <c r="AH47" s="753">
        <v>2137</v>
      </c>
      <c r="AI47" s="753">
        <v>2232</v>
      </c>
      <c r="AJ47" s="753">
        <v>2085</v>
      </c>
      <c r="AK47" s="753">
        <v>2244.232</v>
      </c>
      <c r="AL47" s="753">
        <v>2186.1680000000001</v>
      </c>
      <c r="AM47" s="753">
        <v>2028.3545753424658</v>
      </c>
      <c r="AN47" s="753">
        <v>2370.2524383561645</v>
      </c>
      <c r="AO47" s="753">
        <v>2519.3174262295083</v>
      </c>
      <c r="AP47" s="753">
        <v>2668.2192054794523</v>
      </c>
      <c r="AQ47" s="753">
        <v>2735.3661780821922</v>
      </c>
      <c r="AR47" s="753">
        <v>2659.5698669275948</v>
      </c>
      <c r="AS47" s="753">
        <v>2783.6207049180334</v>
      </c>
      <c r="AT47" s="753">
        <v>2498.5013839178082</v>
      </c>
      <c r="AU47" s="753">
        <v>2559.6962330684933</v>
      </c>
      <c r="AV47" s="753">
        <v>2913.1403972602761</v>
      </c>
      <c r="AW47" s="753">
        <v>3168.5926994535525</v>
      </c>
      <c r="AX47" s="753">
        <v>3128.7060684931503</v>
      </c>
      <c r="AY47" s="753">
        <v>3101.1051506849317</v>
      </c>
      <c r="AZ47" s="753">
        <v>3064.7367342465755</v>
      </c>
      <c r="BA47" s="753">
        <v>3145.074490198112</v>
      </c>
      <c r="BB47" s="754">
        <v>3025.4393118389276</v>
      </c>
      <c r="BC47" s="755">
        <v>-3.8038901378023793E-2</v>
      </c>
      <c r="BD47" s="755">
        <v>1.4055083050336092E-2</v>
      </c>
      <c r="BE47" s="755">
        <v>3.2654981519019022E-2</v>
      </c>
    </row>
    <row r="48" spans="1:57" x14ac:dyDescent="0.3">
      <c r="A48" s="3" t="s">
        <v>925</v>
      </c>
      <c r="B48" s="753" t="s">
        <v>915</v>
      </c>
      <c r="C48" s="753" t="s">
        <v>915</v>
      </c>
      <c r="D48" s="753">
        <v>57</v>
      </c>
      <c r="E48" s="753">
        <v>241</v>
      </c>
      <c r="F48" s="753">
        <v>327</v>
      </c>
      <c r="G48" s="753">
        <v>332</v>
      </c>
      <c r="H48" s="753">
        <v>294</v>
      </c>
      <c r="I48" s="753">
        <v>282</v>
      </c>
      <c r="J48" s="753">
        <v>293</v>
      </c>
      <c r="K48" s="753">
        <v>290</v>
      </c>
      <c r="L48" s="753">
        <v>341</v>
      </c>
      <c r="M48" s="753">
        <v>367</v>
      </c>
      <c r="N48" s="753">
        <v>340</v>
      </c>
      <c r="O48" s="753">
        <v>314</v>
      </c>
      <c r="P48" s="753">
        <v>295</v>
      </c>
      <c r="Q48" s="753">
        <v>285</v>
      </c>
      <c r="R48" s="753">
        <v>330</v>
      </c>
      <c r="S48" s="753">
        <v>338</v>
      </c>
      <c r="T48" s="753">
        <v>391</v>
      </c>
      <c r="U48" s="753">
        <v>419</v>
      </c>
      <c r="V48" s="753">
        <v>502</v>
      </c>
      <c r="W48" s="753">
        <v>564</v>
      </c>
      <c r="X48" s="753">
        <v>588</v>
      </c>
      <c r="Y48" s="753">
        <v>625</v>
      </c>
      <c r="Z48" s="753">
        <v>651</v>
      </c>
      <c r="AA48" s="753">
        <v>695</v>
      </c>
      <c r="AB48" s="753">
        <v>716</v>
      </c>
      <c r="AC48" s="753">
        <v>748</v>
      </c>
      <c r="AD48" s="753">
        <v>785</v>
      </c>
      <c r="AE48" s="753">
        <v>819</v>
      </c>
      <c r="AF48" s="753">
        <v>868</v>
      </c>
      <c r="AG48" s="753">
        <v>897</v>
      </c>
      <c r="AH48" s="753">
        <v>909</v>
      </c>
      <c r="AI48" s="753">
        <v>905</v>
      </c>
      <c r="AJ48" s="753">
        <v>904.68876712328768</v>
      </c>
      <c r="AK48" s="753">
        <v>954.79699453551905</v>
      </c>
      <c r="AL48" s="753">
        <v>955.77753424657533</v>
      </c>
      <c r="AM48" s="753">
        <v>897.37753424657535</v>
      </c>
      <c r="AN48" s="753">
        <v>819.50904109589032</v>
      </c>
      <c r="AO48" s="753">
        <v>779.73961748633872</v>
      </c>
      <c r="AP48" s="753">
        <v>774.28904109589041</v>
      </c>
      <c r="AQ48" s="753">
        <v>737.65013698630139</v>
      </c>
      <c r="AR48" s="753">
        <v>710.39315068493147</v>
      </c>
      <c r="AS48" s="753">
        <v>756.75</v>
      </c>
      <c r="AT48" s="753">
        <v>812.52027397260269</v>
      </c>
      <c r="AU48" s="753">
        <v>864.58821917808211</v>
      </c>
      <c r="AV48" s="753">
        <v>884.92027397260279</v>
      </c>
      <c r="AW48" s="753">
        <v>918.47185792349728</v>
      </c>
      <c r="AX48" s="753">
        <v>941.94931506849321</v>
      </c>
      <c r="AY48" s="753">
        <v>943.47890410958894</v>
      </c>
      <c r="AZ48" s="753">
        <v>981.08986301369862</v>
      </c>
      <c r="BA48" s="753">
        <v>1004.262568306011</v>
      </c>
      <c r="BB48" s="754">
        <v>970.56958904109581</v>
      </c>
      <c r="BC48" s="755">
        <v>-3.3549970225165704E-2</v>
      </c>
      <c r="BD48" s="755">
        <v>3.1334829838304268E-2</v>
      </c>
      <c r="BE48" s="755">
        <v>1.0475811519020229E-2</v>
      </c>
    </row>
    <row r="49" spans="1:57" x14ac:dyDescent="0.3">
      <c r="A49" s="3" t="s">
        <v>615</v>
      </c>
      <c r="B49" s="753">
        <v>233</v>
      </c>
      <c r="C49" s="753">
        <v>291</v>
      </c>
      <c r="D49" s="753">
        <v>324</v>
      </c>
      <c r="E49" s="753">
        <v>340</v>
      </c>
      <c r="F49" s="753">
        <v>356</v>
      </c>
      <c r="G49" s="753">
        <v>363</v>
      </c>
      <c r="H49" s="753">
        <v>430</v>
      </c>
      <c r="I49" s="753">
        <v>482</v>
      </c>
      <c r="J49" s="753">
        <v>570</v>
      </c>
      <c r="K49" s="753">
        <v>518</v>
      </c>
      <c r="L49" s="753">
        <v>437</v>
      </c>
      <c r="M49" s="753">
        <v>487</v>
      </c>
      <c r="N49" s="753">
        <v>435</v>
      </c>
      <c r="O49" s="753">
        <v>484</v>
      </c>
      <c r="P49" s="753">
        <v>506</v>
      </c>
      <c r="Q49" s="753">
        <v>475.5344262295082</v>
      </c>
      <c r="R49" s="753">
        <v>421.10958904109589</v>
      </c>
      <c r="S49" s="753">
        <v>344.52493150684933</v>
      </c>
      <c r="T49" s="753">
        <v>315.59890410958906</v>
      </c>
      <c r="U49" s="753">
        <v>353.01639344262298</v>
      </c>
      <c r="V49" s="753">
        <v>315.24219178082188</v>
      </c>
      <c r="W49" s="753">
        <v>355.09753424657538</v>
      </c>
      <c r="X49" s="753">
        <v>314.8564383561644</v>
      </c>
      <c r="Y49" s="753">
        <v>360.42185792349727</v>
      </c>
      <c r="Z49" s="753">
        <v>403.44657534246574</v>
      </c>
      <c r="AA49" s="753">
        <v>433.81369863013697</v>
      </c>
      <c r="AB49" s="753">
        <v>419.58958904109591</v>
      </c>
      <c r="AC49" s="753">
        <v>495.31693989071039</v>
      </c>
      <c r="AD49" s="753">
        <v>460.25095890410961</v>
      </c>
      <c r="AE49" s="753">
        <v>451.38027397260271</v>
      </c>
      <c r="AF49" s="753">
        <v>460.88876712328766</v>
      </c>
      <c r="AG49" s="753">
        <v>567.9989071038251</v>
      </c>
      <c r="AH49" s="753">
        <v>692.08</v>
      </c>
      <c r="AI49" s="753">
        <v>701.43</v>
      </c>
      <c r="AJ49" s="753">
        <v>723.27</v>
      </c>
      <c r="AK49" s="753">
        <v>853.13387101529815</v>
      </c>
      <c r="AL49" s="753">
        <v>857.76619271053221</v>
      </c>
      <c r="AM49" s="753">
        <v>803.157669260793</v>
      </c>
      <c r="AN49" s="753">
        <v>949.23728500045877</v>
      </c>
      <c r="AO49" s="753">
        <v>1082.1870204544985</v>
      </c>
      <c r="AP49" s="753">
        <v>1151.1728566406532</v>
      </c>
      <c r="AQ49" s="753">
        <v>1241.2043809106331</v>
      </c>
      <c r="AR49" s="753">
        <v>1266.7929549220089</v>
      </c>
      <c r="AS49" s="753">
        <v>1437.7655846994535</v>
      </c>
      <c r="AT49" s="753">
        <v>1421.2882246575341</v>
      </c>
      <c r="AU49" s="753">
        <v>1637.6046657534246</v>
      </c>
      <c r="AV49" s="753">
        <v>1834.498583561644</v>
      </c>
      <c r="AW49" s="753">
        <v>1939.0760256830604</v>
      </c>
      <c r="AX49" s="753">
        <v>2002.1269404109589</v>
      </c>
      <c r="AY49" s="753">
        <v>1985.3900027397262</v>
      </c>
      <c r="AZ49" s="753">
        <v>1958.0461897260275</v>
      </c>
      <c r="BA49" s="753">
        <v>1969.7376999999999</v>
      </c>
      <c r="BB49" s="754">
        <v>1915.8275088262908</v>
      </c>
      <c r="BC49" s="755">
        <v>-2.7369223411680244E-2</v>
      </c>
      <c r="BD49" s="755">
        <v>4.7264807702789291E-2</v>
      </c>
      <c r="BE49" s="755">
        <v>2.0678422353256412E-2</v>
      </c>
    </row>
    <row r="50" spans="1:57" x14ac:dyDescent="0.3">
      <c r="A50" s="3" t="s">
        <v>616</v>
      </c>
      <c r="B50" s="753">
        <v>2219</v>
      </c>
      <c r="C50" s="753">
        <v>2615</v>
      </c>
      <c r="D50" s="753">
        <v>2825</v>
      </c>
      <c r="E50" s="753">
        <v>3081</v>
      </c>
      <c r="F50" s="753">
        <v>3262</v>
      </c>
      <c r="G50" s="753">
        <v>3851</v>
      </c>
      <c r="H50" s="753">
        <v>4821</v>
      </c>
      <c r="I50" s="753">
        <v>6070</v>
      </c>
      <c r="J50" s="753">
        <v>7693</v>
      </c>
      <c r="K50" s="753">
        <v>8618</v>
      </c>
      <c r="L50" s="753">
        <v>7216</v>
      </c>
      <c r="M50" s="753">
        <v>8762</v>
      </c>
      <c r="N50" s="753">
        <v>9419</v>
      </c>
      <c r="O50" s="753">
        <v>8554</v>
      </c>
      <c r="P50" s="753">
        <v>9841</v>
      </c>
      <c r="Q50" s="753">
        <v>10270</v>
      </c>
      <c r="R50" s="753">
        <v>10256</v>
      </c>
      <c r="S50" s="753">
        <v>6961</v>
      </c>
      <c r="T50" s="753">
        <v>4951</v>
      </c>
      <c r="U50" s="753">
        <v>4534</v>
      </c>
      <c r="V50" s="753">
        <v>3601</v>
      </c>
      <c r="W50" s="753">
        <v>5208</v>
      </c>
      <c r="X50" s="753">
        <v>4599</v>
      </c>
      <c r="Y50" s="753">
        <v>5720</v>
      </c>
      <c r="Z50" s="753">
        <v>5635</v>
      </c>
      <c r="AA50" s="753">
        <v>7105</v>
      </c>
      <c r="AB50" s="753">
        <v>8820</v>
      </c>
      <c r="AC50" s="753">
        <v>9098</v>
      </c>
      <c r="AD50" s="753">
        <v>8962</v>
      </c>
      <c r="AE50" s="753">
        <v>9084</v>
      </c>
      <c r="AF50" s="753">
        <v>9092.1375198433125</v>
      </c>
      <c r="AG50" s="753">
        <v>9244.2030244612833</v>
      </c>
      <c r="AH50" s="753">
        <v>9427.6161188848837</v>
      </c>
      <c r="AI50" s="753">
        <v>9448.5866533394128</v>
      </c>
      <c r="AJ50" s="753">
        <v>8800.110351969548</v>
      </c>
      <c r="AK50" s="753">
        <v>9469.6653325000007</v>
      </c>
      <c r="AL50" s="753">
        <v>9188.1303155769219</v>
      </c>
      <c r="AM50" s="753">
        <v>8907.4003155769224</v>
      </c>
      <c r="AN50" s="753">
        <v>10140.859976346155</v>
      </c>
      <c r="AO50" s="753">
        <v>10457.911224365385</v>
      </c>
      <c r="AP50" s="753">
        <v>10931.281395211539</v>
      </c>
      <c r="AQ50" s="753">
        <v>10670.922795082717</v>
      </c>
      <c r="AR50" s="753">
        <v>10267.736621836144</v>
      </c>
      <c r="AS50" s="753">
        <v>10662.734302633462</v>
      </c>
      <c r="AT50" s="753">
        <v>9663.3414627028469</v>
      </c>
      <c r="AU50" s="753">
        <v>10074.56922260801</v>
      </c>
      <c r="AV50" s="753">
        <v>11143.745769757641</v>
      </c>
      <c r="AW50" s="753">
        <v>11634.543638153636</v>
      </c>
      <c r="AX50" s="753">
        <v>11393.076841475237</v>
      </c>
      <c r="AY50" s="753">
        <v>11504.745769757641</v>
      </c>
      <c r="AZ50" s="753">
        <v>11994.311800937659</v>
      </c>
      <c r="BA50" s="753">
        <v>12401.763994967674</v>
      </c>
      <c r="BB50" s="754">
        <v>11950.842570047877</v>
      </c>
      <c r="BC50" s="755">
        <v>-3.6359458630463415E-2</v>
      </c>
      <c r="BD50" s="755">
        <v>1.5145160314812056E-2</v>
      </c>
      <c r="BE50" s="755">
        <v>0.12899103337968265</v>
      </c>
    </row>
    <row r="51" spans="1:57" x14ac:dyDescent="0.3">
      <c r="A51" s="3" t="s">
        <v>926</v>
      </c>
      <c r="B51" s="753" t="s">
        <v>915</v>
      </c>
      <c r="C51" s="753" t="s">
        <v>915</v>
      </c>
      <c r="D51" s="753" t="s">
        <v>915</v>
      </c>
      <c r="E51" s="753">
        <v>21</v>
      </c>
      <c r="F51" s="753">
        <v>53</v>
      </c>
      <c r="G51" s="753">
        <v>85</v>
      </c>
      <c r="H51" s="753">
        <v>106</v>
      </c>
      <c r="I51" s="753">
        <v>117</v>
      </c>
      <c r="J51" s="753">
        <v>111</v>
      </c>
      <c r="K51" s="753">
        <v>129</v>
      </c>
      <c r="L51" s="753">
        <v>192</v>
      </c>
      <c r="M51" s="753">
        <v>201</v>
      </c>
      <c r="N51" s="753">
        <v>183</v>
      </c>
      <c r="O51" s="753">
        <v>179</v>
      </c>
      <c r="P51" s="753">
        <v>167</v>
      </c>
      <c r="Q51" s="753">
        <v>158</v>
      </c>
      <c r="R51" s="753">
        <v>164</v>
      </c>
      <c r="S51" s="753">
        <v>155</v>
      </c>
      <c r="T51" s="753">
        <v>161</v>
      </c>
      <c r="U51" s="753">
        <v>162</v>
      </c>
      <c r="V51" s="753">
        <v>159.44109589041096</v>
      </c>
      <c r="W51" s="753">
        <v>200.6</v>
      </c>
      <c r="X51" s="753">
        <v>230.8821917808219</v>
      </c>
      <c r="Y51" s="753">
        <v>268.19672131147541</v>
      </c>
      <c r="Z51" s="753">
        <v>340.64109589041095</v>
      </c>
      <c r="AA51" s="753">
        <v>406.72931506849318</v>
      </c>
      <c r="AB51" s="753">
        <v>471.98356164383563</v>
      </c>
      <c r="AC51" s="753">
        <v>514.37704918032784</v>
      </c>
      <c r="AD51" s="753">
        <v>566.08164383561643</v>
      </c>
      <c r="AE51" s="753">
        <v>563.26849315068489</v>
      </c>
      <c r="AF51" s="753">
        <v>596.28164383561648</v>
      </c>
      <c r="AG51" s="753">
        <v>586.231693989071</v>
      </c>
      <c r="AH51" s="753">
        <v>577.24219178082194</v>
      </c>
      <c r="AI51" s="753">
        <v>576.2383561643835</v>
      </c>
      <c r="AJ51" s="753">
        <v>578.82958904109591</v>
      </c>
      <c r="AK51" s="753">
        <v>573</v>
      </c>
      <c r="AL51" s="753">
        <v>613</v>
      </c>
      <c r="AM51" s="753">
        <v>677</v>
      </c>
      <c r="AN51" s="753">
        <v>652</v>
      </c>
      <c r="AO51" s="753">
        <v>487</v>
      </c>
      <c r="AP51" s="753">
        <v>448</v>
      </c>
      <c r="AQ51" s="753">
        <v>421</v>
      </c>
      <c r="AR51" s="753">
        <v>404</v>
      </c>
      <c r="AS51" s="753">
        <v>406</v>
      </c>
      <c r="AT51" s="753">
        <v>401</v>
      </c>
      <c r="AU51" s="753">
        <v>385</v>
      </c>
      <c r="AV51" s="753">
        <v>352.82470000000001</v>
      </c>
      <c r="AW51" s="753">
        <v>171</v>
      </c>
      <c r="AX51" s="753">
        <v>59.164400000000001</v>
      </c>
      <c r="AY51" s="753">
        <v>33</v>
      </c>
      <c r="AZ51" s="753">
        <v>27</v>
      </c>
      <c r="BA51" s="753">
        <v>25</v>
      </c>
      <c r="BB51" s="754">
        <v>24.598630136986301</v>
      </c>
      <c r="BC51" s="755">
        <v>-1.6054794520547921E-2</v>
      </c>
      <c r="BD51" s="755">
        <v>-0.24600964352838672</v>
      </c>
      <c r="BE51" s="755">
        <v>2.6550452007851661E-4</v>
      </c>
    </row>
    <row r="52" spans="1:57" x14ac:dyDescent="0.3">
      <c r="A52" s="3" t="s">
        <v>617</v>
      </c>
      <c r="B52" s="753">
        <v>282.2</v>
      </c>
      <c r="C52" s="753">
        <v>360</v>
      </c>
      <c r="D52" s="753">
        <v>382.1</v>
      </c>
      <c r="E52" s="753">
        <v>496.6</v>
      </c>
      <c r="F52" s="753">
        <v>627.79999999999995</v>
      </c>
      <c r="G52" s="753">
        <v>779.6</v>
      </c>
      <c r="H52" s="753">
        <v>1059.5</v>
      </c>
      <c r="I52" s="753">
        <v>1202.7</v>
      </c>
      <c r="J52" s="753">
        <v>1532.6</v>
      </c>
      <c r="K52" s="753">
        <v>1678.6</v>
      </c>
      <c r="L52" s="753">
        <v>1663.8</v>
      </c>
      <c r="M52" s="753">
        <v>1936.402</v>
      </c>
      <c r="N52" s="753">
        <v>1998.71</v>
      </c>
      <c r="O52" s="753">
        <v>1830.501</v>
      </c>
      <c r="P52" s="753">
        <v>1830.69</v>
      </c>
      <c r="Q52" s="753">
        <v>1734.8910000000001</v>
      </c>
      <c r="R52" s="753">
        <v>1540.3</v>
      </c>
      <c r="S52" s="753">
        <v>1361.8</v>
      </c>
      <c r="T52" s="753">
        <v>1293.0219999999999</v>
      </c>
      <c r="U52" s="753">
        <v>1246.021</v>
      </c>
      <c r="V52" s="753">
        <v>1211.146</v>
      </c>
      <c r="W52" s="753">
        <v>1412.55</v>
      </c>
      <c r="X52" s="753">
        <v>1471.287</v>
      </c>
      <c r="Y52" s="753">
        <v>1544.4739999999999</v>
      </c>
      <c r="Z52" s="753">
        <v>1819.001</v>
      </c>
      <c r="AA52" s="753">
        <v>1984.6279999999999</v>
      </c>
      <c r="AB52" s="753">
        <v>2274.4079999999999</v>
      </c>
      <c r="AC52" s="753">
        <v>2494.67</v>
      </c>
      <c r="AD52" s="753">
        <v>2438.2860000000001</v>
      </c>
      <c r="AE52" s="753">
        <v>2462.5329999999999</v>
      </c>
      <c r="AF52" s="753">
        <v>2444</v>
      </c>
      <c r="AG52" s="753">
        <v>2501.3000000000002</v>
      </c>
      <c r="AH52" s="753">
        <v>2521.6999999999998</v>
      </c>
      <c r="AI52" s="753">
        <v>2610.1</v>
      </c>
      <c r="AJ52" s="753">
        <v>2413.8000000000002</v>
      </c>
      <c r="AK52" s="753">
        <v>2598.8979999999997</v>
      </c>
      <c r="AL52" s="753">
        <v>2540.7219999999998</v>
      </c>
      <c r="AM52" s="753">
        <v>2366.2599999999998</v>
      </c>
      <c r="AN52" s="753">
        <v>2722.4890000000005</v>
      </c>
      <c r="AO52" s="753">
        <v>2821.58</v>
      </c>
      <c r="AP52" s="753">
        <v>2945.4629999999997</v>
      </c>
      <c r="AQ52" s="753">
        <v>3134.5120000000002</v>
      </c>
      <c r="AR52" s="753">
        <v>3094.2950000000005</v>
      </c>
      <c r="AS52" s="753">
        <v>3113.0940000000001</v>
      </c>
      <c r="AT52" s="753">
        <v>2783.4139999999998</v>
      </c>
      <c r="AU52" s="753">
        <v>2914.6360000000004</v>
      </c>
      <c r="AV52" s="753">
        <v>3284.9580000000001</v>
      </c>
      <c r="AW52" s="753">
        <v>3430.0654366120216</v>
      </c>
      <c r="AX52" s="753">
        <v>3543.0773656164383</v>
      </c>
      <c r="AY52" s="753">
        <v>3598.8952209132422</v>
      </c>
      <c r="AZ52" s="753">
        <v>3873.2741885844744</v>
      </c>
      <c r="BA52" s="753">
        <v>4019.936225546448</v>
      </c>
      <c r="BB52" s="754">
        <v>3935.2676537728466</v>
      </c>
      <c r="BC52" s="755">
        <v>-2.1062167910908092E-2</v>
      </c>
      <c r="BD52" s="755">
        <v>2.5191325106889151E-2</v>
      </c>
      <c r="BE52" s="755">
        <v>4.2475184348760534E-2</v>
      </c>
    </row>
    <row r="53" spans="1:57" x14ac:dyDescent="0.3">
      <c r="A53" s="3" t="s">
        <v>927</v>
      </c>
      <c r="B53" s="753" t="s">
        <v>915</v>
      </c>
      <c r="C53" s="753" t="s">
        <v>915</v>
      </c>
      <c r="D53" s="753" t="s">
        <v>915</v>
      </c>
      <c r="E53" s="753" t="s">
        <v>915</v>
      </c>
      <c r="F53" s="753" t="s">
        <v>915</v>
      </c>
      <c r="G53" s="753" t="s">
        <v>915</v>
      </c>
      <c r="H53" s="753" t="s">
        <v>915</v>
      </c>
      <c r="I53" s="753" t="s">
        <v>915</v>
      </c>
      <c r="J53" s="753" t="s">
        <v>915</v>
      </c>
      <c r="K53" s="753" t="s">
        <v>915</v>
      </c>
      <c r="L53" s="753" t="s">
        <v>915</v>
      </c>
      <c r="M53" s="753" t="s">
        <v>915</v>
      </c>
      <c r="N53" s="753" t="s">
        <v>915</v>
      </c>
      <c r="O53" s="753" t="s">
        <v>915</v>
      </c>
      <c r="P53" s="753" t="s">
        <v>915</v>
      </c>
      <c r="Q53" s="753" t="s">
        <v>915</v>
      </c>
      <c r="R53" s="753" t="s">
        <v>915</v>
      </c>
      <c r="S53" s="753" t="s">
        <v>915</v>
      </c>
      <c r="T53" s="753" t="s">
        <v>915</v>
      </c>
      <c r="U53" s="753" t="s">
        <v>915</v>
      </c>
      <c r="V53" s="753" t="s">
        <v>915</v>
      </c>
      <c r="W53" s="753">
        <v>10</v>
      </c>
      <c r="X53" s="753">
        <v>26</v>
      </c>
      <c r="Y53" s="753">
        <v>170</v>
      </c>
      <c r="Z53" s="753">
        <v>178</v>
      </c>
      <c r="AA53" s="753">
        <v>182</v>
      </c>
      <c r="AB53" s="753">
        <v>197</v>
      </c>
      <c r="AC53" s="753">
        <v>183.9584699453552</v>
      </c>
      <c r="AD53" s="753">
        <v>209.37315068493152</v>
      </c>
      <c r="AE53" s="753">
        <v>345.58082191780824</v>
      </c>
      <c r="AF53" s="753">
        <v>351.47068493150687</v>
      </c>
      <c r="AG53" s="753">
        <v>356.66338797814205</v>
      </c>
      <c r="AH53" s="753">
        <v>374.96657534246577</v>
      </c>
      <c r="AI53" s="753">
        <v>380.09150684931507</v>
      </c>
      <c r="AJ53" s="753">
        <v>405.12547945205478</v>
      </c>
      <c r="AK53" s="753">
        <v>449.88600000000002</v>
      </c>
      <c r="AL53" s="753">
        <v>453.11560000000003</v>
      </c>
      <c r="AM53" s="753">
        <v>457.16839999999996</v>
      </c>
      <c r="AN53" s="753">
        <v>450.8852</v>
      </c>
      <c r="AO53" s="753">
        <v>424.1114</v>
      </c>
      <c r="AP53" s="753">
        <v>421.12130000000002</v>
      </c>
      <c r="AQ53" s="753">
        <v>386.94799999999998</v>
      </c>
      <c r="AR53" s="753">
        <v>341.17320000000001</v>
      </c>
      <c r="AS53" s="753">
        <v>316.17840000000001</v>
      </c>
      <c r="AT53" s="753">
        <v>308.43880000000001</v>
      </c>
      <c r="AU53" s="753">
        <v>306.84789999999998</v>
      </c>
      <c r="AV53" s="753">
        <v>220.82429999999999</v>
      </c>
      <c r="AW53" s="753">
        <v>178.32119999999998</v>
      </c>
      <c r="AX53" s="753">
        <v>197.65190000000001</v>
      </c>
      <c r="AY53" s="753">
        <v>153.33500000000001</v>
      </c>
      <c r="AZ53" s="753">
        <v>63.756099999999996</v>
      </c>
      <c r="BA53" s="753">
        <v>43.103499999999997</v>
      </c>
      <c r="BB53" s="754">
        <v>52.478999999999999</v>
      </c>
      <c r="BC53" s="755">
        <v>0.21751133898639319</v>
      </c>
      <c r="BD53" s="755">
        <v>-0.19705463959398395</v>
      </c>
      <c r="BE53" s="755">
        <v>5.6643039192049599E-4</v>
      </c>
    </row>
    <row r="54" spans="1:57" x14ac:dyDescent="0.3">
      <c r="A54" s="3" t="s">
        <v>928</v>
      </c>
      <c r="B54" s="753">
        <v>60.996164383561641</v>
      </c>
      <c r="C54" s="753">
        <v>65.761095890410957</v>
      </c>
      <c r="D54" s="753">
        <v>72.977534246575345</v>
      </c>
      <c r="E54" s="753">
        <v>77.969398907103823</v>
      </c>
      <c r="F54" s="753">
        <v>77.958904109589042</v>
      </c>
      <c r="G54" s="753">
        <v>78.537739726027397</v>
      </c>
      <c r="H54" s="753">
        <v>76.200808219178086</v>
      </c>
      <c r="I54" s="753">
        <v>70.929890710382509</v>
      </c>
      <c r="J54" s="753">
        <v>68.746342465753429</v>
      </c>
      <c r="K54" s="753">
        <v>67.762013698630142</v>
      </c>
      <c r="L54" s="753">
        <v>61.683657534246578</v>
      </c>
      <c r="M54" s="753">
        <v>58.722814207650273</v>
      </c>
      <c r="N54" s="753">
        <v>58.519109589041093</v>
      </c>
      <c r="O54" s="753">
        <v>55.47601369863014</v>
      </c>
      <c r="P54" s="753">
        <v>51.397657534246576</v>
      </c>
      <c r="Q54" s="753">
        <v>55.38289617486339</v>
      </c>
      <c r="R54" s="753">
        <v>54.293835616438358</v>
      </c>
      <c r="S54" s="753">
        <v>52.211561643835616</v>
      </c>
      <c r="T54" s="753">
        <v>50.227232876712328</v>
      </c>
      <c r="U54" s="753">
        <v>50.169959016393442</v>
      </c>
      <c r="V54" s="753">
        <v>50.213410958904113</v>
      </c>
      <c r="W54" s="753">
        <v>50.53787671232876</v>
      </c>
      <c r="X54" s="753">
        <v>51.692301369863017</v>
      </c>
      <c r="Y54" s="753">
        <v>52.661379781420763</v>
      </c>
      <c r="Z54" s="753">
        <v>52.532219178082194</v>
      </c>
      <c r="AA54" s="753">
        <v>51.567205479452056</v>
      </c>
      <c r="AB54" s="753">
        <v>53.354178082191787</v>
      </c>
      <c r="AC54" s="753">
        <v>54.245983606557381</v>
      </c>
      <c r="AD54" s="753">
        <v>53.189904109589044</v>
      </c>
      <c r="AE54" s="753">
        <v>52.117424657534251</v>
      </c>
      <c r="AF54" s="753">
        <v>52.178150684931509</v>
      </c>
      <c r="AG54" s="753">
        <v>50.124918032786887</v>
      </c>
      <c r="AH54" s="753">
        <v>50.129178082191785</v>
      </c>
      <c r="AI54" s="753">
        <v>49.138972602739727</v>
      </c>
      <c r="AJ54" s="753">
        <v>48.121342465753429</v>
      </c>
      <c r="AK54" s="753">
        <v>48.121010928961752</v>
      </c>
      <c r="AL54" s="753">
        <v>47.117424657534251</v>
      </c>
      <c r="AM54" s="753">
        <v>48.129178082191785</v>
      </c>
      <c r="AN54" s="753">
        <v>48.09783561643836</v>
      </c>
      <c r="AO54" s="753">
        <v>48.453937158469948</v>
      </c>
      <c r="AP54" s="753">
        <v>185.05381369863017</v>
      </c>
      <c r="AQ54" s="753">
        <v>182.21630136986303</v>
      </c>
      <c r="AR54" s="753">
        <v>193.93337260273972</v>
      </c>
      <c r="AS54" s="753">
        <v>192.60387431693991</v>
      </c>
      <c r="AT54" s="753">
        <v>192.14731506849316</v>
      </c>
      <c r="AU54" s="753">
        <v>192.268498630137</v>
      </c>
      <c r="AV54" s="753">
        <v>201.46901369863016</v>
      </c>
      <c r="AW54" s="753">
        <v>183.84073770491801</v>
      </c>
      <c r="AX54" s="753">
        <v>208.70961643835616</v>
      </c>
      <c r="AY54" s="753">
        <v>214.20448219178081</v>
      </c>
      <c r="AZ54" s="753">
        <v>212.98742588598631</v>
      </c>
      <c r="BA54" s="753">
        <v>214.39445820493168</v>
      </c>
      <c r="BB54" s="754">
        <v>220.33527644764453</v>
      </c>
      <c r="BC54" s="755">
        <v>2.7709756550863052E-2</v>
      </c>
      <c r="BD54" s="755">
        <v>1.6395264179333235E-2</v>
      </c>
      <c r="BE54" s="755">
        <v>2.3781816915747272E-3</v>
      </c>
    </row>
    <row r="55" spans="1:57" x14ac:dyDescent="0.3">
      <c r="A55" s="756" t="s">
        <v>929</v>
      </c>
      <c r="B55" s="757">
        <v>8387.1961643835621</v>
      </c>
      <c r="C55" s="757">
        <v>9360.7610958904115</v>
      </c>
      <c r="D55" s="757">
        <v>10014.077534246575</v>
      </c>
      <c r="E55" s="757">
        <v>11256.569398907104</v>
      </c>
      <c r="F55" s="757">
        <v>12419.758904109589</v>
      </c>
      <c r="G55" s="757">
        <v>13921.797465753425</v>
      </c>
      <c r="H55" s="757">
        <v>16306.122726027399</v>
      </c>
      <c r="I55" s="757">
        <v>18088.587267759562</v>
      </c>
      <c r="J55" s="757">
        <v>21273.722232876709</v>
      </c>
      <c r="K55" s="757">
        <v>21941.701739726028</v>
      </c>
      <c r="L55" s="757">
        <v>19700.661739726027</v>
      </c>
      <c r="M55" s="757">
        <v>22351.583830601092</v>
      </c>
      <c r="N55" s="757">
        <v>22530.308561643833</v>
      </c>
      <c r="O55" s="757">
        <v>21474.582493150683</v>
      </c>
      <c r="P55" s="757">
        <v>22020.227383561643</v>
      </c>
      <c r="Q55" s="757">
        <v>18872.289196721311</v>
      </c>
      <c r="R55" s="757">
        <v>16180.641506849315</v>
      </c>
      <c r="S55" s="757">
        <v>13459.641698630136</v>
      </c>
      <c r="T55" s="757">
        <v>11838.161561643836</v>
      </c>
      <c r="U55" s="757">
        <v>11263.726478142074</v>
      </c>
      <c r="V55" s="757">
        <v>10596.540232876712</v>
      </c>
      <c r="W55" s="757">
        <v>12964.442397260276</v>
      </c>
      <c r="X55" s="757">
        <v>13087.433547945206</v>
      </c>
      <c r="Y55" s="757">
        <v>15158.385653005464</v>
      </c>
      <c r="Z55" s="757">
        <v>16220.222534246579</v>
      </c>
      <c r="AA55" s="757">
        <v>17241.86424657534</v>
      </c>
      <c r="AB55" s="757">
        <v>16922.253136986303</v>
      </c>
      <c r="AC55" s="757">
        <v>18719.846038251366</v>
      </c>
      <c r="AD55" s="757">
        <v>19586.621657534248</v>
      </c>
      <c r="AE55" s="757">
        <v>20098.183027397263</v>
      </c>
      <c r="AF55" s="757">
        <v>20269.006629432355</v>
      </c>
      <c r="AG55" s="757">
        <v>20671.362368723578</v>
      </c>
      <c r="AH55" s="757">
        <v>21632.023927104063</v>
      </c>
      <c r="AI55" s="757">
        <v>22878.160283476402</v>
      </c>
      <c r="AJ55" s="757">
        <v>22172.128543750372</v>
      </c>
      <c r="AK55" s="757">
        <v>23657.055289979777</v>
      </c>
      <c r="AL55" s="757">
        <v>23189.203272191564</v>
      </c>
      <c r="AM55" s="757">
        <v>21918.678850508946</v>
      </c>
      <c r="AN55" s="757">
        <v>23582.055749415107</v>
      </c>
      <c r="AO55" s="757">
        <v>24867.669068694198</v>
      </c>
      <c r="AP55" s="757">
        <v>25575.838064126165</v>
      </c>
      <c r="AQ55" s="757">
        <v>25802.260888431705</v>
      </c>
      <c r="AR55" s="757">
        <v>25440.099569836439</v>
      </c>
      <c r="AS55" s="757">
        <v>26517.338227119799</v>
      </c>
      <c r="AT55" s="757">
        <v>24818.075811917464</v>
      </c>
      <c r="AU55" s="757">
        <v>25834.205894489292</v>
      </c>
      <c r="AV55" s="757">
        <v>28082.139814506503</v>
      </c>
      <c r="AW55" s="757">
        <v>28522.715442525223</v>
      </c>
      <c r="AX55" s="757">
        <v>28193.974707776608</v>
      </c>
      <c r="AY55" s="757">
        <v>28496.343096606957</v>
      </c>
      <c r="AZ55" s="757">
        <v>30022.950169061085</v>
      </c>
      <c r="BA55" s="757">
        <v>31848.510950882854</v>
      </c>
      <c r="BB55" s="757">
        <v>31597.002900928892</v>
      </c>
      <c r="BC55" s="758">
        <v>-7.8970112713225848E-3</v>
      </c>
      <c r="BD55" s="758">
        <v>2.1276025626331574E-2</v>
      </c>
      <c r="BE55" s="758">
        <v>0.34104123052432783</v>
      </c>
    </row>
    <row r="56" spans="1:57" x14ac:dyDescent="0.3">
      <c r="B56" s="753"/>
      <c r="C56" s="753"/>
      <c r="D56" s="753"/>
      <c r="E56" s="753"/>
      <c r="F56" s="753"/>
      <c r="G56" s="753"/>
      <c r="H56" s="753"/>
      <c r="I56" s="753"/>
      <c r="J56" s="753"/>
      <c r="K56" s="753"/>
      <c r="L56" s="753"/>
      <c r="M56" s="753"/>
      <c r="N56" s="753"/>
      <c r="O56" s="753"/>
      <c r="P56" s="753"/>
      <c r="Q56" s="753"/>
      <c r="R56" s="753"/>
      <c r="S56" s="753"/>
      <c r="T56" s="753"/>
      <c r="U56" s="753"/>
      <c r="V56" s="753"/>
      <c r="W56" s="753"/>
      <c r="X56" s="753"/>
      <c r="Y56" s="753"/>
      <c r="Z56" s="753"/>
      <c r="AA56" s="753"/>
      <c r="AB56" s="753"/>
      <c r="AC56" s="753"/>
      <c r="AD56" s="753"/>
      <c r="AE56" s="753"/>
      <c r="AF56" s="753"/>
      <c r="AG56" s="753"/>
      <c r="AH56" s="753"/>
      <c r="AI56" s="753"/>
      <c r="AJ56" s="753"/>
      <c r="AK56" s="753"/>
      <c r="AL56" s="753"/>
      <c r="AM56" s="753"/>
      <c r="AN56" s="753"/>
      <c r="AO56" s="753"/>
      <c r="AP56" s="753"/>
      <c r="AQ56" s="753"/>
      <c r="AR56" s="753"/>
      <c r="AS56" s="753"/>
      <c r="AT56" s="753"/>
      <c r="AU56" s="753"/>
      <c r="AV56" s="753"/>
      <c r="AW56" s="753"/>
      <c r="AX56" s="753"/>
      <c r="AY56" s="753"/>
      <c r="AZ56" s="753"/>
      <c r="BA56" s="753"/>
      <c r="BB56" s="754"/>
      <c r="BC56" s="755"/>
      <c r="BD56" s="755"/>
      <c r="BE56" s="755"/>
    </row>
    <row r="57" spans="1:57" x14ac:dyDescent="0.3">
      <c r="A57" s="3" t="s">
        <v>604</v>
      </c>
      <c r="B57" s="753">
        <v>577.37671232876721</v>
      </c>
      <c r="C57" s="753">
        <v>738.58608219178075</v>
      </c>
      <c r="D57" s="753">
        <v>852.03484931506853</v>
      </c>
      <c r="E57" s="753">
        <v>932.91366120218606</v>
      </c>
      <c r="F57" s="753">
        <v>976.90619178082193</v>
      </c>
      <c r="G57" s="753">
        <v>1051.6320000000001</v>
      </c>
      <c r="H57" s="753">
        <v>809.14257534246576</v>
      </c>
      <c r="I57" s="753">
        <v>1089.1089071038252</v>
      </c>
      <c r="J57" s="753">
        <v>1111.1059726027397</v>
      </c>
      <c r="K57" s="753">
        <v>1035.5606575342467</v>
      </c>
      <c r="L57" s="753">
        <v>1002.6586301369863</v>
      </c>
      <c r="M57" s="753">
        <v>1109.1065573770493</v>
      </c>
      <c r="N57" s="753">
        <v>1187.7614246575342</v>
      </c>
      <c r="O57" s="753">
        <v>1270.1682191780824</v>
      </c>
      <c r="P57" s="753">
        <v>1271.208109589041</v>
      </c>
      <c r="Q57" s="753">
        <v>1138.6848633879783</v>
      </c>
      <c r="R57" s="753">
        <v>1048.9296438356164</v>
      </c>
      <c r="S57" s="753">
        <v>1064.8095342465756</v>
      </c>
      <c r="T57" s="753">
        <v>1046.7856438356166</v>
      </c>
      <c r="U57" s="753">
        <v>1137.3719672131149</v>
      </c>
      <c r="V57" s="753">
        <v>1150.8967123287673</v>
      </c>
      <c r="W57" s="753">
        <v>1198.151506849315</v>
      </c>
      <c r="X57" s="753">
        <v>1231.245479452055</v>
      </c>
      <c r="Y57" s="753">
        <v>1254.4794535519127</v>
      </c>
      <c r="Z57" s="753">
        <v>1280.1213698630138</v>
      </c>
      <c r="AA57" s="753">
        <v>1347.4863561643838</v>
      </c>
      <c r="AB57" s="753">
        <v>1350.6136986301369</v>
      </c>
      <c r="AC57" s="753">
        <v>1323.3551912568309</v>
      </c>
      <c r="AD57" s="753">
        <v>1329.1232876712329</v>
      </c>
      <c r="AE57" s="753">
        <v>1323.8100273972605</v>
      </c>
      <c r="AF57" s="753">
        <v>1326.6076164383564</v>
      </c>
      <c r="AG57" s="753">
        <v>1385.8269398907105</v>
      </c>
      <c r="AH57" s="753">
        <v>1420.5226301369867</v>
      </c>
      <c r="AI57" s="753">
        <v>1460.5604383561642</v>
      </c>
      <c r="AJ57" s="753">
        <v>1515.4418630136988</v>
      </c>
      <c r="AK57" s="753">
        <v>1549.1312841530057</v>
      </c>
      <c r="AL57" s="753">
        <v>1534.2477260273974</v>
      </c>
      <c r="AM57" s="753">
        <v>1653.0146849315067</v>
      </c>
      <c r="AN57" s="753">
        <v>1826.281424657534</v>
      </c>
      <c r="AO57" s="753">
        <v>1920.6624590163935</v>
      </c>
      <c r="AP57" s="753">
        <v>1989.9317424657534</v>
      </c>
      <c r="AQ57" s="753">
        <v>1979.4994520547948</v>
      </c>
      <c r="AR57" s="753">
        <v>1992.2731506849316</v>
      </c>
      <c r="AS57" s="753">
        <v>1969.3436505775958</v>
      </c>
      <c r="AT57" s="753">
        <v>1774.8567945205482</v>
      </c>
      <c r="AU57" s="753">
        <v>1689.154</v>
      </c>
      <c r="AV57" s="753">
        <v>1641.5032054794522</v>
      </c>
      <c r="AW57" s="753">
        <v>1536.8090710382514</v>
      </c>
      <c r="AX57" s="753">
        <v>1485.2330410958905</v>
      </c>
      <c r="AY57" s="753">
        <v>1589.0926027397261</v>
      </c>
      <c r="AZ57" s="753">
        <v>1557.6652328767123</v>
      </c>
      <c r="BA57" s="753">
        <v>1576.9972677595631</v>
      </c>
      <c r="BB57" s="754">
        <v>1540.2709863013697</v>
      </c>
      <c r="BC57" s="755">
        <v>-2.3288741337117447E-2</v>
      </c>
      <c r="BD57" s="755">
        <v>-2.2475715089534942E-2</v>
      </c>
      <c r="BE57" s="755">
        <v>1.6624865154337042E-2</v>
      </c>
    </row>
    <row r="58" spans="1:57" x14ac:dyDescent="0.3">
      <c r="A58" s="3" t="s">
        <v>605</v>
      </c>
      <c r="B58" s="753">
        <v>13.297397260273973</v>
      </c>
      <c r="C58" s="753">
        <v>12.810164383561643</v>
      </c>
      <c r="D58" s="753">
        <v>10.901835616438358</v>
      </c>
      <c r="E58" s="753">
        <v>15.184426229508198</v>
      </c>
      <c r="F58" s="753">
        <v>49.900767123287679</v>
      </c>
      <c r="G58" s="753">
        <v>102.8264383561644</v>
      </c>
      <c r="H58" s="753">
        <v>116.14413698630139</v>
      </c>
      <c r="I58" s="753">
        <v>142.87532786885248</v>
      </c>
      <c r="J58" s="753">
        <v>165.963698630137</v>
      </c>
      <c r="K58" s="753">
        <v>173.39400000000001</v>
      </c>
      <c r="L58" s="753">
        <v>158.16797260273972</v>
      </c>
      <c r="M58" s="753">
        <v>153.14000000000001</v>
      </c>
      <c r="N58" s="753">
        <v>143.36827397260276</v>
      </c>
      <c r="O58" s="753">
        <v>131.32956164383563</v>
      </c>
      <c r="P58" s="753">
        <v>146.16986301369866</v>
      </c>
      <c r="Q58" s="753">
        <v>150.3865573770492</v>
      </c>
      <c r="R58" s="753">
        <v>145.31720547945207</v>
      </c>
      <c r="S58" s="753">
        <v>130.1317808219178</v>
      </c>
      <c r="T58" s="753">
        <v>178.44904109589044</v>
      </c>
      <c r="U58" s="753">
        <v>203.95721311475413</v>
      </c>
      <c r="V58" s="753">
        <v>232.49128767123287</v>
      </c>
      <c r="W58" s="753">
        <v>282.71687671232877</v>
      </c>
      <c r="X58" s="753">
        <v>355.39578082191781</v>
      </c>
      <c r="Y58" s="753">
        <v>451.88852459016397</v>
      </c>
      <c r="Z58" s="753">
        <v>459.66361643835614</v>
      </c>
      <c r="AA58" s="753">
        <v>474.64602739726024</v>
      </c>
      <c r="AB58" s="753">
        <v>497.6677808219178</v>
      </c>
      <c r="AC58" s="753">
        <v>549.73696721311478</v>
      </c>
      <c r="AD58" s="753">
        <v>503.67698630136988</v>
      </c>
      <c r="AE58" s="753">
        <v>556.74476712328772</v>
      </c>
      <c r="AF58" s="753">
        <v>632.85460273972603</v>
      </c>
      <c r="AG58" s="753">
        <v>715.97606557377048</v>
      </c>
      <c r="AH58" s="753">
        <v>741.00000000000011</v>
      </c>
      <c r="AI58" s="753">
        <v>730.84931506849318</v>
      </c>
      <c r="AJ58" s="753">
        <v>745.06027397260277</v>
      </c>
      <c r="AK58" s="753">
        <v>746.06147540983625</v>
      </c>
      <c r="AL58" s="753">
        <v>742.01506849315069</v>
      </c>
      <c r="AM58" s="753">
        <v>905.44109589041091</v>
      </c>
      <c r="AN58" s="753">
        <v>869.56306849999999</v>
      </c>
      <c r="AO58" s="753">
        <v>1106.4412076502731</v>
      </c>
      <c r="AP58" s="753">
        <v>1269.0225753424659</v>
      </c>
      <c r="AQ58" s="753">
        <v>1401.4402849315065</v>
      </c>
      <c r="AR58" s="753">
        <v>1655.9906047916097</v>
      </c>
      <c r="AS58" s="753">
        <v>1876.3228850133194</v>
      </c>
      <c r="AT58" s="753">
        <v>1753.8328767123287</v>
      </c>
      <c r="AU58" s="753">
        <v>1812.3182327412242</v>
      </c>
      <c r="AV58" s="753">
        <v>1670.3999368814027</v>
      </c>
      <c r="AW58" s="753">
        <v>1734.063651444184</v>
      </c>
      <c r="AX58" s="753">
        <v>1747.6421150684932</v>
      </c>
      <c r="AY58" s="753">
        <v>1668.098472328767</v>
      </c>
      <c r="AZ58" s="753">
        <v>1772.1632843835612</v>
      </c>
      <c r="BA58" s="753">
        <v>1755.0067147540983</v>
      </c>
      <c r="BB58" s="754">
        <v>1674.3936888991059</v>
      </c>
      <c r="BC58" s="755">
        <v>-4.5933172321957483E-2</v>
      </c>
      <c r="BD58" s="755">
        <v>2.2752190933460037E-2</v>
      </c>
      <c r="BE58" s="755">
        <v>1.8072514213920341E-2</v>
      </c>
    </row>
    <row r="59" spans="1:57" x14ac:dyDescent="0.3">
      <c r="A59" s="3" t="s">
        <v>930</v>
      </c>
      <c r="B59" s="753" t="s">
        <v>915</v>
      </c>
      <c r="C59" s="753" t="s">
        <v>915</v>
      </c>
      <c r="D59" s="753" t="s">
        <v>915</v>
      </c>
      <c r="E59" s="753" t="s">
        <v>915</v>
      </c>
      <c r="F59" s="753" t="s">
        <v>915</v>
      </c>
      <c r="G59" s="753" t="s">
        <v>915</v>
      </c>
      <c r="H59" s="753" t="s">
        <v>915</v>
      </c>
      <c r="I59" s="753" t="s">
        <v>915</v>
      </c>
      <c r="J59" s="753" t="s">
        <v>915</v>
      </c>
      <c r="K59" s="753" t="s">
        <v>915</v>
      </c>
      <c r="L59" s="753" t="s">
        <v>915</v>
      </c>
      <c r="M59" s="753" t="s">
        <v>915</v>
      </c>
      <c r="N59" s="753" t="s">
        <v>915</v>
      </c>
      <c r="O59" s="753" t="s">
        <v>915</v>
      </c>
      <c r="P59" s="753" t="s">
        <v>915</v>
      </c>
      <c r="Q59" s="753" t="s">
        <v>915</v>
      </c>
      <c r="R59" s="753" t="s">
        <v>915</v>
      </c>
      <c r="S59" s="753" t="s">
        <v>915</v>
      </c>
      <c r="T59" s="753" t="s">
        <v>915</v>
      </c>
      <c r="U59" s="753" t="s">
        <v>915</v>
      </c>
      <c r="V59" s="753" t="s">
        <v>915</v>
      </c>
      <c r="W59" s="753" t="s">
        <v>915</v>
      </c>
      <c r="X59" s="753" t="s">
        <v>915</v>
      </c>
      <c r="Y59" s="753" t="s">
        <v>915</v>
      </c>
      <c r="Z59" s="753" t="s">
        <v>915</v>
      </c>
      <c r="AA59" s="753" t="s">
        <v>915</v>
      </c>
      <c r="AB59" s="753" t="s">
        <v>915</v>
      </c>
      <c r="AC59" s="753" t="s">
        <v>915</v>
      </c>
      <c r="AD59" s="753" t="s">
        <v>915</v>
      </c>
      <c r="AE59" s="753" t="s">
        <v>915</v>
      </c>
      <c r="AF59" s="753" t="s">
        <v>915</v>
      </c>
      <c r="AG59" s="753" t="s">
        <v>915</v>
      </c>
      <c r="AH59" s="753" t="s">
        <v>915</v>
      </c>
      <c r="AI59" s="753" t="s">
        <v>915</v>
      </c>
      <c r="AJ59" s="753" t="s">
        <v>915</v>
      </c>
      <c r="AK59" s="753" t="s">
        <v>915</v>
      </c>
      <c r="AL59" s="753" t="s">
        <v>915</v>
      </c>
      <c r="AM59" s="753" t="s">
        <v>915</v>
      </c>
      <c r="AN59" s="753">
        <v>23.561643835616437</v>
      </c>
      <c r="AO59" s="753">
        <v>167.75956284153006</v>
      </c>
      <c r="AP59" s="753">
        <v>173.42465753424656</v>
      </c>
      <c r="AQ59" s="753">
        <v>153.15068493150685</v>
      </c>
      <c r="AR59" s="753">
        <v>143.56164383561645</v>
      </c>
      <c r="AS59" s="753">
        <v>127.04918032786885</v>
      </c>
      <c r="AT59" s="753">
        <v>117.8082191780822</v>
      </c>
      <c r="AU59" s="753">
        <v>121.91780821917808</v>
      </c>
      <c r="AV59" s="753">
        <v>113.6986301369863</v>
      </c>
      <c r="AW59" s="753">
        <v>100.81967213114754</v>
      </c>
      <c r="AX59" s="753">
        <v>90.635397211797709</v>
      </c>
      <c r="AY59" s="753">
        <v>88.804478736051138</v>
      </c>
      <c r="AZ59" s="753">
        <v>110.61388069107183</v>
      </c>
      <c r="BA59" s="753">
        <v>102.95504310515702</v>
      </c>
      <c r="BB59" s="754">
        <v>103.46743949065269</v>
      </c>
      <c r="BC59" s="755">
        <v>4.976894477838556E-3</v>
      </c>
      <c r="BD59" s="755">
        <v>-3.8934763876043221E-2</v>
      </c>
      <c r="BE59" s="755">
        <v>1.1167724671144763E-3</v>
      </c>
    </row>
    <row r="60" spans="1:57" x14ac:dyDescent="0.3">
      <c r="A60" s="3" t="s">
        <v>931</v>
      </c>
      <c r="B60" s="753">
        <v>1.3772054794520547</v>
      </c>
      <c r="C60" s="753">
        <v>1.2026301369863015</v>
      </c>
      <c r="D60" s="753">
        <v>0.96986301369863026</v>
      </c>
      <c r="E60" s="753">
        <v>0.83180327868852477</v>
      </c>
      <c r="F60" s="753">
        <v>0.46553424657534254</v>
      </c>
      <c r="G60" s="753">
        <v>0.36854794520547945</v>
      </c>
      <c r="H60" s="753">
        <v>0.27156164383561643</v>
      </c>
      <c r="I60" s="753">
        <v>6.4996721311475412</v>
      </c>
      <c r="J60" s="753">
        <v>40.559671232876717</v>
      </c>
      <c r="K60" s="753">
        <v>47.620273972602732</v>
      </c>
      <c r="L60" s="753">
        <v>34.701698630136988</v>
      </c>
      <c r="M60" s="753">
        <v>40.622950819672134</v>
      </c>
      <c r="N60" s="753">
        <v>31.792109589041097</v>
      </c>
      <c r="O60" s="753">
        <v>47.135342465753432</v>
      </c>
      <c r="P60" s="753">
        <v>53.575232876712334</v>
      </c>
      <c r="Q60" s="753">
        <v>61.282622950819672</v>
      </c>
      <c r="R60" s="753">
        <v>79.548164383561655</v>
      </c>
      <c r="S60" s="753">
        <v>88.315726027397261</v>
      </c>
      <c r="T60" s="753">
        <v>104.06630136986303</v>
      </c>
      <c r="U60" s="753">
        <v>116.54918032786885</v>
      </c>
      <c r="V60" s="753">
        <v>115.16153424657534</v>
      </c>
      <c r="W60" s="753">
        <v>115.43309589041098</v>
      </c>
      <c r="X60" s="753">
        <v>122.53249315068496</v>
      </c>
      <c r="Y60" s="753">
        <v>136.14491803278688</v>
      </c>
      <c r="Z60" s="753">
        <v>154.44098630136986</v>
      </c>
      <c r="AA60" s="753">
        <v>155.74060273972603</v>
      </c>
      <c r="AB60" s="753">
        <v>156.22553424657534</v>
      </c>
      <c r="AC60" s="753">
        <v>167.09573770491804</v>
      </c>
      <c r="AD60" s="753">
        <v>185.0110684931507</v>
      </c>
      <c r="AE60" s="753">
        <v>185.47660273972605</v>
      </c>
      <c r="AF60" s="753">
        <v>179.75441095890412</v>
      </c>
      <c r="AG60" s="753">
        <v>200.3872131147541</v>
      </c>
      <c r="AH60" s="753">
        <v>224.73665753424658</v>
      </c>
      <c r="AI60" s="753">
        <v>263.78334246575344</v>
      </c>
      <c r="AJ60" s="753">
        <v>266.26600000000002</v>
      </c>
      <c r="AK60" s="753">
        <v>265</v>
      </c>
      <c r="AL60" s="753">
        <v>248</v>
      </c>
      <c r="AM60" s="753">
        <v>238</v>
      </c>
      <c r="AN60" s="753">
        <v>217</v>
      </c>
      <c r="AO60" s="753">
        <v>225</v>
      </c>
      <c r="AP60" s="753">
        <v>246.77609999999999</v>
      </c>
      <c r="AQ60" s="753">
        <v>278.43399999999997</v>
      </c>
      <c r="AR60" s="753">
        <v>223.92850000000001</v>
      </c>
      <c r="AS60" s="753">
        <v>236.73599999999999</v>
      </c>
      <c r="AT60" s="753">
        <v>276.08789999999999</v>
      </c>
      <c r="AU60" s="753">
        <v>313.89350000000002</v>
      </c>
      <c r="AV60" s="753">
        <v>300.56260000000003</v>
      </c>
      <c r="AW60" s="753">
        <v>280.98700000000002</v>
      </c>
      <c r="AX60" s="753">
        <v>249.94219999999999</v>
      </c>
      <c r="AY60" s="753">
        <v>264.4622</v>
      </c>
      <c r="AZ60" s="753">
        <v>246.9667493297982</v>
      </c>
      <c r="BA60" s="753">
        <v>249.54839813134461</v>
      </c>
      <c r="BB60" s="754">
        <v>290.51695866843426</v>
      </c>
      <c r="BC60" s="755">
        <v>0.16417080151132324</v>
      </c>
      <c r="BD60" s="755">
        <v>-1.0893053349322335E-2</v>
      </c>
      <c r="BE60" s="755">
        <v>3.1356854124147131E-3</v>
      </c>
    </row>
    <row r="61" spans="1:57" x14ac:dyDescent="0.3">
      <c r="A61" s="3" t="s">
        <v>932</v>
      </c>
      <c r="B61" s="753">
        <v>126.01041095890412</v>
      </c>
      <c r="C61" s="753">
        <v>121.7115068493151</v>
      </c>
      <c r="D61" s="753">
        <v>108.56191780821919</v>
      </c>
      <c r="E61" s="753">
        <v>166.38442622950822</v>
      </c>
      <c r="F61" s="753">
        <v>239.16301369863012</v>
      </c>
      <c r="G61" s="753">
        <v>319.09150684931507</v>
      </c>
      <c r="H61" s="753">
        <v>290.84712328767125</v>
      </c>
      <c r="I61" s="753">
        <v>207.9562841530055</v>
      </c>
      <c r="J61" s="753">
        <v>164.93397260273974</v>
      </c>
      <c r="K61" s="753">
        <v>144.97616438356167</v>
      </c>
      <c r="L61" s="753">
        <v>228.25041095890413</v>
      </c>
      <c r="M61" s="753">
        <v>322.21584699453558</v>
      </c>
      <c r="N61" s="753">
        <v>406.54794520547955</v>
      </c>
      <c r="O61" s="753">
        <v>490.74164383561651</v>
      </c>
      <c r="P61" s="753">
        <v>509.32000000000016</v>
      </c>
      <c r="Q61" s="753">
        <v>580.12021857923503</v>
      </c>
      <c r="R61" s="753">
        <v>628.00383561643832</v>
      </c>
      <c r="S61" s="753">
        <v>650.7852054794522</v>
      </c>
      <c r="T61" s="753">
        <v>711.80575342465761</v>
      </c>
      <c r="U61" s="753">
        <v>815.94398907103835</v>
      </c>
      <c r="V61" s="753">
        <v>882.02904109589042</v>
      </c>
      <c r="W61" s="753">
        <v>806.47178082191783</v>
      </c>
      <c r="X61" s="753">
        <v>907.48356164383563</v>
      </c>
      <c r="Y61" s="753">
        <v>868.76857923497266</v>
      </c>
      <c r="Z61" s="753">
        <v>878.02219178082191</v>
      </c>
      <c r="AA61" s="753">
        <v>897.13369863013702</v>
      </c>
      <c r="AB61" s="753">
        <v>895.72082191780839</v>
      </c>
      <c r="AC61" s="753">
        <v>905.97103825136628</v>
      </c>
      <c r="AD61" s="753">
        <v>940.68602739726032</v>
      </c>
      <c r="AE61" s="753">
        <v>921.42684931506858</v>
      </c>
      <c r="AF61" s="753">
        <v>923.51068493150706</v>
      </c>
      <c r="AG61" s="753">
        <v>893.82568306010933</v>
      </c>
      <c r="AH61" s="753">
        <v>872.50383561643844</v>
      </c>
      <c r="AI61" s="753">
        <v>856.73095890410968</v>
      </c>
      <c r="AJ61" s="753">
        <v>827.45232876712339</v>
      </c>
      <c r="AK61" s="753">
        <v>778.73901639344274</v>
      </c>
      <c r="AL61" s="753">
        <v>758.4439041095892</v>
      </c>
      <c r="AM61" s="753">
        <v>751.42117808219189</v>
      </c>
      <c r="AN61" s="753">
        <v>749.52109589041106</v>
      </c>
      <c r="AO61" s="753">
        <v>701.05733333333342</v>
      </c>
      <c r="AP61" s="753">
        <v>671.84054794520557</v>
      </c>
      <c r="AQ61" s="753">
        <v>678.6744103013699</v>
      </c>
      <c r="AR61" s="753">
        <v>698.43748667049465</v>
      </c>
      <c r="AS61" s="753">
        <v>715.3029678348222</v>
      </c>
      <c r="AT61" s="753">
        <v>729.98928717906665</v>
      </c>
      <c r="AU61" s="753">
        <v>724.66107784431142</v>
      </c>
      <c r="AV61" s="753">
        <v>714.34181099842556</v>
      </c>
      <c r="AW61" s="753">
        <v>715.2958180209921</v>
      </c>
      <c r="AX61" s="753">
        <v>709.81493295753648</v>
      </c>
      <c r="AY61" s="753">
        <v>714.44553150684931</v>
      </c>
      <c r="AZ61" s="753">
        <v>726.24547945205484</v>
      </c>
      <c r="BA61" s="753">
        <v>691.38729508196741</v>
      </c>
      <c r="BB61" s="754">
        <v>660.20150684931514</v>
      </c>
      <c r="BC61" s="755">
        <v>-4.5106105441169664E-2</v>
      </c>
      <c r="BD61" s="755">
        <v>1.8575884507709972E-3</v>
      </c>
      <c r="BE61" s="755">
        <v>7.125863645861384E-3</v>
      </c>
    </row>
    <row r="62" spans="1:57" x14ac:dyDescent="0.3">
      <c r="A62" s="3" t="s">
        <v>607</v>
      </c>
      <c r="B62" s="753" t="s">
        <v>915</v>
      </c>
      <c r="C62" s="753" t="s">
        <v>915</v>
      </c>
      <c r="D62" s="753" t="s">
        <v>915</v>
      </c>
      <c r="E62" s="753" t="s">
        <v>915</v>
      </c>
      <c r="F62" s="753" t="s">
        <v>915</v>
      </c>
      <c r="G62" s="753" t="s">
        <v>915</v>
      </c>
      <c r="H62" s="753" t="s">
        <v>915</v>
      </c>
      <c r="I62" s="753" t="s">
        <v>915</v>
      </c>
      <c r="J62" s="753" t="s">
        <v>915</v>
      </c>
      <c r="K62" s="753" t="s">
        <v>915</v>
      </c>
      <c r="L62" s="753" t="s">
        <v>915</v>
      </c>
      <c r="M62" s="753" t="s">
        <v>915</v>
      </c>
      <c r="N62" s="753" t="s">
        <v>915</v>
      </c>
      <c r="O62" s="753" t="s">
        <v>915</v>
      </c>
      <c r="P62" s="753" t="s">
        <v>915</v>
      </c>
      <c r="Q62" s="753" t="s">
        <v>915</v>
      </c>
      <c r="R62" s="753" t="s">
        <v>915</v>
      </c>
      <c r="S62" s="753" t="s">
        <v>915</v>
      </c>
      <c r="T62" s="753" t="s">
        <v>915</v>
      </c>
      <c r="U62" s="753" t="s">
        <v>915</v>
      </c>
      <c r="V62" s="753" t="s">
        <v>915</v>
      </c>
      <c r="W62" s="753" t="s">
        <v>915</v>
      </c>
      <c r="X62" s="753" t="s">
        <v>915</v>
      </c>
      <c r="Y62" s="753" t="s">
        <v>915</v>
      </c>
      <c r="Z62" s="753" t="s">
        <v>915</v>
      </c>
      <c r="AA62" s="753" t="s">
        <v>915</v>
      </c>
      <c r="AB62" s="753" t="s">
        <v>915</v>
      </c>
      <c r="AC62" s="753">
        <v>2</v>
      </c>
      <c r="AD62" s="753">
        <v>5</v>
      </c>
      <c r="AE62" s="753">
        <v>5</v>
      </c>
      <c r="AF62" s="753">
        <v>7</v>
      </c>
      <c r="AG62" s="753">
        <v>17</v>
      </c>
      <c r="AH62" s="753">
        <v>60</v>
      </c>
      <c r="AI62" s="753">
        <v>83</v>
      </c>
      <c r="AJ62" s="753">
        <v>100</v>
      </c>
      <c r="AK62" s="753">
        <v>118</v>
      </c>
      <c r="AL62" s="753">
        <v>194</v>
      </c>
      <c r="AM62" s="753">
        <v>230</v>
      </c>
      <c r="AN62" s="753">
        <v>266</v>
      </c>
      <c r="AO62" s="753">
        <v>351</v>
      </c>
      <c r="AP62" s="753">
        <v>380.1807</v>
      </c>
      <c r="AQ62" s="753">
        <v>364.29617260273977</v>
      </c>
      <c r="AR62" s="753">
        <v>373.59771506849313</v>
      </c>
      <c r="AS62" s="753">
        <v>369.11462568306007</v>
      </c>
      <c r="AT62" s="753">
        <v>332.05478630136986</v>
      </c>
      <c r="AU62" s="753">
        <v>306.10959452054794</v>
      </c>
      <c r="AV62" s="753">
        <v>300.64309589041096</v>
      </c>
      <c r="AW62" s="753">
        <v>319.72689617486344</v>
      </c>
      <c r="AX62" s="753">
        <v>282.05649589041093</v>
      </c>
      <c r="AY62" s="753">
        <v>284.3075671232877</v>
      </c>
      <c r="AZ62" s="753">
        <v>259.57510958904112</v>
      </c>
      <c r="BA62" s="753">
        <v>222.8824043715847</v>
      </c>
      <c r="BB62" s="754">
        <v>198.52015234126767</v>
      </c>
      <c r="BC62" s="755">
        <v>-0.10930540748160988</v>
      </c>
      <c r="BD62" s="755">
        <v>-4.7944826018939457E-2</v>
      </c>
      <c r="BE62" s="755">
        <v>2.1427208539564553E-3</v>
      </c>
    </row>
    <row r="63" spans="1:57" x14ac:dyDescent="0.3">
      <c r="A63" s="3" t="s">
        <v>608</v>
      </c>
      <c r="B63" s="753">
        <v>25.334657534246578</v>
      </c>
      <c r="C63" s="753">
        <v>28.979643835616443</v>
      </c>
      <c r="D63" s="753">
        <v>68.994383561643843</v>
      </c>
      <c r="E63" s="753">
        <v>92.693196721311466</v>
      </c>
      <c r="F63" s="753">
        <v>100.67772602739727</v>
      </c>
      <c r="G63" s="753">
        <v>108.60857534246577</v>
      </c>
      <c r="H63" s="753">
        <v>116.05876712328768</v>
      </c>
      <c r="I63" s="753">
        <v>125.8877868852459</v>
      </c>
      <c r="J63" s="753">
        <v>152.14813698630138</v>
      </c>
      <c r="K63" s="753">
        <v>204.3195068493151</v>
      </c>
      <c r="L63" s="753">
        <v>226.60999999999999</v>
      </c>
      <c r="M63" s="753">
        <v>226.17060109289619</v>
      </c>
      <c r="N63" s="753">
        <v>225.64868493150686</v>
      </c>
      <c r="O63" s="753">
        <v>212.29041095890412</v>
      </c>
      <c r="P63" s="753">
        <v>196.22843835616439</v>
      </c>
      <c r="Q63" s="753">
        <v>177.65696721311477</v>
      </c>
      <c r="R63" s="753">
        <v>153.24964383561644</v>
      </c>
      <c r="S63" s="753">
        <v>156.0534794520548</v>
      </c>
      <c r="T63" s="753">
        <v>157.59558904109588</v>
      </c>
      <c r="U63" s="753">
        <v>174.36147540983606</v>
      </c>
      <c r="V63" s="753">
        <v>172.75632876712331</v>
      </c>
      <c r="W63" s="753">
        <v>166.12726027397261</v>
      </c>
      <c r="X63" s="753">
        <v>154.79175342465754</v>
      </c>
      <c r="Y63" s="753">
        <v>177.59704918032787</v>
      </c>
      <c r="Z63" s="753">
        <v>204.82019178082194</v>
      </c>
      <c r="AA63" s="753">
        <v>270.22967123287674</v>
      </c>
      <c r="AB63" s="753">
        <v>294.56295890410962</v>
      </c>
      <c r="AC63" s="753">
        <v>288.64513661202187</v>
      </c>
      <c r="AD63" s="753">
        <v>304.87706849315072</v>
      </c>
      <c r="AE63" s="753">
        <v>337.20128767123293</v>
      </c>
      <c r="AF63" s="753">
        <v>355.60646575342469</v>
      </c>
      <c r="AG63" s="753">
        <v>364.50136612021856</v>
      </c>
      <c r="AH63" s="753">
        <v>364.37846575342468</v>
      </c>
      <c r="AI63" s="753">
        <v>337.42158904109584</v>
      </c>
      <c r="AJ63" s="753">
        <v>339.96506849315074</v>
      </c>
      <c r="AK63" s="753">
        <v>276</v>
      </c>
      <c r="AL63" s="753">
        <v>262</v>
      </c>
      <c r="AM63" s="753">
        <v>256</v>
      </c>
      <c r="AN63" s="753">
        <v>274</v>
      </c>
      <c r="AO63" s="753">
        <v>273</v>
      </c>
      <c r="AP63" s="753">
        <v>270.33010000000002</v>
      </c>
      <c r="AQ63" s="753">
        <v>241.9401</v>
      </c>
      <c r="AR63" s="753">
        <v>245.5558</v>
      </c>
      <c r="AS63" s="753">
        <v>239.5736</v>
      </c>
      <c r="AT63" s="753">
        <v>241.00030000000001</v>
      </c>
      <c r="AU63" s="753">
        <v>249</v>
      </c>
      <c r="AV63" s="753">
        <v>246.21600000000001</v>
      </c>
      <c r="AW63" s="753">
        <v>241.64099999999999</v>
      </c>
      <c r="AX63" s="753">
        <v>226.41300000000001</v>
      </c>
      <c r="AY63" s="753">
        <v>225.86699999999999</v>
      </c>
      <c r="AZ63" s="753">
        <v>224.68600000000001</v>
      </c>
      <c r="BA63" s="753">
        <v>220.24600000000001</v>
      </c>
      <c r="BB63" s="754">
        <v>199.67657724788873</v>
      </c>
      <c r="BC63" s="755">
        <v>-9.3392945851962228E-2</v>
      </c>
      <c r="BD63" s="755">
        <v>-9.3505166206352408E-3</v>
      </c>
      <c r="BE63" s="755">
        <v>2.155202688844391E-3</v>
      </c>
    </row>
    <row r="64" spans="1:57" x14ac:dyDescent="0.3">
      <c r="A64" s="3" t="s">
        <v>609</v>
      </c>
      <c r="B64" s="753">
        <v>1220</v>
      </c>
      <c r="C64" s="753">
        <v>1508</v>
      </c>
      <c r="D64" s="753">
        <v>1733</v>
      </c>
      <c r="E64" s="753">
        <v>2599</v>
      </c>
      <c r="F64" s="753">
        <v>3108</v>
      </c>
      <c r="G64" s="753">
        <v>3357</v>
      </c>
      <c r="H64" s="753">
        <v>2750</v>
      </c>
      <c r="I64" s="753">
        <v>2248</v>
      </c>
      <c r="J64" s="753">
        <v>2211</v>
      </c>
      <c r="K64" s="753">
        <v>1558</v>
      </c>
      <c r="L64" s="753">
        <v>1514</v>
      </c>
      <c r="M64" s="753">
        <v>1972</v>
      </c>
      <c r="N64" s="753">
        <v>2108</v>
      </c>
      <c r="O64" s="753">
        <v>2023</v>
      </c>
      <c r="P64" s="753">
        <v>2139</v>
      </c>
      <c r="Q64" s="753">
        <v>1862</v>
      </c>
      <c r="R64" s="753">
        <v>1253</v>
      </c>
      <c r="S64" s="753">
        <v>1176</v>
      </c>
      <c r="T64" s="753">
        <v>1151</v>
      </c>
      <c r="U64" s="753">
        <v>1022</v>
      </c>
      <c r="V64" s="753">
        <v>1025</v>
      </c>
      <c r="W64" s="753">
        <v>1064</v>
      </c>
      <c r="X64" s="753">
        <v>1003</v>
      </c>
      <c r="Y64" s="753">
        <v>1051</v>
      </c>
      <c r="Z64" s="753">
        <v>1164</v>
      </c>
      <c r="AA64" s="753">
        <v>1424</v>
      </c>
      <c r="AB64" s="753">
        <v>1439</v>
      </c>
      <c r="AC64" s="753">
        <v>1473</v>
      </c>
      <c r="AD64" s="753">
        <v>1402</v>
      </c>
      <c r="AE64" s="753">
        <v>1431</v>
      </c>
      <c r="AF64" s="753">
        <v>1439</v>
      </c>
      <c r="AG64" s="753">
        <v>1452</v>
      </c>
      <c r="AH64" s="753">
        <v>1491</v>
      </c>
      <c r="AI64" s="753">
        <v>1480</v>
      </c>
      <c r="AJ64" s="753">
        <v>1425</v>
      </c>
      <c r="AK64" s="753">
        <v>1474.5902000000001</v>
      </c>
      <c r="AL64" s="753">
        <v>1427.7246</v>
      </c>
      <c r="AM64" s="753">
        <v>1374.8804700000001</v>
      </c>
      <c r="AN64" s="753">
        <v>1485</v>
      </c>
      <c r="AO64" s="753">
        <v>1622.2551010000002</v>
      </c>
      <c r="AP64" s="753">
        <v>1744.6869999999999</v>
      </c>
      <c r="AQ64" s="753">
        <v>1815.2056</v>
      </c>
      <c r="AR64" s="753">
        <v>1819.7397000000001</v>
      </c>
      <c r="AS64" s="753">
        <v>1819.6639</v>
      </c>
      <c r="AT64" s="753">
        <v>1652.0105000000001</v>
      </c>
      <c r="AU64" s="753">
        <v>1658.824247</v>
      </c>
      <c r="AV64" s="753">
        <v>478.77479452054797</v>
      </c>
      <c r="AW64" s="753">
        <v>1509.2403825136616</v>
      </c>
      <c r="AX64" s="753">
        <v>988.6017808219176</v>
      </c>
      <c r="AY64" s="753">
        <v>498.00397260273974</v>
      </c>
      <c r="AZ64" s="753">
        <v>431.93150000000003</v>
      </c>
      <c r="BA64" s="753">
        <v>426.09289999999999</v>
      </c>
      <c r="BB64" s="754">
        <v>864.56164383561645</v>
      </c>
      <c r="BC64" s="755">
        <v>1.0290449426301551</v>
      </c>
      <c r="BD64" s="755">
        <v>-0.13491686088993249</v>
      </c>
      <c r="BE64" s="755">
        <v>9.3316181855072778E-3</v>
      </c>
    </row>
    <row r="65" spans="1:57" x14ac:dyDescent="0.3">
      <c r="A65" s="3" t="s">
        <v>610</v>
      </c>
      <c r="B65" s="753">
        <v>274.2</v>
      </c>
      <c r="C65" s="753">
        <v>417.6</v>
      </c>
      <c r="D65" s="753">
        <v>319.10000000000002</v>
      </c>
      <c r="E65" s="753">
        <v>141.30000000000001</v>
      </c>
      <c r="F65" s="753">
        <v>540.29999999999995</v>
      </c>
      <c r="G65" s="753">
        <v>1083.0999999999999</v>
      </c>
      <c r="H65" s="753">
        <v>1531.2</v>
      </c>
      <c r="I65" s="753">
        <v>1815.7</v>
      </c>
      <c r="J65" s="753">
        <v>2054.3000000000002</v>
      </c>
      <c r="K65" s="753">
        <v>2255</v>
      </c>
      <c r="L65" s="753">
        <v>1783.2</v>
      </c>
      <c r="M65" s="753">
        <v>2066.7860000000001</v>
      </c>
      <c r="N65" s="753">
        <v>2085.0990000000002</v>
      </c>
      <c r="O65" s="753">
        <v>1896.992</v>
      </c>
      <c r="P65" s="753">
        <v>2301.9949999999999</v>
      </c>
      <c r="Q65" s="753">
        <v>2058</v>
      </c>
      <c r="R65" s="753">
        <v>1439.6</v>
      </c>
      <c r="S65" s="753">
        <v>1287</v>
      </c>
      <c r="T65" s="753">
        <v>1235.5</v>
      </c>
      <c r="U65" s="753">
        <v>1388</v>
      </c>
      <c r="V65" s="753">
        <v>1498.9</v>
      </c>
      <c r="W65" s="753">
        <v>1466.6</v>
      </c>
      <c r="X65" s="753">
        <v>1353</v>
      </c>
      <c r="Y65" s="753">
        <v>1391.3489999999999</v>
      </c>
      <c r="Z65" s="753">
        <v>1776.3</v>
      </c>
      <c r="AA65" s="753">
        <v>1786.701</v>
      </c>
      <c r="AB65" s="753">
        <v>1963.1</v>
      </c>
      <c r="AC65" s="753">
        <v>2032</v>
      </c>
      <c r="AD65" s="753">
        <v>2018.2</v>
      </c>
      <c r="AE65" s="753">
        <v>1933.877</v>
      </c>
      <c r="AF65" s="753">
        <v>1948.5940000000001</v>
      </c>
      <c r="AG65" s="753">
        <v>1971.067</v>
      </c>
      <c r="AH65" s="753">
        <v>1977.741</v>
      </c>
      <c r="AI65" s="753">
        <v>2023.046</v>
      </c>
      <c r="AJ65" s="753">
        <v>1894.5</v>
      </c>
      <c r="AK65" s="753">
        <v>2174.9115000000002</v>
      </c>
      <c r="AL65" s="753">
        <v>2158.0383999999999</v>
      </c>
      <c r="AM65" s="753">
        <v>1951.7</v>
      </c>
      <c r="AN65" s="753">
        <v>2299.5812999999998</v>
      </c>
      <c r="AO65" s="753">
        <v>2487.4569999999999</v>
      </c>
      <c r="AP65" s="753">
        <v>2482.8745000000004</v>
      </c>
      <c r="AQ65" s="753">
        <v>2372.0924</v>
      </c>
      <c r="AR65" s="753">
        <v>2207.5235000000002</v>
      </c>
      <c r="AS65" s="753">
        <v>2173.8497213114752</v>
      </c>
      <c r="AT65" s="753">
        <v>2212.2315616438354</v>
      </c>
      <c r="AU65" s="753">
        <v>2534.4424410958904</v>
      </c>
      <c r="AV65" s="753">
        <v>2462.792608219178</v>
      </c>
      <c r="AW65" s="753">
        <v>2413.2048551912567</v>
      </c>
      <c r="AX65" s="753">
        <v>2280.179087671233</v>
      </c>
      <c r="AY65" s="753">
        <v>2278.4031753424656</v>
      </c>
      <c r="AZ65" s="753">
        <v>2203.5076356164386</v>
      </c>
      <c r="BA65" s="753">
        <v>1903.0632732240438</v>
      </c>
      <c r="BB65" s="754">
        <v>1987.7535787047248</v>
      </c>
      <c r="BC65" s="755">
        <v>4.4502096526304324E-2</v>
      </c>
      <c r="BD65" s="755">
        <v>-2.1789854948853882E-2</v>
      </c>
      <c r="BE65" s="755">
        <v>2.145475406595182E-2</v>
      </c>
    </row>
    <row r="66" spans="1:57" x14ac:dyDescent="0.3">
      <c r="A66" s="3" t="s">
        <v>933</v>
      </c>
      <c r="B66" s="753" t="s">
        <v>915</v>
      </c>
      <c r="C66" s="753" t="s">
        <v>915</v>
      </c>
      <c r="D66" s="753" t="s">
        <v>915</v>
      </c>
      <c r="E66" s="753" t="s">
        <v>915</v>
      </c>
      <c r="F66" s="753" t="s">
        <v>915</v>
      </c>
      <c r="G66" s="753" t="s">
        <v>915</v>
      </c>
      <c r="H66" s="753" t="s">
        <v>915</v>
      </c>
      <c r="I66" s="753" t="s">
        <v>915</v>
      </c>
      <c r="J66" s="753" t="s">
        <v>915</v>
      </c>
      <c r="K66" s="753" t="s">
        <v>915</v>
      </c>
      <c r="L66" s="753" t="s">
        <v>915</v>
      </c>
      <c r="M66" s="753" t="s">
        <v>915</v>
      </c>
      <c r="N66" s="753" t="s">
        <v>915</v>
      </c>
      <c r="O66" s="753" t="s">
        <v>915</v>
      </c>
      <c r="P66" s="753" t="s">
        <v>915</v>
      </c>
      <c r="Q66" s="753" t="s">
        <v>915</v>
      </c>
      <c r="R66" s="753" t="s">
        <v>915</v>
      </c>
      <c r="S66" s="753" t="s">
        <v>915</v>
      </c>
      <c r="T66" s="753" t="s">
        <v>915</v>
      </c>
      <c r="U66" s="753" t="s">
        <v>915</v>
      </c>
      <c r="V66" s="753" t="s">
        <v>915</v>
      </c>
      <c r="W66" s="753" t="s">
        <v>915</v>
      </c>
      <c r="X66" s="753" t="s">
        <v>915</v>
      </c>
      <c r="Y66" s="753" t="s">
        <v>915</v>
      </c>
      <c r="Z66" s="753" t="s">
        <v>915</v>
      </c>
      <c r="AA66" s="753" t="s">
        <v>915</v>
      </c>
      <c r="AB66" s="753" t="s">
        <v>915</v>
      </c>
      <c r="AC66" s="753" t="s">
        <v>915</v>
      </c>
      <c r="AD66" s="753" t="s">
        <v>915</v>
      </c>
      <c r="AE66" s="753" t="s">
        <v>915</v>
      </c>
      <c r="AF66" s="753" t="s">
        <v>915</v>
      </c>
      <c r="AG66" s="753" t="s">
        <v>915</v>
      </c>
      <c r="AH66" s="753" t="s">
        <v>915</v>
      </c>
      <c r="AI66" s="753" t="s">
        <v>915</v>
      </c>
      <c r="AJ66" s="753" t="s">
        <v>915</v>
      </c>
      <c r="AK66" s="753" t="s">
        <v>915</v>
      </c>
      <c r="AL66" s="753" t="s">
        <v>915</v>
      </c>
      <c r="AM66" s="753" t="s">
        <v>915</v>
      </c>
      <c r="AN66" s="753" t="s">
        <v>915</v>
      </c>
      <c r="AO66" s="753" t="s">
        <v>915</v>
      </c>
      <c r="AP66" s="753" t="s">
        <v>915</v>
      </c>
      <c r="AQ66" s="753" t="s">
        <v>915</v>
      </c>
      <c r="AR66" s="753" t="s">
        <v>915</v>
      </c>
      <c r="AS66" s="753" t="s">
        <v>915</v>
      </c>
      <c r="AT66" s="753" t="s">
        <v>915</v>
      </c>
      <c r="AU66" s="753" t="s">
        <v>915</v>
      </c>
      <c r="AV66" s="753" t="s">
        <v>915</v>
      </c>
      <c r="AW66" s="753">
        <v>31.041</v>
      </c>
      <c r="AX66" s="753">
        <v>99.728800000000007</v>
      </c>
      <c r="AY66" s="753">
        <v>155.35159999999999</v>
      </c>
      <c r="AZ66" s="753">
        <v>147.73759999999999</v>
      </c>
      <c r="BA66" s="753">
        <v>117.2666</v>
      </c>
      <c r="BB66" s="754">
        <v>108.55549999999999</v>
      </c>
      <c r="BC66" s="755">
        <v>-7.4284578899703746E-2</v>
      </c>
      <c r="BD66" s="755" t="s">
        <v>915</v>
      </c>
      <c r="BE66" s="755">
        <v>1.1716902839254825E-3</v>
      </c>
    </row>
    <row r="67" spans="1:57" x14ac:dyDescent="0.3">
      <c r="A67" s="3" t="s">
        <v>934</v>
      </c>
      <c r="B67" s="753" t="s">
        <v>915</v>
      </c>
      <c r="C67" s="753" t="s">
        <v>915</v>
      </c>
      <c r="D67" s="753" t="s">
        <v>915</v>
      </c>
      <c r="E67" s="753" t="s">
        <v>915</v>
      </c>
      <c r="F67" s="753" t="s">
        <v>915</v>
      </c>
      <c r="G67" s="753" t="s">
        <v>915</v>
      </c>
      <c r="H67" s="753" t="s">
        <v>915</v>
      </c>
      <c r="I67" s="753" t="s">
        <v>915</v>
      </c>
      <c r="J67" s="753" t="s">
        <v>915</v>
      </c>
      <c r="K67" s="753" t="s">
        <v>915</v>
      </c>
      <c r="L67" s="753" t="s">
        <v>915</v>
      </c>
      <c r="M67" s="753" t="s">
        <v>915</v>
      </c>
      <c r="N67" s="753" t="s">
        <v>915</v>
      </c>
      <c r="O67" s="753" t="s">
        <v>915</v>
      </c>
      <c r="P67" s="753" t="s">
        <v>915</v>
      </c>
      <c r="Q67" s="753" t="s">
        <v>915</v>
      </c>
      <c r="R67" s="753" t="s">
        <v>915</v>
      </c>
      <c r="S67" s="753" t="s">
        <v>915</v>
      </c>
      <c r="T67" s="753" t="s">
        <v>915</v>
      </c>
      <c r="U67" s="753" t="s">
        <v>915</v>
      </c>
      <c r="V67" s="753" t="s">
        <v>915</v>
      </c>
      <c r="W67" s="753" t="s">
        <v>915</v>
      </c>
      <c r="X67" s="753" t="s">
        <v>915</v>
      </c>
      <c r="Y67" s="753" t="s">
        <v>915</v>
      </c>
      <c r="Z67" s="753" t="s">
        <v>915</v>
      </c>
      <c r="AA67" s="753" t="s">
        <v>915</v>
      </c>
      <c r="AB67" s="753" t="s">
        <v>915</v>
      </c>
      <c r="AC67" s="753" t="s">
        <v>915</v>
      </c>
      <c r="AD67" s="753">
        <v>2</v>
      </c>
      <c r="AE67" s="753">
        <v>2</v>
      </c>
      <c r="AF67" s="753">
        <v>2</v>
      </c>
      <c r="AG67" s="753">
        <v>5</v>
      </c>
      <c r="AH67" s="753">
        <v>9</v>
      </c>
      <c r="AI67" s="753">
        <v>12</v>
      </c>
      <c r="AJ67" s="753">
        <v>63</v>
      </c>
      <c r="AK67" s="753">
        <v>179.13190437158471</v>
      </c>
      <c r="AL67" s="753">
        <v>209.00812054794523</v>
      </c>
      <c r="AM67" s="753">
        <v>236.18449041095892</v>
      </c>
      <c r="AN67" s="753">
        <v>262.13031506849313</v>
      </c>
      <c r="AO67" s="753">
        <v>291.13726724043715</v>
      </c>
      <c r="AP67" s="753">
        <v>293.68041441095892</v>
      </c>
      <c r="AQ67" s="753">
        <v>356.16085090410957</v>
      </c>
      <c r="AR67" s="753">
        <v>483.11566027397265</v>
      </c>
      <c r="AS67" s="753">
        <v>456.95145901639341</v>
      </c>
      <c r="AT67" s="753">
        <v>475.21246301369865</v>
      </c>
      <c r="AU67" s="753">
        <v>462.07089589041095</v>
      </c>
      <c r="AV67" s="753">
        <v>291.00227123287669</v>
      </c>
      <c r="AW67" s="753">
        <v>103.1075</v>
      </c>
      <c r="AX67" s="753">
        <v>117.85339999999999</v>
      </c>
      <c r="AY67" s="753">
        <v>119.6045</v>
      </c>
      <c r="AZ67" s="753">
        <v>109.06215616438355</v>
      </c>
      <c r="BA67" s="753">
        <v>103.61358196721312</v>
      </c>
      <c r="BB67" s="754">
        <v>86.041264115736325</v>
      </c>
      <c r="BC67" s="755">
        <v>-0.16959473379693868</v>
      </c>
      <c r="BD67" s="755">
        <v>-0.11615308426750803</v>
      </c>
      <c r="BE67" s="755">
        <v>9.2868360590734255E-4</v>
      </c>
    </row>
    <row r="68" spans="1:57" x14ac:dyDescent="0.3">
      <c r="A68" s="3" t="s">
        <v>935</v>
      </c>
      <c r="B68" s="753" t="s">
        <v>915</v>
      </c>
      <c r="C68" s="753">
        <v>16.243808219178085</v>
      </c>
      <c r="D68" s="753">
        <v>47.21449315068493</v>
      </c>
      <c r="E68" s="753">
        <v>67.045874316939887</v>
      </c>
      <c r="F68" s="753">
        <v>78.100904109589052</v>
      </c>
      <c r="G68" s="753">
        <v>87.45531506849315</v>
      </c>
      <c r="H68" s="753">
        <v>86.570438356164388</v>
      </c>
      <c r="I68" s="753">
        <v>83.560464480874316</v>
      </c>
      <c r="J68" s="753">
        <v>81.703616438356178</v>
      </c>
      <c r="K68" s="753">
        <v>87.202493150684944</v>
      </c>
      <c r="L68" s="753">
        <v>97.104684931506853</v>
      </c>
      <c r="M68" s="753">
        <v>77.950546448087437</v>
      </c>
      <c r="N68" s="753">
        <v>90.678794520547953</v>
      </c>
      <c r="O68" s="753">
        <v>104.16263013698631</v>
      </c>
      <c r="P68" s="753">
        <v>116.63517808219181</v>
      </c>
      <c r="Q68" s="753">
        <v>118.22849726775958</v>
      </c>
      <c r="R68" s="753">
        <v>113.91734246575344</v>
      </c>
      <c r="S68" s="753">
        <v>108.41846575342467</v>
      </c>
      <c r="T68" s="753">
        <v>116.55090410958904</v>
      </c>
      <c r="U68" s="753">
        <v>115.13989071038253</v>
      </c>
      <c r="V68" s="753">
        <v>113.93841095890411</v>
      </c>
      <c r="W68" s="753">
        <v>110.60958904109589</v>
      </c>
      <c r="X68" s="753">
        <v>105.61652054794521</v>
      </c>
      <c r="Y68" s="753">
        <v>103.88666666666668</v>
      </c>
      <c r="Z68" s="753">
        <v>104.70857534246576</v>
      </c>
      <c r="AA68" s="753">
        <v>101.74953424657534</v>
      </c>
      <c r="AB68" s="753">
        <v>116.60071232876713</v>
      </c>
      <c r="AC68" s="753">
        <v>116.62377049180328</v>
      </c>
      <c r="AD68" s="753">
        <v>105.94761643835618</v>
      </c>
      <c r="AE68" s="753">
        <v>97.63460273972602</v>
      </c>
      <c r="AF68" s="753">
        <v>95.221780821917818</v>
      </c>
      <c r="AG68" s="753">
        <v>94.242595628415302</v>
      </c>
      <c r="AH68" s="753">
        <v>89.60931506849316</v>
      </c>
      <c r="AI68" s="753">
        <v>87.521205479452064</v>
      </c>
      <c r="AJ68" s="753">
        <v>90.178356164383572</v>
      </c>
      <c r="AK68" s="753">
        <v>82.396120218579242</v>
      </c>
      <c r="AL68" s="753">
        <v>76.117150684931502</v>
      </c>
      <c r="AM68" s="753">
        <v>79.554520547945202</v>
      </c>
      <c r="AN68" s="753">
        <v>72.79446575342466</v>
      </c>
      <c r="AO68" s="753">
        <v>74.821748633879778</v>
      </c>
      <c r="AP68" s="753">
        <v>78.372547945205483</v>
      </c>
      <c r="AQ68" s="753">
        <v>75.65112328767124</v>
      </c>
      <c r="AR68" s="753">
        <v>104.201698630137</v>
      </c>
      <c r="AS68" s="753">
        <v>95.718852459016389</v>
      </c>
      <c r="AT68" s="753">
        <v>91.292219178082206</v>
      </c>
      <c r="AU68" s="753">
        <v>82.898849315068489</v>
      </c>
      <c r="AV68" s="753">
        <v>76.557452054794524</v>
      </c>
      <c r="AW68" s="753">
        <v>82.152213114754105</v>
      </c>
      <c r="AX68" s="753">
        <v>76.245972602739727</v>
      </c>
      <c r="AY68" s="753">
        <v>71.02038356164384</v>
      </c>
      <c r="AZ68" s="753">
        <v>63.634630136986317</v>
      </c>
      <c r="BA68" s="753">
        <v>59.716912568306014</v>
      </c>
      <c r="BB68" s="754">
        <v>52.678795729476406</v>
      </c>
      <c r="BC68" s="755">
        <v>-0.11785801603154211</v>
      </c>
      <c r="BD68" s="755">
        <v>-2.3374192240328218E-2</v>
      </c>
      <c r="BE68" s="755">
        <v>5.6858688067507133E-4</v>
      </c>
    </row>
    <row r="69" spans="1:57" x14ac:dyDescent="0.3">
      <c r="A69" s="3" t="s">
        <v>936</v>
      </c>
      <c r="B69" s="753">
        <v>2.1390136986301371</v>
      </c>
      <c r="C69" s="753">
        <v>2.1390136986301371</v>
      </c>
      <c r="D69" s="753">
        <v>2.0559452054794525</v>
      </c>
      <c r="E69" s="753">
        <v>1.8432240437158469</v>
      </c>
      <c r="F69" s="753">
        <v>1.2044931506849317</v>
      </c>
      <c r="G69" s="753">
        <v>0.91375342465753417</v>
      </c>
      <c r="H69" s="753">
        <v>0.47764383561643836</v>
      </c>
      <c r="I69" s="753">
        <v>0.57989071038251372</v>
      </c>
      <c r="J69" s="753">
        <v>0.87221917808219185</v>
      </c>
      <c r="K69" s="753">
        <v>0.51917808219178085</v>
      </c>
      <c r="L69" s="753">
        <v>0.41534246575342471</v>
      </c>
      <c r="M69" s="753">
        <v>25.186393442622951</v>
      </c>
      <c r="N69" s="753">
        <v>24.207506849315067</v>
      </c>
      <c r="O69" s="753">
        <v>30.844301369863015</v>
      </c>
      <c r="P69" s="753">
        <v>54.995150684931509</v>
      </c>
      <c r="Q69" s="753">
        <v>77.54002732240437</v>
      </c>
      <c r="R69" s="753">
        <v>119.13243835616439</v>
      </c>
      <c r="S69" s="753">
        <v>149.31164383561645</v>
      </c>
      <c r="T69" s="753">
        <v>163.01364383561642</v>
      </c>
      <c r="U69" s="753">
        <v>205.29314207650276</v>
      </c>
      <c r="V69" s="753">
        <v>241.47572602739726</v>
      </c>
      <c r="W69" s="753">
        <v>232.71158904109592</v>
      </c>
      <c r="X69" s="753">
        <v>218.84679452054795</v>
      </c>
      <c r="Y69" s="753">
        <v>211.12046448087432</v>
      </c>
      <c r="Z69" s="753">
        <v>195.84005479452054</v>
      </c>
      <c r="AA69" s="753">
        <v>189.85227397260272</v>
      </c>
      <c r="AB69" s="753">
        <v>175.95816438356167</v>
      </c>
      <c r="AC69" s="753">
        <v>163.12306010928964</v>
      </c>
      <c r="AD69" s="753">
        <v>166.27238356164384</v>
      </c>
      <c r="AE69" s="753">
        <v>157.14635616438358</v>
      </c>
      <c r="AF69" s="753">
        <v>157.17052054794522</v>
      </c>
      <c r="AG69" s="753">
        <v>171.87046448087435</v>
      </c>
      <c r="AH69" s="753">
        <v>188.14010958904109</v>
      </c>
      <c r="AI69" s="753">
        <v>167.54843835616438</v>
      </c>
      <c r="AJ69" s="753">
        <v>150.51243835616438</v>
      </c>
      <c r="AK69" s="753">
        <v>145.08125683060109</v>
      </c>
      <c r="AL69" s="753">
        <v>136.24260273972601</v>
      </c>
      <c r="AM69" s="753">
        <v>136.36390136986302</v>
      </c>
      <c r="AN69" s="753">
        <v>140.25748493150687</v>
      </c>
      <c r="AO69" s="753">
        <v>172.67150819672133</v>
      </c>
      <c r="AP69" s="753">
        <v>177.19656856985</v>
      </c>
      <c r="AQ69" s="753">
        <v>227.04393187474292</v>
      </c>
      <c r="AR69" s="753">
        <v>191.11831571944339</v>
      </c>
      <c r="AS69" s="753">
        <v>183.72795081967212</v>
      </c>
      <c r="AT69" s="753">
        <v>181.47737602739727</v>
      </c>
      <c r="AU69" s="753">
        <v>148.81200547945204</v>
      </c>
      <c r="AV69" s="753">
        <v>197.9462219178082</v>
      </c>
      <c r="AW69" s="753">
        <v>195.9979836065574</v>
      </c>
      <c r="AX69" s="753">
        <v>225.37847123287673</v>
      </c>
      <c r="AY69" s="753">
        <v>233.85993972602739</v>
      </c>
      <c r="AZ69" s="753">
        <v>276.44387514477881</v>
      </c>
      <c r="BA69" s="753">
        <v>257.98155810478784</v>
      </c>
      <c r="BB69" s="754">
        <v>305.54278368288584</v>
      </c>
      <c r="BC69" s="755">
        <v>0.18435901359576801</v>
      </c>
      <c r="BD69" s="755">
        <v>1.285639901728719E-2</v>
      </c>
      <c r="BE69" s="755">
        <v>3.2978661695149745E-3</v>
      </c>
    </row>
    <row r="70" spans="1:57" x14ac:dyDescent="0.3">
      <c r="A70" s="756" t="s">
        <v>937</v>
      </c>
      <c r="B70" s="757">
        <v>2239.7353972602741</v>
      </c>
      <c r="C70" s="757">
        <v>2847.2728493150685</v>
      </c>
      <c r="D70" s="757">
        <v>3142.8332876712329</v>
      </c>
      <c r="E70" s="757">
        <v>4017.1966120218581</v>
      </c>
      <c r="F70" s="757">
        <v>5094.7186301369866</v>
      </c>
      <c r="G70" s="757">
        <v>6110.9961369863022</v>
      </c>
      <c r="H70" s="757">
        <v>5700.7122465753419</v>
      </c>
      <c r="I70" s="757">
        <v>5720.1683333333331</v>
      </c>
      <c r="J70" s="757">
        <v>5982.5872876712328</v>
      </c>
      <c r="K70" s="757">
        <v>5506.5922739726029</v>
      </c>
      <c r="L70" s="757">
        <v>5045.1087397260271</v>
      </c>
      <c r="M70" s="757">
        <v>5993.1788961748625</v>
      </c>
      <c r="N70" s="757">
        <v>6303.1037397260288</v>
      </c>
      <c r="O70" s="757">
        <v>6206.6641095890418</v>
      </c>
      <c r="P70" s="757">
        <v>6789.1269726027394</v>
      </c>
      <c r="Q70" s="757">
        <v>6223.899754098361</v>
      </c>
      <c r="R70" s="757">
        <v>4980.6982739726027</v>
      </c>
      <c r="S70" s="757">
        <v>4810.8258356164388</v>
      </c>
      <c r="T70" s="757">
        <v>4864.7668767123296</v>
      </c>
      <c r="U70" s="757">
        <v>5178.6168579234973</v>
      </c>
      <c r="V70" s="757">
        <v>5432.6490410958904</v>
      </c>
      <c r="W70" s="757">
        <v>5442.8216986301377</v>
      </c>
      <c r="X70" s="757">
        <v>5451.9123835616447</v>
      </c>
      <c r="Y70" s="757">
        <v>5646.2346557377041</v>
      </c>
      <c r="Z70" s="757">
        <v>6217.9169863013694</v>
      </c>
      <c r="AA70" s="757">
        <v>6647.5391643835628</v>
      </c>
      <c r="AB70" s="757">
        <v>6889.4496712328764</v>
      </c>
      <c r="AC70" s="757">
        <v>7021.5509016393453</v>
      </c>
      <c r="AD70" s="757">
        <v>6962.7944383561644</v>
      </c>
      <c r="AE70" s="757">
        <v>6951.3174931506837</v>
      </c>
      <c r="AF70" s="757">
        <v>7067.3200821917817</v>
      </c>
      <c r="AG70" s="757">
        <v>7271.6973278688529</v>
      </c>
      <c r="AH70" s="757">
        <v>7438.6320136986305</v>
      </c>
      <c r="AI70" s="757">
        <v>7502.4612876712326</v>
      </c>
      <c r="AJ70" s="757">
        <v>7417.3763287671236</v>
      </c>
      <c r="AK70" s="757">
        <v>7789.0427573770503</v>
      </c>
      <c r="AL70" s="757">
        <v>7745.8375726027398</v>
      </c>
      <c r="AM70" s="757">
        <v>7812.5603412328765</v>
      </c>
      <c r="AN70" s="757">
        <v>8485.6907986369843</v>
      </c>
      <c r="AO70" s="757">
        <v>9393.2631879125693</v>
      </c>
      <c r="AP70" s="757">
        <v>9778.3174542136858</v>
      </c>
      <c r="AQ70" s="757">
        <v>9943.5890108884414</v>
      </c>
      <c r="AR70" s="757">
        <v>10139.043775674698</v>
      </c>
      <c r="AS70" s="757">
        <v>10263.354793043225</v>
      </c>
      <c r="AT70" s="757">
        <v>9837.8542837544101</v>
      </c>
      <c r="AU70" s="757">
        <v>10104.102652106083</v>
      </c>
      <c r="AV70" s="757">
        <v>8494.4386273318851</v>
      </c>
      <c r="AW70" s="757">
        <v>9264.0870432356678</v>
      </c>
      <c r="AX70" s="757">
        <v>8579.7246945528932</v>
      </c>
      <c r="AY70" s="757">
        <v>8191.3214236675594</v>
      </c>
      <c r="AZ70" s="757">
        <v>8130.2331333848279</v>
      </c>
      <c r="BA70" s="757">
        <v>7686.7579490680646</v>
      </c>
      <c r="BB70" s="757">
        <v>8072.1808758664729</v>
      </c>
      <c r="BC70" s="758">
        <v>5.0141155653943281E-2</v>
      </c>
      <c r="BD70" s="758">
        <v>-2.5414368981556357E-2</v>
      </c>
      <c r="BE70" s="758">
        <v>8.7126823627930755E-2</v>
      </c>
    </row>
    <row r="71" spans="1:57" x14ac:dyDescent="0.3">
      <c r="B71" s="753"/>
      <c r="C71" s="753"/>
      <c r="D71" s="753"/>
      <c r="E71" s="753"/>
      <c r="F71" s="753"/>
      <c r="G71" s="753"/>
      <c r="H71" s="753"/>
      <c r="I71" s="753"/>
      <c r="J71" s="753"/>
      <c r="K71" s="753"/>
      <c r="L71" s="753"/>
      <c r="M71" s="753"/>
      <c r="N71" s="753"/>
      <c r="O71" s="753"/>
      <c r="P71" s="753"/>
      <c r="Q71" s="753"/>
      <c r="R71" s="753"/>
      <c r="S71" s="753"/>
      <c r="T71" s="753"/>
      <c r="U71" s="753"/>
      <c r="V71" s="753"/>
      <c r="W71" s="753"/>
      <c r="X71" s="753"/>
      <c r="Y71" s="753"/>
      <c r="Z71" s="753"/>
      <c r="AA71" s="753"/>
      <c r="AB71" s="753"/>
      <c r="AC71" s="753"/>
      <c r="AD71" s="753"/>
      <c r="AE71" s="753"/>
      <c r="AF71" s="753"/>
      <c r="AG71" s="753"/>
      <c r="AH71" s="753"/>
      <c r="AI71" s="753"/>
      <c r="AJ71" s="753"/>
      <c r="AK71" s="753"/>
      <c r="AL71" s="753"/>
      <c r="AM71" s="753"/>
      <c r="AN71" s="753"/>
      <c r="AO71" s="753"/>
      <c r="AP71" s="753"/>
      <c r="AQ71" s="753"/>
      <c r="AR71" s="753"/>
      <c r="AS71" s="753"/>
      <c r="AT71" s="753"/>
      <c r="AU71" s="753"/>
      <c r="AV71" s="753"/>
      <c r="AW71" s="753"/>
      <c r="AX71" s="753"/>
      <c r="AY71" s="753"/>
      <c r="AZ71" s="753"/>
      <c r="BA71" s="753"/>
      <c r="BB71" s="754"/>
      <c r="BC71" s="755"/>
      <c r="BD71" s="755"/>
      <c r="BE71" s="755"/>
    </row>
    <row r="72" spans="1:57" x14ac:dyDescent="0.3">
      <c r="A72" s="3" t="s">
        <v>645</v>
      </c>
      <c r="B72" s="753">
        <v>7</v>
      </c>
      <c r="C72" s="753">
        <v>9</v>
      </c>
      <c r="D72" s="753">
        <v>21</v>
      </c>
      <c r="E72" s="753">
        <v>39</v>
      </c>
      <c r="F72" s="753">
        <v>45</v>
      </c>
      <c r="G72" s="753">
        <v>176</v>
      </c>
      <c r="H72" s="753">
        <v>315</v>
      </c>
      <c r="I72" s="753">
        <v>337</v>
      </c>
      <c r="J72" s="753">
        <v>424</v>
      </c>
      <c r="K72" s="753">
        <v>420</v>
      </c>
      <c r="L72" s="753">
        <v>451</v>
      </c>
      <c r="M72" s="753">
        <v>461</v>
      </c>
      <c r="N72" s="753">
        <v>490</v>
      </c>
      <c r="O72" s="753">
        <v>490</v>
      </c>
      <c r="P72" s="753">
        <v>491</v>
      </c>
      <c r="Q72" s="753">
        <v>460</v>
      </c>
      <c r="R72" s="753">
        <v>449</v>
      </c>
      <c r="S72" s="753">
        <v>443</v>
      </c>
      <c r="T72" s="753">
        <v>431</v>
      </c>
      <c r="U72" s="753">
        <v>562.76671874177964</v>
      </c>
      <c r="V72" s="753">
        <v>655.20117958200103</v>
      </c>
      <c r="W72" s="753">
        <v>588.21744984895827</v>
      </c>
      <c r="X72" s="753">
        <v>623.40707883734137</v>
      </c>
      <c r="Y72" s="753">
        <v>592.68936549634213</v>
      </c>
      <c r="Z72" s="753">
        <v>562.35565499611278</v>
      </c>
      <c r="AA72" s="753">
        <v>647.17938327253171</v>
      </c>
      <c r="AB72" s="753">
        <v>613.08503786037113</v>
      </c>
      <c r="AC72" s="753">
        <v>605.02908988509671</v>
      </c>
      <c r="AD72" s="753">
        <v>567.78524904803521</v>
      </c>
      <c r="AE72" s="753">
        <v>609.99130520824156</v>
      </c>
      <c r="AF72" s="753">
        <v>578.8428582512114</v>
      </c>
      <c r="AG72" s="753">
        <v>611.57295672945031</v>
      </c>
      <c r="AH72" s="753">
        <v>658.27020068092827</v>
      </c>
      <c r="AI72" s="753">
        <v>630.09880245639795</v>
      </c>
      <c r="AJ72" s="753">
        <v>612.48362557791188</v>
      </c>
      <c r="AK72" s="753">
        <v>805.59826224530241</v>
      </c>
      <c r="AL72" s="753">
        <v>747.97499089241637</v>
      </c>
      <c r="AM72" s="753">
        <v>748.86815505364507</v>
      </c>
      <c r="AN72" s="753">
        <v>654.85008421599002</v>
      </c>
      <c r="AO72" s="753">
        <v>574.0345097475905</v>
      </c>
      <c r="AP72" s="753">
        <v>569.81466928473424</v>
      </c>
      <c r="AQ72" s="753">
        <v>531.64727328469655</v>
      </c>
      <c r="AR72" s="753">
        <v>549.40642431711422</v>
      </c>
      <c r="AS72" s="753">
        <v>537.79348393909061</v>
      </c>
      <c r="AT72" s="753">
        <v>507.19485890823091</v>
      </c>
      <c r="AU72" s="753">
        <v>547.84029123664288</v>
      </c>
      <c r="AV72" s="753">
        <v>482.56999681300334</v>
      </c>
      <c r="AW72" s="753">
        <v>478.6289529040431</v>
      </c>
      <c r="AX72" s="753">
        <v>406.87797622671633</v>
      </c>
      <c r="AY72" s="753">
        <v>435.85005015759862</v>
      </c>
      <c r="AZ72" s="753">
        <v>384.2779886220153</v>
      </c>
      <c r="BA72" s="753">
        <v>358.96200953872136</v>
      </c>
      <c r="BB72" s="754">
        <v>346.00485527645043</v>
      </c>
      <c r="BC72" s="755">
        <v>-3.6096171511078134E-2</v>
      </c>
      <c r="BD72" s="755">
        <v>-3.8515052154612484E-2</v>
      </c>
      <c r="BE72" s="755">
        <v>3.7345922327146914E-3</v>
      </c>
    </row>
    <row r="73" spans="1:57" x14ac:dyDescent="0.3">
      <c r="A73" s="3" t="s">
        <v>938</v>
      </c>
      <c r="B73" s="753">
        <v>80</v>
      </c>
      <c r="C73" s="753">
        <v>96</v>
      </c>
      <c r="D73" s="753">
        <v>104</v>
      </c>
      <c r="E73" s="753">
        <v>122</v>
      </c>
      <c r="F73" s="753">
        <v>124</v>
      </c>
      <c r="G73" s="753">
        <v>136</v>
      </c>
      <c r="H73" s="753">
        <v>129</v>
      </c>
      <c r="I73" s="753">
        <v>182</v>
      </c>
      <c r="J73" s="753">
        <v>231</v>
      </c>
      <c r="K73" s="753">
        <v>198</v>
      </c>
      <c r="L73" s="753">
        <v>187</v>
      </c>
      <c r="M73" s="753">
        <v>217</v>
      </c>
      <c r="N73" s="753">
        <v>227</v>
      </c>
      <c r="O73" s="753">
        <v>240</v>
      </c>
      <c r="P73" s="753">
        <v>261</v>
      </c>
      <c r="Q73" s="753">
        <v>240</v>
      </c>
      <c r="R73" s="753">
        <v>175</v>
      </c>
      <c r="S73" s="753">
        <v>179</v>
      </c>
      <c r="T73" s="753">
        <v>179</v>
      </c>
      <c r="U73" s="753">
        <v>172</v>
      </c>
      <c r="V73" s="753">
        <v>168</v>
      </c>
      <c r="W73" s="753">
        <v>165</v>
      </c>
      <c r="X73" s="753">
        <v>155</v>
      </c>
      <c r="Y73" s="753">
        <v>150</v>
      </c>
      <c r="Z73" s="753">
        <v>150</v>
      </c>
      <c r="AA73" s="753">
        <v>152</v>
      </c>
      <c r="AB73" s="753">
        <v>164</v>
      </c>
      <c r="AC73" s="753">
        <v>182</v>
      </c>
      <c r="AD73" s="753">
        <v>175</v>
      </c>
      <c r="AE73" s="753">
        <v>179</v>
      </c>
      <c r="AF73" s="753">
        <v>175</v>
      </c>
      <c r="AG73" s="753">
        <v>165</v>
      </c>
      <c r="AH73" s="753">
        <v>163</v>
      </c>
      <c r="AI73" s="753">
        <v>157</v>
      </c>
      <c r="AJ73" s="753">
        <v>182</v>
      </c>
      <c r="AK73" s="753">
        <v>193</v>
      </c>
      <c r="AL73" s="753">
        <v>203</v>
      </c>
      <c r="AM73" s="753">
        <v>210</v>
      </c>
      <c r="AN73" s="753">
        <v>214</v>
      </c>
      <c r="AO73" s="753">
        <v>210.44416134750344</v>
      </c>
      <c r="AP73" s="753">
        <v>206.02412536769691</v>
      </c>
      <c r="AQ73" s="753">
        <v>220.74891351974225</v>
      </c>
      <c r="AR73" s="753">
        <v>194.21234631243902</v>
      </c>
      <c r="AS73" s="753">
        <v>174.79565293072002</v>
      </c>
      <c r="AT73" s="753">
        <v>168.35633475963274</v>
      </c>
      <c r="AU73" s="753">
        <v>172.18830614220548</v>
      </c>
      <c r="AV73" s="753">
        <v>165.36211616552399</v>
      </c>
      <c r="AW73" s="753">
        <v>159.03157626948183</v>
      </c>
      <c r="AX73" s="753">
        <v>135.15639732887388</v>
      </c>
      <c r="AY73" s="753">
        <v>126.42074429135535</v>
      </c>
      <c r="AZ73" s="753">
        <v>126.7541557657477</v>
      </c>
      <c r="BA73" s="753">
        <v>120.90899242045884</v>
      </c>
      <c r="BB73" s="754">
        <v>113.17160401046793</v>
      </c>
      <c r="BC73" s="755">
        <v>-6.3993490104394257E-2</v>
      </c>
      <c r="BD73" s="755">
        <v>-5.8422650244556729E-2</v>
      </c>
      <c r="BE73" s="755">
        <v>1.2215140535056027E-3</v>
      </c>
    </row>
    <row r="74" spans="1:57" x14ac:dyDescent="0.3">
      <c r="A74" s="3" t="s">
        <v>622</v>
      </c>
      <c r="B74" s="753">
        <v>227.12958904109593</v>
      </c>
      <c r="C74" s="753">
        <v>292.19589041095895</v>
      </c>
      <c r="D74" s="753">
        <v>278.74082191780826</v>
      </c>
      <c r="E74" s="753">
        <v>320.23688524590165</v>
      </c>
      <c r="F74" s="753">
        <v>436.58684931506855</v>
      </c>
      <c r="G74" s="753">
        <v>615.51917808219173</v>
      </c>
      <c r="H74" s="753">
        <v>791.43917808219192</v>
      </c>
      <c r="I74" s="753">
        <v>914.64781420765019</v>
      </c>
      <c r="J74" s="753">
        <v>1076.6063013698629</v>
      </c>
      <c r="K74" s="753">
        <v>1302.3301369863011</v>
      </c>
      <c r="L74" s="753">
        <v>1547.5336986301372</v>
      </c>
      <c r="M74" s="753">
        <v>1745.5814207650271</v>
      </c>
      <c r="N74" s="753">
        <v>1880.4964383561646</v>
      </c>
      <c r="O74" s="753">
        <v>2089.5520547945207</v>
      </c>
      <c r="P74" s="753">
        <v>2131.7246575342465</v>
      </c>
      <c r="Q74" s="753">
        <v>2121.8948087431695</v>
      </c>
      <c r="R74" s="753">
        <v>2032.7194520547944</v>
      </c>
      <c r="S74" s="753">
        <v>2050.7934246575346</v>
      </c>
      <c r="T74" s="753">
        <v>2130.1180821917806</v>
      </c>
      <c r="U74" s="753">
        <v>2295.3314207650274</v>
      </c>
      <c r="V74" s="753">
        <v>2508.2657534246578</v>
      </c>
      <c r="W74" s="753">
        <v>2624.5416438356165</v>
      </c>
      <c r="X74" s="753">
        <v>2693.8252054794525</v>
      </c>
      <c r="Y74" s="753">
        <v>2744.7445355191262</v>
      </c>
      <c r="Z74" s="753">
        <v>2764.1128767123291</v>
      </c>
      <c r="AA74" s="753">
        <v>2777.5679452054796</v>
      </c>
      <c r="AB74" s="753">
        <v>2831.3882191780826</v>
      </c>
      <c r="AC74" s="753">
        <v>2844.6808743169399</v>
      </c>
      <c r="AD74" s="753">
        <v>2892.4380821917812</v>
      </c>
      <c r="AE74" s="753">
        <v>2933.6065753424659</v>
      </c>
      <c r="AF74" s="753">
        <v>2992.6482191780824</v>
      </c>
      <c r="AG74" s="753">
        <v>3174.7311475409838</v>
      </c>
      <c r="AH74" s="753">
        <v>3215.7613698630134</v>
      </c>
      <c r="AI74" s="753">
        <v>3216.7654794520554</v>
      </c>
      <c r="AJ74" s="753">
        <v>3217.5687671232881</v>
      </c>
      <c r="AK74" s="753">
        <v>3256.8431693989073</v>
      </c>
      <c r="AL74" s="753">
        <v>3310.1476712328772</v>
      </c>
      <c r="AM74" s="753">
        <v>3351.0350136986303</v>
      </c>
      <c r="AN74" s="753">
        <v>3405.638493150685</v>
      </c>
      <c r="AO74" s="753">
        <v>3485.7754918032788</v>
      </c>
      <c r="AP74" s="753">
        <v>3641.9637178082189</v>
      </c>
      <c r="AQ74" s="753">
        <v>3710.5002219178082</v>
      </c>
      <c r="AR74" s="753">
        <v>3741.677824657535</v>
      </c>
      <c r="AS74" s="753">
        <v>3813.9952677595625</v>
      </c>
      <c r="AT74" s="753">
        <v>3805.3745205479449</v>
      </c>
      <c r="AU74" s="753">
        <v>4076.966082191781</v>
      </c>
      <c r="AV74" s="753">
        <v>4074.1846986301375</v>
      </c>
      <c r="AW74" s="753">
        <v>4155.2287978142076</v>
      </c>
      <c r="AX74" s="753">
        <v>4216.4426275342466</v>
      </c>
      <c r="AY74" s="753">
        <v>4245.9577260273973</v>
      </c>
      <c r="AZ74" s="753">
        <v>4308.8350684931511</v>
      </c>
      <c r="BA74" s="753">
        <v>3999.1558743169398</v>
      </c>
      <c r="BB74" s="754">
        <v>3845.9405479452057</v>
      </c>
      <c r="BC74" s="755">
        <v>-3.8311916611128205E-2</v>
      </c>
      <c r="BD74" s="755">
        <v>7.5197936206115035E-3</v>
      </c>
      <c r="BE74" s="755">
        <v>4.1511035116437618E-2</v>
      </c>
    </row>
    <row r="75" spans="1:57" x14ac:dyDescent="0.3">
      <c r="A75" s="3" t="s">
        <v>623</v>
      </c>
      <c r="B75" s="753">
        <v>62.34427397260275</v>
      </c>
      <c r="C75" s="753">
        <v>95.868246575342482</v>
      </c>
      <c r="D75" s="753">
        <v>116.91098630136987</v>
      </c>
      <c r="E75" s="753">
        <v>120.41827868852459</v>
      </c>
      <c r="F75" s="753">
        <v>138.69641095890412</v>
      </c>
      <c r="G75" s="753">
        <v>140.47060273972605</v>
      </c>
      <c r="H75" s="753">
        <v>148.22753424657535</v>
      </c>
      <c r="I75" s="753">
        <v>151.69040983606561</v>
      </c>
      <c r="J75" s="753">
        <v>148.49572602739727</v>
      </c>
      <c r="K75" s="753">
        <v>154.51972602739727</v>
      </c>
      <c r="L75" s="753">
        <v>170.87942465753423</v>
      </c>
      <c r="M75" s="753">
        <v>178.14827868852461</v>
      </c>
      <c r="N75" s="753">
        <v>210.11794520547946</v>
      </c>
      <c r="O75" s="753">
        <v>232.52227397260276</v>
      </c>
      <c r="P75" s="753">
        <v>264.87032876712334</v>
      </c>
      <c r="Q75" s="753">
        <v>193.37286885245902</v>
      </c>
      <c r="R75" s="753">
        <v>309.49383561643839</v>
      </c>
      <c r="S75" s="753">
        <v>411.7869041095891</v>
      </c>
      <c r="T75" s="753">
        <v>525.41709589041102</v>
      </c>
      <c r="U75" s="753">
        <v>582.959262295082</v>
      </c>
      <c r="V75" s="753">
        <v>626.88493150684928</v>
      </c>
      <c r="W75" s="753">
        <v>657.55126027397262</v>
      </c>
      <c r="X75" s="753">
        <v>639.05879452054785</v>
      </c>
      <c r="Y75" s="753">
        <v>672.09562841530055</v>
      </c>
      <c r="Z75" s="753">
        <v>719.20671232876725</v>
      </c>
      <c r="AA75" s="753">
        <v>714.54199999999992</v>
      </c>
      <c r="AB75" s="753">
        <v>676.95756164383567</v>
      </c>
      <c r="AC75" s="753">
        <v>615.05579234972686</v>
      </c>
      <c r="AD75" s="753">
        <v>590.30805479452056</v>
      </c>
      <c r="AE75" s="753">
        <v>683.66273972602744</v>
      </c>
      <c r="AF75" s="753">
        <v>773.86257534246579</v>
      </c>
      <c r="AG75" s="753">
        <v>736.10592896174865</v>
      </c>
      <c r="AH75" s="753">
        <v>753.69287671232871</v>
      </c>
      <c r="AI75" s="753">
        <v>736.82624657534245</v>
      </c>
      <c r="AJ75" s="753">
        <v>736.23682191780824</v>
      </c>
      <c r="AK75" s="753">
        <v>725.56754098360659</v>
      </c>
      <c r="AL75" s="753">
        <v>726.83495890410961</v>
      </c>
      <c r="AM75" s="753">
        <v>753.25139726027408</v>
      </c>
      <c r="AN75" s="753">
        <v>756.42117808219177</v>
      </c>
      <c r="AO75" s="753">
        <v>772.69688524590174</v>
      </c>
      <c r="AP75" s="753">
        <v>737.17463013698625</v>
      </c>
      <c r="AQ75" s="753">
        <v>759.87468493150698</v>
      </c>
      <c r="AR75" s="753">
        <v>767.80027397260278</v>
      </c>
      <c r="AS75" s="753">
        <v>803.37959016393461</v>
      </c>
      <c r="AT75" s="753">
        <v>816.16282191780829</v>
      </c>
      <c r="AU75" s="753">
        <v>882.26061643835612</v>
      </c>
      <c r="AV75" s="753">
        <v>916.06948767123288</v>
      </c>
      <c r="AW75" s="753">
        <v>906.18935344262297</v>
      </c>
      <c r="AX75" s="753">
        <v>905.91928967123283</v>
      </c>
      <c r="AY75" s="753">
        <v>886.79701786301371</v>
      </c>
      <c r="AZ75" s="753">
        <v>876.02226523287663</v>
      </c>
      <c r="BA75" s="753">
        <v>855.7650463387979</v>
      </c>
      <c r="BB75" s="754">
        <v>864.94055227397257</v>
      </c>
      <c r="BC75" s="755">
        <v>1.0721991946773368E-2</v>
      </c>
      <c r="BD75" s="755">
        <v>1.1955130918460011E-2</v>
      </c>
      <c r="BE75" s="755">
        <v>9.3357079215014866E-3</v>
      </c>
    </row>
    <row r="76" spans="1:57" x14ac:dyDescent="0.3">
      <c r="A76" s="3" t="s">
        <v>646</v>
      </c>
      <c r="B76" s="753">
        <v>486</v>
      </c>
      <c r="C76" s="753">
        <v>474</v>
      </c>
      <c r="D76" s="753">
        <v>510</v>
      </c>
      <c r="E76" s="753">
        <v>599</v>
      </c>
      <c r="F76" s="753">
        <v>642</v>
      </c>
      <c r="G76" s="753">
        <v>854</v>
      </c>
      <c r="H76" s="753">
        <v>892</v>
      </c>
      <c r="I76" s="753">
        <v>1081</v>
      </c>
      <c r="J76" s="753">
        <v>1338</v>
      </c>
      <c r="K76" s="753">
        <v>1375</v>
      </c>
      <c r="L76" s="753">
        <v>1306</v>
      </c>
      <c r="M76" s="753">
        <v>1504</v>
      </c>
      <c r="N76" s="753">
        <v>1685</v>
      </c>
      <c r="O76" s="753">
        <v>1635</v>
      </c>
      <c r="P76" s="753">
        <v>1590</v>
      </c>
      <c r="Q76" s="753">
        <v>1577</v>
      </c>
      <c r="R76" s="753">
        <v>1602</v>
      </c>
      <c r="S76" s="753">
        <v>1337</v>
      </c>
      <c r="T76" s="753">
        <v>1419</v>
      </c>
      <c r="U76" s="753">
        <v>1505</v>
      </c>
      <c r="V76" s="753">
        <v>1342</v>
      </c>
      <c r="W76" s="753">
        <v>1429</v>
      </c>
      <c r="X76" s="753">
        <v>1420</v>
      </c>
      <c r="Y76" s="753">
        <v>1373</v>
      </c>
      <c r="Z76" s="753">
        <v>1481</v>
      </c>
      <c r="AA76" s="753">
        <v>1539</v>
      </c>
      <c r="AB76" s="753">
        <v>1669</v>
      </c>
      <c r="AC76" s="753">
        <v>1579</v>
      </c>
      <c r="AD76" s="753">
        <v>1588</v>
      </c>
      <c r="AE76" s="753">
        <v>1589</v>
      </c>
      <c r="AF76" s="753">
        <v>1578</v>
      </c>
      <c r="AG76" s="753">
        <v>1580</v>
      </c>
      <c r="AH76" s="753">
        <v>1557</v>
      </c>
      <c r="AI76" s="753">
        <v>1520</v>
      </c>
      <c r="AJ76" s="753">
        <v>1408</v>
      </c>
      <c r="AK76" s="753">
        <v>1455.5730142076504</v>
      </c>
      <c r="AL76" s="753">
        <v>1387.0397106849314</v>
      </c>
      <c r="AM76" s="753">
        <v>1289.4565243835618</v>
      </c>
      <c r="AN76" s="753">
        <v>1175.5510876712328</v>
      </c>
      <c r="AO76" s="753">
        <v>1129.7094633879781</v>
      </c>
      <c r="AP76" s="753">
        <v>1095.6871232876713</v>
      </c>
      <c r="AQ76" s="753">
        <v>1017.7585671561643</v>
      </c>
      <c r="AR76" s="753">
        <v>971.75373490410959</v>
      </c>
      <c r="AS76" s="753">
        <v>1005.6384994535518</v>
      </c>
      <c r="AT76" s="753">
        <v>994.27064000000007</v>
      </c>
      <c r="AU76" s="753">
        <v>1003.0175857534247</v>
      </c>
      <c r="AV76" s="753">
        <v>952.28473261369868</v>
      </c>
      <c r="AW76" s="753">
        <v>917.75320244808756</v>
      </c>
      <c r="AX76" s="753">
        <v>882.16821472876711</v>
      </c>
      <c r="AY76" s="753">
        <v>852.46202798904108</v>
      </c>
      <c r="AZ76" s="753">
        <v>840.75218623090427</v>
      </c>
      <c r="BA76" s="753">
        <v>881.96982463934432</v>
      </c>
      <c r="BB76" s="754">
        <v>948.89256205836659</v>
      </c>
      <c r="BC76" s="755">
        <v>7.5878715517720075E-2</v>
      </c>
      <c r="BD76" s="755">
        <v>-1.4217972447470695E-2</v>
      </c>
      <c r="BE76" s="755">
        <v>1.0241841228246805E-2</v>
      </c>
    </row>
    <row r="77" spans="1:57" x14ac:dyDescent="0.3">
      <c r="A77" s="3" t="s">
        <v>939</v>
      </c>
      <c r="B77" s="753">
        <v>1</v>
      </c>
      <c r="C77" s="753">
        <v>1</v>
      </c>
      <c r="D77" s="753">
        <v>1</v>
      </c>
      <c r="E77" s="753">
        <v>4</v>
      </c>
      <c r="F77" s="753">
        <v>9</v>
      </c>
      <c r="G77" s="753">
        <v>18</v>
      </c>
      <c r="H77" s="753">
        <v>69</v>
      </c>
      <c r="I77" s="753">
        <v>93</v>
      </c>
      <c r="J77" s="753">
        <v>91</v>
      </c>
      <c r="K77" s="753">
        <v>81</v>
      </c>
      <c r="L77" s="753">
        <v>98</v>
      </c>
      <c r="M77" s="753">
        <v>167</v>
      </c>
      <c r="N77" s="753">
        <v>183</v>
      </c>
      <c r="O77" s="753">
        <v>216</v>
      </c>
      <c r="P77" s="753">
        <v>282</v>
      </c>
      <c r="Q77" s="753">
        <v>276</v>
      </c>
      <c r="R77" s="753">
        <v>259</v>
      </c>
      <c r="S77" s="753">
        <v>304</v>
      </c>
      <c r="T77" s="753">
        <v>385</v>
      </c>
      <c r="U77" s="753">
        <v>446</v>
      </c>
      <c r="V77" s="753">
        <v>445</v>
      </c>
      <c r="W77" s="753">
        <v>500</v>
      </c>
      <c r="X77" s="753">
        <v>494</v>
      </c>
      <c r="Y77" s="753">
        <v>540</v>
      </c>
      <c r="Z77" s="753">
        <v>589</v>
      </c>
      <c r="AA77" s="753">
        <v>622</v>
      </c>
      <c r="AB77" s="753">
        <v>648</v>
      </c>
      <c r="AC77" s="753">
        <v>657</v>
      </c>
      <c r="AD77" s="753">
        <v>645</v>
      </c>
      <c r="AE77" s="753">
        <v>657</v>
      </c>
      <c r="AF77" s="753">
        <v>704</v>
      </c>
      <c r="AG77" s="753">
        <v>716</v>
      </c>
      <c r="AH77" s="753">
        <v>714</v>
      </c>
      <c r="AI77" s="753">
        <v>725</v>
      </c>
      <c r="AJ77" s="753">
        <v>691</v>
      </c>
      <c r="AK77" s="753">
        <v>727.97049180327872</v>
      </c>
      <c r="AL77" s="753">
        <v>707.63287671232877</v>
      </c>
      <c r="AM77" s="753">
        <v>745.79835616438356</v>
      </c>
      <c r="AN77" s="753">
        <v>763.10684931506853</v>
      </c>
      <c r="AO77" s="753">
        <v>778.48087431693989</v>
      </c>
      <c r="AP77" s="753">
        <v>745.43123287671233</v>
      </c>
      <c r="AQ77" s="753">
        <v>699.85095890410958</v>
      </c>
      <c r="AR77" s="753">
        <v>729.84328767123282</v>
      </c>
      <c r="AS77" s="753">
        <v>731.17540983606557</v>
      </c>
      <c r="AT77" s="753">
        <v>691.00876712328761</v>
      </c>
      <c r="AU77" s="753">
        <v>726.42849315068486</v>
      </c>
      <c r="AV77" s="753">
        <v>660.3513890410959</v>
      </c>
      <c r="AW77" s="753">
        <v>662.05481693989066</v>
      </c>
      <c r="AX77" s="753">
        <v>625.51890410958913</v>
      </c>
      <c r="AY77" s="753">
        <v>649.74246575342465</v>
      </c>
      <c r="AZ77" s="753">
        <v>698.31684931506857</v>
      </c>
      <c r="BA77" s="753">
        <v>704.25931660457422</v>
      </c>
      <c r="BB77" s="754">
        <v>697.47393706814989</v>
      </c>
      <c r="BC77" s="755">
        <v>-9.6347742606210929E-3</v>
      </c>
      <c r="BD77" s="755">
        <v>6.281211117109553E-4</v>
      </c>
      <c r="BE77" s="755">
        <v>7.5281624178784555E-3</v>
      </c>
    </row>
    <row r="78" spans="1:57" x14ac:dyDescent="0.3">
      <c r="A78" s="3" t="s">
        <v>894</v>
      </c>
      <c r="B78" s="753" t="s">
        <v>915</v>
      </c>
      <c r="C78" s="753" t="s">
        <v>915</v>
      </c>
      <c r="D78" s="753" t="s">
        <v>915</v>
      </c>
      <c r="E78" s="753" t="s">
        <v>915</v>
      </c>
      <c r="F78" s="753" t="s">
        <v>915</v>
      </c>
      <c r="G78" s="753" t="s">
        <v>915</v>
      </c>
      <c r="H78" s="753" t="s">
        <v>915</v>
      </c>
      <c r="I78" s="753" t="s">
        <v>915</v>
      </c>
      <c r="J78" s="753" t="s">
        <v>915</v>
      </c>
      <c r="K78" s="753" t="s">
        <v>915</v>
      </c>
      <c r="L78" s="753" t="s">
        <v>915</v>
      </c>
      <c r="M78" s="753" t="s">
        <v>915</v>
      </c>
      <c r="N78" s="753" t="s">
        <v>915</v>
      </c>
      <c r="O78" s="753" t="s">
        <v>915</v>
      </c>
      <c r="P78" s="753" t="s">
        <v>915</v>
      </c>
      <c r="Q78" s="753" t="s">
        <v>915</v>
      </c>
      <c r="R78" s="753">
        <v>1.6</v>
      </c>
      <c r="S78" s="753">
        <v>5.8999999999999995</v>
      </c>
      <c r="T78" s="753">
        <v>13.3</v>
      </c>
      <c r="U78" s="753">
        <v>23.799999999999997</v>
      </c>
      <c r="V78" s="753">
        <v>48.5</v>
      </c>
      <c r="W78" s="753">
        <v>48.447164931506848</v>
      </c>
      <c r="X78" s="753">
        <v>44.775980273972607</v>
      </c>
      <c r="Y78" s="753">
        <v>50.967261202185796</v>
      </c>
      <c r="Z78" s="753">
        <v>48.906993972602741</v>
      </c>
      <c r="AA78" s="753">
        <v>59.775436712328769</v>
      </c>
      <c r="AB78" s="753">
        <v>70.987104657534246</v>
      </c>
      <c r="AC78" s="753">
        <v>83.5634655737705</v>
      </c>
      <c r="AD78" s="753">
        <v>86.860630136986302</v>
      </c>
      <c r="AE78" s="753">
        <v>86.233627397260278</v>
      </c>
      <c r="AF78" s="753">
        <v>84.794024657534251</v>
      </c>
      <c r="AG78" s="753">
        <v>95.958651366120222</v>
      </c>
      <c r="AH78" s="753">
        <v>109.43299123287673</v>
      </c>
      <c r="AI78" s="753">
        <v>113.45464383561644</v>
      </c>
      <c r="AJ78" s="753">
        <v>122.80241369863013</v>
      </c>
      <c r="AK78" s="753">
        <v>178.04381639344263</v>
      </c>
      <c r="AL78" s="753">
        <v>196.50841698630137</v>
      </c>
      <c r="AM78" s="753">
        <v>211.61698630136988</v>
      </c>
      <c r="AN78" s="753">
        <v>245.72484273972606</v>
      </c>
      <c r="AO78" s="753">
        <v>242.48623825136613</v>
      </c>
      <c r="AP78" s="753">
        <v>299.77768931506847</v>
      </c>
      <c r="AQ78" s="753">
        <v>326.46503452054793</v>
      </c>
      <c r="AR78" s="753">
        <v>342.79536273972604</v>
      </c>
      <c r="AS78" s="753">
        <v>359.81613551912562</v>
      </c>
      <c r="AT78" s="753">
        <v>374.66000602739729</v>
      </c>
      <c r="AU78" s="753">
        <v>389.13224657534249</v>
      </c>
      <c r="AV78" s="753">
        <v>419.27853260273969</v>
      </c>
      <c r="AW78" s="753">
        <v>457.49611912568309</v>
      </c>
      <c r="AX78" s="753">
        <v>452.05909260273972</v>
      </c>
      <c r="AY78" s="753">
        <v>449.87136821917807</v>
      </c>
      <c r="AZ78" s="753">
        <v>467.63504821917809</v>
      </c>
      <c r="BA78" s="753">
        <v>475.08149071038247</v>
      </c>
      <c r="BB78" s="754">
        <v>464.94375671232876</v>
      </c>
      <c r="BC78" s="755">
        <v>-2.1338936995619173E-2</v>
      </c>
      <c r="BD78" s="755">
        <v>3.822897173230011E-2</v>
      </c>
      <c r="BE78" s="755">
        <v>5.0183554247518452E-3</v>
      </c>
    </row>
    <row r="79" spans="1:57" x14ac:dyDescent="0.3">
      <c r="A79" s="3" t="s">
        <v>940</v>
      </c>
      <c r="B79" s="753" t="s">
        <v>915</v>
      </c>
      <c r="C79" s="753" t="s">
        <v>915</v>
      </c>
      <c r="D79" s="753" t="s">
        <v>915</v>
      </c>
      <c r="E79" s="753" t="s">
        <v>915</v>
      </c>
      <c r="F79" s="753" t="s">
        <v>915</v>
      </c>
      <c r="G79" s="753" t="s">
        <v>915</v>
      </c>
      <c r="H79" s="753" t="s">
        <v>915</v>
      </c>
      <c r="I79" s="753" t="s">
        <v>915</v>
      </c>
      <c r="J79" s="753" t="s">
        <v>915</v>
      </c>
      <c r="K79" s="753" t="s">
        <v>915</v>
      </c>
      <c r="L79" s="753" t="s">
        <v>915</v>
      </c>
      <c r="M79" s="753" t="s">
        <v>915</v>
      </c>
      <c r="N79" s="753" t="s">
        <v>915</v>
      </c>
      <c r="O79" s="753" t="s">
        <v>915</v>
      </c>
      <c r="P79" s="753" t="s">
        <v>915</v>
      </c>
      <c r="Q79" s="753" t="s">
        <v>915</v>
      </c>
      <c r="R79" s="753" t="s">
        <v>915</v>
      </c>
      <c r="S79" s="753" t="s">
        <v>915</v>
      </c>
      <c r="T79" s="753" t="s">
        <v>915</v>
      </c>
      <c r="U79" s="753" t="s">
        <v>915</v>
      </c>
      <c r="V79" s="753" t="s">
        <v>915</v>
      </c>
      <c r="W79" s="753" t="s">
        <v>915</v>
      </c>
      <c r="X79" s="753">
        <v>5.6767123287671248</v>
      </c>
      <c r="Y79" s="753">
        <v>13.95081967213115</v>
      </c>
      <c r="Z79" s="753">
        <v>30.208219178082192</v>
      </c>
      <c r="AA79" s="753">
        <v>54.739726027397268</v>
      </c>
      <c r="AB79" s="753">
        <v>80.284931506849318</v>
      </c>
      <c r="AC79" s="753">
        <v>111.00000000000001</v>
      </c>
      <c r="AD79" s="753">
        <v>127.72602739726027</v>
      </c>
      <c r="AE79" s="753">
        <v>143.94520547945208</v>
      </c>
      <c r="AF79" s="753">
        <v>154.48767123287672</v>
      </c>
      <c r="AG79" s="753">
        <v>177.98415300546449</v>
      </c>
      <c r="AH79" s="753">
        <v>204.56438356164384</v>
      </c>
      <c r="AI79" s="753">
        <v>253.42465753424656</v>
      </c>
      <c r="AJ79" s="753">
        <v>308.50904109589044</v>
      </c>
      <c r="AK79" s="753">
        <v>338.38087431693992</v>
      </c>
      <c r="AL79" s="753">
        <v>353.27178082191784</v>
      </c>
      <c r="AM79" s="753">
        <v>356.88000000000005</v>
      </c>
      <c r="AN79" s="753">
        <v>372.84931506849313</v>
      </c>
      <c r="AO79" s="753">
        <v>420.40273224043722</v>
      </c>
      <c r="AP79" s="753">
        <v>389.22629863013702</v>
      </c>
      <c r="AQ79" s="753">
        <v>354.31503972602746</v>
      </c>
      <c r="AR79" s="753">
        <v>333.64114383561645</v>
      </c>
      <c r="AS79" s="753">
        <v>309.26120218579234</v>
      </c>
      <c r="AT79" s="753">
        <v>341.40394520547949</v>
      </c>
      <c r="AU79" s="753">
        <v>323.32526027397267</v>
      </c>
      <c r="AV79" s="753">
        <v>326.56010958904113</v>
      </c>
      <c r="AW79" s="753">
        <v>358.23486338797818</v>
      </c>
      <c r="AX79" s="753">
        <v>360.60547945205485</v>
      </c>
      <c r="AY79" s="753">
        <v>373.26564383561652</v>
      </c>
      <c r="AZ79" s="753">
        <v>403.19868493150688</v>
      </c>
      <c r="BA79" s="753">
        <v>373.75300546448091</v>
      </c>
      <c r="BB79" s="754">
        <v>335.04302594932898</v>
      </c>
      <c r="BC79" s="755">
        <v>-0.10357101869199736</v>
      </c>
      <c r="BD79" s="755">
        <v>5.3551584696625021E-3</v>
      </c>
      <c r="BE79" s="755">
        <v>3.6162760818366831E-3</v>
      </c>
    </row>
    <row r="80" spans="1:57" x14ac:dyDescent="0.3">
      <c r="A80" s="3" t="s">
        <v>941</v>
      </c>
      <c r="B80" s="753">
        <v>35.113972602739722</v>
      </c>
      <c r="C80" s="753">
        <v>34.085479452054798</v>
      </c>
      <c r="D80" s="753">
        <v>31.085479452054795</v>
      </c>
      <c r="E80" s="753">
        <v>35.113661202185796</v>
      </c>
      <c r="F80" s="753">
        <v>36.42739726027397</v>
      </c>
      <c r="G80" s="753">
        <v>39.505315068493147</v>
      </c>
      <c r="H80" s="753">
        <v>42.417534246575343</v>
      </c>
      <c r="I80" s="753">
        <v>44.299672131147545</v>
      </c>
      <c r="J80" s="753">
        <v>47.056027397260273</v>
      </c>
      <c r="K80" s="753">
        <v>47.335378526229043</v>
      </c>
      <c r="L80" s="753">
        <v>47.576454700949036</v>
      </c>
      <c r="M80" s="753">
        <v>61.984634295775955</v>
      </c>
      <c r="N80" s="753">
        <v>72.334164416142471</v>
      </c>
      <c r="O80" s="753">
        <v>72.132399749578084</v>
      </c>
      <c r="P80" s="753">
        <v>92.360580890969871</v>
      </c>
      <c r="Q80" s="753">
        <v>77.171678258327873</v>
      </c>
      <c r="R80" s="753">
        <v>77.89464195644932</v>
      </c>
      <c r="S80" s="753">
        <v>84.879913036657527</v>
      </c>
      <c r="T80" s="753">
        <v>90.169071959736982</v>
      </c>
      <c r="U80" s="753">
        <v>102.63519619609836</v>
      </c>
      <c r="V80" s="753">
        <v>122.03522407383014</v>
      </c>
      <c r="W80" s="753">
        <v>124.98455150345205</v>
      </c>
      <c r="X80" s="753">
        <v>119.06619453775343</v>
      </c>
      <c r="Y80" s="753">
        <v>123.303247764153</v>
      </c>
      <c r="Z80" s="753">
        <v>132.53983102728768</v>
      </c>
      <c r="AA80" s="753">
        <v>142.81096902224658</v>
      </c>
      <c r="AB80" s="753">
        <v>146.22170885775344</v>
      </c>
      <c r="AC80" s="753">
        <v>202.41864032579235</v>
      </c>
      <c r="AD80" s="753">
        <v>274.20185136208215</v>
      </c>
      <c r="AE80" s="753">
        <v>256.76953547112328</v>
      </c>
      <c r="AF80" s="753">
        <v>227.47189912613698</v>
      </c>
      <c r="AG80" s="753">
        <v>242.20854882918036</v>
      </c>
      <c r="AH80" s="753">
        <v>224.12124280259565</v>
      </c>
      <c r="AI80" s="753">
        <v>214.50116275652147</v>
      </c>
      <c r="AJ80" s="753">
        <v>216.55984663899403</v>
      </c>
      <c r="AK80" s="753">
        <v>196.84544591848959</v>
      </c>
      <c r="AL80" s="753">
        <v>192.48144306342493</v>
      </c>
      <c r="AM80" s="753">
        <v>195.80805342531565</v>
      </c>
      <c r="AN80" s="753">
        <v>192.67893819610157</v>
      </c>
      <c r="AO80" s="753">
        <v>234.29269831975549</v>
      </c>
      <c r="AP80" s="753">
        <v>284.75746274306977</v>
      </c>
      <c r="AQ80" s="753">
        <v>304.17778707010586</v>
      </c>
      <c r="AR80" s="753">
        <v>319.38524337188653</v>
      </c>
      <c r="AS80" s="753">
        <v>340.59916132581554</v>
      </c>
      <c r="AT80" s="753">
        <v>329.88761969913975</v>
      </c>
      <c r="AU80" s="753">
        <v>314.90777216008377</v>
      </c>
      <c r="AV80" s="753">
        <v>299.25333483453363</v>
      </c>
      <c r="AW80" s="753">
        <v>287.4551212917404</v>
      </c>
      <c r="AX80" s="753">
        <v>272.3679760440105</v>
      </c>
      <c r="AY80" s="753">
        <v>306.76209353927561</v>
      </c>
      <c r="AZ80" s="753">
        <v>298.81717392332598</v>
      </c>
      <c r="BA80" s="753">
        <v>280.09300185741779</v>
      </c>
      <c r="BB80" s="754">
        <v>262.57821614450671</v>
      </c>
      <c r="BC80" s="755">
        <v>-6.2532036133580493E-2</v>
      </c>
      <c r="BD80" s="755">
        <v>-8.21513570156851E-3</v>
      </c>
      <c r="BE80" s="755">
        <v>2.8341294971420497E-3</v>
      </c>
    </row>
    <row r="81" spans="1:57" x14ac:dyDescent="0.3">
      <c r="A81" s="756" t="s">
        <v>942</v>
      </c>
      <c r="B81" s="757">
        <v>898.5878356164385</v>
      </c>
      <c r="C81" s="757">
        <v>1002.1496164383564</v>
      </c>
      <c r="D81" s="757">
        <v>1062.7372876712329</v>
      </c>
      <c r="E81" s="757">
        <v>1239.7688251366121</v>
      </c>
      <c r="F81" s="757">
        <v>1431.7106575342466</v>
      </c>
      <c r="G81" s="757">
        <v>1979.495095890411</v>
      </c>
      <c r="H81" s="757">
        <v>2387.0842465753426</v>
      </c>
      <c r="I81" s="757">
        <v>2803.6378961748633</v>
      </c>
      <c r="J81" s="757">
        <v>3356.1580547945205</v>
      </c>
      <c r="K81" s="757">
        <v>3578.1852415399276</v>
      </c>
      <c r="L81" s="757">
        <v>3807.9895779886206</v>
      </c>
      <c r="M81" s="757">
        <v>4334.714333749328</v>
      </c>
      <c r="N81" s="757">
        <v>4747.9485479777868</v>
      </c>
      <c r="O81" s="757">
        <v>4975.2067285167013</v>
      </c>
      <c r="P81" s="757">
        <v>5112.955567192339</v>
      </c>
      <c r="Q81" s="757">
        <v>4945.4393558539559</v>
      </c>
      <c r="R81" s="757">
        <v>4906.7079296276816</v>
      </c>
      <c r="S81" s="757">
        <v>4816.3602418037808</v>
      </c>
      <c r="T81" s="757">
        <v>5173.0042500419286</v>
      </c>
      <c r="U81" s="757">
        <v>5690.4925979979871</v>
      </c>
      <c r="V81" s="757">
        <v>5915.8870885873384</v>
      </c>
      <c r="W81" s="757">
        <v>6137.7420703935068</v>
      </c>
      <c r="X81" s="757">
        <v>6194.8099659778345</v>
      </c>
      <c r="Y81" s="757">
        <v>6260.7508580692393</v>
      </c>
      <c r="Z81" s="757">
        <v>6477.330288215182</v>
      </c>
      <c r="AA81" s="757">
        <v>6709.6154602399838</v>
      </c>
      <c r="AB81" s="757">
        <v>6899.924563704426</v>
      </c>
      <c r="AC81" s="757">
        <v>6879.747862451326</v>
      </c>
      <c r="AD81" s="757">
        <v>6947.3198949306661</v>
      </c>
      <c r="AE81" s="757">
        <v>7139.2089886245703</v>
      </c>
      <c r="AF81" s="757">
        <v>7269.1072477883072</v>
      </c>
      <c r="AG81" s="757">
        <v>7499.561386432948</v>
      </c>
      <c r="AH81" s="757">
        <v>7599.8430648533867</v>
      </c>
      <c r="AI81" s="757">
        <v>7567.0709926101808</v>
      </c>
      <c r="AJ81" s="757">
        <v>7495.1605160525223</v>
      </c>
      <c r="AK81" s="757">
        <v>7877.8226152676179</v>
      </c>
      <c r="AL81" s="757">
        <v>7824.8918492983084</v>
      </c>
      <c r="AM81" s="757">
        <v>7862.714486287181</v>
      </c>
      <c r="AN81" s="757">
        <v>7780.8207884394888</v>
      </c>
      <c r="AO81" s="757">
        <v>7848.323054660751</v>
      </c>
      <c r="AP81" s="757">
        <v>7969.8569494502945</v>
      </c>
      <c r="AQ81" s="757">
        <v>7925.338481030708</v>
      </c>
      <c r="AR81" s="757">
        <v>7950.5156417822627</v>
      </c>
      <c r="AS81" s="757">
        <v>8076.4544031136584</v>
      </c>
      <c r="AT81" s="757">
        <v>8028.3195141889219</v>
      </c>
      <c r="AU81" s="757">
        <v>8436.0666539224931</v>
      </c>
      <c r="AV81" s="757">
        <v>8295.9143979610071</v>
      </c>
      <c r="AW81" s="757">
        <v>8382.072803623736</v>
      </c>
      <c r="AX81" s="757">
        <v>8257.11595769823</v>
      </c>
      <c r="AY81" s="757">
        <v>8327.1291376759018</v>
      </c>
      <c r="AZ81" s="757">
        <v>8404.6094207337756</v>
      </c>
      <c r="BA81" s="757">
        <v>8049.9485618911176</v>
      </c>
      <c r="BB81" s="757">
        <v>7878.9890574387773</v>
      </c>
      <c r="BC81" s="758">
        <v>-2.123734122497023E-2</v>
      </c>
      <c r="BD81" s="758">
        <v>1.561284757072734E-3</v>
      </c>
      <c r="BE81" s="758">
        <v>8.5041613974015232E-2</v>
      </c>
    </row>
    <row r="82" spans="1:57" x14ac:dyDescent="0.3">
      <c r="B82" s="753"/>
      <c r="C82" s="753"/>
      <c r="D82" s="753"/>
      <c r="E82" s="753"/>
      <c r="F82" s="753"/>
      <c r="G82" s="753"/>
      <c r="H82" s="753"/>
      <c r="I82" s="753"/>
      <c r="J82" s="753"/>
      <c r="K82" s="753"/>
      <c r="L82" s="753"/>
      <c r="M82" s="753"/>
      <c r="N82" s="753"/>
      <c r="O82" s="753"/>
      <c r="P82" s="753"/>
      <c r="Q82" s="753"/>
      <c r="R82" s="753"/>
      <c r="S82" s="753"/>
      <c r="T82" s="753"/>
      <c r="U82" s="753"/>
      <c r="V82" s="753"/>
      <c r="W82" s="753"/>
      <c r="X82" s="753"/>
      <c r="Y82" s="753"/>
      <c r="Z82" s="753"/>
      <c r="AA82" s="753"/>
      <c r="AB82" s="753"/>
      <c r="AC82" s="753"/>
      <c r="AD82" s="753"/>
      <c r="AE82" s="753"/>
      <c r="AF82" s="753"/>
      <c r="AG82" s="753"/>
      <c r="AH82" s="753"/>
      <c r="AI82" s="753"/>
      <c r="AJ82" s="753"/>
      <c r="AK82" s="753"/>
      <c r="AL82" s="753"/>
      <c r="AM82" s="753"/>
      <c r="AN82" s="753"/>
      <c r="AO82" s="753"/>
      <c r="AP82" s="753"/>
      <c r="AQ82" s="753"/>
      <c r="AR82" s="753"/>
      <c r="AS82" s="753"/>
      <c r="AT82" s="753"/>
      <c r="AU82" s="753"/>
      <c r="AV82" s="753"/>
      <c r="AW82" s="753"/>
      <c r="AX82" s="753"/>
      <c r="AY82" s="753"/>
      <c r="AZ82" s="753"/>
      <c r="BA82" s="753"/>
      <c r="BB82" s="754"/>
      <c r="BC82" s="755"/>
      <c r="BD82" s="755"/>
      <c r="BE82" s="755"/>
    </row>
    <row r="83" spans="1:57" x14ac:dyDescent="0.3">
      <c r="A83" s="750" t="s">
        <v>943</v>
      </c>
      <c r="B83" s="754">
        <v>31798.9898630137</v>
      </c>
      <c r="C83" s="754">
        <v>34563.072347945214</v>
      </c>
      <c r="D83" s="754">
        <v>37112.98181917808</v>
      </c>
      <c r="E83" s="754">
        <v>40428.767437158473</v>
      </c>
      <c r="F83" s="754">
        <v>43655.986139726025</v>
      </c>
      <c r="G83" s="754">
        <v>48072.388688214967</v>
      </c>
      <c r="H83" s="754">
        <v>50791.899669899511</v>
      </c>
      <c r="I83" s="754">
        <v>53561.679552903282</v>
      </c>
      <c r="J83" s="754">
        <v>58534.052045120188</v>
      </c>
      <c r="K83" s="754">
        <v>58661.072434595684</v>
      </c>
      <c r="L83" s="754">
        <v>55787.674072784677</v>
      </c>
      <c r="M83" s="754">
        <v>60404.791974309454</v>
      </c>
      <c r="N83" s="754">
        <v>62703.460511239391</v>
      </c>
      <c r="O83" s="754">
        <v>63339.58883335421</v>
      </c>
      <c r="P83" s="754">
        <v>66055.162091691076</v>
      </c>
      <c r="Q83" s="754">
        <v>62947.135198387594</v>
      </c>
      <c r="R83" s="754">
        <v>59546.520226432636</v>
      </c>
      <c r="S83" s="754">
        <v>57295.733366595268</v>
      </c>
      <c r="T83" s="754">
        <v>56611.052838805073</v>
      </c>
      <c r="U83" s="754">
        <v>57654.097881116926</v>
      </c>
      <c r="V83" s="754">
        <v>57407.194245162624</v>
      </c>
      <c r="W83" s="754">
        <v>60246.172293692121</v>
      </c>
      <c r="X83" s="754">
        <v>60606.655933570939</v>
      </c>
      <c r="Y83" s="754">
        <v>62924.212164087236</v>
      </c>
      <c r="Z83" s="754">
        <v>63793.10071828145</v>
      </c>
      <c r="AA83" s="754">
        <v>65001.486496835954</v>
      </c>
      <c r="AB83" s="754">
        <v>64838.66865738442</v>
      </c>
      <c r="AC83" s="754">
        <v>65708.774220093866</v>
      </c>
      <c r="AD83" s="754">
        <v>65965.162713643687</v>
      </c>
      <c r="AE83" s="754">
        <v>66986.174350167756</v>
      </c>
      <c r="AF83" s="754">
        <v>67974.254726794621</v>
      </c>
      <c r="AG83" s="754">
        <v>69641.892173441593</v>
      </c>
      <c r="AH83" s="754">
        <v>71646.891497571836</v>
      </c>
      <c r="AI83" s="754">
        <v>73191.643351038874</v>
      </c>
      <c r="AJ83" s="754">
        <v>71891.620612408602</v>
      </c>
      <c r="AK83" s="754">
        <v>74906.840656038359</v>
      </c>
      <c r="AL83" s="754">
        <v>75052.329300051177</v>
      </c>
      <c r="AM83" s="754">
        <v>74729.733594268226</v>
      </c>
      <c r="AN83" s="754">
        <v>77707.504186979248</v>
      </c>
      <c r="AO83" s="754">
        <v>81000.589467481128</v>
      </c>
      <c r="AP83" s="754">
        <v>81875.710502233647</v>
      </c>
      <c r="AQ83" s="754">
        <v>82467.861616555369</v>
      </c>
      <c r="AR83" s="754">
        <v>82329.817458737351</v>
      </c>
      <c r="AS83" s="754">
        <v>83067.452312949565</v>
      </c>
      <c r="AT83" s="754">
        <v>81284.263751131191</v>
      </c>
      <c r="AU83" s="754">
        <v>83325.173736526645</v>
      </c>
      <c r="AV83" s="754">
        <v>84027.020392444101</v>
      </c>
      <c r="AW83" s="754">
        <v>86229.496470253391</v>
      </c>
      <c r="AX83" s="754">
        <v>86569.564312353759</v>
      </c>
      <c r="AY83" s="754">
        <v>88720.549569507071</v>
      </c>
      <c r="AZ83" s="754">
        <v>91547.113969570346</v>
      </c>
      <c r="BA83" s="754">
        <v>92023.278956868846</v>
      </c>
      <c r="BB83" s="754">
        <v>92648.630349915868</v>
      </c>
      <c r="BC83" s="759">
        <v>6.7955782508046791E-3</v>
      </c>
      <c r="BD83" s="759">
        <v>1.1023608694456399E-2</v>
      </c>
      <c r="BE83" s="759">
        <v>1</v>
      </c>
    </row>
    <row r="84" spans="1:57" x14ac:dyDescent="0.3">
      <c r="A84" s="3" t="s">
        <v>944</v>
      </c>
      <c r="B84" s="753">
        <v>10815.182082191781</v>
      </c>
      <c r="C84" s="753">
        <v>11478.425663013697</v>
      </c>
      <c r="D84" s="753">
        <v>12272.862558904109</v>
      </c>
      <c r="E84" s="753">
        <v>12795.331945355194</v>
      </c>
      <c r="F84" s="753">
        <v>13169.780002739724</v>
      </c>
      <c r="G84" s="753">
        <v>13951.936863013698</v>
      </c>
      <c r="H84" s="753">
        <v>14044.742997260273</v>
      </c>
      <c r="I84" s="753">
        <v>14377.071076502732</v>
      </c>
      <c r="J84" s="753">
        <v>14530.278608219176</v>
      </c>
      <c r="K84" s="753">
        <v>14055.339537430338</v>
      </c>
      <c r="L84" s="753">
        <v>13698.600314974919</v>
      </c>
      <c r="M84" s="753">
        <v>13686.090896590857</v>
      </c>
      <c r="N84" s="753">
        <v>14586.903758936693</v>
      </c>
      <c r="O84" s="753">
        <v>15625.284202489311</v>
      </c>
      <c r="P84" s="753">
        <v>16558.315726096447</v>
      </c>
      <c r="Q84" s="753">
        <v>17186.861497930458</v>
      </c>
      <c r="R84" s="753">
        <v>17645.924463874257</v>
      </c>
      <c r="S84" s="753">
        <v>18459.96882536542</v>
      </c>
      <c r="T84" s="753">
        <v>18937.778666480288</v>
      </c>
      <c r="U84" s="753">
        <v>19789.654158107278</v>
      </c>
      <c r="V84" s="753">
        <v>20118.513102320718</v>
      </c>
      <c r="W84" s="753">
        <v>19655.165862994341</v>
      </c>
      <c r="X84" s="753">
        <v>19726.18676131692</v>
      </c>
      <c r="Y84" s="753">
        <v>19565.311121783434</v>
      </c>
      <c r="Z84" s="753">
        <v>18804.703788264687</v>
      </c>
      <c r="AA84" s="753">
        <v>18843.064141208841</v>
      </c>
      <c r="AB84" s="753">
        <v>19409.651081763641</v>
      </c>
      <c r="AC84" s="753">
        <v>19590.135262716805</v>
      </c>
      <c r="AD84" s="753">
        <v>19691.7160013149</v>
      </c>
      <c r="AE84" s="753">
        <v>20560.97053098966</v>
      </c>
      <c r="AF84" s="753">
        <v>20757.56630558144</v>
      </c>
      <c r="AG84" s="753">
        <v>21376.282486685246</v>
      </c>
      <c r="AH84" s="753">
        <v>21681.362302522557</v>
      </c>
      <c r="AI84" s="753">
        <v>21520.54925112411</v>
      </c>
      <c r="AJ84" s="753">
        <v>21127.954323317506</v>
      </c>
      <c r="AK84" s="753">
        <v>21539.448681203819</v>
      </c>
      <c r="AL84" s="753">
        <v>21411.833831348835</v>
      </c>
      <c r="AM84" s="753">
        <v>21488.912151440843</v>
      </c>
      <c r="AN84" s="753">
        <v>21198.413196927744</v>
      </c>
      <c r="AO84" s="753">
        <v>20800.510045376112</v>
      </c>
      <c r="AP84" s="753">
        <v>19888.733029881001</v>
      </c>
      <c r="AQ84" s="753">
        <v>19446.416406346107</v>
      </c>
      <c r="AR84" s="753">
        <v>19136.055605468991</v>
      </c>
      <c r="AS84" s="753">
        <v>18426.00325224573</v>
      </c>
      <c r="AT84" s="753">
        <v>18435.810976149787</v>
      </c>
      <c r="AU84" s="753">
        <v>18533.531728688107</v>
      </c>
      <c r="AV84" s="753">
        <v>18566.320015310786</v>
      </c>
      <c r="AW84" s="753">
        <v>19487.384625362141</v>
      </c>
      <c r="AX84" s="753">
        <v>20626.034679897853</v>
      </c>
      <c r="AY84" s="753">
        <v>22571.333636989828</v>
      </c>
      <c r="AZ84" s="753">
        <v>23571.039389986418</v>
      </c>
      <c r="BA84" s="753">
        <v>23139.162064506239</v>
      </c>
      <c r="BB84" s="754">
        <v>23900.639742862419</v>
      </c>
      <c r="BC84" s="755">
        <v>3.2908610788643378E-2</v>
      </c>
      <c r="BD84" s="755">
        <v>1.7538392991104601E-2</v>
      </c>
      <c r="BE84" s="755">
        <v>0.25797078329808382</v>
      </c>
    </row>
    <row r="85" spans="1:57" x14ac:dyDescent="0.3">
      <c r="A85" s="3" t="s">
        <v>945</v>
      </c>
      <c r="B85" s="753">
        <v>20983.807780821917</v>
      </c>
      <c r="C85" s="753">
        <v>23084.646684931511</v>
      </c>
      <c r="D85" s="753">
        <v>24840.119260273972</v>
      </c>
      <c r="E85" s="753">
        <v>27633.435491803277</v>
      </c>
      <c r="F85" s="753">
        <v>30486.2061369863</v>
      </c>
      <c r="G85" s="753">
        <v>34120.451825201257</v>
      </c>
      <c r="H85" s="753">
        <v>36747.156672639234</v>
      </c>
      <c r="I85" s="753">
        <v>39184.608476400557</v>
      </c>
      <c r="J85" s="753">
        <v>44003.773436901014</v>
      </c>
      <c r="K85" s="753">
        <v>44605.732897165348</v>
      </c>
      <c r="L85" s="753">
        <v>42089.073757809747</v>
      </c>
      <c r="M85" s="753">
        <v>46718.701077718593</v>
      </c>
      <c r="N85" s="753">
        <v>48116.556752302698</v>
      </c>
      <c r="O85" s="753">
        <v>47714.304630864914</v>
      </c>
      <c r="P85" s="753">
        <v>49496.846365594625</v>
      </c>
      <c r="Q85" s="753">
        <v>45760.273700457132</v>
      </c>
      <c r="R85" s="753">
        <v>41900.595762558383</v>
      </c>
      <c r="S85" s="753">
        <v>38835.764541229837</v>
      </c>
      <c r="T85" s="753">
        <v>37673.274172324789</v>
      </c>
      <c r="U85" s="753">
        <v>37864.443723009659</v>
      </c>
      <c r="V85" s="753">
        <v>37288.681142841895</v>
      </c>
      <c r="W85" s="753">
        <v>40591.00643069778</v>
      </c>
      <c r="X85" s="753">
        <v>40880.469172253994</v>
      </c>
      <c r="Y85" s="753">
        <v>43358.901042303805</v>
      </c>
      <c r="Z85" s="753">
        <v>44988.396930016752</v>
      </c>
      <c r="AA85" s="753">
        <v>46158.422355627124</v>
      </c>
      <c r="AB85" s="753">
        <v>45429.017575620761</v>
      </c>
      <c r="AC85" s="753">
        <v>46118.638957377036</v>
      </c>
      <c r="AD85" s="753">
        <v>46273.446712328761</v>
      </c>
      <c r="AE85" s="753">
        <v>46425.203819178067</v>
      </c>
      <c r="AF85" s="753">
        <v>47216.688421213184</v>
      </c>
      <c r="AG85" s="753">
        <v>48265.609686756354</v>
      </c>
      <c r="AH85" s="753">
        <v>49965.529195049254</v>
      </c>
      <c r="AI85" s="753">
        <v>51671.094099914757</v>
      </c>
      <c r="AJ85" s="753">
        <v>50763.666289091096</v>
      </c>
      <c r="AK85" s="753">
        <v>53367.391974834514</v>
      </c>
      <c r="AL85" s="753">
        <v>53640.495468702342</v>
      </c>
      <c r="AM85" s="753">
        <v>53240.821442827379</v>
      </c>
      <c r="AN85" s="753">
        <v>56509.090990051533</v>
      </c>
      <c r="AO85" s="753">
        <v>60200.079422104995</v>
      </c>
      <c r="AP85" s="753">
        <v>61986.977472352628</v>
      </c>
      <c r="AQ85" s="753">
        <v>63021.445210209262</v>
      </c>
      <c r="AR85" s="753">
        <v>63193.76185326837</v>
      </c>
      <c r="AS85" s="753">
        <v>64641.449060703868</v>
      </c>
      <c r="AT85" s="753">
        <v>62848.452774981408</v>
      </c>
      <c r="AU85" s="753">
        <v>64791.642007838556</v>
      </c>
      <c r="AV85" s="753">
        <v>65460.700377133348</v>
      </c>
      <c r="AW85" s="753">
        <v>66742.111844891231</v>
      </c>
      <c r="AX85" s="753">
        <v>65943.529632455931</v>
      </c>
      <c r="AY85" s="753">
        <v>66149.215932517181</v>
      </c>
      <c r="AZ85" s="753">
        <v>67976.074579583947</v>
      </c>
      <c r="BA85" s="753">
        <v>68884.116892362596</v>
      </c>
      <c r="BB85" s="754">
        <v>68747.990607053434</v>
      </c>
      <c r="BC85" s="755">
        <v>-1.976163612895987E-3</v>
      </c>
      <c r="BD85" s="755">
        <v>8.9347344455217304E-3</v>
      </c>
      <c r="BE85" s="755">
        <v>0.74202921670191602</v>
      </c>
    </row>
    <row r="86" spans="1:57" x14ac:dyDescent="0.3">
      <c r="A86" s="3" t="s">
        <v>946</v>
      </c>
      <c r="B86" s="753">
        <v>13947.408767123288</v>
      </c>
      <c r="C86" s="753">
        <v>15409.97589041096</v>
      </c>
      <c r="D86" s="753">
        <v>16450.131068493152</v>
      </c>
      <c r="E86" s="753">
        <v>18341.691284153007</v>
      </c>
      <c r="F86" s="753">
        <v>20372.584684931506</v>
      </c>
      <c r="G86" s="753">
        <v>22887.426739726026</v>
      </c>
      <c r="H86" s="753">
        <v>24771.467397260276</v>
      </c>
      <c r="I86" s="753">
        <v>26419.229398907108</v>
      </c>
      <c r="J86" s="753">
        <v>30159.49369863014</v>
      </c>
      <c r="K86" s="753">
        <v>29918.213890410956</v>
      </c>
      <c r="L86" s="753">
        <v>26373.614684931505</v>
      </c>
      <c r="M86" s="753">
        <v>29811.064174863393</v>
      </c>
      <c r="N86" s="753">
        <v>30196.666835616445</v>
      </c>
      <c r="O86" s="753">
        <v>28890.886671232875</v>
      </c>
      <c r="P86" s="753">
        <v>30202.431136986299</v>
      </c>
      <c r="Q86" s="753">
        <v>26194.634688524588</v>
      </c>
      <c r="R86" s="753">
        <v>22048.44416438356</v>
      </c>
      <c r="S86" s="753">
        <v>18895.424931506848</v>
      </c>
      <c r="T86" s="753">
        <v>17097.264602739728</v>
      </c>
      <c r="U86" s="753">
        <v>16672.247174863391</v>
      </c>
      <c r="V86" s="753">
        <v>15994.930054794522</v>
      </c>
      <c r="W86" s="753">
        <v>18500.900164383562</v>
      </c>
      <c r="X86" s="753">
        <v>18374.292068493149</v>
      </c>
      <c r="Y86" s="753">
        <v>20675.84157923497</v>
      </c>
      <c r="Z86" s="753">
        <v>22180.954397260273</v>
      </c>
      <c r="AA86" s="753">
        <v>23745.630780821921</v>
      </c>
      <c r="AB86" s="753">
        <v>23836.859835616433</v>
      </c>
      <c r="AC86" s="753">
        <v>25715.001830601097</v>
      </c>
      <c r="AD86" s="753">
        <v>26480.854301369865</v>
      </c>
      <c r="AE86" s="753">
        <v>27045.849369863012</v>
      </c>
      <c r="AF86" s="753">
        <v>27464.738834911808</v>
      </c>
      <c r="AG86" s="753">
        <v>28217.713740308274</v>
      </c>
      <c r="AH86" s="753">
        <v>29493.451077788995</v>
      </c>
      <c r="AI86" s="753">
        <v>30914.877790325718</v>
      </c>
      <c r="AJ86" s="753">
        <v>29733.390571147629</v>
      </c>
      <c r="AK86" s="753">
        <v>31484.578506646445</v>
      </c>
      <c r="AL86" s="753">
        <v>31022.649549658479</v>
      </c>
      <c r="AM86" s="753">
        <v>29579.127341193882</v>
      </c>
      <c r="AN86" s="753">
        <v>31920.550952983594</v>
      </c>
      <c r="AO86" s="753">
        <v>34723.079699259644</v>
      </c>
      <c r="AP86" s="753">
        <v>35720.508202482328</v>
      </c>
      <c r="AQ86" s="753">
        <v>36126.285488075548</v>
      </c>
      <c r="AR86" s="753">
        <v>35835.439008052701</v>
      </c>
      <c r="AS86" s="753">
        <v>37028.567614076834</v>
      </c>
      <c r="AT86" s="753">
        <v>34595.85791328732</v>
      </c>
      <c r="AU86" s="753">
        <v>35665.00882957298</v>
      </c>
      <c r="AV86" s="753">
        <v>36478.06025103174</v>
      </c>
      <c r="AW86" s="753">
        <v>38034.11723010875</v>
      </c>
      <c r="AX86" s="753">
        <v>37004.334721721811</v>
      </c>
      <c r="AY86" s="753">
        <v>36945.14455399874</v>
      </c>
      <c r="AZ86" s="753">
        <v>38361.603403229899</v>
      </c>
      <c r="BA86" s="753">
        <v>39600.982717131461</v>
      </c>
      <c r="BB86" s="754">
        <v>39435.714535682746</v>
      </c>
      <c r="BC86" s="755">
        <v>-4.1733353596101752E-3</v>
      </c>
      <c r="BD86" s="755">
        <v>9.2256164399340257E-3</v>
      </c>
      <c r="BE86" s="755">
        <v>0.42564811143717635</v>
      </c>
    </row>
    <row r="87" spans="1:57" x14ac:dyDescent="0.3">
      <c r="A87" s="3" t="s">
        <v>947</v>
      </c>
      <c r="B87" s="753">
        <v>17851.581095890419</v>
      </c>
      <c r="C87" s="753">
        <v>19153.096457534255</v>
      </c>
      <c r="D87" s="753">
        <v>20662.850750684935</v>
      </c>
      <c r="E87" s="753">
        <v>22087.076153005466</v>
      </c>
      <c r="F87" s="753">
        <v>23283.401454794523</v>
      </c>
      <c r="G87" s="753">
        <v>25184.961948488941</v>
      </c>
      <c r="H87" s="753">
        <v>26020.432272639235</v>
      </c>
      <c r="I87" s="753">
        <v>27142.450153996189</v>
      </c>
      <c r="J87" s="753">
        <v>28374.558346490063</v>
      </c>
      <c r="K87" s="753">
        <v>28742.858544184724</v>
      </c>
      <c r="L87" s="753">
        <v>29414.059387853165</v>
      </c>
      <c r="M87" s="753">
        <v>30593.72779944606</v>
      </c>
      <c r="N87" s="753">
        <v>32506.793675622965</v>
      </c>
      <c r="O87" s="753">
        <v>34448.702162121343</v>
      </c>
      <c r="P87" s="753">
        <v>35852.730954704777</v>
      </c>
      <c r="Q87" s="753">
        <v>36752.500509862999</v>
      </c>
      <c r="R87" s="753">
        <v>37498.076062049069</v>
      </c>
      <c r="S87" s="753">
        <v>38400.308435088416</v>
      </c>
      <c r="T87" s="753">
        <v>39513.788236065346</v>
      </c>
      <c r="U87" s="753">
        <v>40981.850706253535</v>
      </c>
      <c r="V87" s="753">
        <v>41412.264190368114</v>
      </c>
      <c r="W87" s="753">
        <v>41745.272129308563</v>
      </c>
      <c r="X87" s="753">
        <v>42232.363865077758</v>
      </c>
      <c r="Y87" s="753">
        <v>42248.370584852237</v>
      </c>
      <c r="Z87" s="753">
        <v>41612.146321021173</v>
      </c>
      <c r="AA87" s="753">
        <v>41255.855716014055</v>
      </c>
      <c r="AB87" s="753">
        <v>41001.808821767961</v>
      </c>
      <c r="AC87" s="753">
        <v>39993.772389492748</v>
      </c>
      <c r="AD87" s="753">
        <v>39484.308412273807</v>
      </c>
      <c r="AE87" s="753">
        <v>39940.324980304722</v>
      </c>
      <c r="AF87" s="753">
        <v>40509.515891882809</v>
      </c>
      <c r="AG87" s="753">
        <v>41424.178433133333</v>
      </c>
      <c r="AH87" s="753">
        <v>42153.440419782841</v>
      </c>
      <c r="AI87" s="753">
        <v>42276.765560713167</v>
      </c>
      <c r="AJ87" s="753">
        <v>42158.230041260984</v>
      </c>
      <c r="AK87" s="753">
        <v>43422.2621493919</v>
      </c>
      <c r="AL87" s="753">
        <v>44029.679750392708</v>
      </c>
      <c r="AM87" s="753">
        <v>45150.606253074344</v>
      </c>
      <c r="AN87" s="753">
        <v>45786.953233995664</v>
      </c>
      <c r="AO87" s="753">
        <v>46277.509768221455</v>
      </c>
      <c r="AP87" s="753">
        <v>46155.202299751298</v>
      </c>
      <c r="AQ87" s="753">
        <v>46341.576128479821</v>
      </c>
      <c r="AR87" s="753">
        <v>46494.378450684679</v>
      </c>
      <c r="AS87" s="753">
        <v>46038.884698872738</v>
      </c>
      <c r="AT87" s="753">
        <v>46688.405837843864</v>
      </c>
      <c r="AU87" s="753">
        <v>47660.164906953702</v>
      </c>
      <c r="AV87" s="753">
        <v>47548.960141412368</v>
      </c>
      <c r="AW87" s="753">
        <v>48195.379240144655</v>
      </c>
      <c r="AX87" s="753">
        <v>49565.229590631949</v>
      </c>
      <c r="AY87" s="753">
        <v>51775.405015508302</v>
      </c>
      <c r="AZ87" s="753">
        <v>53185.510566340447</v>
      </c>
      <c r="BA87" s="753">
        <v>52422.296239737378</v>
      </c>
      <c r="BB87" s="754">
        <v>53212.915814233136</v>
      </c>
      <c r="BC87" s="755">
        <v>1.5081742525739461E-2</v>
      </c>
      <c r="BD87" s="755">
        <v>1.2405565583446743E-2</v>
      </c>
      <c r="BE87" s="755">
        <v>0.57435188856282382</v>
      </c>
    </row>
    <row r="88" spans="1:57" x14ac:dyDescent="0.3">
      <c r="A88" s="39" t="s">
        <v>948</v>
      </c>
      <c r="B88" s="760">
        <v>698.83747945205459</v>
      </c>
      <c r="C88" s="760">
        <v>697.25496438356174</v>
      </c>
      <c r="D88" s="760">
        <v>704.55633972602743</v>
      </c>
      <c r="E88" s="760">
        <v>702.26834426229493</v>
      </c>
      <c r="F88" s="760">
        <v>698.21482465753411</v>
      </c>
      <c r="G88" s="760">
        <v>693.51075342465754</v>
      </c>
      <c r="H88" s="760">
        <v>676.69221643835624</v>
      </c>
      <c r="I88" s="760">
        <v>668.44070491803279</v>
      </c>
      <c r="J88" s="760">
        <v>673.9429917808219</v>
      </c>
      <c r="K88" s="760">
        <v>686.48791232876704</v>
      </c>
      <c r="L88" s="760">
        <v>714.00169589041104</v>
      </c>
      <c r="M88" s="760">
        <v>929.24119672131155</v>
      </c>
      <c r="N88" s="760">
        <v>1462.751991780822</v>
      </c>
      <c r="O88" s="760">
        <v>1774.239610958904</v>
      </c>
      <c r="P88" s="760">
        <v>2247.6362273972604</v>
      </c>
      <c r="Q88" s="760">
        <v>2284.7874808743172</v>
      </c>
      <c r="R88" s="760">
        <v>2480.8498630136983</v>
      </c>
      <c r="S88" s="760">
        <v>2830.7157890410963</v>
      </c>
      <c r="T88" s="760">
        <v>3143.8323068493146</v>
      </c>
      <c r="U88" s="760">
        <v>3377.7623224043709</v>
      </c>
      <c r="V88" s="760">
        <v>3445.3199123287668</v>
      </c>
      <c r="W88" s="760">
        <v>3458.7007698630136</v>
      </c>
      <c r="X88" s="760">
        <v>3397.860032876712</v>
      </c>
      <c r="Y88" s="760">
        <v>3209.7036584699445</v>
      </c>
      <c r="Z88" s="760">
        <v>2724.7256767123285</v>
      </c>
      <c r="AA88" s="760">
        <v>2721.1442164383561</v>
      </c>
      <c r="AB88" s="760">
        <v>2706.6528301369863</v>
      </c>
      <c r="AC88" s="760">
        <v>2761.347215846994</v>
      </c>
      <c r="AD88" s="760">
        <v>2894.4898630136986</v>
      </c>
      <c r="AE88" s="760">
        <v>3493.2463643835613</v>
      </c>
      <c r="AF88" s="760">
        <v>3550.8907178082191</v>
      </c>
      <c r="AG88" s="760">
        <v>3531.3992349726777</v>
      </c>
      <c r="AH88" s="760">
        <v>3509.133660273973</v>
      </c>
      <c r="AI88" s="760">
        <v>3612.5007068493123</v>
      </c>
      <c r="AJ88" s="760">
        <v>3736.5113232876715</v>
      </c>
      <c r="AK88" s="760">
        <v>3548.6269975879854</v>
      </c>
      <c r="AL88" s="760">
        <v>3334.4516707800421</v>
      </c>
      <c r="AM88" s="760">
        <v>3388.9714507942535</v>
      </c>
      <c r="AN88" s="760">
        <v>3174.2680171527027</v>
      </c>
      <c r="AO88" s="760">
        <v>2944.8035053942613</v>
      </c>
      <c r="AP88" s="760">
        <v>2702.0208234504216</v>
      </c>
      <c r="AQ88" s="760">
        <v>2463.9069235620032</v>
      </c>
      <c r="AR88" s="760">
        <v>2416.0546975139437</v>
      </c>
      <c r="AS88" s="760">
        <v>2258.0248398579706</v>
      </c>
      <c r="AT88" s="760">
        <v>2118.9593310683513</v>
      </c>
      <c r="AU88" s="760">
        <v>1981.6274865931805</v>
      </c>
      <c r="AV88" s="760">
        <v>1711.9930115187576</v>
      </c>
      <c r="AW88" s="760">
        <v>1518.7434003914886</v>
      </c>
      <c r="AX88" s="760">
        <v>1425.0106057988382</v>
      </c>
      <c r="AY88" s="760">
        <v>1405.2918774859195</v>
      </c>
      <c r="AZ88" s="760">
        <v>1499.175807255988</v>
      </c>
      <c r="BA88" s="760">
        <v>1483.5562567512623</v>
      </c>
      <c r="BB88" s="757">
        <v>1463.732934282963</v>
      </c>
      <c r="BC88" s="761">
        <v>-1.3362029500457839E-2</v>
      </c>
      <c r="BD88" s="761">
        <v>-4.9465307849119289E-2</v>
      </c>
      <c r="BE88" s="761">
        <v>1.5798754161337608E-2</v>
      </c>
    </row>
    <row r="89" spans="1:57" x14ac:dyDescent="0.3">
      <c r="BA89" s="750"/>
      <c r="BB89" s="750"/>
    </row>
    <row r="90" spans="1:57" x14ac:dyDescent="0.3">
      <c r="A90" s="3" t="s">
        <v>949</v>
      </c>
      <c r="BA90" s="750"/>
      <c r="BB90" s="750"/>
    </row>
    <row r="91" spans="1:57" x14ac:dyDescent="0.3">
      <c r="A91" s="3" t="s">
        <v>950</v>
      </c>
      <c r="BA91" s="750"/>
      <c r="BB91" s="750"/>
    </row>
    <row r="92" spans="1:57" x14ac:dyDescent="0.3">
      <c r="A92" s="3" t="s">
        <v>951</v>
      </c>
      <c r="BA92" s="750"/>
      <c r="BB92" s="750"/>
    </row>
    <row r="93" spans="1:57" x14ac:dyDescent="0.3">
      <c r="A93" s="762" t="s">
        <v>952</v>
      </c>
      <c r="BA93" s="750"/>
      <c r="BB93" s="750"/>
    </row>
    <row r="94" spans="1:57" x14ac:dyDescent="0.3">
      <c r="A94" s="763" t="s">
        <v>953</v>
      </c>
      <c r="BA94" s="750"/>
      <c r="BB94" s="750"/>
    </row>
    <row r="95" spans="1:57" x14ac:dyDescent="0.3">
      <c r="A95" s="3" t="s">
        <v>954</v>
      </c>
      <c r="BA95" s="750"/>
      <c r="BB95" s="750"/>
    </row>
    <row r="96" spans="1:57" x14ac:dyDescent="0.3">
      <c r="A96" s="763" t="s">
        <v>955</v>
      </c>
      <c r="BA96" s="750"/>
      <c r="BB96" s="750"/>
    </row>
    <row r="97" spans="1:54" x14ac:dyDescent="0.3">
      <c r="A97" s="750" t="s">
        <v>956</v>
      </c>
      <c r="BA97" s="750"/>
      <c r="BB97" s="750"/>
    </row>
  </sheetData>
  <mergeCells count="1">
    <mergeCell ref="BC10:BD10"/>
  </mergeCells>
  <conditionalFormatting sqref="A1:XFD5 A7:XFD7 A6 C6:XFD6">
    <cfRule type="expression" dxfId="13" priority="6">
      <formula>_xlfn.ISFORMULA(A1)</formula>
    </cfRule>
  </conditionalFormatting>
  <conditionalFormatting sqref="B6">
    <cfRule type="expression" dxfId="12" priority="5">
      <formula>_xlfn.ISFORMULA(B6)</formula>
    </cfRule>
  </conditionalFormatting>
  <conditionalFormatting sqref="BC13:BD88">
    <cfRule type="cellIs" dxfId="11" priority="3" operator="lessThanOrEqual">
      <formula>0</formula>
    </cfRule>
    <cfRule type="cellIs" dxfId="10" priority="4" operator="greaterThan">
      <formula>0</formula>
    </cfRule>
  </conditionalFormatting>
  <conditionalFormatting sqref="BE13:BE88">
    <cfRule type="cellIs" dxfId="9" priority="1" operator="lessThanOrEqual">
      <formula>0</formula>
    </cfRule>
    <cfRule type="cellIs" dxfId="8" priority="2" operator="greaterThan">
      <formula>0</formula>
    </cfRule>
  </conditionalFormatting>
  <hyperlinks>
    <hyperlink ref="B3" r:id="rId1" xr:uid="{8DDC6A45-986B-4588-976D-FB422777EAE5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F9921-0BF4-465C-B0A5-3C0714E168CE}">
  <sheetPr>
    <tabColor theme="7" tint="0.39997558519241921"/>
  </sheetPr>
  <dimension ref="A1:AZ98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52" s="1" customFormat="1" ht="49.5" customHeight="1" x14ac:dyDescent="0.3">
      <c r="A1" s="1" t="s">
        <v>957</v>
      </c>
    </row>
    <row r="2" spans="1:52" s="2" customFormat="1" x14ac:dyDescent="0.3">
      <c r="A2" s="2" t="s">
        <v>1</v>
      </c>
      <c r="B2" s="2" t="s">
        <v>899</v>
      </c>
    </row>
    <row r="3" spans="1:52" s="2" customFormat="1" x14ac:dyDescent="0.3">
      <c r="A3" s="2" t="s">
        <v>3</v>
      </c>
      <c r="B3" s="6" t="s">
        <v>900</v>
      </c>
    </row>
    <row r="4" spans="1:52" s="2" customFormat="1" x14ac:dyDescent="0.3">
      <c r="A4" s="2" t="s">
        <v>7</v>
      </c>
      <c r="B4" s="7">
        <v>43501</v>
      </c>
    </row>
    <row r="5" spans="1:52" s="2" customFormat="1" x14ac:dyDescent="0.3">
      <c r="A5" s="2" t="s">
        <v>2</v>
      </c>
      <c r="B5" s="2" t="s">
        <v>958</v>
      </c>
    </row>
    <row r="6" spans="1:52" s="2" customFormat="1" x14ac:dyDescent="0.3">
      <c r="A6" s="2" t="s">
        <v>4</v>
      </c>
      <c r="B6" s="2" t="s">
        <v>959</v>
      </c>
    </row>
    <row r="7" spans="1:52" ht="15" thickBot="1" x14ac:dyDescent="0.35"/>
    <row r="8" spans="1:52" s="748" customFormat="1" ht="15" thickBot="1" x14ac:dyDescent="0.35">
      <c r="A8" s="748" t="s">
        <v>960</v>
      </c>
    </row>
    <row r="10" spans="1:52" x14ac:dyDescent="0.3">
      <c r="AW10" s="750"/>
      <c r="AX10" s="824" t="s">
        <v>904</v>
      </c>
      <c r="AY10" s="824"/>
      <c r="AZ10" s="751" t="s">
        <v>905</v>
      </c>
    </row>
    <row r="11" spans="1:52" x14ac:dyDescent="0.3">
      <c r="A11" s="3" t="s">
        <v>961</v>
      </c>
      <c r="B11" s="3">
        <v>1970</v>
      </c>
      <c r="C11" s="3">
        <v>1971</v>
      </c>
      <c r="D11" s="3">
        <v>1972</v>
      </c>
      <c r="E11" s="3">
        <v>1973</v>
      </c>
      <c r="F11" s="3">
        <v>1974</v>
      </c>
      <c r="G11" s="3">
        <v>1975</v>
      </c>
      <c r="H11" s="3">
        <v>1976</v>
      </c>
      <c r="I11" s="3">
        <v>1977</v>
      </c>
      <c r="J11" s="3">
        <v>1978</v>
      </c>
      <c r="K11" s="3">
        <v>1979</v>
      </c>
      <c r="L11" s="3">
        <v>1980</v>
      </c>
      <c r="M11" s="3">
        <v>1981</v>
      </c>
      <c r="N11" s="3">
        <v>1982</v>
      </c>
      <c r="O11" s="3">
        <v>1983</v>
      </c>
      <c r="P11" s="3">
        <v>1984</v>
      </c>
      <c r="Q11" s="3">
        <v>1985</v>
      </c>
      <c r="R11" s="3">
        <v>1986</v>
      </c>
      <c r="S11" s="3">
        <v>1987</v>
      </c>
      <c r="T11" s="3">
        <v>1988</v>
      </c>
      <c r="U11" s="3">
        <v>1989</v>
      </c>
      <c r="V11" s="3">
        <v>1990</v>
      </c>
      <c r="W11" s="3">
        <v>1991</v>
      </c>
      <c r="X11" s="3">
        <v>1992</v>
      </c>
      <c r="Y11" s="3">
        <v>1993</v>
      </c>
      <c r="Z11" s="3">
        <v>1994</v>
      </c>
      <c r="AA11" s="3">
        <v>1995</v>
      </c>
      <c r="AB11" s="3">
        <v>1996</v>
      </c>
      <c r="AC11" s="3">
        <v>1997</v>
      </c>
      <c r="AD11" s="3">
        <v>1998</v>
      </c>
      <c r="AE11" s="3">
        <v>1999</v>
      </c>
      <c r="AF11" s="3">
        <v>2000</v>
      </c>
      <c r="AG11" s="3">
        <v>2001</v>
      </c>
      <c r="AH11" s="3">
        <v>2002</v>
      </c>
      <c r="AI11" s="3">
        <v>2003</v>
      </c>
      <c r="AJ11" s="3">
        <v>2004</v>
      </c>
      <c r="AK11" s="3">
        <v>2005</v>
      </c>
      <c r="AL11" s="3">
        <v>2006</v>
      </c>
      <c r="AM11" s="3">
        <v>2007</v>
      </c>
      <c r="AN11" s="3">
        <v>2008</v>
      </c>
      <c r="AO11" s="3">
        <v>2009</v>
      </c>
      <c r="AP11" s="3">
        <v>2010</v>
      </c>
      <c r="AQ11" s="3">
        <v>2011</v>
      </c>
      <c r="AR11" s="3">
        <v>2012</v>
      </c>
      <c r="AS11" s="3">
        <v>2013</v>
      </c>
      <c r="AT11" s="3">
        <v>2014</v>
      </c>
      <c r="AU11" s="3">
        <v>2015</v>
      </c>
      <c r="AV11" s="3">
        <v>2016</v>
      </c>
      <c r="AW11" s="750">
        <v>2017</v>
      </c>
      <c r="AX11" s="751">
        <v>2017</v>
      </c>
      <c r="AY11" s="751" t="s">
        <v>907</v>
      </c>
      <c r="AZ11" s="751">
        <v>2017</v>
      </c>
    </row>
    <row r="12" spans="1:52" x14ac:dyDescent="0.3">
      <c r="AT12" s="750"/>
      <c r="AU12" s="750"/>
      <c r="AW12" s="750"/>
    </row>
    <row r="13" spans="1:52" x14ac:dyDescent="0.3">
      <c r="A13" s="3" t="s">
        <v>908</v>
      </c>
      <c r="B13" s="764">
        <v>571.46229836083887</v>
      </c>
      <c r="C13" s="764">
        <v>587.66059724250999</v>
      </c>
      <c r="D13" s="764">
        <v>585.75500811430049</v>
      </c>
      <c r="E13" s="764">
        <v>585.22231041431269</v>
      </c>
      <c r="F13" s="764">
        <v>559.44719042922065</v>
      </c>
      <c r="G13" s="764">
        <v>518.0414707403562</v>
      </c>
      <c r="H13" s="764">
        <v>513.82061429636462</v>
      </c>
      <c r="I13" s="764">
        <v>516.06266073597476</v>
      </c>
      <c r="J13" s="764">
        <v>513.94985863831062</v>
      </c>
      <c r="K13" s="764">
        <v>529.54168503949938</v>
      </c>
      <c r="L13" s="764">
        <v>525.09074729044767</v>
      </c>
      <c r="M13" s="764">
        <v>519.59271936046343</v>
      </c>
      <c r="N13" s="764">
        <v>483.18986351355233</v>
      </c>
      <c r="O13" s="764">
        <v>437.67380448125823</v>
      </c>
      <c r="P13" s="764">
        <v>474.98437763097087</v>
      </c>
      <c r="Q13" s="764">
        <v>447.88123246778986</v>
      </c>
      <c r="R13" s="764">
        <v>436.28672255181868</v>
      </c>
      <c r="S13" s="764">
        <v>451.98115313467491</v>
      </c>
      <c r="T13" s="764">
        <v>464.18756906876939</v>
      </c>
      <c r="U13" s="764">
        <v>470.74679855171524</v>
      </c>
      <c r="V13" s="764">
        <v>483.37792721928184</v>
      </c>
      <c r="W13" s="764">
        <v>480.80836506662223</v>
      </c>
      <c r="X13" s="764">
        <v>484.66891993694401</v>
      </c>
      <c r="Y13" s="764">
        <v>490.17992505391561</v>
      </c>
      <c r="Z13" s="764">
        <v>510.3308588054461</v>
      </c>
      <c r="AA13" s="764">
        <v>503.32085670946833</v>
      </c>
      <c r="AB13" s="764">
        <v>510.23207920124452</v>
      </c>
      <c r="AC13" s="764">
        <v>511.53990005975601</v>
      </c>
      <c r="AD13" s="764">
        <v>517.32804197281462</v>
      </c>
      <c r="AE13" s="764">
        <v>510.13804734837981</v>
      </c>
      <c r="AF13" s="764">
        <v>518.60028107269648</v>
      </c>
      <c r="AG13" s="764">
        <v>531.89498711876831</v>
      </c>
      <c r="AH13" s="764">
        <v>511.22876408881837</v>
      </c>
      <c r="AI13" s="764">
        <v>517.8558072866914</v>
      </c>
      <c r="AJ13" s="764">
        <v>503.1100829265111</v>
      </c>
      <c r="AK13" s="764">
        <v>489.44080567636263</v>
      </c>
      <c r="AL13" s="764">
        <v>501.72405605292414</v>
      </c>
      <c r="AM13" s="764">
        <v>521.88889016531289</v>
      </c>
      <c r="AN13" s="764">
        <v>546.06747325782396</v>
      </c>
      <c r="AO13" s="764">
        <v>557.58251109169635</v>
      </c>
      <c r="AP13" s="764">
        <v>575.15744684986612</v>
      </c>
      <c r="AQ13" s="764">
        <v>617.35854676962458</v>
      </c>
      <c r="AR13" s="764">
        <v>649.12482779021548</v>
      </c>
      <c r="AS13" s="764">
        <v>655.69273510754931</v>
      </c>
      <c r="AT13" s="764">
        <v>704.72648223446004</v>
      </c>
      <c r="AU13" s="764">
        <v>740.30320297237324</v>
      </c>
      <c r="AV13" s="764">
        <v>729.2888155169652</v>
      </c>
      <c r="AW13" s="765">
        <v>734.51743493498304</v>
      </c>
      <c r="AX13" s="755">
        <v>9.92130621174514E-3</v>
      </c>
      <c r="AY13" s="755">
        <v>3.8110211047536202E-2</v>
      </c>
      <c r="AZ13" s="755">
        <v>0.19957664956603155</v>
      </c>
    </row>
    <row r="14" spans="1:52" x14ac:dyDescent="0.3">
      <c r="A14" s="3" t="s">
        <v>593</v>
      </c>
      <c r="B14" s="764">
        <v>54.016274999999993</v>
      </c>
      <c r="C14" s="764">
        <v>59.054999999999993</v>
      </c>
      <c r="D14" s="764">
        <v>66.674999999999997</v>
      </c>
      <c r="E14" s="764">
        <v>71.437499999999986</v>
      </c>
      <c r="F14" s="764">
        <v>69.955409999999986</v>
      </c>
      <c r="G14" s="764">
        <v>71.456549999999993</v>
      </c>
      <c r="H14" s="764">
        <v>72.0852</v>
      </c>
      <c r="I14" s="764">
        <v>75.723749999999995</v>
      </c>
      <c r="J14" s="764">
        <v>73.075799999999987</v>
      </c>
      <c r="K14" s="764">
        <v>77.05725000000001</v>
      </c>
      <c r="L14" s="764">
        <v>71.227949999999993</v>
      </c>
      <c r="M14" s="764">
        <v>68.827650000000006</v>
      </c>
      <c r="N14" s="764">
        <v>72.247124999999997</v>
      </c>
      <c r="O14" s="764">
        <v>67.951350000000005</v>
      </c>
      <c r="P14" s="764">
        <v>74.475974999999991</v>
      </c>
      <c r="Q14" s="764">
        <v>80.513682000000003</v>
      </c>
      <c r="R14" s="764">
        <v>75.515152500000013</v>
      </c>
      <c r="S14" s="764">
        <v>81.856516499999998</v>
      </c>
      <c r="T14" s="764">
        <v>94.526861999999994</v>
      </c>
      <c r="U14" s="764">
        <v>100.42693275000001</v>
      </c>
      <c r="V14" s="764">
        <v>103.44778649999999</v>
      </c>
      <c r="W14" s="764">
        <v>108.87856049999999</v>
      </c>
      <c r="X14" s="764">
        <v>119.96470799999999</v>
      </c>
      <c r="Y14" s="764">
        <v>132.06402974999997</v>
      </c>
      <c r="Z14" s="764">
        <v>142.94710425000002</v>
      </c>
      <c r="AA14" s="764">
        <v>152.7412469105613</v>
      </c>
      <c r="AB14" s="764">
        <v>153.91807149020858</v>
      </c>
      <c r="AC14" s="764">
        <v>159.73090229431651</v>
      </c>
      <c r="AD14" s="764">
        <v>165.60409372883245</v>
      </c>
      <c r="AE14" s="764">
        <v>170.5401952626836</v>
      </c>
      <c r="AF14" s="764">
        <v>176.30467653657624</v>
      </c>
      <c r="AG14" s="764">
        <v>179.41921704959123</v>
      </c>
      <c r="AH14" s="764">
        <v>180.72257570028935</v>
      </c>
      <c r="AI14" s="764">
        <v>176.04699499008939</v>
      </c>
      <c r="AJ14" s="764">
        <v>176.73518880412919</v>
      </c>
      <c r="AK14" s="764">
        <v>179.15245627688313</v>
      </c>
      <c r="AL14" s="764">
        <v>179.39741124347933</v>
      </c>
      <c r="AM14" s="764">
        <v>174.67913160683287</v>
      </c>
      <c r="AN14" s="764">
        <v>166.50254551303036</v>
      </c>
      <c r="AO14" s="764">
        <v>155.04996112242316</v>
      </c>
      <c r="AP14" s="764">
        <v>149.59108084377718</v>
      </c>
      <c r="AQ14" s="764">
        <v>151.06967849611721</v>
      </c>
      <c r="AR14" s="764">
        <v>150.30524731432428</v>
      </c>
      <c r="AS14" s="764">
        <v>151.92013743204441</v>
      </c>
      <c r="AT14" s="764">
        <v>159.10168491577832</v>
      </c>
      <c r="AU14" s="764">
        <v>160.94133216842053</v>
      </c>
      <c r="AV14" s="764">
        <v>171.63686069152411</v>
      </c>
      <c r="AW14" s="765">
        <v>176.31229006249313</v>
      </c>
      <c r="AX14" s="755">
        <v>3.0046907865056038E-2</v>
      </c>
      <c r="AY14" s="755">
        <v>-4.4124911843440584E-3</v>
      </c>
      <c r="AZ14" s="755">
        <v>4.7906032524743819E-2</v>
      </c>
    </row>
    <row r="15" spans="1:52" x14ac:dyDescent="0.3">
      <c r="A15" s="3" t="s">
        <v>594</v>
      </c>
      <c r="B15" s="764">
        <v>11.030307247353804</v>
      </c>
      <c r="C15" s="764">
        <v>10.918173073650928</v>
      </c>
      <c r="D15" s="764">
        <v>11.348022671280811</v>
      </c>
      <c r="E15" s="764">
        <v>12.330594010841224</v>
      </c>
      <c r="F15" s="764">
        <v>12.926203036598377</v>
      </c>
      <c r="G15" s="764">
        <v>13.139034115040158</v>
      </c>
      <c r="H15" s="764">
        <v>12.885492711776951</v>
      </c>
      <c r="I15" s="764">
        <v>13.665276270152365</v>
      </c>
      <c r="J15" s="764">
        <v>17.105864545712357</v>
      </c>
      <c r="K15" s="764">
        <v>20.765465445009585</v>
      </c>
      <c r="L15" s="764">
        <v>25.115241594518448</v>
      </c>
      <c r="M15" s="764">
        <v>27.057907289428833</v>
      </c>
      <c r="N15" s="764">
        <v>28.852311119462072</v>
      </c>
      <c r="O15" s="764">
        <v>29.096166300927823</v>
      </c>
      <c r="P15" s="764">
        <v>28.619361489328917</v>
      </c>
      <c r="Q15" s="764">
        <v>27.763767532750986</v>
      </c>
      <c r="R15" s="764">
        <v>24.661609113895771</v>
      </c>
      <c r="S15" s="764">
        <v>25.067101352772404</v>
      </c>
      <c r="T15" s="764">
        <v>25.393228626170544</v>
      </c>
      <c r="U15" s="764">
        <v>24.376479232539317</v>
      </c>
      <c r="V15" s="764">
        <v>26.386139684127389</v>
      </c>
      <c r="W15" s="764">
        <v>26.759096716018906</v>
      </c>
      <c r="X15" s="764">
        <v>25.937532164058528</v>
      </c>
      <c r="Y15" s="764">
        <v>27.778210000000005</v>
      </c>
      <c r="Z15" s="764">
        <v>29.223009722222226</v>
      </c>
      <c r="AA15" s="764">
        <v>29.186251222222221</v>
      </c>
      <c r="AB15" s="764">
        <v>30.805027027777779</v>
      </c>
      <c r="AC15" s="764">
        <v>31.106472250000007</v>
      </c>
      <c r="AD15" s="764">
        <v>32.93411313888889</v>
      </c>
      <c r="AE15" s="764">
        <v>34.235268361111117</v>
      </c>
      <c r="AF15" s="764">
        <v>33.378669194444448</v>
      </c>
      <c r="AG15" s="764">
        <v>33.140704277777779</v>
      </c>
      <c r="AH15" s="764">
        <v>33.72773055555556</v>
      </c>
      <c r="AI15" s="764">
        <v>34.840408083333344</v>
      </c>
      <c r="AJ15" s="764">
        <v>37.027044916666682</v>
      </c>
      <c r="AK15" s="764">
        <v>44.311891138888889</v>
      </c>
      <c r="AL15" s="764">
        <v>48.452200250000004</v>
      </c>
      <c r="AM15" s="764">
        <v>46.858574305555564</v>
      </c>
      <c r="AN15" s="764">
        <v>47.230578388888894</v>
      </c>
      <c r="AO15" s="764">
        <v>52.583051111111118</v>
      </c>
      <c r="AP15" s="764">
        <v>51.17781780555557</v>
      </c>
      <c r="AQ15" s="764">
        <v>52.098990833333339</v>
      </c>
      <c r="AR15" s="764">
        <v>50.850187000000005</v>
      </c>
      <c r="AS15" s="764">
        <v>52.488039194444461</v>
      </c>
      <c r="AT15" s="764">
        <v>51.299803250000011</v>
      </c>
      <c r="AU15" s="764">
        <v>47.94694752777778</v>
      </c>
      <c r="AV15" s="764">
        <v>43.651424027777779</v>
      </c>
      <c r="AW15" s="765">
        <v>40.690265638290214</v>
      </c>
      <c r="AX15" s="755">
        <v>-6.5289572191237766E-2</v>
      </c>
      <c r="AY15" s="755">
        <v>-1.0379937194003763E-2</v>
      </c>
      <c r="AZ15" s="755">
        <v>1.1056002893601305E-2</v>
      </c>
    </row>
    <row r="16" spans="1:52" x14ac:dyDescent="0.3">
      <c r="A16" s="756" t="s">
        <v>909</v>
      </c>
      <c r="B16" s="766">
        <v>636.50888060819261</v>
      </c>
      <c r="C16" s="766">
        <v>657.63377031616085</v>
      </c>
      <c r="D16" s="766">
        <v>663.77803078558122</v>
      </c>
      <c r="E16" s="766">
        <v>668.99040442515388</v>
      </c>
      <c r="F16" s="766">
        <v>642.32880346581908</v>
      </c>
      <c r="G16" s="766">
        <v>602.6370548553964</v>
      </c>
      <c r="H16" s="766">
        <v>598.79130700814153</v>
      </c>
      <c r="I16" s="766">
        <v>605.45168700612714</v>
      </c>
      <c r="J16" s="766">
        <v>604.13152318402297</v>
      </c>
      <c r="K16" s="766">
        <v>627.36440048450891</v>
      </c>
      <c r="L16" s="766">
        <v>621.4339388849661</v>
      </c>
      <c r="M16" s="766">
        <v>615.47827664989222</v>
      </c>
      <c r="N16" s="766">
        <v>584.28929963301448</v>
      </c>
      <c r="O16" s="766">
        <v>534.72132078218601</v>
      </c>
      <c r="P16" s="766">
        <v>578.07971412029974</v>
      </c>
      <c r="Q16" s="766">
        <v>556.15868200054081</v>
      </c>
      <c r="R16" s="766">
        <v>536.46348416571448</v>
      </c>
      <c r="S16" s="766">
        <v>558.90477098744736</v>
      </c>
      <c r="T16" s="766">
        <v>584.10765969493991</v>
      </c>
      <c r="U16" s="766">
        <v>595.55021053425457</v>
      </c>
      <c r="V16" s="766">
        <v>613.21185340340924</v>
      </c>
      <c r="W16" s="766">
        <v>616.44602228264114</v>
      </c>
      <c r="X16" s="766">
        <v>630.57116010100253</v>
      </c>
      <c r="Y16" s="766">
        <v>650.02216480391564</v>
      </c>
      <c r="Z16" s="766">
        <v>682.50097277766827</v>
      </c>
      <c r="AA16" s="766">
        <v>685.24835484225184</v>
      </c>
      <c r="AB16" s="766">
        <v>694.95517771923085</v>
      </c>
      <c r="AC16" s="766">
        <v>702.37727460407257</v>
      </c>
      <c r="AD16" s="766">
        <v>715.86624884053595</v>
      </c>
      <c r="AE16" s="766">
        <v>714.91351097217455</v>
      </c>
      <c r="AF16" s="766">
        <v>728.2836268037172</v>
      </c>
      <c r="AG16" s="766">
        <v>744.45490844613732</v>
      </c>
      <c r="AH16" s="766">
        <v>725.67907034466327</v>
      </c>
      <c r="AI16" s="766">
        <v>728.74321036011418</v>
      </c>
      <c r="AJ16" s="766">
        <v>716.872316647307</v>
      </c>
      <c r="AK16" s="766">
        <v>712.90515309213458</v>
      </c>
      <c r="AL16" s="766">
        <v>729.5736675464035</v>
      </c>
      <c r="AM16" s="766">
        <v>743.42659607770133</v>
      </c>
      <c r="AN16" s="766">
        <v>759.80059715974323</v>
      </c>
      <c r="AO16" s="766">
        <v>765.21552332523061</v>
      </c>
      <c r="AP16" s="766">
        <v>775.92634549919887</v>
      </c>
      <c r="AQ16" s="766">
        <v>820.52721609907508</v>
      </c>
      <c r="AR16" s="766">
        <v>850.28026210453982</v>
      </c>
      <c r="AS16" s="766">
        <v>860.10091173403816</v>
      </c>
      <c r="AT16" s="766">
        <v>915.12797040023838</v>
      </c>
      <c r="AU16" s="766">
        <v>949.19148266857155</v>
      </c>
      <c r="AV16" s="766">
        <v>944.57710023626714</v>
      </c>
      <c r="AW16" s="766">
        <v>951.51999063576636</v>
      </c>
      <c r="AX16" s="758">
        <v>1.0102586429727722E-2</v>
      </c>
      <c r="AY16" s="758">
        <v>2.6164121865141832E-2</v>
      </c>
      <c r="AZ16" s="758">
        <v>0.25853868498437665</v>
      </c>
    </row>
    <row r="17" spans="1:52" x14ac:dyDescent="0.3">
      <c r="B17" s="764"/>
      <c r="C17" s="764"/>
      <c r="D17" s="764"/>
      <c r="E17" s="764"/>
      <c r="F17" s="764"/>
      <c r="G17" s="764"/>
      <c r="H17" s="764"/>
      <c r="I17" s="764"/>
      <c r="J17" s="764"/>
      <c r="K17" s="764"/>
      <c r="L17" s="764"/>
      <c r="M17" s="764"/>
      <c r="N17" s="764"/>
      <c r="O17" s="764"/>
      <c r="P17" s="764"/>
      <c r="Q17" s="764"/>
      <c r="R17" s="764"/>
      <c r="S17" s="764"/>
      <c r="T17" s="764"/>
      <c r="U17" s="764"/>
      <c r="V17" s="764"/>
      <c r="W17" s="764"/>
      <c r="X17" s="764"/>
      <c r="Y17" s="764"/>
      <c r="Z17" s="764"/>
      <c r="AA17" s="764"/>
      <c r="AB17" s="764"/>
      <c r="AC17" s="764"/>
      <c r="AD17" s="764"/>
      <c r="AE17" s="764"/>
      <c r="AF17" s="764"/>
      <c r="AG17" s="764"/>
      <c r="AH17" s="764"/>
      <c r="AI17" s="764"/>
      <c r="AJ17" s="764"/>
      <c r="AK17" s="764"/>
      <c r="AL17" s="764"/>
      <c r="AM17" s="764"/>
      <c r="AN17" s="764"/>
      <c r="AO17" s="764"/>
      <c r="AP17" s="764"/>
      <c r="AQ17" s="764"/>
      <c r="AR17" s="764"/>
      <c r="AS17" s="764"/>
      <c r="AT17" s="764"/>
      <c r="AU17" s="764"/>
      <c r="AV17" s="764"/>
      <c r="AW17" s="765"/>
      <c r="AX17" s="755"/>
      <c r="AY17" s="755"/>
      <c r="AZ17" s="755"/>
    </row>
    <row r="18" spans="1:52" x14ac:dyDescent="0.3">
      <c r="A18" s="3" t="s">
        <v>597</v>
      </c>
      <c r="B18" s="764">
        <v>5.8544500000000008</v>
      </c>
      <c r="C18" s="764">
        <v>6.3265987500000014</v>
      </c>
      <c r="D18" s="764">
        <v>6.0139400000000007</v>
      </c>
      <c r="E18" s="764">
        <v>6.5488150000000003</v>
      </c>
      <c r="F18" s="764">
        <v>7.0486800000000001</v>
      </c>
      <c r="G18" s="764">
        <v>7.4804700000000004</v>
      </c>
      <c r="H18" s="764">
        <v>7.1323150000000002</v>
      </c>
      <c r="I18" s="764">
        <v>7.3618250000000005</v>
      </c>
      <c r="J18" s="764">
        <v>7.5952250000000001</v>
      </c>
      <c r="K18" s="764">
        <v>7.0311750000000002</v>
      </c>
      <c r="L18" s="764">
        <v>8.1646237500000005</v>
      </c>
      <c r="M18" s="764">
        <v>8.4952737500000008</v>
      </c>
      <c r="N18" s="764">
        <v>9.5207750000000022</v>
      </c>
      <c r="O18" s="764">
        <v>12.778650000000003</v>
      </c>
      <c r="P18" s="764">
        <v>13.109300000000001</v>
      </c>
      <c r="Q18" s="764">
        <v>13.508025000000002</v>
      </c>
      <c r="R18" s="764">
        <v>15.083475</v>
      </c>
      <c r="S18" s="764">
        <v>14.733375000000001</v>
      </c>
      <c r="T18" s="764">
        <v>17.466100000000001</v>
      </c>
      <c r="U18" s="764">
        <v>18.467775000000007</v>
      </c>
      <c r="V18" s="764">
        <v>17.349400000000003</v>
      </c>
      <c r="W18" s="764">
        <v>19.381924999999999</v>
      </c>
      <c r="X18" s="764">
        <v>19.537525000000002</v>
      </c>
      <c r="Y18" s="764">
        <v>20.9282</v>
      </c>
      <c r="Z18" s="764">
        <v>21.657575000000001</v>
      </c>
      <c r="AA18" s="764">
        <v>24.322225000000003</v>
      </c>
      <c r="AB18" s="764">
        <v>28.134425000000004</v>
      </c>
      <c r="AC18" s="764">
        <v>26.627050000000001</v>
      </c>
      <c r="AD18" s="764">
        <v>28.776275000000002</v>
      </c>
      <c r="AE18" s="764">
        <v>33.619325000000003</v>
      </c>
      <c r="AF18" s="764">
        <v>36.381225000000008</v>
      </c>
      <c r="AG18" s="764">
        <v>36.118650000000009</v>
      </c>
      <c r="AH18" s="764">
        <v>35.116974999999996</v>
      </c>
      <c r="AI18" s="764">
        <v>39.9114</v>
      </c>
      <c r="AJ18" s="764">
        <v>43.645800000000001</v>
      </c>
      <c r="AK18" s="764">
        <v>44.375175000000006</v>
      </c>
      <c r="AL18" s="764">
        <v>44.832250000000009</v>
      </c>
      <c r="AM18" s="764">
        <v>43.597175</v>
      </c>
      <c r="AN18" s="764">
        <v>42.848350000000003</v>
      </c>
      <c r="AO18" s="764">
        <v>40.286849894925048</v>
      </c>
      <c r="AP18" s="764">
        <v>38.996340440200036</v>
      </c>
      <c r="AQ18" s="764">
        <v>37.717426773999968</v>
      </c>
      <c r="AR18" s="764">
        <v>36.691060144874925</v>
      </c>
      <c r="AS18" s="764">
        <v>34.555690216224953</v>
      </c>
      <c r="AT18" s="764">
        <v>34.485657223624862</v>
      </c>
      <c r="AU18" s="764">
        <v>35.490989679424999</v>
      </c>
      <c r="AV18" s="764">
        <v>37.28221490632496</v>
      </c>
      <c r="AW18" s="765">
        <v>37.149720981174987</v>
      </c>
      <c r="AX18" s="755">
        <v>-8.3127988328868252E-4</v>
      </c>
      <c r="AY18" s="755">
        <v>-1.827213727995991E-2</v>
      </c>
      <c r="AZ18" s="755">
        <v>1.0093997083121779E-2</v>
      </c>
    </row>
    <row r="19" spans="1:52" x14ac:dyDescent="0.3">
      <c r="A19" s="3" t="s">
        <v>962</v>
      </c>
      <c r="B19" s="764">
        <v>4.1868000000000002E-2</v>
      </c>
      <c r="C19" s="764">
        <v>4.1868000000000002E-2</v>
      </c>
      <c r="D19" s="764">
        <v>1.1164799999999999</v>
      </c>
      <c r="E19" s="764">
        <v>1.7212399999999999</v>
      </c>
      <c r="F19" s="764">
        <v>1.8014869999999998</v>
      </c>
      <c r="G19" s="764">
        <v>1.775901</v>
      </c>
      <c r="H19" s="764">
        <v>1.830562</v>
      </c>
      <c r="I19" s="764">
        <v>1.931743</v>
      </c>
      <c r="J19" s="764">
        <v>1.9038309999999998</v>
      </c>
      <c r="K19" s="764">
        <v>2.0817700000000001</v>
      </c>
      <c r="L19" s="764">
        <v>2.5527849999999996</v>
      </c>
      <c r="M19" s="764">
        <v>2.7225830000000002</v>
      </c>
      <c r="N19" s="764">
        <v>2.8237639999999997</v>
      </c>
      <c r="O19" s="764">
        <v>2.7109529999999999</v>
      </c>
      <c r="P19" s="764">
        <v>2.6074459999999999</v>
      </c>
      <c r="Q19" s="764">
        <v>2.5841859999999999</v>
      </c>
      <c r="R19" s="764">
        <v>2.631869</v>
      </c>
      <c r="S19" s="764">
        <v>2.752821</v>
      </c>
      <c r="T19" s="764">
        <v>2.9098260000000002</v>
      </c>
      <c r="U19" s="764">
        <v>3.0691570000000001</v>
      </c>
      <c r="V19" s="764">
        <v>3.1366109999999998</v>
      </c>
      <c r="W19" s="764">
        <v>3.1180029999999999</v>
      </c>
      <c r="X19" s="764">
        <v>2.8311233735079977</v>
      </c>
      <c r="Y19" s="764">
        <v>2.8246837848474824</v>
      </c>
      <c r="Z19" s="764">
        <v>3.0458205055042349</v>
      </c>
      <c r="AA19" s="764">
        <v>3.0433669254913878</v>
      </c>
      <c r="AB19" s="764">
        <v>3.0733115866037477</v>
      </c>
      <c r="AC19" s="764">
        <v>2.5904449086660599</v>
      </c>
      <c r="AD19" s="764">
        <v>2.7055002954562872</v>
      </c>
      <c r="AE19" s="764">
        <v>2.178406054781167</v>
      </c>
      <c r="AF19" s="764">
        <v>3.1224025881504747</v>
      </c>
      <c r="AG19" s="764">
        <v>4.5470953143208135</v>
      </c>
      <c r="AH19" s="764">
        <v>5.8258458003751432</v>
      </c>
      <c r="AI19" s="764">
        <v>6.6953886545640824</v>
      </c>
      <c r="AJ19" s="764">
        <v>9.4198803533941202</v>
      </c>
      <c r="AK19" s="764">
        <v>11.62158134553081</v>
      </c>
      <c r="AL19" s="764">
        <v>12.445292888113247</v>
      </c>
      <c r="AM19" s="764">
        <v>13.330192546305081</v>
      </c>
      <c r="AN19" s="764">
        <v>13.792018935365475</v>
      </c>
      <c r="AO19" s="764">
        <v>11.881584314763947</v>
      </c>
      <c r="AP19" s="764">
        <v>13.714502311718684</v>
      </c>
      <c r="AQ19" s="764">
        <v>15.034001244715418</v>
      </c>
      <c r="AR19" s="764">
        <v>17.139783626480163</v>
      </c>
      <c r="AS19" s="764">
        <v>19.575464173333497</v>
      </c>
      <c r="AT19" s="764">
        <v>20.276824624396561</v>
      </c>
      <c r="AU19" s="764">
        <v>19.560595680666275</v>
      </c>
      <c r="AV19" s="764">
        <v>17.590332401027773</v>
      </c>
      <c r="AW19" s="765">
        <v>17.090373846761832</v>
      </c>
      <c r="AX19" s="755">
        <v>-2.5767764555102435E-2</v>
      </c>
      <c r="AY19" s="755">
        <v>3.5206266906627315E-2</v>
      </c>
      <c r="AZ19" s="755">
        <v>4.6436468216300032E-3</v>
      </c>
    </row>
    <row r="20" spans="1:52" x14ac:dyDescent="0.3">
      <c r="A20" s="3" t="s">
        <v>598</v>
      </c>
      <c r="B20" s="764">
        <v>8.2479959999999991E-2</v>
      </c>
      <c r="C20" s="764">
        <v>0.13093693649999999</v>
      </c>
      <c r="D20" s="764">
        <v>0.1783629135</v>
      </c>
      <c r="E20" s="764">
        <v>0.20413790099999998</v>
      </c>
      <c r="F20" s="764">
        <v>0.39281080949999997</v>
      </c>
      <c r="G20" s="764">
        <v>0.42786479249999998</v>
      </c>
      <c r="H20" s="764">
        <v>0.49281776099999997</v>
      </c>
      <c r="I20" s="764">
        <v>0.61344470249999994</v>
      </c>
      <c r="J20" s="764">
        <v>0.80727260849999993</v>
      </c>
      <c r="K20" s="764">
        <v>0.88459757099999992</v>
      </c>
      <c r="L20" s="764">
        <v>1.0340924985000002</v>
      </c>
      <c r="M20" s="764">
        <v>0.92789954999999991</v>
      </c>
      <c r="N20" s="764">
        <v>1.3258653569999999</v>
      </c>
      <c r="O20" s="764">
        <v>1.7929081304999999</v>
      </c>
      <c r="P20" s="764">
        <v>2.0867429879999997</v>
      </c>
      <c r="Q20" s="764">
        <v>2.6177077304999998</v>
      </c>
      <c r="R20" s="764">
        <v>3.0486655214999998</v>
      </c>
      <c r="S20" s="764">
        <v>3.4053913484999998</v>
      </c>
      <c r="T20" s="764">
        <v>3.4270423380000001</v>
      </c>
      <c r="U20" s="764">
        <v>3.5136462959999992</v>
      </c>
      <c r="V20" s="764">
        <v>3.1989873105989997</v>
      </c>
      <c r="W20" s="764">
        <v>3.3256517851709995</v>
      </c>
      <c r="X20" s="764">
        <v>3.7673742419505003</v>
      </c>
      <c r="Y20" s="764">
        <v>4.4132335687304991</v>
      </c>
      <c r="Z20" s="764">
        <v>4.8197360515904997</v>
      </c>
      <c r="AA20" s="764">
        <v>5.3194130522640002</v>
      </c>
      <c r="AB20" s="764">
        <v>5.8129226139285004</v>
      </c>
      <c r="AC20" s="764">
        <v>6.3274315734089992</v>
      </c>
      <c r="AD20" s="764">
        <v>6.6281194845854987</v>
      </c>
      <c r="AE20" s="764">
        <v>7.7826162286934997</v>
      </c>
      <c r="AF20" s="764">
        <v>7.8407782344308883</v>
      </c>
      <c r="AG20" s="764">
        <v>8.0076526153404384</v>
      </c>
      <c r="AH20" s="764">
        <v>9.6742895285007204</v>
      </c>
      <c r="AI20" s="764">
        <v>10.509791207455574</v>
      </c>
      <c r="AJ20" s="764">
        <v>11.55899600383662</v>
      </c>
      <c r="AK20" s="764">
        <v>11.432545201411459</v>
      </c>
      <c r="AL20" s="764">
        <v>11.673605614772997</v>
      </c>
      <c r="AM20" s="764">
        <v>11.754216579011379</v>
      </c>
      <c r="AN20" s="764">
        <v>14.620462906937803</v>
      </c>
      <c r="AO20" s="764">
        <v>12.485650453257355</v>
      </c>
      <c r="AP20" s="764">
        <v>15.275902758402149</v>
      </c>
      <c r="AQ20" s="764">
        <v>17.519823630244709</v>
      </c>
      <c r="AR20" s="764">
        <v>20.170008020646083</v>
      </c>
      <c r="AS20" s="764">
        <v>22.322737539710843</v>
      </c>
      <c r="AT20" s="764">
        <v>23.744586572676003</v>
      </c>
      <c r="AU20" s="764">
        <v>24.209171443368</v>
      </c>
      <c r="AV20" s="764">
        <v>24.533678535992998</v>
      </c>
      <c r="AW20" s="765">
        <v>27.508685329214995</v>
      </c>
      <c r="AX20" s="755">
        <v>0.12432571541102866</v>
      </c>
      <c r="AY20" s="755">
        <v>7.7099353846220353E-2</v>
      </c>
      <c r="AZ20" s="755">
        <v>7.4744192456873918E-3</v>
      </c>
    </row>
    <row r="21" spans="1:52" x14ac:dyDescent="0.3">
      <c r="A21" s="3" t="s">
        <v>654</v>
      </c>
      <c r="B21" s="764">
        <v>1.2493250000000002</v>
      </c>
      <c r="C21" s="764">
        <v>1.3004499999999979</v>
      </c>
      <c r="D21" s="764">
        <v>1.5885499999999972</v>
      </c>
      <c r="E21" s="764">
        <v>1.6459999999999972</v>
      </c>
      <c r="F21" s="764">
        <v>1.7125499999999971</v>
      </c>
      <c r="G21" s="764">
        <v>1.4915749999999974</v>
      </c>
      <c r="H21" s="764">
        <v>1.5147999999999975</v>
      </c>
      <c r="I21" s="764">
        <v>1.7174749999999972</v>
      </c>
      <c r="J21" s="764">
        <v>2.2808249999999965</v>
      </c>
      <c r="K21" s="764">
        <v>2.6055999999999955</v>
      </c>
      <c r="L21" s="764">
        <v>2.7844749999999956</v>
      </c>
      <c r="M21" s="764">
        <v>3.051899999999995</v>
      </c>
      <c r="N21" s="764">
        <v>3.2535999999999947</v>
      </c>
      <c r="O21" s="764">
        <v>3.5745499999999937</v>
      </c>
      <c r="P21" s="764">
        <v>3.6340749999999939</v>
      </c>
      <c r="Q21" s="764">
        <v>3.7067499999999938</v>
      </c>
      <c r="R21" s="764">
        <v>3.6126499999999946</v>
      </c>
      <c r="S21" s="764">
        <v>3.8069249999999939</v>
      </c>
      <c r="T21" s="764">
        <v>3.6710749999999939</v>
      </c>
      <c r="U21" s="764">
        <v>3.7102499999999941</v>
      </c>
      <c r="V21" s="764">
        <v>3.9245999999999932</v>
      </c>
      <c r="W21" s="764">
        <v>3.8861499999999936</v>
      </c>
      <c r="X21" s="764">
        <v>3.9808999999999934</v>
      </c>
      <c r="Y21" s="764">
        <v>3.8973749999999936</v>
      </c>
      <c r="Z21" s="764">
        <v>4.0204499999999932</v>
      </c>
      <c r="AA21" s="764">
        <v>4.214899999999993</v>
      </c>
      <c r="AB21" s="764">
        <v>4.5468499999999921</v>
      </c>
      <c r="AC21" s="764">
        <v>5.6739999999999906</v>
      </c>
      <c r="AD21" s="764">
        <v>6.4895499999999888</v>
      </c>
      <c r="AE21" s="764">
        <v>5.692899999999991</v>
      </c>
      <c r="AF21" s="764">
        <v>5.7358073550783368</v>
      </c>
      <c r="AG21" s="764">
        <v>5.9389931181199573</v>
      </c>
      <c r="AH21" s="764">
        <v>5.9986814911663888</v>
      </c>
      <c r="AI21" s="764">
        <v>5.7499799368062563</v>
      </c>
      <c r="AJ21" s="764">
        <v>6.1348200406490045</v>
      </c>
      <c r="AK21" s="764">
        <v>6.4463442890146272</v>
      </c>
      <c r="AL21" s="764">
        <v>6.764682278595596</v>
      </c>
      <c r="AM21" s="764">
        <v>7.2578842332665632</v>
      </c>
      <c r="AN21" s="764">
        <v>8.7188644538950406</v>
      </c>
      <c r="AO21" s="764">
        <v>10.111819707695272</v>
      </c>
      <c r="AP21" s="764">
        <v>10.843387770101765</v>
      </c>
      <c r="AQ21" s="764">
        <v>10.54584645719469</v>
      </c>
      <c r="AR21" s="764">
        <v>11.525647677994369</v>
      </c>
      <c r="AS21" s="764">
        <v>13.223475922256997</v>
      </c>
      <c r="AT21" s="764">
        <v>12.332834187900271</v>
      </c>
      <c r="AU21" s="764">
        <v>11.610315828737113</v>
      </c>
      <c r="AV21" s="764">
        <v>10.877440044589934</v>
      </c>
      <c r="AW21" s="765">
        <v>10.137774121557818</v>
      </c>
      <c r="AX21" s="755">
        <v>-6.5453551912568741E-2</v>
      </c>
      <c r="AY21" s="755">
        <v>4.8643645434513827E-2</v>
      </c>
      <c r="AZ21" s="755">
        <v>2.7545472673726531E-3</v>
      </c>
    </row>
    <row r="22" spans="1:52" x14ac:dyDescent="0.3">
      <c r="A22" s="3" t="s">
        <v>910</v>
      </c>
      <c r="B22" s="764">
        <v>0.39751250000000005</v>
      </c>
      <c r="C22" s="764">
        <v>0.47451249999999995</v>
      </c>
      <c r="D22" s="764">
        <v>0.45622500000000005</v>
      </c>
      <c r="E22" s="764">
        <v>0.44660000000000005</v>
      </c>
      <c r="F22" s="764">
        <v>0.46007500000000001</v>
      </c>
      <c r="G22" s="764">
        <v>0.56787500000000002</v>
      </c>
      <c r="H22" s="764">
        <v>0.61599999999999999</v>
      </c>
      <c r="I22" s="764">
        <v>0.61166875000000009</v>
      </c>
      <c r="J22" s="764">
        <v>0.63910000000000011</v>
      </c>
      <c r="K22" s="764">
        <v>0.59097500000000003</v>
      </c>
      <c r="L22" s="764">
        <v>0.63524999999999998</v>
      </c>
      <c r="M22" s="764">
        <v>0.72957499999999997</v>
      </c>
      <c r="N22" s="764">
        <v>0.7656687499999999</v>
      </c>
      <c r="O22" s="764">
        <v>0.50435000000000008</v>
      </c>
      <c r="P22" s="764">
        <v>0.68145</v>
      </c>
      <c r="Q22" s="764">
        <v>0.53129999999999999</v>
      </c>
      <c r="R22" s="764">
        <v>0.56354375000000001</v>
      </c>
      <c r="S22" s="764">
        <v>0.56017499999999998</v>
      </c>
      <c r="T22" s="764">
        <v>0.52841249999999995</v>
      </c>
      <c r="U22" s="764">
        <v>0.44804375000000002</v>
      </c>
      <c r="V22" s="764">
        <v>0.42879375000000003</v>
      </c>
      <c r="W22" s="764">
        <v>0.40232499999999999</v>
      </c>
      <c r="X22" s="764">
        <v>0.36286250000000003</v>
      </c>
      <c r="Y22" s="764">
        <v>0.38211250000000002</v>
      </c>
      <c r="Z22" s="764">
        <v>0.39847500000000008</v>
      </c>
      <c r="AA22" s="764">
        <v>0.38596249999999999</v>
      </c>
      <c r="AB22" s="764">
        <v>0.39173750000000002</v>
      </c>
      <c r="AC22" s="764">
        <v>0.23196249999999996</v>
      </c>
      <c r="AD22" s="764">
        <v>0.39366250000000003</v>
      </c>
      <c r="AE22" s="764">
        <v>0.39558749999999998</v>
      </c>
      <c r="AF22" s="764">
        <v>0.33254375000000003</v>
      </c>
      <c r="AG22" s="764">
        <v>0.35612500000000002</v>
      </c>
      <c r="AH22" s="764">
        <v>0.425425</v>
      </c>
      <c r="AI22" s="764">
        <v>0.50338749999999999</v>
      </c>
      <c r="AJ22" s="764">
        <v>0.82774999999999999</v>
      </c>
      <c r="AK22" s="764">
        <v>1.4599701208930818</v>
      </c>
      <c r="AL22" s="764">
        <v>1.7086442600166893</v>
      </c>
      <c r="AM22" s="764">
        <v>2.5751993197739731</v>
      </c>
      <c r="AN22" s="764">
        <v>3.4979434916146874</v>
      </c>
      <c r="AO22" s="764">
        <v>3.5857998813656251</v>
      </c>
      <c r="AP22" s="764">
        <v>7.3149459048362822</v>
      </c>
      <c r="AQ22" s="764">
        <v>11.480540723125031</v>
      </c>
      <c r="AR22" s="764">
        <v>11.958074747093477</v>
      </c>
      <c r="AS22" s="764">
        <v>12.399125543279476</v>
      </c>
      <c r="AT22" s="764">
        <v>13.127230024552874</v>
      </c>
      <c r="AU22" s="764">
        <v>12.656716607823748</v>
      </c>
      <c r="AV22" s="764">
        <v>14.018435321377986</v>
      </c>
      <c r="AW22" s="765">
        <v>13.010746924131206</v>
      </c>
      <c r="AX22" s="755">
        <v>-6.9347247827333147E-2</v>
      </c>
      <c r="AY22" s="755">
        <v>0.23425469816007238</v>
      </c>
      <c r="AZ22" s="755">
        <v>3.5351662955413745E-3</v>
      </c>
    </row>
    <row r="23" spans="1:52" x14ac:dyDescent="0.3">
      <c r="A23" s="3" t="s">
        <v>911</v>
      </c>
      <c r="B23" s="764">
        <v>1.7767575</v>
      </c>
      <c r="C23" s="764">
        <v>1.863499999999997</v>
      </c>
      <c r="D23" s="764">
        <v>1.9260749999999971</v>
      </c>
      <c r="E23" s="764">
        <v>1.849799999999997</v>
      </c>
      <c r="F23" s="764">
        <v>1.6899749999999973</v>
      </c>
      <c r="G23" s="764">
        <v>1.5359749999999976</v>
      </c>
      <c r="H23" s="764">
        <v>1.7288249999999972</v>
      </c>
      <c r="I23" s="764">
        <v>2.0321499999999966</v>
      </c>
      <c r="J23" s="764">
        <v>2.4260249999999957</v>
      </c>
      <c r="K23" s="764">
        <v>2.5076499999999959</v>
      </c>
      <c r="L23" s="764">
        <v>2.8332499999999956</v>
      </c>
      <c r="M23" s="764">
        <v>3.1209499999999952</v>
      </c>
      <c r="N23" s="764">
        <v>3.7931249999999941</v>
      </c>
      <c r="O23" s="764">
        <v>3.9297249999999937</v>
      </c>
      <c r="P23" s="764">
        <v>4.1175999999999933</v>
      </c>
      <c r="Q23" s="764">
        <v>4.2151999999999932</v>
      </c>
      <c r="R23" s="764">
        <v>4.3134499999999925</v>
      </c>
      <c r="S23" s="764">
        <v>4.5693499999999929</v>
      </c>
      <c r="T23" s="764">
        <v>5.2594249999999914</v>
      </c>
      <c r="U23" s="764">
        <v>5.269474999999991</v>
      </c>
      <c r="V23" s="764">
        <v>5.4633749999999912</v>
      </c>
      <c r="W23" s="764">
        <v>5.5351654616250006</v>
      </c>
      <c r="X23" s="764">
        <v>5.3488011220153124</v>
      </c>
      <c r="Y23" s="764">
        <v>6.0033137842500013</v>
      </c>
      <c r="Z23" s="764">
        <v>6.8757219525300002</v>
      </c>
      <c r="AA23" s="764">
        <v>7.3813221409650014</v>
      </c>
      <c r="AB23" s="764">
        <v>8.334404657394769</v>
      </c>
      <c r="AC23" s="764">
        <v>9.0443364426804393</v>
      </c>
      <c r="AD23" s="764">
        <v>9.0443364426804393</v>
      </c>
      <c r="AE23" s="764">
        <v>11.407534029316295</v>
      </c>
      <c r="AF23" s="764">
        <v>15.098277283188974</v>
      </c>
      <c r="AG23" s="764">
        <v>16.102372700575426</v>
      </c>
      <c r="AH23" s="764">
        <v>18.725792972017494</v>
      </c>
      <c r="AI23" s="764">
        <v>26.254305551749699</v>
      </c>
      <c r="AJ23" s="764">
        <v>29.370080108953719</v>
      </c>
      <c r="AK23" s="764">
        <v>32.134385470499154</v>
      </c>
      <c r="AL23" s="764">
        <v>39.019607255701501</v>
      </c>
      <c r="AM23" s="764">
        <v>41.03994240727183</v>
      </c>
      <c r="AN23" s="764">
        <v>40.809696074520794</v>
      </c>
      <c r="AO23" s="764">
        <v>42.416986764312298</v>
      </c>
      <c r="AP23" s="764">
        <v>43.522642817410485</v>
      </c>
      <c r="AQ23" s="764">
        <v>41.904364412421323</v>
      </c>
      <c r="AR23" s="764">
        <v>41.545459920764316</v>
      </c>
      <c r="AS23" s="764">
        <v>41.663130364472622</v>
      </c>
      <c r="AT23" s="764">
        <v>40.919325383297476</v>
      </c>
      <c r="AU23" s="764">
        <v>38.527087741139582</v>
      </c>
      <c r="AV23" s="764">
        <v>33.532689266468431</v>
      </c>
      <c r="AW23" s="765">
        <v>33.832096529077802</v>
      </c>
      <c r="AX23" s="755">
        <v>1.1685453609346474E-2</v>
      </c>
      <c r="AY23" s="755">
        <v>-1.5040101468094869E-2</v>
      </c>
      <c r="AZ23" s="755">
        <v>9.1925611999469897E-3</v>
      </c>
    </row>
    <row r="24" spans="1:52" x14ac:dyDescent="0.3">
      <c r="A24" s="3" t="s">
        <v>600</v>
      </c>
      <c r="B24" s="764">
        <v>8.5580999999999996</v>
      </c>
      <c r="C24" s="764">
        <v>8.29392</v>
      </c>
      <c r="D24" s="764">
        <v>8.2439700000000009</v>
      </c>
      <c r="E24" s="764">
        <v>10.155390000000001</v>
      </c>
      <c r="F24" s="764">
        <v>10.73259</v>
      </c>
      <c r="G24" s="764">
        <v>10.438440000000002</v>
      </c>
      <c r="H24" s="764">
        <v>12.940380000000001</v>
      </c>
      <c r="I24" s="764">
        <v>14.125305000000001</v>
      </c>
      <c r="J24" s="764">
        <v>14.25351</v>
      </c>
      <c r="K24" s="764">
        <v>15.96402</v>
      </c>
      <c r="L24" s="764">
        <v>16.434104999999999</v>
      </c>
      <c r="M24" s="764">
        <v>16.522905000000002</v>
      </c>
      <c r="N24" s="764">
        <v>17.630130000000001</v>
      </c>
      <c r="O24" s="764">
        <v>17.360400000000002</v>
      </c>
      <c r="P24" s="764">
        <v>19.203000000000003</v>
      </c>
      <c r="Q24" s="764">
        <v>19.231305000000006</v>
      </c>
      <c r="R24" s="764">
        <v>21.172140000000006</v>
      </c>
      <c r="S24" s="764">
        <v>20.631569999999996</v>
      </c>
      <c r="T24" s="764">
        <v>21.121079999999996</v>
      </c>
      <c r="U24" s="764">
        <v>21.687180000000005</v>
      </c>
      <c r="V24" s="764">
        <v>24.381705</v>
      </c>
      <c r="W24" s="764">
        <v>24.311220000000006</v>
      </c>
      <c r="X24" s="764">
        <v>23.995980000000003</v>
      </c>
      <c r="Y24" s="764">
        <v>25.895189999999999</v>
      </c>
      <c r="Z24" s="764">
        <v>27.389805000000003</v>
      </c>
      <c r="AA24" s="764">
        <v>30.526110000000003</v>
      </c>
      <c r="AB24" s="764">
        <v>33.00141</v>
      </c>
      <c r="AC24" s="764">
        <v>34.221299999999999</v>
      </c>
      <c r="AD24" s="764">
        <v>35.892405000000004</v>
      </c>
      <c r="AE24" s="764">
        <v>30.425100000000004</v>
      </c>
      <c r="AF24" s="764">
        <v>30.995639999999998</v>
      </c>
      <c r="AG24" s="764">
        <v>32.848229999999994</v>
      </c>
      <c r="AH24" s="764">
        <v>31.541204999999998</v>
      </c>
      <c r="AI24" s="764">
        <v>27.998639999999998</v>
      </c>
      <c r="AJ24" s="764">
        <v>31.529550000000004</v>
      </c>
      <c r="AK24" s="764">
        <v>30.435090000000002</v>
      </c>
      <c r="AL24" s="764">
        <v>34.94502</v>
      </c>
      <c r="AM24" s="764">
        <v>37.247160000000001</v>
      </c>
      <c r="AN24" s="764">
        <v>33.423210000000005</v>
      </c>
      <c r="AO24" s="764">
        <v>31.795949999999998</v>
      </c>
      <c r="AP24" s="764">
        <v>30.451740000000001</v>
      </c>
      <c r="AQ24" s="764">
        <v>30.236400000000003</v>
      </c>
      <c r="AR24" s="764">
        <v>31.904730000000004</v>
      </c>
      <c r="AS24" s="764">
        <v>30.590490000000003</v>
      </c>
      <c r="AT24" s="764">
        <v>31.788180000000001</v>
      </c>
      <c r="AU24" s="764">
        <v>36.065010000000001</v>
      </c>
      <c r="AV24" s="764">
        <v>38.035260000000001</v>
      </c>
      <c r="AW24" s="765">
        <v>37.441445230976633</v>
      </c>
      <c r="AX24" s="755">
        <v>-1.292263384916148E-2</v>
      </c>
      <c r="AY24" s="755">
        <v>8.5097694732327867E-3</v>
      </c>
      <c r="AZ24" s="755">
        <v>1.0173261843362263E-2</v>
      </c>
    </row>
    <row r="25" spans="1:52" x14ac:dyDescent="0.3">
      <c r="A25" s="3" t="s">
        <v>912</v>
      </c>
      <c r="B25" s="764">
        <v>0.74056700000000009</v>
      </c>
      <c r="C25" s="764">
        <v>0.77980899999999997</v>
      </c>
      <c r="D25" s="764">
        <v>0.74904599999999999</v>
      </c>
      <c r="E25" s="764">
        <v>0.57744699999999993</v>
      </c>
      <c r="F25" s="764">
        <v>0.66013299999999997</v>
      </c>
      <c r="G25" s="764">
        <v>0.75802499999999995</v>
      </c>
      <c r="H25" s="764">
        <v>1.1787050000000001</v>
      </c>
      <c r="I25" s="764">
        <v>1.273433</v>
      </c>
      <c r="J25" s="764">
        <v>1.4514699999999998</v>
      </c>
      <c r="K25" s="764">
        <v>0.93016999999999983</v>
      </c>
      <c r="L25" s="764">
        <v>0.83286499999999997</v>
      </c>
      <c r="M25" s="764">
        <v>0.84288399999999997</v>
      </c>
      <c r="N25" s="764">
        <v>0.89007899999999995</v>
      </c>
      <c r="O25" s="764">
        <v>0.97482699999999989</v>
      </c>
      <c r="P25" s="764">
        <v>1.0319729999999998</v>
      </c>
      <c r="Q25" s="764">
        <v>1.0657099999999997</v>
      </c>
      <c r="R25" s="764">
        <v>0.98866399999999988</v>
      </c>
      <c r="S25" s="764">
        <v>0.97412199999999993</v>
      </c>
      <c r="T25" s="764">
        <v>1.3037619999999999</v>
      </c>
      <c r="U25" s="764">
        <v>1.85351</v>
      </c>
      <c r="V25" s="764">
        <v>2.3948389999999997</v>
      </c>
      <c r="W25" s="764">
        <v>2.5391971999999998</v>
      </c>
      <c r="X25" s="764">
        <v>2.7728830000000002</v>
      </c>
      <c r="Y25" s="764">
        <v>2.2893996793741995</v>
      </c>
      <c r="Z25" s="764">
        <v>2.9918269999999998</v>
      </c>
      <c r="AA25" s="764">
        <v>2.8622482999999996</v>
      </c>
      <c r="AB25" s="764">
        <v>2.9174082999999995</v>
      </c>
      <c r="AC25" s="764">
        <v>2.7932986</v>
      </c>
      <c r="AD25" s="764">
        <v>2.6490121000000002</v>
      </c>
      <c r="AE25" s="764">
        <v>3.2672599999999998</v>
      </c>
      <c r="AF25" s="764">
        <v>3.6114554999999999</v>
      </c>
      <c r="AG25" s="764">
        <v>3.7915203000000002</v>
      </c>
      <c r="AH25" s="764">
        <v>3.5308044999157069</v>
      </c>
      <c r="AI25" s="764">
        <v>3.2518655423249667</v>
      </c>
      <c r="AJ25" s="764">
        <v>3.2815598855676971</v>
      </c>
      <c r="AK25" s="764">
        <v>3.5739298577461014</v>
      </c>
      <c r="AL25" s="764">
        <v>3.8719494951428999</v>
      </c>
      <c r="AM25" s="764">
        <v>3.9090590390675004</v>
      </c>
      <c r="AN25" s="764">
        <v>3.7435232274199999</v>
      </c>
      <c r="AO25" s="764">
        <v>3.7081562213249999</v>
      </c>
      <c r="AP25" s="764">
        <v>3.6837078017100002</v>
      </c>
      <c r="AQ25" s="764">
        <v>3.0491501865602251</v>
      </c>
      <c r="AR25" s="764">
        <v>2.8344592589682014</v>
      </c>
      <c r="AS25" s="764">
        <v>2.54724573348757</v>
      </c>
      <c r="AT25" s="764">
        <v>2.4378474431248378</v>
      </c>
      <c r="AU25" s="764">
        <v>2.737215861049918</v>
      </c>
      <c r="AV25" s="764">
        <v>2.916305213095252</v>
      </c>
      <c r="AW25" s="765">
        <v>2.8355547622702311</v>
      </c>
      <c r="AX25" s="755">
        <v>-2.5032713693327047E-2</v>
      </c>
      <c r="AY25" s="755">
        <v>-2.7946140320209034E-2</v>
      </c>
      <c r="AZ25" s="755">
        <v>7.7045212570752688E-4</v>
      </c>
    </row>
    <row r="26" spans="1:52" x14ac:dyDescent="0.3">
      <c r="A26" s="756" t="s">
        <v>913</v>
      </c>
      <c r="B26" s="766">
        <v>18.701059959999998</v>
      </c>
      <c r="C26" s="766">
        <v>19.211595186499991</v>
      </c>
      <c r="D26" s="766">
        <v>20.272648913499996</v>
      </c>
      <c r="E26" s="766">
        <v>23.149429900999994</v>
      </c>
      <c r="F26" s="766">
        <v>24.498300809499991</v>
      </c>
      <c r="G26" s="766">
        <v>24.4761257925</v>
      </c>
      <c r="H26" s="766">
        <v>27.434404760999989</v>
      </c>
      <c r="I26" s="766">
        <v>29.667044452499994</v>
      </c>
      <c r="J26" s="766">
        <v>31.357258608499993</v>
      </c>
      <c r="K26" s="766">
        <v>32.595957570999985</v>
      </c>
      <c r="L26" s="766">
        <v>35.271446248499991</v>
      </c>
      <c r="M26" s="766">
        <v>36.413970299999988</v>
      </c>
      <c r="N26" s="766">
        <v>40.003007106999988</v>
      </c>
      <c r="O26" s="766">
        <v>43.626363130499996</v>
      </c>
      <c r="P26" s="766">
        <v>46.471586987999991</v>
      </c>
      <c r="Q26" s="766">
        <v>47.460183730499992</v>
      </c>
      <c r="R26" s="766">
        <v>51.414457271499998</v>
      </c>
      <c r="S26" s="766">
        <v>51.433729348499988</v>
      </c>
      <c r="T26" s="766">
        <v>55.68672283799998</v>
      </c>
      <c r="U26" s="766">
        <v>58.019037045999987</v>
      </c>
      <c r="V26" s="766">
        <v>60.278311060598988</v>
      </c>
      <c r="W26" s="766">
        <v>62.499637446795987</v>
      </c>
      <c r="X26" s="766">
        <v>62.597449237473811</v>
      </c>
      <c r="Y26" s="766">
        <v>66.633508317202171</v>
      </c>
      <c r="Z26" s="766">
        <v>71.199410509624727</v>
      </c>
      <c r="AA26" s="766">
        <v>78.055547918720407</v>
      </c>
      <c r="AB26" s="766">
        <v>86.212469657927016</v>
      </c>
      <c r="AC26" s="766">
        <v>87.509824024755503</v>
      </c>
      <c r="AD26" s="766">
        <v>92.578860822722234</v>
      </c>
      <c r="AE26" s="766">
        <v>94.768728812790954</v>
      </c>
      <c r="AF26" s="766">
        <v>103.11812971084866</v>
      </c>
      <c r="AG26" s="766">
        <v>107.71063904835663</v>
      </c>
      <c r="AH26" s="766">
        <v>110.83901929197548</v>
      </c>
      <c r="AI26" s="766">
        <v>120.87475839290059</v>
      </c>
      <c r="AJ26" s="766">
        <v>135.76843639240116</v>
      </c>
      <c r="AK26" s="766">
        <v>141.47902128509526</v>
      </c>
      <c r="AL26" s="766">
        <v>155.26105179234293</v>
      </c>
      <c r="AM26" s="766">
        <v>160.71082912469635</v>
      </c>
      <c r="AN26" s="766">
        <v>161.4540690897538</v>
      </c>
      <c r="AO26" s="766">
        <v>156.27279723764454</v>
      </c>
      <c r="AP26" s="766">
        <v>163.80316980437942</v>
      </c>
      <c r="AQ26" s="766">
        <v>167.48755342826135</v>
      </c>
      <c r="AR26" s="766">
        <v>173.76922339682153</v>
      </c>
      <c r="AS26" s="766">
        <v>176.87735949276598</v>
      </c>
      <c r="AT26" s="766">
        <v>179.11248545957289</v>
      </c>
      <c r="AU26" s="766">
        <v>180.85710284220963</v>
      </c>
      <c r="AV26" s="766">
        <v>178.78635568887736</v>
      </c>
      <c r="AW26" s="766">
        <v>179.0063977251655</v>
      </c>
      <c r="AX26" s="758">
        <v>3.966357230843931E-3</v>
      </c>
      <c r="AY26" s="758">
        <v>1.4208357065430555E-2</v>
      </c>
      <c r="AZ26" s="758">
        <v>4.8638051882369977E-2</v>
      </c>
    </row>
    <row r="27" spans="1:52" x14ac:dyDescent="0.3">
      <c r="B27" s="764"/>
      <c r="C27" s="764"/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764"/>
      <c r="V27" s="764"/>
      <c r="W27" s="764"/>
      <c r="X27" s="764"/>
      <c r="Y27" s="764"/>
      <c r="Z27" s="764"/>
      <c r="AA27" s="764"/>
      <c r="AB27" s="764"/>
      <c r="AC27" s="764"/>
      <c r="AD27" s="764"/>
      <c r="AE27" s="764"/>
      <c r="AF27" s="764"/>
      <c r="AG27" s="764"/>
      <c r="AH27" s="764"/>
      <c r="AI27" s="764"/>
      <c r="AJ27" s="764"/>
      <c r="AK27" s="764"/>
      <c r="AL27" s="764"/>
      <c r="AM27" s="764"/>
      <c r="AN27" s="764"/>
      <c r="AO27" s="764"/>
      <c r="AP27" s="764"/>
      <c r="AQ27" s="764"/>
      <c r="AR27" s="764"/>
      <c r="AS27" s="764"/>
      <c r="AT27" s="764"/>
      <c r="AU27" s="764"/>
      <c r="AV27" s="764"/>
      <c r="AW27" s="765"/>
      <c r="AX27" s="755"/>
      <c r="AY27" s="755"/>
      <c r="AZ27" s="755"/>
    </row>
    <row r="28" spans="1:52" x14ac:dyDescent="0.3">
      <c r="A28" s="3" t="s">
        <v>914</v>
      </c>
      <c r="B28" s="764">
        <v>0</v>
      </c>
      <c r="C28" s="764">
        <v>0</v>
      </c>
      <c r="D28" s="764">
        <v>0</v>
      </c>
      <c r="E28" s="764">
        <v>0</v>
      </c>
      <c r="F28" s="764">
        <v>0</v>
      </c>
      <c r="G28" s="764">
        <v>0</v>
      </c>
      <c r="H28" s="764">
        <v>0</v>
      </c>
      <c r="I28" s="764">
        <v>0</v>
      </c>
      <c r="J28" s="764">
        <v>0</v>
      </c>
      <c r="K28" s="764">
        <v>0</v>
      </c>
      <c r="L28" s="764">
        <v>0</v>
      </c>
      <c r="M28" s="764">
        <v>0</v>
      </c>
      <c r="N28" s="764">
        <v>0</v>
      </c>
      <c r="O28" s="764">
        <v>0</v>
      </c>
      <c r="P28" s="764">
        <v>0.24186000000000002</v>
      </c>
      <c r="Q28" s="764">
        <v>1.1696850000000001</v>
      </c>
      <c r="R28" s="764">
        <v>1.9838775</v>
      </c>
      <c r="S28" s="764">
        <v>2.5285837500000001</v>
      </c>
      <c r="T28" s="764">
        <v>2.4973087499999997</v>
      </c>
      <c r="U28" s="764">
        <v>3.2025600000000001</v>
      </c>
      <c r="V28" s="764">
        <v>3.2703224999999998</v>
      </c>
      <c r="W28" s="764">
        <v>4.1088233686499995</v>
      </c>
      <c r="X28" s="764">
        <v>4.2798995649974989</v>
      </c>
      <c r="Y28" s="764">
        <v>4.6952901232649999</v>
      </c>
      <c r="Z28" s="764">
        <v>5.0873660145000006</v>
      </c>
      <c r="AA28" s="764">
        <v>5.5085050845675001</v>
      </c>
      <c r="AB28" s="764">
        <v>6.69352222902</v>
      </c>
      <c r="AC28" s="764">
        <v>8.1939124942500001</v>
      </c>
      <c r="AD28" s="764">
        <v>7.8866997934649996</v>
      </c>
      <c r="AE28" s="764">
        <v>8.0850024118724999</v>
      </c>
      <c r="AF28" s="764">
        <v>8.4994863193574997</v>
      </c>
      <c r="AG28" s="764">
        <v>8.7383500534274994</v>
      </c>
      <c r="AH28" s="764">
        <v>8.8423095894429178</v>
      </c>
      <c r="AI28" s="764">
        <v>8.3765537728473465</v>
      </c>
      <c r="AJ28" s="764">
        <v>9.8758308244443906</v>
      </c>
      <c r="AK28" s="764">
        <v>10.913009387605976</v>
      </c>
      <c r="AL28" s="764">
        <v>10.842959023925003</v>
      </c>
      <c r="AM28" s="764">
        <v>9.6151705694191705</v>
      </c>
      <c r="AN28" s="764">
        <v>10.490115621486671</v>
      </c>
      <c r="AO28" s="764">
        <v>8.7567519289677804</v>
      </c>
      <c r="AP28" s="764">
        <v>8.5359387672344464</v>
      </c>
      <c r="AQ28" s="764">
        <v>6.8571229416716353</v>
      </c>
      <c r="AR28" s="764">
        <v>5.9911949534845927</v>
      </c>
      <c r="AS28" s="764">
        <v>4.9735854058051485</v>
      </c>
      <c r="AT28" s="764">
        <v>4.8006543280554679</v>
      </c>
      <c r="AU28" s="764">
        <v>4.7935452619276981</v>
      </c>
      <c r="AV28" s="764">
        <v>4.7001026494835569</v>
      </c>
      <c r="AW28" s="765">
        <v>5.0500286276931954</v>
      </c>
      <c r="AX28" s="755">
        <v>7.7386367439228554E-2</v>
      </c>
      <c r="AY28" s="755">
        <v>-8.0194604795339242E-2</v>
      </c>
      <c r="AZ28" s="755">
        <v>1.3721495852807974E-3</v>
      </c>
    </row>
    <row r="29" spans="1:52" x14ac:dyDescent="0.3">
      <c r="A29" s="3" t="s">
        <v>875</v>
      </c>
      <c r="B29" s="764">
        <v>11.564871999999999</v>
      </c>
      <c r="C29" s="764">
        <v>14.442133999999999</v>
      </c>
      <c r="D29" s="764">
        <v>17.248453000000001</v>
      </c>
      <c r="E29" s="764">
        <v>19.383721000000001</v>
      </c>
      <c r="F29" s="764">
        <v>20.345521999999999</v>
      </c>
      <c r="G29" s="764">
        <v>18.514960000000002</v>
      </c>
      <c r="H29" s="764">
        <v>19.498858000000002</v>
      </c>
      <c r="I29" s="764">
        <v>19.777978000000001</v>
      </c>
      <c r="J29" s="764">
        <v>21.150317999999999</v>
      </c>
      <c r="K29" s="764">
        <v>21.216609000000002</v>
      </c>
      <c r="L29" s="764">
        <v>19.38721</v>
      </c>
      <c r="M29" s="764">
        <v>20.037326999999998</v>
      </c>
      <c r="N29" s="764">
        <v>14.218796454755759</v>
      </c>
      <c r="O29" s="764">
        <v>15.126323076149035</v>
      </c>
      <c r="P29" s="764">
        <v>15.816641291065437</v>
      </c>
      <c r="Q29" s="764">
        <v>14.354221938955916</v>
      </c>
      <c r="R29" s="764">
        <v>12.348341877523678</v>
      </c>
      <c r="S29" s="764">
        <v>14.771051026688882</v>
      </c>
      <c r="T29" s="764">
        <v>13.746566032577277</v>
      </c>
      <c r="U29" s="764">
        <v>13.269938679093599</v>
      </c>
      <c r="V29" s="764">
        <v>13.42119311599248</v>
      </c>
      <c r="W29" s="764">
        <v>15.3980534308104</v>
      </c>
      <c r="X29" s="764">
        <v>15.618779382331439</v>
      </c>
      <c r="Y29" s="764">
        <v>15.543152163882</v>
      </c>
      <c r="Z29" s="764">
        <v>16.2950274170712</v>
      </c>
      <c r="AA29" s="764">
        <v>16.814744697345837</v>
      </c>
      <c r="AB29" s="764">
        <v>18.209451307355277</v>
      </c>
      <c r="AC29" s="764">
        <v>17.899907343469199</v>
      </c>
      <c r="AD29" s="764">
        <v>17.490113345824557</v>
      </c>
      <c r="AE29" s="764">
        <v>18.681681729533757</v>
      </c>
      <c r="AF29" s="764">
        <v>17.668628756815679</v>
      </c>
      <c r="AG29" s="764">
        <v>17.836591532674319</v>
      </c>
      <c r="AH29" s="764">
        <v>17.789984060839195</v>
      </c>
      <c r="AI29" s="764">
        <v>18.518995271241355</v>
      </c>
      <c r="AJ29" s="764">
        <v>17.136600068886473</v>
      </c>
      <c r="AK29" s="764">
        <v>16.5456525014676</v>
      </c>
      <c r="AL29" s="764">
        <v>16.345152433950478</v>
      </c>
      <c r="AM29" s="764">
        <v>14.972430480467036</v>
      </c>
      <c r="AN29" s="764">
        <v>13.637522136208316</v>
      </c>
      <c r="AO29" s="764">
        <v>12.748462626296879</v>
      </c>
      <c r="AP29" s="764">
        <v>11.125994974678077</v>
      </c>
      <c r="AQ29" s="764">
        <v>10.467334665159122</v>
      </c>
      <c r="AR29" s="764">
        <v>9.4630755550514376</v>
      </c>
      <c r="AS29" s="764">
        <v>8.6056739505374384</v>
      </c>
      <c r="AT29" s="764">
        <v>8.0841978977407187</v>
      </c>
      <c r="AU29" s="764">
        <v>7.525787621980319</v>
      </c>
      <c r="AV29" s="764">
        <v>6.9242874194289596</v>
      </c>
      <c r="AW29" s="765">
        <v>6.3773091650620772</v>
      </c>
      <c r="AX29" s="755">
        <v>-7.6477748583913319E-2</v>
      </c>
      <c r="AY29" s="755">
        <v>-8.2304480891761456E-2</v>
      </c>
      <c r="AZ29" s="755">
        <v>1.7327866376956674E-3</v>
      </c>
    </row>
    <row r="30" spans="1:52" x14ac:dyDescent="0.3">
      <c r="A30" s="3" t="s">
        <v>916</v>
      </c>
      <c r="B30" s="764">
        <v>12.58154999999998</v>
      </c>
      <c r="C30" s="764">
        <v>12.820199999999979</v>
      </c>
      <c r="D30" s="764">
        <v>13.587324999999979</v>
      </c>
      <c r="E30" s="764">
        <v>14.675249999999975</v>
      </c>
      <c r="F30" s="764">
        <v>14.648449999999976</v>
      </c>
      <c r="G30" s="764">
        <v>13.961824999999978</v>
      </c>
      <c r="H30" s="764">
        <v>15.002874999999976</v>
      </c>
      <c r="I30" s="764">
        <v>13.16119999999998</v>
      </c>
      <c r="J30" s="764">
        <v>13.145499999999977</v>
      </c>
      <c r="K30" s="764">
        <v>12.82584999999998</v>
      </c>
      <c r="L30" s="764">
        <v>11.935624999999982</v>
      </c>
      <c r="M30" s="764">
        <v>13.375874999999978</v>
      </c>
      <c r="N30" s="764">
        <v>13.734074999999976</v>
      </c>
      <c r="O30" s="764">
        <v>12.31494999999998</v>
      </c>
      <c r="P30" s="764">
        <v>13.033924999999979</v>
      </c>
      <c r="Q30" s="764">
        <v>13.419224999999978</v>
      </c>
      <c r="R30" s="764">
        <v>15.037624999999975</v>
      </c>
      <c r="S30" s="764">
        <v>15.411824999999974</v>
      </c>
      <c r="T30" s="764">
        <v>15.664074999999974</v>
      </c>
      <c r="U30" s="764">
        <v>16.011274999999973</v>
      </c>
      <c r="V30" s="764">
        <v>16.316599999999973</v>
      </c>
      <c r="W30" s="764">
        <v>16.411074999999975</v>
      </c>
      <c r="X30" s="764">
        <v>17.135074999999972</v>
      </c>
      <c r="Y30" s="764">
        <v>18.23774999999997</v>
      </c>
      <c r="Z30" s="764">
        <v>19.242624999999968</v>
      </c>
      <c r="AA30" s="764">
        <v>19.01119999999997</v>
      </c>
      <c r="AB30" s="764">
        <v>19.030874999999966</v>
      </c>
      <c r="AC30" s="764">
        <v>18.485885</v>
      </c>
      <c r="AD30" s="764">
        <v>18.238166</v>
      </c>
      <c r="AE30" s="764">
        <v>16.768134</v>
      </c>
      <c r="AF30" s="764">
        <v>15.958685999999998</v>
      </c>
      <c r="AG30" s="764">
        <v>14.624725</v>
      </c>
      <c r="AH30" s="764">
        <v>14.030431999999999</v>
      </c>
      <c r="AI30" s="764">
        <v>13.322165</v>
      </c>
      <c r="AJ30" s="764">
        <v>12.435958999999999</v>
      </c>
      <c r="AK30" s="764">
        <v>11.582317</v>
      </c>
      <c r="AL30" s="764">
        <v>10.534453999999998</v>
      </c>
      <c r="AM30" s="764">
        <v>9.3126746893139316</v>
      </c>
      <c r="AN30" s="764">
        <v>8.8797300404999984</v>
      </c>
      <c r="AO30" s="764">
        <v>7.688285628300517</v>
      </c>
      <c r="AP30" s="764">
        <v>8.0651957993294605</v>
      </c>
      <c r="AQ30" s="764">
        <v>8.1067601341940829</v>
      </c>
      <c r="AR30" s="764">
        <v>8.2558206148497355</v>
      </c>
      <c r="AS30" s="764">
        <v>7.4214459758548195</v>
      </c>
      <c r="AT30" s="764">
        <v>6.8594215011944542</v>
      </c>
      <c r="AU30" s="764">
        <v>6.4969178438527813</v>
      </c>
      <c r="AV30" s="764">
        <v>5.5501103242044145</v>
      </c>
      <c r="AW30" s="765">
        <v>5.3139112196071299</v>
      </c>
      <c r="AX30" s="755">
        <v>-3.9941588281019236E-2</v>
      </c>
      <c r="AY30" s="755">
        <v>-6.2073171756095946E-2</v>
      </c>
      <c r="AZ30" s="755">
        <v>1.4438494538858838E-3</v>
      </c>
    </row>
    <row r="31" spans="1:52" x14ac:dyDescent="0.3">
      <c r="A31" s="3" t="s">
        <v>877</v>
      </c>
      <c r="B31" s="764">
        <v>27.916666666666671</v>
      </c>
      <c r="C31" s="764">
        <v>38.583333333333343</v>
      </c>
      <c r="D31" s="764">
        <v>51.44444444444445</v>
      </c>
      <c r="E31" s="764">
        <v>62.555555555555564</v>
      </c>
      <c r="F31" s="764">
        <v>74.166666666666686</v>
      </c>
      <c r="G31" s="764">
        <v>80.333333333333343</v>
      </c>
      <c r="H31" s="764">
        <v>85.833333333333343</v>
      </c>
      <c r="I31" s="764">
        <v>86.111111111111128</v>
      </c>
      <c r="J31" s="764">
        <v>78.833333333333343</v>
      </c>
      <c r="K31" s="764">
        <v>82.666666666666686</v>
      </c>
      <c r="L31" s="764">
        <v>79.944444444444443</v>
      </c>
      <c r="M31" s="764">
        <v>74.222222222222229</v>
      </c>
      <c r="N31" s="764">
        <v>63.472222222222229</v>
      </c>
      <c r="O31" s="764">
        <v>67.583333333333343</v>
      </c>
      <c r="P31" s="764">
        <v>68.416666666666686</v>
      </c>
      <c r="Q31" s="764">
        <v>71.6388888888889</v>
      </c>
      <c r="R31" s="764">
        <v>65.500000000000014</v>
      </c>
      <c r="S31" s="764">
        <v>65.611111111111128</v>
      </c>
      <c r="T31" s="764">
        <v>57.916666666666679</v>
      </c>
      <c r="U31" s="764">
        <v>63.305555555555564</v>
      </c>
      <c r="V31" s="764">
        <v>63.8888888888889</v>
      </c>
      <c r="W31" s="764">
        <v>72.166666666666686</v>
      </c>
      <c r="X31" s="764">
        <v>72.666666666666686</v>
      </c>
      <c r="Y31" s="764">
        <v>74.111111111111128</v>
      </c>
      <c r="Z31" s="764">
        <v>70.000000000000014</v>
      </c>
      <c r="AA31" s="764">
        <v>70.7777777777778</v>
      </c>
      <c r="AB31" s="764">
        <v>80.111111111111128</v>
      </c>
      <c r="AC31" s="764">
        <v>70.944444444444457</v>
      </c>
      <c r="AD31" s="764">
        <v>67.666666666666686</v>
      </c>
      <c r="AE31" s="764">
        <v>62.944444444444457</v>
      </c>
      <c r="AF31" s="764">
        <v>60.694444444444457</v>
      </c>
      <c r="AG31" s="764">
        <v>65.166666666666686</v>
      </c>
      <c r="AH31" s="764">
        <v>63.055555555555564</v>
      </c>
      <c r="AI31" s="764">
        <v>60.722222222222229</v>
      </c>
      <c r="AJ31" s="764">
        <v>71.611111111111114</v>
      </c>
      <c r="AK31" s="764">
        <v>65.416666666666686</v>
      </c>
      <c r="AL31" s="764">
        <v>64.416666666666686</v>
      </c>
      <c r="AM31" s="764">
        <v>63.305555555555564</v>
      </c>
      <c r="AN31" s="764">
        <v>69.638888888888886</v>
      </c>
      <c r="AO31" s="764">
        <v>65.611111111111128</v>
      </c>
      <c r="AP31" s="764">
        <v>73.777777777777786</v>
      </c>
      <c r="AQ31" s="764">
        <v>67.1388888888889</v>
      </c>
      <c r="AR31" s="764">
        <v>66.777777777777786</v>
      </c>
      <c r="AS31" s="764">
        <v>71.833333333333343</v>
      </c>
      <c r="AT31" s="764">
        <v>60.611111111111114</v>
      </c>
      <c r="AU31" s="764">
        <v>45.361111111111121</v>
      </c>
      <c r="AV31" s="764">
        <v>41.972222222222229</v>
      </c>
      <c r="AW31" s="765">
        <v>36.591100587509672</v>
      </c>
      <c r="AX31" s="755">
        <v>-0.12582478769139704</v>
      </c>
      <c r="AY31" s="755">
        <v>-4.1931918735530371E-2</v>
      </c>
      <c r="AZ31" s="755">
        <v>9.9422136383123996E-3</v>
      </c>
    </row>
    <row r="32" spans="1:52" x14ac:dyDescent="0.3">
      <c r="A32" s="3" t="s">
        <v>602</v>
      </c>
      <c r="B32" s="764">
        <v>0</v>
      </c>
      <c r="C32" s="764">
        <v>0</v>
      </c>
      <c r="D32" s="764">
        <v>0</v>
      </c>
      <c r="E32" s="764">
        <v>0</v>
      </c>
      <c r="F32" s="764">
        <v>0</v>
      </c>
      <c r="G32" s="764">
        <v>0</v>
      </c>
      <c r="H32" s="764">
        <v>0</v>
      </c>
      <c r="I32" s="764">
        <v>2.6349882499999997</v>
      </c>
      <c r="J32" s="764">
        <v>14.094239412499999</v>
      </c>
      <c r="K32" s="764">
        <v>20.514702062499996</v>
      </c>
      <c r="L32" s="764">
        <v>24.900154622499997</v>
      </c>
      <c r="M32" s="764">
        <v>24.763988584999996</v>
      </c>
      <c r="N32" s="764">
        <v>23.7803367225</v>
      </c>
      <c r="O32" s="764">
        <v>23.435477710000001</v>
      </c>
      <c r="P32" s="764">
        <v>25.7678755375</v>
      </c>
      <c r="Q32" s="764">
        <v>25.989261594999999</v>
      </c>
      <c r="R32" s="764">
        <v>25.8940302275</v>
      </c>
      <c r="S32" s="764">
        <v>27.939754354999998</v>
      </c>
      <c r="T32" s="764">
        <v>28.117098224999999</v>
      </c>
      <c r="U32" s="764">
        <v>28.522198017499996</v>
      </c>
      <c r="V32" s="764">
        <v>25.288355117499997</v>
      </c>
      <c r="W32" s="764">
        <v>24.839309409999998</v>
      </c>
      <c r="X32" s="764">
        <v>25.639906557499998</v>
      </c>
      <c r="Y32" s="764">
        <v>24.617819139999998</v>
      </c>
      <c r="Z32" s="764">
        <v>26.640295939999998</v>
      </c>
      <c r="AA32" s="764">
        <v>27.604997999999998</v>
      </c>
      <c r="AB32" s="764">
        <v>37.117458427499997</v>
      </c>
      <c r="AC32" s="764">
        <v>42.622637577500001</v>
      </c>
      <c r="AD32" s="764">
        <v>43.86310477</v>
      </c>
      <c r="AE32" s="764">
        <v>48.107261059999999</v>
      </c>
      <c r="AF32" s="764">
        <v>49.422477397500003</v>
      </c>
      <c r="AG32" s="764">
        <v>53.631215332499998</v>
      </c>
      <c r="AH32" s="764">
        <v>65.101939794999993</v>
      </c>
      <c r="AI32" s="764">
        <v>72.412740450000001</v>
      </c>
      <c r="AJ32" s="764">
        <v>78.585029467500007</v>
      </c>
      <c r="AK32" s="764">
        <v>85.198778514999972</v>
      </c>
      <c r="AL32" s="764">
        <v>88.00328377999999</v>
      </c>
      <c r="AM32" s="764">
        <v>89.632569794999995</v>
      </c>
      <c r="AN32" s="764">
        <v>99.359480689999998</v>
      </c>
      <c r="AO32" s="764">
        <v>103.60072299999999</v>
      </c>
      <c r="AP32" s="764">
        <v>106.4459038925</v>
      </c>
      <c r="AQ32" s="764">
        <v>100.50681664499999</v>
      </c>
      <c r="AR32" s="764">
        <v>113.86224401999999</v>
      </c>
      <c r="AS32" s="764">
        <v>107.93024421499999</v>
      </c>
      <c r="AT32" s="764">
        <v>108.00777136749998</v>
      </c>
      <c r="AU32" s="764">
        <v>116.23836246499999</v>
      </c>
      <c r="AV32" s="764">
        <v>115.77877541499998</v>
      </c>
      <c r="AW32" s="765">
        <v>123.22777474749998</v>
      </c>
      <c r="AX32" s="755">
        <v>6.7246239336518299E-2</v>
      </c>
      <c r="AY32" s="755">
        <v>2.7810398977845097E-2</v>
      </c>
      <c r="AZ32" s="755">
        <v>3.3482372572627359E-2</v>
      </c>
    </row>
    <row r="33" spans="1:52" x14ac:dyDescent="0.3">
      <c r="A33" s="3" t="s">
        <v>963</v>
      </c>
      <c r="B33" s="764">
        <v>5.119324999999991</v>
      </c>
      <c r="C33" s="764">
        <v>5.2790249999999919</v>
      </c>
      <c r="D33" s="764">
        <v>5.5840749999999906</v>
      </c>
      <c r="E33" s="764">
        <v>5.6647749999999908</v>
      </c>
      <c r="F33" s="764">
        <v>5.4835249999999913</v>
      </c>
      <c r="G33" s="764">
        <v>5.6437749999999909</v>
      </c>
      <c r="H33" s="764">
        <v>6.1432499999999903</v>
      </c>
      <c r="I33" s="764">
        <v>6.4660999999999893</v>
      </c>
      <c r="J33" s="764">
        <v>6.9335249999999888</v>
      </c>
      <c r="K33" s="764">
        <v>6.2207999999999899</v>
      </c>
      <c r="L33" s="764">
        <v>5.2835249999999911</v>
      </c>
      <c r="M33" s="764">
        <v>4.6958999999999929</v>
      </c>
      <c r="N33" s="764">
        <v>4.3277999999999928</v>
      </c>
      <c r="O33" s="764">
        <v>4.2311249999999934</v>
      </c>
      <c r="P33" s="764">
        <v>4.647449999999993</v>
      </c>
      <c r="Q33" s="764">
        <v>4.8061999999999925</v>
      </c>
      <c r="R33" s="764">
        <v>4.3634249999999923</v>
      </c>
      <c r="S33" s="764">
        <v>4.3836999999999922</v>
      </c>
      <c r="T33" s="764">
        <v>4.3504999999999923</v>
      </c>
      <c r="U33" s="764">
        <v>4.0283749999999934</v>
      </c>
      <c r="V33" s="764">
        <v>2.7655249999999953</v>
      </c>
      <c r="W33" s="764">
        <v>3.091499999999995</v>
      </c>
      <c r="X33" s="764">
        <v>2.9770499999999949</v>
      </c>
      <c r="Y33" s="764">
        <v>3.8040999999999938</v>
      </c>
      <c r="Z33" s="764">
        <v>3.6045249999999935</v>
      </c>
      <c r="AA33" s="764">
        <v>3.6857999999999937</v>
      </c>
      <c r="AB33" s="764">
        <v>3.6520249999999939</v>
      </c>
      <c r="AC33" s="764">
        <v>3.7263999999999937</v>
      </c>
      <c r="AD33" s="764">
        <v>3.778124999999994</v>
      </c>
      <c r="AE33" s="764">
        <v>3.6078499999999942</v>
      </c>
      <c r="AF33" s="764">
        <v>3.8534499999999938</v>
      </c>
      <c r="AG33" s="764">
        <v>4.0612249999999932</v>
      </c>
      <c r="AH33" s="764">
        <v>4.1509249999999929</v>
      </c>
      <c r="AI33" s="764">
        <v>4.1999249999999924</v>
      </c>
      <c r="AJ33" s="764">
        <v>4.5654499999999931</v>
      </c>
      <c r="AK33" s="764">
        <v>4.5174999999999921</v>
      </c>
      <c r="AL33" s="764">
        <v>4.5128499999999923</v>
      </c>
      <c r="AM33" s="764">
        <v>4.5318611099999933</v>
      </c>
      <c r="AN33" s="764">
        <v>4.2913055555555566</v>
      </c>
      <c r="AO33" s="764">
        <v>4.2797222222222233</v>
      </c>
      <c r="AP33" s="764">
        <v>4.2949166666666674</v>
      </c>
      <c r="AQ33" s="764">
        <v>4.4773611111111125</v>
      </c>
      <c r="AR33" s="764">
        <v>4.5435833333333342</v>
      </c>
      <c r="AS33" s="764">
        <v>4.4463055555555568</v>
      </c>
      <c r="AT33" s="764">
        <v>4.3337222222222236</v>
      </c>
      <c r="AU33" s="764">
        <v>4.2832500000000007</v>
      </c>
      <c r="AV33" s="764">
        <v>4.1318055555555562</v>
      </c>
      <c r="AW33" s="765">
        <v>4.0391804310133876</v>
      </c>
      <c r="AX33" s="755">
        <v>-1.9746600206264175E-2</v>
      </c>
      <c r="AY33" s="755">
        <v>-8.7826443669021259E-3</v>
      </c>
      <c r="AZ33" s="755">
        <v>1.0974907593387306E-3</v>
      </c>
    </row>
    <row r="34" spans="1:52" x14ac:dyDescent="0.3">
      <c r="A34" s="3" t="s">
        <v>917</v>
      </c>
      <c r="B34" s="764">
        <v>21.742856050000004</v>
      </c>
      <c r="C34" s="764">
        <v>23.236145675000003</v>
      </c>
      <c r="D34" s="764">
        <v>23.76869795</v>
      </c>
      <c r="E34" s="764">
        <v>25.163677400000005</v>
      </c>
      <c r="F34" s="764">
        <v>25.971591350000001</v>
      </c>
      <c r="G34" s="764">
        <v>28.212224675000002</v>
      </c>
      <c r="H34" s="764">
        <v>30.7734144</v>
      </c>
      <c r="I34" s="764">
        <v>32.589590049999998</v>
      </c>
      <c r="J34" s="764">
        <v>32.812302200000005</v>
      </c>
      <c r="K34" s="764">
        <v>31.352559175</v>
      </c>
      <c r="L34" s="764">
        <v>32.373400850000003</v>
      </c>
      <c r="M34" s="764">
        <v>34.074958950000003</v>
      </c>
      <c r="N34" s="764">
        <v>34.452358199999999</v>
      </c>
      <c r="O34" s="764">
        <v>34.188644650000001</v>
      </c>
      <c r="P34" s="764">
        <v>33.944499950000001</v>
      </c>
      <c r="Q34" s="764">
        <v>32.445153299999994</v>
      </c>
      <c r="R34" s="764">
        <v>32.834200674999998</v>
      </c>
      <c r="S34" s="764">
        <v>31.205792800000001</v>
      </c>
      <c r="T34" s="764">
        <v>30.559088900000003</v>
      </c>
      <c r="U34" s="764">
        <v>27.394526299999999</v>
      </c>
      <c r="V34" s="764">
        <v>26.645274999999955</v>
      </c>
      <c r="W34" s="764">
        <v>23.326849999999958</v>
      </c>
      <c r="X34" s="764">
        <v>20.482324999999964</v>
      </c>
      <c r="Y34" s="764">
        <v>19.49202499999997</v>
      </c>
      <c r="Z34" s="764">
        <v>17.239849999999969</v>
      </c>
      <c r="AA34" s="764">
        <v>16.800299999999972</v>
      </c>
      <c r="AB34" s="764">
        <v>16.007549999999974</v>
      </c>
      <c r="AC34" s="764">
        <v>13.848949999999977</v>
      </c>
      <c r="AD34" s="764">
        <v>12.966899999999979</v>
      </c>
      <c r="AE34" s="764">
        <v>13.016699999999979</v>
      </c>
      <c r="AF34" s="764">
        <v>12.755924999999978</v>
      </c>
      <c r="AG34" s="764">
        <v>12.53739999999998</v>
      </c>
      <c r="AH34" s="764">
        <v>12.32659999999998</v>
      </c>
      <c r="AI34" s="764">
        <v>12.128374999999981</v>
      </c>
      <c r="AJ34" s="764">
        <v>12.06897499999998</v>
      </c>
      <c r="AK34" s="764">
        <v>11.282624999999982</v>
      </c>
      <c r="AL34" s="764">
        <v>11.116399999999981</v>
      </c>
      <c r="AM34" s="764">
        <v>10.737674999999983</v>
      </c>
      <c r="AN34" s="764">
        <v>10.458349999999983</v>
      </c>
      <c r="AO34" s="764">
        <v>10.395399999999983</v>
      </c>
      <c r="AP34" s="764">
        <v>10.023449999999984</v>
      </c>
      <c r="AQ34" s="764">
        <v>10.079499999999982</v>
      </c>
      <c r="AR34" s="764">
        <v>10.097974999999982</v>
      </c>
      <c r="AS34" s="764">
        <v>10.001899999999983</v>
      </c>
      <c r="AT34" s="764">
        <v>10.194299999999984</v>
      </c>
      <c r="AU34" s="764">
        <v>10.217224999999983</v>
      </c>
      <c r="AV34" s="764">
        <v>9.0527749999999845</v>
      </c>
      <c r="AW34" s="765">
        <v>10.313099999999983</v>
      </c>
      <c r="AX34" s="755">
        <v>0.1423323642587444</v>
      </c>
      <c r="AY34" s="755">
        <v>-2.032560790054605E-2</v>
      </c>
      <c r="AZ34" s="755">
        <v>2.8021852807641333E-3</v>
      </c>
    </row>
    <row r="35" spans="1:52" x14ac:dyDescent="0.3">
      <c r="A35" s="3" t="s">
        <v>879</v>
      </c>
      <c r="B35" s="764">
        <v>10.949645</v>
      </c>
      <c r="C35" s="764">
        <v>18.196297999999999</v>
      </c>
      <c r="D35" s="764">
        <v>26.255887999999999</v>
      </c>
      <c r="E35" s="764">
        <v>28.507456000000001</v>
      </c>
      <c r="F35" s="764">
        <v>34.380605999999993</v>
      </c>
      <c r="G35" s="764">
        <v>35.800629000000001</v>
      </c>
      <c r="H35" s="764">
        <v>37.912637000000004</v>
      </c>
      <c r="I35" s="764">
        <v>39.612943000000001</v>
      </c>
      <c r="J35" s="764">
        <v>37.933571000000001</v>
      </c>
      <c r="K35" s="764">
        <v>38.304567999999996</v>
      </c>
      <c r="L35" s="764">
        <v>36.414693</v>
      </c>
      <c r="M35" s="764">
        <v>36.333283000000002</v>
      </c>
      <c r="N35" s="764">
        <v>36.928738999999993</v>
      </c>
      <c r="O35" s="764">
        <v>38.077782999999997</v>
      </c>
      <c r="P35" s="764">
        <v>37.224140999999996</v>
      </c>
      <c r="Q35" s="764">
        <v>41.531892999999997</v>
      </c>
      <c r="R35" s="764">
        <v>43.664835000000004</v>
      </c>
      <c r="S35" s="764">
        <v>45.714041000000002</v>
      </c>
      <c r="T35" s="764">
        <v>44.023038999999997</v>
      </c>
      <c r="U35" s="764">
        <v>43.111247000000006</v>
      </c>
      <c r="V35" s="764">
        <v>47.603916000000005</v>
      </c>
      <c r="W35" s="764">
        <v>53.00256199999999</v>
      </c>
      <c r="X35" s="764">
        <v>53.89923499999999</v>
      </c>
      <c r="Y35" s="764">
        <v>63.369543999999998</v>
      </c>
      <c r="Z35" s="764">
        <v>67.654035999999991</v>
      </c>
      <c r="AA35" s="764">
        <v>74.058668161199989</v>
      </c>
      <c r="AB35" s="764">
        <v>88.076620938600001</v>
      </c>
      <c r="AC35" s="764">
        <v>89.867043156600005</v>
      </c>
      <c r="AD35" s="764">
        <v>94.414301515799991</v>
      </c>
      <c r="AE35" s="764">
        <v>103.75537260599998</v>
      </c>
      <c r="AF35" s="764">
        <v>113.47946262719999</v>
      </c>
      <c r="AG35" s="764">
        <v>110.83361646059997</v>
      </c>
      <c r="AH35" s="764">
        <v>108.50597756099999</v>
      </c>
      <c r="AI35" s="764">
        <v>107.82551175376148</v>
      </c>
      <c r="AJ35" s="764">
        <v>100.93130544002912</v>
      </c>
      <c r="AK35" s="764">
        <v>92.355645003697646</v>
      </c>
      <c r="AL35" s="764">
        <v>83.763494715600004</v>
      </c>
      <c r="AM35" s="764">
        <v>75.506425099827325</v>
      </c>
      <c r="AN35" s="764">
        <v>72.783663661586303</v>
      </c>
      <c r="AO35" s="764">
        <v>61.216765152761234</v>
      </c>
      <c r="AP35" s="764">
        <v>57.911354774816488</v>
      </c>
      <c r="AQ35" s="764">
        <v>46.090823247881723</v>
      </c>
      <c r="AR35" s="764">
        <v>39.199439600307763</v>
      </c>
      <c r="AS35" s="764">
        <v>36.987036220229221</v>
      </c>
      <c r="AT35" s="764">
        <v>37.438251147960507</v>
      </c>
      <c r="AU35" s="764">
        <v>40.668502128068965</v>
      </c>
      <c r="AV35" s="764">
        <v>41.750122540113082</v>
      </c>
      <c r="AW35" s="765">
        <v>41.89052072630016</v>
      </c>
      <c r="AX35" s="755">
        <v>6.1042494091896327E-3</v>
      </c>
      <c r="AY35" s="755">
        <v>-6.726065506547152E-2</v>
      </c>
      <c r="AZ35" s="755">
        <v>1.1382125702532057E-2</v>
      </c>
    </row>
    <row r="36" spans="1:52" x14ac:dyDescent="0.3">
      <c r="A36" s="3" t="s">
        <v>918</v>
      </c>
      <c r="B36" s="764">
        <v>14.606970365199992</v>
      </c>
      <c r="C36" s="764">
        <v>15.26763633779999</v>
      </c>
      <c r="D36" s="764">
        <v>16.022770617199992</v>
      </c>
      <c r="E36" s="764">
        <v>17.277474187399989</v>
      </c>
      <c r="F36" s="764">
        <v>17.659142978799991</v>
      </c>
      <c r="G36" s="764">
        <v>17.554552311199991</v>
      </c>
      <c r="H36" s="764">
        <v>18.067166935399989</v>
      </c>
      <c r="I36" s="764">
        <v>19.49813077819999</v>
      </c>
      <c r="J36" s="764">
        <v>20.672715667799988</v>
      </c>
      <c r="K36" s="764">
        <v>19.997667095999986</v>
      </c>
      <c r="L36" s="764">
        <v>19.220351340799986</v>
      </c>
      <c r="M36" s="764">
        <v>18.377187925799987</v>
      </c>
      <c r="N36" s="764">
        <v>18.921932485599989</v>
      </c>
      <c r="O36" s="764">
        <v>18.68557986239999</v>
      </c>
      <c r="P36" s="764">
        <v>18.828391864199986</v>
      </c>
      <c r="Q36" s="764">
        <v>19.086575509491432</v>
      </c>
      <c r="R36" s="764">
        <v>17.489406401680814</v>
      </c>
      <c r="S36" s="764">
        <v>17.726428569080813</v>
      </c>
      <c r="T36" s="764">
        <v>17.084205630351022</v>
      </c>
      <c r="U36" s="764">
        <v>17.57728185322123</v>
      </c>
      <c r="V36" s="764">
        <v>16.271267082132344</v>
      </c>
      <c r="W36" s="764">
        <v>16.418715431723886</v>
      </c>
      <c r="X36" s="764">
        <v>15.973006023214744</v>
      </c>
      <c r="Y36" s="764">
        <v>16.524732247374825</v>
      </c>
      <c r="Z36" s="764">
        <v>15.338435104358698</v>
      </c>
      <c r="AA36" s="764">
        <v>15.947204014170499</v>
      </c>
      <c r="AB36" s="764">
        <v>14.818967266459385</v>
      </c>
      <c r="AC36" s="764">
        <v>13.467311884311108</v>
      </c>
      <c r="AD36" s="764">
        <v>12.339155664377772</v>
      </c>
      <c r="AE36" s="764">
        <v>11.62724387696978</v>
      </c>
      <c r="AF36" s="764">
        <v>11.129959950452612</v>
      </c>
      <c r="AG36" s="764">
        <v>10.820377856412053</v>
      </c>
      <c r="AH36" s="764">
        <v>10.781596686290714</v>
      </c>
      <c r="AI36" s="764">
        <v>10.299773574894097</v>
      </c>
      <c r="AJ36" s="764">
        <v>10.816223727076197</v>
      </c>
      <c r="AK36" s="764">
        <v>10.170153121035154</v>
      </c>
      <c r="AL36" s="764">
        <v>10.774872863017608</v>
      </c>
      <c r="AM36" s="764">
        <v>9.9706163612779548</v>
      </c>
      <c r="AN36" s="764">
        <v>9.4200744560094396</v>
      </c>
      <c r="AO36" s="764">
        <v>9.1795930403410484</v>
      </c>
      <c r="AP36" s="764">
        <v>9.3045915285098797</v>
      </c>
      <c r="AQ36" s="764">
        <v>9.2218436177223211</v>
      </c>
      <c r="AR36" s="764">
        <v>8.3414064081250245</v>
      </c>
      <c r="AS36" s="764">
        <v>7.1511619992653435</v>
      </c>
      <c r="AT36" s="764">
        <v>6.3315608414963629</v>
      </c>
      <c r="AU36" s="764">
        <v>6.0830580482447081</v>
      </c>
      <c r="AV36" s="764">
        <v>8.6995599447898861</v>
      </c>
      <c r="AW36" s="765">
        <v>9.1073687953478792</v>
      </c>
      <c r="AX36" s="755">
        <v>4.9737271149661977E-2</v>
      </c>
      <c r="AY36" s="755">
        <v>-2.1167201742329111E-2</v>
      </c>
      <c r="AZ36" s="755">
        <v>2.4745745493415603E-3</v>
      </c>
    </row>
    <row r="37" spans="1:52" x14ac:dyDescent="0.3">
      <c r="A37" s="756" t="s">
        <v>919</v>
      </c>
      <c r="B37" s="766">
        <v>104.48188508186664</v>
      </c>
      <c r="C37" s="766">
        <v>127.82477234613332</v>
      </c>
      <c r="D37" s="766">
        <v>153.91165401164443</v>
      </c>
      <c r="E37" s="766">
        <v>173.22790914295553</v>
      </c>
      <c r="F37" s="766">
        <v>192.65550399546666</v>
      </c>
      <c r="G37" s="766">
        <v>200.02129931953334</v>
      </c>
      <c r="H37" s="766">
        <v>213.2315346687333</v>
      </c>
      <c r="I37" s="766">
        <v>219.85204118931105</v>
      </c>
      <c r="J37" s="766">
        <v>225.57550461363326</v>
      </c>
      <c r="K37" s="766">
        <v>233.09942200016661</v>
      </c>
      <c r="L37" s="766">
        <v>229.45940425774441</v>
      </c>
      <c r="M37" s="766">
        <v>225.88074268302216</v>
      </c>
      <c r="N37" s="766">
        <v>209.83626008507792</v>
      </c>
      <c r="O37" s="766">
        <v>213.64321663188232</v>
      </c>
      <c r="P37" s="766">
        <v>217.92145130943209</v>
      </c>
      <c r="Q37" s="766">
        <v>224.44110423233619</v>
      </c>
      <c r="R37" s="766">
        <v>219.11574168170446</v>
      </c>
      <c r="S37" s="766">
        <v>225.29228761188077</v>
      </c>
      <c r="T37" s="766">
        <v>213.95854820459493</v>
      </c>
      <c r="U37" s="766">
        <v>216.42295740537037</v>
      </c>
      <c r="V37" s="766">
        <v>215.47134270451366</v>
      </c>
      <c r="W37" s="766">
        <v>228.76355530785091</v>
      </c>
      <c r="X37" s="766">
        <v>228.67194319471025</v>
      </c>
      <c r="Y37" s="766">
        <v>240.39552378563286</v>
      </c>
      <c r="Z37" s="766">
        <v>241.10216047592988</v>
      </c>
      <c r="AA37" s="766">
        <v>250.20919773506154</v>
      </c>
      <c r="AB37" s="766">
        <v>283.71758128004575</v>
      </c>
      <c r="AC37" s="766">
        <v>279.05649190057477</v>
      </c>
      <c r="AD37" s="766">
        <v>278.6432327561339</v>
      </c>
      <c r="AE37" s="766">
        <v>286.59369012882047</v>
      </c>
      <c r="AF37" s="766">
        <v>293.46252049577021</v>
      </c>
      <c r="AG37" s="766">
        <v>298.25016790228051</v>
      </c>
      <c r="AH37" s="766">
        <v>304.58532024812831</v>
      </c>
      <c r="AI37" s="766">
        <v>307.80626204496645</v>
      </c>
      <c r="AJ37" s="766">
        <v>318.02648463904728</v>
      </c>
      <c r="AK37" s="766">
        <v>307.98234719547304</v>
      </c>
      <c r="AL37" s="766">
        <v>300.3101334831598</v>
      </c>
      <c r="AM37" s="766">
        <v>287.58497866086088</v>
      </c>
      <c r="AN37" s="766">
        <v>298.95913105023521</v>
      </c>
      <c r="AO37" s="766">
        <v>283.47681471000084</v>
      </c>
      <c r="AP37" s="766">
        <v>289.48512418151284</v>
      </c>
      <c r="AQ37" s="766">
        <v>262.94645125162896</v>
      </c>
      <c r="AR37" s="766">
        <v>266.53251726292967</v>
      </c>
      <c r="AS37" s="766">
        <v>259.35068665558077</v>
      </c>
      <c r="AT37" s="766">
        <v>246.6609904172808</v>
      </c>
      <c r="AU37" s="766">
        <v>241.66775948018554</v>
      </c>
      <c r="AV37" s="766">
        <v>238.55976107079763</v>
      </c>
      <c r="AW37" s="766">
        <v>241.91029430003346</v>
      </c>
      <c r="AX37" s="758">
        <v>1.6815452444625123E-2</v>
      </c>
      <c r="AY37" s="758">
        <v>-2.275665762913559E-2</v>
      </c>
      <c r="AZ37" s="758">
        <v>6.5729748179778585E-2</v>
      </c>
    </row>
    <row r="38" spans="1:52" x14ac:dyDescent="0.3">
      <c r="B38" s="764"/>
      <c r="C38" s="764"/>
      <c r="D38" s="764"/>
      <c r="E38" s="764"/>
      <c r="F38" s="764"/>
      <c r="G38" s="764"/>
      <c r="H38" s="764"/>
      <c r="I38" s="764"/>
      <c r="J38" s="764"/>
      <c r="K38" s="764"/>
      <c r="L38" s="764"/>
      <c r="M38" s="764"/>
      <c r="N38" s="764"/>
      <c r="O38" s="764"/>
      <c r="P38" s="764"/>
      <c r="Q38" s="764"/>
      <c r="R38" s="764"/>
      <c r="S38" s="764"/>
      <c r="T38" s="764"/>
      <c r="U38" s="764"/>
      <c r="V38" s="764"/>
      <c r="W38" s="764"/>
      <c r="X38" s="764"/>
      <c r="Y38" s="764"/>
      <c r="Z38" s="764"/>
      <c r="AA38" s="764"/>
      <c r="AB38" s="764"/>
      <c r="AC38" s="764"/>
      <c r="AD38" s="764"/>
      <c r="AE38" s="764"/>
      <c r="AF38" s="764"/>
      <c r="AG38" s="764"/>
      <c r="AH38" s="764"/>
      <c r="AI38" s="764"/>
      <c r="AJ38" s="764"/>
      <c r="AK38" s="764"/>
      <c r="AL38" s="764"/>
      <c r="AM38" s="764"/>
      <c r="AN38" s="764"/>
      <c r="AO38" s="764"/>
      <c r="AP38" s="764"/>
      <c r="AQ38" s="764"/>
      <c r="AR38" s="764"/>
      <c r="AS38" s="764"/>
      <c r="AT38" s="764"/>
      <c r="AU38" s="764"/>
      <c r="AV38" s="764"/>
      <c r="AW38" s="765"/>
      <c r="AX38" s="755"/>
      <c r="AY38" s="755"/>
      <c r="AZ38" s="755"/>
    </row>
    <row r="39" spans="1:52" x14ac:dyDescent="0.3">
      <c r="A39" s="3" t="s">
        <v>643</v>
      </c>
      <c r="B39" s="764" t="s">
        <v>915</v>
      </c>
      <c r="C39" s="764" t="s">
        <v>915</v>
      </c>
      <c r="D39" s="764" t="s">
        <v>915</v>
      </c>
      <c r="E39" s="764" t="s">
        <v>915</v>
      </c>
      <c r="F39" s="764" t="s">
        <v>915</v>
      </c>
      <c r="G39" s="764" t="s">
        <v>915</v>
      </c>
      <c r="H39" s="764" t="s">
        <v>915</v>
      </c>
      <c r="I39" s="764" t="s">
        <v>915</v>
      </c>
      <c r="J39" s="764" t="s">
        <v>915</v>
      </c>
      <c r="K39" s="764" t="s">
        <v>915</v>
      </c>
      <c r="L39" s="764" t="s">
        <v>915</v>
      </c>
      <c r="M39" s="764" t="s">
        <v>915</v>
      </c>
      <c r="N39" s="764" t="s">
        <v>915</v>
      </c>
      <c r="O39" s="764" t="s">
        <v>915</v>
      </c>
      <c r="P39" s="764" t="s">
        <v>915</v>
      </c>
      <c r="Q39" s="764">
        <v>13.717212389380528</v>
      </c>
      <c r="R39" s="764">
        <v>13.258997050147487</v>
      </c>
      <c r="S39" s="764">
        <v>12.186578171091442</v>
      </c>
      <c r="T39" s="764">
        <v>11.601622418879051</v>
      </c>
      <c r="U39" s="764">
        <v>10.821681415929199</v>
      </c>
      <c r="V39" s="764">
        <v>9.651769911504422</v>
      </c>
      <c r="W39" s="764">
        <v>8.3843657817109118</v>
      </c>
      <c r="X39" s="764">
        <v>7.7019174041297909</v>
      </c>
      <c r="Y39" s="764">
        <v>6.6294985250737435</v>
      </c>
      <c r="Z39" s="764">
        <v>6.239528023598818</v>
      </c>
      <c r="AA39" s="764">
        <v>6.4345132743362816</v>
      </c>
      <c r="AB39" s="764">
        <v>5.7296415929203519</v>
      </c>
      <c r="AC39" s="764">
        <v>5.4566622418879032</v>
      </c>
      <c r="AD39" s="764">
        <v>5.0920398230088475</v>
      </c>
      <c r="AE39" s="764">
        <v>5.4566622418879032</v>
      </c>
      <c r="AF39" s="764">
        <v>5.1446858407079628</v>
      </c>
      <c r="AG39" s="764">
        <v>5.0432935103244816</v>
      </c>
      <c r="AH39" s="764">
        <v>4.6776961651917386</v>
      </c>
      <c r="AI39" s="764">
        <v>4.6630722713864285</v>
      </c>
      <c r="AJ39" s="764">
        <v>4.5431563421828898</v>
      </c>
      <c r="AK39" s="764">
        <v>5.58837477876106</v>
      </c>
      <c r="AL39" s="764">
        <v>6.5938162241887879</v>
      </c>
      <c r="AM39" s="764">
        <v>10.560498672566368</v>
      </c>
      <c r="AN39" s="764">
        <v>15.926882743362826</v>
      </c>
      <c r="AO39" s="764">
        <v>15.913428761061942</v>
      </c>
      <c r="AP39" s="764">
        <v>16.254652949852499</v>
      </c>
      <c r="AQ39" s="764">
        <v>15.951158407079641</v>
      </c>
      <c r="AR39" s="764">
        <v>16.809775958702058</v>
      </c>
      <c r="AS39" s="764">
        <v>17.446402802359874</v>
      </c>
      <c r="AT39" s="764">
        <v>18.384077499999968</v>
      </c>
      <c r="AU39" s="764">
        <v>18.784052499999966</v>
      </c>
      <c r="AV39" s="764">
        <v>18.27753999999997</v>
      </c>
      <c r="AW39" s="765">
        <v>17.730998822819139</v>
      </c>
      <c r="AX39" s="755">
        <v>-2.7251797846205017E-2</v>
      </c>
      <c r="AY39" s="755">
        <v>0.10733261183185849</v>
      </c>
      <c r="AZ39" s="755">
        <v>4.8177118339345149E-3</v>
      </c>
    </row>
    <row r="40" spans="1:52" x14ac:dyDescent="0.3">
      <c r="A40" s="3" t="s">
        <v>619</v>
      </c>
      <c r="B40" s="764" t="s">
        <v>915</v>
      </c>
      <c r="C40" s="764" t="s">
        <v>915</v>
      </c>
      <c r="D40" s="764" t="s">
        <v>915</v>
      </c>
      <c r="E40" s="764" t="s">
        <v>915</v>
      </c>
      <c r="F40" s="764" t="s">
        <v>915</v>
      </c>
      <c r="G40" s="764" t="s">
        <v>915</v>
      </c>
      <c r="H40" s="764" t="s">
        <v>915</v>
      </c>
      <c r="I40" s="764" t="s">
        <v>915</v>
      </c>
      <c r="J40" s="764" t="s">
        <v>915</v>
      </c>
      <c r="K40" s="764" t="s">
        <v>915</v>
      </c>
      <c r="L40" s="764" t="s">
        <v>915</v>
      </c>
      <c r="M40" s="764" t="s">
        <v>915</v>
      </c>
      <c r="N40" s="764" t="s">
        <v>915</v>
      </c>
      <c r="O40" s="764" t="s">
        <v>915</v>
      </c>
      <c r="P40" s="764" t="s">
        <v>915</v>
      </c>
      <c r="Q40" s="764">
        <v>4.6737581176272105</v>
      </c>
      <c r="R40" s="764">
        <v>4.9889969349451739</v>
      </c>
      <c r="S40" s="764">
        <v>5.4061743915588965</v>
      </c>
      <c r="T40" s="764">
        <v>6.1111785944194539</v>
      </c>
      <c r="U40" s="764">
        <v>5.7479686527270148</v>
      </c>
      <c r="V40" s="764">
        <v>6.0940460499999975</v>
      </c>
      <c r="W40" s="764">
        <v>6.2466142499999986</v>
      </c>
      <c r="X40" s="764">
        <v>5.8586578999999981</v>
      </c>
      <c r="Y40" s="764">
        <v>5.2831128999999981</v>
      </c>
      <c r="Z40" s="764">
        <v>3.2668519499999991</v>
      </c>
      <c r="AA40" s="764">
        <v>4.1123177999999978</v>
      </c>
      <c r="AB40" s="764">
        <v>3.5562827999999986</v>
      </c>
      <c r="AC40" s="764">
        <v>5.7839345999999985</v>
      </c>
      <c r="AD40" s="764">
        <v>5.0807941999999979</v>
      </c>
      <c r="AE40" s="764">
        <v>6.7552399499999991</v>
      </c>
      <c r="AF40" s="764">
        <v>8.4754366499999989</v>
      </c>
      <c r="AG40" s="764">
        <v>8.6465393499999941</v>
      </c>
      <c r="AH40" s="764">
        <v>9.2249718299999959</v>
      </c>
      <c r="AI40" s="764">
        <v>11.119500134999996</v>
      </c>
      <c r="AJ40" s="764">
        <v>13.104657267499995</v>
      </c>
      <c r="AK40" s="764">
        <v>14.588431469999993</v>
      </c>
      <c r="AL40" s="764">
        <v>15.231095950624999</v>
      </c>
      <c r="AM40" s="764">
        <v>15.792487543124993</v>
      </c>
      <c r="AN40" s="764">
        <v>18.290975508124994</v>
      </c>
      <c r="AO40" s="764">
        <v>19.009033399999993</v>
      </c>
      <c r="AP40" s="764">
        <v>20.43025364999999</v>
      </c>
      <c r="AQ40" s="764">
        <v>20.088687149999988</v>
      </c>
      <c r="AR40" s="764">
        <v>19.831677649999992</v>
      </c>
      <c r="AS40" s="764">
        <v>21.381511600000003</v>
      </c>
      <c r="AT40" s="764">
        <v>21.680746699999993</v>
      </c>
      <c r="AU40" s="764">
        <v>21.97264749999999</v>
      </c>
      <c r="AV40" s="764">
        <v>22.949139999999982</v>
      </c>
      <c r="AW40" s="765">
        <v>27.132978118265633</v>
      </c>
      <c r="AX40" s="755">
        <v>0.18553949900784517</v>
      </c>
      <c r="AY40" s="755">
        <v>4.1845993926739267E-2</v>
      </c>
      <c r="AZ40" s="755">
        <v>7.3723353701893122E-3</v>
      </c>
    </row>
    <row r="41" spans="1:52" x14ac:dyDescent="0.3">
      <c r="A41" s="3" t="s">
        <v>920</v>
      </c>
      <c r="B41" s="764" t="s">
        <v>915</v>
      </c>
      <c r="C41" s="764" t="s">
        <v>915</v>
      </c>
      <c r="D41" s="764" t="s">
        <v>915</v>
      </c>
      <c r="E41" s="764" t="s">
        <v>915</v>
      </c>
      <c r="F41" s="764" t="s">
        <v>915</v>
      </c>
      <c r="G41" s="764" t="s">
        <v>915</v>
      </c>
      <c r="H41" s="764" t="s">
        <v>915</v>
      </c>
      <c r="I41" s="764" t="s">
        <v>915</v>
      </c>
      <c r="J41" s="764" t="s">
        <v>915</v>
      </c>
      <c r="K41" s="764" t="s">
        <v>915</v>
      </c>
      <c r="L41" s="764" t="s">
        <v>915</v>
      </c>
      <c r="M41" s="764" t="s">
        <v>915</v>
      </c>
      <c r="N41" s="764" t="s">
        <v>915</v>
      </c>
      <c r="O41" s="764" t="s">
        <v>915</v>
      </c>
      <c r="P41" s="764" t="s">
        <v>915</v>
      </c>
      <c r="Q41" s="764">
        <v>424.88122418879033</v>
      </c>
      <c r="R41" s="764">
        <v>462.56710914454254</v>
      </c>
      <c r="S41" s="764">
        <v>500.54727138643045</v>
      </c>
      <c r="T41" s="764">
        <v>542.38982300884936</v>
      </c>
      <c r="U41" s="764">
        <v>566.29985250737445</v>
      </c>
      <c r="V41" s="764">
        <v>599.5899705014748</v>
      </c>
      <c r="W41" s="764">
        <v>591.3134218289083</v>
      </c>
      <c r="X41" s="764">
        <v>592.23303834808246</v>
      </c>
      <c r="Y41" s="764">
        <v>568.59889380530956</v>
      </c>
      <c r="Z41" s="764">
        <v>558.48311209439521</v>
      </c>
      <c r="AA41" s="764">
        <v>541.19432153392324</v>
      </c>
      <c r="AB41" s="764">
        <v>552.32168141592911</v>
      </c>
      <c r="AC41" s="764">
        <v>523.53768436578162</v>
      </c>
      <c r="AD41" s="764">
        <v>541.2862831858406</v>
      </c>
      <c r="AE41" s="764">
        <v>544.41297935103228</v>
      </c>
      <c r="AF41" s="764">
        <v>537.05604719764005</v>
      </c>
      <c r="AG41" s="764">
        <v>534.75700589970495</v>
      </c>
      <c r="AH41" s="764">
        <v>547.53967551622418</v>
      </c>
      <c r="AI41" s="764">
        <v>570.62205014749259</v>
      </c>
      <c r="AJ41" s="764">
        <v>582.57706489675513</v>
      </c>
      <c r="AK41" s="764">
        <v>589.47418879056045</v>
      </c>
      <c r="AL41" s="764">
        <v>604.78120575221226</v>
      </c>
      <c r="AM41" s="764">
        <v>601.61312684365771</v>
      </c>
      <c r="AN41" s="764">
        <v>611.45302359881998</v>
      </c>
      <c r="AO41" s="764">
        <v>536.18976843657799</v>
      </c>
      <c r="AP41" s="764">
        <v>598.38674424778753</v>
      </c>
      <c r="AQ41" s="764">
        <v>616.82772234513266</v>
      </c>
      <c r="AR41" s="764">
        <v>601.8549859882005</v>
      </c>
      <c r="AS41" s="764">
        <v>614.49621858407079</v>
      </c>
      <c r="AT41" s="764">
        <v>591.15515582595867</v>
      </c>
      <c r="AU41" s="764">
        <v>584.43956423303825</v>
      </c>
      <c r="AV41" s="764">
        <v>589.27536769911478</v>
      </c>
      <c r="AW41" s="765">
        <v>635.56086261061921</v>
      </c>
      <c r="AX41" s="767">
        <v>8.1501383192579713E-2</v>
      </c>
      <c r="AY41" s="755">
        <v>-2.5939456460092325E-3</v>
      </c>
      <c r="AZ41" s="755">
        <v>0.17268903571547214</v>
      </c>
    </row>
    <row r="42" spans="1:52" x14ac:dyDescent="0.3">
      <c r="A42" s="3" t="s">
        <v>644</v>
      </c>
      <c r="B42" s="764" t="s">
        <v>915</v>
      </c>
      <c r="C42" s="764" t="s">
        <v>915</v>
      </c>
      <c r="D42" s="764" t="s">
        <v>915</v>
      </c>
      <c r="E42" s="764" t="s">
        <v>915</v>
      </c>
      <c r="F42" s="764" t="s">
        <v>915</v>
      </c>
      <c r="G42" s="764" t="s">
        <v>915</v>
      </c>
      <c r="H42" s="764" t="s">
        <v>915</v>
      </c>
      <c r="I42" s="764" t="s">
        <v>915</v>
      </c>
      <c r="J42" s="764" t="s">
        <v>915</v>
      </c>
      <c r="K42" s="764" t="s">
        <v>915</v>
      </c>
      <c r="L42" s="764" t="s">
        <v>915</v>
      </c>
      <c r="M42" s="764" t="s">
        <v>915</v>
      </c>
      <c r="N42" s="764" t="s">
        <v>915</v>
      </c>
      <c r="O42" s="764" t="s">
        <v>915</v>
      </c>
      <c r="P42" s="764" t="s">
        <v>915</v>
      </c>
      <c r="Q42" s="764">
        <v>78.731932153392322</v>
      </c>
      <c r="R42" s="764">
        <v>80.161012782694186</v>
      </c>
      <c r="S42" s="764">
        <v>83.378810226155352</v>
      </c>
      <c r="T42" s="764">
        <v>83.568092428711878</v>
      </c>
      <c r="U42" s="764">
        <v>85.082350049164191</v>
      </c>
      <c r="V42" s="764">
        <v>83.094886922320526</v>
      </c>
      <c r="W42" s="764">
        <v>79.782448377581105</v>
      </c>
      <c r="X42" s="764">
        <v>56.879301868239907</v>
      </c>
      <c r="Y42" s="764">
        <v>61.800639134709911</v>
      </c>
      <c r="Z42" s="764">
        <v>31.517379547689281</v>
      </c>
      <c r="AA42" s="764">
        <v>30.569075712881016</v>
      </c>
      <c r="AB42" s="764">
        <v>31.075878810226147</v>
      </c>
      <c r="AC42" s="764">
        <v>15.273180924287116</v>
      </c>
      <c r="AD42" s="764">
        <v>11.742121435594886</v>
      </c>
      <c r="AE42" s="764">
        <v>20.129215830875118</v>
      </c>
      <c r="AF42" s="764">
        <v>41.493498033431649</v>
      </c>
      <c r="AG42" s="764">
        <v>45.289552605703037</v>
      </c>
      <c r="AH42" s="764">
        <v>47.232534414945917</v>
      </c>
      <c r="AI42" s="764">
        <v>55.919641101278259</v>
      </c>
      <c r="AJ42" s="764">
        <v>55.175762045231068</v>
      </c>
      <c r="AK42" s="764">
        <v>59.62389380530972</v>
      </c>
      <c r="AL42" s="764">
        <v>63.125614552605704</v>
      </c>
      <c r="AM42" s="764">
        <v>68.425516224188797</v>
      </c>
      <c r="AN42" s="764">
        <v>69.088003933136676</v>
      </c>
      <c r="AO42" s="764">
        <v>38.045722713864315</v>
      </c>
      <c r="AP42" s="764">
        <v>44.292035398230084</v>
      </c>
      <c r="AQ42" s="764">
        <v>62.274791204341277</v>
      </c>
      <c r="AR42" s="764">
        <v>65.139431599740917</v>
      </c>
      <c r="AS42" s="764">
        <v>65.204571031340691</v>
      </c>
      <c r="AT42" s="764">
        <v>70.18149824855351</v>
      </c>
      <c r="AU42" s="764">
        <v>72.76077327632089</v>
      </c>
      <c r="AV42" s="764">
        <v>66.944683688400005</v>
      </c>
      <c r="AW42" s="765">
        <v>62.029700778599995</v>
      </c>
      <c r="AX42" s="755">
        <v>-7.0886926213831636E-2</v>
      </c>
      <c r="AY42" s="755">
        <v>5.8912896653777747E-3</v>
      </c>
      <c r="AZ42" s="755">
        <v>1.6854167465844092E-2</v>
      </c>
    </row>
    <row r="43" spans="1:52" x14ac:dyDescent="0.3">
      <c r="A43" s="3" t="s">
        <v>964</v>
      </c>
      <c r="B43" s="764" t="s">
        <v>915</v>
      </c>
      <c r="C43" s="764" t="s">
        <v>915</v>
      </c>
      <c r="D43" s="764" t="s">
        <v>915</v>
      </c>
      <c r="E43" s="764" t="s">
        <v>915</v>
      </c>
      <c r="F43" s="764" t="s">
        <v>915</v>
      </c>
      <c r="G43" s="764" t="s">
        <v>915</v>
      </c>
      <c r="H43" s="764" t="s">
        <v>915</v>
      </c>
      <c r="I43" s="764" t="s">
        <v>915</v>
      </c>
      <c r="J43" s="764" t="s">
        <v>915</v>
      </c>
      <c r="K43" s="764" t="s">
        <v>915</v>
      </c>
      <c r="L43" s="764" t="s">
        <v>915</v>
      </c>
      <c r="M43" s="764" t="s">
        <v>915</v>
      </c>
      <c r="N43" s="764" t="s">
        <v>915</v>
      </c>
      <c r="O43" s="764" t="s">
        <v>915</v>
      </c>
      <c r="P43" s="764" t="s">
        <v>915</v>
      </c>
      <c r="Q43" s="764">
        <v>40.582104228121928</v>
      </c>
      <c r="R43" s="764">
        <v>37.572517207472949</v>
      </c>
      <c r="S43" s="764">
        <v>33.692232055063904</v>
      </c>
      <c r="T43" s="764">
        <v>30.663716814159287</v>
      </c>
      <c r="U43" s="764">
        <v>29.149459193706978</v>
      </c>
      <c r="V43" s="764">
        <v>26.594149459193698</v>
      </c>
      <c r="W43" s="764">
        <v>23.092428711897735</v>
      </c>
      <c r="X43" s="764">
        <v>19.874631268436573</v>
      </c>
      <c r="Y43" s="764">
        <v>18.171091445427727</v>
      </c>
      <c r="Z43" s="764">
        <v>17.22468043264503</v>
      </c>
      <c r="AA43" s="764">
        <v>16.068166175024579</v>
      </c>
      <c r="AB43" s="764">
        <v>16.244198623402163</v>
      </c>
      <c r="AC43" s="764">
        <v>16.485533431661747</v>
      </c>
      <c r="AD43" s="764">
        <v>15.863741396263515</v>
      </c>
      <c r="AE43" s="764">
        <v>15.990087266470008</v>
      </c>
      <c r="AF43" s="764">
        <v>15.788028515240903</v>
      </c>
      <c r="AG43" s="764">
        <v>16.156182399213371</v>
      </c>
      <c r="AH43" s="764">
        <v>17.678957718780726</v>
      </c>
      <c r="AI43" s="764">
        <v>18.296964110127824</v>
      </c>
      <c r="AJ43" s="764">
        <v>19.366408554572267</v>
      </c>
      <c r="AK43" s="764">
        <v>19.673992133726642</v>
      </c>
      <c r="AL43" s="764">
        <v>19.963593903638152</v>
      </c>
      <c r="AM43" s="764">
        <v>19.973058013765975</v>
      </c>
      <c r="AN43" s="764">
        <v>20.294837758112092</v>
      </c>
      <c r="AO43" s="764">
        <v>20.337426253687312</v>
      </c>
      <c r="AP43" s="764">
        <v>19.427925270403144</v>
      </c>
      <c r="AQ43" s="764">
        <v>19.544333824975414</v>
      </c>
      <c r="AR43" s="764">
        <v>19.392908062930186</v>
      </c>
      <c r="AS43" s="764">
        <v>20.158554572271381</v>
      </c>
      <c r="AT43" s="764">
        <v>20.219124877089477</v>
      </c>
      <c r="AU43" s="764">
        <v>18.833579154375617</v>
      </c>
      <c r="AV43" s="764">
        <v>19.022861356932157</v>
      </c>
      <c r="AW43" s="765">
        <v>19.44136430678466</v>
      </c>
      <c r="AX43" s="755">
        <v>2.4792349726775242E-2</v>
      </c>
      <c r="AY43" s="755">
        <v>-4.8152518025340596E-3</v>
      </c>
      <c r="AZ43" s="755">
        <v>5.2824373756140503E-3</v>
      </c>
    </row>
    <row r="44" spans="1:52" x14ac:dyDescent="0.3">
      <c r="A44" s="3" t="s">
        <v>921</v>
      </c>
      <c r="B44" s="764">
        <v>187.50138643118737</v>
      </c>
      <c r="C44" s="764">
        <v>201.19373804836798</v>
      </c>
      <c r="D44" s="764">
        <v>209.71889644024799</v>
      </c>
      <c r="E44" s="764">
        <v>223.83276977791598</v>
      </c>
      <c r="F44" s="764">
        <v>246.850697435992</v>
      </c>
      <c r="G44" s="764">
        <v>274.00616863359375</v>
      </c>
      <c r="H44" s="764">
        <v>304.01946246684184</v>
      </c>
      <c r="I44" s="764">
        <v>327.74781999090789</v>
      </c>
      <c r="J44" s="764">
        <v>352.55697805637601</v>
      </c>
      <c r="K44" s="764">
        <v>385.14486953452405</v>
      </c>
      <c r="L44" s="764">
        <v>412.23877023846393</v>
      </c>
      <c r="M44" s="764">
        <v>440.75068886019591</v>
      </c>
      <c r="N44" s="764">
        <v>474.28297853492398</v>
      </c>
      <c r="O44" s="764">
        <v>507.43637228112397</v>
      </c>
      <c r="P44" s="764">
        <v>556.40867104336792</v>
      </c>
      <c r="Q44" s="764" t="s">
        <v>915</v>
      </c>
      <c r="R44" s="764" t="s">
        <v>915</v>
      </c>
      <c r="S44" s="764" t="s">
        <v>915</v>
      </c>
      <c r="T44" s="764" t="s">
        <v>915</v>
      </c>
      <c r="U44" s="764" t="s">
        <v>915</v>
      </c>
      <c r="V44" s="764" t="s">
        <v>915</v>
      </c>
      <c r="W44" s="764" t="s">
        <v>915</v>
      </c>
      <c r="X44" s="764" t="s">
        <v>915</v>
      </c>
      <c r="Y44" s="764" t="s">
        <v>915</v>
      </c>
      <c r="Z44" s="764" t="s">
        <v>915</v>
      </c>
      <c r="AA44" s="764" t="s">
        <v>915</v>
      </c>
      <c r="AB44" s="764" t="s">
        <v>915</v>
      </c>
      <c r="AC44" s="764" t="s">
        <v>915</v>
      </c>
      <c r="AD44" s="764" t="s">
        <v>915</v>
      </c>
      <c r="AE44" s="764" t="s">
        <v>915</v>
      </c>
      <c r="AF44" s="764" t="s">
        <v>915</v>
      </c>
      <c r="AG44" s="764" t="s">
        <v>915</v>
      </c>
      <c r="AH44" s="764" t="s">
        <v>915</v>
      </c>
      <c r="AI44" s="764" t="s">
        <v>915</v>
      </c>
      <c r="AJ44" s="764" t="s">
        <v>915</v>
      </c>
      <c r="AK44" s="764" t="s">
        <v>915</v>
      </c>
      <c r="AL44" s="764" t="s">
        <v>915</v>
      </c>
      <c r="AM44" s="764" t="s">
        <v>915</v>
      </c>
      <c r="AN44" s="764" t="s">
        <v>915</v>
      </c>
      <c r="AO44" s="764" t="s">
        <v>915</v>
      </c>
      <c r="AP44" s="764" t="s">
        <v>915</v>
      </c>
      <c r="AQ44" s="764" t="s">
        <v>915</v>
      </c>
      <c r="AR44" s="764" t="s">
        <v>915</v>
      </c>
      <c r="AS44" s="764" t="s">
        <v>915</v>
      </c>
      <c r="AT44" s="764" t="s">
        <v>915</v>
      </c>
      <c r="AU44" s="764" t="s">
        <v>915</v>
      </c>
      <c r="AV44" s="764" t="s">
        <v>915</v>
      </c>
      <c r="AW44" s="765" t="s">
        <v>915</v>
      </c>
      <c r="AX44" s="755" t="s">
        <v>915</v>
      </c>
      <c r="AY44" s="755" t="s">
        <v>915</v>
      </c>
      <c r="AZ44" s="755" t="s">
        <v>915</v>
      </c>
    </row>
    <row r="45" spans="1:52" x14ac:dyDescent="0.3">
      <c r="A45" s="3" t="s">
        <v>922</v>
      </c>
      <c r="B45" s="764" t="s">
        <v>915</v>
      </c>
      <c r="C45" s="764" t="s">
        <v>915</v>
      </c>
      <c r="D45" s="764" t="s">
        <v>915</v>
      </c>
      <c r="E45" s="764" t="s">
        <v>915</v>
      </c>
      <c r="F45" s="764" t="s">
        <v>915</v>
      </c>
      <c r="G45" s="764" t="s">
        <v>915</v>
      </c>
      <c r="H45" s="764" t="s">
        <v>915</v>
      </c>
      <c r="I45" s="764" t="s">
        <v>915</v>
      </c>
      <c r="J45" s="764" t="s">
        <v>915</v>
      </c>
      <c r="K45" s="764" t="s">
        <v>915</v>
      </c>
      <c r="L45" s="764" t="s">
        <v>915</v>
      </c>
      <c r="M45" s="764" t="s">
        <v>915</v>
      </c>
      <c r="N45" s="764" t="s">
        <v>915</v>
      </c>
      <c r="O45" s="764" t="s">
        <v>915</v>
      </c>
      <c r="P45" s="764" t="s">
        <v>915</v>
      </c>
      <c r="Q45" s="764">
        <v>32.736356932153392</v>
      </c>
      <c r="R45" s="764">
        <v>36.531465093411988</v>
      </c>
      <c r="S45" s="764">
        <v>37.667158308751226</v>
      </c>
      <c r="T45" s="764">
        <v>37.761799410029489</v>
      </c>
      <c r="U45" s="764">
        <v>38.897492625368727</v>
      </c>
      <c r="V45" s="764">
        <v>38.613569321533916</v>
      </c>
      <c r="W45" s="764">
        <v>39.637491396263513</v>
      </c>
      <c r="X45" s="764">
        <v>40.509230580137654</v>
      </c>
      <c r="Y45" s="764">
        <v>42.621241396263514</v>
      </c>
      <c r="Z45" s="764">
        <v>44.652617994100282</v>
      </c>
      <c r="AA45" s="764">
        <v>45.955825958702057</v>
      </c>
      <c r="AB45" s="764">
        <v>46.352372173058008</v>
      </c>
      <c r="AC45" s="764">
        <v>48.497885939036372</v>
      </c>
      <c r="AD45" s="764">
        <v>51.853859390363802</v>
      </c>
      <c r="AE45" s="764">
        <v>52.602470501474919</v>
      </c>
      <c r="AF45" s="764">
        <v>53.378527531956735</v>
      </c>
      <c r="AG45" s="764">
        <v>54.337241887905591</v>
      </c>
      <c r="AH45" s="764">
        <v>55.297849065880023</v>
      </c>
      <c r="AI45" s="764">
        <v>54.950516224188775</v>
      </c>
      <c r="AJ45" s="764">
        <v>56.656895280235972</v>
      </c>
      <c r="AK45" s="764">
        <v>56.500737463126832</v>
      </c>
      <c r="AL45" s="764">
        <v>59.235865290068816</v>
      </c>
      <c r="AM45" s="764">
        <v>60.854228121927228</v>
      </c>
      <c r="AN45" s="764">
        <v>60.413200589970486</v>
      </c>
      <c r="AO45" s="764">
        <v>58.117207472959677</v>
      </c>
      <c r="AP45" s="764">
        <v>56.890658800393304</v>
      </c>
      <c r="AQ45" s="764">
        <v>53.945427728613566</v>
      </c>
      <c r="AR45" s="764">
        <v>53.850786627335289</v>
      </c>
      <c r="AS45" s="764">
        <v>53.850786627335289</v>
      </c>
      <c r="AT45" s="764">
        <v>54.229351032448371</v>
      </c>
      <c r="AU45" s="764">
        <v>54.607915437561445</v>
      </c>
      <c r="AV45" s="764">
        <v>53.12403761061946</v>
      </c>
      <c r="AW45" s="765">
        <v>53.394237954768911</v>
      </c>
      <c r="AX45" s="755">
        <v>7.8323534677555706E-3</v>
      </c>
      <c r="AY45" s="755">
        <v>-1.0830689076613553E-2</v>
      </c>
      <c r="AZ45" s="755">
        <v>1.4507815077374534E-2</v>
      </c>
    </row>
    <row r="46" spans="1:52" x14ac:dyDescent="0.3">
      <c r="A46" s="3" t="s">
        <v>923</v>
      </c>
      <c r="B46" s="764">
        <v>0</v>
      </c>
      <c r="C46" s="764">
        <v>0</v>
      </c>
      <c r="D46" s="764">
        <v>0</v>
      </c>
      <c r="E46" s="764">
        <v>0</v>
      </c>
      <c r="F46" s="764">
        <v>0</v>
      </c>
      <c r="G46" s="764">
        <v>0</v>
      </c>
      <c r="H46" s="764">
        <v>0</v>
      </c>
      <c r="I46" s="764">
        <v>0</v>
      </c>
      <c r="J46" s="764">
        <v>0</v>
      </c>
      <c r="K46" s="764">
        <v>0</v>
      </c>
      <c r="L46" s="764">
        <v>0</v>
      </c>
      <c r="M46" s="764">
        <v>0</v>
      </c>
      <c r="N46" s="764">
        <v>0</v>
      </c>
      <c r="O46" s="764">
        <v>0</v>
      </c>
      <c r="P46" s="764">
        <v>0</v>
      </c>
      <c r="Q46" s="764">
        <v>0.62463126843657812</v>
      </c>
      <c r="R46" s="764">
        <v>0.68141592920353977</v>
      </c>
      <c r="S46" s="764">
        <v>0.68141592920353977</v>
      </c>
      <c r="T46" s="764">
        <v>0.58677482792527036</v>
      </c>
      <c r="U46" s="764">
        <v>0.58677482792527036</v>
      </c>
      <c r="V46" s="764">
        <v>0.48401440511307747</v>
      </c>
      <c r="W46" s="764">
        <v>0.45164665683382482</v>
      </c>
      <c r="X46" s="764">
        <v>0.43625383480825947</v>
      </c>
      <c r="Y46" s="764">
        <v>0.35649063421828897</v>
      </c>
      <c r="Z46" s="764">
        <v>0.34564414945919364</v>
      </c>
      <c r="AA46" s="764">
        <v>0.32105363815142562</v>
      </c>
      <c r="AB46" s="764">
        <v>0.30462195181907559</v>
      </c>
      <c r="AC46" s="764">
        <v>0.29143812684365766</v>
      </c>
      <c r="AD46" s="764">
        <v>0.28394705014749255</v>
      </c>
      <c r="AE46" s="764">
        <v>0.29872185349065872</v>
      </c>
      <c r="AF46" s="764">
        <v>0.31074134709931156</v>
      </c>
      <c r="AG46" s="764">
        <v>0.32073065388397237</v>
      </c>
      <c r="AH46" s="764">
        <v>0.29123443952802353</v>
      </c>
      <c r="AI46" s="764">
        <v>0.29633077679449349</v>
      </c>
      <c r="AJ46" s="764">
        <v>0.29329277286135685</v>
      </c>
      <c r="AK46" s="764">
        <v>0.26726647000983278</v>
      </c>
      <c r="AL46" s="764">
        <v>0.24455260570304813</v>
      </c>
      <c r="AM46" s="764">
        <v>0.22089233038348077</v>
      </c>
      <c r="AN46" s="764">
        <v>0.22382620452310714</v>
      </c>
      <c r="AO46" s="764">
        <v>0.22676007866273348</v>
      </c>
      <c r="AP46" s="764">
        <v>0.24493117010816118</v>
      </c>
      <c r="AQ46" s="764">
        <v>0.25325958702064894</v>
      </c>
      <c r="AR46" s="764">
        <v>0.24400288185945307</v>
      </c>
      <c r="AS46" s="764">
        <v>0.24937173058013762</v>
      </c>
      <c r="AT46" s="764">
        <v>0.2436016961651917</v>
      </c>
      <c r="AU46" s="764">
        <v>0.24661186701081608</v>
      </c>
      <c r="AV46" s="764">
        <v>0.23420790437561451</v>
      </c>
      <c r="AW46" s="765">
        <v>0.21930685226155355</v>
      </c>
      <c r="AX46" s="755">
        <v>-6.1064775342634547E-2</v>
      </c>
      <c r="AY46" s="755">
        <v>-4.3127971530482201E-3</v>
      </c>
      <c r="AZ46" s="755">
        <v>5.9588138714648437E-5</v>
      </c>
    </row>
    <row r="47" spans="1:52" x14ac:dyDescent="0.3">
      <c r="A47" s="756" t="s">
        <v>924</v>
      </c>
      <c r="B47" s="766">
        <v>187.50138643118737</v>
      </c>
      <c r="C47" s="766">
        <v>201.19373804836798</v>
      </c>
      <c r="D47" s="766">
        <v>209.71889644024799</v>
      </c>
      <c r="E47" s="766">
        <v>223.83276977791598</v>
      </c>
      <c r="F47" s="766">
        <v>246.850697435992</v>
      </c>
      <c r="G47" s="766">
        <v>274.00616863359375</v>
      </c>
      <c r="H47" s="766">
        <v>304.01946246684184</v>
      </c>
      <c r="I47" s="766">
        <v>327.74781999090789</v>
      </c>
      <c r="J47" s="766">
        <v>352.55697805637601</v>
      </c>
      <c r="K47" s="766">
        <v>385.14486953452405</v>
      </c>
      <c r="L47" s="766">
        <v>412.23877023846393</v>
      </c>
      <c r="M47" s="766">
        <v>440.75068886019591</v>
      </c>
      <c r="N47" s="766">
        <v>474.28297853492398</v>
      </c>
      <c r="O47" s="766">
        <v>507.43637228112397</v>
      </c>
      <c r="P47" s="766">
        <v>556.40867104336792</v>
      </c>
      <c r="Q47" s="766">
        <v>595.94721927790226</v>
      </c>
      <c r="R47" s="766">
        <v>635.76151414241781</v>
      </c>
      <c r="S47" s="766">
        <v>673.55964046825477</v>
      </c>
      <c r="T47" s="766">
        <v>712.68300750297374</v>
      </c>
      <c r="U47" s="766">
        <v>736.58557927219579</v>
      </c>
      <c r="V47" s="766">
        <v>764.12240657114046</v>
      </c>
      <c r="W47" s="766">
        <v>748.90841700319538</v>
      </c>
      <c r="X47" s="766">
        <v>723.49303120383468</v>
      </c>
      <c r="Y47" s="766">
        <v>703.46096784100268</v>
      </c>
      <c r="Z47" s="766">
        <v>661.72981419188773</v>
      </c>
      <c r="AA47" s="766">
        <v>644.65527409301865</v>
      </c>
      <c r="AB47" s="766">
        <v>655.58467736735486</v>
      </c>
      <c r="AC47" s="766">
        <v>615.32631962949847</v>
      </c>
      <c r="AD47" s="766">
        <v>631.20278648121916</v>
      </c>
      <c r="AE47" s="766">
        <v>645.645376995231</v>
      </c>
      <c r="AF47" s="766">
        <v>661.64696511607667</v>
      </c>
      <c r="AG47" s="766">
        <v>664.55054630673533</v>
      </c>
      <c r="AH47" s="766">
        <v>681.94291915055055</v>
      </c>
      <c r="AI47" s="766">
        <v>715.86807476626836</v>
      </c>
      <c r="AJ47" s="766">
        <v>731.71723715933865</v>
      </c>
      <c r="AK47" s="766">
        <v>745.71688491149462</v>
      </c>
      <c r="AL47" s="766">
        <v>769.17574427904174</v>
      </c>
      <c r="AM47" s="766">
        <v>777.43980774961449</v>
      </c>
      <c r="AN47" s="766">
        <v>795.6907503360502</v>
      </c>
      <c r="AO47" s="766">
        <v>687.83934711681388</v>
      </c>
      <c r="AP47" s="766">
        <v>755.92720148677461</v>
      </c>
      <c r="AQ47" s="766">
        <v>788.8853802471632</v>
      </c>
      <c r="AR47" s="766">
        <v>777.12356876876845</v>
      </c>
      <c r="AS47" s="766">
        <v>792.78741694795815</v>
      </c>
      <c r="AT47" s="766">
        <v>776.09355588021526</v>
      </c>
      <c r="AU47" s="766">
        <v>771.64514396830691</v>
      </c>
      <c r="AV47" s="766">
        <v>769.82783825944193</v>
      </c>
      <c r="AW47" s="766">
        <v>815.50944944411913</v>
      </c>
      <c r="AX47" s="758">
        <v>6.2234407095040245E-2</v>
      </c>
      <c r="AY47" s="758">
        <v>8.4745956097531661E-5</v>
      </c>
      <c r="AZ47" s="758">
        <v>0.22158309097714329</v>
      </c>
    </row>
    <row r="48" spans="1:52" x14ac:dyDescent="0.3">
      <c r="B48" s="764"/>
      <c r="C48" s="764"/>
      <c r="D48" s="764"/>
      <c r="E48" s="764"/>
      <c r="F48" s="764"/>
      <c r="G48" s="764"/>
      <c r="H48" s="764"/>
      <c r="I48" s="764"/>
      <c r="J48" s="764"/>
      <c r="K48" s="764"/>
      <c r="L48" s="764"/>
      <c r="M48" s="764"/>
      <c r="N48" s="764"/>
      <c r="O48" s="764"/>
      <c r="P48" s="764"/>
      <c r="Q48" s="764"/>
      <c r="R48" s="764"/>
      <c r="S48" s="764"/>
      <c r="T48" s="764"/>
      <c r="U48" s="764"/>
      <c r="V48" s="764"/>
      <c r="W48" s="764"/>
      <c r="X48" s="764"/>
      <c r="Y48" s="764"/>
      <c r="Z48" s="764"/>
      <c r="AA48" s="764"/>
      <c r="AB48" s="764"/>
      <c r="AC48" s="764"/>
      <c r="AD48" s="764"/>
      <c r="AE48" s="764"/>
      <c r="AF48" s="764"/>
      <c r="AG48" s="764"/>
      <c r="AH48" s="764"/>
      <c r="AI48" s="764"/>
      <c r="AJ48" s="764"/>
      <c r="AK48" s="764"/>
      <c r="AL48" s="764"/>
      <c r="AM48" s="764"/>
      <c r="AN48" s="764"/>
      <c r="AO48" s="764"/>
      <c r="AP48" s="764"/>
      <c r="AQ48" s="764"/>
      <c r="AR48" s="764"/>
      <c r="AS48" s="764"/>
      <c r="AT48" s="764"/>
      <c r="AU48" s="764"/>
      <c r="AV48" s="764"/>
      <c r="AW48" s="765"/>
      <c r="AX48" s="755"/>
      <c r="AY48" s="755"/>
      <c r="AZ48" s="755"/>
    </row>
    <row r="49" spans="1:52" x14ac:dyDescent="0.3">
      <c r="A49" s="3" t="s">
        <v>965</v>
      </c>
      <c r="B49" s="764">
        <v>0.65011700000000006</v>
      </c>
      <c r="C49" s="764">
        <v>0.94784499999999994</v>
      </c>
      <c r="D49" s="764">
        <v>1.182771</v>
      </c>
      <c r="E49" s="764">
        <v>1.677046</v>
      </c>
      <c r="F49" s="764">
        <v>2.0678139999999998</v>
      </c>
      <c r="G49" s="764">
        <v>2.1759729999999999</v>
      </c>
      <c r="H49" s="764">
        <v>2.280643</v>
      </c>
      <c r="I49" s="764">
        <v>2.4737010000000001</v>
      </c>
      <c r="J49" s="764">
        <v>2.7179310000000001</v>
      </c>
      <c r="K49" s="764">
        <v>3.0133330000000003</v>
      </c>
      <c r="L49" s="764">
        <v>2.445789</v>
      </c>
      <c r="M49" s="764">
        <v>2.2678499999999997</v>
      </c>
      <c r="N49" s="764">
        <v>3.5808770000000001</v>
      </c>
      <c r="O49" s="764">
        <v>3.7530009999999994</v>
      </c>
      <c r="P49" s="764">
        <v>3.8669750000000001</v>
      </c>
      <c r="Q49" s="764">
        <v>4.7206169999999998</v>
      </c>
      <c r="R49" s="764">
        <v>5.4044609999999995</v>
      </c>
      <c r="S49" s="764">
        <v>5.2509449999999998</v>
      </c>
      <c r="T49" s="764">
        <v>5.5777479999999997</v>
      </c>
      <c r="U49" s="764">
        <v>5.8022069999999992</v>
      </c>
      <c r="V49" s="764">
        <v>6.0766750000000007</v>
      </c>
      <c r="W49" s="764">
        <v>5.7929029999999999</v>
      </c>
      <c r="X49" s="764">
        <v>6.7686599999999997</v>
      </c>
      <c r="Y49" s="764">
        <v>7.2501419999999994</v>
      </c>
      <c r="Z49" s="764">
        <v>7.4222659999999996</v>
      </c>
      <c r="AA49" s="764">
        <v>7.5455440000000005</v>
      </c>
      <c r="AB49" s="764">
        <v>7.7700029999999991</v>
      </c>
      <c r="AC49" s="764">
        <v>8.342198999999999</v>
      </c>
      <c r="AD49" s="764">
        <v>8.7713459999999994</v>
      </c>
      <c r="AE49" s="764">
        <v>9.0760520000000007</v>
      </c>
      <c r="AF49" s="764">
        <v>9.174907000000001</v>
      </c>
      <c r="AG49" s="764">
        <v>9.5540450000000003</v>
      </c>
      <c r="AH49" s="764">
        <v>9.8994560000000007</v>
      </c>
      <c r="AI49" s="764">
        <v>10.077395000000001</v>
      </c>
      <c r="AJ49" s="764">
        <v>9.2698888888888877</v>
      </c>
      <c r="AK49" s="764">
        <v>10.174285193640374</v>
      </c>
      <c r="AL49" s="764">
        <v>10.763207161021802</v>
      </c>
      <c r="AM49" s="764">
        <v>11.19862633039665</v>
      </c>
      <c r="AN49" s="764">
        <v>12.017578274890425</v>
      </c>
      <c r="AO49" s="764">
        <v>12.133504400570626</v>
      </c>
      <c r="AP49" s="764">
        <v>12.428656067628898</v>
      </c>
      <c r="AQ49" s="764">
        <v>12.624079243642875</v>
      </c>
      <c r="AR49" s="764">
        <v>13.0518544917366</v>
      </c>
      <c r="AS49" s="764">
        <v>13.957829850442501</v>
      </c>
      <c r="AT49" s="764">
        <v>14.696524791140625</v>
      </c>
      <c r="AU49" s="764">
        <v>14.757109222656561</v>
      </c>
      <c r="AV49" s="764">
        <v>14.681733480841611</v>
      </c>
      <c r="AW49" s="765">
        <v>15.076213302958768</v>
      </c>
      <c r="AX49" s="755">
        <v>2.9674402025566815E-2</v>
      </c>
      <c r="AY49" s="755">
        <v>3.1534039219477616E-2</v>
      </c>
      <c r="AZ49" s="755">
        <v>4.0963767448402083E-3</v>
      </c>
    </row>
    <row r="50" spans="1:52" x14ac:dyDescent="0.3">
      <c r="A50" s="3" t="s">
        <v>612</v>
      </c>
      <c r="B50" s="764">
        <v>3.6453383082117412</v>
      </c>
      <c r="C50" s="764">
        <v>8.8169229512724403</v>
      </c>
      <c r="D50" s="764">
        <v>11.889283117956092</v>
      </c>
      <c r="E50" s="764">
        <v>13.138332352918717</v>
      </c>
      <c r="F50" s="764">
        <v>13.632534781861525</v>
      </c>
      <c r="G50" s="764">
        <v>14.201783867213202</v>
      </c>
      <c r="H50" s="764">
        <v>14.468668399301322</v>
      </c>
      <c r="I50" s="764">
        <v>14.692509429936919</v>
      </c>
      <c r="J50" s="764">
        <v>9.2038483161300437</v>
      </c>
      <c r="K50" s="764">
        <v>8.8650676884823021</v>
      </c>
      <c r="L50" s="764">
        <v>4.7298814301779553</v>
      </c>
      <c r="M50" s="764">
        <v>5.1393541058402752</v>
      </c>
      <c r="N50" s="764">
        <v>7.038502852114183</v>
      </c>
      <c r="O50" s="764">
        <v>8.0440564651674809</v>
      </c>
      <c r="P50" s="764">
        <v>9.3638840407016737</v>
      </c>
      <c r="Q50" s="764">
        <v>10.101790900433965</v>
      </c>
      <c r="R50" s="764">
        <v>9.7044918877396853</v>
      </c>
      <c r="S50" s="764">
        <v>11.880243984756166</v>
      </c>
      <c r="T50" s="764">
        <v>12.897782579810334</v>
      </c>
      <c r="U50" s="764">
        <v>16.286482500000002</v>
      </c>
      <c r="V50" s="764">
        <v>25.777942500000005</v>
      </c>
      <c r="W50" s="764">
        <v>30.451767499999995</v>
      </c>
      <c r="X50" s="764">
        <v>32.229593999999999</v>
      </c>
      <c r="Y50" s="764">
        <v>17.221247500000004</v>
      </c>
      <c r="Z50" s="764">
        <v>27.356257250000013</v>
      </c>
      <c r="AA50" s="764">
        <v>33.234491000000006</v>
      </c>
      <c r="AB50" s="764">
        <v>39.086494200000004</v>
      </c>
      <c r="AC50" s="764">
        <v>41.068540750000004</v>
      </c>
      <c r="AD50" s="764">
        <v>46.37872500000001</v>
      </c>
      <c r="AE50" s="764">
        <v>55.251802000000005</v>
      </c>
      <c r="AF50" s="764">
        <v>58.752314700000021</v>
      </c>
      <c r="AG50" s="764">
        <v>65.289740000000009</v>
      </c>
      <c r="AH50" s="764">
        <v>77.639423750000006</v>
      </c>
      <c r="AI50" s="764">
        <v>81.436007749999987</v>
      </c>
      <c r="AJ50" s="764">
        <v>94.943913600000002</v>
      </c>
      <c r="AK50" s="764">
        <v>100.755256</v>
      </c>
      <c r="AL50" s="764">
        <v>109.79154750000002</v>
      </c>
      <c r="AM50" s="764">
        <v>123.07486350000001</v>
      </c>
      <c r="AN50" s="764">
        <v>128.86597399999999</v>
      </c>
      <c r="AO50" s="764">
        <v>141.555926</v>
      </c>
      <c r="AP50" s="764">
        <v>150.08100250000001</v>
      </c>
      <c r="AQ50" s="764">
        <v>157.46052400000002</v>
      </c>
      <c r="AR50" s="764">
        <v>163.66513750000001</v>
      </c>
      <c r="AS50" s="764">
        <v>164.28283100000002</v>
      </c>
      <c r="AT50" s="764">
        <v>183.05102100000002</v>
      </c>
      <c r="AU50" s="764">
        <v>191.41544400000006</v>
      </c>
      <c r="AV50" s="764">
        <v>203.15779527205947</v>
      </c>
      <c r="AW50" s="765">
        <v>223.89188141694677</v>
      </c>
      <c r="AX50" s="755">
        <v>0.10507011344684436</v>
      </c>
      <c r="AY50" s="755">
        <v>6.3472975944721233E-2</v>
      </c>
      <c r="AZ50" s="755">
        <v>6.0833942712584778E-2</v>
      </c>
    </row>
    <row r="51" spans="1:52" x14ac:dyDescent="0.3">
      <c r="A51" s="3" t="s">
        <v>613</v>
      </c>
      <c r="B51" s="764">
        <v>0.74099999999999988</v>
      </c>
      <c r="C51" s="764">
        <v>0.87875000000000003</v>
      </c>
      <c r="D51" s="764">
        <v>0.88824999999999998</v>
      </c>
      <c r="E51" s="764">
        <v>0.86450000000000005</v>
      </c>
      <c r="F51" s="764">
        <v>0.79419999999999991</v>
      </c>
      <c r="G51" s="764">
        <v>1.2302499999999998</v>
      </c>
      <c r="H51" s="764">
        <v>1.7147499999999998</v>
      </c>
      <c r="I51" s="764">
        <v>1.1191</v>
      </c>
      <c r="J51" s="764">
        <v>1.15995</v>
      </c>
      <c r="K51" s="764">
        <v>1.6634499999999999</v>
      </c>
      <c r="L51" s="764">
        <v>1.21695</v>
      </c>
      <c r="M51" s="764">
        <v>0.58899999999999997</v>
      </c>
      <c r="N51" s="764">
        <v>0.64600000000000013</v>
      </c>
      <c r="O51" s="764">
        <v>0.44649999999999995</v>
      </c>
      <c r="P51" s="764">
        <v>0.5605</v>
      </c>
      <c r="Q51" s="764">
        <v>0.80749999999999988</v>
      </c>
      <c r="R51" s="764">
        <v>1.4724999999999999</v>
      </c>
      <c r="S51" s="764">
        <v>3.5624999999999996</v>
      </c>
      <c r="T51" s="764">
        <v>5.32</v>
      </c>
      <c r="U51" s="764">
        <v>6.1274999999999995</v>
      </c>
      <c r="V51" s="764">
        <v>3.7809999999999997</v>
      </c>
      <c r="W51" s="764">
        <v>1.653</v>
      </c>
      <c r="X51" s="764">
        <v>2.1564999999999999</v>
      </c>
      <c r="Y51" s="764">
        <v>2.4225000000000003</v>
      </c>
      <c r="Z51" s="764">
        <v>3.0114999999999998</v>
      </c>
      <c r="AA51" s="764">
        <v>3.0114999999999998</v>
      </c>
      <c r="AB51" s="764">
        <v>3.0779999999999998</v>
      </c>
      <c r="AC51" s="764">
        <v>2.8975</v>
      </c>
      <c r="AD51" s="764">
        <v>2.8024999999999998</v>
      </c>
      <c r="AE51" s="764">
        <v>3.0209999999999999</v>
      </c>
      <c r="AF51" s="764">
        <v>2.9925000000000002</v>
      </c>
      <c r="AG51" s="764">
        <v>2.6219999999999999</v>
      </c>
      <c r="AH51" s="764">
        <v>2.242</v>
      </c>
      <c r="AI51" s="764">
        <v>1.4819999999999998</v>
      </c>
      <c r="AJ51" s="764">
        <v>0.94999999999999984</v>
      </c>
      <c r="AK51" s="764">
        <v>1.3774999999999997</v>
      </c>
      <c r="AL51" s="764">
        <v>1.3774999999999997</v>
      </c>
      <c r="AM51" s="764">
        <v>4.5429570000000004</v>
      </c>
      <c r="AN51" s="764">
        <v>6.4576249999999993</v>
      </c>
      <c r="AO51" s="764">
        <v>6.8527299999999993</v>
      </c>
      <c r="AP51" s="764">
        <v>7.1352600000000006</v>
      </c>
      <c r="AQ51" s="764">
        <v>6.30192</v>
      </c>
      <c r="AR51" s="764">
        <v>6.3413450000000005</v>
      </c>
      <c r="AS51" s="764">
        <v>7.0726550000000001</v>
      </c>
      <c r="AT51" s="764">
        <v>7.5308343000000013</v>
      </c>
      <c r="AU51" s="764">
        <v>7.3010967500000001</v>
      </c>
      <c r="AV51" s="764">
        <v>9.8955780999999998</v>
      </c>
      <c r="AW51" s="765">
        <v>10.39168639038942</v>
      </c>
      <c r="AX51" s="755">
        <v>5.3003560868819299E-2</v>
      </c>
      <c r="AY51" s="755">
        <v>0.21796541487825905</v>
      </c>
      <c r="AZ51" s="755">
        <v>2.8235380870413598E-3</v>
      </c>
    </row>
    <row r="52" spans="1:52" x14ac:dyDescent="0.3">
      <c r="A52" s="3" t="s">
        <v>614</v>
      </c>
      <c r="B52" s="764">
        <v>1.9351499999999997</v>
      </c>
      <c r="C52" s="764">
        <v>1.9987999999999999</v>
      </c>
      <c r="D52" s="764">
        <v>2.3626499999999999</v>
      </c>
      <c r="E52" s="764">
        <v>2.6467000000000001</v>
      </c>
      <c r="F52" s="764">
        <v>2.7844500000000001</v>
      </c>
      <c r="G52" s="764">
        <v>3.0513999999999997</v>
      </c>
      <c r="H52" s="764">
        <v>3.6707999999999998</v>
      </c>
      <c r="I52" s="764">
        <v>4.0023499999999999</v>
      </c>
      <c r="J52" s="764">
        <v>4.4849499999999995</v>
      </c>
      <c r="K52" s="764">
        <v>5.9384499999999996</v>
      </c>
      <c r="L52" s="764">
        <v>3.8674499999999989</v>
      </c>
      <c r="M52" s="764">
        <v>4.4497999999999998</v>
      </c>
      <c r="N52" s="764">
        <v>3.49125</v>
      </c>
      <c r="O52" s="764">
        <v>3.8332499999999996</v>
      </c>
      <c r="P52" s="764">
        <v>4.1571999999999996</v>
      </c>
      <c r="Q52" s="764">
        <v>3.99</v>
      </c>
      <c r="R52" s="764">
        <v>5.4435000000000002</v>
      </c>
      <c r="S52" s="764">
        <v>4.5409999999999995</v>
      </c>
      <c r="T52" s="764">
        <v>6.4979999999999993</v>
      </c>
      <c r="U52" s="764">
        <v>7.7519999999999998</v>
      </c>
      <c r="V52" s="764">
        <v>3.9805000000000006</v>
      </c>
      <c r="W52" s="764">
        <v>0.47499999999999992</v>
      </c>
      <c r="X52" s="764">
        <v>2.4889999999999999</v>
      </c>
      <c r="Y52" s="764">
        <v>5.149</v>
      </c>
      <c r="Z52" s="764">
        <v>5.6715</v>
      </c>
      <c r="AA52" s="764">
        <v>8.8141000000000016</v>
      </c>
      <c r="AB52" s="764">
        <v>8.8369</v>
      </c>
      <c r="AC52" s="764">
        <v>8.8064999999999998</v>
      </c>
      <c r="AD52" s="764">
        <v>9.016449999999999</v>
      </c>
      <c r="AE52" s="764">
        <v>8.2536000000000005</v>
      </c>
      <c r="AF52" s="764">
        <v>9.1199999999999974</v>
      </c>
      <c r="AG52" s="764">
        <v>9.0249999999999986</v>
      </c>
      <c r="AH52" s="764">
        <v>8.2744999999999997</v>
      </c>
      <c r="AI52" s="764">
        <v>9.5</v>
      </c>
      <c r="AJ52" s="764">
        <v>10.355</v>
      </c>
      <c r="AK52" s="764">
        <v>11.685</v>
      </c>
      <c r="AL52" s="764">
        <v>11.789499999999999</v>
      </c>
      <c r="AM52" s="764">
        <v>10.696999999999999</v>
      </c>
      <c r="AN52" s="764">
        <v>12.065</v>
      </c>
      <c r="AO52" s="764">
        <v>10.91455</v>
      </c>
      <c r="AP52" s="764">
        <v>11.14635</v>
      </c>
      <c r="AQ52" s="764">
        <v>12.856349999999999</v>
      </c>
      <c r="AR52" s="764">
        <v>14.739249999999998</v>
      </c>
      <c r="AS52" s="764">
        <v>15.495638600962902</v>
      </c>
      <c r="AT52" s="764">
        <v>14.277337265647089</v>
      </c>
      <c r="AU52" s="764">
        <v>16.063549999999999</v>
      </c>
      <c r="AV52" s="764">
        <v>16.426449999999999</v>
      </c>
      <c r="AW52" s="765">
        <v>17.373129571913289</v>
      </c>
      <c r="AX52" s="755">
        <v>6.0521119234506093E-2</v>
      </c>
      <c r="AY52" s="755">
        <v>3.3724555812741031E-2</v>
      </c>
      <c r="AZ52" s="755">
        <v>4.7204747328372255E-3</v>
      </c>
    </row>
    <row r="53" spans="1:52" x14ac:dyDescent="0.3">
      <c r="A53" s="3" t="s">
        <v>925</v>
      </c>
      <c r="B53" s="764">
        <v>0</v>
      </c>
      <c r="C53" s="764">
        <v>0</v>
      </c>
      <c r="D53" s="764">
        <v>0</v>
      </c>
      <c r="E53" s="764">
        <v>0</v>
      </c>
      <c r="F53" s="764">
        <v>0</v>
      </c>
      <c r="G53" s="764">
        <v>0</v>
      </c>
      <c r="H53" s="764">
        <v>0</v>
      </c>
      <c r="I53" s="764">
        <v>0</v>
      </c>
      <c r="J53" s="764">
        <v>0.30254250000000005</v>
      </c>
      <c r="K53" s="764">
        <v>0.50895000000000001</v>
      </c>
      <c r="L53" s="764">
        <v>0.64608374999999996</v>
      </c>
      <c r="M53" s="764">
        <v>0.76154000000000011</v>
      </c>
      <c r="N53" s="764">
        <v>0.83316999999999997</v>
      </c>
      <c r="O53" s="764">
        <v>1.0348649999999999</v>
      </c>
      <c r="P53" s="764">
        <v>1.3006500000000003</v>
      </c>
      <c r="Q53" s="764">
        <v>1.6559725000000001</v>
      </c>
      <c r="R53" s="764">
        <v>1.9358949999999999</v>
      </c>
      <c r="S53" s="764">
        <v>2.1686925000000001</v>
      </c>
      <c r="T53" s="764">
        <v>2.1823587500000001</v>
      </c>
      <c r="U53" s="764">
        <v>2.2648275</v>
      </c>
      <c r="V53" s="764">
        <v>2.4476724999999999</v>
      </c>
      <c r="W53" s="764">
        <v>2.4816025000000002</v>
      </c>
      <c r="X53" s="764">
        <v>2.7125149999999998</v>
      </c>
      <c r="Y53" s="764">
        <v>2.6031850000000003</v>
      </c>
      <c r="Z53" s="764">
        <v>2.7257100000000003</v>
      </c>
      <c r="AA53" s="764">
        <v>3.8180675000000006</v>
      </c>
      <c r="AB53" s="764">
        <v>4.1281499999999998</v>
      </c>
      <c r="AC53" s="764">
        <v>4.6955349999999996</v>
      </c>
      <c r="AD53" s="764">
        <v>4.8755525000000004</v>
      </c>
      <c r="AE53" s="764">
        <v>5.138510000000001</v>
      </c>
      <c r="AF53" s="764">
        <v>10.321107860151063</v>
      </c>
      <c r="AG53" s="764">
        <v>15.424640981431502</v>
      </c>
      <c r="AH53" s="764">
        <v>16.644097914794997</v>
      </c>
      <c r="AI53" s="764">
        <v>18.335489912341874</v>
      </c>
      <c r="AJ53" s="764">
        <v>18.657536944476863</v>
      </c>
      <c r="AK53" s="764">
        <v>20.849398832530124</v>
      </c>
      <c r="AL53" s="764">
        <v>24.291458277352501</v>
      </c>
      <c r="AM53" s="764">
        <v>24.606517567783126</v>
      </c>
      <c r="AN53" s="764">
        <v>24.13631564425544</v>
      </c>
      <c r="AO53" s="764">
        <v>23.913970415892312</v>
      </c>
      <c r="AP53" s="764">
        <v>25.69776098279057</v>
      </c>
      <c r="AQ53" s="764">
        <v>27.127878269831051</v>
      </c>
      <c r="AR53" s="764">
        <v>28.321993010719723</v>
      </c>
      <c r="AS53" s="764">
        <v>30.78590211771693</v>
      </c>
      <c r="AT53" s="764">
        <v>29.349079754575701</v>
      </c>
      <c r="AU53" s="764">
        <v>30.747117882916498</v>
      </c>
      <c r="AV53" s="764">
        <v>31.44818552076045</v>
      </c>
      <c r="AW53" s="765">
        <v>32.257882427874996</v>
      </c>
      <c r="AX53" s="755">
        <v>2.8549602561596776E-2</v>
      </c>
      <c r="AY53" s="755">
        <v>2.6157917919587215E-2</v>
      </c>
      <c r="AZ53" s="755">
        <v>8.764829520513856E-3</v>
      </c>
    </row>
    <row r="54" spans="1:52" x14ac:dyDescent="0.3">
      <c r="A54" s="3" t="s">
        <v>615</v>
      </c>
      <c r="B54" s="764">
        <v>1.0401750000000001</v>
      </c>
      <c r="C54" s="764">
        <v>1.0401750000000001</v>
      </c>
      <c r="D54" s="764">
        <v>1.141605</v>
      </c>
      <c r="E54" s="764">
        <v>1.6353000000000002</v>
      </c>
      <c r="F54" s="764">
        <v>1.3434299999999999</v>
      </c>
      <c r="G54" s="764">
        <v>2.0731050000000004</v>
      </c>
      <c r="H54" s="764">
        <v>1.13229</v>
      </c>
      <c r="I54" s="764">
        <v>1.6052849999999999</v>
      </c>
      <c r="J54" s="764">
        <v>1.5307650000000004</v>
      </c>
      <c r="K54" s="764">
        <v>4.5146699999999997</v>
      </c>
      <c r="L54" s="764">
        <v>4.9069349999999998</v>
      </c>
      <c r="M54" s="764">
        <v>4.4743050000000011</v>
      </c>
      <c r="N54" s="764">
        <v>5.2319249999999995</v>
      </c>
      <c r="O54" s="764">
        <v>5.4182249999999996</v>
      </c>
      <c r="P54" s="764">
        <v>6.1375499999999992</v>
      </c>
      <c r="Q54" s="764">
        <v>5.6510999999999996</v>
      </c>
      <c r="R54" s="764">
        <v>6.0030000000000001</v>
      </c>
      <c r="S54" s="764">
        <v>5.8063500000000001</v>
      </c>
      <c r="T54" s="764">
        <v>6.065100000000001</v>
      </c>
      <c r="U54" s="764">
        <v>6.4170000000000007</v>
      </c>
      <c r="V54" s="764">
        <v>6.5204999999999993</v>
      </c>
      <c r="W54" s="764">
        <v>7.8970499999999992</v>
      </c>
      <c r="X54" s="764">
        <v>8.2291892530032005</v>
      </c>
      <c r="Y54" s="764">
        <v>8.5753761955978831</v>
      </c>
      <c r="Z54" s="764">
        <v>8.9440472618346529</v>
      </c>
      <c r="AA54" s="764">
        <v>9.3127183280714192</v>
      </c>
      <c r="AB54" s="764">
        <v>9.7079410718821713</v>
      </c>
      <c r="AC54" s="764">
        <v>13.416724727806772</v>
      </c>
      <c r="AD54" s="764">
        <v>16.236107067593565</v>
      </c>
      <c r="AE54" s="764">
        <v>21.373712289205301</v>
      </c>
      <c r="AF54" s="764">
        <v>25.771500000000003</v>
      </c>
      <c r="AG54" s="764">
        <v>27.945</v>
      </c>
      <c r="AH54" s="764">
        <v>30.532499999999995</v>
      </c>
      <c r="AI54" s="764">
        <v>32.499000000000002</v>
      </c>
      <c r="AJ54" s="764">
        <v>40.540950000000009</v>
      </c>
      <c r="AK54" s="764">
        <v>47.403000000000006</v>
      </c>
      <c r="AL54" s="764">
        <v>52.474500000000006</v>
      </c>
      <c r="AM54" s="764">
        <v>65.411999999999992</v>
      </c>
      <c r="AN54" s="764">
        <v>79.675335000000004</v>
      </c>
      <c r="AO54" s="764">
        <v>92.4255</v>
      </c>
      <c r="AP54" s="764">
        <v>123.87300466654656</v>
      </c>
      <c r="AQ54" s="764">
        <v>150.35589900000002</v>
      </c>
      <c r="AR54" s="764">
        <v>162.54632979000002</v>
      </c>
      <c r="AS54" s="764">
        <v>167.6756848009199</v>
      </c>
      <c r="AT54" s="764">
        <v>169.09120632928568</v>
      </c>
      <c r="AU54" s="764">
        <v>175.24305599850476</v>
      </c>
      <c r="AV54" s="764">
        <v>177.01025445093805</v>
      </c>
      <c r="AW54" s="765">
        <v>175.71240360737571</v>
      </c>
      <c r="AX54" s="755">
        <v>-4.6198583898579004E-3</v>
      </c>
      <c r="AY54" s="755">
        <v>0.12928877603990241</v>
      </c>
      <c r="AZ54" s="755">
        <v>4.7743036626841165E-2</v>
      </c>
    </row>
    <row r="55" spans="1:52" x14ac:dyDescent="0.3">
      <c r="A55" s="3" t="s">
        <v>616</v>
      </c>
      <c r="B55" s="764">
        <v>1.5361500000000001</v>
      </c>
      <c r="C55" s="764">
        <v>1.2815499999999997</v>
      </c>
      <c r="D55" s="764">
        <v>1.45255</v>
      </c>
      <c r="E55" s="764">
        <v>1.71</v>
      </c>
      <c r="F55" s="764">
        <v>2.1640999999999995</v>
      </c>
      <c r="G55" s="764">
        <v>2.5745</v>
      </c>
      <c r="H55" s="764">
        <v>2.7792249999999998</v>
      </c>
      <c r="I55" s="764">
        <v>3.9111499999999997</v>
      </c>
      <c r="J55" s="764">
        <v>5.3931500000000003</v>
      </c>
      <c r="K55" s="764">
        <v>6.6214999999999993</v>
      </c>
      <c r="L55" s="764">
        <v>9.2378</v>
      </c>
      <c r="M55" s="764">
        <v>10.771100000000001</v>
      </c>
      <c r="N55" s="764">
        <v>11.416149999999998</v>
      </c>
      <c r="O55" s="764">
        <v>11.1473</v>
      </c>
      <c r="P55" s="764">
        <v>17.29</v>
      </c>
      <c r="Q55" s="764">
        <v>17.86</v>
      </c>
      <c r="R55" s="764">
        <v>23.94</v>
      </c>
      <c r="S55" s="764">
        <v>25.46</v>
      </c>
      <c r="T55" s="764">
        <v>27.645</v>
      </c>
      <c r="U55" s="764">
        <v>28.31</v>
      </c>
      <c r="V55" s="764">
        <v>31.844000000000005</v>
      </c>
      <c r="W55" s="764">
        <v>33.411500000000004</v>
      </c>
      <c r="X55" s="764">
        <v>36.337499999999999</v>
      </c>
      <c r="Y55" s="764">
        <v>38.037999999999997</v>
      </c>
      <c r="Z55" s="764">
        <v>40.631500000000003</v>
      </c>
      <c r="AA55" s="764">
        <v>40.783499999999997</v>
      </c>
      <c r="AB55" s="764">
        <v>42.189499999999995</v>
      </c>
      <c r="AC55" s="764">
        <v>43.073</v>
      </c>
      <c r="AD55" s="764">
        <v>44.479000000000006</v>
      </c>
      <c r="AE55" s="764">
        <v>43.89</v>
      </c>
      <c r="AF55" s="764">
        <v>47.319499999999998</v>
      </c>
      <c r="AG55" s="764">
        <v>51.005499999999991</v>
      </c>
      <c r="AH55" s="764">
        <v>53.864999999999995</v>
      </c>
      <c r="AI55" s="764">
        <v>57.056999999999995</v>
      </c>
      <c r="AJ55" s="764">
        <v>62.396000000000001</v>
      </c>
      <c r="AK55" s="764">
        <v>67.677999999999997</v>
      </c>
      <c r="AL55" s="764">
        <v>69.787949999999995</v>
      </c>
      <c r="AM55" s="764">
        <v>70.698999999999998</v>
      </c>
      <c r="AN55" s="764">
        <v>76.417999999999992</v>
      </c>
      <c r="AO55" s="764">
        <v>74.527499999999989</v>
      </c>
      <c r="AP55" s="764">
        <v>83.277000000000001</v>
      </c>
      <c r="AQ55" s="764">
        <v>87.646999999999991</v>
      </c>
      <c r="AR55" s="764">
        <v>94.363500000000002</v>
      </c>
      <c r="AS55" s="764">
        <v>95.028499999999994</v>
      </c>
      <c r="AT55" s="764">
        <v>97.260999999999996</v>
      </c>
      <c r="AU55" s="764">
        <v>99.227499999999992</v>
      </c>
      <c r="AV55" s="764">
        <v>105.31699999999998</v>
      </c>
      <c r="AW55" s="765">
        <v>111.42538600000002</v>
      </c>
      <c r="AX55" s="755">
        <v>6.0890710382513369E-2</v>
      </c>
      <c r="AY55" s="755">
        <v>4.2009800840770994E-2</v>
      </c>
      <c r="AZ55" s="755">
        <v>3.0275530786345765E-2</v>
      </c>
    </row>
    <row r="56" spans="1:52" x14ac:dyDescent="0.3">
      <c r="A56" s="3" t="s">
        <v>926</v>
      </c>
      <c r="B56" s="764">
        <v>0</v>
      </c>
      <c r="C56" s="764">
        <v>0</v>
      </c>
      <c r="D56" s="764">
        <v>0</v>
      </c>
      <c r="E56" s="764">
        <v>0</v>
      </c>
      <c r="F56" s="764">
        <v>0</v>
      </c>
      <c r="G56" s="764">
        <v>0</v>
      </c>
      <c r="H56" s="764">
        <v>3.1399999999999949E-2</v>
      </c>
      <c r="I56" s="764">
        <v>3.4949999999999946E-2</v>
      </c>
      <c r="J56" s="764">
        <v>3.3699999999999945E-2</v>
      </c>
      <c r="K56" s="764">
        <v>3.4749999999999941E-2</v>
      </c>
      <c r="L56" s="764">
        <v>4.6774999999999928E-2</v>
      </c>
      <c r="M56" s="764">
        <v>4.7199999999999923E-2</v>
      </c>
      <c r="N56" s="764">
        <v>4.9249999999999919E-2</v>
      </c>
      <c r="O56" s="764">
        <v>7.4749999999999886E-2</v>
      </c>
      <c r="P56" s="764">
        <v>0.12624999999999981</v>
      </c>
      <c r="Q56" s="764">
        <v>0.14999999999999977</v>
      </c>
      <c r="R56" s="764">
        <v>0.37927499999999936</v>
      </c>
      <c r="S56" s="764">
        <v>0.3734249999999994</v>
      </c>
      <c r="T56" s="764">
        <v>0.88334999999999853</v>
      </c>
      <c r="U56" s="764">
        <v>1.4459249999999977</v>
      </c>
      <c r="V56" s="764">
        <v>1.5921749999999975</v>
      </c>
      <c r="W56" s="764">
        <v>1.8583499999999968</v>
      </c>
      <c r="X56" s="764">
        <v>1.9221999999999968</v>
      </c>
      <c r="Y56" s="764">
        <v>1.9024999999999967</v>
      </c>
      <c r="Z56" s="764">
        <v>2.0622999999999965</v>
      </c>
      <c r="AA56" s="764">
        <v>2.6005499999999957</v>
      </c>
      <c r="AB56" s="764">
        <v>2.7709499999999956</v>
      </c>
      <c r="AC56" s="764">
        <v>4.2977999999999925</v>
      </c>
      <c r="AD56" s="764">
        <v>5.4193749999999907</v>
      </c>
      <c r="AE56" s="764">
        <v>5.3722499999999922</v>
      </c>
      <c r="AF56" s="764">
        <v>5.3722499999999922</v>
      </c>
      <c r="AG56" s="764">
        <v>5.5041999999999911</v>
      </c>
      <c r="AH56" s="764">
        <v>6.0885499999999899</v>
      </c>
      <c r="AI56" s="764">
        <v>6.4561249999999895</v>
      </c>
      <c r="AJ56" s="764">
        <v>5.9377499999999905</v>
      </c>
      <c r="AK56" s="764">
        <v>5.7492499999999911</v>
      </c>
      <c r="AL56" s="764">
        <v>5.8906249999999902</v>
      </c>
      <c r="AM56" s="764">
        <v>5.6549999999999905</v>
      </c>
      <c r="AN56" s="764">
        <v>5.5607499999999908</v>
      </c>
      <c r="AO56" s="764">
        <v>6.1356749999999902</v>
      </c>
      <c r="AP56" s="764">
        <v>8.4259499999999861</v>
      </c>
      <c r="AQ56" s="764">
        <v>7.4174749999999881</v>
      </c>
      <c r="AR56" s="764">
        <v>6.0791249999999906</v>
      </c>
      <c r="AS56" s="764">
        <v>4.9952499999999906</v>
      </c>
      <c r="AT56" s="764">
        <v>4.6182499999999918</v>
      </c>
      <c r="AU56" s="764">
        <v>4.0527499999999934</v>
      </c>
      <c r="AV56" s="764">
        <v>3.6474749999999942</v>
      </c>
      <c r="AW56" s="765">
        <v>3.1068253424999952</v>
      </c>
      <c r="AX56" s="755">
        <v>-0.14589848146129425</v>
      </c>
      <c r="AY56" s="755">
        <v>-4.6802060733350803E-2</v>
      </c>
      <c r="AZ56" s="755">
        <v>8.4415939384457515E-4</v>
      </c>
    </row>
    <row r="57" spans="1:52" x14ac:dyDescent="0.3">
      <c r="A57" s="3" t="s">
        <v>617</v>
      </c>
      <c r="B57" s="764">
        <v>0.81217499999999987</v>
      </c>
      <c r="C57" s="764">
        <v>1.4342249999999999</v>
      </c>
      <c r="D57" s="764">
        <v>1.4556750000000001</v>
      </c>
      <c r="E57" s="764">
        <v>1.6921124999999999</v>
      </c>
      <c r="F57" s="764">
        <v>1.6945499999999998</v>
      </c>
      <c r="G57" s="764">
        <v>1.6184999999999998</v>
      </c>
      <c r="H57" s="764">
        <v>1.8914999999999995</v>
      </c>
      <c r="I57" s="764">
        <v>3.8024999999999998</v>
      </c>
      <c r="J57" s="764">
        <v>5.5672499999999996</v>
      </c>
      <c r="K57" s="764">
        <v>5.9572499999999993</v>
      </c>
      <c r="L57" s="764">
        <v>7.331999999999999</v>
      </c>
      <c r="M57" s="764">
        <v>8.6385000000000005</v>
      </c>
      <c r="N57" s="764">
        <v>9.2624999999999993</v>
      </c>
      <c r="O57" s="764">
        <v>8.150999999999998</v>
      </c>
      <c r="P57" s="764">
        <v>10.724999999999998</v>
      </c>
      <c r="Q57" s="764">
        <v>12.899249999999999</v>
      </c>
      <c r="R57" s="764">
        <v>14.839499999999997</v>
      </c>
      <c r="S57" s="764">
        <v>16.467749999999999</v>
      </c>
      <c r="T57" s="764">
        <v>16.925999999999995</v>
      </c>
      <c r="U57" s="764">
        <v>19.870499999999996</v>
      </c>
      <c r="V57" s="764">
        <v>19.607250000000001</v>
      </c>
      <c r="W57" s="764">
        <v>23.214749999999995</v>
      </c>
      <c r="X57" s="764">
        <v>21.615749999999998</v>
      </c>
      <c r="Y57" s="764">
        <v>22.41525</v>
      </c>
      <c r="Z57" s="764">
        <v>25.174499999999998</v>
      </c>
      <c r="AA57" s="764">
        <v>30.536999999999999</v>
      </c>
      <c r="AB57" s="764">
        <v>32.954999999999991</v>
      </c>
      <c r="AC57" s="764">
        <v>35.402250000000002</v>
      </c>
      <c r="AD57" s="764">
        <v>36.143249999999995</v>
      </c>
      <c r="AE57" s="764">
        <v>37.527749999999997</v>
      </c>
      <c r="AF57" s="764">
        <v>37.420499999999997</v>
      </c>
      <c r="AG57" s="764">
        <v>38.375999999999998</v>
      </c>
      <c r="AH57" s="764">
        <v>42.305249999999994</v>
      </c>
      <c r="AI57" s="764">
        <v>43.670249999999996</v>
      </c>
      <c r="AJ57" s="764">
        <v>45.132749999999994</v>
      </c>
      <c r="AK57" s="764">
        <v>46.59525</v>
      </c>
      <c r="AL57" s="764">
        <v>47.570249999999994</v>
      </c>
      <c r="AM57" s="764">
        <v>49.032749999999993</v>
      </c>
      <c r="AN57" s="764">
        <v>48.983999999999995</v>
      </c>
      <c r="AO57" s="764">
        <v>47.619</v>
      </c>
      <c r="AP57" s="764">
        <v>49.999949999999998</v>
      </c>
      <c r="AQ57" s="764">
        <v>51.000299999999996</v>
      </c>
      <c r="AR57" s="764">
        <v>52.942499999999995</v>
      </c>
      <c r="AS57" s="764">
        <v>53.234999999999999</v>
      </c>
      <c r="AT57" s="764">
        <v>52.888478799502337</v>
      </c>
      <c r="AU57" s="764">
        <v>58.676428546644509</v>
      </c>
      <c r="AV57" s="764">
        <v>59.55657497484416</v>
      </c>
      <c r="AW57" s="765">
        <v>60.449923599466821</v>
      </c>
      <c r="AX57" s="755">
        <v>1.7773224043715175E-2</v>
      </c>
      <c r="AY57" s="755">
        <v>2.2726308944212015E-2</v>
      </c>
      <c r="AZ57" s="755">
        <v>1.6424924235558913E-2</v>
      </c>
    </row>
    <row r="58" spans="1:52" x14ac:dyDescent="0.3">
      <c r="A58" s="3" t="s">
        <v>927</v>
      </c>
      <c r="B58" s="764">
        <v>0</v>
      </c>
      <c r="C58" s="764">
        <v>0</v>
      </c>
      <c r="D58" s="764">
        <v>0</v>
      </c>
      <c r="E58" s="764">
        <v>0</v>
      </c>
      <c r="F58" s="764">
        <v>0</v>
      </c>
      <c r="G58" s="764">
        <v>0</v>
      </c>
      <c r="H58" s="764">
        <v>0</v>
      </c>
      <c r="I58" s="764">
        <v>0</v>
      </c>
      <c r="J58" s="764">
        <v>0</v>
      </c>
      <c r="K58" s="764">
        <v>0</v>
      </c>
      <c r="L58" s="764">
        <v>0</v>
      </c>
      <c r="M58" s="764">
        <v>0</v>
      </c>
      <c r="N58" s="764">
        <v>0</v>
      </c>
      <c r="O58" s="764">
        <v>0</v>
      </c>
      <c r="P58" s="764">
        <v>0</v>
      </c>
      <c r="Q58" s="764">
        <v>0</v>
      </c>
      <c r="R58" s="764">
        <v>0</v>
      </c>
      <c r="S58" s="764">
        <v>0</v>
      </c>
      <c r="T58" s="764">
        <v>0</v>
      </c>
      <c r="U58" s="764">
        <v>0</v>
      </c>
      <c r="V58" s="764">
        <v>0</v>
      </c>
      <c r="W58" s="764">
        <v>0</v>
      </c>
      <c r="X58" s="764">
        <v>0</v>
      </c>
      <c r="Y58" s="764">
        <v>0</v>
      </c>
      <c r="Z58" s="764">
        <v>0</v>
      </c>
      <c r="AA58" s="764">
        <v>0</v>
      </c>
      <c r="AB58" s="764">
        <v>0</v>
      </c>
      <c r="AC58" s="764">
        <v>0</v>
      </c>
      <c r="AD58" s="764">
        <v>0</v>
      </c>
      <c r="AE58" s="764">
        <v>0</v>
      </c>
      <c r="AF58" s="764">
        <v>0</v>
      </c>
      <c r="AG58" s="764">
        <v>0</v>
      </c>
      <c r="AH58" s="764">
        <v>0</v>
      </c>
      <c r="AI58" s="764">
        <v>0</v>
      </c>
      <c r="AJ58" s="764">
        <v>0</v>
      </c>
      <c r="AK58" s="764">
        <v>0</v>
      </c>
      <c r="AL58" s="764">
        <v>0</v>
      </c>
      <c r="AM58" s="764">
        <v>0</v>
      </c>
      <c r="AN58" s="764">
        <v>0</v>
      </c>
      <c r="AO58" s="764">
        <v>0.78189999999999871</v>
      </c>
      <c r="AP58" s="764">
        <v>6.2552999999999894</v>
      </c>
      <c r="AQ58" s="764">
        <v>9.4230249999999867</v>
      </c>
      <c r="AR58" s="764">
        <v>7.6168999999999878</v>
      </c>
      <c r="AS58" s="764">
        <v>10.352974999999983</v>
      </c>
      <c r="AT58" s="764">
        <v>9.7616749999999826</v>
      </c>
      <c r="AU58" s="764">
        <v>2.8563499999999955</v>
      </c>
      <c r="AV58" s="764">
        <v>0.6385702156812727</v>
      </c>
      <c r="AW58" s="765">
        <v>0.65009093940085483</v>
      </c>
      <c r="AX58" s="755">
        <v>2.0822970043876898E-2</v>
      </c>
      <c r="AY58" s="755" t="s">
        <v>915</v>
      </c>
      <c r="AZ58" s="755">
        <v>1.7663702102638457E-4</v>
      </c>
    </row>
    <row r="59" spans="1:52" x14ac:dyDescent="0.3">
      <c r="A59" s="3" t="s">
        <v>928</v>
      </c>
      <c r="B59" s="764">
        <v>0.12920638852800001</v>
      </c>
      <c r="C59" s="764">
        <v>0.12094239902400002</v>
      </c>
      <c r="D59" s="764">
        <v>0.11955600604800001</v>
      </c>
      <c r="E59" s="764">
        <v>5.189459198400001E-2</v>
      </c>
      <c r="F59" s="764">
        <v>6.3420682608000004E-2</v>
      </c>
      <c r="G59" s="764">
        <v>5.7956663232000008E-2</v>
      </c>
      <c r="H59" s="764">
        <v>5.5836297504000008E-2</v>
      </c>
      <c r="I59" s="764">
        <v>5.5482903216000003E-2</v>
      </c>
      <c r="J59" s="764">
        <v>5.4585825408000013E-2</v>
      </c>
      <c r="K59" s="764">
        <v>3.8873371680000005E-2</v>
      </c>
      <c r="L59" s="764">
        <v>1.8485239680000002E-3</v>
      </c>
      <c r="M59" s="764">
        <v>1.9572606720000005E-3</v>
      </c>
      <c r="N59" s="764">
        <v>4.3576234128000005E-2</v>
      </c>
      <c r="O59" s="764">
        <v>6.1735263696000006E-2</v>
      </c>
      <c r="P59" s="764">
        <v>5.3906221008000008E-2</v>
      </c>
      <c r="Q59" s="764">
        <v>5.0725672416000012E-2</v>
      </c>
      <c r="R59" s="764">
        <v>3.8030662223999999E-2</v>
      </c>
      <c r="S59" s="764">
        <v>4.3331576544000001E-2</v>
      </c>
      <c r="T59" s="764">
        <v>3.9770449488000008E-2</v>
      </c>
      <c r="U59" s="764">
        <v>0.11849270833049999</v>
      </c>
      <c r="V59" s="764">
        <v>0.15345665569949998</v>
      </c>
      <c r="W59" s="764">
        <v>0.14815574137949997</v>
      </c>
      <c r="X59" s="764">
        <v>0.15542892430199998</v>
      </c>
      <c r="Y59" s="764">
        <v>0.17528951338650001</v>
      </c>
      <c r="Z59" s="764">
        <v>0.24226650918599998</v>
      </c>
      <c r="AA59" s="764">
        <v>0.24569171536199999</v>
      </c>
      <c r="AB59" s="764">
        <v>0.2300735567445</v>
      </c>
      <c r="AC59" s="764">
        <v>0.2551673828774999</v>
      </c>
      <c r="AD59" s="764">
        <v>0.25288447843049999</v>
      </c>
      <c r="AE59" s="764">
        <v>0.24952694952600002</v>
      </c>
      <c r="AF59" s="764">
        <v>0.23741498327550001</v>
      </c>
      <c r="AG59" s="764">
        <v>0.22898675604149998</v>
      </c>
      <c r="AH59" s="764">
        <v>0.20801161574099999</v>
      </c>
      <c r="AI59" s="764">
        <v>0.23325884840887498</v>
      </c>
      <c r="AJ59" s="764">
        <v>1.3748961225236251</v>
      </c>
      <c r="AK59" s="764">
        <v>1.7784278003808751</v>
      </c>
      <c r="AL59" s="764">
        <v>2.4167207479158752</v>
      </c>
      <c r="AM59" s="764">
        <v>2.8191152918692506</v>
      </c>
      <c r="AN59" s="764">
        <v>3.4595514709886257</v>
      </c>
      <c r="AO59" s="764">
        <v>2.73616484158575</v>
      </c>
      <c r="AP59" s="764">
        <v>3.2548697370150008</v>
      </c>
      <c r="AQ59" s="764">
        <v>4.2314329427351254</v>
      </c>
      <c r="AR59" s="764">
        <v>2.5212386120227275</v>
      </c>
      <c r="AS59" s="764">
        <v>6.2513076936465009</v>
      </c>
      <c r="AT59" s="764">
        <v>7.3311031864721263</v>
      </c>
      <c r="AU59" s="764">
        <v>8.0663552454384</v>
      </c>
      <c r="AV59" s="764">
        <v>9.0474506000000012</v>
      </c>
      <c r="AW59" s="765">
        <v>9.5347040037551682</v>
      </c>
      <c r="AX59" s="755">
        <v>5.6734712383017527E-2</v>
      </c>
      <c r="AY59" s="755">
        <v>0.14111647342511402</v>
      </c>
      <c r="AZ59" s="755">
        <v>2.5906863325058059E-3</v>
      </c>
    </row>
    <row r="60" spans="1:52" x14ac:dyDescent="0.3">
      <c r="A60" s="756" t="s">
        <v>929</v>
      </c>
      <c r="B60" s="766">
        <v>10.489311696739742</v>
      </c>
      <c r="C60" s="766">
        <v>16.51921035029644</v>
      </c>
      <c r="D60" s="766">
        <v>20.492340124004091</v>
      </c>
      <c r="E60" s="766">
        <v>23.415885444902717</v>
      </c>
      <c r="F60" s="766">
        <v>24.544499464469521</v>
      </c>
      <c r="G60" s="766">
        <v>26.983468530445201</v>
      </c>
      <c r="H60" s="766">
        <v>28.025112696805323</v>
      </c>
      <c r="I60" s="766">
        <v>31.697028333152915</v>
      </c>
      <c r="J60" s="766">
        <v>30.448672641538039</v>
      </c>
      <c r="K60" s="766">
        <v>37.156294060162296</v>
      </c>
      <c r="L60" s="766">
        <v>34.431512704145959</v>
      </c>
      <c r="M60" s="766">
        <v>37.140606366512273</v>
      </c>
      <c r="N60" s="766">
        <v>41.593201086242182</v>
      </c>
      <c r="O60" s="766">
        <v>41.96468272886348</v>
      </c>
      <c r="P60" s="766">
        <v>53.581915261709668</v>
      </c>
      <c r="Q60" s="766">
        <v>57.886956072849962</v>
      </c>
      <c r="R60" s="766">
        <v>69.160653549963683</v>
      </c>
      <c r="S60" s="766">
        <v>75.554238061300168</v>
      </c>
      <c r="T60" s="766">
        <v>84.035109779298324</v>
      </c>
      <c r="U60" s="766">
        <v>94.394934708330496</v>
      </c>
      <c r="V60" s="766">
        <v>101.78117165569951</v>
      </c>
      <c r="W60" s="766">
        <v>107.38407874137948</v>
      </c>
      <c r="X60" s="766">
        <v>114.61633717730518</v>
      </c>
      <c r="Y60" s="766">
        <v>105.75249020898438</v>
      </c>
      <c r="Z60" s="766">
        <v>123.24184702102065</v>
      </c>
      <c r="AA60" s="766">
        <v>139.90316254343344</v>
      </c>
      <c r="AB60" s="766">
        <v>150.75301182862665</v>
      </c>
      <c r="AC60" s="766">
        <v>162.2552168606843</v>
      </c>
      <c r="AD60" s="766">
        <v>174.37519004602407</v>
      </c>
      <c r="AE60" s="766">
        <v>189.1542032387313</v>
      </c>
      <c r="AF60" s="766">
        <v>206.48199454342657</v>
      </c>
      <c r="AG60" s="766">
        <v>224.97511273747295</v>
      </c>
      <c r="AH60" s="766">
        <v>247.69878928053598</v>
      </c>
      <c r="AI60" s="766">
        <v>260.74652651075075</v>
      </c>
      <c r="AJ60" s="766">
        <v>289.55868555588944</v>
      </c>
      <c r="AK60" s="766">
        <v>314.04536782655146</v>
      </c>
      <c r="AL60" s="766">
        <v>336.15325868629009</v>
      </c>
      <c r="AM60" s="766">
        <v>367.73782969004895</v>
      </c>
      <c r="AN60" s="766">
        <v>397.64012939013446</v>
      </c>
      <c r="AO60" s="766">
        <v>419.59642065804866</v>
      </c>
      <c r="AP60" s="766">
        <v>481.575103953981</v>
      </c>
      <c r="AQ60" s="766">
        <v>526.445883456209</v>
      </c>
      <c r="AR60" s="766">
        <v>552.18917340447911</v>
      </c>
      <c r="AS60" s="766">
        <v>569.1335740636888</v>
      </c>
      <c r="AT60" s="766">
        <v>589.85651042662357</v>
      </c>
      <c r="AU60" s="766">
        <v>608.40675764616083</v>
      </c>
      <c r="AV60" s="766">
        <v>630.82706761512497</v>
      </c>
      <c r="AW60" s="766">
        <v>659.87012660258176</v>
      </c>
      <c r="AX60" s="758">
        <v>4.8897684348339299E-2</v>
      </c>
      <c r="AY60" s="758">
        <v>6.4969817211861125E-2</v>
      </c>
      <c r="AZ60" s="758">
        <v>0.17929413619394002</v>
      </c>
    </row>
    <row r="61" spans="1:52" x14ac:dyDescent="0.3">
      <c r="B61" s="764"/>
      <c r="C61" s="764"/>
      <c r="D61" s="764"/>
      <c r="E61" s="764"/>
      <c r="F61" s="764"/>
      <c r="G61" s="764"/>
      <c r="H61" s="764"/>
      <c r="I61" s="764"/>
      <c r="J61" s="764"/>
      <c r="K61" s="764"/>
      <c r="L61" s="764"/>
      <c r="M61" s="764"/>
      <c r="N61" s="764"/>
      <c r="O61" s="764"/>
      <c r="P61" s="764"/>
      <c r="Q61" s="764"/>
      <c r="R61" s="764"/>
      <c r="S61" s="764"/>
      <c r="T61" s="764"/>
      <c r="U61" s="764"/>
      <c r="V61" s="764"/>
      <c r="W61" s="764"/>
      <c r="X61" s="764"/>
      <c r="Y61" s="764"/>
      <c r="Z61" s="764"/>
      <c r="AA61" s="764"/>
      <c r="AB61" s="764"/>
      <c r="AC61" s="764"/>
      <c r="AD61" s="764"/>
      <c r="AE61" s="764"/>
      <c r="AF61" s="764"/>
      <c r="AG61" s="764"/>
      <c r="AH61" s="764"/>
      <c r="AI61" s="764"/>
      <c r="AJ61" s="764"/>
      <c r="AK61" s="764"/>
      <c r="AL61" s="764"/>
      <c r="AM61" s="764"/>
      <c r="AN61" s="764"/>
      <c r="AO61" s="764"/>
      <c r="AP61" s="764"/>
      <c r="AQ61" s="764"/>
      <c r="AR61" s="764"/>
      <c r="AS61" s="764"/>
      <c r="AT61" s="764"/>
      <c r="AU61" s="764"/>
      <c r="AV61" s="764"/>
      <c r="AW61" s="765"/>
      <c r="AX61" s="755"/>
      <c r="AY61" s="755"/>
      <c r="AZ61" s="755"/>
    </row>
    <row r="62" spans="1:52" x14ac:dyDescent="0.3">
      <c r="A62" s="3" t="s">
        <v>604</v>
      </c>
      <c r="B62" s="764">
        <v>2.4380124999999997</v>
      </c>
      <c r="C62" s="764">
        <v>2.5698750000000001</v>
      </c>
      <c r="D62" s="764">
        <v>3.2561374999999999</v>
      </c>
      <c r="E62" s="764">
        <v>4.321625</v>
      </c>
      <c r="F62" s="764">
        <v>4.9963375000000001</v>
      </c>
      <c r="G62" s="764">
        <v>6.1523000000000003</v>
      </c>
      <c r="H62" s="764">
        <v>7.7490874999999999</v>
      </c>
      <c r="I62" s="764">
        <v>7.4165437499999998</v>
      </c>
      <c r="J62" s="764">
        <v>11.501875000000002</v>
      </c>
      <c r="K62" s="764">
        <v>18.853450000000002</v>
      </c>
      <c r="L62" s="764">
        <v>15.409749999999999</v>
      </c>
      <c r="M62" s="764">
        <v>17.864843</v>
      </c>
      <c r="N62" s="764">
        <v>23.310008999999997</v>
      </c>
      <c r="O62" s="764">
        <v>33.379263000000002</v>
      </c>
      <c r="P62" s="764">
        <v>33.975881999999999</v>
      </c>
      <c r="Q62" s="764">
        <v>37.338115000000002</v>
      </c>
      <c r="R62" s="764">
        <v>38.189430999999999</v>
      </c>
      <c r="S62" s="764">
        <v>43.10078</v>
      </c>
      <c r="T62" s="764">
        <v>45.058109000000002</v>
      </c>
      <c r="U62" s="764">
        <v>48.583162000000002</v>
      </c>
      <c r="V62" s="764">
        <v>51.656970999999999</v>
      </c>
      <c r="W62" s="764">
        <v>55.703047999999995</v>
      </c>
      <c r="X62" s="764">
        <v>58.001135999999995</v>
      </c>
      <c r="Y62" s="764">
        <v>58.746618999999995</v>
      </c>
      <c r="Z62" s="764">
        <v>54.010882999999993</v>
      </c>
      <c r="AA62" s="764">
        <v>61.491298999999991</v>
      </c>
      <c r="AB62" s="764">
        <v>65.251277999999999</v>
      </c>
      <c r="AC62" s="764">
        <v>74.858821000000006</v>
      </c>
      <c r="AD62" s="764">
        <v>80.162101000000007</v>
      </c>
      <c r="AE62" s="764">
        <v>90.106914000000003</v>
      </c>
      <c r="AF62" s="764">
        <v>91.888630000000006</v>
      </c>
      <c r="AG62" s="764">
        <v>86.472539000000012</v>
      </c>
      <c r="AH62" s="764">
        <v>88.941587999999996</v>
      </c>
      <c r="AI62" s="764">
        <v>93.857589000000004</v>
      </c>
      <c r="AJ62" s="764">
        <v>92.054939000000005</v>
      </c>
      <c r="AK62" s="764">
        <v>84.911749999999998</v>
      </c>
      <c r="AL62" s="764">
        <v>81.299487499999998</v>
      </c>
      <c r="AM62" s="764">
        <v>81.64598749999999</v>
      </c>
      <c r="AN62" s="764">
        <v>82.600787499999996</v>
      </c>
      <c r="AO62" s="764">
        <v>76.56687500000001</v>
      </c>
      <c r="AP62" s="764">
        <v>77.396550000000005</v>
      </c>
      <c r="AQ62" s="764">
        <v>79.598749999999995</v>
      </c>
      <c r="AR62" s="764">
        <v>78.443750000000009</v>
      </c>
      <c r="AS62" s="764">
        <v>79.338875000000002</v>
      </c>
      <c r="AT62" s="764">
        <v>80.17240000000001</v>
      </c>
      <c r="AU62" s="764">
        <v>81.411137499999995</v>
      </c>
      <c r="AV62" s="764">
        <v>91.392262500000001</v>
      </c>
      <c r="AW62" s="765">
        <v>91.245000000000005</v>
      </c>
      <c r="AX62" s="755">
        <v>1.116514417054626E-3</v>
      </c>
      <c r="AY62" s="755">
        <v>1.1770848239823994E-2</v>
      </c>
      <c r="AZ62" s="755">
        <v>2.4792292903523069E-2</v>
      </c>
    </row>
    <row r="63" spans="1:52" x14ac:dyDescent="0.3">
      <c r="A63" s="3" t="s">
        <v>932</v>
      </c>
      <c r="B63" s="764">
        <v>8.181250000000001E-2</v>
      </c>
      <c r="C63" s="764">
        <v>8.181250000000001E-2</v>
      </c>
      <c r="D63" s="764">
        <v>6.8337500000000009E-2</v>
      </c>
      <c r="E63" s="764">
        <v>5.4862500000000002E-2</v>
      </c>
      <c r="F63" s="764">
        <v>5.7750000000000003E-2</v>
      </c>
      <c r="G63" s="764">
        <v>4.8125000000000001E-2</v>
      </c>
      <c r="H63" s="764">
        <v>0.36574999999999996</v>
      </c>
      <c r="I63" s="764">
        <v>0.44274999999999998</v>
      </c>
      <c r="J63" s="764">
        <v>0.71225000000000005</v>
      </c>
      <c r="K63" s="764">
        <v>1.0780000000000001</v>
      </c>
      <c r="L63" s="764">
        <v>2.0982500000000002</v>
      </c>
      <c r="M63" s="764">
        <v>2.3485</v>
      </c>
      <c r="N63" s="764">
        <v>2.5698750000000001</v>
      </c>
      <c r="O63" s="764">
        <v>3.0126249999999999</v>
      </c>
      <c r="P63" s="764">
        <v>3.8692499999999996</v>
      </c>
      <c r="Q63" s="764">
        <v>4.7451249999999998</v>
      </c>
      <c r="R63" s="764">
        <v>5.4670000000000005</v>
      </c>
      <c r="S63" s="764">
        <v>6.0445000000000002</v>
      </c>
      <c r="T63" s="764">
        <v>6.6604999999999999</v>
      </c>
      <c r="U63" s="764">
        <v>7.4497499999999999</v>
      </c>
      <c r="V63" s="764">
        <v>7.7673750000000004</v>
      </c>
      <c r="W63" s="764">
        <v>8.7395000000000014</v>
      </c>
      <c r="X63" s="764">
        <v>9.4517500000000005</v>
      </c>
      <c r="Y63" s="764">
        <v>10.866624999999999</v>
      </c>
      <c r="Z63" s="764">
        <v>11.64625</v>
      </c>
      <c r="AA63" s="764">
        <v>12.03125</v>
      </c>
      <c r="AB63" s="764">
        <v>12.801250000000001</v>
      </c>
      <c r="AC63" s="764">
        <v>13.09</v>
      </c>
      <c r="AD63" s="764">
        <v>13.475</v>
      </c>
      <c r="AE63" s="764">
        <v>16.170000000000002</v>
      </c>
      <c r="AF63" s="764">
        <v>20.212499999999999</v>
      </c>
      <c r="AG63" s="764">
        <v>24.254999999999999</v>
      </c>
      <c r="AH63" s="764">
        <v>26.276250000000001</v>
      </c>
      <c r="AI63" s="764">
        <v>28.971250000000001</v>
      </c>
      <c r="AJ63" s="764">
        <v>31.762499999999999</v>
      </c>
      <c r="AK63" s="764">
        <v>40.90625</v>
      </c>
      <c r="AL63" s="764">
        <v>52.648750000000007</v>
      </c>
      <c r="AM63" s="764">
        <v>53.601624999999999</v>
      </c>
      <c r="AN63" s="764">
        <v>56.758625000000002</v>
      </c>
      <c r="AO63" s="764">
        <v>60.339124999999996</v>
      </c>
      <c r="AP63" s="764">
        <v>59.020500000000006</v>
      </c>
      <c r="AQ63" s="764">
        <v>59.143280831249996</v>
      </c>
      <c r="AR63" s="764">
        <v>58.598181468749992</v>
      </c>
      <c r="AS63" s="764">
        <v>53.964836887499999</v>
      </c>
      <c r="AT63" s="764">
        <v>46.961048749999996</v>
      </c>
      <c r="AU63" s="764">
        <v>42.590625000000003</v>
      </c>
      <c r="AV63" s="764">
        <v>40.251750000000001</v>
      </c>
      <c r="AW63" s="765">
        <v>49.018441090230702</v>
      </c>
      <c r="AX63" s="755">
        <v>0.22112383330274765</v>
      </c>
      <c r="AY63" s="755">
        <v>-2.6491673981876684E-2</v>
      </c>
      <c r="AZ63" s="755">
        <v>1.3318861846491208E-2</v>
      </c>
    </row>
    <row r="64" spans="1:52" x14ac:dyDescent="0.3">
      <c r="A64" s="3" t="s">
        <v>609</v>
      </c>
      <c r="B64" s="764">
        <v>0.27929999999999994</v>
      </c>
      <c r="C64" s="764">
        <v>0.67259999999999998</v>
      </c>
      <c r="D64" s="764">
        <v>2.6903999999999999</v>
      </c>
      <c r="E64" s="764">
        <v>4.3044499999999992</v>
      </c>
      <c r="F64" s="764">
        <v>3.8712499999999999</v>
      </c>
      <c r="G64" s="764">
        <v>4.4032499999999999</v>
      </c>
      <c r="H64" s="764">
        <v>4.5400499999999999</v>
      </c>
      <c r="I64" s="764">
        <v>4.7984499999999999</v>
      </c>
      <c r="J64" s="764">
        <v>4.8649499999999994</v>
      </c>
      <c r="K64" s="764">
        <v>6.4457499999999994</v>
      </c>
      <c r="L64" s="764">
        <v>4.9115000000000002</v>
      </c>
      <c r="M64" s="764">
        <v>2.9925000000000002</v>
      </c>
      <c r="N64" s="764">
        <v>3.1825000000000001</v>
      </c>
      <c r="O64" s="764">
        <v>3.5244999999999997</v>
      </c>
      <c r="P64" s="764">
        <v>4.37</v>
      </c>
      <c r="Q64" s="764">
        <v>4.9400000000000004</v>
      </c>
      <c r="R64" s="764">
        <v>5.3199999999999994</v>
      </c>
      <c r="S64" s="764">
        <v>4.75</v>
      </c>
      <c r="T64" s="764">
        <v>5.2249999999999996</v>
      </c>
      <c r="U64" s="764">
        <v>6.4599999999999991</v>
      </c>
      <c r="V64" s="764">
        <v>5.89</v>
      </c>
      <c r="W64" s="764">
        <v>6.213000000000001</v>
      </c>
      <c r="X64" s="764">
        <v>6.4314999999999989</v>
      </c>
      <c r="Y64" s="764">
        <v>6.0419999999999998</v>
      </c>
      <c r="Z64" s="764">
        <v>6.0705</v>
      </c>
      <c r="AA64" s="764">
        <v>6.0229999999999997</v>
      </c>
      <c r="AB64" s="764">
        <v>6.0990000000000002</v>
      </c>
      <c r="AC64" s="764">
        <v>6.2415000000000003</v>
      </c>
      <c r="AD64" s="764">
        <v>6.0419999999999998</v>
      </c>
      <c r="AE64" s="764">
        <v>4.9400000000000004</v>
      </c>
      <c r="AF64" s="764">
        <v>5.5859999999999994</v>
      </c>
      <c r="AG64" s="764">
        <v>5.8709999999999996</v>
      </c>
      <c r="AH64" s="764">
        <v>5.6049999999999995</v>
      </c>
      <c r="AI64" s="764">
        <v>5.2249999999999996</v>
      </c>
      <c r="AJ64" s="764">
        <v>7.657</v>
      </c>
      <c r="AK64" s="764">
        <v>10.734999999999999</v>
      </c>
      <c r="AL64" s="764">
        <v>12.53525</v>
      </c>
      <c r="AM64" s="764">
        <v>14.515999999999998</v>
      </c>
      <c r="AN64" s="764">
        <v>15.105</v>
      </c>
      <c r="AO64" s="764">
        <v>15.105</v>
      </c>
      <c r="AP64" s="764">
        <v>15.973299999999998</v>
      </c>
      <c r="AQ64" s="764">
        <v>7.46225</v>
      </c>
      <c r="AR64" s="764">
        <v>11.58999999999998</v>
      </c>
      <c r="AS64" s="764">
        <v>12.159999999999981</v>
      </c>
      <c r="AT64" s="764">
        <v>11.827499999999981</v>
      </c>
      <c r="AU64" s="764">
        <v>12.37397648043218</v>
      </c>
      <c r="AV64" s="764">
        <v>11.235270174938616</v>
      </c>
      <c r="AW64" s="765">
        <v>11.525613666229278</v>
      </c>
      <c r="AX64" s="755">
        <v>2.8644993311373712E-2</v>
      </c>
      <c r="AY64" s="755">
        <v>-1.0888953693511172E-2</v>
      </c>
      <c r="AZ64" s="755">
        <v>3.1316388832922861E-3</v>
      </c>
    </row>
    <row r="65" spans="1:52" x14ac:dyDescent="0.3">
      <c r="A65" s="3" t="s">
        <v>610</v>
      </c>
      <c r="B65" s="764">
        <v>0.10545</v>
      </c>
      <c r="C65" s="764">
        <v>0.19522499999999998</v>
      </c>
      <c r="D65" s="764">
        <v>0.26172500000000004</v>
      </c>
      <c r="E65" s="764">
        <v>0.40089999999999998</v>
      </c>
      <c r="F65" s="764">
        <v>0.37429999999999997</v>
      </c>
      <c r="G65" s="764">
        <v>0.33534999999999998</v>
      </c>
      <c r="H65" s="764">
        <v>0.62272499999999997</v>
      </c>
      <c r="I65" s="764">
        <v>0.81984999999999997</v>
      </c>
      <c r="J65" s="764">
        <v>0.99322500000000002</v>
      </c>
      <c r="K65" s="764">
        <v>1.3090999999999999</v>
      </c>
      <c r="L65" s="764">
        <v>1.5822249999999998</v>
      </c>
      <c r="M65" s="764">
        <v>2.3303500000000001</v>
      </c>
      <c r="N65" s="764">
        <v>2.4277249999999997</v>
      </c>
      <c r="O65" s="764">
        <v>2.7521500000000003</v>
      </c>
      <c r="P65" s="764">
        <v>2.6476499999999996</v>
      </c>
      <c r="Q65" s="764">
        <v>2.508</v>
      </c>
      <c r="R65" s="764">
        <v>2.9250500000000006</v>
      </c>
      <c r="S65" s="764">
        <v>2.8965499999999995</v>
      </c>
      <c r="T65" s="764">
        <v>3.4822250000000001</v>
      </c>
      <c r="U65" s="764">
        <v>4.0317999999999987</v>
      </c>
      <c r="V65" s="764">
        <v>3.8389500000000001</v>
      </c>
      <c r="W65" s="764">
        <v>3.7448999999999999</v>
      </c>
      <c r="X65" s="764">
        <v>4.0536500000000002</v>
      </c>
      <c r="Y65" s="764">
        <v>4.6189</v>
      </c>
      <c r="Z65" s="764">
        <v>4.2189500000000004</v>
      </c>
      <c r="AA65" s="764">
        <v>4.5913499999999994</v>
      </c>
      <c r="AB65" s="764">
        <v>5.1651499999999997</v>
      </c>
      <c r="AC65" s="764">
        <v>4.9745974341546297</v>
      </c>
      <c r="AD65" s="764">
        <v>6.01768903993203</v>
      </c>
      <c r="AE65" s="764">
        <v>4.3377164924950442</v>
      </c>
      <c r="AF65" s="764">
        <v>11.204464037099973</v>
      </c>
      <c r="AG65" s="764">
        <v>15.261342395921833</v>
      </c>
      <c r="AH65" s="764">
        <v>17.140391438685924</v>
      </c>
      <c r="AI65" s="764">
        <v>21.393889122561657</v>
      </c>
      <c r="AJ65" s="764">
        <v>23.213862791881176</v>
      </c>
      <c r="AK65" s="764">
        <v>23.795782184901284</v>
      </c>
      <c r="AL65" s="764">
        <v>28.113787853906125</v>
      </c>
      <c r="AM65" s="764">
        <v>35.007624522965557</v>
      </c>
      <c r="AN65" s="764">
        <v>34.354548037560853</v>
      </c>
      <c r="AO65" s="764">
        <v>24.697214662866632</v>
      </c>
      <c r="AP65" s="764">
        <v>35.454471182758247</v>
      </c>
      <c r="AQ65" s="764">
        <v>38.550189712473617</v>
      </c>
      <c r="AR65" s="764">
        <v>41.121498411058404</v>
      </c>
      <c r="AS65" s="764">
        <v>34.380142274819534</v>
      </c>
      <c r="AT65" s="764">
        <v>42.795782146548646</v>
      </c>
      <c r="AU65" s="764">
        <v>47.565016411125008</v>
      </c>
      <c r="AV65" s="764">
        <v>42.63648282705001</v>
      </c>
      <c r="AW65" s="765">
        <v>47.205618950925015</v>
      </c>
      <c r="AX65" s="755">
        <v>0.11018998081739406</v>
      </c>
      <c r="AY65" s="755">
        <v>4.2524334037042477E-2</v>
      </c>
      <c r="AZ65" s="755">
        <v>1.2826297679033727E-2</v>
      </c>
    </row>
    <row r="66" spans="1:52" x14ac:dyDescent="0.3">
      <c r="A66" s="3" t="s">
        <v>936</v>
      </c>
      <c r="B66" s="764">
        <v>0.11264124999999997</v>
      </c>
      <c r="C66" s="764">
        <v>0.18277769899999985</v>
      </c>
      <c r="D66" s="764">
        <v>0.23688462234999982</v>
      </c>
      <c r="E66" s="764">
        <v>0.75037776199999917</v>
      </c>
      <c r="F66" s="764">
        <v>0.96086216234999899</v>
      </c>
      <c r="G66" s="764">
        <v>0.59408986499999972</v>
      </c>
      <c r="H66" s="764">
        <v>0.45060092899999993</v>
      </c>
      <c r="I66" s="764">
        <v>0.52009118199999982</v>
      </c>
      <c r="J66" s="764">
        <v>0.59672766199999983</v>
      </c>
      <c r="K66" s="764">
        <v>0.64669451199999983</v>
      </c>
      <c r="L66" s="764">
        <v>0.828613881</v>
      </c>
      <c r="M66" s="764">
        <v>0.93861095699999986</v>
      </c>
      <c r="N66" s="764">
        <v>1.0211802889999997</v>
      </c>
      <c r="O66" s="764">
        <v>1.0271448999999997</v>
      </c>
      <c r="P66" s="764">
        <v>1.002287382</v>
      </c>
      <c r="Q66" s="764">
        <v>1.0365809659999998</v>
      </c>
      <c r="R66" s="764">
        <v>1.1128321839999997</v>
      </c>
      <c r="S66" s="764">
        <v>1.1059892509999998</v>
      </c>
      <c r="T66" s="764">
        <v>1.3273939529999996</v>
      </c>
      <c r="U66" s="764">
        <v>1.2160847919999997</v>
      </c>
      <c r="V66" s="764">
        <v>3.0057633029999957</v>
      </c>
      <c r="W66" s="764">
        <v>2.9447250129999962</v>
      </c>
      <c r="X66" s="764">
        <v>2.8902439259999966</v>
      </c>
      <c r="Y66" s="764">
        <v>3.0665281719999955</v>
      </c>
      <c r="Z66" s="764">
        <v>3.0180387549999961</v>
      </c>
      <c r="AA66" s="764">
        <v>3.1336232389999954</v>
      </c>
      <c r="AB66" s="764">
        <v>4.015822369999996</v>
      </c>
      <c r="AC66" s="764">
        <v>4.9961839439999967</v>
      </c>
      <c r="AD66" s="764">
        <v>5.2348453527187466</v>
      </c>
      <c r="AE66" s="764">
        <v>6.1179440371874962</v>
      </c>
      <c r="AF66" s="764">
        <v>6.2096489225624962</v>
      </c>
      <c r="AG66" s="764">
        <v>7.2094231227124954</v>
      </c>
      <c r="AH66" s="764">
        <v>7.345045116537495</v>
      </c>
      <c r="AI66" s="764">
        <v>6.5522493937312456</v>
      </c>
      <c r="AJ66" s="764">
        <v>8.614234611049767</v>
      </c>
      <c r="AK66" s="764">
        <v>10.427106781420726</v>
      </c>
      <c r="AL66" s="764">
        <v>10.930869417631413</v>
      </c>
      <c r="AM66" s="764">
        <v>12.591608725142953</v>
      </c>
      <c r="AN66" s="764">
        <v>16.725760289902503</v>
      </c>
      <c r="AO66" s="764">
        <v>16.136648253125273</v>
      </c>
      <c r="AP66" s="764">
        <v>18.213568655377966</v>
      </c>
      <c r="AQ66" s="764">
        <v>17.892345940508399</v>
      </c>
      <c r="AR66" s="764">
        <v>18.08267890575393</v>
      </c>
      <c r="AS66" s="764">
        <v>18.488063273829869</v>
      </c>
      <c r="AT66" s="764">
        <v>18.829689996101706</v>
      </c>
      <c r="AU66" s="764">
        <v>19.706913453303919</v>
      </c>
      <c r="AV66" s="764">
        <v>21.450366689197622</v>
      </c>
      <c r="AW66" s="765">
        <v>26.040177503557938</v>
      </c>
      <c r="AX66" s="755">
        <v>0.21729040383601284</v>
      </c>
      <c r="AY66" s="755">
        <v>6.9739423858288241E-2</v>
      </c>
      <c r="AZ66" s="755">
        <v>7.0754091503966304E-3</v>
      </c>
    </row>
    <row r="67" spans="1:52" x14ac:dyDescent="0.3">
      <c r="A67" s="756" t="s">
        <v>937</v>
      </c>
      <c r="B67" s="766">
        <v>3.0172162499999997</v>
      </c>
      <c r="C67" s="766">
        <v>3.7022901990000001</v>
      </c>
      <c r="D67" s="766">
        <v>6.51348462235</v>
      </c>
      <c r="E67" s="766">
        <v>9.8322152619999983</v>
      </c>
      <c r="F67" s="766">
        <v>10.26049966235</v>
      </c>
      <c r="G67" s="766">
        <v>11.533114865</v>
      </c>
      <c r="H67" s="766">
        <v>13.728213429</v>
      </c>
      <c r="I67" s="766">
        <v>13.997684932</v>
      </c>
      <c r="J67" s="766">
        <v>18.669027662000001</v>
      </c>
      <c r="K67" s="766">
        <v>28.332994511999999</v>
      </c>
      <c r="L67" s="766">
        <v>24.830338880999999</v>
      </c>
      <c r="M67" s="766">
        <v>26.474803956999999</v>
      </c>
      <c r="N67" s="766">
        <v>32.511289288999997</v>
      </c>
      <c r="O67" s="766">
        <v>43.695682900000001</v>
      </c>
      <c r="P67" s="766">
        <v>45.865069382000001</v>
      </c>
      <c r="Q67" s="766">
        <v>50.567820965999999</v>
      </c>
      <c r="R67" s="766">
        <v>53.014313184000002</v>
      </c>
      <c r="S67" s="766">
        <v>57.897819251000001</v>
      </c>
      <c r="T67" s="766">
        <v>61.753227953000007</v>
      </c>
      <c r="U67" s="766">
        <v>67.740796791999998</v>
      </c>
      <c r="V67" s="766">
        <v>72.159059302999992</v>
      </c>
      <c r="W67" s="766">
        <v>77.345173012999993</v>
      </c>
      <c r="X67" s="766">
        <v>80.828279925999993</v>
      </c>
      <c r="Y67" s="766">
        <v>83.340672171999984</v>
      </c>
      <c r="Z67" s="766">
        <v>78.964621754999996</v>
      </c>
      <c r="AA67" s="766">
        <v>87.270522238999988</v>
      </c>
      <c r="AB67" s="766">
        <v>93.332500369999991</v>
      </c>
      <c r="AC67" s="766">
        <v>104.16110237815462</v>
      </c>
      <c r="AD67" s="766">
        <v>110.93163539265078</v>
      </c>
      <c r="AE67" s="766">
        <v>121.67257452968255</v>
      </c>
      <c r="AF67" s="766">
        <v>135.10124295966247</v>
      </c>
      <c r="AG67" s="766">
        <v>139.06930451863434</v>
      </c>
      <c r="AH67" s="766">
        <v>145.30827455522342</v>
      </c>
      <c r="AI67" s="766">
        <v>155.99997751629292</v>
      </c>
      <c r="AJ67" s="766">
        <v>163.30253640293097</v>
      </c>
      <c r="AK67" s="766">
        <v>170.77588896632199</v>
      </c>
      <c r="AL67" s="766">
        <v>185.52814477153754</v>
      </c>
      <c r="AM67" s="766">
        <v>197.3628457481085</v>
      </c>
      <c r="AN67" s="766">
        <v>205.54472082746338</v>
      </c>
      <c r="AO67" s="766">
        <v>192.84486291599191</v>
      </c>
      <c r="AP67" s="766">
        <v>206.05838983813624</v>
      </c>
      <c r="AQ67" s="766">
        <v>202.64681648423198</v>
      </c>
      <c r="AR67" s="766">
        <v>207.83610878556232</v>
      </c>
      <c r="AS67" s="766">
        <v>198.33191743614938</v>
      </c>
      <c r="AT67" s="766">
        <v>200.58642089265035</v>
      </c>
      <c r="AU67" s="766">
        <v>203.6476688448611</v>
      </c>
      <c r="AV67" s="766">
        <v>206.96613219118626</v>
      </c>
      <c r="AW67" s="766">
        <v>225.03485121094292</v>
      </c>
      <c r="AX67" s="758">
        <v>9.0273554142404011E-2</v>
      </c>
      <c r="AY67" s="758">
        <v>1.0994861354698182E-2</v>
      </c>
      <c r="AZ67" s="758">
        <v>6.1144500462736916E-2</v>
      </c>
    </row>
    <row r="68" spans="1:52" x14ac:dyDescent="0.3">
      <c r="B68" s="764"/>
      <c r="C68" s="764"/>
      <c r="D68" s="764"/>
      <c r="E68" s="764"/>
      <c r="F68" s="764"/>
      <c r="G68" s="764"/>
      <c r="H68" s="764"/>
      <c r="I68" s="764"/>
      <c r="J68" s="764"/>
      <c r="K68" s="764"/>
      <c r="L68" s="764"/>
      <c r="M68" s="764"/>
      <c r="N68" s="764"/>
      <c r="O68" s="764"/>
      <c r="P68" s="764"/>
      <c r="Q68" s="764"/>
      <c r="R68" s="764"/>
      <c r="S68" s="764"/>
      <c r="T68" s="764"/>
      <c r="U68" s="764"/>
      <c r="V68" s="764"/>
      <c r="W68" s="764"/>
      <c r="X68" s="764"/>
      <c r="Y68" s="764"/>
      <c r="Z68" s="764"/>
      <c r="AA68" s="764"/>
      <c r="AB68" s="764"/>
      <c r="AC68" s="764"/>
      <c r="AD68" s="764"/>
      <c r="AE68" s="764"/>
      <c r="AF68" s="764"/>
      <c r="AG68" s="764"/>
      <c r="AH68" s="764"/>
      <c r="AI68" s="764"/>
      <c r="AJ68" s="764"/>
      <c r="AK68" s="764"/>
      <c r="AL68" s="764"/>
      <c r="AM68" s="764"/>
      <c r="AN68" s="764"/>
      <c r="AO68" s="764"/>
      <c r="AP68" s="764"/>
      <c r="AQ68" s="764"/>
      <c r="AR68" s="764"/>
      <c r="AS68" s="764"/>
      <c r="AT68" s="764"/>
      <c r="AU68" s="764"/>
      <c r="AV68" s="764"/>
      <c r="AW68" s="765"/>
      <c r="AX68" s="755"/>
      <c r="AY68" s="755"/>
      <c r="AZ68" s="755"/>
    </row>
    <row r="69" spans="1:52" x14ac:dyDescent="0.3">
      <c r="A69" s="3" t="s">
        <v>645</v>
      </c>
      <c r="B69" s="764">
        <v>1.730397462</v>
      </c>
      <c r="C69" s="764">
        <v>2.5826679360999996</v>
      </c>
      <c r="D69" s="764">
        <v>3.7074262864</v>
      </c>
      <c r="E69" s="764">
        <v>4.7068799929000003</v>
      </c>
      <c r="F69" s="764">
        <v>5.3701990200000003</v>
      </c>
      <c r="G69" s="764">
        <v>5.7669970586999995</v>
      </c>
      <c r="H69" s="764">
        <v>6.8077217391499989</v>
      </c>
      <c r="I69" s="764">
        <v>7.7768437659999998</v>
      </c>
      <c r="J69" s="764">
        <v>8.3725380646999987</v>
      </c>
      <c r="K69" s="764">
        <v>9.6375182783</v>
      </c>
      <c r="L69" s="764">
        <v>11.066587906399999</v>
      </c>
      <c r="M69" s="764">
        <v>11.9944389593</v>
      </c>
      <c r="N69" s="764">
        <v>11.6980835319</v>
      </c>
      <c r="O69" s="764">
        <v>12.707482051399998</v>
      </c>
      <c r="P69" s="764">
        <v>12.531726376769697</v>
      </c>
      <c r="Q69" s="764">
        <v>13.395262335036097</v>
      </c>
      <c r="R69" s="764">
        <v>14.632928125250301</v>
      </c>
      <c r="S69" s="764">
        <v>14.939459085311897</v>
      </c>
      <c r="T69" s="764">
        <v>15.299338994712</v>
      </c>
      <c r="U69" s="764">
        <v>17.707563971497702</v>
      </c>
      <c r="V69" s="764">
        <v>20.611147045182502</v>
      </c>
      <c r="W69" s="764">
        <v>21.5764999879055</v>
      </c>
      <c r="X69" s="764">
        <v>23.333595294885299</v>
      </c>
      <c r="Y69" s="764">
        <v>24.383902797142099</v>
      </c>
      <c r="Z69" s="764">
        <v>27.991216640033699</v>
      </c>
      <c r="AA69" s="764">
        <v>29.5959683511478</v>
      </c>
      <c r="AB69" s="764">
        <v>29.633702949595001</v>
      </c>
      <c r="AC69" s="764">
        <v>29.637647062430798</v>
      </c>
      <c r="AD69" s="764">
        <v>30.273707908147465</v>
      </c>
      <c r="AE69" s="764">
        <v>30.712533092389425</v>
      </c>
      <c r="AF69" s="764">
        <v>31.192330419555081</v>
      </c>
      <c r="AG69" s="764">
        <v>32.641317838155352</v>
      </c>
      <c r="AH69" s="764">
        <v>33.001159696357405</v>
      </c>
      <c r="AI69" s="764">
        <v>33.745225852471322</v>
      </c>
      <c r="AJ69" s="764">
        <v>35.930312609859691</v>
      </c>
      <c r="AK69" s="764">
        <v>38.235279696105515</v>
      </c>
      <c r="AL69" s="764">
        <v>40.682227190504172</v>
      </c>
      <c r="AM69" s="764">
        <v>42.751184794255749</v>
      </c>
      <c r="AN69" s="764">
        <v>41.682903435165954</v>
      </c>
      <c r="AO69" s="764">
        <v>46.697592822896425</v>
      </c>
      <c r="AP69" s="764">
        <v>54.010617352181832</v>
      </c>
      <c r="AQ69" s="764">
        <v>55.650671334943496</v>
      </c>
      <c r="AR69" s="764">
        <v>59.526094352871198</v>
      </c>
      <c r="AS69" s="764">
        <v>61.800147890586089</v>
      </c>
      <c r="AT69" s="764">
        <v>66.644120114134992</v>
      </c>
      <c r="AU69" s="764">
        <v>76.038942192539096</v>
      </c>
      <c r="AV69" s="764">
        <v>96.419225514648133</v>
      </c>
      <c r="AW69" s="765">
        <v>113.46033221877015</v>
      </c>
      <c r="AX69" s="755">
        <v>0.17995485360113683</v>
      </c>
      <c r="AY69" s="755">
        <v>9.0123976609701506E-2</v>
      </c>
      <c r="AZ69" s="755">
        <v>3.0828448564839551E-2</v>
      </c>
    </row>
    <row r="70" spans="1:52" x14ac:dyDescent="0.3">
      <c r="A70" s="3" t="s">
        <v>966</v>
      </c>
      <c r="B70" s="764">
        <v>0</v>
      </c>
      <c r="C70" s="764">
        <v>0</v>
      </c>
      <c r="D70" s="764">
        <v>0.43961399999999995</v>
      </c>
      <c r="E70" s="764">
        <v>0.60824900000000004</v>
      </c>
      <c r="F70" s="764">
        <v>0.66872500000000001</v>
      </c>
      <c r="G70" s="764">
        <v>0.67221399999999987</v>
      </c>
      <c r="H70" s="764">
        <v>0.88504299999999991</v>
      </c>
      <c r="I70" s="764">
        <v>0.9873869999999999</v>
      </c>
      <c r="J70" s="764">
        <v>1.089731</v>
      </c>
      <c r="K70" s="764">
        <v>1.253714</v>
      </c>
      <c r="L70" s="764">
        <v>1.4118819999999999</v>
      </c>
      <c r="M70" s="764">
        <v>1.3613856578437502</v>
      </c>
      <c r="N70" s="764">
        <v>1.7674846829062498</v>
      </c>
      <c r="O70" s="764">
        <v>1.9667184999000002</v>
      </c>
      <c r="P70" s="764">
        <v>2.2700662951312505</v>
      </c>
      <c r="Q70" s="764">
        <v>2.5780474349437505</v>
      </c>
      <c r="R70" s="764">
        <v>2.9070149002124999</v>
      </c>
      <c r="S70" s="764">
        <v>3.4155926054249997</v>
      </c>
      <c r="T70" s="764">
        <v>4.0201077984375004</v>
      </c>
      <c r="U70" s="764">
        <v>4.2498671797312495</v>
      </c>
      <c r="V70" s="764">
        <v>4.5742013004187498</v>
      </c>
      <c r="W70" s="764">
        <v>4.7107486907249996</v>
      </c>
      <c r="X70" s="764">
        <v>5.1370163921999996</v>
      </c>
      <c r="Y70" s="764">
        <v>5.7502531750125003</v>
      </c>
      <c r="Z70" s="764">
        <v>6.098571667649999</v>
      </c>
      <c r="AA70" s="764">
        <v>6.7423340147625002</v>
      </c>
      <c r="AB70" s="764">
        <v>7.2364665868687501</v>
      </c>
      <c r="AC70" s="764">
        <v>7.1132741309437506</v>
      </c>
      <c r="AD70" s="764">
        <v>7.6864461106124997</v>
      </c>
      <c r="AE70" s="764">
        <v>8.3803575990749994</v>
      </c>
      <c r="AF70" s="764">
        <v>9.0581886563437504</v>
      </c>
      <c r="AG70" s="764">
        <v>10.143208937400001</v>
      </c>
      <c r="AH70" s="764">
        <v>10.671137669981251</v>
      </c>
      <c r="AI70" s="764">
        <v>11.478429825843751</v>
      </c>
      <c r="AJ70" s="764">
        <v>12.340231917956249</v>
      </c>
      <c r="AK70" s="764">
        <v>13.26335768835</v>
      </c>
      <c r="AL70" s="764">
        <v>14.363368201875</v>
      </c>
      <c r="AM70" s="764">
        <v>15.336370563937502</v>
      </c>
      <c r="AN70" s="764">
        <v>16.376420147587499</v>
      </c>
      <c r="AO70" s="764">
        <v>18.74673831168435</v>
      </c>
      <c r="AP70" s="764">
        <v>19.253727132543752</v>
      </c>
      <c r="AQ70" s="764">
        <v>19.582149498450004</v>
      </c>
      <c r="AR70" s="764">
        <v>21.336279246975003</v>
      </c>
      <c r="AS70" s="764">
        <v>21.952786625962503</v>
      </c>
      <c r="AT70" s="764">
        <v>23.022271575187499</v>
      </c>
      <c r="AU70" s="764">
        <v>25.854062763375001</v>
      </c>
      <c r="AV70" s="764">
        <v>26.450946565312503</v>
      </c>
      <c r="AW70" s="765">
        <v>26.589949924999996</v>
      </c>
      <c r="AX70" s="755">
        <v>8.0017361787778629E-3</v>
      </c>
      <c r="AY70" s="755">
        <v>6.2963843782829265E-2</v>
      </c>
      <c r="AZ70" s="755">
        <v>7.2247885016232249E-3</v>
      </c>
    </row>
    <row r="71" spans="1:52" x14ac:dyDescent="0.3">
      <c r="A71" s="3" t="s">
        <v>938</v>
      </c>
      <c r="B71" s="764">
        <v>0.21352499999999996</v>
      </c>
      <c r="C71" s="764">
        <v>0.21157499999999999</v>
      </c>
      <c r="D71" s="764">
        <v>0.43436249999999998</v>
      </c>
      <c r="E71" s="764">
        <v>1.8968624999999999</v>
      </c>
      <c r="F71" s="764">
        <v>4.117424999999999</v>
      </c>
      <c r="G71" s="764">
        <v>5.3995499999999987</v>
      </c>
      <c r="H71" s="764">
        <v>7.1214000000000004</v>
      </c>
      <c r="I71" s="764">
        <v>8.1724499999999995</v>
      </c>
      <c r="J71" s="764">
        <v>8.0101125</v>
      </c>
      <c r="K71" s="764">
        <v>8.391824999999999</v>
      </c>
      <c r="L71" s="764">
        <v>8.4230249999999991</v>
      </c>
      <c r="M71" s="764">
        <v>8.1548999999999996</v>
      </c>
      <c r="N71" s="764">
        <v>8.1451499999999992</v>
      </c>
      <c r="O71" s="764">
        <v>8.4951749999999997</v>
      </c>
      <c r="P71" s="764">
        <v>8.5965749999999979</v>
      </c>
      <c r="Q71" s="764">
        <v>8.3806124999999998</v>
      </c>
      <c r="R71" s="764">
        <v>8.4025499999999997</v>
      </c>
      <c r="S71" s="764">
        <v>8.383049999999999</v>
      </c>
      <c r="T71" s="764">
        <v>8.7096749999999972</v>
      </c>
      <c r="U71" s="764">
        <v>8.5351499999999998</v>
      </c>
      <c r="V71" s="764">
        <v>8.7023624999999996</v>
      </c>
      <c r="W71" s="764">
        <v>8.833499999999999</v>
      </c>
      <c r="X71" s="764">
        <v>9.5081999999999987</v>
      </c>
      <c r="Y71" s="764">
        <v>10.0673625</v>
      </c>
      <c r="Z71" s="764">
        <v>10.131225000000001</v>
      </c>
      <c r="AA71" s="764">
        <v>11.466975</v>
      </c>
      <c r="AB71" s="764">
        <v>11.367524999999999</v>
      </c>
      <c r="AC71" s="764">
        <v>11.376300000000001</v>
      </c>
      <c r="AD71" s="764">
        <v>10.501724999999999</v>
      </c>
      <c r="AE71" s="764">
        <v>10.947299999999998</v>
      </c>
      <c r="AF71" s="764">
        <v>11.015549999999999</v>
      </c>
      <c r="AG71" s="764">
        <v>11.112074999999999</v>
      </c>
      <c r="AH71" s="764">
        <v>11.172524999999997</v>
      </c>
      <c r="AI71" s="764">
        <v>12.04515</v>
      </c>
      <c r="AJ71" s="764">
        <v>11.926822205999999</v>
      </c>
      <c r="AK71" s="764">
        <v>11.709442484999995</v>
      </c>
      <c r="AL71" s="764">
        <v>12.256126585515851</v>
      </c>
      <c r="AM71" s="764">
        <v>11.947628536170512</v>
      </c>
      <c r="AN71" s="764">
        <v>11.849997352049996</v>
      </c>
      <c r="AO71" s="764">
        <v>11.128609274249998</v>
      </c>
      <c r="AP71" s="764">
        <v>11.97534770030625</v>
      </c>
      <c r="AQ71" s="764">
        <v>12.478790999999999</v>
      </c>
      <c r="AR71" s="764">
        <v>12.251276417250001</v>
      </c>
      <c r="AS71" s="764">
        <v>11.901313709999995</v>
      </c>
      <c r="AT71" s="764">
        <v>11.556037453128731</v>
      </c>
      <c r="AU71" s="764">
        <v>12.164772071057801</v>
      </c>
      <c r="AV71" s="764">
        <v>11.736222276159889</v>
      </c>
      <c r="AW71" s="765">
        <v>11.998141506961968</v>
      </c>
      <c r="AX71" s="755">
        <v>2.511038315938996E-2</v>
      </c>
      <c r="AY71" s="755">
        <v>-4.3252153021758888E-3</v>
      </c>
      <c r="AZ71" s="755">
        <v>3.2600300130255773E-3</v>
      </c>
    </row>
    <row r="72" spans="1:52" x14ac:dyDescent="0.3">
      <c r="A72" s="3" t="s">
        <v>622</v>
      </c>
      <c r="B72" s="764">
        <v>2.8925762045231069</v>
      </c>
      <c r="C72" s="764">
        <v>3.7694198623402158</v>
      </c>
      <c r="D72" s="764">
        <v>4.8780727630285137</v>
      </c>
      <c r="E72" s="764">
        <v>6.0270403146509341</v>
      </c>
      <c r="F72" s="764">
        <v>7.5892330383480813</v>
      </c>
      <c r="G72" s="764">
        <v>8.9196165191740402</v>
      </c>
      <c r="H72" s="764">
        <v>10.179449360865288</v>
      </c>
      <c r="I72" s="764">
        <v>12.215339233038346</v>
      </c>
      <c r="J72" s="764">
        <v>13.838003933136672</v>
      </c>
      <c r="K72" s="764">
        <v>14.62413962635201</v>
      </c>
      <c r="L72" s="764">
        <v>14.382251720747295</v>
      </c>
      <c r="M72" s="764">
        <v>12.840216322517206</v>
      </c>
      <c r="N72" s="764">
        <v>12.023844641101277</v>
      </c>
      <c r="O72" s="764">
        <v>12.306047197640115</v>
      </c>
      <c r="P72" s="764">
        <v>12.527777777777775</v>
      </c>
      <c r="Q72" s="764">
        <v>13.031710914454276</v>
      </c>
      <c r="R72" s="764">
        <v>13.868239921337263</v>
      </c>
      <c r="S72" s="764">
        <v>13.999262536873154</v>
      </c>
      <c r="T72" s="764">
        <v>14.372173058013765</v>
      </c>
      <c r="U72" s="764">
        <v>15.167379547689277</v>
      </c>
      <c r="V72" s="764">
        <v>15.418338249754177</v>
      </c>
      <c r="W72" s="764">
        <v>15.61184857423795</v>
      </c>
      <c r="X72" s="764">
        <v>15.914208456243852</v>
      </c>
      <c r="Y72" s="764">
        <v>16.89687807276302</v>
      </c>
      <c r="Z72" s="764">
        <v>17.697123893805308</v>
      </c>
      <c r="AA72" s="764">
        <v>18.091199606686327</v>
      </c>
      <c r="AB72" s="764">
        <v>20.272222222222219</v>
      </c>
      <c r="AC72" s="764">
        <v>22.881588003933135</v>
      </c>
      <c r="AD72" s="764">
        <v>23.46211897738446</v>
      </c>
      <c r="AE72" s="764">
        <v>25.39621435594886</v>
      </c>
      <c r="AF72" s="764">
        <v>27.413962635201568</v>
      </c>
      <c r="AG72" s="764">
        <v>30.567576204523103</v>
      </c>
      <c r="AH72" s="764">
        <v>32.917920353982296</v>
      </c>
      <c r="AI72" s="764">
        <v>35.290437561455256</v>
      </c>
      <c r="AJ72" s="764">
        <v>41.786135693215329</v>
      </c>
      <c r="AK72" s="764">
        <v>49.707964601769902</v>
      </c>
      <c r="AL72" s="764">
        <v>59.013593903638146</v>
      </c>
      <c r="AM72" s="764">
        <v>69.784660766961636</v>
      </c>
      <c r="AN72" s="764">
        <v>80.931661750245809</v>
      </c>
      <c r="AO72" s="764">
        <v>85.93974926253685</v>
      </c>
      <c r="AP72" s="764">
        <v>96.544518190757103</v>
      </c>
      <c r="AQ72" s="764">
        <v>106.16560963618484</v>
      </c>
      <c r="AR72" s="764">
        <v>111.47807276302848</v>
      </c>
      <c r="AS72" s="764">
        <v>121.81071779744343</v>
      </c>
      <c r="AT72" s="764">
        <v>131.18085054080626</v>
      </c>
      <c r="AU72" s="764">
        <v>135.66887905604719</v>
      </c>
      <c r="AV72" s="764">
        <v>137.9416175024582</v>
      </c>
      <c r="AW72" s="765">
        <v>149.19444444444443</v>
      </c>
      <c r="AX72" s="755">
        <v>8.4531863894439674E-2</v>
      </c>
      <c r="AY72" s="755">
        <v>8.8615027287524351E-2</v>
      </c>
      <c r="AZ72" s="755">
        <v>4.0537808825087035E-2</v>
      </c>
    </row>
    <row r="73" spans="1:52" x14ac:dyDescent="0.3">
      <c r="A73" s="3" t="s">
        <v>623</v>
      </c>
      <c r="B73" s="764">
        <v>0.63284662027125005</v>
      </c>
      <c r="C73" s="764">
        <v>0.67062187500000003</v>
      </c>
      <c r="D73" s="764">
        <v>0.73559062500000005</v>
      </c>
      <c r="E73" s="764">
        <v>0.73366562499999999</v>
      </c>
      <c r="F73" s="764">
        <v>0.83039687499999992</v>
      </c>
      <c r="G73" s="764">
        <v>1.06308125</v>
      </c>
      <c r="H73" s="764">
        <v>1.2914343750000001</v>
      </c>
      <c r="I73" s="764">
        <v>1.3792625000000003</v>
      </c>
      <c r="J73" s="764">
        <v>1.54048125</v>
      </c>
      <c r="K73" s="764">
        <v>1.91585625</v>
      </c>
      <c r="L73" s="764">
        <v>1.1331031250000001</v>
      </c>
      <c r="M73" s="764">
        <v>1.9781781249999999</v>
      </c>
      <c r="N73" s="764">
        <v>2.59345625</v>
      </c>
      <c r="O73" s="764">
        <v>3.0857750000000004</v>
      </c>
      <c r="P73" s="764">
        <v>3.534059375</v>
      </c>
      <c r="Q73" s="764">
        <v>4.3228281249999991</v>
      </c>
      <c r="R73" s="764">
        <v>6.0400243750000007</v>
      </c>
      <c r="S73" s="764">
        <v>6.9577007499999999</v>
      </c>
      <c r="T73" s="764">
        <v>8.1504884999999998</v>
      </c>
      <c r="U73" s="764">
        <v>9.6904596250000008</v>
      </c>
      <c r="V73" s="764">
        <v>11.592734999999999</v>
      </c>
      <c r="W73" s="764">
        <v>12.910801750000001</v>
      </c>
      <c r="X73" s="764">
        <v>14.434689499999999</v>
      </c>
      <c r="Y73" s="764">
        <v>14.667085125</v>
      </c>
      <c r="Z73" s="764">
        <v>15.856918</v>
      </c>
      <c r="AA73" s="764">
        <v>18.077829000000001</v>
      </c>
      <c r="AB73" s="764">
        <v>19.731721625000002</v>
      </c>
      <c r="AC73" s="764">
        <v>21.452633125000002</v>
      </c>
      <c r="AD73" s="764">
        <v>23.542875125000002</v>
      </c>
      <c r="AE73" s="764">
        <v>24.123368499999998</v>
      </c>
      <c r="AF73" s="764">
        <v>25.362693125</v>
      </c>
      <c r="AG73" s="764">
        <v>25.4277485</v>
      </c>
      <c r="AH73" s="764">
        <v>26.554412499999998</v>
      </c>
      <c r="AI73" s="764">
        <v>28.426898499999997</v>
      </c>
      <c r="AJ73" s="764">
        <v>28.137763499999998</v>
      </c>
      <c r="AK73" s="764">
        <v>28.512137499999998</v>
      </c>
      <c r="AL73" s="764">
        <v>28.186812499999998</v>
      </c>
      <c r="AM73" s="764">
        <v>28.964512499999998</v>
      </c>
      <c r="AN73" s="764">
        <v>29.391862499999998</v>
      </c>
      <c r="AO73" s="764">
        <v>35.690121248531739</v>
      </c>
      <c r="AP73" s="764">
        <v>47.955996928377999</v>
      </c>
      <c r="AQ73" s="764">
        <v>43.967736875283386</v>
      </c>
      <c r="AR73" s="764">
        <v>38.226251371120306</v>
      </c>
      <c r="AS73" s="764">
        <v>31.854577056860759</v>
      </c>
      <c r="AT73" s="764">
        <v>30.222377293168766</v>
      </c>
      <c r="AU73" s="764">
        <v>29.220400251858266</v>
      </c>
      <c r="AV73" s="764">
        <v>27.346543120047915</v>
      </c>
      <c r="AW73" s="765">
        <v>28.504259329833662</v>
      </c>
      <c r="AX73" s="755">
        <v>4.5182921085631822E-2</v>
      </c>
      <c r="AY73" s="755">
        <v>-3.0218350366727487E-3</v>
      </c>
      <c r="AZ73" s="755">
        <v>7.7449279007421375E-3</v>
      </c>
    </row>
    <row r="74" spans="1:52" x14ac:dyDescent="0.3">
      <c r="A74" s="3" t="s">
        <v>646</v>
      </c>
      <c r="B74" s="764">
        <v>1.2788999999999999</v>
      </c>
      <c r="C74" s="764">
        <v>1.5225</v>
      </c>
      <c r="D74" s="764">
        <v>1.1276649999999999</v>
      </c>
      <c r="E74" s="764">
        <v>1.74783</v>
      </c>
      <c r="F74" s="764">
        <v>1.8046699999999998</v>
      </c>
      <c r="G74" s="764">
        <v>2.3649499999999999</v>
      </c>
      <c r="H74" s="764">
        <v>2.3852499999999996</v>
      </c>
      <c r="I74" s="764">
        <v>5.7449000000000003</v>
      </c>
      <c r="J74" s="764">
        <v>11.043200000000001</v>
      </c>
      <c r="K74" s="764">
        <v>16.016699999999997</v>
      </c>
      <c r="L74" s="764">
        <v>18.787650000000003</v>
      </c>
      <c r="M74" s="764">
        <v>19.051549999999999</v>
      </c>
      <c r="N74" s="764">
        <v>19.366199999999996</v>
      </c>
      <c r="O74" s="764">
        <v>22.096550000000001</v>
      </c>
      <c r="P74" s="764">
        <v>29.790249999999997</v>
      </c>
      <c r="Q74" s="764">
        <v>32.784499999999994</v>
      </c>
      <c r="R74" s="764">
        <v>34.114149999999995</v>
      </c>
      <c r="S74" s="764">
        <v>36.448649999999994</v>
      </c>
      <c r="T74" s="764">
        <v>39.808299999999996</v>
      </c>
      <c r="U74" s="764">
        <v>41.878899999999987</v>
      </c>
      <c r="V74" s="764">
        <v>44.539827083976</v>
      </c>
      <c r="W74" s="764">
        <v>48.909211758839248</v>
      </c>
      <c r="X74" s="764">
        <v>51.831083094404249</v>
      </c>
      <c r="Y74" s="764">
        <v>53.847565201741496</v>
      </c>
      <c r="Z74" s="764">
        <v>61.353291051890231</v>
      </c>
      <c r="AA74" s="764">
        <v>61.630429484629282</v>
      </c>
      <c r="AB74" s="764">
        <v>64.938779552678227</v>
      </c>
      <c r="AC74" s="764">
        <v>66.668977304382139</v>
      </c>
      <c r="AD74" s="764">
        <v>65.55651419810313</v>
      </c>
      <c r="AE74" s="764">
        <v>71.088834360552994</v>
      </c>
      <c r="AF74" s="764">
        <v>70.684424834294248</v>
      </c>
      <c r="AG74" s="764">
        <v>68.626497335791498</v>
      </c>
      <c r="AH74" s="764">
        <v>75.590242782883493</v>
      </c>
      <c r="AI74" s="764">
        <v>79.15684575133649</v>
      </c>
      <c r="AJ74" s="764">
        <v>75.694689767276984</v>
      </c>
      <c r="AK74" s="764">
        <v>76.269780496701742</v>
      </c>
      <c r="AL74" s="764">
        <v>75.397099212403518</v>
      </c>
      <c r="AM74" s="764">
        <v>72.579128770779732</v>
      </c>
      <c r="AN74" s="764">
        <v>74.829941165337743</v>
      </c>
      <c r="AO74" s="764">
        <v>78.044057117664735</v>
      </c>
      <c r="AP74" s="764">
        <v>87.000515366619737</v>
      </c>
      <c r="AQ74" s="764">
        <v>82.679042943540736</v>
      </c>
      <c r="AR74" s="764">
        <v>78.29956996611223</v>
      </c>
      <c r="AS74" s="764">
        <v>77.623653694240488</v>
      </c>
      <c r="AT74" s="764">
        <v>76.399577574720752</v>
      </c>
      <c r="AU74" s="764">
        <v>76.162200677608496</v>
      </c>
      <c r="AV74" s="764">
        <v>70.738990820074449</v>
      </c>
      <c r="AW74" s="765">
        <v>67.976394272232938</v>
      </c>
      <c r="AX74" s="755">
        <v>-3.6427840781514953E-2</v>
      </c>
      <c r="AY74" s="755">
        <v>-6.3568973557447395E-3</v>
      </c>
      <c r="AZ74" s="755">
        <v>1.8469950981670962E-2</v>
      </c>
    </row>
    <row r="75" spans="1:52" x14ac:dyDescent="0.3">
      <c r="A75" s="3" t="s">
        <v>939</v>
      </c>
      <c r="B75" s="764">
        <v>0</v>
      </c>
      <c r="C75" s="764">
        <v>8.2874915048938458E-2</v>
      </c>
      <c r="D75" s="764">
        <v>0.1160509398017512</v>
      </c>
      <c r="E75" s="764">
        <v>0.1160509398017512</v>
      </c>
      <c r="F75" s="764">
        <v>0.24192625470124776</v>
      </c>
      <c r="G75" s="764">
        <v>0.29162630833367864</v>
      </c>
      <c r="H75" s="764">
        <v>0.3471767802451578</v>
      </c>
      <c r="I75" s="764">
        <v>0.31767573488059581</v>
      </c>
      <c r="J75" s="764">
        <v>2.3655594531537183</v>
      </c>
      <c r="K75" s="764">
        <v>2.9354115989210245</v>
      </c>
      <c r="L75" s="764">
        <v>2.610935</v>
      </c>
      <c r="M75" s="764">
        <v>2.1992329999999995</v>
      </c>
      <c r="N75" s="764">
        <v>2.7667769999999998</v>
      </c>
      <c r="O75" s="764">
        <v>6.6721309999999994</v>
      </c>
      <c r="P75" s="764">
        <v>10.135545</v>
      </c>
      <c r="Q75" s="764">
        <v>11.198526999999999</v>
      </c>
      <c r="R75" s="764">
        <v>15.06085</v>
      </c>
      <c r="S75" s="764">
        <v>16.284326</v>
      </c>
      <c r="T75" s="764">
        <v>16.811164999999999</v>
      </c>
      <c r="U75" s="764">
        <v>18.195135000000001</v>
      </c>
      <c r="V75" s="764">
        <v>18.011381</v>
      </c>
      <c r="W75" s="764">
        <v>21.38757</v>
      </c>
      <c r="X75" s="764">
        <v>22.390075999999997</v>
      </c>
      <c r="Y75" s="764">
        <v>24.124109000000001</v>
      </c>
      <c r="Z75" s="764">
        <v>25.552273</v>
      </c>
      <c r="AA75" s="764">
        <v>28.288812</v>
      </c>
      <c r="AB75" s="764">
        <v>36.146039999999999</v>
      </c>
      <c r="AC75" s="764">
        <v>41.308596999999999</v>
      </c>
      <c r="AD75" s="764">
        <v>41.226023999999995</v>
      </c>
      <c r="AE75" s="764">
        <v>42.227366999999994</v>
      </c>
      <c r="AF75" s="764">
        <v>49.682196999999995</v>
      </c>
      <c r="AG75" s="764">
        <v>49.023938999999999</v>
      </c>
      <c r="AH75" s="764">
        <v>50.588173999999995</v>
      </c>
      <c r="AI75" s="764">
        <v>52.722278999999993</v>
      </c>
      <c r="AJ75" s="764">
        <v>60.142218999999997</v>
      </c>
      <c r="AK75" s="764">
        <v>67.698816634095692</v>
      </c>
      <c r="AL75" s="764">
        <v>68.464907862062844</v>
      </c>
      <c r="AM75" s="764">
        <v>67.629861332369259</v>
      </c>
      <c r="AN75" s="764">
        <v>69.205074896748926</v>
      </c>
      <c r="AO75" s="764">
        <v>66.914486475856535</v>
      </c>
      <c r="AP75" s="764">
        <v>67.562562248269103</v>
      </c>
      <c r="AQ75" s="764">
        <v>66.951167109572552</v>
      </c>
      <c r="AR75" s="764">
        <v>69.250720891855494</v>
      </c>
      <c r="AS75" s="764">
        <v>72.909513411678674</v>
      </c>
      <c r="AT75" s="764">
        <v>71.992257243098692</v>
      </c>
      <c r="AU75" s="764">
        <v>73.85592803205185</v>
      </c>
      <c r="AV75" s="764">
        <v>75.55589306839876</v>
      </c>
      <c r="AW75" s="765">
        <v>78.441238200028252</v>
      </c>
      <c r="AX75" s="755">
        <v>4.1024800696542574E-2</v>
      </c>
      <c r="AY75" s="755">
        <v>9.9038585712494243E-3</v>
      </c>
      <c r="AZ75" s="755">
        <v>2.1313366794565435E-2</v>
      </c>
    </row>
    <row r="76" spans="1:52" x14ac:dyDescent="0.3">
      <c r="A76" s="3" t="s">
        <v>967</v>
      </c>
      <c r="B76" s="764">
        <v>7.3687499999999986E-3</v>
      </c>
      <c r="C76" s="764">
        <v>1.424625E-2</v>
      </c>
      <c r="D76" s="764">
        <v>1.5228749999999999E-2</v>
      </c>
      <c r="E76" s="764">
        <v>1.8421874999999997E-2</v>
      </c>
      <c r="F76" s="764">
        <v>0.16481437500000001</v>
      </c>
      <c r="G76" s="764">
        <v>0.17684999999999998</v>
      </c>
      <c r="H76" s="764">
        <v>0.24562499999999998</v>
      </c>
      <c r="I76" s="764">
        <v>0.22597500000000001</v>
      </c>
      <c r="J76" s="764">
        <v>0.26527500000000004</v>
      </c>
      <c r="K76" s="764">
        <v>0.26527500000000004</v>
      </c>
      <c r="L76" s="764">
        <v>0.34387499999999993</v>
      </c>
      <c r="M76" s="764">
        <v>0.41264999999999996</v>
      </c>
      <c r="N76" s="764">
        <v>0.44212499999999999</v>
      </c>
      <c r="O76" s="764">
        <v>0.58949999999999991</v>
      </c>
      <c r="P76" s="764">
        <v>0.62880000000000003</v>
      </c>
      <c r="Q76" s="764">
        <v>0.90390000000000004</v>
      </c>
      <c r="R76" s="764">
        <v>1.0512750000000002</v>
      </c>
      <c r="S76" s="764">
        <v>1.1691750000000001</v>
      </c>
      <c r="T76" s="764">
        <v>1.0218</v>
      </c>
      <c r="U76" s="764">
        <v>1.0709250000000001</v>
      </c>
      <c r="V76" s="764">
        <v>0.83512500000000001</v>
      </c>
      <c r="W76" s="764">
        <v>0.84494999999999998</v>
      </c>
      <c r="X76" s="764">
        <v>0.85477499999999995</v>
      </c>
      <c r="Y76" s="764">
        <v>1.0807500000000001</v>
      </c>
      <c r="Z76" s="764">
        <v>1.4049750000000001</v>
      </c>
      <c r="AA76" s="764">
        <v>1.6112999999999997</v>
      </c>
      <c r="AB76" s="764">
        <v>1.5720000000000001</v>
      </c>
      <c r="AC76" s="764">
        <v>1.4835749999999999</v>
      </c>
      <c r="AD76" s="764">
        <v>1.7291999999999998</v>
      </c>
      <c r="AE76" s="764">
        <v>1.6899</v>
      </c>
      <c r="AF76" s="764">
        <v>3.3405</v>
      </c>
      <c r="AG76" s="764">
        <v>6.8774999999999995</v>
      </c>
      <c r="AH76" s="764">
        <v>8.2530000000000001</v>
      </c>
      <c r="AI76" s="764">
        <v>9.4319999999999986</v>
      </c>
      <c r="AJ76" s="764">
        <v>10.0215</v>
      </c>
      <c r="AK76" s="764">
        <v>11.986499999999998</v>
      </c>
      <c r="AL76" s="764">
        <v>12.3795</v>
      </c>
      <c r="AM76" s="764">
        <v>13.283399999999999</v>
      </c>
      <c r="AN76" s="764">
        <v>12.183</v>
      </c>
      <c r="AO76" s="764">
        <v>11.352372271035749</v>
      </c>
      <c r="AP76" s="764">
        <v>12.207877403629499</v>
      </c>
      <c r="AQ76" s="764">
        <v>12.55002381405675</v>
      </c>
      <c r="AR76" s="764">
        <v>12.511101808186874</v>
      </c>
      <c r="AS76" s="764">
        <v>12.860941922333391</v>
      </c>
      <c r="AT76" s="764">
        <v>16.543191812325592</v>
      </c>
      <c r="AU76" s="764">
        <v>19.216683745082133</v>
      </c>
      <c r="AV76" s="764">
        <v>18.280075891279342</v>
      </c>
      <c r="AW76" s="765">
        <v>17.978966797713717</v>
      </c>
      <c r="AX76" s="755">
        <v>-1.3784747665232744E-2</v>
      </c>
      <c r="AY76" s="755">
        <v>3.9746552453774342E-2</v>
      </c>
      <c r="AZ76" s="755">
        <v>4.8850875220739186E-3</v>
      </c>
    </row>
    <row r="77" spans="1:52" x14ac:dyDescent="0.3">
      <c r="A77" s="3" t="s">
        <v>968</v>
      </c>
      <c r="B77" s="764">
        <v>2.9103924999999995</v>
      </c>
      <c r="C77" s="764">
        <v>2.9020424999999994</v>
      </c>
      <c r="D77" s="764">
        <v>2.6895349999999998</v>
      </c>
      <c r="E77" s="764">
        <v>3.0636149999999995</v>
      </c>
      <c r="F77" s="764">
        <v>3.3892649999999995</v>
      </c>
      <c r="G77" s="764">
        <v>3.807599999999999</v>
      </c>
      <c r="H77" s="764">
        <v>3.8827499999999997</v>
      </c>
      <c r="I77" s="764">
        <v>4.2417999999999987</v>
      </c>
      <c r="J77" s="764">
        <v>4.3586999999999989</v>
      </c>
      <c r="K77" s="764">
        <v>4.9097999999999988</v>
      </c>
      <c r="L77" s="764">
        <v>5.9952999999999994</v>
      </c>
      <c r="M77" s="764">
        <v>6.5380499999999984</v>
      </c>
      <c r="N77" s="764">
        <v>7.1308999999999969</v>
      </c>
      <c r="O77" s="764">
        <v>7.0306999999999986</v>
      </c>
      <c r="P77" s="764">
        <v>7.2143999999999995</v>
      </c>
      <c r="Q77" s="764">
        <v>7.3646999999999982</v>
      </c>
      <c r="R77" s="764">
        <v>7.8990999999999989</v>
      </c>
      <c r="S77" s="764">
        <v>8.4585499999999989</v>
      </c>
      <c r="T77" s="764">
        <v>8.9678999999999984</v>
      </c>
      <c r="U77" s="764">
        <v>9.560749999999997</v>
      </c>
      <c r="V77" s="764">
        <v>10.212049999999998</v>
      </c>
      <c r="W77" s="764">
        <v>11.030349999999999</v>
      </c>
      <c r="X77" s="764">
        <v>10.821599999999998</v>
      </c>
      <c r="Y77" s="764">
        <v>12.458199999999998</v>
      </c>
      <c r="Z77" s="764">
        <v>12.700349999999997</v>
      </c>
      <c r="AA77" s="764">
        <v>13.025999999999996</v>
      </c>
      <c r="AB77" s="764">
        <v>14.153249999999995</v>
      </c>
      <c r="AC77" s="764">
        <v>14.111499999999994</v>
      </c>
      <c r="AD77" s="764">
        <v>14.862999999999996</v>
      </c>
      <c r="AE77" s="764">
        <v>16.950499999999995</v>
      </c>
      <c r="AF77" s="764">
        <v>17.952499999999997</v>
      </c>
      <c r="AG77" s="764">
        <v>18.954499999999996</v>
      </c>
      <c r="AH77" s="764">
        <v>20.549349999999993</v>
      </c>
      <c r="AI77" s="764">
        <v>25.550380258377775</v>
      </c>
      <c r="AJ77" s="764">
        <v>30.676594838783618</v>
      </c>
      <c r="AK77" s="764">
        <v>32.610188641514242</v>
      </c>
      <c r="AL77" s="764">
        <v>33.31947844487474</v>
      </c>
      <c r="AM77" s="764">
        <v>33.800255303886367</v>
      </c>
      <c r="AN77" s="764">
        <v>34.607610960284987</v>
      </c>
      <c r="AO77" s="764">
        <v>34.70166905875049</v>
      </c>
      <c r="AP77" s="764">
        <v>35.348395330552492</v>
      </c>
      <c r="AQ77" s="764">
        <v>35.339646839744987</v>
      </c>
      <c r="AR77" s="764">
        <v>36.597230571038246</v>
      </c>
      <c r="AS77" s="764">
        <v>35.585728645200909</v>
      </c>
      <c r="AT77" s="764">
        <v>34.986689451007805</v>
      </c>
      <c r="AU77" s="764">
        <v>35.047566178960338</v>
      </c>
      <c r="AV77" s="764">
        <v>34.678688664964767</v>
      </c>
      <c r="AW77" s="765">
        <v>34.650117276215965</v>
      </c>
      <c r="AX77" s="755">
        <v>1.9061004141232019E-3</v>
      </c>
      <c r="AY77" s="755">
        <v>4.0063213858170243E-3</v>
      </c>
      <c r="AZ77" s="755">
        <v>9.4148266387568767E-3</v>
      </c>
    </row>
    <row r="78" spans="1:52" x14ac:dyDescent="0.3">
      <c r="A78" s="3" t="s">
        <v>894</v>
      </c>
      <c r="B78" s="764">
        <v>0</v>
      </c>
      <c r="C78" s="764">
        <v>0</v>
      </c>
      <c r="D78" s="764">
        <v>0</v>
      </c>
      <c r="E78" s="764">
        <v>0</v>
      </c>
      <c r="F78" s="764">
        <v>0</v>
      </c>
      <c r="G78" s="764">
        <v>0</v>
      </c>
      <c r="H78" s="764">
        <v>0</v>
      </c>
      <c r="I78" s="764">
        <v>0</v>
      </c>
      <c r="J78" s="764">
        <v>0</v>
      </c>
      <c r="K78" s="764">
        <v>0</v>
      </c>
      <c r="L78" s="764">
        <v>0</v>
      </c>
      <c r="M78" s="764">
        <v>0.27255609527385433</v>
      </c>
      <c r="N78" s="764">
        <v>1.3891568726860963</v>
      </c>
      <c r="O78" s="764">
        <v>1.6353365716431258</v>
      </c>
      <c r="P78" s="764">
        <v>2.4412820146572107</v>
      </c>
      <c r="Q78" s="764">
        <v>3.209128218546994</v>
      </c>
      <c r="R78" s="764">
        <v>3.7439829216381604</v>
      </c>
      <c r="S78" s="764">
        <v>5.2308789962316009</v>
      </c>
      <c r="T78" s="764">
        <v>6.1998598755906809</v>
      </c>
      <c r="U78" s="764">
        <v>6.1936174617956992</v>
      </c>
      <c r="V78" s="764">
        <v>6.7498663530105114</v>
      </c>
      <c r="W78" s="764">
        <v>8.3651275563458309</v>
      </c>
      <c r="X78" s="764">
        <v>8.9243657724765484</v>
      </c>
      <c r="Y78" s="764">
        <v>10.044571324052093</v>
      </c>
      <c r="Z78" s="764">
        <v>11.103583636172599</v>
      </c>
      <c r="AA78" s="764">
        <v>11.756106373943824</v>
      </c>
      <c r="AB78" s="764">
        <v>13.590350280922824</v>
      </c>
      <c r="AC78" s="764">
        <v>16.730255112691662</v>
      </c>
      <c r="AD78" s="764">
        <v>18.163665716975988</v>
      </c>
      <c r="AE78" s="764">
        <v>19.896594954991365</v>
      </c>
      <c r="AF78" s="764">
        <v>20.895029476904231</v>
      </c>
      <c r="AG78" s="764">
        <v>20.324478717464299</v>
      </c>
      <c r="AH78" s="764">
        <v>21.244428806781102</v>
      </c>
      <c r="AI78" s="764">
        <v>22.217864366407021</v>
      </c>
      <c r="AJ78" s="764">
        <v>23.147573722361059</v>
      </c>
      <c r="AK78" s="764">
        <v>24.51773958969904</v>
      </c>
      <c r="AL78" s="764">
        <v>25.170262327470262</v>
      </c>
      <c r="AM78" s="764">
        <v>26.903191565485635</v>
      </c>
      <c r="AN78" s="764">
        <v>29.797942447043098</v>
      </c>
      <c r="AO78" s="764">
        <v>31.984311244851707</v>
      </c>
      <c r="AP78" s="764">
        <v>37.504011780752542</v>
      </c>
      <c r="AQ78" s="764">
        <v>38.263505459141996</v>
      </c>
      <c r="AR78" s="764">
        <v>42.862699070692663</v>
      </c>
      <c r="AS78" s="764">
        <v>43.259048386013482</v>
      </c>
      <c r="AT78" s="764">
        <v>43.569264113806362</v>
      </c>
      <c r="AU78" s="764">
        <v>41.183812138019761</v>
      </c>
      <c r="AV78" s="764">
        <v>40.406353203027848</v>
      </c>
      <c r="AW78" s="765">
        <v>38.691389221614926</v>
      </c>
      <c r="AX78" s="755">
        <v>-3.9826652881191471E-2</v>
      </c>
      <c r="AY78" s="755">
        <v>4.8470441648314599E-2</v>
      </c>
      <c r="AZ78" s="755">
        <v>1.0512885686081349E-2</v>
      </c>
    </row>
    <row r="79" spans="1:52" x14ac:dyDescent="0.3">
      <c r="A79" s="3" t="s">
        <v>940</v>
      </c>
      <c r="B79" s="764">
        <v>0</v>
      </c>
      <c r="C79" s="764">
        <v>0</v>
      </c>
      <c r="D79" s="764">
        <v>0</v>
      </c>
      <c r="E79" s="764">
        <v>0</v>
      </c>
      <c r="F79" s="764">
        <v>0</v>
      </c>
      <c r="G79" s="764">
        <v>0</v>
      </c>
      <c r="H79" s="764">
        <v>0</v>
      </c>
      <c r="I79" s="764">
        <v>0</v>
      </c>
      <c r="J79" s="764">
        <v>0</v>
      </c>
      <c r="K79" s="764">
        <v>0</v>
      </c>
      <c r="L79" s="764">
        <v>0</v>
      </c>
      <c r="M79" s="764">
        <v>9.6499999999999989E-3</v>
      </c>
      <c r="N79" s="764">
        <v>1.8334999999999997E-2</v>
      </c>
      <c r="O79" s="764">
        <v>6.32075E-2</v>
      </c>
      <c r="P79" s="764">
        <v>5.5004999999999998E-2</v>
      </c>
      <c r="Q79" s="764">
        <v>3.4257500000000003E-2</v>
      </c>
      <c r="R79" s="764">
        <v>3.5705000000000001E-2</v>
      </c>
      <c r="S79" s="764">
        <v>3.5705000000000001E-2</v>
      </c>
      <c r="T79" s="764">
        <v>2.7020000000000002E-2</v>
      </c>
      <c r="U79" s="764">
        <v>3.1844999999999998E-2</v>
      </c>
      <c r="V79" s="764">
        <v>3.8599999999999995E-2</v>
      </c>
      <c r="W79" s="764">
        <v>6.9480000000000014E-2</v>
      </c>
      <c r="X79" s="764">
        <v>0.20265</v>
      </c>
      <c r="Y79" s="764">
        <v>0.24124999999999999</v>
      </c>
      <c r="Z79" s="764">
        <v>0.24124999999999999</v>
      </c>
      <c r="AA79" s="764">
        <v>0.14040749999999999</v>
      </c>
      <c r="AB79" s="764">
        <v>0.27695500000000001</v>
      </c>
      <c r="AC79" s="764">
        <v>0.51241499999999995</v>
      </c>
      <c r="AD79" s="764">
        <v>0.86850000000000005</v>
      </c>
      <c r="AE79" s="764">
        <v>1.2544999999999999</v>
      </c>
      <c r="AF79" s="764">
        <v>1.5439999999999998</v>
      </c>
      <c r="AG79" s="764">
        <v>1.93</v>
      </c>
      <c r="AH79" s="764">
        <v>2.3160000000000003</v>
      </c>
      <c r="AI79" s="764">
        <v>2.2899449999999999</v>
      </c>
      <c r="AJ79" s="764">
        <v>4.0144000000000002</v>
      </c>
      <c r="AK79" s="764">
        <v>6.2146000000000008</v>
      </c>
      <c r="AL79" s="764">
        <v>6.7549999999999999</v>
      </c>
      <c r="AM79" s="764">
        <v>6.8321999999999994</v>
      </c>
      <c r="AN79" s="764">
        <v>7.2365349999999999</v>
      </c>
      <c r="AO79" s="764">
        <v>7.7296499999999995</v>
      </c>
      <c r="AP79" s="764">
        <v>9.0729299999999977</v>
      </c>
      <c r="AQ79" s="764">
        <v>8.1831999999999994</v>
      </c>
      <c r="AR79" s="764">
        <v>9.0275750000000006</v>
      </c>
      <c r="AS79" s="764">
        <v>9.4097149999999985</v>
      </c>
      <c r="AT79" s="764">
        <v>9.8526500000000006</v>
      </c>
      <c r="AU79" s="764">
        <v>10.286899999999999</v>
      </c>
      <c r="AV79" s="764">
        <v>10.23865</v>
      </c>
      <c r="AW79" s="765">
        <v>9.4533455449999995</v>
      </c>
      <c r="AX79" s="755">
        <v>-7.4177322404372137E-2</v>
      </c>
      <c r="AY79" s="755">
        <v>4.2465603974493504E-2</v>
      </c>
      <c r="AZ79" s="755">
        <v>2.5685803240709619E-3</v>
      </c>
    </row>
    <row r="80" spans="1:52" x14ac:dyDescent="0.3">
      <c r="A80" s="3" t="s">
        <v>941</v>
      </c>
      <c r="B80" s="764">
        <v>5.4356451640485606</v>
      </c>
      <c r="C80" s="764">
        <v>6.1048359829561898</v>
      </c>
      <c r="D80" s="764">
        <v>6.6231931581493502</v>
      </c>
      <c r="E80" s="764">
        <v>6.8531798021976984</v>
      </c>
      <c r="F80" s="764">
        <v>7.2178146510147094</v>
      </c>
      <c r="G80" s="764">
        <v>7.0944879857660696</v>
      </c>
      <c r="H80" s="764">
        <v>7.7936423128435752</v>
      </c>
      <c r="I80" s="764">
        <v>8.8117932074538565</v>
      </c>
      <c r="J80" s="764">
        <v>8.4510203236594759</v>
      </c>
      <c r="K80" s="764">
        <v>7.5297043737823168</v>
      </c>
      <c r="L80" s="764">
        <v>7.7316514119694073</v>
      </c>
      <c r="M80" s="764">
        <v>7.4188486626170409</v>
      </c>
      <c r="N80" s="764">
        <v>7.9021622263432141</v>
      </c>
      <c r="O80" s="764">
        <v>8.1420662551573866</v>
      </c>
      <c r="P80" s="764">
        <v>8.9513194658211521</v>
      </c>
      <c r="Q80" s="764">
        <v>9.7843611571906379</v>
      </c>
      <c r="R80" s="764">
        <v>10.27811999976065</v>
      </c>
      <c r="S80" s="764">
        <v>10.25484183724099</v>
      </c>
      <c r="T80" s="764">
        <v>10.70873351602253</v>
      </c>
      <c r="U80" s="764">
        <v>8.1640457717932939</v>
      </c>
      <c r="V80" s="764">
        <v>7.9676311914236173</v>
      </c>
      <c r="W80" s="764">
        <v>8.1541802772426806</v>
      </c>
      <c r="X80" s="764">
        <v>8.4082687750165128</v>
      </c>
      <c r="Y80" s="764">
        <v>8.3055554460949033</v>
      </c>
      <c r="Z80" s="764">
        <v>8.0812336318882707</v>
      </c>
      <c r="AA80" s="764">
        <v>7.820571918679458</v>
      </c>
      <c r="AB80" s="764">
        <v>8.4612717337769094</v>
      </c>
      <c r="AC80" s="764">
        <v>8.7862433387311327</v>
      </c>
      <c r="AD80" s="764">
        <v>8.2112855035161623</v>
      </c>
      <c r="AE80" s="764">
        <v>8.8883519733992635</v>
      </c>
      <c r="AF80" s="764">
        <v>9.2880419928341418</v>
      </c>
      <c r="AG80" s="764">
        <v>9.8156212673852092</v>
      </c>
      <c r="AH80" s="764">
        <v>11.154030706793876</v>
      </c>
      <c r="AI80" s="764">
        <v>10.893083937495138</v>
      </c>
      <c r="AJ80" s="764">
        <v>10.483508878418903</v>
      </c>
      <c r="AK80" s="764">
        <v>11.269891232151419</v>
      </c>
      <c r="AL80" s="764">
        <v>14.548240342977394</v>
      </c>
      <c r="AM80" s="764">
        <v>17.24801287874449</v>
      </c>
      <c r="AN80" s="764">
        <v>18.25733873433148</v>
      </c>
      <c r="AO80" s="764">
        <v>18.587873188405215</v>
      </c>
      <c r="AP80" s="764">
        <v>18.104282143968934</v>
      </c>
      <c r="AQ80" s="764">
        <v>18.266922479787951</v>
      </c>
      <c r="AR80" s="764">
        <v>18.035233446719271</v>
      </c>
      <c r="AS80" s="764">
        <v>18.638636478132945</v>
      </c>
      <c r="AT80" s="764">
        <v>23.45733150974311</v>
      </c>
      <c r="AU80" s="764">
        <v>29.312498133533012</v>
      </c>
      <c r="AV80" s="764">
        <v>30.479945178355877</v>
      </c>
      <c r="AW80" s="765">
        <v>30.587933335680564</v>
      </c>
      <c r="AX80" s="755">
        <v>6.284845479628931E-3</v>
      </c>
      <c r="AY80" s="755">
        <v>7.6763613975633804E-2</v>
      </c>
      <c r="AZ80" s="755">
        <v>8.3110855671174304E-3</v>
      </c>
    </row>
    <row r="81" spans="1:52" x14ac:dyDescent="0.3">
      <c r="A81" s="756" t="s">
        <v>942</v>
      </c>
      <c r="B81" s="766">
        <v>15.101651700842915</v>
      </c>
      <c r="C81" s="766">
        <v>17.86078432144534</v>
      </c>
      <c r="D81" s="766">
        <v>20.766739022379618</v>
      </c>
      <c r="E81" s="766">
        <v>25.771795049550384</v>
      </c>
      <c r="F81" s="766">
        <v>31.394469214064038</v>
      </c>
      <c r="G81" s="766">
        <v>35.556973121973783</v>
      </c>
      <c r="H81" s="766">
        <v>40.939492568104015</v>
      </c>
      <c r="I81" s="766">
        <v>49.873426441372793</v>
      </c>
      <c r="J81" s="766">
        <v>59.334621524649862</v>
      </c>
      <c r="K81" s="766">
        <v>67.479944127355353</v>
      </c>
      <c r="L81" s="766">
        <v>71.886261164116704</v>
      </c>
      <c r="M81" s="766">
        <v>72.231656822551841</v>
      </c>
      <c r="N81" s="766">
        <v>75.243675204936821</v>
      </c>
      <c r="O81" s="766">
        <v>84.790689075740602</v>
      </c>
      <c r="P81" s="766">
        <v>98.676806305157058</v>
      </c>
      <c r="Q81" s="766">
        <v>106.98783518517173</v>
      </c>
      <c r="R81" s="766">
        <v>118.03394024319888</v>
      </c>
      <c r="S81" s="766">
        <v>125.57719181108261</v>
      </c>
      <c r="T81" s="766">
        <v>134.09656174277646</v>
      </c>
      <c r="U81" s="766">
        <v>140.44563855750724</v>
      </c>
      <c r="V81" s="766">
        <v>149.25326472376557</v>
      </c>
      <c r="W81" s="766">
        <v>162.4042685952962</v>
      </c>
      <c r="X81" s="766">
        <v>171.76052828522643</v>
      </c>
      <c r="Y81" s="766">
        <v>181.86748264180611</v>
      </c>
      <c r="Z81" s="766">
        <v>198.2120115214401</v>
      </c>
      <c r="AA81" s="766">
        <v>208.24793324984918</v>
      </c>
      <c r="AB81" s="766">
        <v>227.38028495106389</v>
      </c>
      <c r="AC81" s="766">
        <v>242.06300507811261</v>
      </c>
      <c r="AD81" s="766">
        <v>246.08506253973971</v>
      </c>
      <c r="AE81" s="766">
        <v>261.55582183635693</v>
      </c>
      <c r="AF81" s="766">
        <v>277.42941814013301</v>
      </c>
      <c r="AG81" s="766">
        <v>285.44446280071946</v>
      </c>
      <c r="AH81" s="766">
        <v>304.01238151677944</v>
      </c>
      <c r="AI81" s="766">
        <v>323.24854005338671</v>
      </c>
      <c r="AJ81" s="766">
        <v>344.30175213387184</v>
      </c>
      <c r="AK81" s="766">
        <v>371.99569856538761</v>
      </c>
      <c r="AL81" s="766">
        <v>390.53661657132187</v>
      </c>
      <c r="AM81" s="766">
        <v>407.06040701259099</v>
      </c>
      <c r="AN81" s="766">
        <v>426.35028838879549</v>
      </c>
      <c r="AO81" s="766">
        <v>447.51723027646381</v>
      </c>
      <c r="AP81" s="766">
        <v>496.54078157795919</v>
      </c>
      <c r="AQ81" s="766">
        <v>500.07846699070672</v>
      </c>
      <c r="AR81" s="766">
        <v>509.4021049058498</v>
      </c>
      <c r="AS81" s="766">
        <v>519.60678061845272</v>
      </c>
      <c r="AT81" s="766">
        <v>539.4266186811285</v>
      </c>
      <c r="AU81" s="766">
        <v>564.01264524013288</v>
      </c>
      <c r="AV81" s="766">
        <v>580.27315180472783</v>
      </c>
      <c r="AW81" s="766">
        <v>607.52651207349652</v>
      </c>
      <c r="AX81" s="758">
        <v>4.9826997305970844E-2</v>
      </c>
      <c r="AY81" s="758">
        <v>4.0392162158363387E-2</v>
      </c>
      <c r="AZ81" s="758">
        <v>0.16507178731965444</v>
      </c>
    </row>
    <row r="82" spans="1:52" x14ac:dyDescent="0.3">
      <c r="B82" s="764"/>
      <c r="C82" s="764"/>
      <c r="D82" s="764"/>
      <c r="E82" s="764"/>
      <c r="F82" s="764"/>
      <c r="G82" s="764"/>
      <c r="H82" s="764"/>
      <c r="I82" s="764"/>
      <c r="J82" s="764"/>
      <c r="K82" s="764"/>
      <c r="L82" s="764"/>
      <c r="M82" s="764"/>
      <c r="N82" s="764"/>
      <c r="O82" s="764"/>
      <c r="P82" s="764"/>
      <c r="Q82" s="764"/>
      <c r="R82" s="764"/>
      <c r="S82" s="764"/>
      <c r="T82" s="764"/>
      <c r="U82" s="764"/>
      <c r="V82" s="764"/>
      <c r="W82" s="764"/>
      <c r="X82" s="764"/>
      <c r="Y82" s="764"/>
      <c r="Z82" s="764"/>
      <c r="AA82" s="764"/>
      <c r="AB82" s="764"/>
      <c r="AC82" s="764"/>
      <c r="AD82" s="764"/>
      <c r="AE82" s="764"/>
      <c r="AF82" s="764"/>
      <c r="AG82" s="764"/>
      <c r="AH82" s="764"/>
      <c r="AI82" s="764"/>
      <c r="AJ82" s="764"/>
      <c r="AK82" s="764"/>
      <c r="AL82" s="764"/>
      <c r="AM82" s="764"/>
      <c r="AN82" s="764"/>
      <c r="AO82" s="764"/>
      <c r="AP82" s="764"/>
      <c r="AQ82" s="764"/>
      <c r="AR82" s="764"/>
      <c r="AS82" s="764"/>
      <c r="AT82" s="764"/>
      <c r="AU82" s="764"/>
      <c r="AV82" s="764"/>
      <c r="AW82" s="765"/>
      <c r="AX82" s="755"/>
      <c r="AY82" s="755"/>
      <c r="AZ82" s="755"/>
    </row>
    <row r="83" spans="1:52" x14ac:dyDescent="0.3">
      <c r="A83" s="750" t="s">
        <v>943</v>
      </c>
      <c r="B83" s="765">
        <v>975.80139172882934</v>
      </c>
      <c r="C83" s="765">
        <v>1043.9461607679041</v>
      </c>
      <c r="D83" s="765">
        <v>1095.4537939197071</v>
      </c>
      <c r="E83" s="765">
        <v>1148.2204090034784</v>
      </c>
      <c r="F83" s="765">
        <v>1172.5327740476612</v>
      </c>
      <c r="G83" s="765">
        <v>1175.2142051184424</v>
      </c>
      <c r="H83" s="765">
        <v>1226.169527598626</v>
      </c>
      <c r="I83" s="765">
        <v>1278.2867323453718</v>
      </c>
      <c r="J83" s="765">
        <v>1322.0735862907202</v>
      </c>
      <c r="K83" s="765">
        <v>1411.1738822897173</v>
      </c>
      <c r="L83" s="765">
        <v>1429.5516723789374</v>
      </c>
      <c r="M83" s="765">
        <v>1454.3707456391742</v>
      </c>
      <c r="N83" s="765">
        <v>1457.7597109401952</v>
      </c>
      <c r="O83" s="765">
        <v>1469.8783275302965</v>
      </c>
      <c r="P83" s="765">
        <v>1597.0052144099661</v>
      </c>
      <c r="Q83" s="765">
        <v>1639.4498014653011</v>
      </c>
      <c r="R83" s="765">
        <v>1682.9641042384992</v>
      </c>
      <c r="S83" s="765">
        <v>1768.2196775394657</v>
      </c>
      <c r="T83" s="765">
        <v>1846.3208377155829</v>
      </c>
      <c r="U83" s="765">
        <v>1909.1591543156583</v>
      </c>
      <c r="V83" s="765">
        <v>1976.2774094221274</v>
      </c>
      <c r="W83" s="765">
        <v>2003.7511523901599</v>
      </c>
      <c r="X83" s="765">
        <v>2012.5387291255531</v>
      </c>
      <c r="Y83" s="765">
        <v>2031.4728097705436</v>
      </c>
      <c r="Z83" s="765">
        <v>2056.950838252571</v>
      </c>
      <c r="AA83" s="765">
        <v>2093.5899926213351</v>
      </c>
      <c r="AB83" s="765">
        <v>2191.9357031742484</v>
      </c>
      <c r="AC83" s="765">
        <v>2192.7492344758525</v>
      </c>
      <c r="AD83" s="765">
        <v>2249.6830168790261</v>
      </c>
      <c r="AE83" s="765">
        <v>2314.3039065137882</v>
      </c>
      <c r="AF83" s="765">
        <v>2405.5238977696354</v>
      </c>
      <c r="AG83" s="765">
        <v>2464.4551417603366</v>
      </c>
      <c r="AH83" s="765">
        <v>2520.065774387856</v>
      </c>
      <c r="AI83" s="765">
        <v>2613.2873496446796</v>
      </c>
      <c r="AJ83" s="765">
        <v>2699.5474489307867</v>
      </c>
      <c r="AK83" s="765">
        <v>2764.9003618424576</v>
      </c>
      <c r="AL83" s="765">
        <v>2866.5386171300979</v>
      </c>
      <c r="AM83" s="765">
        <v>2941.3232940636217</v>
      </c>
      <c r="AN83" s="765">
        <v>3045.4396862421754</v>
      </c>
      <c r="AO83" s="765">
        <v>2952.7629962401938</v>
      </c>
      <c r="AP83" s="765">
        <v>3169.3161163419418</v>
      </c>
      <c r="AQ83" s="765">
        <v>3269.0177679572757</v>
      </c>
      <c r="AR83" s="765">
        <v>3337.1329586289512</v>
      </c>
      <c r="AS83" s="765">
        <v>3376.188646948633</v>
      </c>
      <c r="AT83" s="765">
        <v>3446.86455215771</v>
      </c>
      <c r="AU83" s="765">
        <v>3519.4285606904286</v>
      </c>
      <c r="AV83" s="765">
        <v>3549.8174068664225</v>
      </c>
      <c r="AW83" s="765">
        <v>3680.377621992106</v>
      </c>
      <c r="AX83" s="759">
        <v>3.9612147773152362E-2</v>
      </c>
      <c r="AY83" s="759">
        <v>2.1609262374953753E-2</v>
      </c>
      <c r="AZ83" s="759">
        <v>1</v>
      </c>
    </row>
    <row r="84" spans="1:52" x14ac:dyDescent="0.3">
      <c r="A84" s="3" t="s">
        <v>944</v>
      </c>
      <c r="B84" s="764">
        <v>722.90539254092334</v>
      </c>
      <c r="C84" s="764">
        <v>766.74784598542442</v>
      </c>
      <c r="D84" s="764">
        <v>799.45315872081051</v>
      </c>
      <c r="E84" s="764">
        <v>823.41767794354109</v>
      </c>
      <c r="F84" s="764">
        <v>816.07895405790828</v>
      </c>
      <c r="G84" s="764">
        <v>781.9303424856779</v>
      </c>
      <c r="H84" s="764">
        <v>790.6227378583925</v>
      </c>
      <c r="I84" s="764">
        <v>803.98809335777787</v>
      </c>
      <c r="J84" s="764">
        <v>808.62094116203377</v>
      </c>
      <c r="K84" s="764">
        <v>840.82365091444774</v>
      </c>
      <c r="L84" s="764">
        <v>831.12568055249767</v>
      </c>
      <c r="M84" s="764">
        <v>821.03859413183341</v>
      </c>
      <c r="N84" s="764">
        <v>773.97176482803354</v>
      </c>
      <c r="O84" s="764">
        <v>729.86257704821173</v>
      </c>
      <c r="P84" s="764">
        <v>778.31682160373066</v>
      </c>
      <c r="Q84" s="764">
        <v>765.44759959119824</v>
      </c>
      <c r="R84" s="764">
        <v>741.77099638977302</v>
      </c>
      <c r="S84" s="764">
        <v>771.82232834979402</v>
      </c>
      <c r="T84" s="764">
        <v>787.11159260522129</v>
      </c>
      <c r="U84" s="764">
        <v>807.3964455332125</v>
      </c>
      <c r="V84" s="764">
        <v>828.53931252472512</v>
      </c>
      <c r="W84" s="764">
        <v>850.09264536479986</v>
      </c>
      <c r="X84" s="764">
        <v>869.23537560047873</v>
      </c>
      <c r="Y84" s="764">
        <v>901.48266391382163</v>
      </c>
      <c r="Z84" s="764">
        <v>941.43244167257365</v>
      </c>
      <c r="AA84" s="764">
        <v>954.67644218417195</v>
      </c>
      <c r="AB84" s="764">
        <v>999.80589778542594</v>
      </c>
      <c r="AC84" s="764">
        <v>1005.083242250251</v>
      </c>
      <c r="AD84" s="764">
        <v>1018.9343835376666</v>
      </c>
      <c r="AE84" s="764">
        <v>1027.3749954288594</v>
      </c>
      <c r="AF84" s="764">
        <v>1048.8428167479892</v>
      </c>
      <c r="AG84" s="764">
        <v>1071.927938344134</v>
      </c>
      <c r="AH84" s="764">
        <v>1059.7799916371457</v>
      </c>
      <c r="AI84" s="764">
        <v>1065.4802655268456</v>
      </c>
      <c r="AJ84" s="764">
        <v>1066.7109159529778</v>
      </c>
      <c r="AK84" s="764">
        <v>1056.4474954947823</v>
      </c>
      <c r="AL84" s="764">
        <v>1067.9822676113679</v>
      </c>
      <c r="AM84" s="764">
        <v>1072.6602297493184</v>
      </c>
      <c r="AN84" s="764">
        <v>1100.4222560217593</v>
      </c>
      <c r="AO84" s="764">
        <v>1095.0804107719223</v>
      </c>
      <c r="AP84" s="764">
        <v>1120.179860079829</v>
      </c>
      <c r="AQ84" s="764">
        <v>1139.5687131304473</v>
      </c>
      <c r="AR84" s="764">
        <v>1175.5105760708866</v>
      </c>
      <c r="AS84" s="764">
        <v>1184.1849007722292</v>
      </c>
      <c r="AT84" s="764">
        <v>1232.3011640605059</v>
      </c>
      <c r="AU84" s="764">
        <v>1271.1016161675384</v>
      </c>
      <c r="AV84" s="764">
        <v>1286.6278188378653</v>
      </c>
      <c r="AW84" s="765">
        <v>1313.5774841288735</v>
      </c>
      <c r="AX84" s="755">
        <v>2.3735437990194397E-2</v>
      </c>
      <c r="AY84" s="755">
        <v>1.8799890322935164E-2</v>
      </c>
      <c r="AZ84" s="755">
        <v>0.35691377870563823</v>
      </c>
    </row>
    <row r="85" spans="1:52" x14ac:dyDescent="0.3">
      <c r="A85" s="3" t="s">
        <v>945</v>
      </c>
      <c r="B85" s="764">
        <v>252.89599918790594</v>
      </c>
      <c r="C85" s="764">
        <v>277.1983147824796</v>
      </c>
      <c r="D85" s="764">
        <v>296.00063519889699</v>
      </c>
      <c r="E85" s="764">
        <v>324.80273105993746</v>
      </c>
      <c r="F85" s="764">
        <v>356.4538199897529</v>
      </c>
      <c r="G85" s="764">
        <v>393.28386263276468</v>
      </c>
      <c r="H85" s="764">
        <v>435.54678974023363</v>
      </c>
      <c r="I85" s="764">
        <v>474.29863898759373</v>
      </c>
      <c r="J85" s="764">
        <v>513.45264512868653</v>
      </c>
      <c r="K85" s="764">
        <v>570.35023137526935</v>
      </c>
      <c r="L85" s="764">
        <v>598.42599182643926</v>
      </c>
      <c r="M85" s="764">
        <v>633.33215150734088</v>
      </c>
      <c r="N85" s="764">
        <v>683.78794611216165</v>
      </c>
      <c r="O85" s="764">
        <v>740.01575048208474</v>
      </c>
      <c r="P85" s="764">
        <v>818.68839280623581</v>
      </c>
      <c r="Q85" s="764">
        <v>874.00220187410264</v>
      </c>
      <c r="R85" s="764">
        <v>941.19310784872664</v>
      </c>
      <c r="S85" s="764">
        <v>996.39734918967179</v>
      </c>
      <c r="T85" s="764">
        <v>1059.2092451103622</v>
      </c>
      <c r="U85" s="764">
        <v>1101.7627087824458</v>
      </c>
      <c r="V85" s="764">
        <v>1147.7380968974028</v>
      </c>
      <c r="W85" s="764">
        <v>1153.6585070253589</v>
      </c>
      <c r="X85" s="764">
        <v>1143.3033535250745</v>
      </c>
      <c r="Y85" s="764">
        <v>1129.9901458567222</v>
      </c>
      <c r="Z85" s="764">
        <v>1115.5183965799979</v>
      </c>
      <c r="AA85" s="764">
        <v>1138.9135504371632</v>
      </c>
      <c r="AB85" s="764">
        <v>1192.1298053888229</v>
      </c>
      <c r="AC85" s="764">
        <v>1187.6659922256013</v>
      </c>
      <c r="AD85" s="764">
        <v>1230.7486333413592</v>
      </c>
      <c r="AE85" s="764">
        <v>1286.9289110849279</v>
      </c>
      <c r="AF85" s="764">
        <v>1356.6810810216452</v>
      </c>
      <c r="AG85" s="764">
        <v>1392.5272034162019</v>
      </c>
      <c r="AH85" s="764">
        <v>1460.2857827507112</v>
      </c>
      <c r="AI85" s="764">
        <v>1547.8070841178348</v>
      </c>
      <c r="AJ85" s="764">
        <v>1632.8365329778085</v>
      </c>
      <c r="AK85" s="764">
        <v>1708.4528663476758</v>
      </c>
      <c r="AL85" s="764">
        <v>1798.5563495187296</v>
      </c>
      <c r="AM85" s="764">
        <v>1868.6630643143033</v>
      </c>
      <c r="AN85" s="764">
        <v>1945.0174302204159</v>
      </c>
      <c r="AO85" s="764">
        <v>1857.682585468272</v>
      </c>
      <c r="AP85" s="764">
        <v>2049.1362562621134</v>
      </c>
      <c r="AQ85" s="764">
        <v>2129.4490548268291</v>
      </c>
      <c r="AR85" s="764">
        <v>2161.6223825580646</v>
      </c>
      <c r="AS85" s="764">
        <v>2192.003746176405</v>
      </c>
      <c r="AT85" s="764">
        <v>2214.5633880972041</v>
      </c>
      <c r="AU85" s="764">
        <v>2248.3269445228898</v>
      </c>
      <c r="AV85" s="764">
        <v>2263.1895880285579</v>
      </c>
      <c r="AW85" s="765">
        <v>2366.8001378632325</v>
      </c>
      <c r="AX85" s="755">
        <v>4.8638089120011552E-2</v>
      </c>
      <c r="AY85" s="755">
        <v>2.324513563225028E-2</v>
      </c>
      <c r="AZ85" s="755">
        <v>0.64308622129436177</v>
      </c>
    </row>
    <row r="86" spans="1:52" x14ac:dyDescent="0.3">
      <c r="A86" s="39" t="s">
        <v>948</v>
      </c>
      <c r="B86" s="768">
        <v>103.48478758186664</v>
      </c>
      <c r="C86" s="768">
        <v>126.6406798461333</v>
      </c>
      <c r="D86" s="768">
        <v>152.45933026164442</v>
      </c>
      <c r="E86" s="768">
        <v>171.57290414295551</v>
      </c>
      <c r="F86" s="768">
        <v>190.86274149546665</v>
      </c>
      <c r="G86" s="768">
        <v>198.24254306953333</v>
      </c>
      <c r="H86" s="768">
        <v>211.15732966873333</v>
      </c>
      <c r="I86" s="768">
        <v>214.98402543931104</v>
      </c>
      <c r="J86" s="768">
        <v>209.20682020113324</v>
      </c>
      <c r="K86" s="768">
        <v>210.37559493766665</v>
      </c>
      <c r="L86" s="768">
        <v>202.28019338524442</v>
      </c>
      <c r="M86" s="768">
        <v>198.94982909802215</v>
      </c>
      <c r="N86" s="768">
        <v>183.81761836257795</v>
      </c>
      <c r="O86" s="768">
        <v>188.00328392188237</v>
      </c>
      <c r="P86" s="768">
        <v>190.09237077193208</v>
      </c>
      <c r="Q86" s="768">
        <v>195.65545946624474</v>
      </c>
      <c r="R86" s="768">
        <v>190.03803857072364</v>
      </c>
      <c r="S86" s="768">
        <v>193.89871037339998</v>
      </c>
      <c r="T86" s="768">
        <v>182.4203045002439</v>
      </c>
      <c r="U86" s="768">
        <v>184.60582631264913</v>
      </c>
      <c r="V86" s="768">
        <v>189.07541826179241</v>
      </c>
      <c r="W86" s="768">
        <v>202.83404504239368</v>
      </c>
      <c r="X86" s="768">
        <v>201.89520484886219</v>
      </c>
      <c r="Y86" s="768">
        <v>214.56378583663582</v>
      </c>
      <c r="Z86" s="768">
        <v>213.41849787663779</v>
      </c>
      <c r="AA86" s="768">
        <v>221.52960872842439</v>
      </c>
      <c r="AB86" s="768">
        <v>245.73312059590853</v>
      </c>
      <c r="AC86" s="768">
        <v>235.51269682307475</v>
      </c>
      <c r="AD86" s="768">
        <v>233.52051673613394</v>
      </c>
      <c r="AE86" s="768">
        <v>237.11552156882044</v>
      </c>
      <c r="AF86" s="768">
        <v>242.63076896110209</v>
      </c>
      <c r="AG86" s="768">
        <v>243.78133153438228</v>
      </c>
      <c r="AH86" s="768">
        <v>238.70947851802509</v>
      </c>
      <c r="AI86" s="768">
        <v>234.47417857431751</v>
      </c>
      <c r="AJ86" s="768">
        <v>238.45462814204873</v>
      </c>
      <c r="AK86" s="768">
        <v>221.62597643858513</v>
      </c>
      <c r="AL86" s="768">
        <v>211.15198961835148</v>
      </c>
      <c r="AM86" s="768">
        <v>196.84884419919428</v>
      </c>
      <c r="AN86" s="768">
        <v>198.40644524666584</v>
      </c>
      <c r="AO86" s="768">
        <v>178.95541127212468</v>
      </c>
      <c r="AP86" s="768">
        <v>182.00409090087774</v>
      </c>
      <c r="AQ86" s="768">
        <v>161.21880204163659</v>
      </c>
      <c r="AR86" s="768">
        <v>151.54833816083533</v>
      </c>
      <c r="AS86" s="768">
        <v>150.38980973881092</v>
      </c>
      <c r="AT86" s="768">
        <v>137.63654438605417</v>
      </c>
      <c r="AU86" s="768">
        <v>124.48761525707447</v>
      </c>
      <c r="AV86" s="768">
        <v>121.84661268913099</v>
      </c>
      <c r="AW86" s="766">
        <v>117.77527691790914</v>
      </c>
      <c r="AX86" s="761">
        <v>-3.0772668311227824E-2</v>
      </c>
      <c r="AY86" s="761">
        <v>-5.3497363058464198E-2</v>
      </c>
      <c r="AZ86" s="761">
        <v>3.2000867577865563E-2</v>
      </c>
    </row>
    <row r="87" spans="1:52" x14ac:dyDescent="0.3">
      <c r="AW87" s="750"/>
    </row>
    <row r="88" spans="1:52" x14ac:dyDescent="0.3">
      <c r="A88" s="3" t="s">
        <v>969</v>
      </c>
      <c r="AW88" s="750"/>
      <c r="AZ88" s="769" t="s">
        <v>970</v>
      </c>
    </row>
    <row r="89" spans="1:52" x14ac:dyDescent="0.3">
      <c r="A89" s="3" t="s">
        <v>951</v>
      </c>
      <c r="AW89" s="750"/>
      <c r="AZ89" s="769"/>
    </row>
    <row r="90" spans="1:52" x14ac:dyDescent="0.3">
      <c r="A90" s="762" t="s">
        <v>952</v>
      </c>
      <c r="AW90" s="750"/>
    </row>
    <row r="91" spans="1:52" x14ac:dyDescent="0.3">
      <c r="A91" s="763" t="s">
        <v>971</v>
      </c>
      <c r="AW91" s="750"/>
    </row>
    <row r="92" spans="1:52" x14ac:dyDescent="0.3">
      <c r="A92" s="3" t="s">
        <v>954</v>
      </c>
      <c r="AW92" s="750"/>
    </row>
    <row r="93" spans="1:52" x14ac:dyDescent="0.3">
      <c r="A93" s="763" t="s">
        <v>955</v>
      </c>
      <c r="AW93" s="750"/>
    </row>
    <row r="94" spans="1:52" x14ac:dyDescent="0.3">
      <c r="A94" s="763" t="s">
        <v>972</v>
      </c>
      <c r="AW94" s="750"/>
    </row>
    <row r="95" spans="1:52" x14ac:dyDescent="0.3">
      <c r="A95" s="3" t="s">
        <v>973</v>
      </c>
      <c r="AW95" s="750"/>
    </row>
    <row r="96" spans="1:52" x14ac:dyDescent="0.3">
      <c r="A96" s="3" t="s">
        <v>974</v>
      </c>
      <c r="AW96" s="750"/>
    </row>
    <row r="97" spans="1:49" x14ac:dyDescent="0.3">
      <c r="A97" s="750" t="s">
        <v>975</v>
      </c>
      <c r="AW97" s="750"/>
    </row>
    <row r="98" spans="1:49" x14ac:dyDescent="0.3">
      <c r="A98" s="750" t="s">
        <v>976</v>
      </c>
      <c r="AW98" s="750"/>
    </row>
  </sheetData>
  <mergeCells count="1">
    <mergeCell ref="AX10:AY10"/>
  </mergeCells>
  <conditionalFormatting sqref="A1:XFD5 A7:XFD7 A6 C6:XFD6">
    <cfRule type="expression" dxfId="7" priority="4">
      <formula>_xlfn.ISFORMULA(A1)</formula>
    </cfRule>
  </conditionalFormatting>
  <conditionalFormatting sqref="B6">
    <cfRule type="expression" dxfId="6" priority="3">
      <formula>_xlfn.ISFORMULA(B6)</formula>
    </cfRule>
  </conditionalFormatting>
  <conditionalFormatting sqref="AX13:AZ40 AX42:AZ86 AY41:AZ41">
    <cfRule type="cellIs" dxfId="5" priority="1" operator="lessThanOrEqual">
      <formula>0</formula>
    </cfRule>
    <cfRule type="cellIs" dxfId="4" priority="2" operator="greaterThan">
      <formula>0</formula>
    </cfRule>
  </conditionalFormatting>
  <hyperlinks>
    <hyperlink ref="B3" r:id="rId1" xr:uid="{EFA310D9-345D-4843-B970-3872D8F06FCD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1B1D7-43FC-4AE5-A1DE-4EAD87DF6411}">
  <sheetPr>
    <tabColor theme="7" tint="0.39997558519241921"/>
  </sheetPr>
  <dimension ref="A1:AO79"/>
  <sheetViews>
    <sheetView workbookViewId="0"/>
  </sheetViews>
  <sheetFormatPr defaultColWidth="10.33203125" defaultRowHeight="14.4" x14ac:dyDescent="0.3"/>
  <cols>
    <col min="1" max="29" width="10.77734375" style="3" customWidth="1"/>
    <col min="30" max="16384" width="10.33203125" style="3"/>
  </cols>
  <sheetData>
    <row r="1" spans="1:41" s="1" customFormat="1" ht="49.5" customHeight="1" x14ac:dyDescent="0.3">
      <c r="A1" s="1" t="s">
        <v>999</v>
      </c>
    </row>
    <row r="2" spans="1:41" s="2" customFormat="1" x14ac:dyDescent="0.3">
      <c r="A2" s="2" t="s">
        <v>1</v>
      </c>
      <c r="B2" s="2" t="s">
        <v>899</v>
      </c>
    </row>
    <row r="3" spans="1:41" s="2" customFormat="1" x14ac:dyDescent="0.3">
      <c r="A3" s="2" t="s">
        <v>3</v>
      </c>
      <c r="B3" s="6" t="s">
        <v>900</v>
      </c>
    </row>
    <row r="4" spans="1:41" s="2" customFormat="1" x14ac:dyDescent="0.3">
      <c r="A4" s="2" t="s">
        <v>7</v>
      </c>
      <c r="B4" s="7">
        <v>43501</v>
      </c>
    </row>
    <row r="5" spans="1:41" s="2" customFormat="1" x14ac:dyDescent="0.3">
      <c r="A5" s="2" t="s">
        <v>2</v>
      </c>
      <c r="B5" s="2" t="s">
        <v>977</v>
      </c>
    </row>
    <row r="6" spans="1:41" s="2" customFormat="1" x14ac:dyDescent="0.3">
      <c r="A6" s="2" t="s">
        <v>4</v>
      </c>
      <c r="B6" s="2" t="s">
        <v>978</v>
      </c>
    </row>
    <row r="7" spans="1:41" ht="15" thickBot="1" x14ac:dyDescent="0.35"/>
    <row r="8" spans="1:41" s="748" customFormat="1" ht="15" thickBot="1" x14ac:dyDescent="0.35">
      <c r="A8" s="748" t="s">
        <v>979</v>
      </c>
    </row>
    <row r="10" spans="1:41" x14ac:dyDescent="0.3">
      <c r="AL10" s="750"/>
      <c r="AM10" s="824" t="s">
        <v>904</v>
      </c>
      <c r="AN10" s="824"/>
      <c r="AO10" s="751" t="s">
        <v>905</v>
      </c>
    </row>
    <row r="11" spans="1:41" x14ac:dyDescent="0.3">
      <c r="A11" s="3" t="s">
        <v>980</v>
      </c>
      <c r="B11" s="3">
        <v>1981</v>
      </c>
      <c r="C11" s="3">
        <v>1982</v>
      </c>
      <c r="D11" s="3">
        <v>1983</v>
      </c>
      <c r="E11" s="3">
        <v>1984</v>
      </c>
      <c r="F11" s="3">
        <v>1985</v>
      </c>
      <c r="G11" s="3">
        <v>1986</v>
      </c>
      <c r="H11" s="3">
        <v>1987</v>
      </c>
      <c r="I11" s="3">
        <v>1988</v>
      </c>
      <c r="J11" s="3">
        <v>1989</v>
      </c>
      <c r="K11" s="3">
        <v>1990</v>
      </c>
      <c r="L11" s="3">
        <v>1991</v>
      </c>
      <c r="M11" s="3">
        <v>1992</v>
      </c>
      <c r="N11" s="3">
        <v>1993</v>
      </c>
      <c r="O11" s="3">
        <v>1994</v>
      </c>
      <c r="P11" s="3">
        <v>1995</v>
      </c>
      <c r="Q11" s="3">
        <v>1996</v>
      </c>
      <c r="R11" s="3">
        <v>1997</v>
      </c>
      <c r="S11" s="3">
        <v>1998</v>
      </c>
      <c r="T11" s="3">
        <v>1999</v>
      </c>
      <c r="U11" s="3">
        <v>2000</v>
      </c>
      <c r="V11" s="3">
        <v>2001</v>
      </c>
      <c r="W11" s="3">
        <v>2002</v>
      </c>
      <c r="X11" s="3">
        <v>2003</v>
      </c>
      <c r="Y11" s="3">
        <v>2004</v>
      </c>
      <c r="Z11" s="3">
        <v>2005</v>
      </c>
      <c r="AA11" s="3">
        <v>2006</v>
      </c>
      <c r="AB11" s="3">
        <v>2007</v>
      </c>
      <c r="AC11" s="3">
        <v>2008</v>
      </c>
      <c r="AD11" s="3">
        <v>2009</v>
      </c>
      <c r="AE11" s="3">
        <v>2010</v>
      </c>
      <c r="AF11" s="3">
        <v>2011</v>
      </c>
      <c r="AG11" s="3">
        <v>2012</v>
      </c>
      <c r="AH11" s="3">
        <v>2013</v>
      </c>
      <c r="AI11" s="3">
        <v>2014</v>
      </c>
      <c r="AJ11" s="3">
        <v>2015</v>
      </c>
      <c r="AK11" s="3">
        <v>2016</v>
      </c>
      <c r="AL11" s="750">
        <v>2017</v>
      </c>
      <c r="AM11" s="751">
        <v>2017</v>
      </c>
      <c r="AN11" s="751" t="s">
        <v>907</v>
      </c>
      <c r="AO11" s="751">
        <v>2017</v>
      </c>
    </row>
    <row r="12" spans="1:41" x14ac:dyDescent="0.3">
      <c r="B12" s="751"/>
      <c r="C12" s="751"/>
      <c r="D12" s="751"/>
      <c r="E12" s="751"/>
      <c r="F12" s="751"/>
      <c r="G12" s="751"/>
      <c r="H12" s="751"/>
      <c r="I12" s="751"/>
      <c r="J12" s="751"/>
      <c r="K12" s="751"/>
      <c r="L12" s="751"/>
      <c r="M12" s="751"/>
      <c r="N12" s="751"/>
      <c r="O12" s="751"/>
      <c r="P12" s="751"/>
      <c r="Q12" s="751"/>
      <c r="R12" s="751"/>
      <c r="S12" s="751"/>
      <c r="T12" s="751"/>
      <c r="U12" s="751"/>
      <c r="V12" s="751"/>
      <c r="W12" s="751"/>
      <c r="X12" s="751"/>
      <c r="Y12" s="751"/>
      <c r="Z12" s="751"/>
      <c r="AA12" s="751"/>
      <c r="AB12" s="751"/>
      <c r="AC12" s="751"/>
      <c r="AD12" s="751"/>
      <c r="AE12" s="751"/>
      <c r="AF12" s="751"/>
      <c r="AG12" s="751"/>
      <c r="AH12" s="751"/>
      <c r="AI12" s="751"/>
      <c r="AJ12" s="751"/>
      <c r="AK12" s="751"/>
      <c r="AL12" s="752"/>
      <c r="AM12" s="751"/>
      <c r="AN12" s="751"/>
      <c r="AO12" s="751"/>
    </row>
    <row r="13" spans="1:41" x14ac:dyDescent="0.3">
      <c r="A13" s="3" t="s">
        <v>908</v>
      </c>
      <c r="B13" s="764">
        <v>747.31607624249989</v>
      </c>
      <c r="C13" s="764">
        <v>760.32238328639994</v>
      </c>
      <c r="D13" s="764">
        <v>709.50098920769994</v>
      </c>
      <c r="E13" s="764">
        <v>812.76561223466479</v>
      </c>
      <c r="F13" s="764">
        <v>801.62298007920981</v>
      </c>
      <c r="G13" s="764">
        <v>807.67988128256752</v>
      </c>
      <c r="H13" s="764">
        <v>833.48697630532138</v>
      </c>
      <c r="I13" s="764">
        <v>862.06612114284667</v>
      </c>
      <c r="J13" s="764">
        <v>889.70215313751294</v>
      </c>
      <c r="K13" s="764">
        <v>933.56157323883679</v>
      </c>
      <c r="L13" s="764">
        <v>903.5413382898206</v>
      </c>
      <c r="M13" s="764">
        <v>904.95750078012509</v>
      </c>
      <c r="N13" s="764">
        <v>857.67444726762415</v>
      </c>
      <c r="O13" s="764">
        <v>937.57928199391699</v>
      </c>
      <c r="P13" s="764">
        <v>937.09820829779994</v>
      </c>
      <c r="Q13" s="764">
        <v>965.11388620319997</v>
      </c>
      <c r="R13" s="764">
        <v>988.76963444039995</v>
      </c>
      <c r="S13" s="764">
        <v>1013.8106537145001</v>
      </c>
      <c r="T13" s="764">
        <v>998.29416660569996</v>
      </c>
      <c r="U13" s="764">
        <v>973.9643801364</v>
      </c>
      <c r="V13" s="764">
        <v>1023.0222071583</v>
      </c>
      <c r="W13" s="764">
        <v>992.71679507009981</v>
      </c>
      <c r="X13" s="764">
        <v>972.27792377909986</v>
      </c>
      <c r="Y13" s="764">
        <v>1008.8791976852999</v>
      </c>
      <c r="Z13" s="764">
        <v>1026.4776736806</v>
      </c>
      <c r="AA13" s="764">
        <v>1054.829009925</v>
      </c>
      <c r="AB13" s="764">
        <v>1040.2097284844999</v>
      </c>
      <c r="AC13" s="764">
        <v>1063.0471961223</v>
      </c>
      <c r="AD13" s="764">
        <v>975.15405489450222</v>
      </c>
      <c r="AE13" s="764">
        <v>983.72219303293559</v>
      </c>
      <c r="AF13" s="764">
        <v>993.93653755789933</v>
      </c>
      <c r="AG13" s="764">
        <v>922.11552499580455</v>
      </c>
      <c r="AH13" s="764">
        <v>893.43339382958118</v>
      </c>
      <c r="AI13" s="764">
        <v>907.22893251160258</v>
      </c>
      <c r="AJ13" s="764">
        <v>813.69075556298606</v>
      </c>
      <c r="AK13" s="764">
        <v>660.76112860878061</v>
      </c>
      <c r="AL13" s="765">
        <v>702.26823511232908</v>
      </c>
      <c r="AM13" s="755">
        <v>6.5728940069675446E-2</v>
      </c>
      <c r="AN13" s="755">
        <v>-4.5697104185819626E-2</v>
      </c>
      <c r="AO13" s="755">
        <v>9.0881109237670898E-2</v>
      </c>
    </row>
    <row r="14" spans="1:41" x14ac:dyDescent="0.3">
      <c r="A14" s="3" t="s">
        <v>593</v>
      </c>
      <c r="B14" s="764">
        <v>40.088000000000001</v>
      </c>
      <c r="C14" s="764">
        <v>42.907000000000004</v>
      </c>
      <c r="D14" s="764">
        <v>44.807000000000002</v>
      </c>
      <c r="E14" s="764">
        <v>57.402000000000001</v>
      </c>
      <c r="F14" s="764">
        <v>60.853000000000002</v>
      </c>
      <c r="G14" s="764">
        <v>57.048000000000002</v>
      </c>
      <c r="H14" s="764">
        <v>61.207000000000001</v>
      </c>
      <c r="I14" s="764">
        <v>70.643000000000001</v>
      </c>
      <c r="J14" s="764">
        <v>70.527000000000001</v>
      </c>
      <c r="K14" s="764">
        <v>68.332000000000008</v>
      </c>
      <c r="L14" s="764">
        <v>71.134199999999993</v>
      </c>
      <c r="M14" s="764">
        <v>65.613399999999999</v>
      </c>
      <c r="N14" s="764">
        <v>69.029399999999995</v>
      </c>
      <c r="O14" s="764">
        <v>72.823300000000003</v>
      </c>
      <c r="P14" s="764">
        <v>74.980199999999996</v>
      </c>
      <c r="Q14" s="764">
        <v>75.87939999999999</v>
      </c>
      <c r="R14" s="764">
        <v>78.760000000000005</v>
      </c>
      <c r="S14" s="764">
        <v>75.268100000000004</v>
      </c>
      <c r="T14" s="764">
        <v>72.357699999999994</v>
      </c>
      <c r="U14" s="764">
        <v>69.104300000000009</v>
      </c>
      <c r="V14" s="764">
        <v>70.481499999999997</v>
      </c>
      <c r="W14" s="764">
        <v>66.998199999999997</v>
      </c>
      <c r="X14" s="764">
        <v>62.579599999999999</v>
      </c>
      <c r="Y14" s="764">
        <v>66.206400000000002</v>
      </c>
      <c r="Z14" s="764">
        <v>68.430899999999994</v>
      </c>
      <c r="AA14" s="764">
        <v>67.410800000000009</v>
      </c>
      <c r="AB14" s="764">
        <v>68.954300000000003</v>
      </c>
      <c r="AC14" s="764">
        <v>68.395800000000008</v>
      </c>
      <c r="AD14" s="764">
        <v>64.637699999999995</v>
      </c>
      <c r="AE14" s="764">
        <v>67.973699999999994</v>
      </c>
      <c r="AF14" s="764">
        <v>67.454100000000011</v>
      </c>
      <c r="AG14" s="764">
        <v>67.100499999999997</v>
      </c>
      <c r="AH14" s="764">
        <v>67.986100000000008</v>
      </c>
      <c r="AI14" s="764">
        <v>67.941100000000006</v>
      </c>
      <c r="AJ14" s="764">
        <v>61.981300000000005</v>
      </c>
      <c r="AK14" s="764">
        <v>60.870600000000003</v>
      </c>
      <c r="AL14" s="765">
        <v>59.482067740518382</v>
      </c>
      <c r="AM14" s="755">
        <v>-2.0133983343839645E-2</v>
      </c>
      <c r="AN14" s="755">
        <v>-1.0153595358133316E-2</v>
      </c>
      <c r="AO14" s="755">
        <v>7.69762322306633E-3</v>
      </c>
    </row>
    <row r="15" spans="1:41" x14ac:dyDescent="0.3">
      <c r="A15" s="3" t="s">
        <v>594</v>
      </c>
      <c r="B15" s="764">
        <v>3.0323314749453276</v>
      </c>
      <c r="C15" s="764">
        <v>3.7512158111533238</v>
      </c>
      <c r="D15" s="764">
        <v>4.8511290069083355</v>
      </c>
      <c r="E15" s="764">
        <v>5.3352410528635508</v>
      </c>
      <c r="F15" s="764">
        <v>5.5259762016966727</v>
      </c>
      <c r="G15" s="764">
        <v>6.2167951224778664</v>
      </c>
      <c r="H15" s="764">
        <v>6.9314707998414837</v>
      </c>
      <c r="I15" s="764">
        <v>6.345855589109739</v>
      </c>
      <c r="J15" s="764">
        <v>6.7705339315980622</v>
      </c>
      <c r="K15" s="764">
        <v>6.9298120756321513</v>
      </c>
      <c r="L15" s="764">
        <v>6.4056231112723845</v>
      </c>
      <c r="M15" s="764">
        <v>6.1041775612390161</v>
      </c>
      <c r="N15" s="764">
        <v>6.6151416673723462</v>
      </c>
      <c r="O15" s="764">
        <v>8.9991314589165565</v>
      </c>
      <c r="P15" s="764">
        <v>8.8891710513449027</v>
      </c>
      <c r="Q15" s="764">
        <v>9.6904862628886956</v>
      </c>
      <c r="R15" s="764">
        <v>9.4242121506272802</v>
      </c>
      <c r="S15" s="764">
        <v>10.107467451546738</v>
      </c>
      <c r="T15" s="764">
        <v>10.325802649610301</v>
      </c>
      <c r="U15" s="764">
        <v>11.343948128892908</v>
      </c>
      <c r="V15" s="764">
        <v>8.8570926569034985</v>
      </c>
      <c r="W15" s="764">
        <v>7.0797589763093107</v>
      </c>
      <c r="X15" s="764">
        <v>9.1950922687834282</v>
      </c>
      <c r="Y15" s="764">
        <v>12.228484391317865</v>
      </c>
      <c r="Z15" s="764">
        <v>12.657043477938858</v>
      </c>
      <c r="AA15" s="764">
        <v>14.10992339465373</v>
      </c>
      <c r="AB15" s="764">
        <v>15.232169770897682</v>
      </c>
      <c r="AC15" s="764">
        <v>14.420357004375056</v>
      </c>
      <c r="AD15" s="764">
        <v>12.694348969055104</v>
      </c>
      <c r="AE15" s="764">
        <v>15.270514706066114</v>
      </c>
      <c r="AF15" s="764">
        <v>19.616056277021876</v>
      </c>
      <c r="AG15" s="764">
        <v>15.205109976286115</v>
      </c>
      <c r="AH15" s="764">
        <v>14.633169977178113</v>
      </c>
      <c r="AI15" s="764">
        <v>14.895549976768903</v>
      </c>
      <c r="AJ15" s="764">
        <v>12.252899980890382</v>
      </c>
      <c r="AK15" s="764">
        <v>11.408949982206606</v>
      </c>
      <c r="AL15" s="765">
        <v>10.416101090861128</v>
      </c>
      <c r="AM15" s="755">
        <v>-8.452238142490387E-2</v>
      </c>
      <c r="AN15" s="755">
        <v>-2.1023871377110481E-2</v>
      </c>
      <c r="AO15" s="755">
        <v>1.3479562476277351E-3</v>
      </c>
    </row>
    <row r="16" spans="1:41" x14ac:dyDescent="0.3">
      <c r="A16" s="756" t="s">
        <v>909</v>
      </c>
      <c r="B16" s="766">
        <v>790.43640771744515</v>
      </c>
      <c r="C16" s="766">
        <v>806.98059909755329</v>
      </c>
      <c r="D16" s="766">
        <v>759.15911821460827</v>
      </c>
      <c r="E16" s="766">
        <v>875.50285328752841</v>
      </c>
      <c r="F16" s="766">
        <v>868.00195628090648</v>
      </c>
      <c r="G16" s="766">
        <v>870.94467640504536</v>
      </c>
      <c r="H16" s="766">
        <v>901.62544710516283</v>
      </c>
      <c r="I16" s="766">
        <v>939.05497673195646</v>
      </c>
      <c r="J16" s="766">
        <v>966.99968706911102</v>
      </c>
      <c r="K16" s="766">
        <v>1008.823385314469</v>
      </c>
      <c r="L16" s="766">
        <v>981.08116140109291</v>
      </c>
      <c r="M16" s="766">
        <v>976.67507834136404</v>
      </c>
      <c r="N16" s="766">
        <v>933.31898893499647</v>
      </c>
      <c r="O16" s="766">
        <v>1019.4017134528335</v>
      </c>
      <c r="P16" s="766">
        <v>1020.9675793491448</v>
      </c>
      <c r="Q16" s="766">
        <v>1050.6837724660886</v>
      </c>
      <c r="R16" s="766">
        <v>1076.9538465910273</v>
      </c>
      <c r="S16" s="766">
        <v>1099.1862211660468</v>
      </c>
      <c r="T16" s="766">
        <v>1080.9776692553103</v>
      </c>
      <c r="U16" s="766">
        <v>1054.4126282652928</v>
      </c>
      <c r="V16" s="766">
        <v>1102.3607998152036</v>
      </c>
      <c r="W16" s="766">
        <v>1066.7947540464093</v>
      </c>
      <c r="X16" s="766">
        <v>1044.0526160478832</v>
      </c>
      <c r="Y16" s="766">
        <v>1087.3140820766178</v>
      </c>
      <c r="Z16" s="766">
        <v>1107.565617158539</v>
      </c>
      <c r="AA16" s="766">
        <v>1136.349733319654</v>
      </c>
      <c r="AB16" s="766">
        <v>1124.3961982553976</v>
      </c>
      <c r="AC16" s="766">
        <v>1145.8633531266751</v>
      </c>
      <c r="AD16" s="766">
        <v>1052.4861038635572</v>
      </c>
      <c r="AE16" s="766">
        <v>1066.9664077390016</v>
      </c>
      <c r="AF16" s="766">
        <v>1081.0066938349212</v>
      </c>
      <c r="AG16" s="766">
        <v>1004.4211349720907</v>
      </c>
      <c r="AH16" s="766">
        <v>976.05266380675926</v>
      </c>
      <c r="AI16" s="766">
        <v>990.06558248837143</v>
      </c>
      <c r="AJ16" s="766">
        <v>887.92495554387642</v>
      </c>
      <c r="AK16" s="766">
        <v>733.04067859098723</v>
      </c>
      <c r="AL16" s="766">
        <v>772.16640394370859</v>
      </c>
      <c r="AM16" s="758">
        <v>5.6260518729686737E-2</v>
      </c>
      <c r="AN16" s="758">
        <v>-4.2890544980764389E-2</v>
      </c>
      <c r="AO16" s="758">
        <v>9.9926687777042389E-2</v>
      </c>
    </row>
    <row r="17" spans="1:41" x14ac:dyDescent="0.3">
      <c r="B17" s="764"/>
      <c r="C17" s="764"/>
      <c r="D17" s="764"/>
      <c r="E17" s="764"/>
      <c r="F17" s="764"/>
      <c r="G17" s="764"/>
      <c r="H17" s="764"/>
      <c r="I17" s="764"/>
      <c r="J17" s="764"/>
      <c r="K17" s="764"/>
      <c r="L17" s="764"/>
      <c r="M17" s="764"/>
      <c r="N17" s="764"/>
      <c r="O17" s="764"/>
      <c r="P17" s="764"/>
      <c r="Q17" s="764"/>
      <c r="R17" s="764"/>
      <c r="S17" s="764"/>
      <c r="T17" s="764"/>
      <c r="U17" s="764"/>
      <c r="V17" s="764"/>
      <c r="W17" s="764"/>
      <c r="X17" s="764"/>
      <c r="Y17" s="764"/>
      <c r="Z17" s="764"/>
      <c r="AA17" s="764"/>
      <c r="AB17" s="764"/>
      <c r="AC17" s="764"/>
      <c r="AD17" s="764"/>
      <c r="AE17" s="764"/>
      <c r="AF17" s="764"/>
      <c r="AG17" s="764"/>
      <c r="AH17" s="764"/>
      <c r="AI17" s="764"/>
      <c r="AJ17" s="764"/>
      <c r="AK17" s="764"/>
      <c r="AL17" s="765"/>
      <c r="AM17" s="755"/>
      <c r="AN17" s="755"/>
      <c r="AO17" s="755"/>
    </row>
    <row r="18" spans="1:41" x14ac:dyDescent="0.3">
      <c r="A18" s="3" t="s">
        <v>598</v>
      </c>
      <c r="B18" s="764">
        <v>5.6890000000000001</v>
      </c>
      <c r="C18" s="764">
        <v>6.3460000000000001</v>
      </c>
      <c r="D18" s="764">
        <v>6.7370000000000001</v>
      </c>
      <c r="E18" s="764">
        <v>7.5190000000000001</v>
      </c>
      <c r="F18" s="764">
        <v>7.7119999999999997</v>
      </c>
      <c r="G18" s="764">
        <v>7.391</v>
      </c>
      <c r="H18" s="764">
        <v>6.8840000000000003</v>
      </c>
      <c r="I18" s="764">
        <v>7.3310000000000004</v>
      </c>
      <c r="J18" s="764">
        <v>6.6710000000000003</v>
      </c>
      <c r="K18" s="764">
        <v>4.5949999999999998</v>
      </c>
      <c r="L18" s="764">
        <v>5.1879999999999997</v>
      </c>
      <c r="M18" s="764">
        <v>4.7309999999999999</v>
      </c>
      <c r="N18" s="764">
        <v>4.5949999999999998</v>
      </c>
      <c r="O18" s="764">
        <v>5.1340000000000003</v>
      </c>
      <c r="P18" s="764">
        <v>5.1989999999999998</v>
      </c>
      <c r="Q18" s="764">
        <v>4.8049999999999997</v>
      </c>
      <c r="R18" s="764">
        <v>5.6470000000000002</v>
      </c>
      <c r="S18" s="764">
        <v>5.516</v>
      </c>
      <c r="T18" s="764">
        <v>5.66</v>
      </c>
      <c r="U18" s="764">
        <v>6.806</v>
      </c>
      <c r="V18" s="764">
        <v>5.6539999999999999</v>
      </c>
      <c r="W18" s="764">
        <v>5.1440000000000001</v>
      </c>
      <c r="X18" s="764">
        <v>4.6459999999999999</v>
      </c>
      <c r="Y18" s="764">
        <v>5.4059999999999997</v>
      </c>
      <c r="Z18" s="764">
        <v>6.2551050000000004</v>
      </c>
      <c r="AA18" s="764">
        <v>5.8808999999999996</v>
      </c>
      <c r="AB18" s="764">
        <v>5.9645059999999992</v>
      </c>
      <c r="AC18" s="764">
        <v>6.6111220000000008</v>
      </c>
      <c r="AD18" s="764">
        <v>5.06145376</v>
      </c>
      <c r="AE18" s="764">
        <v>5.4148240000000003</v>
      </c>
      <c r="AF18" s="764">
        <v>5.5049320691812067</v>
      </c>
      <c r="AG18" s="764">
        <v>6.6167342800000011</v>
      </c>
      <c r="AH18" s="764">
        <v>8.5943301824921932</v>
      </c>
      <c r="AI18" s="764">
        <v>7.9362442159120805</v>
      </c>
      <c r="AJ18" s="764">
        <v>6.3536547300000006</v>
      </c>
      <c r="AK18" s="764">
        <v>7.0059520191510911</v>
      </c>
      <c r="AL18" s="765">
        <v>6.9868100737435741</v>
      </c>
      <c r="AM18" s="755">
        <v>0</v>
      </c>
      <c r="AN18" s="755">
        <v>1.7659137025475502E-2</v>
      </c>
      <c r="AO18" s="755">
        <v>9.041688172146678E-4</v>
      </c>
    </row>
    <row r="19" spans="1:41" x14ac:dyDescent="0.3">
      <c r="A19" s="3" t="s">
        <v>654</v>
      </c>
      <c r="B19" s="764">
        <v>3.9904000000000002</v>
      </c>
      <c r="C19" s="764">
        <v>4.4216000000000006</v>
      </c>
      <c r="D19" s="764">
        <v>5.0532000000000004</v>
      </c>
      <c r="E19" s="764">
        <v>6.6370000000000005</v>
      </c>
      <c r="F19" s="764">
        <v>8.9740000000000002</v>
      </c>
      <c r="G19" s="764">
        <v>10.737</v>
      </c>
      <c r="H19" s="764">
        <v>14.593999999999999</v>
      </c>
      <c r="I19" s="764">
        <v>15.101000000000001</v>
      </c>
      <c r="J19" s="764">
        <v>18.902000000000001</v>
      </c>
      <c r="K19" s="764">
        <v>20.468</v>
      </c>
      <c r="L19" s="764">
        <v>20.030999999999999</v>
      </c>
      <c r="M19" s="764">
        <v>21.900000000000002</v>
      </c>
      <c r="N19" s="764">
        <v>21.713000000000001</v>
      </c>
      <c r="O19" s="764">
        <v>22.664999999999999</v>
      </c>
      <c r="P19" s="764">
        <v>25.740000000000002</v>
      </c>
      <c r="Q19" s="764">
        <v>29.564</v>
      </c>
      <c r="R19" s="764">
        <v>32.741999999999997</v>
      </c>
      <c r="S19" s="764">
        <v>33.561</v>
      </c>
      <c r="T19" s="764">
        <v>32.753999999999998</v>
      </c>
      <c r="U19" s="764">
        <v>38.241999999999997</v>
      </c>
      <c r="V19" s="764">
        <v>43.911492000000003</v>
      </c>
      <c r="W19" s="764">
        <v>39.484464879999997</v>
      </c>
      <c r="X19" s="764">
        <v>50.028093370000001</v>
      </c>
      <c r="Y19" s="764">
        <v>53.887596000000002</v>
      </c>
      <c r="Z19" s="764">
        <v>59.675097000000001</v>
      </c>
      <c r="AA19" s="764">
        <v>66.191869999999994</v>
      </c>
      <c r="AB19" s="764">
        <v>69.902209999999997</v>
      </c>
      <c r="AC19" s="764">
        <v>73.502089999999995</v>
      </c>
      <c r="AD19" s="764">
        <v>72.807411999999999</v>
      </c>
      <c r="AE19" s="764">
        <v>74.350133260000007</v>
      </c>
      <c r="AF19" s="764">
        <v>85.803229120000012</v>
      </c>
      <c r="AG19" s="764">
        <v>89.024330000000006</v>
      </c>
      <c r="AH19" s="764">
        <v>85.496062000000009</v>
      </c>
      <c r="AI19" s="764">
        <v>88.577970000000008</v>
      </c>
      <c r="AJ19" s="764">
        <v>85.547513819999992</v>
      </c>
      <c r="AK19" s="764">
        <v>90.511989290000002</v>
      </c>
      <c r="AL19" s="765">
        <v>89.439000000000007</v>
      </c>
      <c r="AM19" s="755">
        <v>-9.1474177315831184E-3</v>
      </c>
      <c r="AN19" s="755">
        <v>3.1787224113941193E-2</v>
      </c>
      <c r="AO19" s="755">
        <v>1.1574374511837959E-2</v>
      </c>
    </row>
    <row r="20" spans="1:41" x14ac:dyDescent="0.3">
      <c r="A20" s="3" t="s">
        <v>600</v>
      </c>
      <c r="B20" s="764">
        <v>0.05</v>
      </c>
      <c r="C20" s="764">
        <v>0.05</v>
      </c>
      <c r="D20" s="764">
        <v>0.04</v>
      </c>
      <c r="E20" s="764">
        <v>0.05</v>
      </c>
      <c r="F20" s="764">
        <v>0.04</v>
      </c>
      <c r="G20" s="764">
        <v>0.06</v>
      </c>
      <c r="H20" s="764">
        <v>0.24</v>
      </c>
      <c r="I20" s="764">
        <v>1.07</v>
      </c>
      <c r="J20" s="764">
        <v>2.11</v>
      </c>
      <c r="K20" s="764">
        <v>2.15</v>
      </c>
      <c r="L20" s="764">
        <v>2.4</v>
      </c>
      <c r="M20" s="764">
        <v>2.48</v>
      </c>
      <c r="N20" s="764">
        <v>3.96</v>
      </c>
      <c r="O20" s="764">
        <v>4.4400000000000004</v>
      </c>
      <c r="P20" s="764">
        <v>4.3499999999999996</v>
      </c>
      <c r="Q20" s="764">
        <v>4.18</v>
      </c>
      <c r="R20" s="764">
        <v>5.29</v>
      </c>
      <c r="S20" s="764">
        <v>6.46</v>
      </c>
      <c r="T20" s="764">
        <v>6.59</v>
      </c>
      <c r="U20" s="764">
        <v>7.88</v>
      </c>
      <c r="V20" s="764">
        <v>7.69</v>
      </c>
      <c r="W20" s="764">
        <v>8.1</v>
      </c>
      <c r="X20" s="764">
        <v>7.03</v>
      </c>
      <c r="Y20" s="764">
        <v>8.1073039999999992</v>
      </c>
      <c r="Z20" s="764">
        <v>7.1950000000000003</v>
      </c>
      <c r="AA20" s="764">
        <v>7.1635899999999992</v>
      </c>
      <c r="AB20" s="764">
        <v>6.8553410000000001</v>
      </c>
      <c r="AC20" s="764">
        <v>5.0537039999999998</v>
      </c>
      <c r="AD20" s="764">
        <v>3.2783069999999999</v>
      </c>
      <c r="AE20" s="764">
        <v>2.6308199999999999</v>
      </c>
      <c r="AF20" s="764">
        <v>2.6114359999999999</v>
      </c>
      <c r="AG20" s="764">
        <v>1.910801</v>
      </c>
      <c r="AH20" s="764">
        <v>1.229309</v>
      </c>
      <c r="AI20" s="764">
        <v>0.80064000000000002</v>
      </c>
      <c r="AJ20" s="764">
        <v>0.80169699999999999</v>
      </c>
      <c r="AK20" s="764">
        <v>0.94700000000000006</v>
      </c>
      <c r="AL20" s="765">
        <v>0.45</v>
      </c>
      <c r="AM20" s="755">
        <v>-0.5235133171081543</v>
      </c>
      <c r="AN20" s="755">
        <v>-0.18318834900856018</v>
      </c>
      <c r="AO20" s="755">
        <v>5.8234869356965646E-5</v>
      </c>
    </row>
    <row r="21" spans="1:41" x14ac:dyDescent="0.3">
      <c r="A21" s="3" t="s">
        <v>912</v>
      </c>
      <c r="B21" s="764">
        <v>1.682951612903226</v>
      </c>
      <c r="C21" s="764">
        <v>1.5657526881720432</v>
      </c>
      <c r="D21" s="764">
        <v>1.5621908602150538</v>
      </c>
      <c r="E21" s="764">
        <v>1.7910322580645162</v>
      </c>
      <c r="F21" s="764">
        <v>1.8145053763440859</v>
      </c>
      <c r="G21" s="764">
        <v>1.9629331182795697</v>
      </c>
      <c r="H21" s="764">
        <v>2.2275376559139786</v>
      </c>
      <c r="I21" s="764">
        <v>3.1125184731182798</v>
      </c>
      <c r="J21" s="764">
        <v>3.052090580645161</v>
      </c>
      <c r="K21" s="764">
        <v>3.1154335268817204</v>
      </c>
      <c r="L21" s="764">
        <v>3.1034944946236562</v>
      </c>
      <c r="M21" s="764">
        <v>2.412436795698925</v>
      </c>
      <c r="N21" s="764">
        <v>2.0468386451612903</v>
      </c>
      <c r="O21" s="764">
        <v>2.0747630430107527</v>
      </c>
      <c r="P21" s="764">
        <v>1.8430223548387097</v>
      </c>
      <c r="Q21" s="764">
        <v>1.7725396774193547</v>
      </c>
      <c r="R21" s="764">
        <v>1.6828259139784945</v>
      </c>
      <c r="S21" s="764">
        <v>0.53846838709677414</v>
      </c>
      <c r="T21" s="764">
        <v>0.86201129032258073</v>
      </c>
      <c r="U21" s="764">
        <v>0.77740645161290334</v>
      </c>
      <c r="V21" s="764">
        <v>0.77353067796610175</v>
      </c>
      <c r="W21" s="764">
        <v>0.57024016949152545</v>
      </c>
      <c r="X21" s="764">
        <v>0.45311050847457623</v>
      </c>
      <c r="Y21" s="764">
        <v>0.30894809677419355</v>
      </c>
      <c r="Z21" s="764">
        <v>0.79919754838709678</v>
      </c>
      <c r="AA21" s="764">
        <v>0.86470596774193542</v>
      </c>
      <c r="AB21" s="764">
        <v>0.50441899999999995</v>
      </c>
      <c r="AC21" s="764">
        <v>0.76613000000000009</v>
      </c>
      <c r="AD21" s="764">
        <v>0.8571939999999999</v>
      </c>
      <c r="AE21" s="764">
        <v>0.77018300000000006</v>
      </c>
      <c r="AF21" s="764">
        <v>0.90351599999999999</v>
      </c>
      <c r="AG21" s="764">
        <v>0.99738300000000002</v>
      </c>
      <c r="AH21" s="764">
        <v>3.1705330000000003</v>
      </c>
      <c r="AI21" s="764">
        <v>4.4557355000000003</v>
      </c>
      <c r="AJ21" s="764">
        <v>3.4471171800000002</v>
      </c>
      <c r="AK21" s="764">
        <v>2.8174390599999999</v>
      </c>
      <c r="AL21" s="765">
        <v>2.8430839219810329</v>
      </c>
      <c r="AM21" s="755">
        <v>1.1866852641105652E-2</v>
      </c>
      <c r="AN21" s="755">
        <v>0.12537848949432373</v>
      </c>
      <c r="AO21" s="755">
        <v>3.6792582250200212E-4</v>
      </c>
    </row>
    <row r="22" spans="1:41" x14ac:dyDescent="0.3">
      <c r="A22" s="756" t="s">
        <v>913</v>
      </c>
      <c r="B22" s="766">
        <v>11.412351612903226</v>
      </c>
      <c r="C22" s="766">
        <v>12.383352688172042</v>
      </c>
      <c r="D22" s="766">
        <v>13.392390860215054</v>
      </c>
      <c r="E22" s="766">
        <v>15.997032258064516</v>
      </c>
      <c r="F22" s="766">
        <v>18.540505376344086</v>
      </c>
      <c r="G22" s="766">
        <v>20.150933118279571</v>
      </c>
      <c r="H22" s="766">
        <v>23.945537655913981</v>
      </c>
      <c r="I22" s="766">
        <v>26.614518473118281</v>
      </c>
      <c r="J22" s="766">
        <v>30.73509058064516</v>
      </c>
      <c r="K22" s="766">
        <v>30.328433526881721</v>
      </c>
      <c r="L22" s="766">
        <v>30.72249449462365</v>
      </c>
      <c r="M22" s="766">
        <v>31.523436795698927</v>
      </c>
      <c r="N22" s="766">
        <v>32.314838645161288</v>
      </c>
      <c r="O22" s="766">
        <v>34.313763043010759</v>
      </c>
      <c r="P22" s="766">
        <v>37.132022354838718</v>
      </c>
      <c r="Q22" s="766">
        <v>40.321539677419352</v>
      </c>
      <c r="R22" s="766">
        <v>45.361825913978493</v>
      </c>
      <c r="S22" s="766">
        <v>46.075468387096777</v>
      </c>
      <c r="T22" s="766">
        <v>45.866011290322582</v>
      </c>
      <c r="U22" s="766">
        <v>53.705406451612895</v>
      </c>
      <c r="V22" s="766">
        <v>58.029022677966104</v>
      </c>
      <c r="W22" s="766">
        <v>53.298705049491524</v>
      </c>
      <c r="X22" s="766">
        <v>62.157203878474576</v>
      </c>
      <c r="Y22" s="766">
        <v>67.709848096774195</v>
      </c>
      <c r="Z22" s="766">
        <v>73.9243995483871</v>
      </c>
      <c r="AA22" s="766">
        <v>80.101065967741917</v>
      </c>
      <c r="AB22" s="766">
        <v>83.226475999999991</v>
      </c>
      <c r="AC22" s="766">
        <v>85.93304599999999</v>
      </c>
      <c r="AD22" s="766">
        <v>82.004366759999996</v>
      </c>
      <c r="AE22" s="766">
        <v>83.165960260000006</v>
      </c>
      <c r="AF22" s="766">
        <v>94.823113189181214</v>
      </c>
      <c r="AG22" s="766">
        <v>98.549248280000015</v>
      </c>
      <c r="AH22" s="766">
        <v>98.490234182492202</v>
      </c>
      <c r="AI22" s="766">
        <v>101.77058971591208</v>
      </c>
      <c r="AJ22" s="766">
        <v>96.149982730000005</v>
      </c>
      <c r="AK22" s="766">
        <v>101.28238036915108</v>
      </c>
      <c r="AL22" s="766">
        <v>99.718893995724613</v>
      </c>
      <c r="AM22" s="758">
        <v>-1.2739471159875393E-2</v>
      </c>
      <c r="AN22" s="758">
        <v>2.3739736527204514E-2</v>
      </c>
      <c r="AO22" s="758">
        <v>1.2904704548418522E-2</v>
      </c>
    </row>
    <row r="23" spans="1:41" x14ac:dyDescent="0.3">
      <c r="B23" s="764"/>
      <c r="C23" s="764"/>
      <c r="D23" s="764"/>
      <c r="E23" s="764"/>
      <c r="F23" s="764"/>
      <c r="G23" s="764"/>
      <c r="H23" s="764"/>
      <c r="I23" s="764"/>
      <c r="J23" s="764"/>
      <c r="K23" s="764"/>
      <c r="L23" s="764"/>
      <c r="M23" s="764"/>
      <c r="N23" s="764"/>
      <c r="O23" s="764"/>
      <c r="P23" s="764"/>
      <c r="Q23" s="764"/>
      <c r="R23" s="764"/>
      <c r="S23" s="764"/>
      <c r="T23" s="764"/>
      <c r="U23" s="764"/>
      <c r="V23" s="764"/>
      <c r="W23" s="764"/>
      <c r="X23" s="764"/>
      <c r="Y23" s="764"/>
      <c r="Z23" s="764"/>
      <c r="AA23" s="764"/>
      <c r="AB23" s="764"/>
      <c r="AC23" s="764"/>
      <c r="AD23" s="764"/>
      <c r="AE23" s="764"/>
      <c r="AF23" s="764"/>
      <c r="AG23" s="764"/>
      <c r="AH23" s="764"/>
      <c r="AI23" s="764"/>
      <c r="AJ23" s="764"/>
      <c r="AK23" s="764"/>
      <c r="AL23" s="765"/>
      <c r="AM23" s="755"/>
      <c r="AN23" s="755"/>
      <c r="AO23" s="755"/>
    </row>
    <row r="24" spans="1:41" x14ac:dyDescent="0.3">
      <c r="A24" s="3" t="s">
        <v>981</v>
      </c>
      <c r="B24" s="764">
        <v>29.24</v>
      </c>
      <c r="C24" s="764">
        <v>32.21</v>
      </c>
      <c r="D24" s="764">
        <v>32.39</v>
      </c>
      <c r="E24" s="764">
        <v>32.36</v>
      </c>
      <c r="F24" s="764">
        <v>30.88</v>
      </c>
      <c r="G24" s="764">
        <v>35.22</v>
      </c>
      <c r="H24" s="764">
        <v>36.82</v>
      </c>
      <c r="I24" s="764">
        <v>34.150000000000006</v>
      </c>
      <c r="J24" s="764">
        <v>34.299999999999997</v>
      </c>
      <c r="K24" s="764">
        <v>31.675000000000001</v>
      </c>
      <c r="L24" s="764">
        <v>28.39</v>
      </c>
      <c r="M24" s="764">
        <v>30.323999999999998</v>
      </c>
      <c r="N24" s="764">
        <v>29.032</v>
      </c>
      <c r="O24" s="764">
        <v>28.757000000000001</v>
      </c>
      <c r="P24" s="764">
        <v>30.830000000000002</v>
      </c>
      <c r="Q24" s="764">
        <v>31.302</v>
      </c>
      <c r="R24" s="764">
        <v>29.708000000000002</v>
      </c>
      <c r="S24" s="764">
        <v>30.111000000000001</v>
      </c>
      <c r="T24" s="764">
        <v>25.298000000000002</v>
      </c>
      <c r="U24" s="764">
        <v>26.431999999999999</v>
      </c>
      <c r="V24" s="764">
        <v>26.611000000000001</v>
      </c>
      <c r="W24" s="764">
        <v>26.018000000000001</v>
      </c>
      <c r="X24" s="764">
        <v>27.298999999999999</v>
      </c>
      <c r="Y24" s="764">
        <v>26.485000000000003</v>
      </c>
      <c r="Z24" s="764">
        <v>24.695</v>
      </c>
      <c r="AA24" s="764">
        <v>25.678000000000001</v>
      </c>
      <c r="AB24" s="764">
        <v>28.632999999999999</v>
      </c>
      <c r="AC24" s="764">
        <v>29.05</v>
      </c>
      <c r="AD24" s="764">
        <v>27.279</v>
      </c>
      <c r="AE24" s="764">
        <v>29.424000000000003</v>
      </c>
      <c r="AF24" s="764">
        <v>37.128</v>
      </c>
      <c r="AG24" s="764">
        <v>33.427</v>
      </c>
      <c r="AH24" s="764">
        <v>28.632000000000001</v>
      </c>
      <c r="AI24" s="764">
        <v>31.303000000000001</v>
      </c>
      <c r="AJ24" s="764">
        <v>35.910000000000004</v>
      </c>
      <c r="AK24" s="764">
        <v>31.283000000000001</v>
      </c>
      <c r="AL24" s="765">
        <v>34.458069000000002</v>
      </c>
      <c r="AM24" s="755">
        <v>0.10451282560825348</v>
      </c>
      <c r="AN24" s="755">
        <v>1.9940225407481194E-2</v>
      </c>
      <c r="AO24" s="755">
        <v>4.4592469930648804E-3</v>
      </c>
    </row>
    <row r="25" spans="1:41" x14ac:dyDescent="0.3">
      <c r="A25" s="3" t="s">
        <v>982</v>
      </c>
      <c r="B25" s="764">
        <v>117.72</v>
      </c>
      <c r="C25" s="764">
        <v>118.78999999999999</v>
      </c>
      <c r="D25" s="764">
        <v>123.03999999999999</v>
      </c>
      <c r="E25" s="764">
        <v>124.93</v>
      </c>
      <c r="F25" s="764">
        <v>122.8</v>
      </c>
      <c r="G25" s="764">
        <v>123.06</v>
      </c>
      <c r="H25" s="764">
        <v>122.14999999999999</v>
      </c>
      <c r="I25" s="764">
        <v>119.8</v>
      </c>
      <c r="J25" s="764">
        <v>114.06</v>
      </c>
      <c r="K25" s="764">
        <v>101.35400000000001</v>
      </c>
      <c r="L25" s="764">
        <v>96.185000000000002</v>
      </c>
      <c r="M25" s="764">
        <v>86.564999999999998</v>
      </c>
      <c r="N25" s="764">
        <v>85.180999999999997</v>
      </c>
      <c r="O25" s="764">
        <v>76.944000000000003</v>
      </c>
      <c r="P25" s="764">
        <v>74.332000000000008</v>
      </c>
      <c r="Q25" s="764">
        <v>76.222999999999999</v>
      </c>
      <c r="R25" s="764">
        <v>73.515000000000001</v>
      </c>
      <c r="S25" s="764">
        <v>67.528999999999996</v>
      </c>
      <c r="T25" s="764">
        <v>59.132999999999996</v>
      </c>
      <c r="U25" s="764">
        <v>65.162000000000006</v>
      </c>
      <c r="V25" s="764">
        <v>66.106000000000009</v>
      </c>
      <c r="W25" s="764">
        <v>63.356000000000002</v>
      </c>
      <c r="X25" s="764">
        <v>63.906000000000006</v>
      </c>
      <c r="Y25" s="764">
        <v>61.8</v>
      </c>
      <c r="Z25" s="764">
        <v>62.025999999999996</v>
      </c>
      <c r="AA25" s="764">
        <v>62.902999999999999</v>
      </c>
      <c r="AB25" s="764">
        <v>62.625999999999998</v>
      </c>
      <c r="AC25" s="764">
        <v>60.2</v>
      </c>
      <c r="AD25" s="764">
        <v>56.417000000000002</v>
      </c>
      <c r="AE25" s="764">
        <v>55.367000000000004</v>
      </c>
      <c r="AF25" s="764">
        <v>58.080000000000005</v>
      </c>
      <c r="AG25" s="764">
        <v>55.185000000000002</v>
      </c>
      <c r="AH25" s="764">
        <v>49.131</v>
      </c>
      <c r="AI25" s="764">
        <v>47.073999999999998</v>
      </c>
      <c r="AJ25" s="764">
        <v>46.782000000000004</v>
      </c>
      <c r="AK25" s="764">
        <v>45.484999999999999</v>
      </c>
      <c r="AL25" s="765">
        <v>44.934831000000003</v>
      </c>
      <c r="AM25" s="755">
        <v>-9.3890270218253136E-3</v>
      </c>
      <c r="AN25" s="755">
        <v>-3.1901195645332336E-2</v>
      </c>
      <c r="AO25" s="755">
        <v>5.8150533586740494E-3</v>
      </c>
    </row>
    <row r="26" spans="1:41" x14ac:dyDescent="0.3">
      <c r="A26" s="3" t="s">
        <v>875</v>
      </c>
      <c r="B26" s="764">
        <v>492.79999999999995</v>
      </c>
      <c r="C26" s="764">
        <v>499.7</v>
      </c>
      <c r="D26" s="764">
        <v>476.5</v>
      </c>
      <c r="E26" s="764">
        <v>501.79999999999995</v>
      </c>
      <c r="F26" s="764">
        <v>521.6</v>
      </c>
      <c r="G26" s="764">
        <v>513.21800000000007</v>
      </c>
      <c r="H26" s="764">
        <v>502.84999999999997</v>
      </c>
      <c r="I26" s="764">
        <v>498.32500000000005</v>
      </c>
      <c r="J26" s="764">
        <v>482.74899999999997</v>
      </c>
      <c r="K26" s="764">
        <v>427.43299999999999</v>
      </c>
      <c r="L26" s="764">
        <v>346.38199999999995</v>
      </c>
      <c r="M26" s="764">
        <v>307.90600000000001</v>
      </c>
      <c r="N26" s="764">
        <v>280.67</v>
      </c>
      <c r="O26" s="764">
        <v>259.66399999999999</v>
      </c>
      <c r="P26" s="764">
        <v>246.684</v>
      </c>
      <c r="Q26" s="764">
        <v>235.75900000000001</v>
      </c>
      <c r="R26" s="764">
        <v>223.56199999999998</v>
      </c>
      <c r="S26" s="764">
        <v>207.29300000000001</v>
      </c>
      <c r="T26" s="764">
        <v>201.095</v>
      </c>
      <c r="U26" s="764">
        <v>201.57200000000003</v>
      </c>
      <c r="V26" s="764">
        <v>203.01499999999999</v>
      </c>
      <c r="W26" s="764">
        <v>208.416</v>
      </c>
      <c r="X26" s="764">
        <v>205.22800000000001</v>
      </c>
      <c r="Y26" s="764">
        <v>208.03600000000003</v>
      </c>
      <c r="Z26" s="764">
        <v>203.072</v>
      </c>
      <c r="AA26" s="764">
        <v>197.40600000000001</v>
      </c>
      <c r="AB26" s="764">
        <v>201.94</v>
      </c>
      <c r="AC26" s="764">
        <v>192.48399999999998</v>
      </c>
      <c r="AD26" s="764">
        <v>183.62299999999999</v>
      </c>
      <c r="AE26" s="764">
        <v>182.303</v>
      </c>
      <c r="AF26" s="764">
        <v>188.56100000000001</v>
      </c>
      <c r="AG26" s="764">
        <v>196.202</v>
      </c>
      <c r="AH26" s="764">
        <v>190.56100000000001</v>
      </c>
      <c r="AI26" s="764">
        <v>185.79500000000002</v>
      </c>
      <c r="AJ26" s="764">
        <v>184.28800000000001</v>
      </c>
      <c r="AK26" s="764">
        <v>175.678</v>
      </c>
      <c r="AL26" s="765">
        <v>175.13600000000002</v>
      </c>
      <c r="AM26" s="755">
        <v>-3.5391648998484015E-4</v>
      </c>
      <c r="AN26" s="755">
        <v>-1.1593248695135117E-2</v>
      </c>
      <c r="AO26" s="755">
        <v>2.2664492949843407E-2</v>
      </c>
    </row>
    <row r="27" spans="1:41" x14ac:dyDescent="0.3">
      <c r="A27" s="3" t="s">
        <v>983</v>
      </c>
      <c r="B27" s="764">
        <v>27.32</v>
      </c>
      <c r="C27" s="764">
        <v>27.4</v>
      </c>
      <c r="D27" s="764">
        <v>30.59</v>
      </c>
      <c r="E27" s="764">
        <v>32.5</v>
      </c>
      <c r="F27" s="764">
        <v>35.89</v>
      </c>
      <c r="G27" s="764">
        <v>38.1</v>
      </c>
      <c r="H27" s="764">
        <v>44.612000000000002</v>
      </c>
      <c r="I27" s="764">
        <v>48.323</v>
      </c>
      <c r="J27" s="764">
        <v>51.866</v>
      </c>
      <c r="K27" s="764">
        <v>51.896000000000001</v>
      </c>
      <c r="L27" s="764">
        <v>52.695</v>
      </c>
      <c r="M27" s="764">
        <v>55.051000000000002</v>
      </c>
      <c r="N27" s="764">
        <v>54.817</v>
      </c>
      <c r="O27" s="764">
        <v>56.672000000000004</v>
      </c>
      <c r="P27" s="764">
        <v>57.661999999999999</v>
      </c>
      <c r="Q27" s="764">
        <v>59.780999999999999</v>
      </c>
      <c r="R27" s="764">
        <v>58.844000000000001</v>
      </c>
      <c r="S27" s="764">
        <v>60.884</v>
      </c>
      <c r="T27" s="764">
        <v>62.051000000000002</v>
      </c>
      <c r="U27" s="764">
        <v>63.887</v>
      </c>
      <c r="V27" s="764">
        <v>66.344000000000008</v>
      </c>
      <c r="W27" s="764">
        <v>70.468000000000004</v>
      </c>
      <c r="X27" s="764">
        <v>68.299000000000007</v>
      </c>
      <c r="Y27" s="764">
        <v>70.040999999999997</v>
      </c>
      <c r="Z27" s="764">
        <v>69.397999999999996</v>
      </c>
      <c r="AA27" s="764">
        <v>64.787000000000006</v>
      </c>
      <c r="AB27" s="764">
        <v>66.308000000000007</v>
      </c>
      <c r="AC27" s="764">
        <v>65.72</v>
      </c>
      <c r="AD27" s="764">
        <v>64.893000000000001</v>
      </c>
      <c r="AE27" s="764">
        <v>56.52</v>
      </c>
      <c r="AF27" s="764">
        <v>58.666000000000004</v>
      </c>
      <c r="AG27" s="764">
        <v>62.956000000000003</v>
      </c>
      <c r="AH27" s="764">
        <v>53.923999999999999</v>
      </c>
      <c r="AI27" s="764">
        <v>50.844999999999999</v>
      </c>
      <c r="AJ27" s="764">
        <v>46.246000000000002</v>
      </c>
      <c r="AK27" s="764">
        <v>32.637999999999998</v>
      </c>
      <c r="AL27" s="765">
        <v>37.827919999999999</v>
      </c>
      <c r="AM27" s="755">
        <v>0.1621900349855423</v>
      </c>
      <c r="AN27" s="755">
        <v>-6.6265150904655457E-2</v>
      </c>
      <c r="AO27" s="755">
        <v>4.8953420482575893E-3</v>
      </c>
    </row>
    <row r="28" spans="1:41" x14ac:dyDescent="0.3">
      <c r="A28" s="3" t="s">
        <v>984</v>
      </c>
      <c r="B28" s="764">
        <v>25.95</v>
      </c>
      <c r="C28" s="764">
        <v>26.08</v>
      </c>
      <c r="D28" s="764">
        <v>25.22</v>
      </c>
      <c r="E28" s="764">
        <v>25.05</v>
      </c>
      <c r="F28" s="764">
        <v>24.04</v>
      </c>
      <c r="G28" s="764">
        <v>23.130000000000003</v>
      </c>
      <c r="H28" s="764">
        <v>22.84</v>
      </c>
      <c r="I28" s="764">
        <v>20.880000000000003</v>
      </c>
      <c r="J28" s="764">
        <v>20.029999999999998</v>
      </c>
      <c r="K28" s="764">
        <v>17.582000000000001</v>
      </c>
      <c r="L28" s="764">
        <v>16.97</v>
      </c>
      <c r="M28" s="764">
        <v>15.83</v>
      </c>
      <c r="N28" s="764">
        <v>12.59</v>
      </c>
      <c r="O28" s="764">
        <v>13.91</v>
      </c>
      <c r="P28" s="764">
        <v>12.239999999999998</v>
      </c>
      <c r="Q28" s="764">
        <v>15.07</v>
      </c>
      <c r="R28" s="764">
        <v>15.56</v>
      </c>
      <c r="S28" s="764">
        <v>14.49</v>
      </c>
      <c r="T28" s="764">
        <v>14.55</v>
      </c>
      <c r="U28" s="764">
        <v>13.98</v>
      </c>
      <c r="V28" s="764">
        <v>13.91</v>
      </c>
      <c r="W28" s="764">
        <v>13.030000000000001</v>
      </c>
      <c r="X28" s="764">
        <v>13.3</v>
      </c>
      <c r="Y28" s="764">
        <v>11.489000000000001</v>
      </c>
      <c r="Z28" s="764">
        <v>9.57</v>
      </c>
      <c r="AA28" s="764">
        <v>9.952</v>
      </c>
      <c r="AB28" s="764">
        <v>9.8179999999999996</v>
      </c>
      <c r="AC28" s="764">
        <v>9.4039999999999999</v>
      </c>
      <c r="AD28" s="764">
        <v>8.9860000000000007</v>
      </c>
      <c r="AE28" s="764">
        <v>9.1129999999999995</v>
      </c>
      <c r="AF28" s="764">
        <v>9.5549999999999997</v>
      </c>
      <c r="AG28" s="764">
        <v>9.2900000000000009</v>
      </c>
      <c r="AH28" s="764">
        <v>9.5579999999999998</v>
      </c>
      <c r="AI28" s="764">
        <v>9.5510000000000002</v>
      </c>
      <c r="AJ28" s="764">
        <v>9.261000000000001</v>
      </c>
      <c r="AK28" s="764">
        <v>9.2160000000000011</v>
      </c>
      <c r="AL28" s="765">
        <v>7.9536360000000004</v>
      </c>
      <c r="AM28" s="755">
        <v>-0.13461080193519592</v>
      </c>
      <c r="AN28" s="755">
        <v>-7.6538026332855225E-3</v>
      </c>
      <c r="AO28" s="755">
        <v>1.0292865335941315E-3</v>
      </c>
    </row>
    <row r="29" spans="1:41" x14ac:dyDescent="0.3">
      <c r="A29" s="3" t="s">
        <v>963</v>
      </c>
      <c r="B29" s="764">
        <v>198.64000000000001</v>
      </c>
      <c r="C29" s="764">
        <v>226.96</v>
      </c>
      <c r="D29" s="764">
        <v>233.62</v>
      </c>
      <c r="E29" s="764">
        <v>241.97</v>
      </c>
      <c r="F29" s="764">
        <v>249.39</v>
      </c>
      <c r="G29" s="764">
        <v>259.34000000000003</v>
      </c>
      <c r="H29" s="764">
        <v>266.20999999999998</v>
      </c>
      <c r="I29" s="764">
        <v>266.51</v>
      </c>
      <c r="J29" s="764">
        <v>249.45</v>
      </c>
      <c r="K29" s="764">
        <v>215.32</v>
      </c>
      <c r="L29" s="764">
        <v>209.79</v>
      </c>
      <c r="M29" s="764">
        <v>198.38</v>
      </c>
      <c r="N29" s="764">
        <v>198.57999999999998</v>
      </c>
      <c r="O29" s="764">
        <v>200.7</v>
      </c>
      <c r="P29" s="764">
        <v>200.71999999999997</v>
      </c>
      <c r="Q29" s="764">
        <v>201.72</v>
      </c>
      <c r="R29" s="764">
        <v>200.93</v>
      </c>
      <c r="S29" s="764">
        <v>178.55</v>
      </c>
      <c r="T29" s="764">
        <v>172.73000000000002</v>
      </c>
      <c r="U29" s="764">
        <v>162.82</v>
      </c>
      <c r="V29" s="764">
        <v>163.54</v>
      </c>
      <c r="W29" s="764">
        <v>161.91999999999999</v>
      </c>
      <c r="X29" s="764">
        <v>163.79000000000002</v>
      </c>
      <c r="Y29" s="764">
        <v>161.28399999999999</v>
      </c>
      <c r="Z29" s="764">
        <v>159.54</v>
      </c>
      <c r="AA29" s="764">
        <v>156.065</v>
      </c>
      <c r="AB29" s="764">
        <v>145.85</v>
      </c>
      <c r="AC29" s="764">
        <v>144.01300000000001</v>
      </c>
      <c r="AD29" s="764">
        <v>135.17200000000003</v>
      </c>
      <c r="AE29" s="764">
        <v>133.238</v>
      </c>
      <c r="AF29" s="764">
        <v>139.28900000000002</v>
      </c>
      <c r="AG29" s="764">
        <v>144.09300000000002</v>
      </c>
      <c r="AH29" s="764">
        <v>142.90600000000001</v>
      </c>
      <c r="AI29" s="764">
        <v>137.148</v>
      </c>
      <c r="AJ29" s="764">
        <v>135.81400000000002</v>
      </c>
      <c r="AK29" s="764">
        <v>131.029</v>
      </c>
      <c r="AL29" s="765">
        <v>127.07600000000001</v>
      </c>
      <c r="AM29" s="755">
        <v>-2.7511822059750557E-2</v>
      </c>
      <c r="AN29" s="755">
        <v>-1.7333408817648888E-2</v>
      </c>
      <c r="AO29" s="755">
        <v>1.6445009037852287E-2</v>
      </c>
    </row>
    <row r="30" spans="1:41" x14ac:dyDescent="0.3">
      <c r="A30" s="3" t="s">
        <v>917</v>
      </c>
      <c r="B30" s="764">
        <v>36.93</v>
      </c>
      <c r="C30" s="764">
        <v>37.86</v>
      </c>
      <c r="D30" s="764">
        <v>44.519999999999996</v>
      </c>
      <c r="E30" s="764">
        <v>44.28</v>
      </c>
      <c r="F30" s="764">
        <v>46.58</v>
      </c>
      <c r="G30" s="764">
        <v>47.519999999999996</v>
      </c>
      <c r="H30" s="764">
        <v>51.52</v>
      </c>
      <c r="I30" s="764">
        <v>58.75</v>
      </c>
      <c r="J30" s="764">
        <v>61.34</v>
      </c>
      <c r="K30" s="764">
        <v>38.183</v>
      </c>
      <c r="L30" s="764">
        <v>32.414000000000001</v>
      </c>
      <c r="M30" s="764">
        <v>38.369999999999997</v>
      </c>
      <c r="N30" s="764">
        <v>39.777000000000001</v>
      </c>
      <c r="O30" s="764">
        <v>40.566000000000003</v>
      </c>
      <c r="P30" s="764">
        <v>41.127000000000002</v>
      </c>
      <c r="Q30" s="764">
        <v>41.871000000000009</v>
      </c>
      <c r="R30" s="764">
        <v>33.807000000000002</v>
      </c>
      <c r="S30" s="764">
        <v>26.234999999999999</v>
      </c>
      <c r="T30" s="764">
        <v>22.893000000000001</v>
      </c>
      <c r="U30" s="764">
        <v>29.294</v>
      </c>
      <c r="V30" s="764">
        <v>33.303000000000004</v>
      </c>
      <c r="W30" s="764">
        <v>30.428000000000001</v>
      </c>
      <c r="X30" s="764">
        <v>33.081999999999994</v>
      </c>
      <c r="Y30" s="764">
        <v>31.8</v>
      </c>
      <c r="Z30" s="764">
        <v>31.112000000000002</v>
      </c>
      <c r="AA30" s="764">
        <v>34.932000000000002</v>
      </c>
      <c r="AB30" s="764">
        <v>35.780999999999999</v>
      </c>
      <c r="AC30" s="764">
        <v>35.871000000000002</v>
      </c>
      <c r="AD30" s="764">
        <v>33.97</v>
      </c>
      <c r="AE30" s="764">
        <v>31.13</v>
      </c>
      <c r="AF30" s="764">
        <v>35.512999999999998</v>
      </c>
      <c r="AG30" s="764">
        <v>33.947000000000003</v>
      </c>
      <c r="AH30" s="764">
        <v>24.722000000000001</v>
      </c>
      <c r="AI30" s="764">
        <v>23.567</v>
      </c>
      <c r="AJ30" s="764">
        <v>25.497000000000003</v>
      </c>
      <c r="AK30" s="764">
        <v>22.987000000000002</v>
      </c>
      <c r="AL30" s="765">
        <v>25.687570874316943</v>
      </c>
      <c r="AM30" s="755">
        <v>0.12054412066936493</v>
      </c>
      <c r="AN30" s="755">
        <v>-4.0983930230140686E-2</v>
      </c>
      <c r="AO30" s="755">
        <v>3.3242497593164444E-3</v>
      </c>
    </row>
    <row r="31" spans="1:41" x14ac:dyDescent="0.3">
      <c r="A31" s="3" t="s">
        <v>985</v>
      </c>
      <c r="B31" s="764" t="s">
        <v>915</v>
      </c>
      <c r="C31" s="764" t="s">
        <v>915</v>
      </c>
      <c r="D31" s="764" t="s">
        <v>915</v>
      </c>
      <c r="E31" s="764" t="s">
        <v>915</v>
      </c>
      <c r="F31" s="764" t="s">
        <v>915</v>
      </c>
      <c r="G31" s="764" t="s">
        <v>915</v>
      </c>
      <c r="H31" s="764" t="s">
        <v>915</v>
      </c>
      <c r="I31" s="764" t="s">
        <v>915</v>
      </c>
      <c r="J31" s="764" t="s">
        <v>915</v>
      </c>
      <c r="K31" s="764" t="s">
        <v>915</v>
      </c>
      <c r="L31" s="764" t="s">
        <v>915</v>
      </c>
      <c r="M31" s="764" t="s">
        <v>915</v>
      </c>
      <c r="N31" s="764" t="s">
        <v>915</v>
      </c>
      <c r="O31" s="764" t="s">
        <v>915</v>
      </c>
      <c r="P31" s="764" t="s">
        <v>915</v>
      </c>
      <c r="Q31" s="764" t="s">
        <v>915</v>
      </c>
      <c r="R31" s="764" t="s">
        <v>915</v>
      </c>
      <c r="S31" s="764" t="s">
        <v>915</v>
      </c>
      <c r="T31" s="764" t="s">
        <v>915</v>
      </c>
      <c r="U31" s="764" t="s">
        <v>915</v>
      </c>
      <c r="V31" s="764" t="s">
        <v>915</v>
      </c>
      <c r="W31" s="764" t="s">
        <v>915</v>
      </c>
      <c r="X31" s="764" t="s">
        <v>915</v>
      </c>
      <c r="Y31" s="764" t="s">
        <v>915</v>
      </c>
      <c r="Z31" s="764" t="s">
        <v>915</v>
      </c>
      <c r="AA31" s="764" t="s">
        <v>915</v>
      </c>
      <c r="AB31" s="764">
        <v>37.658000000000001</v>
      </c>
      <c r="AC31" s="764">
        <v>39.187000000000005</v>
      </c>
      <c r="AD31" s="764">
        <v>38.814</v>
      </c>
      <c r="AE31" s="764">
        <v>37.863999999999997</v>
      </c>
      <c r="AF31" s="764">
        <v>40.778000000000006</v>
      </c>
      <c r="AG31" s="764">
        <v>38.172000000000004</v>
      </c>
      <c r="AH31" s="764">
        <v>40.253999999999998</v>
      </c>
      <c r="AI31" s="764">
        <v>29.82</v>
      </c>
      <c r="AJ31" s="764">
        <v>37.787999999999997</v>
      </c>
      <c r="AK31" s="764">
        <v>38.545527</v>
      </c>
      <c r="AL31" s="765">
        <v>39.966779603334736</v>
      </c>
      <c r="AM31" s="755">
        <v>3.9712794125080109E-2</v>
      </c>
      <c r="AN31" s="755" t="s">
        <v>915</v>
      </c>
      <c r="AO31" s="755">
        <v>5.1721339114010334E-3</v>
      </c>
    </row>
    <row r="32" spans="1:41" x14ac:dyDescent="0.3">
      <c r="A32" s="3" t="s">
        <v>986</v>
      </c>
      <c r="B32" s="764">
        <v>35.676000000000002</v>
      </c>
      <c r="C32" s="764">
        <v>39.305</v>
      </c>
      <c r="D32" s="764">
        <v>39.953000000000003</v>
      </c>
      <c r="E32" s="764">
        <v>39.591999999999999</v>
      </c>
      <c r="F32" s="764">
        <v>39.662999999999997</v>
      </c>
      <c r="G32" s="764">
        <v>38.323</v>
      </c>
      <c r="H32" s="764">
        <v>34.634</v>
      </c>
      <c r="I32" s="764">
        <v>31.909000000000002</v>
      </c>
      <c r="J32" s="764">
        <v>36.578000000000003</v>
      </c>
      <c r="K32" s="764">
        <v>35.951999999999998</v>
      </c>
      <c r="L32" s="764">
        <v>33.519999999999996</v>
      </c>
      <c r="M32" s="764">
        <v>33.298999999999999</v>
      </c>
      <c r="N32" s="764">
        <v>31.565000000000001</v>
      </c>
      <c r="O32" s="764">
        <v>29.491</v>
      </c>
      <c r="P32" s="764">
        <v>28.463999999999999</v>
      </c>
      <c r="Q32" s="764">
        <v>27.369999999999997</v>
      </c>
      <c r="R32" s="764">
        <v>26.466999999999999</v>
      </c>
      <c r="S32" s="764">
        <v>26.075000000000003</v>
      </c>
      <c r="T32" s="764">
        <v>24.258000000000003</v>
      </c>
      <c r="U32" s="764">
        <v>23.486000000000001</v>
      </c>
      <c r="V32" s="764">
        <v>22.683999999999997</v>
      </c>
      <c r="W32" s="764">
        <v>22.035</v>
      </c>
      <c r="X32" s="764">
        <v>20.548000000000002</v>
      </c>
      <c r="Y32" s="764">
        <v>20.496000000000002</v>
      </c>
      <c r="Z32" s="764">
        <v>19.353999999999999</v>
      </c>
      <c r="AA32" s="764">
        <v>18.399000000000001</v>
      </c>
      <c r="AB32" s="764">
        <v>17.18</v>
      </c>
      <c r="AC32" s="764">
        <v>10.202999999999999</v>
      </c>
      <c r="AD32" s="764">
        <v>9.4450000000000003</v>
      </c>
      <c r="AE32" s="764">
        <v>8.43</v>
      </c>
      <c r="AF32" s="764">
        <v>6.6210000000000004</v>
      </c>
      <c r="AG32" s="764">
        <v>6.181</v>
      </c>
      <c r="AH32" s="764">
        <v>4.3680000000000003</v>
      </c>
      <c r="AI32" s="764">
        <v>3.899</v>
      </c>
      <c r="AJ32" s="764">
        <v>3.0640000000000001</v>
      </c>
      <c r="AK32" s="764">
        <v>1.7418019999999999</v>
      </c>
      <c r="AL32" s="765">
        <v>2.7810000000000001</v>
      </c>
      <c r="AM32" s="755">
        <v>0.60099667310714722</v>
      </c>
      <c r="AN32" s="755">
        <v>-0.21001206338405609</v>
      </c>
      <c r="AO32" s="755">
        <v>3.5989150637760758E-4</v>
      </c>
    </row>
    <row r="33" spans="1:41" x14ac:dyDescent="0.3">
      <c r="A33" s="3" t="s">
        <v>987</v>
      </c>
      <c r="B33" s="764">
        <v>21.005999999999997</v>
      </c>
      <c r="C33" s="764">
        <v>22.672000000000001</v>
      </c>
      <c r="D33" s="764">
        <v>25.244999999999997</v>
      </c>
      <c r="E33" s="764">
        <v>29.972000000000001</v>
      </c>
      <c r="F33" s="764">
        <v>39.997</v>
      </c>
      <c r="G33" s="764">
        <v>46.417000000000002</v>
      </c>
      <c r="H33" s="764">
        <v>46.988</v>
      </c>
      <c r="I33" s="764">
        <v>39.218000000000004</v>
      </c>
      <c r="J33" s="764">
        <v>52.215999999999994</v>
      </c>
      <c r="K33" s="764">
        <v>47.428000000000004</v>
      </c>
      <c r="L33" s="764">
        <v>46.108000000000004</v>
      </c>
      <c r="M33" s="764">
        <v>51.430999999999997</v>
      </c>
      <c r="N33" s="764">
        <v>48.56</v>
      </c>
      <c r="O33" s="764">
        <v>54.372</v>
      </c>
      <c r="P33" s="764">
        <v>55.073</v>
      </c>
      <c r="Q33" s="764">
        <v>56.363597470000002</v>
      </c>
      <c r="R33" s="764">
        <v>59.92941562</v>
      </c>
      <c r="S33" s="764">
        <v>67.382875780000006</v>
      </c>
      <c r="T33" s="764">
        <v>67.037212700000012</v>
      </c>
      <c r="U33" s="764">
        <v>63.268133859999992</v>
      </c>
      <c r="V33" s="764">
        <v>62.096361639999998</v>
      </c>
      <c r="W33" s="764">
        <v>53.983936460000002</v>
      </c>
      <c r="X33" s="764">
        <v>48.562766000000003</v>
      </c>
      <c r="Y33" s="764">
        <v>46.377239000000003</v>
      </c>
      <c r="Z33" s="764">
        <v>60.765999999999998</v>
      </c>
      <c r="AA33" s="764">
        <v>64.254999999999995</v>
      </c>
      <c r="AB33" s="764">
        <v>75.364999999999995</v>
      </c>
      <c r="AC33" s="764">
        <v>79.402000000000001</v>
      </c>
      <c r="AD33" s="764">
        <v>79.498000000000005</v>
      </c>
      <c r="AE33" s="764">
        <v>73.399000000000001</v>
      </c>
      <c r="AF33" s="764">
        <v>75.978300000000004</v>
      </c>
      <c r="AG33" s="764">
        <v>71.460999999999999</v>
      </c>
      <c r="AH33" s="764">
        <v>60.392497260000006</v>
      </c>
      <c r="AI33" s="764">
        <v>65.248999999999995</v>
      </c>
      <c r="AJ33" s="764">
        <v>58.414000000000001</v>
      </c>
      <c r="AK33" s="764">
        <v>73.003947999999994</v>
      </c>
      <c r="AL33" s="765">
        <v>99.818910387192659</v>
      </c>
      <c r="AM33" s="755">
        <v>0.37105444073677063</v>
      </c>
      <c r="AN33" s="755">
        <v>1.2847223319113255E-2</v>
      </c>
      <c r="AO33" s="755">
        <v>1.2917647138237953E-2</v>
      </c>
    </row>
    <row r="34" spans="1:41" x14ac:dyDescent="0.3">
      <c r="A34" s="3" t="s">
        <v>879</v>
      </c>
      <c r="B34" s="764">
        <v>127.46900000000001</v>
      </c>
      <c r="C34" s="764">
        <v>124.711</v>
      </c>
      <c r="D34" s="764">
        <v>119.254</v>
      </c>
      <c r="E34" s="764">
        <v>51.182000000000002</v>
      </c>
      <c r="F34" s="764">
        <v>94.111000000000004</v>
      </c>
      <c r="G34" s="764">
        <v>108.099</v>
      </c>
      <c r="H34" s="764">
        <v>104.533</v>
      </c>
      <c r="I34" s="764">
        <v>104.066</v>
      </c>
      <c r="J34" s="764">
        <v>99.820000000000007</v>
      </c>
      <c r="K34" s="764">
        <v>92.762</v>
      </c>
      <c r="L34" s="764">
        <v>94.201999999999998</v>
      </c>
      <c r="M34" s="764">
        <v>84.492999999999995</v>
      </c>
      <c r="N34" s="764">
        <v>68.198999999999998</v>
      </c>
      <c r="O34" s="764">
        <v>49.785000000000004</v>
      </c>
      <c r="P34" s="764">
        <v>53.036999999999999</v>
      </c>
      <c r="Q34" s="764">
        <v>50.197000000000003</v>
      </c>
      <c r="R34" s="764">
        <v>48.495000000000005</v>
      </c>
      <c r="S34" s="764">
        <v>41.177</v>
      </c>
      <c r="T34" s="764">
        <v>37.076999999999998</v>
      </c>
      <c r="U34" s="764">
        <v>31.197582666666666</v>
      </c>
      <c r="V34" s="764">
        <v>31.929856000000001</v>
      </c>
      <c r="W34" s="764">
        <v>29.989155</v>
      </c>
      <c r="X34" s="764">
        <v>28.278728999999998</v>
      </c>
      <c r="Y34" s="764">
        <v>25.096057000000002</v>
      </c>
      <c r="Z34" s="764">
        <v>20.498293</v>
      </c>
      <c r="AA34" s="764">
        <v>18.517161999999999</v>
      </c>
      <c r="AB34" s="764">
        <v>17.007227000000004</v>
      </c>
      <c r="AC34" s="764">
        <v>18.053242571428601</v>
      </c>
      <c r="AD34" s="764">
        <v>17.873633820922901</v>
      </c>
      <c r="AE34" s="764">
        <v>18.346630369367602</v>
      </c>
      <c r="AF34" s="764">
        <v>18.551978210657118</v>
      </c>
      <c r="AG34" s="764">
        <v>16.966667060472485</v>
      </c>
      <c r="AH34" s="764">
        <v>12.767445612964631</v>
      </c>
      <c r="AI34" s="764">
        <v>11.647611787657707</v>
      </c>
      <c r="AJ34" s="764">
        <v>8.5981875625219946</v>
      </c>
      <c r="AK34" s="764">
        <v>4.1777964297208774</v>
      </c>
      <c r="AL34" s="765">
        <v>3.0410644856719968</v>
      </c>
      <c r="AM34" s="755">
        <v>-0.2700946033000946</v>
      </c>
      <c r="AN34" s="755">
        <v>-0.13833731412887573</v>
      </c>
      <c r="AO34" s="755">
        <v>3.9354665204882622E-4</v>
      </c>
    </row>
    <row r="35" spans="1:41" x14ac:dyDescent="0.3">
      <c r="A35" s="3" t="s">
        <v>918</v>
      </c>
      <c r="B35" s="764">
        <v>101.85309615262719</v>
      </c>
      <c r="C35" s="764">
        <v>109.24011886701142</v>
      </c>
      <c r="D35" s="764">
        <v>110.52625409212745</v>
      </c>
      <c r="E35" s="764">
        <v>117.07186048131715</v>
      </c>
      <c r="F35" s="764">
        <v>146.32928879999997</v>
      </c>
      <c r="G35" s="764">
        <v>150.65490559999998</v>
      </c>
      <c r="H35" s="764">
        <v>145.22013490000001</v>
      </c>
      <c r="I35" s="764">
        <v>139.40504029698164</v>
      </c>
      <c r="J35" s="764">
        <v>146.05780695327471</v>
      </c>
      <c r="K35" s="764">
        <v>139.99972433095709</v>
      </c>
      <c r="L35" s="764">
        <v>123.97726848206112</v>
      </c>
      <c r="M35" s="764">
        <v>119.26789651036782</v>
      </c>
      <c r="N35" s="764">
        <v>105.29088576067596</v>
      </c>
      <c r="O35" s="764">
        <v>95.139477603332367</v>
      </c>
      <c r="P35" s="764">
        <v>98.685472278518532</v>
      </c>
      <c r="Q35" s="764">
        <v>95.779050870921992</v>
      </c>
      <c r="R35" s="764">
        <v>102.85607221219512</v>
      </c>
      <c r="S35" s="764">
        <v>94.722561888710374</v>
      </c>
      <c r="T35" s="764">
        <v>88.884335486311585</v>
      </c>
      <c r="U35" s="764">
        <v>90.238845294820734</v>
      </c>
      <c r="V35" s="764">
        <v>91.559479204343532</v>
      </c>
      <c r="W35" s="764">
        <v>94.791887972051157</v>
      </c>
      <c r="X35" s="764">
        <v>101.21938905251338</v>
      </c>
      <c r="Y35" s="764">
        <v>92.957713060850651</v>
      </c>
      <c r="Z35" s="764">
        <v>97.644907805048319</v>
      </c>
      <c r="AA35" s="764">
        <v>103.67966659484523</v>
      </c>
      <c r="AB35" s="764">
        <v>60.33046554324568</v>
      </c>
      <c r="AC35" s="764">
        <v>64.07633043717847</v>
      </c>
      <c r="AD35" s="764">
        <v>65.960840267858913</v>
      </c>
      <c r="AE35" s="764">
        <v>68.513692809121721</v>
      </c>
      <c r="AF35" s="764">
        <v>70.415217029266216</v>
      </c>
      <c r="AG35" s="764">
        <v>63.160399820490944</v>
      </c>
      <c r="AH35" s="764">
        <v>72.185881635084755</v>
      </c>
      <c r="AI35" s="764">
        <v>67.805607714039013</v>
      </c>
      <c r="AJ35" s="764">
        <v>62.160549854783412</v>
      </c>
      <c r="AK35" s="764">
        <v>57.528781751300528</v>
      </c>
      <c r="AL35" s="765">
        <v>58.843036291520235</v>
      </c>
      <c r="AM35" s="755">
        <v>2.56474819034338E-2</v>
      </c>
      <c r="AN35" s="755">
        <v>-5.7200901210308075E-2</v>
      </c>
      <c r="AO35" s="755">
        <v>7.6149259693920612E-3</v>
      </c>
    </row>
    <row r="36" spans="1:41" x14ac:dyDescent="0.3">
      <c r="A36" s="756" t="s">
        <v>919</v>
      </c>
      <c r="B36" s="766">
        <v>1214.6040961526276</v>
      </c>
      <c r="C36" s="766">
        <v>1264.9281188670116</v>
      </c>
      <c r="D36" s="766">
        <v>1260.8582540921277</v>
      </c>
      <c r="E36" s="766">
        <v>1240.7078604813171</v>
      </c>
      <c r="F36" s="766">
        <v>1351.2802888000001</v>
      </c>
      <c r="G36" s="766">
        <v>1383.0819056000003</v>
      </c>
      <c r="H36" s="766">
        <v>1378.3771349000003</v>
      </c>
      <c r="I36" s="766">
        <v>1361.3360402969818</v>
      </c>
      <c r="J36" s="766">
        <v>1348.4668069532745</v>
      </c>
      <c r="K36" s="766">
        <v>1199.584724330957</v>
      </c>
      <c r="L36" s="766">
        <v>1080.6332684820611</v>
      </c>
      <c r="M36" s="766">
        <v>1020.9168965103679</v>
      </c>
      <c r="N36" s="766">
        <v>954.26188576067602</v>
      </c>
      <c r="O36" s="766">
        <v>906.00047760333234</v>
      </c>
      <c r="P36" s="766">
        <v>898.85447227851853</v>
      </c>
      <c r="Q36" s="766">
        <v>891.43564834092206</v>
      </c>
      <c r="R36" s="766">
        <v>873.67348783219518</v>
      </c>
      <c r="S36" s="766">
        <v>814.44943766871063</v>
      </c>
      <c r="T36" s="766">
        <v>775.00654818631153</v>
      </c>
      <c r="U36" s="766">
        <v>771.33756182148716</v>
      </c>
      <c r="V36" s="766">
        <v>781.09869684434352</v>
      </c>
      <c r="W36" s="766">
        <v>774.43597943205123</v>
      </c>
      <c r="X36" s="766">
        <v>773.51288405251341</v>
      </c>
      <c r="Y36" s="766">
        <v>755.86200906085082</v>
      </c>
      <c r="Z36" s="766">
        <v>757.67620080504844</v>
      </c>
      <c r="AA36" s="766">
        <v>756.57382859484539</v>
      </c>
      <c r="AB36" s="766">
        <v>758.49669254324567</v>
      </c>
      <c r="AC36" s="766">
        <v>747.66357300860716</v>
      </c>
      <c r="AD36" s="766">
        <v>721.93147408878167</v>
      </c>
      <c r="AE36" s="766">
        <v>703.64832317848925</v>
      </c>
      <c r="AF36" s="766">
        <v>739.13649523992319</v>
      </c>
      <c r="AG36" s="766">
        <v>731.04106688096329</v>
      </c>
      <c r="AH36" s="766">
        <v>689.40182450804934</v>
      </c>
      <c r="AI36" s="766">
        <v>663.7042195016968</v>
      </c>
      <c r="AJ36" s="766">
        <v>653.82273741730546</v>
      </c>
      <c r="AK36" s="766">
        <v>623.31385518102149</v>
      </c>
      <c r="AL36" s="766">
        <v>657.52481764203651</v>
      </c>
      <c r="AM36" s="758">
        <v>5.777570977807045E-2</v>
      </c>
      <c r="AN36" s="758">
        <v>-1.9188506528735161E-2</v>
      </c>
      <c r="AO36" s="758">
        <v>8.509083092212677E-2</v>
      </c>
    </row>
    <row r="37" spans="1:41" x14ac:dyDescent="0.3">
      <c r="B37" s="764"/>
      <c r="C37" s="764"/>
      <c r="D37" s="764"/>
      <c r="E37" s="764"/>
      <c r="F37" s="764"/>
      <c r="G37" s="764"/>
      <c r="H37" s="764"/>
      <c r="I37" s="764"/>
      <c r="J37" s="764"/>
      <c r="K37" s="764"/>
      <c r="L37" s="764"/>
      <c r="M37" s="764"/>
      <c r="N37" s="764"/>
      <c r="O37" s="764"/>
      <c r="P37" s="764"/>
      <c r="Q37" s="764"/>
      <c r="R37" s="764"/>
      <c r="S37" s="764"/>
      <c r="T37" s="764"/>
      <c r="U37" s="764"/>
      <c r="V37" s="764"/>
      <c r="W37" s="764"/>
      <c r="X37" s="764"/>
      <c r="Y37" s="764"/>
      <c r="Z37" s="764"/>
      <c r="AA37" s="764"/>
      <c r="AB37" s="764"/>
      <c r="AC37" s="764"/>
      <c r="AD37" s="764"/>
      <c r="AE37" s="764"/>
      <c r="AF37" s="764"/>
      <c r="AG37" s="764"/>
      <c r="AH37" s="764"/>
      <c r="AI37" s="764"/>
      <c r="AJ37" s="764"/>
      <c r="AK37" s="764"/>
      <c r="AL37" s="765"/>
      <c r="AM37" s="755"/>
      <c r="AN37" s="755"/>
      <c r="AO37" s="755"/>
    </row>
    <row r="38" spans="1:41" x14ac:dyDescent="0.3">
      <c r="A38" s="3" t="s">
        <v>619</v>
      </c>
      <c r="B38" s="764" t="s">
        <v>915</v>
      </c>
      <c r="C38" s="764" t="s">
        <v>915</v>
      </c>
      <c r="D38" s="764" t="s">
        <v>915</v>
      </c>
      <c r="E38" s="764" t="s">
        <v>915</v>
      </c>
      <c r="F38" s="764">
        <v>130.80000000000001</v>
      </c>
      <c r="G38" s="764">
        <v>137.5</v>
      </c>
      <c r="H38" s="764">
        <v>142.10000000000002</v>
      </c>
      <c r="I38" s="764">
        <v>143.1</v>
      </c>
      <c r="J38" s="764">
        <v>138.39999999999998</v>
      </c>
      <c r="K38" s="764">
        <v>131.44300000000001</v>
      </c>
      <c r="L38" s="764">
        <v>130.38200000000001</v>
      </c>
      <c r="M38" s="764">
        <v>126.536</v>
      </c>
      <c r="N38" s="764">
        <v>111.88</v>
      </c>
      <c r="O38" s="764">
        <v>104.625</v>
      </c>
      <c r="P38" s="764">
        <v>83.271000000000001</v>
      </c>
      <c r="Q38" s="764">
        <v>76.830999999999989</v>
      </c>
      <c r="R38" s="764">
        <v>72.647000000000006</v>
      </c>
      <c r="S38" s="764">
        <v>69.77300000000001</v>
      </c>
      <c r="T38" s="764">
        <v>58.378</v>
      </c>
      <c r="U38" s="764">
        <v>74.872</v>
      </c>
      <c r="V38" s="764">
        <v>79.076699849170438</v>
      </c>
      <c r="W38" s="764">
        <v>73.730259857789264</v>
      </c>
      <c r="X38" s="764">
        <v>84.906200000000013</v>
      </c>
      <c r="Y38" s="764">
        <v>86.874600000000001</v>
      </c>
      <c r="Z38" s="764">
        <v>86.585800000000006</v>
      </c>
      <c r="AA38" s="764">
        <v>96.159100000000009</v>
      </c>
      <c r="AB38" s="764">
        <v>97.828599999999994</v>
      </c>
      <c r="AC38" s="764">
        <v>111.07189200000001</v>
      </c>
      <c r="AD38" s="764">
        <v>100.854051</v>
      </c>
      <c r="AE38" s="764">
        <v>110.929564</v>
      </c>
      <c r="AF38" s="764">
        <v>116.44950000000001</v>
      </c>
      <c r="AG38" s="764">
        <v>120.5273</v>
      </c>
      <c r="AH38" s="764">
        <v>119.5737</v>
      </c>
      <c r="AI38" s="764">
        <v>113.98510000000002</v>
      </c>
      <c r="AJ38" s="764">
        <v>107.3181977957563</v>
      </c>
      <c r="AK38" s="764">
        <v>103.07430000000001</v>
      </c>
      <c r="AL38" s="765">
        <v>111.13849999999999</v>
      </c>
      <c r="AM38" s="755">
        <v>8.1190839409828186E-2</v>
      </c>
      <c r="AN38" s="755">
        <v>6.9687673822045326E-3</v>
      </c>
      <c r="AO38" s="755">
        <v>1.4382524415850639E-2</v>
      </c>
    </row>
    <row r="39" spans="1:41" x14ac:dyDescent="0.3">
      <c r="A39" s="3" t="s">
        <v>920</v>
      </c>
      <c r="B39" s="764" t="s">
        <v>915</v>
      </c>
      <c r="C39" s="764" t="s">
        <v>915</v>
      </c>
      <c r="D39" s="764" t="s">
        <v>915</v>
      </c>
      <c r="E39" s="764" t="s">
        <v>915</v>
      </c>
      <c r="F39" s="764">
        <v>409.25200000000007</v>
      </c>
      <c r="G39" s="764">
        <v>423.94799999999998</v>
      </c>
      <c r="H39" s="764">
        <v>424.08699999999999</v>
      </c>
      <c r="I39" s="764">
        <v>440</v>
      </c>
      <c r="J39" s="764">
        <v>422.8</v>
      </c>
      <c r="K39" s="764">
        <v>405.19411764705887</v>
      </c>
      <c r="L39" s="764">
        <v>362.23588235294119</v>
      </c>
      <c r="M39" s="764">
        <v>349.00417647058822</v>
      </c>
      <c r="N39" s="764">
        <v>311.86205882352937</v>
      </c>
      <c r="O39" s="764">
        <v>278.30417647058823</v>
      </c>
      <c r="P39" s="764">
        <v>269.57476470588239</v>
      </c>
      <c r="Q39" s="764">
        <v>262.05226705882353</v>
      </c>
      <c r="R39" s="764">
        <v>250.61729411764708</v>
      </c>
      <c r="S39" s="764">
        <v>235.3837058823529</v>
      </c>
      <c r="T39" s="764">
        <v>255.0504117647059</v>
      </c>
      <c r="U39" s="764">
        <v>262.08182352941174</v>
      </c>
      <c r="V39" s="764">
        <v>274.00117647058823</v>
      </c>
      <c r="W39" s="764">
        <v>258.91282352941175</v>
      </c>
      <c r="X39" s="764">
        <v>278.74635294117644</v>
      </c>
      <c r="Y39" s="764">
        <v>284.39858823529414</v>
      </c>
      <c r="Z39" s="764">
        <v>299.97058823529414</v>
      </c>
      <c r="AA39" s="764">
        <v>311.37058823529412</v>
      </c>
      <c r="AB39" s="764">
        <v>315.57058823529417</v>
      </c>
      <c r="AC39" s="764">
        <v>330.18235294117648</v>
      </c>
      <c r="AD39" s="764">
        <v>302.38235294117646</v>
      </c>
      <c r="AE39" s="764">
        <v>322.92</v>
      </c>
      <c r="AF39" s="764">
        <v>337.4</v>
      </c>
      <c r="AG39" s="764">
        <v>358.3</v>
      </c>
      <c r="AH39" s="764">
        <v>355.23100000000011</v>
      </c>
      <c r="AI39" s="764">
        <v>357.39699248120303</v>
      </c>
      <c r="AJ39" s="764">
        <v>372.6</v>
      </c>
      <c r="AK39" s="764">
        <v>386.53700000000003</v>
      </c>
      <c r="AL39" s="765">
        <v>411.17299453551908</v>
      </c>
      <c r="AM39" s="755">
        <v>6.6649496555328369E-2</v>
      </c>
      <c r="AN39" s="755">
        <v>2.1859880536794662E-2</v>
      </c>
      <c r="AO39" s="755">
        <v>5.3210236132144928E-2</v>
      </c>
    </row>
    <row r="40" spans="1:41" x14ac:dyDescent="0.3">
      <c r="A40" s="3" t="s">
        <v>964</v>
      </c>
      <c r="B40" s="764" t="s">
        <v>915</v>
      </c>
      <c r="C40" s="764" t="s">
        <v>915</v>
      </c>
      <c r="D40" s="764" t="s">
        <v>915</v>
      </c>
      <c r="E40" s="764" t="s">
        <v>915</v>
      </c>
      <c r="F40" s="764">
        <v>191.107</v>
      </c>
      <c r="G40" s="764">
        <v>195.386</v>
      </c>
      <c r="H40" s="764">
        <v>194.14</v>
      </c>
      <c r="I40" s="764">
        <v>193.88002498404441</v>
      </c>
      <c r="J40" s="764">
        <v>182.29282398468266</v>
      </c>
      <c r="K40" s="764">
        <v>166.29521598978843</v>
      </c>
      <c r="L40" s="764">
        <v>137.27599999999998</v>
      </c>
      <c r="M40" s="764">
        <v>135.315</v>
      </c>
      <c r="N40" s="764">
        <v>116.663</v>
      </c>
      <c r="O40" s="764">
        <v>95.891000000000005</v>
      </c>
      <c r="P40" s="764">
        <v>85.38</v>
      </c>
      <c r="Q40" s="764">
        <v>71.536000000000001</v>
      </c>
      <c r="R40" s="764">
        <v>77.716999999999999</v>
      </c>
      <c r="S40" s="764">
        <v>77.863</v>
      </c>
      <c r="T40" s="764">
        <v>82.402000000000001</v>
      </c>
      <c r="U40" s="764">
        <v>81.47699999999999</v>
      </c>
      <c r="V40" s="764">
        <v>84.344999999999999</v>
      </c>
      <c r="W40" s="764">
        <v>83.166000000000011</v>
      </c>
      <c r="X40" s="764">
        <v>80.938000000000002</v>
      </c>
      <c r="Y40" s="764">
        <v>81.99499999999999</v>
      </c>
      <c r="Z40" s="764">
        <v>79.600999999999999</v>
      </c>
      <c r="AA40" s="764">
        <v>80.834000000000003</v>
      </c>
      <c r="AB40" s="764">
        <v>77.156999999999996</v>
      </c>
      <c r="AC40" s="764">
        <v>79.882000000000005</v>
      </c>
      <c r="AD40" s="764">
        <v>74.426000000000002</v>
      </c>
      <c r="AE40" s="764">
        <v>77.253</v>
      </c>
      <c r="AF40" s="764">
        <v>85.156000000000006</v>
      </c>
      <c r="AG40" s="764">
        <v>87.3</v>
      </c>
      <c r="AH40" s="764">
        <v>84.752300000000005</v>
      </c>
      <c r="AI40" s="764">
        <v>64.042699999999996</v>
      </c>
      <c r="AJ40" s="764">
        <v>38.518300000000004</v>
      </c>
      <c r="AK40" s="764">
        <v>41.745100000000001</v>
      </c>
      <c r="AL40" s="765">
        <v>34.203400000000002</v>
      </c>
      <c r="AM40" s="755">
        <v>-0.17841595411300659</v>
      </c>
      <c r="AN40" s="755">
        <v>-6.3945479691028595E-2</v>
      </c>
      <c r="AO40" s="755">
        <v>4.4262902811169624E-3</v>
      </c>
    </row>
    <row r="41" spans="1:41" x14ac:dyDescent="0.3">
      <c r="A41" s="3" t="s">
        <v>921</v>
      </c>
      <c r="B41" s="764">
        <v>778.14700000000005</v>
      </c>
      <c r="C41" s="764">
        <v>777.97699999999998</v>
      </c>
      <c r="D41" s="764">
        <v>774.77500000000009</v>
      </c>
      <c r="E41" s="764">
        <v>761.91100000000006</v>
      </c>
      <c r="F41" s="764" t="s">
        <v>915</v>
      </c>
      <c r="G41" s="764" t="s">
        <v>915</v>
      </c>
      <c r="H41" s="764" t="s">
        <v>915</v>
      </c>
      <c r="I41" s="764" t="s">
        <v>915</v>
      </c>
      <c r="J41" s="764" t="s">
        <v>915</v>
      </c>
      <c r="K41" s="764" t="s">
        <v>915</v>
      </c>
      <c r="L41" s="764" t="s">
        <v>915</v>
      </c>
      <c r="M41" s="764" t="s">
        <v>915</v>
      </c>
      <c r="N41" s="764" t="s">
        <v>915</v>
      </c>
      <c r="O41" s="764" t="s">
        <v>915</v>
      </c>
      <c r="P41" s="764" t="s">
        <v>915</v>
      </c>
      <c r="Q41" s="764" t="s">
        <v>915</v>
      </c>
      <c r="R41" s="764" t="s">
        <v>915</v>
      </c>
      <c r="S41" s="764" t="s">
        <v>915</v>
      </c>
      <c r="T41" s="764" t="s">
        <v>915</v>
      </c>
      <c r="U41" s="764" t="s">
        <v>915</v>
      </c>
      <c r="V41" s="764" t="s">
        <v>915</v>
      </c>
      <c r="W41" s="764" t="s">
        <v>915</v>
      </c>
      <c r="X41" s="764" t="s">
        <v>915</v>
      </c>
      <c r="Y41" s="764" t="s">
        <v>915</v>
      </c>
      <c r="Z41" s="764" t="s">
        <v>915</v>
      </c>
      <c r="AA41" s="764" t="s">
        <v>915</v>
      </c>
      <c r="AB41" s="764" t="s">
        <v>915</v>
      </c>
      <c r="AC41" s="764" t="s">
        <v>915</v>
      </c>
      <c r="AD41" s="764" t="s">
        <v>915</v>
      </c>
      <c r="AE41" s="764" t="s">
        <v>915</v>
      </c>
      <c r="AF41" s="764" t="s">
        <v>915</v>
      </c>
      <c r="AG41" s="764" t="s">
        <v>915</v>
      </c>
      <c r="AH41" s="764" t="s">
        <v>915</v>
      </c>
      <c r="AI41" s="764" t="s">
        <v>915</v>
      </c>
      <c r="AJ41" s="764" t="s">
        <v>915</v>
      </c>
      <c r="AK41" s="764" t="s">
        <v>915</v>
      </c>
      <c r="AL41" s="765" t="s">
        <v>915</v>
      </c>
      <c r="AM41" s="755" t="s">
        <v>915</v>
      </c>
      <c r="AN41" s="755" t="s">
        <v>915</v>
      </c>
      <c r="AO41" s="755" t="s">
        <v>915</v>
      </c>
    </row>
    <row r="42" spans="1:41" x14ac:dyDescent="0.3">
      <c r="A42" s="3" t="s">
        <v>922</v>
      </c>
      <c r="B42" s="764" t="s">
        <v>915</v>
      </c>
      <c r="C42" s="764" t="s">
        <v>915</v>
      </c>
      <c r="D42" s="764" t="s">
        <v>915</v>
      </c>
      <c r="E42" s="764" t="s">
        <v>915</v>
      </c>
      <c r="F42" s="764">
        <v>5.3</v>
      </c>
      <c r="G42" s="764">
        <v>6</v>
      </c>
      <c r="H42" s="764">
        <v>5</v>
      </c>
      <c r="I42" s="764">
        <v>5.5</v>
      </c>
      <c r="J42" s="764">
        <v>6.2</v>
      </c>
      <c r="K42" s="764">
        <v>6.5</v>
      </c>
      <c r="L42" s="764">
        <v>5.9480000000000004</v>
      </c>
      <c r="M42" s="764">
        <v>4.6800000000000006</v>
      </c>
      <c r="N42" s="764">
        <v>3.8069999999999999</v>
      </c>
      <c r="O42" s="764">
        <v>3.8450000000000002</v>
      </c>
      <c r="P42" s="764">
        <v>3.0539999999999998</v>
      </c>
      <c r="Q42" s="764">
        <v>2.8369999999999997</v>
      </c>
      <c r="R42" s="764">
        <v>2.9459999999999997</v>
      </c>
      <c r="S42" s="764">
        <v>2.9530000000000003</v>
      </c>
      <c r="T42" s="764">
        <v>2.9550000000000001</v>
      </c>
      <c r="U42" s="764">
        <v>2.5010000000000003</v>
      </c>
      <c r="V42" s="764">
        <v>2.7110000000000003</v>
      </c>
      <c r="W42" s="764">
        <v>2.74</v>
      </c>
      <c r="X42" s="764">
        <v>1.9116000000000002</v>
      </c>
      <c r="Y42" s="764">
        <v>2.7810000000000001</v>
      </c>
      <c r="Z42" s="764">
        <v>3.1680000000000001</v>
      </c>
      <c r="AA42" s="764">
        <v>2.8192000000000004</v>
      </c>
      <c r="AB42" s="764">
        <v>3.441859</v>
      </c>
      <c r="AC42" s="764">
        <v>3.2894510000000001</v>
      </c>
      <c r="AD42" s="764">
        <v>3.6541410000000001</v>
      </c>
      <c r="AE42" s="764">
        <v>3.2994310000000002</v>
      </c>
      <c r="AF42" s="764">
        <v>3.8437410000000005</v>
      </c>
      <c r="AG42" s="764">
        <v>4.0360639999999997</v>
      </c>
      <c r="AH42" s="764">
        <v>4.0899799999999997</v>
      </c>
      <c r="AI42" s="764">
        <v>4.3968360000000004</v>
      </c>
      <c r="AJ42" s="764">
        <v>3.9527550000000002</v>
      </c>
      <c r="AK42" s="764">
        <v>3.8773760000000004</v>
      </c>
      <c r="AL42" s="765">
        <v>4.0386714999999995</v>
      </c>
      <c r="AM42" s="755">
        <v>4.4452834874391556E-2</v>
      </c>
      <c r="AN42" s="755">
        <v>3.2383851706981659E-2</v>
      </c>
      <c r="AO42" s="755">
        <v>5.2264780970290303E-4</v>
      </c>
    </row>
    <row r="43" spans="1:41" x14ac:dyDescent="0.3">
      <c r="A43" s="3" t="s">
        <v>923</v>
      </c>
      <c r="B43" s="764">
        <v>0</v>
      </c>
      <c r="C43" s="764">
        <v>0</v>
      </c>
      <c r="D43" s="764">
        <v>0</v>
      </c>
      <c r="E43" s="764">
        <v>0</v>
      </c>
      <c r="F43" s="764">
        <v>8.9320000000000004</v>
      </c>
      <c r="G43" s="764">
        <v>9.4989999999999988</v>
      </c>
      <c r="H43" s="764">
        <v>8.6509999999999998</v>
      </c>
      <c r="I43" s="764">
        <v>9.3360611841769785</v>
      </c>
      <c r="J43" s="764">
        <v>8.9506187368099006</v>
      </c>
      <c r="K43" s="764">
        <v>7.6319999999999997</v>
      </c>
      <c r="L43" s="764">
        <v>7.6739999999999995</v>
      </c>
      <c r="M43" s="764">
        <v>6.5460000000000003</v>
      </c>
      <c r="N43" s="764">
        <v>4.8170000000000011</v>
      </c>
      <c r="O43" s="764">
        <v>4.4359999999999999</v>
      </c>
      <c r="P43" s="764">
        <v>3.6419000000000001</v>
      </c>
      <c r="Q43" s="764">
        <v>3.2770999999999999</v>
      </c>
      <c r="R43" s="764">
        <v>3.3069999999999999</v>
      </c>
      <c r="S43" s="764">
        <v>2.4833000000000003</v>
      </c>
      <c r="T43" s="764">
        <v>3.5264999999999995</v>
      </c>
      <c r="U43" s="764">
        <v>2.4491000000000005</v>
      </c>
      <c r="V43" s="764">
        <v>2.4962</v>
      </c>
      <c r="W43" s="764">
        <v>2.6664999999999996</v>
      </c>
      <c r="X43" s="764">
        <v>2.2662</v>
      </c>
      <c r="Y43" s="764">
        <v>2.5617000000000001</v>
      </c>
      <c r="Z43" s="764">
        <v>2.7410000000000001</v>
      </c>
      <c r="AA43" s="764">
        <v>2.5513999999999997</v>
      </c>
      <c r="AB43" s="764">
        <v>3.0793000000000004</v>
      </c>
      <c r="AC43" s="764">
        <v>3.0566000000000004</v>
      </c>
      <c r="AD43" s="764">
        <v>3.0012000000000003</v>
      </c>
      <c r="AE43" s="764">
        <v>3.1269</v>
      </c>
      <c r="AF43" s="764">
        <v>3.7711000000000001</v>
      </c>
      <c r="AG43" s="764">
        <v>4.2549000000000001</v>
      </c>
      <c r="AH43" s="764">
        <v>4.2064000000000004</v>
      </c>
      <c r="AI43" s="764">
        <v>4.141</v>
      </c>
      <c r="AJ43" s="764">
        <v>3.9805999999999999</v>
      </c>
      <c r="AK43" s="764">
        <v>4.5754999999999999</v>
      </c>
      <c r="AL43" s="765">
        <v>5.4496464056566714</v>
      </c>
      <c r="AM43" s="755">
        <v>0.19431252777576447</v>
      </c>
      <c r="AN43" s="755">
        <v>6.0146786272525787E-2</v>
      </c>
      <c r="AO43" s="755">
        <v>7.0524320472031832E-4</v>
      </c>
    </row>
    <row r="44" spans="1:41" x14ac:dyDescent="0.3">
      <c r="A44" s="756" t="s">
        <v>924</v>
      </c>
      <c r="B44" s="766">
        <v>778.14700000000005</v>
      </c>
      <c r="C44" s="766">
        <v>777.97699999999998</v>
      </c>
      <c r="D44" s="766">
        <v>774.77500000000009</v>
      </c>
      <c r="E44" s="766">
        <v>761.91100000000006</v>
      </c>
      <c r="F44" s="766">
        <v>745.39099999999996</v>
      </c>
      <c r="G44" s="766">
        <v>772.33299999999986</v>
      </c>
      <c r="H44" s="766">
        <v>773.97799999999995</v>
      </c>
      <c r="I44" s="766">
        <v>791.81608616822132</v>
      </c>
      <c r="J44" s="766">
        <v>758.64344272149265</v>
      </c>
      <c r="K44" s="766">
        <v>717.06433363684732</v>
      </c>
      <c r="L44" s="766">
        <v>643.51588235294116</v>
      </c>
      <c r="M44" s="766">
        <v>622.08117647058816</v>
      </c>
      <c r="N44" s="766">
        <v>549.02905882352934</v>
      </c>
      <c r="O44" s="766">
        <v>487.10117647058831</v>
      </c>
      <c r="P44" s="766">
        <v>444.92166470588239</v>
      </c>
      <c r="Q44" s="766">
        <v>416.53336705882356</v>
      </c>
      <c r="R44" s="766">
        <v>407.23429411764704</v>
      </c>
      <c r="S44" s="766">
        <v>388.45600588235288</v>
      </c>
      <c r="T44" s="766">
        <v>402.31191176470583</v>
      </c>
      <c r="U44" s="766">
        <v>423.38092352941169</v>
      </c>
      <c r="V44" s="766">
        <v>442.6300763197587</v>
      </c>
      <c r="W44" s="766">
        <v>421.21558338720098</v>
      </c>
      <c r="X44" s="766">
        <v>448.76835294117649</v>
      </c>
      <c r="Y44" s="766">
        <v>458.61088823529411</v>
      </c>
      <c r="Z44" s="766">
        <v>472.0663882352942</v>
      </c>
      <c r="AA44" s="766">
        <v>493.73428823529417</v>
      </c>
      <c r="AB44" s="766">
        <v>497.07734723529416</v>
      </c>
      <c r="AC44" s="766">
        <v>527.48229594117652</v>
      </c>
      <c r="AD44" s="766">
        <v>484.31774494117639</v>
      </c>
      <c r="AE44" s="766">
        <v>517.52889500000003</v>
      </c>
      <c r="AF44" s="766">
        <v>546.62034100000005</v>
      </c>
      <c r="AG44" s="766">
        <v>574.41826399999991</v>
      </c>
      <c r="AH44" s="766">
        <v>567.85338000000024</v>
      </c>
      <c r="AI44" s="766">
        <v>543.96262848120307</v>
      </c>
      <c r="AJ44" s="766">
        <v>526.36985279575629</v>
      </c>
      <c r="AK44" s="766">
        <v>539.80927600000007</v>
      </c>
      <c r="AL44" s="766">
        <v>566.00321244117572</v>
      </c>
      <c r="AM44" s="758">
        <v>5.1397096365690231E-2</v>
      </c>
      <c r="AN44" s="758">
        <v>8.9617576450109482E-3</v>
      </c>
      <c r="AO44" s="758">
        <v>7.3246940970420837E-2</v>
      </c>
    </row>
    <row r="45" spans="1:41" x14ac:dyDescent="0.3">
      <c r="B45" s="764"/>
      <c r="C45" s="764"/>
      <c r="D45" s="764"/>
      <c r="E45" s="764"/>
      <c r="F45" s="764"/>
      <c r="G45" s="764"/>
      <c r="H45" s="764"/>
      <c r="I45" s="764"/>
      <c r="J45" s="764"/>
      <c r="K45" s="764"/>
      <c r="L45" s="764"/>
      <c r="M45" s="764"/>
      <c r="N45" s="764"/>
      <c r="O45" s="764"/>
      <c r="P45" s="764"/>
      <c r="Q45" s="764"/>
      <c r="R45" s="764"/>
      <c r="S45" s="764"/>
      <c r="T45" s="764"/>
      <c r="U45" s="764"/>
      <c r="V45" s="764"/>
      <c r="W45" s="764"/>
      <c r="X45" s="764"/>
      <c r="Y45" s="764"/>
      <c r="Z45" s="764"/>
      <c r="AA45" s="764"/>
      <c r="AB45" s="764"/>
      <c r="AC45" s="764"/>
      <c r="AD45" s="764"/>
      <c r="AE45" s="764"/>
      <c r="AF45" s="764"/>
      <c r="AG45" s="764"/>
      <c r="AH45" s="764"/>
      <c r="AI45" s="764"/>
      <c r="AJ45" s="764"/>
      <c r="AK45" s="764"/>
      <c r="AL45" s="765"/>
      <c r="AM45" s="755"/>
      <c r="AN45" s="755"/>
      <c r="AO45" s="755"/>
    </row>
    <row r="46" spans="1:41" x14ac:dyDescent="0.3">
      <c r="A46" s="756" t="s">
        <v>929</v>
      </c>
      <c r="B46" s="766">
        <v>0.90300000000000002</v>
      </c>
      <c r="C46" s="766">
        <v>1.0150000000000001</v>
      </c>
      <c r="D46" s="766">
        <v>1.0150000000000001</v>
      </c>
      <c r="E46" s="766">
        <v>1.038</v>
      </c>
      <c r="F46" s="766">
        <v>1.1060000000000001</v>
      </c>
      <c r="G46" s="766">
        <v>1.0609999999999999</v>
      </c>
      <c r="H46" s="766">
        <v>1.083</v>
      </c>
      <c r="I46" s="766">
        <v>1.151</v>
      </c>
      <c r="J46" s="766">
        <v>0.85799999999999998</v>
      </c>
      <c r="K46" s="766">
        <v>1.1379999999999999</v>
      </c>
      <c r="L46" s="766">
        <v>1.194</v>
      </c>
      <c r="M46" s="766">
        <v>1.032</v>
      </c>
      <c r="N46" s="766">
        <v>1.5330000000000001</v>
      </c>
      <c r="O46" s="766">
        <v>1.4930000000000001</v>
      </c>
      <c r="P46" s="766">
        <v>1.554</v>
      </c>
      <c r="Q46" s="766">
        <v>1.4410000000000001</v>
      </c>
      <c r="R46" s="766">
        <v>1.448</v>
      </c>
      <c r="S46" s="766">
        <v>1.7010000000000001</v>
      </c>
      <c r="T46" s="766">
        <v>1.5350000000000001</v>
      </c>
      <c r="U46" s="766">
        <v>1.5380000000000003</v>
      </c>
      <c r="V46" s="766">
        <v>1.5290000000000001</v>
      </c>
      <c r="W46" s="766">
        <v>1.49</v>
      </c>
      <c r="X46" s="766">
        <v>1.58</v>
      </c>
      <c r="Y46" s="766">
        <v>1.663</v>
      </c>
      <c r="Z46" s="766">
        <v>1.9850000000000001</v>
      </c>
      <c r="AA46" s="766">
        <v>2.1030000000000002</v>
      </c>
      <c r="AB46" s="766">
        <v>2.0939999999999999</v>
      </c>
      <c r="AC46" s="766">
        <v>2.0169999999999999</v>
      </c>
      <c r="AD46" s="766">
        <v>1.5960000000000001</v>
      </c>
      <c r="AE46" s="766">
        <v>1.5209999999999999</v>
      </c>
      <c r="AF46" s="766">
        <v>1.58</v>
      </c>
      <c r="AG46" s="766">
        <v>1.464</v>
      </c>
      <c r="AH46" s="766">
        <v>1.526</v>
      </c>
      <c r="AI46" s="766">
        <v>1.4710000000000001</v>
      </c>
      <c r="AJ46" s="766">
        <v>1.5149999999999999</v>
      </c>
      <c r="AK46" s="766">
        <v>1.649</v>
      </c>
      <c r="AL46" s="766">
        <v>1.6444945355191258</v>
      </c>
      <c r="AM46" s="758">
        <v>0</v>
      </c>
      <c r="AN46" s="758">
        <v>-2.402624674141407E-2</v>
      </c>
      <c r="AO46" s="758">
        <v>2.1281538647599518E-4</v>
      </c>
    </row>
    <row r="47" spans="1:41" x14ac:dyDescent="0.3">
      <c r="B47" s="764"/>
      <c r="C47" s="764"/>
      <c r="D47" s="764"/>
      <c r="E47" s="764"/>
      <c r="F47" s="764"/>
      <c r="G47" s="764"/>
      <c r="H47" s="764"/>
      <c r="I47" s="764"/>
      <c r="J47" s="764"/>
      <c r="K47" s="764"/>
      <c r="L47" s="764"/>
      <c r="M47" s="764"/>
      <c r="N47" s="764"/>
      <c r="O47" s="764"/>
      <c r="P47" s="764"/>
      <c r="Q47" s="764"/>
      <c r="R47" s="764"/>
      <c r="S47" s="764"/>
      <c r="T47" s="764"/>
      <c r="U47" s="764"/>
      <c r="V47" s="764"/>
      <c r="W47" s="764"/>
      <c r="X47" s="764"/>
      <c r="Y47" s="764"/>
      <c r="Z47" s="764"/>
      <c r="AA47" s="764"/>
      <c r="AB47" s="764"/>
      <c r="AC47" s="764"/>
      <c r="AD47" s="764"/>
      <c r="AE47" s="764"/>
      <c r="AF47" s="764"/>
      <c r="AG47" s="764"/>
      <c r="AH47" s="764"/>
      <c r="AI47" s="764"/>
      <c r="AJ47" s="764"/>
      <c r="AK47" s="764"/>
      <c r="AL47" s="765"/>
      <c r="AM47" s="755"/>
      <c r="AN47" s="755"/>
      <c r="AO47" s="755"/>
    </row>
    <row r="48" spans="1:41" x14ac:dyDescent="0.3">
      <c r="A48" s="3" t="s">
        <v>655</v>
      </c>
      <c r="B48" s="764">
        <v>130.41999999999999</v>
      </c>
      <c r="C48" s="764">
        <v>144.18</v>
      </c>
      <c r="D48" s="764">
        <v>145.61000000000001</v>
      </c>
      <c r="E48" s="764">
        <v>162.91</v>
      </c>
      <c r="F48" s="764">
        <v>173.52</v>
      </c>
      <c r="G48" s="764">
        <v>176.72</v>
      </c>
      <c r="H48" s="764">
        <v>176.55</v>
      </c>
      <c r="I48" s="764">
        <v>181.36</v>
      </c>
      <c r="J48" s="764">
        <v>176.28</v>
      </c>
      <c r="K48" s="764">
        <v>174.78</v>
      </c>
      <c r="L48" s="764">
        <v>178.39</v>
      </c>
      <c r="M48" s="764">
        <v>184.04589300000001</v>
      </c>
      <c r="N48" s="764">
        <v>188.21401600000002</v>
      </c>
      <c r="O48" s="764">
        <v>195.80544</v>
      </c>
      <c r="P48" s="764">
        <v>206.2107</v>
      </c>
      <c r="Q48" s="764">
        <v>206.362033</v>
      </c>
      <c r="R48" s="764">
        <v>220.07225099999999</v>
      </c>
      <c r="S48" s="764">
        <v>222.97675599999999</v>
      </c>
      <c r="T48" s="764">
        <v>223.51416900000001</v>
      </c>
      <c r="U48" s="764">
        <v>224.19928099999998</v>
      </c>
      <c r="V48" s="764">
        <v>223.56027600000002</v>
      </c>
      <c r="W48" s="764">
        <v>220.212491</v>
      </c>
      <c r="X48" s="764">
        <v>238.751013</v>
      </c>
      <c r="Y48" s="764">
        <v>242.82169399999998</v>
      </c>
      <c r="Z48" s="764">
        <v>244.985995</v>
      </c>
      <c r="AA48" s="764">
        <v>244.77483300000003</v>
      </c>
      <c r="AB48" s="764">
        <v>247.66636300000002</v>
      </c>
      <c r="AC48" s="764">
        <v>252.21335200000001</v>
      </c>
      <c r="AD48" s="764">
        <v>247.82075500000002</v>
      </c>
      <c r="AE48" s="764">
        <v>254.52194200000002</v>
      </c>
      <c r="AF48" s="764">
        <v>252.75685000000001</v>
      </c>
      <c r="AG48" s="764">
        <v>258.57580000000002</v>
      </c>
      <c r="AH48" s="764">
        <v>256.28213493999999</v>
      </c>
      <c r="AI48" s="764">
        <v>261.52370000000002</v>
      </c>
      <c r="AJ48" s="764">
        <v>252.09975823293172</v>
      </c>
      <c r="AK48" s="764">
        <v>251.22009099143804</v>
      </c>
      <c r="AL48" s="765">
        <v>252.28234196899524</v>
      </c>
      <c r="AM48" s="755">
        <v>6.9796787574887276E-3</v>
      </c>
      <c r="AN48" s="755">
        <v>2.6024477556347847E-3</v>
      </c>
      <c r="AO48" s="755">
        <v>3.2648064196109772E-2</v>
      </c>
    </row>
    <row r="49" spans="1:41" x14ac:dyDescent="0.3">
      <c r="A49" s="3" t="s">
        <v>988</v>
      </c>
      <c r="B49" s="764">
        <v>2.87</v>
      </c>
      <c r="C49" s="764">
        <v>2.77</v>
      </c>
      <c r="D49" s="764">
        <v>3.33</v>
      </c>
      <c r="E49" s="764">
        <v>3.11</v>
      </c>
      <c r="F49" s="764">
        <v>3.11</v>
      </c>
      <c r="G49" s="764">
        <v>4.05</v>
      </c>
      <c r="H49" s="764">
        <v>4.83</v>
      </c>
      <c r="I49" s="764">
        <v>5.07</v>
      </c>
      <c r="J49" s="764">
        <v>5.1100000000000003</v>
      </c>
      <c r="K49" s="764">
        <v>5.5</v>
      </c>
      <c r="L49" s="764">
        <v>5.62</v>
      </c>
      <c r="M49" s="764">
        <v>5.55</v>
      </c>
      <c r="N49" s="764">
        <v>5.29</v>
      </c>
      <c r="O49" s="764">
        <v>5.47</v>
      </c>
      <c r="P49" s="764">
        <v>5.54</v>
      </c>
      <c r="Q49" s="764">
        <v>5.17</v>
      </c>
      <c r="R49" s="764">
        <v>5.3</v>
      </c>
      <c r="S49" s="764">
        <v>5.47</v>
      </c>
      <c r="T49" s="764">
        <v>4.9800000000000004</v>
      </c>
      <c r="U49" s="764">
        <v>4.41</v>
      </c>
      <c r="V49" s="764">
        <v>4.5114470000000004</v>
      </c>
      <c r="W49" s="764">
        <v>3.9381750000000002</v>
      </c>
      <c r="X49" s="764">
        <v>2.8243619999999998</v>
      </c>
      <c r="Y49" s="764">
        <v>3.797669</v>
      </c>
      <c r="Z49" s="764">
        <v>3.3708260000000001</v>
      </c>
      <c r="AA49" s="764">
        <v>2.1071149999999998</v>
      </c>
      <c r="AB49" s="764">
        <v>2.0802209999999999</v>
      </c>
      <c r="AC49" s="764">
        <v>1.50908</v>
      </c>
      <c r="AD49" s="764">
        <v>1.667346</v>
      </c>
      <c r="AE49" s="764">
        <v>2.668183</v>
      </c>
      <c r="AF49" s="764">
        <v>2.5620540000000003</v>
      </c>
      <c r="AG49" s="764">
        <v>1.5935999999999999</v>
      </c>
      <c r="AH49" s="764">
        <v>3.1141999999999999</v>
      </c>
      <c r="AI49" s="764">
        <v>5.7826000000000004</v>
      </c>
      <c r="AJ49" s="764">
        <v>4.3361930000000006</v>
      </c>
      <c r="AK49" s="764">
        <v>2.7017190000000002</v>
      </c>
      <c r="AL49" s="765">
        <v>2.9280379999999999</v>
      </c>
      <c r="AM49" s="755">
        <v>8.6737744510173798E-2</v>
      </c>
      <c r="AN49" s="755">
        <v>2.5168359279632568E-2</v>
      </c>
      <c r="AO49" s="755">
        <v>3.7891979445703328E-4</v>
      </c>
    </row>
    <row r="50" spans="1:41" x14ac:dyDescent="0.3">
      <c r="A50" s="3" t="s">
        <v>936</v>
      </c>
      <c r="B50" s="764">
        <v>2.6731849999999997</v>
      </c>
      <c r="C50" s="764">
        <v>2.2541849999999997</v>
      </c>
      <c r="D50" s="764">
        <v>2.0830439999999997</v>
      </c>
      <c r="E50" s="764">
        <v>2.3209849999999999</v>
      </c>
      <c r="F50" s="764">
        <v>2.3707179999999997</v>
      </c>
      <c r="G50" s="764">
        <v>2.4438879999999998</v>
      </c>
      <c r="H50" s="764">
        <v>2.3331139999999997</v>
      </c>
      <c r="I50" s="764">
        <v>2.3383159999999998</v>
      </c>
      <c r="J50" s="764">
        <v>2.2514340000000002</v>
      </c>
      <c r="K50" s="764">
        <v>2.3469189999999998</v>
      </c>
      <c r="L50" s="764">
        <v>2.2415420000000004</v>
      </c>
      <c r="M50" s="764">
        <v>2.3125249999999999</v>
      </c>
      <c r="N50" s="764">
        <v>2.1573100000000003</v>
      </c>
      <c r="O50" s="764">
        <v>2.2644730000000002</v>
      </c>
      <c r="P50" s="764">
        <v>2.2929710000000001</v>
      </c>
      <c r="Q50" s="764">
        <v>2.008022</v>
      </c>
      <c r="R50" s="764">
        <v>1.8218400000000001</v>
      </c>
      <c r="S50" s="764">
        <v>2.2372130000000001</v>
      </c>
      <c r="T50" s="764">
        <v>2.0724659999999999</v>
      </c>
      <c r="U50" s="764">
        <v>1.8788860000000001</v>
      </c>
      <c r="V50" s="764">
        <v>1.8299160000000003</v>
      </c>
      <c r="W50" s="764">
        <v>2.011962</v>
      </c>
      <c r="X50" s="764">
        <v>1.7330950000000001</v>
      </c>
      <c r="Y50" s="764">
        <v>1.8630380000000002</v>
      </c>
      <c r="Z50" s="764">
        <v>1.6864490000000001</v>
      </c>
      <c r="AA50" s="764">
        <v>1.641527</v>
      </c>
      <c r="AB50" s="764">
        <v>1.3869530000000001</v>
      </c>
      <c r="AC50" s="764">
        <v>1.4131419999999999</v>
      </c>
      <c r="AD50" s="764">
        <v>1.3087371000000001</v>
      </c>
      <c r="AE50" s="764">
        <v>1.7593601000000001</v>
      </c>
      <c r="AF50" s="764">
        <v>2.0292304099999998</v>
      </c>
      <c r="AG50" s="764">
        <v>7.0607485599999995</v>
      </c>
      <c r="AH50" s="764">
        <v>8.2640823899999987</v>
      </c>
      <c r="AI50" s="764">
        <v>9.3958779999999997</v>
      </c>
      <c r="AJ50" s="764">
        <v>9.5685209999999987</v>
      </c>
      <c r="AK50" s="764">
        <v>8.841708999999998</v>
      </c>
      <c r="AL50" s="765">
        <v>15.3428766787484</v>
      </c>
      <c r="AM50" s="755">
        <v>0.74003827571868896</v>
      </c>
      <c r="AN50" s="755">
        <v>0.18339250981807709</v>
      </c>
      <c r="AO50" s="755">
        <v>1.9855343271046877E-3</v>
      </c>
    </row>
    <row r="51" spans="1:41" x14ac:dyDescent="0.3">
      <c r="A51" s="756" t="s">
        <v>937</v>
      </c>
      <c r="B51" s="766">
        <v>135.96318499999995</v>
      </c>
      <c r="C51" s="766">
        <v>149.204185</v>
      </c>
      <c r="D51" s="766">
        <v>151.02304400000003</v>
      </c>
      <c r="E51" s="766">
        <v>168.34098500000002</v>
      </c>
      <c r="F51" s="766">
        <v>179.00071799999998</v>
      </c>
      <c r="G51" s="766">
        <v>183.21388799999997</v>
      </c>
      <c r="H51" s="766">
        <v>183.71311400000002</v>
      </c>
      <c r="I51" s="766">
        <v>188.76831599999997</v>
      </c>
      <c r="J51" s="766">
        <v>183.64143400000003</v>
      </c>
      <c r="K51" s="766">
        <v>182.62691900000002</v>
      </c>
      <c r="L51" s="766">
        <v>186.251542</v>
      </c>
      <c r="M51" s="766">
        <v>191.90841800000001</v>
      </c>
      <c r="N51" s="766">
        <v>195.66132599999995</v>
      </c>
      <c r="O51" s="766">
        <v>203.53991300000004</v>
      </c>
      <c r="P51" s="766">
        <v>214.04367099999999</v>
      </c>
      <c r="Q51" s="766">
        <v>213.540055</v>
      </c>
      <c r="R51" s="766">
        <v>227.19409099999999</v>
      </c>
      <c r="S51" s="766">
        <v>230.68396900000002</v>
      </c>
      <c r="T51" s="766">
        <v>230.56663499999999</v>
      </c>
      <c r="U51" s="766">
        <v>230.48816699999998</v>
      </c>
      <c r="V51" s="766">
        <v>229.90163899999999</v>
      </c>
      <c r="W51" s="766">
        <v>226.16262800000001</v>
      </c>
      <c r="X51" s="766">
        <v>243.30847000000003</v>
      </c>
      <c r="Y51" s="766">
        <v>248.48240099999998</v>
      </c>
      <c r="Z51" s="766">
        <v>250.04327000000001</v>
      </c>
      <c r="AA51" s="766">
        <v>248.52347500000005</v>
      </c>
      <c r="AB51" s="766">
        <v>251.13353700000002</v>
      </c>
      <c r="AC51" s="766">
        <v>255.13557400000002</v>
      </c>
      <c r="AD51" s="766">
        <v>250.79683810000006</v>
      </c>
      <c r="AE51" s="766">
        <v>258.9494851</v>
      </c>
      <c r="AF51" s="766">
        <v>257.34813441000006</v>
      </c>
      <c r="AG51" s="766">
        <v>267.23014856000003</v>
      </c>
      <c r="AH51" s="766">
        <v>267.66041732999997</v>
      </c>
      <c r="AI51" s="766">
        <v>276.70217800000006</v>
      </c>
      <c r="AJ51" s="766">
        <v>266.00447223293168</v>
      </c>
      <c r="AK51" s="766">
        <v>262.76351899143805</v>
      </c>
      <c r="AL51" s="766">
        <v>270.55325664774369</v>
      </c>
      <c r="AM51" s="758">
        <v>3.2466378062963486E-2</v>
      </c>
      <c r="AN51" s="758">
        <v>5.5872662924230099E-3</v>
      </c>
      <c r="AO51" s="758">
        <v>3.5012520849704742E-2</v>
      </c>
    </row>
    <row r="52" spans="1:41" x14ac:dyDescent="0.3">
      <c r="B52" s="764"/>
      <c r="C52" s="764"/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764"/>
      <c r="V52" s="764"/>
      <c r="W52" s="764"/>
      <c r="X52" s="764"/>
      <c r="Y52" s="764"/>
      <c r="Z52" s="764"/>
      <c r="AA52" s="764"/>
      <c r="AB52" s="764"/>
      <c r="AC52" s="764"/>
      <c r="AD52" s="764"/>
      <c r="AE52" s="764"/>
      <c r="AF52" s="764"/>
      <c r="AG52" s="764"/>
      <c r="AH52" s="764"/>
      <c r="AI52" s="764"/>
      <c r="AJ52" s="764"/>
      <c r="AK52" s="764"/>
      <c r="AL52" s="765"/>
      <c r="AM52" s="755"/>
      <c r="AN52" s="755"/>
      <c r="AO52" s="755"/>
    </row>
    <row r="53" spans="1:41" x14ac:dyDescent="0.3">
      <c r="A53" s="3" t="s">
        <v>645</v>
      </c>
      <c r="B53" s="764">
        <v>128.51900000000001</v>
      </c>
      <c r="C53" s="764">
        <v>131.58100000000002</v>
      </c>
      <c r="D53" s="764">
        <v>135.072</v>
      </c>
      <c r="E53" s="764">
        <v>141.55500000000001</v>
      </c>
      <c r="F53" s="764">
        <v>168.5635</v>
      </c>
      <c r="G53" s="764">
        <v>180.32600000000002</v>
      </c>
      <c r="H53" s="764">
        <v>190.07400000000001</v>
      </c>
      <c r="I53" s="764">
        <v>189.51249999999999</v>
      </c>
      <c r="J53" s="764">
        <v>204.5395</v>
      </c>
      <c r="K53" s="764">
        <v>213.14249999999998</v>
      </c>
      <c r="L53" s="764">
        <v>221.12150000000003</v>
      </c>
      <c r="M53" s="764">
        <v>231.83150000000001</v>
      </c>
      <c r="N53" s="764">
        <v>230.8485</v>
      </c>
      <c r="O53" s="764">
        <v>236.387</v>
      </c>
      <c r="P53" s="764">
        <v>248.1345</v>
      </c>
      <c r="Q53" s="764">
        <v>256.98450000000003</v>
      </c>
      <c r="R53" s="764">
        <v>281.02049999999997</v>
      </c>
      <c r="S53" s="764">
        <v>290.74900000000002</v>
      </c>
      <c r="T53" s="764">
        <v>305.83199999999999</v>
      </c>
      <c r="U53" s="764">
        <v>313.91750000000002</v>
      </c>
      <c r="V53" s="764">
        <v>335.48200000000003</v>
      </c>
      <c r="W53" s="764">
        <v>343.2475</v>
      </c>
      <c r="X53" s="764">
        <v>351.05400000000003</v>
      </c>
      <c r="Y53" s="764">
        <v>363.15015</v>
      </c>
      <c r="Z53" s="764">
        <v>378.76249999999999</v>
      </c>
      <c r="AA53" s="764">
        <v>386.70634999999999</v>
      </c>
      <c r="AB53" s="764">
        <v>396.42415</v>
      </c>
      <c r="AC53" s="764">
        <v>408.39529099999999</v>
      </c>
      <c r="AD53" s="764">
        <v>422.22889750000002</v>
      </c>
      <c r="AE53" s="764">
        <v>434.40188971499998</v>
      </c>
      <c r="AF53" s="764">
        <v>423.24158732999996</v>
      </c>
      <c r="AG53" s="764">
        <v>448.20769586500001</v>
      </c>
      <c r="AH53" s="764">
        <v>472.75605673999996</v>
      </c>
      <c r="AI53" s="764">
        <v>504.47468149999997</v>
      </c>
      <c r="AJ53" s="764">
        <v>504.503106</v>
      </c>
      <c r="AK53" s="764">
        <v>503.88372978773657</v>
      </c>
      <c r="AL53" s="765">
        <v>481.29649460349208</v>
      </c>
      <c r="AM53" s="755">
        <v>-4.2209368199110031E-2</v>
      </c>
      <c r="AN53" s="755">
        <v>2.6821380481123924E-2</v>
      </c>
      <c r="AO53" s="755">
        <v>6.2284976243972778E-2</v>
      </c>
    </row>
    <row r="54" spans="1:41" x14ac:dyDescent="0.3">
      <c r="A54" s="3" t="s">
        <v>622</v>
      </c>
      <c r="B54" s="764">
        <v>621.6</v>
      </c>
      <c r="C54" s="764">
        <v>666.3</v>
      </c>
      <c r="D54" s="764">
        <v>714.5</v>
      </c>
      <c r="E54" s="764">
        <v>789.2</v>
      </c>
      <c r="F54" s="764">
        <v>872.3</v>
      </c>
      <c r="G54" s="764">
        <v>894</v>
      </c>
      <c r="H54" s="764">
        <v>928.1</v>
      </c>
      <c r="I54" s="764">
        <v>979.9</v>
      </c>
      <c r="J54" s="764">
        <v>1054.2</v>
      </c>
      <c r="K54" s="764">
        <v>1079.883</v>
      </c>
      <c r="L54" s="764">
        <v>1087.4059999999999</v>
      </c>
      <c r="M54" s="764">
        <v>1116.3800000000001</v>
      </c>
      <c r="N54" s="764">
        <v>1150.67</v>
      </c>
      <c r="O54" s="764">
        <v>1239.9010000000001</v>
      </c>
      <c r="P54" s="764">
        <v>1360.731</v>
      </c>
      <c r="Q54" s="764">
        <v>1396.6994</v>
      </c>
      <c r="R54" s="764">
        <v>1387.5313000000001</v>
      </c>
      <c r="S54" s="764">
        <v>1332.0286000000001</v>
      </c>
      <c r="T54" s="764">
        <v>1363.9973</v>
      </c>
      <c r="U54" s="764">
        <v>1384.1845000000001</v>
      </c>
      <c r="V54" s="764">
        <v>1471.5264999999999</v>
      </c>
      <c r="W54" s="764">
        <v>1550.4003</v>
      </c>
      <c r="X54" s="764">
        <v>1834.8987</v>
      </c>
      <c r="Y54" s="764">
        <v>2122.6107999999999</v>
      </c>
      <c r="Z54" s="764">
        <v>2365.1460000000002</v>
      </c>
      <c r="AA54" s="764">
        <v>2569.7312000000002</v>
      </c>
      <c r="AB54" s="764">
        <v>2759.8913000000002</v>
      </c>
      <c r="AC54" s="764">
        <v>2903.4056</v>
      </c>
      <c r="AD54" s="764">
        <v>3115.3541999999998</v>
      </c>
      <c r="AE54" s="764">
        <v>3428.4472999999998</v>
      </c>
      <c r="AF54" s="764">
        <v>3764.4352000000008</v>
      </c>
      <c r="AG54" s="764">
        <v>3945.1280999999999</v>
      </c>
      <c r="AH54" s="764">
        <v>3974.3220000000006</v>
      </c>
      <c r="AI54" s="764">
        <v>3873.9190000000003</v>
      </c>
      <c r="AJ54" s="764">
        <v>3746.5416</v>
      </c>
      <c r="AK54" s="764">
        <v>3410.6040000000003</v>
      </c>
      <c r="AL54" s="765">
        <v>3523.1539320000002</v>
      </c>
      <c r="AM54" s="755">
        <v>3.5830136388540268E-2</v>
      </c>
      <c r="AN54" s="755">
        <v>2.871331200003624E-2</v>
      </c>
      <c r="AO54" s="755">
        <v>0.45593425631523132</v>
      </c>
    </row>
    <row r="55" spans="1:41" x14ac:dyDescent="0.3">
      <c r="A55" s="3" t="s">
        <v>623</v>
      </c>
      <c r="B55" s="764">
        <v>130.1</v>
      </c>
      <c r="C55" s="764">
        <v>134.94999999999999</v>
      </c>
      <c r="D55" s="764">
        <v>142.9</v>
      </c>
      <c r="E55" s="764">
        <v>152.53</v>
      </c>
      <c r="F55" s="764">
        <v>157.45000000000002</v>
      </c>
      <c r="G55" s="764">
        <v>169.18</v>
      </c>
      <c r="H55" s="764">
        <v>185.36</v>
      </c>
      <c r="I55" s="764">
        <v>196.98</v>
      </c>
      <c r="J55" s="764">
        <v>215.29</v>
      </c>
      <c r="K55" s="764">
        <v>223.34</v>
      </c>
      <c r="L55" s="764">
        <v>239.89999999999998</v>
      </c>
      <c r="M55" s="764">
        <v>253.8</v>
      </c>
      <c r="N55" s="764">
        <v>263.19</v>
      </c>
      <c r="O55" s="764">
        <v>270.86</v>
      </c>
      <c r="P55" s="764">
        <v>289.02000000000004</v>
      </c>
      <c r="Q55" s="764">
        <v>310.95999999999998</v>
      </c>
      <c r="R55" s="764">
        <v>319.39000000000004</v>
      </c>
      <c r="S55" s="764">
        <v>320.91800000000001</v>
      </c>
      <c r="T55" s="764">
        <v>314.41500000000002</v>
      </c>
      <c r="U55" s="764">
        <v>334.79699999999997</v>
      </c>
      <c r="V55" s="764">
        <v>341.88</v>
      </c>
      <c r="W55" s="764">
        <v>358.10699999999997</v>
      </c>
      <c r="X55" s="764">
        <v>375.35200000000003</v>
      </c>
      <c r="Y55" s="764">
        <v>407.98771821702417</v>
      </c>
      <c r="Z55" s="764">
        <v>429.02299999999997</v>
      </c>
      <c r="AA55" s="764">
        <v>449.67100000000005</v>
      </c>
      <c r="AB55" s="764">
        <v>479.06</v>
      </c>
      <c r="AC55" s="764">
        <v>515.37</v>
      </c>
      <c r="AD55" s="764">
        <v>556.78700000000003</v>
      </c>
      <c r="AE55" s="764">
        <v>572.28007832752508</v>
      </c>
      <c r="AF55" s="764">
        <v>563.77042706510656</v>
      </c>
      <c r="AG55" s="764">
        <v>605.61599999999999</v>
      </c>
      <c r="AH55" s="764">
        <v>608.53499999999997</v>
      </c>
      <c r="AI55" s="764">
        <v>646.23199999999997</v>
      </c>
      <c r="AJ55" s="764">
        <v>674.15299999999991</v>
      </c>
      <c r="AK55" s="764">
        <v>693.30200000000002</v>
      </c>
      <c r="AL55" s="765">
        <v>716.01799999999992</v>
      </c>
      <c r="AM55" s="755">
        <v>3.5594433546066284E-2</v>
      </c>
      <c r="AN55" s="755">
        <v>4.4245846569538116E-2</v>
      </c>
      <c r="AO55" s="755">
        <v>9.2660479247570038E-2</v>
      </c>
    </row>
    <row r="56" spans="1:41" x14ac:dyDescent="0.3">
      <c r="A56" s="3" t="s">
        <v>646</v>
      </c>
      <c r="B56" s="764">
        <v>0.4</v>
      </c>
      <c r="C56" s="764">
        <v>0.59</v>
      </c>
      <c r="D56" s="764">
        <v>0.65</v>
      </c>
      <c r="E56" s="764">
        <v>1.47</v>
      </c>
      <c r="F56" s="764">
        <v>2</v>
      </c>
      <c r="G56" s="764">
        <v>2.59</v>
      </c>
      <c r="H56" s="764">
        <v>3.03</v>
      </c>
      <c r="I56" s="764">
        <v>4.49</v>
      </c>
      <c r="J56" s="764">
        <v>8.6999999999999993</v>
      </c>
      <c r="K56" s="764">
        <v>10.73</v>
      </c>
      <c r="L56" s="764">
        <v>13.84</v>
      </c>
      <c r="M56" s="764">
        <v>22.36</v>
      </c>
      <c r="N56" s="764">
        <v>27.58</v>
      </c>
      <c r="O56" s="764">
        <v>32.869999999999997</v>
      </c>
      <c r="P56" s="764">
        <v>41.84</v>
      </c>
      <c r="Q56" s="764">
        <v>50.35</v>
      </c>
      <c r="R56" s="764">
        <v>54.82</v>
      </c>
      <c r="S56" s="764">
        <v>62.23</v>
      </c>
      <c r="T56" s="764">
        <v>73.680000000000007</v>
      </c>
      <c r="U56" s="764">
        <v>77.040184999999994</v>
      </c>
      <c r="V56" s="764">
        <v>92.540459999999996</v>
      </c>
      <c r="W56" s="764">
        <v>103.329093</v>
      </c>
      <c r="X56" s="764">
        <v>114.27799999999999</v>
      </c>
      <c r="Y56" s="764">
        <v>132.352025</v>
      </c>
      <c r="Z56" s="764">
        <v>152.72243799999998</v>
      </c>
      <c r="AA56" s="764">
        <v>193.76131099999998</v>
      </c>
      <c r="AB56" s="764">
        <v>216.946699</v>
      </c>
      <c r="AC56" s="764">
        <v>240.249968</v>
      </c>
      <c r="AD56" s="764">
        <v>256.18099999999998</v>
      </c>
      <c r="AE56" s="764">
        <v>275.164196</v>
      </c>
      <c r="AF56" s="764">
        <v>353.270937</v>
      </c>
      <c r="AG56" s="764">
        <v>385.89909999999998</v>
      </c>
      <c r="AH56" s="764">
        <v>474.60092099999997</v>
      </c>
      <c r="AI56" s="764">
        <v>458.09670699999998</v>
      </c>
      <c r="AJ56" s="764">
        <v>461.56608</v>
      </c>
      <c r="AK56" s="764">
        <v>456.19777499999998</v>
      </c>
      <c r="AL56" s="765">
        <v>461</v>
      </c>
      <c r="AM56" s="755">
        <v>1.3295195996761322E-2</v>
      </c>
      <c r="AN56" s="755">
        <v>8.9403107762336731E-2</v>
      </c>
      <c r="AO56" s="755">
        <v>5.9658389538526535E-2</v>
      </c>
    </row>
    <row r="57" spans="1:41" x14ac:dyDescent="0.3">
      <c r="A57" s="3" t="s">
        <v>876</v>
      </c>
      <c r="B57" s="764">
        <v>17.690000000000001</v>
      </c>
      <c r="C57" s="764">
        <v>17.61</v>
      </c>
      <c r="D57" s="764">
        <v>17.059999999999999</v>
      </c>
      <c r="E57" s="764">
        <v>16.649999999999999</v>
      </c>
      <c r="F57" s="764">
        <v>16.38</v>
      </c>
      <c r="G57" s="764">
        <v>16.010000000000002</v>
      </c>
      <c r="H57" s="764">
        <v>13.05</v>
      </c>
      <c r="I57" s="764">
        <v>11.23</v>
      </c>
      <c r="J57" s="764">
        <v>10.19</v>
      </c>
      <c r="K57" s="764">
        <v>8.26</v>
      </c>
      <c r="L57" s="764">
        <v>8.0500000000000007</v>
      </c>
      <c r="M57" s="764">
        <v>7.6</v>
      </c>
      <c r="N57" s="764">
        <v>7.22</v>
      </c>
      <c r="O57" s="764">
        <v>6.93</v>
      </c>
      <c r="P57" s="764">
        <v>6.26</v>
      </c>
      <c r="Q57" s="764">
        <v>6.48</v>
      </c>
      <c r="R57" s="764">
        <v>4.2699999999999996</v>
      </c>
      <c r="S57" s="764">
        <v>3.66</v>
      </c>
      <c r="T57" s="764">
        <v>3.91</v>
      </c>
      <c r="U57" s="764">
        <v>3.13</v>
      </c>
      <c r="V57" s="764">
        <v>3.2</v>
      </c>
      <c r="W57" s="764">
        <v>1.3694480000000002</v>
      </c>
      <c r="X57" s="764">
        <v>1.3379210000000001</v>
      </c>
      <c r="Y57" s="764">
        <v>1.338514</v>
      </c>
      <c r="Z57" s="764">
        <v>1.1135709999999999</v>
      </c>
      <c r="AA57" s="764">
        <v>1.359869</v>
      </c>
      <c r="AB57" s="764">
        <v>1.4233279999999999</v>
      </c>
      <c r="AC57" s="764">
        <v>1.2277500000000001</v>
      </c>
      <c r="AD57" s="764">
        <v>1.2806710000000001</v>
      </c>
      <c r="AE57" s="764">
        <v>0.91700999999999999</v>
      </c>
      <c r="AF57" s="764">
        <v>1.2715209999999999</v>
      </c>
      <c r="AG57" s="764">
        <v>1.321062</v>
      </c>
      <c r="AH57" s="764">
        <v>1.2036300000000002</v>
      </c>
      <c r="AI57" s="764">
        <v>1.3075150000000002</v>
      </c>
      <c r="AJ57" s="764">
        <v>1.170817</v>
      </c>
      <c r="AK57" s="764">
        <v>1.3404240000000001</v>
      </c>
      <c r="AL57" s="765">
        <v>1.3885180000000001</v>
      </c>
      <c r="AM57" s="755">
        <v>3.8717716932296753E-2</v>
      </c>
      <c r="AN57" s="755">
        <v>-1.439202344045043E-3</v>
      </c>
      <c r="AO57" s="755">
        <v>1.796892611309886E-4</v>
      </c>
    </row>
    <row r="58" spans="1:41" x14ac:dyDescent="0.3">
      <c r="A58" s="3" t="s">
        <v>989</v>
      </c>
      <c r="B58" s="764">
        <v>4.3</v>
      </c>
      <c r="C58" s="764">
        <v>4.9210000000000003</v>
      </c>
      <c r="D58" s="764">
        <v>4.9740000000000002</v>
      </c>
      <c r="E58" s="764">
        <v>5.431</v>
      </c>
      <c r="F58" s="764">
        <v>6.5230000000000006</v>
      </c>
      <c r="G58" s="764">
        <v>7.0650000000000004</v>
      </c>
      <c r="H58" s="764">
        <v>7.7650000000000006</v>
      </c>
      <c r="I58" s="764">
        <v>8.6059999999999999</v>
      </c>
      <c r="J58" s="764">
        <v>8.0449999999999999</v>
      </c>
      <c r="K58" s="764">
        <v>7.157</v>
      </c>
      <c r="L58" s="764">
        <v>7.0369999999999999</v>
      </c>
      <c r="M58" s="764">
        <v>6.2469999999999999</v>
      </c>
      <c r="N58" s="764">
        <v>5.617</v>
      </c>
      <c r="O58" s="764">
        <v>5.1580000000000004</v>
      </c>
      <c r="P58" s="764">
        <v>5.0190000000000001</v>
      </c>
      <c r="Q58" s="764">
        <v>5.1100000000000003</v>
      </c>
      <c r="R58" s="764">
        <v>4.9240000000000004</v>
      </c>
      <c r="S58" s="764">
        <v>5.0570000000000004</v>
      </c>
      <c r="T58" s="764">
        <v>4.9640000000000004</v>
      </c>
      <c r="U58" s="764">
        <v>5.1850000000000005</v>
      </c>
      <c r="V58" s="764">
        <v>5.141</v>
      </c>
      <c r="W58" s="764">
        <v>5.5443999999999996</v>
      </c>
      <c r="X58" s="764">
        <v>5.6661000000000001</v>
      </c>
      <c r="Y58" s="764">
        <v>6.8650000000000002</v>
      </c>
      <c r="Z58" s="764">
        <v>7.5171000000000001</v>
      </c>
      <c r="AA58" s="764">
        <v>8.0741000000000014</v>
      </c>
      <c r="AB58" s="764">
        <v>9.2376000000000005</v>
      </c>
      <c r="AC58" s="764">
        <v>10.071899999999999</v>
      </c>
      <c r="AD58" s="764">
        <v>14.4421</v>
      </c>
      <c r="AE58" s="764">
        <v>25.161900000000003</v>
      </c>
      <c r="AF58" s="764">
        <v>32.029699999999998</v>
      </c>
      <c r="AG58" s="764">
        <v>29.926099999999998</v>
      </c>
      <c r="AH58" s="764">
        <v>30.1233</v>
      </c>
      <c r="AI58" s="764">
        <v>25.287800000000001</v>
      </c>
      <c r="AJ58" s="764">
        <v>24.205900000000003</v>
      </c>
      <c r="AK58" s="764">
        <v>35.096499999999999</v>
      </c>
      <c r="AL58" s="765">
        <v>49.480300000000007</v>
      </c>
      <c r="AM58" s="755">
        <v>0.41369831562042236</v>
      </c>
      <c r="AN58" s="755">
        <v>0.1582891047000885</v>
      </c>
      <c r="AO58" s="755">
        <v>6.4032864756882191E-3</v>
      </c>
    </row>
    <row r="59" spans="1:41" x14ac:dyDescent="0.3">
      <c r="A59" s="3" t="s">
        <v>892</v>
      </c>
      <c r="B59" s="764">
        <v>2.1968939999999999</v>
      </c>
      <c r="C59" s="764">
        <v>2.2443839999999997</v>
      </c>
      <c r="D59" s="764">
        <v>2.4735309999999999</v>
      </c>
      <c r="E59" s="764">
        <v>2.5266470000000001</v>
      </c>
      <c r="F59" s="764">
        <v>2.3900099999999997</v>
      </c>
      <c r="G59" s="764">
        <v>2.5179469999999995</v>
      </c>
      <c r="H59" s="764">
        <v>2.220996</v>
      </c>
      <c r="I59" s="764">
        <v>2.4380709999999999</v>
      </c>
      <c r="J59" s="764">
        <v>2.7130159999999997</v>
      </c>
      <c r="K59" s="764">
        <v>2.5785599999999995</v>
      </c>
      <c r="L59" s="764">
        <v>2.6890249999999996</v>
      </c>
      <c r="M59" s="764">
        <v>3.018059</v>
      </c>
      <c r="N59" s="764">
        <v>3.3368079999999996</v>
      </c>
      <c r="O59" s="764">
        <v>3.0332349999999999</v>
      </c>
      <c r="P59" s="764">
        <v>3.5768209999999998</v>
      </c>
      <c r="Q59" s="764">
        <v>3.6105519999999998</v>
      </c>
      <c r="R59" s="764">
        <v>3.5674120699999996</v>
      </c>
      <c r="S59" s="764">
        <v>3.1263700000000001</v>
      </c>
      <c r="T59" s="764">
        <v>3.5057299999999998</v>
      </c>
      <c r="U59" s="764">
        <v>3.457417</v>
      </c>
      <c r="V59" s="764">
        <v>3.9113959999999999</v>
      </c>
      <c r="W59" s="764">
        <v>4.4589389999999991</v>
      </c>
      <c r="X59" s="764">
        <v>5.1798909999999996</v>
      </c>
      <c r="Y59" s="764">
        <v>5.1553940000000003</v>
      </c>
      <c r="Z59" s="764">
        <v>5.2671609999999998</v>
      </c>
      <c r="AA59" s="764">
        <v>5.6735309999999997</v>
      </c>
      <c r="AB59" s="764">
        <v>4.8347790000000002</v>
      </c>
      <c r="AC59" s="764">
        <v>4.8316069999999991</v>
      </c>
      <c r="AD59" s="764">
        <v>4.5633337669999996</v>
      </c>
      <c r="AE59" s="764">
        <v>5.3305361599999994</v>
      </c>
      <c r="AF59" s="764">
        <v>4.9447830000000002</v>
      </c>
      <c r="AG59" s="764">
        <v>4.9262249999999996</v>
      </c>
      <c r="AH59" s="764">
        <v>4.625462859999999</v>
      </c>
      <c r="AI59" s="764">
        <v>3.975644</v>
      </c>
      <c r="AJ59" s="764">
        <v>3.3895119999999999</v>
      </c>
      <c r="AK59" s="764">
        <v>2.8703630000000002</v>
      </c>
      <c r="AL59" s="765">
        <v>2.944744</v>
      </c>
      <c r="AM59" s="755">
        <v>2.8724169358611107E-2</v>
      </c>
      <c r="AN59" s="755">
        <v>-6.5867803990840912E-2</v>
      </c>
      <c r="AO59" s="755">
        <v>3.8108174339868128E-4</v>
      </c>
    </row>
    <row r="60" spans="1:41" x14ac:dyDescent="0.3">
      <c r="A60" s="3" t="s">
        <v>968</v>
      </c>
      <c r="B60" s="764">
        <v>1.56</v>
      </c>
      <c r="C60" s="764">
        <v>1.77</v>
      </c>
      <c r="D60" s="764">
        <v>1.82</v>
      </c>
      <c r="E60" s="764">
        <v>2.31</v>
      </c>
      <c r="F60" s="764">
        <v>2.19</v>
      </c>
      <c r="G60" s="764">
        <v>2.0499999999999998</v>
      </c>
      <c r="H60" s="764">
        <v>2.41</v>
      </c>
      <c r="I60" s="764">
        <v>2.7</v>
      </c>
      <c r="J60" s="764">
        <v>2.72</v>
      </c>
      <c r="K60" s="764">
        <v>2.82</v>
      </c>
      <c r="L60" s="764">
        <v>2.83</v>
      </c>
      <c r="M60" s="764">
        <v>2.98</v>
      </c>
      <c r="N60" s="764">
        <v>3.15</v>
      </c>
      <c r="O60" s="764">
        <v>3.02</v>
      </c>
      <c r="P60" s="764">
        <v>3.17</v>
      </c>
      <c r="Q60" s="764">
        <v>3.46</v>
      </c>
      <c r="R60" s="764">
        <v>3.14</v>
      </c>
      <c r="S60" s="764">
        <v>3.32</v>
      </c>
      <c r="T60" s="764">
        <v>3.31</v>
      </c>
      <c r="U60" s="764">
        <v>3.23</v>
      </c>
      <c r="V60" s="764">
        <v>3.26</v>
      </c>
      <c r="W60" s="764">
        <v>3.49</v>
      </c>
      <c r="X60" s="764">
        <v>3.339</v>
      </c>
      <c r="Y60" s="764">
        <v>3.3940000000000001</v>
      </c>
      <c r="Z60" s="764">
        <v>3.4870000000000001</v>
      </c>
      <c r="AA60" s="764">
        <v>4.0055000000000005</v>
      </c>
      <c r="AB60" s="764">
        <v>3.6935000000000002</v>
      </c>
      <c r="AC60" s="764">
        <v>3.9775</v>
      </c>
      <c r="AD60" s="764">
        <v>3.5095000000000001</v>
      </c>
      <c r="AE60" s="764">
        <v>3.367</v>
      </c>
      <c r="AF60" s="764">
        <v>3.2269999999999999</v>
      </c>
      <c r="AG60" s="764">
        <v>3.04</v>
      </c>
      <c r="AH60" s="764">
        <v>2.9864999999999999</v>
      </c>
      <c r="AI60" s="764">
        <v>3.3825000000000003</v>
      </c>
      <c r="AJ60" s="764">
        <v>3.3250000000000002</v>
      </c>
      <c r="AK60" s="764">
        <v>4.0990000000000002</v>
      </c>
      <c r="AL60" s="765">
        <v>4.056</v>
      </c>
      <c r="AM60" s="755">
        <v>-7.7793779782950878E-3</v>
      </c>
      <c r="AN60" s="755">
        <v>2.3101267870515585E-3</v>
      </c>
      <c r="AO60" s="755">
        <v>5.2489031804725528E-4</v>
      </c>
    </row>
    <row r="61" spans="1:41" x14ac:dyDescent="0.3">
      <c r="A61" s="3" t="s">
        <v>990</v>
      </c>
      <c r="B61" s="764">
        <v>19.87</v>
      </c>
      <c r="C61" s="764">
        <v>20.12</v>
      </c>
      <c r="D61" s="764">
        <v>19.86</v>
      </c>
      <c r="E61" s="764">
        <v>21.37</v>
      </c>
      <c r="F61" s="764">
        <v>22.54</v>
      </c>
      <c r="G61" s="764">
        <v>24.25</v>
      </c>
      <c r="H61" s="764">
        <v>24.27</v>
      </c>
      <c r="I61" s="764">
        <v>24.3</v>
      </c>
      <c r="J61" s="764">
        <v>20.79</v>
      </c>
      <c r="K61" s="764">
        <v>17.22</v>
      </c>
      <c r="L61" s="764">
        <v>15.06</v>
      </c>
      <c r="M61" s="764">
        <v>11.97</v>
      </c>
      <c r="N61" s="764">
        <v>9.44</v>
      </c>
      <c r="O61" s="764">
        <v>7.44</v>
      </c>
      <c r="P61" s="764">
        <v>5.72</v>
      </c>
      <c r="Q61" s="764">
        <v>4.95</v>
      </c>
      <c r="R61" s="764">
        <v>4.51</v>
      </c>
      <c r="S61" s="764">
        <v>4.3600000000000003</v>
      </c>
      <c r="T61" s="764">
        <v>4.2</v>
      </c>
      <c r="U61" s="764">
        <v>4.1500000000000004</v>
      </c>
      <c r="V61" s="764">
        <v>3.82</v>
      </c>
      <c r="W61" s="764">
        <v>3.32</v>
      </c>
      <c r="X61" s="764">
        <v>3.3</v>
      </c>
      <c r="Y61" s="764">
        <v>3.19</v>
      </c>
      <c r="Z61" s="764">
        <v>2.81</v>
      </c>
      <c r="AA61" s="764">
        <v>2.8239999999999998</v>
      </c>
      <c r="AB61" s="764">
        <v>2.8860000000000001</v>
      </c>
      <c r="AC61" s="764">
        <v>2.7730000000000001</v>
      </c>
      <c r="AD61" s="764">
        <v>2.5190000000000001</v>
      </c>
      <c r="AE61" s="764">
        <v>2.0840000000000001</v>
      </c>
      <c r="AF61" s="764">
        <v>2.0840000000000001</v>
      </c>
      <c r="AG61" s="764">
        <v>2.0939999999999999</v>
      </c>
      <c r="AH61" s="764">
        <v>1.8149999999999999</v>
      </c>
      <c r="AI61" s="764">
        <v>1.748</v>
      </c>
      <c r="AJ61" s="764">
        <v>1.764</v>
      </c>
      <c r="AK61" s="764">
        <v>1.726</v>
      </c>
      <c r="AL61" s="765">
        <v>1.488</v>
      </c>
      <c r="AM61" s="755">
        <v>-0.13552913069725037</v>
      </c>
      <c r="AN61" s="755">
        <v>-4.8042390495538712E-2</v>
      </c>
      <c r="AO61" s="755">
        <v>1.9256331142969429E-4</v>
      </c>
    </row>
    <row r="62" spans="1:41" x14ac:dyDescent="0.3">
      <c r="A62" s="3" t="s">
        <v>894</v>
      </c>
      <c r="B62" s="764">
        <v>1.6860440000000001</v>
      </c>
      <c r="C62" s="764">
        <v>1.9637639999999998</v>
      </c>
      <c r="D62" s="764">
        <v>1.8660830000000002</v>
      </c>
      <c r="E62" s="764">
        <v>2.3372260000000002</v>
      </c>
      <c r="F62" s="764">
        <v>5.1461499999999996</v>
      </c>
      <c r="G62" s="764">
        <v>5.5380839999999996</v>
      </c>
      <c r="H62" s="764">
        <v>6.9312569999999996</v>
      </c>
      <c r="I62" s="764">
        <v>7.2950589999999993</v>
      </c>
      <c r="J62" s="764">
        <v>9.0099219999999995</v>
      </c>
      <c r="K62" s="764">
        <v>12.438473</v>
      </c>
      <c r="L62" s="764">
        <v>14.646014999999998</v>
      </c>
      <c r="M62" s="764">
        <v>15.408560999999999</v>
      </c>
      <c r="N62" s="764">
        <v>15.557926999999999</v>
      </c>
      <c r="O62" s="764">
        <v>17.104870999999999</v>
      </c>
      <c r="P62" s="764">
        <v>18.430797999999999</v>
      </c>
      <c r="Q62" s="764">
        <v>21.690393999999998</v>
      </c>
      <c r="R62" s="764">
        <v>23.438555999999998</v>
      </c>
      <c r="S62" s="764">
        <v>19.996195</v>
      </c>
      <c r="T62" s="764">
        <v>18.261308</v>
      </c>
      <c r="U62" s="764">
        <v>17.785747000000001</v>
      </c>
      <c r="V62" s="764">
        <v>19.606994999999998</v>
      </c>
      <c r="W62" s="764">
        <v>19.601983999999998</v>
      </c>
      <c r="X62" s="764">
        <v>18.843394999999997</v>
      </c>
      <c r="Y62" s="764">
        <v>20.059843999999998</v>
      </c>
      <c r="Z62" s="764">
        <v>20.878176</v>
      </c>
      <c r="AA62" s="764">
        <v>19.070608</v>
      </c>
      <c r="AB62" s="764">
        <v>18.239176</v>
      </c>
      <c r="AC62" s="764">
        <v>18.095385</v>
      </c>
      <c r="AD62" s="764">
        <v>17.566099999999999</v>
      </c>
      <c r="AE62" s="764">
        <v>18.258061999999999</v>
      </c>
      <c r="AF62" s="764">
        <v>21.327106000000001</v>
      </c>
      <c r="AG62" s="764">
        <v>18.066428999999999</v>
      </c>
      <c r="AH62" s="764">
        <v>18.110762999999999</v>
      </c>
      <c r="AI62" s="764">
        <v>17.981721499999999</v>
      </c>
      <c r="AJ62" s="764">
        <v>15.150549</v>
      </c>
      <c r="AK62" s="764">
        <v>16.978600999999998</v>
      </c>
      <c r="AL62" s="765">
        <v>16.258637</v>
      </c>
      <c r="AM62" s="755">
        <v>-3.9780650287866592E-2</v>
      </c>
      <c r="AN62" s="755">
        <v>-1.1552206240594387E-2</v>
      </c>
      <c r="AO62" s="755">
        <v>2.1040434949100018E-3</v>
      </c>
    </row>
    <row r="63" spans="1:41" x14ac:dyDescent="0.3">
      <c r="A63" s="3" t="s">
        <v>940</v>
      </c>
      <c r="B63" s="764">
        <v>6</v>
      </c>
      <c r="C63" s="764">
        <v>6.3</v>
      </c>
      <c r="D63" s="764">
        <v>6.3</v>
      </c>
      <c r="E63" s="764">
        <v>5</v>
      </c>
      <c r="F63" s="764">
        <v>5.6</v>
      </c>
      <c r="G63" s="764">
        <v>6.1</v>
      </c>
      <c r="H63" s="764">
        <v>6.3</v>
      </c>
      <c r="I63" s="764">
        <v>6.1</v>
      </c>
      <c r="J63" s="764">
        <v>5.0999999999999996</v>
      </c>
      <c r="K63" s="764">
        <v>5.0999999999999996</v>
      </c>
      <c r="L63" s="764">
        <v>5.2</v>
      </c>
      <c r="M63" s="764">
        <v>5.2</v>
      </c>
      <c r="N63" s="764">
        <v>6.5</v>
      </c>
      <c r="O63" s="764">
        <v>6.04</v>
      </c>
      <c r="P63" s="764">
        <v>8.35</v>
      </c>
      <c r="Q63" s="764">
        <v>9.8230000000000004</v>
      </c>
      <c r="R63" s="764">
        <v>11.388</v>
      </c>
      <c r="S63" s="764">
        <v>11.672000000000001</v>
      </c>
      <c r="T63" s="764">
        <v>9.6289999999999996</v>
      </c>
      <c r="U63" s="764">
        <v>11.609</v>
      </c>
      <c r="V63" s="764">
        <v>13.397</v>
      </c>
      <c r="W63" s="764">
        <v>16.408999999999999</v>
      </c>
      <c r="X63" s="764">
        <v>19.314</v>
      </c>
      <c r="Y63" s="764">
        <v>27.349</v>
      </c>
      <c r="Z63" s="764">
        <v>34.093000000000004</v>
      </c>
      <c r="AA63" s="764">
        <v>38.777999999999999</v>
      </c>
      <c r="AB63" s="764">
        <v>42.483000000000004</v>
      </c>
      <c r="AC63" s="764">
        <v>39.777000000000001</v>
      </c>
      <c r="AD63" s="764">
        <v>44.078000000000003</v>
      </c>
      <c r="AE63" s="764">
        <v>44.835000000000001</v>
      </c>
      <c r="AF63" s="764">
        <v>46.611000000000004</v>
      </c>
      <c r="AG63" s="764">
        <v>42.082999999999998</v>
      </c>
      <c r="AH63" s="764">
        <v>41.064</v>
      </c>
      <c r="AI63" s="764">
        <v>41.085999999999999</v>
      </c>
      <c r="AJ63" s="764">
        <v>41.664000000000001</v>
      </c>
      <c r="AK63" s="764">
        <v>38.527000000000001</v>
      </c>
      <c r="AL63" s="765">
        <v>38.079800000000006</v>
      </c>
      <c r="AM63" s="755">
        <v>-8.899519219994545E-3</v>
      </c>
      <c r="AN63" s="755">
        <v>-6.4916734118014574E-4</v>
      </c>
      <c r="AO63" s="755">
        <v>4.9279383383691311E-3</v>
      </c>
    </row>
    <row r="64" spans="1:41" x14ac:dyDescent="0.3">
      <c r="A64" s="3" t="s">
        <v>941</v>
      </c>
      <c r="B64" s="764">
        <v>48.505301986892405</v>
      </c>
      <c r="C64" s="764">
        <v>51.047237043447133</v>
      </c>
      <c r="D64" s="764">
        <v>51.915556039793351</v>
      </c>
      <c r="E64" s="764">
        <v>53.137372008164903</v>
      </c>
      <c r="F64" s="764">
        <v>55.324804991761603</v>
      </c>
      <c r="G64" s="764">
        <v>54.800899985368197</v>
      </c>
      <c r="H64" s="764">
        <v>53.56316400164323</v>
      </c>
      <c r="I64" s="764">
        <v>52.54725802567927</v>
      </c>
      <c r="J64" s="764">
        <v>51.85459395759942</v>
      </c>
      <c r="K64" s="764">
        <v>48.30747500287665</v>
      </c>
      <c r="L64" s="764">
        <v>46.646556023048582</v>
      </c>
      <c r="M64" s="764">
        <v>41.281113002502352</v>
      </c>
      <c r="N64" s="764">
        <v>38.245577996174575</v>
      </c>
      <c r="O64" s="764">
        <v>35.767304000891656</v>
      </c>
      <c r="P64" s="764">
        <v>33.271179002828873</v>
      </c>
      <c r="Q64" s="764">
        <v>29.380311000479971</v>
      </c>
      <c r="R64" s="764">
        <v>28.875096988692324</v>
      </c>
      <c r="S64" s="764">
        <v>26.424496999607484</v>
      </c>
      <c r="T64" s="764">
        <v>29.770210984162961</v>
      </c>
      <c r="U64" s="764">
        <v>32.295566000961749</v>
      </c>
      <c r="V64" s="764">
        <v>32.91856800261418</v>
      </c>
      <c r="W64" s="764">
        <v>32.012255001152667</v>
      </c>
      <c r="X64" s="764">
        <v>33.040852002192239</v>
      </c>
      <c r="Y64" s="764">
        <v>35.475840623425562</v>
      </c>
      <c r="Z64" s="764">
        <v>39.159817039587068</v>
      </c>
      <c r="AA64" s="764">
        <v>39.521261385192226</v>
      </c>
      <c r="AB64" s="764">
        <v>36.61530931995599</v>
      </c>
      <c r="AC64" s="764">
        <v>38.985113930999994</v>
      </c>
      <c r="AD64" s="764">
        <v>34.503881067000002</v>
      </c>
      <c r="AE64" s="764">
        <v>37.032896759999993</v>
      </c>
      <c r="AF64" s="764">
        <v>38.625091390000001</v>
      </c>
      <c r="AG64" s="764">
        <v>39.583734000000007</v>
      </c>
      <c r="AH64" s="764">
        <v>39.785950849999999</v>
      </c>
      <c r="AI64" s="764">
        <v>40.504055566000005</v>
      </c>
      <c r="AJ64" s="764">
        <v>44.930397999999997</v>
      </c>
      <c r="AK64" s="764">
        <v>65.503663000000017</v>
      </c>
      <c r="AL64" s="765">
        <v>64.553466048715947</v>
      </c>
      <c r="AM64" s="755">
        <v>-1.180602889508009E-2</v>
      </c>
      <c r="AN64" s="755">
        <v>5.182497575879097E-2</v>
      </c>
      <c r="AO64" s="755">
        <v>8.3539169281721115E-3</v>
      </c>
    </row>
    <row r="65" spans="1:41" x14ac:dyDescent="0.3">
      <c r="A65" s="756" t="s">
        <v>942</v>
      </c>
      <c r="B65" s="766">
        <v>982.42723998689246</v>
      </c>
      <c r="C65" s="766">
        <v>1039.3973850434472</v>
      </c>
      <c r="D65" s="766">
        <v>1099.3911700397935</v>
      </c>
      <c r="E65" s="766">
        <v>1193.517245008165</v>
      </c>
      <c r="F65" s="766">
        <v>1316.4074649917616</v>
      </c>
      <c r="G65" s="766">
        <v>1364.4279309853682</v>
      </c>
      <c r="H65" s="766">
        <v>1423.0744170016433</v>
      </c>
      <c r="I65" s="766">
        <v>1486.0988880256791</v>
      </c>
      <c r="J65" s="766">
        <v>1593.1520319575993</v>
      </c>
      <c r="K65" s="766">
        <v>1630.9770080028766</v>
      </c>
      <c r="L65" s="766">
        <v>1664.4260960230486</v>
      </c>
      <c r="M65" s="766">
        <v>1718.0762330025025</v>
      </c>
      <c r="N65" s="766">
        <v>1761.3558129961748</v>
      </c>
      <c r="O65" s="766">
        <v>1864.5114100008918</v>
      </c>
      <c r="P65" s="766">
        <v>2023.5232980028288</v>
      </c>
      <c r="Q65" s="766">
        <v>2099.4981570004798</v>
      </c>
      <c r="R65" s="766">
        <v>2126.8748650586922</v>
      </c>
      <c r="S65" s="766">
        <v>2083.5416619996076</v>
      </c>
      <c r="T65" s="766">
        <v>2135.474548984163</v>
      </c>
      <c r="U65" s="766">
        <v>2190.7819150009618</v>
      </c>
      <c r="V65" s="766">
        <v>2326.6839190026144</v>
      </c>
      <c r="W65" s="766">
        <v>2441.2899190011526</v>
      </c>
      <c r="X65" s="766">
        <v>2765.6038590021922</v>
      </c>
      <c r="Y65" s="766">
        <v>3128.9282858404495</v>
      </c>
      <c r="Z65" s="766">
        <v>3439.9797630395874</v>
      </c>
      <c r="AA65" s="766">
        <v>3719.1767303851921</v>
      </c>
      <c r="AB65" s="766">
        <v>3971.7348413199561</v>
      </c>
      <c r="AC65" s="766">
        <v>4187.160114931</v>
      </c>
      <c r="AD65" s="766">
        <v>4473.0136833340002</v>
      </c>
      <c r="AE65" s="766">
        <v>4847.2798689625251</v>
      </c>
      <c r="AF65" s="766">
        <v>5254.8383527851074</v>
      </c>
      <c r="AG65" s="766">
        <v>5525.8914458649997</v>
      </c>
      <c r="AH65" s="766">
        <v>5669.92858445</v>
      </c>
      <c r="AI65" s="766">
        <v>5617.9956245659996</v>
      </c>
      <c r="AJ65" s="766">
        <v>5522.3639620000004</v>
      </c>
      <c r="AK65" s="766">
        <v>5230.1290557877364</v>
      </c>
      <c r="AL65" s="766">
        <v>5359.717891652208</v>
      </c>
      <c r="AM65" s="758">
        <v>2.7584977447986603E-2</v>
      </c>
      <c r="AN65" s="758">
        <v>3.4681200981140137E-2</v>
      </c>
      <c r="AO65" s="758">
        <v>0.69360548257827759</v>
      </c>
    </row>
    <row r="66" spans="1:41" x14ac:dyDescent="0.3">
      <c r="B66" s="764"/>
      <c r="C66" s="764"/>
      <c r="D66" s="764"/>
      <c r="E66" s="764"/>
      <c r="F66" s="764"/>
      <c r="G66" s="764"/>
      <c r="H66" s="764"/>
      <c r="I66" s="764"/>
      <c r="J66" s="764"/>
      <c r="K66" s="764"/>
      <c r="L66" s="764"/>
      <c r="M66" s="764"/>
      <c r="N66" s="764"/>
      <c r="O66" s="764"/>
      <c r="P66" s="764"/>
      <c r="Q66" s="764"/>
      <c r="R66" s="764"/>
      <c r="S66" s="764"/>
      <c r="T66" s="764"/>
      <c r="U66" s="764"/>
      <c r="V66" s="764"/>
      <c r="W66" s="764"/>
      <c r="X66" s="764"/>
      <c r="Y66" s="764"/>
      <c r="Z66" s="764"/>
      <c r="AA66" s="764"/>
      <c r="AB66" s="764"/>
      <c r="AC66" s="764"/>
      <c r="AD66" s="764"/>
      <c r="AE66" s="764"/>
      <c r="AF66" s="764"/>
      <c r="AG66" s="764"/>
      <c r="AH66" s="764"/>
      <c r="AI66" s="764"/>
      <c r="AJ66" s="764"/>
      <c r="AK66" s="764"/>
      <c r="AL66" s="765"/>
      <c r="AM66" s="755"/>
      <c r="AN66" s="755"/>
      <c r="AO66" s="755"/>
    </row>
    <row r="67" spans="1:41" x14ac:dyDescent="0.3">
      <c r="A67" s="750" t="s">
        <v>943</v>
      </c>
      <c r="B67" s="765">
        <v>3913.8932804698675</v>
      </c>
      <c r="C67" s="765">
        <v>4051.8856406961841</v>
      </c>
      <c r="D67" s="765">
        <v>4059.6139772067449</v>
      </c>
      <c r="E67" s="765">
        <v>4257.0149760350751</v>
      </c>
      <c r="F67" s="765">
        <v>4479.7279334490131</v>
      </c>
      <c r="G67" s="765">
        <v>4595.2133341086956</v>
      </c>
      <c r="H67" s="765">
        <v>4685.7966506627199</v>
      </c>
      <c r="I67" s="765">
        <v>4794.8398256959554</v>
      </c>
      <c r="J67" s="765">
        <v>4882.4964932821231</v>
      </c>
      <c r="K67" s="765">
        <v>4770.5428038120335</v>
      </c>
      <c r="L67" s="765">
        <v>4587.8244447537681</v>
      </c>
      <c r="M67" s="765">
        <v>4562.2132391205205</v>
      </c>
      <c r="N67" s="765">
        <v>4427.4749111605361</v>
      </c>
      <c r="O67" s="765">
        <v>4516.3614535706556</v>
      </c>
      <c r="P67" s="765">
        <v>4640.9967076912135</v>
      </c>
      <c r="Q67" s="765">
        <v>4713.4535395437351</v>
      </c>
      <c r="R67" s="765">
        <v>4758.7404105135392</v>
      </c>
      <c r="S67" s="765">
        <v>4664.0937641038163</v>
      </c>
      <c r="T67" s="765">
        <v>4671.7383244808125</v>
      </c>
      <c r="U67" s="765">
        <v>4725.6446020687681</v>
      </c>
      <c r="V67" s="765">
        <v>4942.2331536598867</v>
      </c>
      <c r="W67" s="765">
        <v>4984.6875689163062</v>
      </c>
      <c r="X67" s="765">
        <v>5338.9833859222381</v>
      </c>
      <c r="Y67" s="765">
        <v>5748.5705143099867</v>
      </c>
      <c r="Z67" s="765">
        <v>6103.240638786855</v>
      </c>
      <c r="AA67" s="765">
        <v>6436.5621215027268</v>
      </c>
      <c r="AB67" s="765">
        <v>6688.1590923539015</v>
      </c>
      <c r="AC67" s="765">
        <v>6951.2549570074589</v>
      </c>
      <c r="AD67" s="765">
        <v>7066.1462110875154</v>
      </c>
      <c r="AE67" s="765">
        <v>7479.0599402400176</v>
      </c>
      <c r="AF67" s="765">
        <v>7975.3531304591306</v>
      </c>
      <c r="AG67" s="765">
        <v>8203.0153085580532</v>
      </c>
      <c r="AH67" s="765">
        <v>8270.9131042773006</v>
      </c>
      <c r="AI67" s="765">
        <v>8195.6718227531837</v>
      </c>
      <c r="AJ67" s="765">
        <v>7954.1509627198748</v>
      </c>
      <c r="AK67" s="765">
        <v>7491.9877649203336</v>
      </c>
      <c r="AL67" s="765">
        <v>7727.3289708581169</v>
      </c>
      <c r="AM67" s="759">
        <v>3.4238170832395554E-2</v>
      </c>
      <c r="AN67" s="759">
        <v>1.5299820341169834E-2</v>
      </c>
      <c r="AO67" s="759">
        <v>1</v>
      </c>
    </row>
    <row r="68" spans="1:41" x14ac:dyDescent="0.3">
      <c r="A68" s="3" t="s">
        <v>944</v>
      </c>
      <c r="B68" s="764">
        <v>2054.9656147174455</v>
      </c>
      <c r="C68" s="764">
        <v>2118.1317610975539</v>
      </c>
      <c r="D68" s="764">
        <v>2057.5536092146081</v>
      </c>
      <c r="E68" s="764">
        <v>2155.7289392875286</v>
      </c>
      <c r="F68" s="764">
        <v>2278.4727550809066</v>
      </c>
      <c r="G68" s="764">
        <v>2320.8432390050457</v>
      </c>
      <c r="H68" s="764">
        <v>2345.9304920051632</v>
      </c>
      <c r="I68" s="764">
        <v>2359.8700362503164</v>
      </c>
      <c r="J68" s="764">
        <v>2381.3307773549095</v>
      </c>
      <c r="K68" s="764">
        <v>2309.4417456454262</v>
      </c>
      <c r="L68" s="764">
        <v>2184.0274708831539</v>
      </c>
      <c r="M68" s="764">
        <v>2122.9370378517319</v>
      </c>
      <c r="N68" s="764">
        <v>2013.9994906956726</v>
      </c>
      <c r="O68" s="764">
        <v>2064.8912670561658</v>
      </c>
      <c r="P68" s="764">
        <v>2063.8033756276636</v>
      </c>
      <c r="Q68" s="764">
        <v>2095.2930528070106</v>
      </c>
      <c r="R68" s="764">
        <v>2127.1138164932227</v>
      </c>
      <c r="S68" s="764">
        <v>2100.4264988347568</v>
      </c>
      <c r="T68" s="764">
        <v>2078.8382974416222</v>
      </c>
      <c r="U68" s="764">
        <v>2041.4251570867807</v>
      </c>
      <c r="V68" s="764">
        <v>2116.6546826595468</v>
      </c>
      <c r="W68" s="764">
        <v>2082.8041504784605</v>
      </c>
      <c r="X68" s="764">
        <v>2060.7847754266404</v>
      </c>
      <c r="Y68" s="764">
        <v>2100.628285463712</v>
      </c>
      <c r="Z68" s="764">
        <v>2138.899149326412</v>
      </c>
      <c r="AA68" s="764">
        <v>2167.6743982773237</v>
      </c>
      <c r="AB68" s="764">
        <v>2162.7849951614671</v>
      </c>
      <c r="AC68" s="764">
        <v>2178.9882569523816</v>
      </c>
      <c r="AD68" s="764">
        <v>2078.0364959900753</v>
      </c>
      <c r="AE68" s="764">
        <v>2088.2349775632265</v>
      </c>
      <c r="AF68" s="764">
        <v>2108.0152487902124</v>
      </c>
      <c r="AG68" s="764">
        <v>2057.8413342437875</v>
      </c>
      <c r="AH68" s="764">
        <v>2026.7106321397607</v>
      </c>
      <c r="AI68" s="764">
        <v>2057.6608394647956</v>
      </c>
      <c r="AJ68" s="764">
        <v>1928.2255207601736</v>
      </c>
      <c r="AK68" s="764">
        <v>1747.151952821336</v>
      </c>
      <c r="AL68" s="765">
        <v>1792.1577832806183</v>
      </c>
      <c r="AM68" s="755">
        <v>2.8569839894771576E-2</v>
      </c>
      <c r="AN68" s="755">
        <v>-2.1335888653993607E-2</v>
      </c>
      <c r="AO68" s="755">
        <v>0.23192460834980011</v>
      </c>
    </row>
    <row r="69" spans="1:41" x14ac:dyDescent="0.3">
      <c r="A69" s="3" t="s">
        <v>945</v>
      </c>
      <c r="B69" s="764">
        <v>1858.9276657524226</v>
      </c>
      <c r="C69" s="764">
        <v>1933.7538795986306</v>
      </c>
      <c r="D69" s="764">
        <v>2002.0603679921362</v>
      </c>
      <c r="E69" s="764">
        <v>2101.2860367475464</v>
      </c>
      <c r="F69" s="764">
        <v>2201.255178368106</v>
      </c>
      <c r="G69" s="764">
        <v>2274.3700951036481</v>
      </c>
      <c r="H69" s="764">
        <v>2339.8661586575577</v>
      </c>
      <c r="I69" s="764">
        <v>2434.9697894456403</v>
      </c>
      <c r="J69" s="764">
        <v>2501.1657159272131</v>
      </c>
      <c r="K69" s="764">
        <v>2461.101058166606</v>
      </c>
      <c r="L69" s="764">
        <v>2403.7969738706129</v>
      </c>
      <c r="M69" s="764">
        <v>2439.2762012687904</v>
      </c>
      <c r="N69" s="764">
        <v>2413.4754204648652</v>
      </c>
      <c r="O69" s="764">
        <v>2451.4701865144912</v>
      </c>
      <c r="P69" s="764">
        <v>2577.1933320635494</v>
      </c>
      <c r="Q69" s="764">
        <v>2618.1604867367228</v>
      </c>
      <c r="R69" s="764">
        <v>2631.6265940203193</v>
      </c>
      <c r="S69" s="764">
        <v>2563.6672652690577</v>
      </c>
      <c r="T69" s="764">
        <v>2592.9000270391916</v>
      </c>
      <c r="U69" s="764">
        <v>2684.2194449819863</v>
      </c>
      <c r="V69" s="764">
        <v>2825.5784710003395</v>
      </c>
      <c r="W69" s="764">
        <v>2901.8834184378452</v>
      </c>
      <c r="X69" s="764">
        <v>3278.1986104955986</v>
      </c>
      <c r="Y69" s="764">
        <v>3647.9422288462724</v>
      </c>
      <c r="Z69" s="764">
        <v>3964.3414894604439</v>
      </c>
      <c r="AA69" s="764">
        <v>4268.8877232254035</v>
      </c>
      <c r="AB69" s="764">
        <v>4525.3740971924281</v>
      </c>
      <c r="AC69" s="764">
        <v>4772.2667000550782</v>
      </c>
      <c r="AD69" s="764">
        <v>4988.1097150974429</v>
      </c>
      <c r="AE69" s="764">
        <v>5390.8249626767893</v>
      </c>
      <c r="AF69" s="764">
        <v>5867.3378816689201</v>
      </c>
      <c r="AG69" s="764">
        <v>6145.1739743142653</v>
      </c>
      <c r="AH69" s="764">
        <v>6244.2024721375419</v>
      </c>
      <c r="AI69" s="764">
        <v>6138.0109832883891</v>
      </c>
      <c r="AJ69" s="764">
        <v>6025.9254419596964</v>
      </c>
      <c r="AK69" s="764">
        <v>5744.8358120989988</v>
      </c>
      <c r="AL69" s="765">
        <v>5935.1711875774981</v>
      </c>
      <c r="AM69" s="755">
        <v>3.5962056368589401E-2</v>
      </c>
      <c r="AN69" s="755">
        <v>3.0140088871121407E-2</v>
      </c>
      <c r="AO69" s="755">
        <v>0.76807540655136108</v>
      </c>
    </row>
    <row r="70" spans="1:41" x14ac:dyDescent="0.3">
      <c r="A70" s="39" t="s">
        <v>948</v>
      </c>
      <c r="B70" s="768">
        <v>1139.9083129999999</v>
      </c>
      <c r="C70" s="768">
        <v>1185.5687780000001</v>
      </c>
      <c r="D70" s="768">
        <v>1174.1039600000001</v>
      </c>
      <c r="E70" s="768">
        <v>1143.158439</v>
      </c>
      <c r="F70" s="768">
        <v>1236.3952888000001</v>
      </c>
      <c r="G70" s="768">
        <v>1261.4159056000001</v>
      </c>
      <c r="H70" s="768">
        <v>1254.0201348999999</v>
      </c>
      <c r="I70" s="768">
        <v>1244.4320402969815</v>
      </c>
      <c r="J70" s="768">
        <v>1216.9178069532745</v>
      </c>
      <c r="K70" s="768">
        <v>1078.7337243309571</v>
      </c>
      <c r="L70" s="768">
        <v>967.52326848206121</v>
      </c>
      <c r="M70" s="768">
        <v>906.49589651036786</v>
      </c>
      <c r="N70" s="768">
        <v>847.78668576067594</v>
      </c>
      <c r="O70" s="768">
        <v>804.49597760333245</v>
      </c>
      <c r="P70" s="768">
        <v>793.9238722785185</v>
      </c>
      <c r="Q70" s="768">
        <v>787.44155087092201</v>
      </c>
      <c r="R70" s="768">
        <v>758.24047221219507</v>
      </c>
      <c r="S70" s="768">
        <v>687.38986188871058</v>
      </c>
      <c r="T70" s="768">
        <v>660.26233548631183</v>
      </c>
      <c r="U70" s="768">
        <v>653.33412796148741</v>
      </c>
      <c r="V70" s="768">
        <v>662.96003520434351</v>
      </c>
      <c r="W70" s="768">
        <v>663.08594297205116</v>
      </c>
      <c r="X70" s="768">
        <v>664.00030137875751</v>
      </c>
      <c r="Y70" s="768">
        <v>648.85629538709475</v>
      </c>
      <c r="Z70" s="768">
        <v>635.85911716787257</v>
      </c>
      <c r="AA70" s="768">
        <v>627.65023095766969</v>
      </c>
      <c r="AB70" s="768">
        <v>617.21104290606991</v>
      </c>
      <c r="AC70" s="768">
        <v>597.24062470070612</v>
      </c>
      <c r="AD70" s="768">
        <v>573.04141585951766</v>
      </c>
      <c r="AE70" s="768">
        <v>562.73534094922513</v>
      </c>
      <c r="AF70" s="768">
        <v>589.7149416252912</v>
      </c>
      <c r="AG70" s="768">
        <v>590.48165140669721</v>
      </c>
      <c r="AH70" s="768">
        <v>558.12487747300133</v>
      </c>
      <c r="AI70" s="768">
        <v>539.57129447642387</v>
      </c>
      <c r="AJ70" s="768">
        <v>527.85560521629736</v>
      </c>
      <c r="AK70" s="768">
        <v>481.80733844261221</v>
      </c>
      <c r="AL70" s="766">
        <v>490.14997437282341</v>
      </c>
      <c r="AM70" s="761">
        <v>2.0102459937334061E-2</v>
      </c>
      <c r="AN70" s="761">
        <v>-2.6097295805811882E-2</v>
      </c>
      <c r="AO70" s="761">
        <v>6.3430711627006531E-2</v>
      </c>
    </row>
    <row r="71" spans="1:41" x14ac:dyDescent="0.3">
      <c r="AL71" s="750"/>
    </row>
    <row r="72" spans="1:41" x14ac:dyDescent="0.3">
      <c r="A72" s="763" t="s">
        <v>991</v>
      </c>
      <c r="AL72" s="750"/>
    </row>
    <row r="73" spans="1:41" x14ac:dyDescent="0.3">
      <c r="A73" s="3" t="s">
        <v>951</v>
      </c>
      <c r="AL73" s="750"/>
    </row>
    <row r="74" spans="1:41" x14ac:dyDescent="0.3">
      <c r="A74" s="762" t="s">
        <v>952</v>
      </c>
      <c r="AL74" s="750"/>
    </row>
    <row r="75" spans="1:41" x14ac:dyDescent="0.3">
      <c r="A75" s="763" t="s">
        <v>971</v>
      </c>
      <c r="AL75" s="750"/>
    </row>
    <row r="76" spans="1:41" x14ac:dyDescent="0.3">
      <c r="A76" s="763" t="s">
        <v>954</v>
      </c>
      <c r="AL76" s="750"/>
    </row>
    <row r="77" spans="1:41" x14ac:dyDescent="0.3">
      <c r="A77" s="763" t="s">
        <v>955</v>
      </c>
      <c r="AL77" s="750"/>
    </row>
    <row r="78" spans="1:41" x14ac:dyDescent="0.3">
      <c r="A78" s="750" t="s">
        <v>992</v>
      </c>
      <c r="AL78" s="750"/>
    </row>
    <row r="79" spans="1:41" x14ac:dyDescent="0.3">
      <c r="A79" s="750" t="s">
        <v>976</v>
      </c>
      <c r="AL79" s="750"/>
    </row>
  </sheetData>
  <mergeCells count="1">
    <mergeCell ref="AM10:AN10"/>
  </mergeCells>
  <conditionalFormatting sqref="A1:XFD5 A7:XFD7 A6 C6:XFD6">
    <cfRule type="expression" dxfId="3" priority="4">
      <formula>_xlfn.ISFORMULA(A1)</formula>
    </cfRule>
  </conditionalFormatting>
  <conditionalFormatting sqref="B6">
    <cfRule type="expression" dxfId="2" priority="3">
      <formula>_xlfn.ISFORMULA(B6)</formula>
    </cfRule>
  </conditionalFormatting>
  <conditionalFormatting sqref="AM12:AO70">
    <cfRule type="cellIs" dxfId="1" priority="1" operator="lessThanOrEqual">
      <formula>0</formula>
    </cfRule>
    <cfRule type="cellIs" dxfId="0" priority="2" operator="greaterThan">
      <formula>0</formula>
    </cfRule>
  </conditionalFormatting>
  <hyperlinks>
    <hyperlink ref="B3" r:id="rId1" xr:uid="{BA277070-3706-44BF-A56F-84F897E5D8C2}"/>
  </hyperlinks>
  <pageMargins left="0.7" right="0.7" top="0.75" bottom="0.75" header="0.3" footer="0.3"/>
  <pageSetup paperSize="9" orientation="portrait" horizontalDpi="4294967294" verticalDpi="4294967294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C71DD-B081-446D-8305-8E73BDCD485A}">
  <sheetPr>
    <tabColor theme="0" tint="-0.249977111117893"/>
  </sheetPr>
  <dimension ref="A1"/>
  <sheetViews>
    <sheetView topLeftCell="A1048576" workbookViewId="0"/>
  </sheetViews>
  <sheetFormatPr defaultRowHeight="14.4" customHeight="1" zeroHeight="1" x14ac:dyDescent="0.3"/>
  <sheetData>
    <row r="1" hidden="1" x14ac:dyDescent="0.3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0da89ef-49c0-40fe-8775-bed27f6d4e3e">
      <UserInfo>
        <DisplayName>Josh Cowley</DisplayName>
        <AccountId>2586</AccountId>
        <AccountType/>
      </UserInfo>
      <UserInfo>
        <DisplayName>Anita Hafner</DisplayName>
        <AccountId>2682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4C1667C-D128-41F2-BB5D-7EE5FCCD0ADE}">
  <ds:schemaRefs>
    <ds:schemaRef ds:uri="b5fc07e1-684f-42dd-a9b9-4a385070eb2f"/>
    <ds:schemaRef ds:uri="http://purl.org/dc/terms/"/>
    <ds:schemaRef ds:uri="http://schemas.openxmlformats.org/package/2006/metadata/core-properties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5E9115F3-7959-4110-BC63-72845B5D1A1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F9F19E9-AB75-4B47-8BE2-2D713B54333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Report figures &gt;&gt;&gt;</vt:lpstr>
      <vt:lpstr>O1. Output summary</vt:lpstr>
      <vt:lpstr>O2. Carbon prices</vt:lpstr>
      <vt:lpstr>02a. Carbon prices reg var</vt:lpstr>
      <vt:lpstr>O3. Oil output</vt:lpstr>
      <vt:lpstr>O4. Gas output</vt:lpstr>
      <vt:lpstr>O5. Coal output</vt:lpstr>
      <vt:lpstr>O6. Total ren capacity</vt:lpstr>
      <vt:lpstr>O7. EV fleet</vt:lpstr>
      <vt:lpstr>O8. TPES mix</vt:lpstr>
      <vt:lpstr>O9. Generation mix</vt:lpstr>
      <vt:lpstr>OReserve. Wind, solar capacity</vt:lpstr>
      <vt:lpstr>O10. Generation capacity mix</vt:lpstr>
      <vt:lpstr>O11. EV deployment</vt:lpstr>
      <vt:lpstr>TIAM scenario processing &gt;&gt;&gt;</vt:lpstr>
      <vt:lpstr>W1. Vehicle oil new cap</vt:lpstr>
      <vt:lpstr>W2. Total CO2 Net</vt:lpstr>
      <vt:lpstr>W3. Road Transport Fossil</vt:lpstr>
      <vt:lpstr>W4. Road Transport Electricity</vt:lpstr>
      <vt:lpstr>W5. Road Transport Biofuels</vt:lpstr>
      <vt:lpstr>W6. Prim Energy Cons</vt:lpstr>
      <vt:lpstr>W7. Primary Energy Prod</vt:lpstr>
      <vt:lpstr>W8. Power New Cap</vt:lpstr>
      <vt:lpstr>W9. Power Total Gen</vt:lpstr>
      <vt:lpstr>W10. Power Total Cap</vt:lpstr>
      <vt:lpstr>W11. Iron Steel Demand</vt:lpstr>
      <vt:lpstr>W12. Heat Pump New Cap</vt:lpstr>
      <vt:lpstr>W13. EV New Cap</vt:lpstr>
      <vt:lpstr>W14. CO2 Captured</vt:lpstr>
      <vt:lpstr>W15. Carbon Prices</vt:lpstr>
      <vt:lpstr>W16. Transport new capacity</vt:lpstr>
      <vt:lpstr>W17. Transport service output</vt:lpstr>
      <vt:lpstr>W18. Transport energy consump</vt:lpstr>
      <vt:lpstr>W19. Transport total capacity</vt:lpstr>
      <vt:lpstr>Public scenario processing &gt;&gt;&gt;</vt:lpstr>
      <vt:lpstr>W20. Fossil fuel prod</vt:lpstr>
      <vt:lpstr>W21. Total generation capacity</vt:lpstr>
      <vt:lpstr>W22. Carbon prices</vt:lpstr>
      <vt:lpstr>W23. TPES</vt:lpstr>
      <vt:lpstr>W24. Total generation</vt:lpstr>
      <vt:lpstr>Specs and units &gt;&gt;&gt;</vt:lpstr>
      <vt:lpstr>R1. Scenario specifications</vt:lpstr>
      <vt:lpstr>R2. Unit conversion factors</vt:lpstr>
      <vt:lpstr>R2a. Carbon price reg weights</vt:lpstr>
      <vt:lpstr>Public scenario data &gt;&gt;&gt;</vt:lpstr>
      <vt:lpstr>R3. WEO18 Fossil fuel prod</vt:lpstr>
      <vt:lpstr>R4. WEO16 Fossil fuel prod</vt:lpstr>
      <vt:lpstr>R5. ETP17 Summary</vt:lpstr>
      <vt:lpstr>R6. Sky Summary</vt:lpstr>
      <vt:lpstr>R7. WEO18 Balance</vt:lpstr>
      <vt:lpstr>R8. WEO16 Balance</vt:lpstr>
      <vt:lpstr>R9. WEO18 Electricity</vt:lpstr>
      <vt:lpstr>R10. WEO16 Electricity</vt:lpstr>
      <vt:lpstr>R11. WEO16 CO2 prices</vt:lpstr>
      <vt:lpstr>R12. EVO 17 hist stock</vt:lpstr>
      <vt:lpstr>R13. EVO 17 hist sales</vt:lpstr>
      <vt:lpstr>R14. EVO 17 scenario stock</vt:lpstr>
      <vt:lpstr>R15. EVO 18 hist stock</vt:lpstr>
      <vt:lpstr>R16. EVO 18 hist sales</vt:lpstr>
      <vt:lpstr>R17. BPStat 18 oil prod</vt:lpstr>
      <vt:lpstr>R18. BPStat 18 gas prod</vt:lpstr>
      <vt:lpstr>R19. BPStat 18 coal prod</vt:lpstr>
      <vt:lpstr>TIAM raw data &gt;&gt;&gt;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Shyamal</dc:creator>
  <cp:keywords/>
  <dc:description/>
  <cp:lastModifiedBy>Shyamal</cp:lastModifiedBy>
  <cp:revision/>
  <dcterms:created xsi:type="dcterms:W3CDTF">2016-04-28T13:13:34Z</dcterms:created>
  <dcterms:modified xsi:type="dcterms:W3CDTF">2019-02-18T04:25:44Z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